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From Lucan\Jock Review March 2025\"/>
    </mc:Choice>
  </mc:AlternateContent>
  <xr:revisionPtr revIDLastSave="0" documentId="13_ncr:1_{D371369F-8EB5-4270-B480-4DBF8FA28D8C}" xr6:coauthVersionLast="47" xr6:coauthVersionMax="47" xr10:uidLastSave="{00000000-0000-0000-0000-000000000000}"/>
  <bookViews>
    <workbookView xWindow="-120" yWindow="-16320" windowWidth="29040" windowHeight="15720" firstSheet="2" activeTab="2" xr2:uid="{014DED80-316E-4C9E-81C9-9004722A6A56}"/>
  </bookViews>
  <sheets>
    <sheet name="DATA_Moresby_2022_ALL" sheetId="1" r:id="rId1"/>
    <sheet name="DATA_Moresby_2022_50" sheetId="4" r:id="rId2"/>
    <sheet name="DATA_Moresby_2024_ALL" sheetId="5" r:id="rId3"/>
    <sheet name="DATA_Moreseby_2024_50" sheetId="6" r:id="rId4"/>
    <sheet name="Stats" sheetId="7" r:id="rId5"/>
  </sheets>
  <definedNames>
    <definedName name="_xlnm._FilterDatabase" localSheetId="2" hidden="1">DATA_Moresby_2024_ALL!$A$3:$Z$10164</definedName>
    <definedName name="_xlnm._FilterDatabase" localSheetId="3" hidden="1">DATA_Moreseby_2024_50!$A$3:$Q$2035</definedName>
  </definedNames>
  <calcPr calcId="191028"/>
  <pivotCaches>
    <pivotCache cacheId="73" r:id="rId6"/>
    <pivotCache cacheId="8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954" i="5" l="1"/>
  <c r="C50" i="7" l="1"/>
  <c r="D49" i="7"/>
  <c r="C49" i="7"/>
  <c r="D48" i="7"/>
  <c r="C48" i="7"/>
  <c r="G29" i="7"/>
  <c r="G22" i="7"/>
  <c r="I1454" i="6" l="1"/>
  <c r="I445" i="6"/>
  <c r="I394" i="6"/>
  <c r="I381" i="6"/>
  <c r="I228" i="6"/>
  <c r="I215" i="6"/>
  <c r="I206" i="6"/>
  <c r="I12" i="6"/>
  <c r="I11" i="6"/>
  <c r="I10" i="6"/>
  <c r="I9" i="6"/>
  <c r="I8" i="6"/>
  <c r="I7" i="6"/>
  <c r="I6" i="6"/>
  <c r="I5" i="6"/>
  <c r="I4" i="6"/>
  <c r="J5" i="6"/>
  <c r="J6" i="6"/>
  <c r="J7" i="6"/>
  <c r="J8" i="6"/>
  <c r="J9" i="6"/>
  <c r="J10" i="6"/>
  <c r="J11" i="6"/>
  <c r="J12" i="6"/>
  <c r="J4" i="6"/>
  <c r="F200" i="6"/>
  <c r="J200" i="6" s="1"/>
  <c r="F201" i="6"/>
  <c r="J201" i="6" s="1"/>
  <c r="F202" i="6"/>
  <c r="J202" i="6" s="1"/>
  <c r="F203" i="6"/>
  <c r="J203" i="6" s="1"/>
  <c r="F204" i="6"/>
  <c r="J204" i="6" s="1"/>
  <c r="F205" i="6"/>
  <c r="J205" i="6" s="1"/>
  <c r="F206" i="6"/>
  <c r="J206" i="6" s="1"/>
  <c r="F207" i="6"/>
  <c r="J207" i="6" s="1"/>
  <c r="F208" i="6"/>
  <c r="F209" i="6"/>
  <c r="J209" i="6" s="1"/>
  <c r="F210" i="6"/>
  <c r="J210" i="6" s="1"/>
  <c r="F211" i="6"/>
  <c r="J211" i="6" s="1"/>
  <c r="F212" i="6"/>
  <c r="J212" i="6" s="1"/>
  <c r="F213" i="6"/>
  <c r="J213" i="6" s="1"/>
  <c r="F214" i="6"/>
  <c r="F215" i="6"/>
  <c r="J215" i="6" s="1"/>
  <c r="F216" i="6"/>
  <c r="J216" i="6" s="1"/>
  <c r="F217" i="6"/>
  <c r="J217" i="6" s="1"/>
  <c r="F218" i="6"/>
  <c r="J218" i="6" s="1"/>
  <c r="F219" i="6"/>
  <c r="J219" i="6" s="1"/>
  <c r="F220" i="6"/>
  <c r="J220" i="6" s="1"/>
  <c r="F221" i="6"/>
  <c r="J221" i="6" s="1"/>
  <c r="F222" i="6"/>
  <c r="J222" i="6" s="1"/>
  <c r="F223" i="6"/>
  <c r="J223" i="6" s="1"/>
  <c r="F224" i="6"/>
  <c r="F225" i="6"/>
  <c r="J225" i="6" s="1"/>
  <c r="F226" i="6"/>
  <c r="F227" i="6"/>
  <c r="J227" i="6" s="1"/>
  <c r="F228" i="6"/>
  <c r="J228" i="6" s="1"/>
  <c r="F229" i="6"/>
  <c r="J229" i="6" s="1"/>
  <c r="F230" i="6"/>
  <c r="F231" i="6"/>
  <c r="J231" i="6" s="1"/>
  <c r="F232" i="6"/>
  <c r="J232" i="6" s="1"/>
  <c r="F233" i="6"/>
  <c r="F234" i="6"/>
  <c r="F235" i="6"/>
  <c r="J235" i="6" s="1"/>
  <c r="F236" i="6"/>
  <c r="J236" i="6" s="1"/>
  <c r="F237" i="6"/>
  <c r="J237" i="6" s="1"/>
  <c r="F238" i="6"/>
  <c r="F239" i="6"/>
  <c r="J239" i="6" s="1"/>
  <c r="F240" i="6"/>
  <c r="F241" i="6"/>
  <c r="J241" i="6" s="1"/>
  <c r="F242" i="6"/>
  <c r="F243" i="6"/>
  <c r="F244" i="6"/>
  <c r="J244" i="6" s="1"/>
  <c r="F245" i="6"/>
  <c r="J245" i="6" s="1"/>
  <c r="F246" i="6"/>
  <c r="F247" i="6"/>
  <c r="J247" i="6" s="1"/>
  <c r="F248" i="6"/>
  <c r="J248" i="6" s="1"/>
  <c r="F249" i="6"/>
  <c r="F250" i="6"/>
  <c r="F251" i="6"/>
  <c r="F252" i="6"/>
  <c r="J252" i="6" s="1"/>
  <c r="F253" i="6"/>
  <c r="J253" i="6" s="1"/>
  <c r="F254" i="6"/>
  <c r="F255" i="6"/>
  <c r="F256" i="6"/>
  <c r="F257" i="6"/>
  <c r="J257" i="6" s="1"/>
  <c r="F258" i="6"/>
  <c r="J258" i="6" s="1"/>
  <c r="F259" i="6"/>
  <c r="F260" i="6"/>
  <c r="F261" i="6"/>
  <c r="J261" i="6" s="1"/>
  <c r="F262" i="6"/>
  <c r="J262" i="6" s="1"/>
  <c r="F263" i="6"/>
  <c r="J263" i="6" s="1"/>
  <c r="F264" i="6"/>
  <c r="F265" i="6"/>
  <c r="F266" i="6"/>
  <c r="F267" i="6"/>
  <c r="F268" i="6"/>
  <c r="J268" i="6" s="1"/>
  <c r="F269" i="6"/>
  <c r="J269" i="6" s="1"/>
  <c r="F270" i="6"/>
  <c r="F271" i="6"/>
  <c r="F272" i="6"/>
  <c r="F273" i="6"/>
  <c r="J273" i="6" s="1"/>
  <c r="F274" i="6"/>
  <c r="F275" i="6"/>
  <c r="J275" i="6" s="1"/>
  <c r="F276" i="6"/>
  <c r="F277" i="6"/>
  <c r="F278" i="6"/>
  <c r="J278" i="6" s="1"/>
  <c r="F279" i="6"/>
  <c r="J279" i="6" s="1"/>
  <c r="F280" i="6"/>
  <c r="F281" i="6"/>
  <c r="F282" i="6"/>
  <c r="F283" i="6"/>
  <c r="F284" i="6"/>
  <c r="J284" i="6" s="1"/>
  <c r="F285" i="6"/>
  <c r="J285" i="6" s="1"/>
  <c r="F286" i="6"/>
  <c r="F287" i="6"/>
  <c r="F288" i="6"/>
  <c r="F289" i="6"/>
  <c r="J289" i="6" s="1"/>
  <c r="F290" i="6"/>
  <c r="F291" i="6"/>
  <c r="F292" i="6"/>
  <c r="J292" i="6" s="1"/>
  <c r="F293" i="6"/>
  <c r="F294" i="6"/>
  <c r="F295" i="6"/>
  <c r="J295" i="6" s="1"/>
  <c r="F296" i="6"/>
  <c r="J296" i="6" s="1"/>
  <c r="F297" i="6"/>
  <c r="F298" i="6"/>
  <c r="F299" i="6"/>
  <c r="F300" i="6"/>
  <c r="J300" i="6" s="1"/>
  <c r="F301" i="6"/>
  <c r="J301" i="6" s="1"/>
  <c r="F302" i="6"/>
  <c r="F303" i="6"/>
  <c r="F304" i="6"/>
  <c r="F305" i="6"/>
  <c r="F306" i="6"/>
  <c r="F307" i="6"/>
  <c r="F308" i="6"/>
  <c r="F309" i="6"/>
  <c r="J309" i="6" s="1"/>
  <c r="F310" i="6"/>
  <c r="F311" i="6"/>
  <c r="F312" i="6"/>
  <c r="J312" i="6" s="1"/>
  <c r="F313" i="6"/>
  <c r="J313" i="6" s="1"/>
  <c r="F314" i="6"/>
  <c r="F315" i="6"/>
  <c r="F316" i="6"/>
  <c r="J316" i="6" s="1"/>
  <c r="F317" i="6"/>
  <c r="J317" i="6" s="1"/>
  <c r="F318" i="6"/>
  <c r="F319" i="6"/>
  <c r="F320" i="6"/>
  <c r="F321" i="6"/>
  <c r="F322" i="6"/>
  <c r="F323" i="6"/>
  <c r="F324" i="6"/>
  <c r="F325" i="6"/>
  <c r="F326" i="6"/>
  <c r="J326" i="6" s="1"/>
  <c r="F327" i="6"/>
  <c r="F328" i="6"/>
  <c r="F329" i="6"/>
  <c r="J329" i="6" s="1"/>
  <c r="F330" i="6"/>
  <c r="J330" i="6" s="1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J343" i="6" s="1"/>
  <c r="F344" i="6"/>
  <c r="F345" i="6"/>
  <c r="F346" i="6"/>
  <c r="J346" i="6" s="1"/>
  <c r="F347" i="6"/>
  <c r="J347" i="6" s="1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J360" i="6" s="1"/>
  <c r="F361" i="6"/>
  <c r="F362" i="6"/>
  <c r="F363" i="6"/>
  <c r="J363" i="6" s="1"/>
  <c r="F364" i="6"/>
  <c r="J364" i="6" s="1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J377" i="6" s="1"/>
  <c r="F378" i="6"/>
  <c r="F379" i="6"/>
  <c r="F380" i="6"/>
  <c r="J380" i="6" s="1"/>
  <c r="F381" i="6"/>
  <c r="J381" i="6" s="1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J394" i="6" s="1"/>
  <c r="F395" i="6"/>
  <c r="F396" i="6"/>
  <c r="F397" i="6"/>
  <c r="J397" i="6" s="1"/>
  <c r="F398" i="6"/>
  <c r="J398" i="6" s="1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J411" i="6" s="1"/>
  <c r="F412" i="6"/>
  <c r="F413" i="6"/>
  <c r="F414" i="6"/>
  <c r="J414" i="6" s="1"/>
  <c r="F415" i="6"/>
  <c r="J415" i="6" s="1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J428" i="6" s="1"/>
  <c r="F429" i="6"/>
  <c r="F430" i="6"/>
  <c r="F431" i="6"/>
  <c r="J431" i="6" s="1"/>
  <c r="F432" i="6"/>
  <c r="F433" i="6"/>
  <c r="J433" i="6" s="1"/>
  <c r="F434" i="6"/>
  <c r="F435" i="6"/>
  <c r="F436" i="6"/>
  <c r="F437" i="6"/>
  <c r="F438" i="6"/>
  <c r="F439" i="6"/>
  <c r="F440" i="6"/>
  <c r="F441" i="6"/>
  <c r="F442" i="6"/>
  <c r="F443" i="6"/>
  <c r="F444" i="6"/>
  <c r="F445" i="6"/>
  <c r="J445" i="6" s="1"/>
  <c r="F446" i="6"/>
  <c r="F447" i="6"/>
  <c r="F448" i="6"/>
  <c r="F449" i="6"/>
  <c r="J449" i="6" s="1"/>
  <c r="F450" i="6"/>
  <c r="J450" i="6" s="1"/>
  <c r="F451" i="6"/>
  <c r="F452" i="6"/>
  <c r="F453" i="6"/>
  <c r="F454" i="6"/>
  <c r="F455" i="6"/>
  <c r="F456" i="6"/>
  <c r="F457" i="6"/>
  <c r="F458" i="6"/>
  <c r="F459" i="6"/>
  <c r="F460" i="6"/>
  <c r="F461" i="6"/>
  <c r="F462" i="6"/>
  <c r="J462" i="6" s="1"/>
  <c r="F463" i="6"/>
  <c r="F464" i="6"/>
  <c r="F465" i="6"/>
  <c r="F466" i="6"/>
  <c r="J466" i="6" s="1"/>
  <c r="F467" i="6"/>
  <c r="J467" i="6" s="1"/>
  <c r="F468" i="6"/>
  <c r="F469" i="6"/>
  <c r="F470" i="6"/>
  <c r="F471" i="6"/>
  <c r="F472" i="6"/>
  <c r="F473" i="6"/>
  <c r="F474" i="6"/>
  <c r="F475" i="6"/>
  <c r="F476" i="6"/>
  <c r="F477" i="6"/>
  <c r="F478" i="6"/>
  <c r="F479" i="6"/>
  <c r="J479" i="6" s="1"/>
  <c r="F480" i="6"/>
  <c r="F481" i="6"/>
  <c r="F482" i="6"/>
  <c r="F483" i="6"/>
  <c r="J483" i="6" s="1"/>
  <c r="F484" i="6"/>
  <c r="J484" i="6" s="1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J497" i="6" s="1"/>
  <c r="F498" i="6"/>
  <c r="F499" i="6"/>
  <c r="F500" i="6"/>
  <c r="J500" i="6" s="1"/>
  <c r="F501" i="6"/>
  <c r="J501" i="6" s="1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J514" i="6" s="1"/>
  <c r="F515" i="6"/>
  <c r="F516" i="6"/>
  <c r="F517" i="6"/>
  <c r="J517" i="6" s="1"/>
  <c r="F518" i="6"/>
  <c r="J518" i="6" s="1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J531" i="6" s="1"/>
  <c r="F532" i="6"/>
  <c r="F533" i="6"/>
  <c r="F534" i="6"/>
  <c r="J534" i="6" s="1"/>
  <c r="F535" i="6"/>
  <c r="J535" i="6" s="1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J548" i="6" s="1"/>
  <c r="F549" i="6"/>
  <c r="F550" i="6"/>
  <c r="F551" i="6"/>
  <c r="J551" i="6" s="1"/>
  <c r="F552" i="6"/>
  <c r="J552" i="6" s="1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J565" i="6" s="1"/>
  <c r="F566" i="6"/>
  <c r="F567" i="6"/>
  <c r="F568" i="6"/>
  <c r="J568" i="6" s="1"/>
  <c r="F569" i="6"/>
  <c r="J569" i="6" s="1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J582" i="6" s="1"/>
  <c r="F583" i="6"/>
  <c r="F584" i="6"/>
  <c r="F585" i="6"/>
  <c r="J585" i="6" s="1"/>
  <c r="F586" i="6"/>
  <c r="J586" i="6" s="1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J599" i="6" s="1"/>
  <c r="F600" i="6"/>
  <c r="F601" i="6"/>
  <c r="G601" i="6" s="1"/>
  <c r="J601" i="6" s="1"/>
  <c r="F602" i="6"/>
  <c r="G602" i="6" s="1"/>
  <c r="J602" i="6" s="1"/>
  <c r="F603" i="6"/>
  <c r="F604" i="6"/>
  <c r="J604" i="6" s="1"/>
  <c r="F605" i="6"/>
  <c r="J605" i="6" s="1"/>
  <c r="F606" i="6"/>
  <c r="F607" i="6"/>
  <c r="F608" i="6"/>
  <c r="F609" i="6"/>
  <c r="F610" i="6"/>
  <c r="G610" i="6" s="1"/>
  <c r="J610" i="6" s="1"/>
  <c r="F611" i="6"/>
  <c r="G611" i="6" s="1"/>
  <c r="J611" i="6" s="1"/>
  <c r="F612" i="6"/>
  <c r="G612" i="6" s="1"/>
  <c r="J612" i="6" s="1"/>
  <c r="F613" i="6"/>
  <c r="G613" i="6" s="1"/>
  <c r="J613" i="6" s="1"/>
  <c r="F614" i="6"/>
  <c r="G614" i="6" s="1"/>
  <c r="J614" i="6" s="1"/>
  <c r="F615" i="6"/>
  <c r="G615" i="6" s="1"/>
  <c r="J615" i="6" s="1"/>
  <c r="F616" i="6"/>
  <c r="G616" i="6" s="1"/>
  <c r="J616" i="6" s="1"/>
  <c r="F617" i="6"/>
  <c r="G617" i="6" s="1"/>
  <c r="J617" i="6" s="1"/>
  <c r="F618" i="6"/>
  <c r="G618" i="6" s="1"/>
  <c r="J618" i="6" s="1"/>
  <c r="F619" i="6"/>
  <c r="G619" i="6" s="1"/>
  <c r="J619" i="6" s="1"/>
  <c r="F620" i="6"/>
  <c r="G620" i="6" s="1"/>
  <c r="J620" i="6" s="1"/>
  <c r="F621" i="6"/>
  <c r="G621" i="6" s="1"/>
  <c r="J621" i="6" s="1"/>
  <c r="F622" i="6"/>
  <c r="G622" i="6" s="1"/>
  <c r="J622" i="6" s="1"/>
  <c r="F623" i="6"/>
  <c r="G623" i="6" s="1"/>
  <c r="J623" i="6" s="1"/>
  <c r="F624" i="6"/>
  <c r="G624" i="6" s="1"/>
  <c r="J624" i="6" s="1"/>
  <c r="F625" i="6"/>
  <c r="G625" i="6" s="1"/>
  <c r="J625" i="6" s="1"/>
  <c r="F626" i="6"/>
  <c r="G626" i="6" s="1"/>
  <c r="J626" i="6" s="1"/>
  <c r="F627" i="6"/>
  <c r="G627" i="6" s="1"/>
  <c r="J627" i="6" s="1"/>
  <c r="F628" i="6"/>
  <c r="G628" i="6" s="1"/>
  <c r="J628" i="6" s="1"/>
  <c r="F629" i="6"/>
  <c r="G629" i="6" s="1"/>
  <c r="J629" i="6" s="1"/>
  <c r="F630" i="6"/>
  <c r="G630" i="6" s="1"/>
  <c r="J630" i="6" s="1"/>
  <c r="F631" i="6"/>
  <c r="G631" i="6" s="1"/>
  <c r="J631" i="6" s="1"/>
  <c r="F632" i="6"/>
  <c r="G632" i="6" s="1"/>
  <c r="J632" i="6" s="1"/>
  <c r="F633" i="6"/>
  <c r="G633" i="6" s="1"/>
  <c r="J633" i="6" s="1"/>
  <c r="F634" i="6"/>
  <c r="G634" i="6" s="1"/>
  <c r="J634" i="6" s="1"/>
  <c r="F635" i="6"/>
  <c r="G635" i="6" s="1"/>
  <c r="J635" i="6" s="1"/>
  <c r="F636" i="6"/>
  <c r="G636" i="6" s="1"/>
  <c r="J636" i="6" s="1"/>
  <c r="F637" i="6"/>
  <c r="G637" i="6" s="1"/>
  <c r="J637" i="6" s="1"/>
  <c r="F638" i="6"/>
  <c r="G638" i="6" s="1"/>
  <c r="J638" i="6" s="1"/>
  <c r="F639" i="6"/>
  <c r="G639" i="6" s="1"/>
  <c r="J639" i="6" s="1"/>
  <c r="F640" i="6"/>
  <c r="G640" i="6" s="1"/>
  <c r="J640" i="6" s="1"/>
  <c r="F641" i="6"/>
  <c r="G641" i="6" s="1"/>
  <c r="J641" i="6" s="1"/>
  <c r="F642" i="6"/>
  <c r="G642" i="6" s="1"/>
  <c r="J642" i="6" s="1"/>
  <c r="F643" i="6"/>
  <c r="G643" i="6" s="1"/>
  <c r="J643" i="6" s="1"/>
  <c r="F644" i="6"/>
  <c r="G644" i="6" s="1"/>
  <c r="J644" i="6" s="1"/>
  <c r="F645" i="6"/>
  <c r="G645" i="6" s="1"/>
  <c r="J645" i="6" s="1"/>
  <c r="F646" i="6"/>
  <c r="G646" i="6" s="1"/>
  <c r="J646" i="6" s="1"/>
  <c r="F647" i="6"/>
  <c r="G647" i="6" s="1"/>
  <c r="J647" i="6" s="1"/>
  <c r="F648" i="6"/>
  <c r="G648" i="6" s="1"/>
  <c r="J648" i="6" s="1"/>
  <c r="F649" i="6"/>
  <c r="G649" i="6" s="1"/>
  <c r="J649" i="6" s="1"/>
  <c r="F650" i="6"/>
  <c r="G650" i="6" s="1"/>
  <c r="J650" i="6" s="1"/>
  <c r="F651" i="6"/>
  <c r="G651" i="6" s="1"/>
  <c r="J651" i="6" s="1"/>
  <c r="F652" i="6"/>
  <c r="G652" i="6" s="1"/>
  <c r="J652" i="6" s="1"/>
  <c r="F653" i="6"/>
  <c r="G653" i="6" s="1"/>
  <c r="J653" i="6" s="1"/>
  <c r="F654" i="6"/>
  <c r="G654" i="6" s="1"/>
  <c r="J654" i="6" s="1"/>
  <c r="F655" i="6"/>
  <c r="G655" i="6" s="1"/>
  <c r="J655" i="6" s="1"/>
  <c r="F656" i="6"/>
  <c r="G656" i="6" s="1"/>
  <c r="J656" i="6" s="1"/>
  <c r="F657" i="6"/>
  <c r="G657" i="6" s="1"/>
  <c r="J657" i="6" s="1"/>
  <c r="F658" i="6"/>
  <c r="G658" i="6" s="1"/>
  <c r="J658" i="6" s="1"/>
  <c r="F659" i="6"/>
  <c r="G659" i="6" s="1"/>
  <c r="J659" i="6" s="1"/>
  <c r="F660" i="6"/>
  <c r="G660" i="6" s="1"/>
  <c r="J660" i="6" s="1"/>
  <c r="F661" i="6"/>
  <c r="G661" i="6" s="1"/>
  <c r="J661" i="6" s="1"/>
  <c r="F662" i="6"/>
  <c r="G662" i="6" s="1"/>
  <c r="J662" i="6" s="1"/>
  <c r="F663" i="6"/>
  <c r="G663" i="6" s="1"/>
  <c r="J663" i="6" s="1"/>
  <c r="F664" i="6"/>
  <c r="G664" i="6" s="1"/>
  <c r="J664" i="6" s="1"/>
  <c r="F665" i="6"/>
  <c r="G665" i="6" s="1"/>
  <c r="J665" i="6" s="1"/>
  <c r="F666" i="6"/>
  <c r="G666" i="6" s="1"/>
  <c r="J666" i="6" s="1"/>
  <c r="F667" i="6"/>
  <c r="G667" i="6" s="1"/>
  <c r="J667" i="6" s="1"/>
  <c r="F668" i="6"/>
  <c r="G668" i="6" s="1"/>
  <c r="J668" i="6" s="1"/>
  <c r="F669" i="6"/>
  <c r="G669" i="6" s="1"/>
  <c r="J669" i="6" s="1"/>
  <c r="F670" i="6"/>
  <c r="G670" i="6" s="1"/>
  <c r="J670" i="6" s="1"/>
  <c r="F671" i="6"/>
  <c r="G671" i="6" s="1"/>
  <c r="J671" i="6" s="1"/>
  <c r="F672" i="6"/>
  <c r="G672" i="6" s="1"/>
  <c r="J672" i="6" s="1"/>
  <c r="F673" i="6"/>
  <c r="G673" i="6" s="1"/>
  <c r="J673" i="6" s="1"/>
  <c r="F674" i="6"/>
  <c r="G674" i="6" s="1"/>
  <c r="J674" i="6" s="1"/>
  <c r="F675" i="6"/>
  <c r="G675" i="6" s="1"/>
  <c r="J675" i="6" s="1"/>
  <c r="F676" i="6"/>
  <c r="G676" i="6" s="1"/>
  <c r="J676" i="6" s="1"/>
  <c r="F677" i="6"/>
  <c r="G677" i="6" s="1"/>
  <c r="J677" i="6" s="1"/>
  <c r="F678" i="6"/>
  <c r="G678" i="6" s="1"/>
  <c r="J678" i="6" s="1"/>
  <c r="F679" i="6"/>
  <c r="G679" i="6" s="1"/>
  <c r="J679" i="6" s="1"/>
  <c r="F680" i="6"/>
  <c r="G680" i="6" s="1"/>
  <c r="J680" i="6" s="1"/>
  <c r="F681" i="6"/>
  <c r="G681" i="6" s="1"/>
  <c r="J681" i="6" s="1"/>
  <c r="F682" i="6"/>
  <c r="G682" i="6" s="1"/>
  <c r="J682" i="6" s="1"/>
  <c r="F683" i="6"/>
  <c r="G683" i="6" s="1"/>
  <c r="J683" i="6" s="1"/>
  <c r="F684" i="6"/>
  <c r="G684" i="6" s="1"/>
  <c r="J684" i="6" s="1"/>
  <c r="F685" i="6"/>
  <c r="G685" i="6" s="1"/>
  <c r="J685" i="6" s="1"/>
  <c r="F686" i="6"/>
  <c r="G686" i="6" s="1"/>
  <c r="J686" i="6" s="1"/>
  <c r="F687" i="6"/>
  <c r="G687" i="6" s="1"/>
  <c r="J687" i="6" s="1"/>
  <c r="F688" i="6"/>
  <c r="G688" i="6" s="1"/>
  <c r="J688" i="6" s="1"/>
  <c r="F689" i="6"/>
  <c r="G689" i="6" s="1"/>
  <c r="J689" i="6" s="1"/>
  <c r="F690" i="6"/>
  <c r="G690" i="6" s="1"/>
  <c r="J690" i="6" s="1"/>
  <c r="F691" i="6"/>
  <c r="G691" i="6" s="1"/>
  <c r="J691" i="6" s="1"/>
  <c r="F692" i="6"/>
  <c r="G692" i="6" s="1"/>
  <c r="J692" i="6" s="1"/>
  <c r="F693" i="6"/>
  <c r="G693" i="6" s="1"/>
  <c r="J693" i="6" s="1"/>
  <c r="F694" i="6"/>
  <c r="G694" i="6" s="1"/>
  <c r="J694" i="6" s="1"/>
  <c r="F695" i="6"/>
  <c r="G695" i="6" s="1"/>
  <c r="J695" i="6" s="1"/>
  <c r="F696" i="6"/>
  <c r="G696" i="6" s="1"/>
  <c r="J696" i="6" s="1"/>
  <c r="F697" i="6"/>
  <c r="G697" i="6" s="1"/>
  <c r="J697" i="6" s="1"/>
  <c r="F698" i="6"/>
  <c r="G698" i="6" s="1"/>
  <c r="J698" i="6" s="1"/>
  <c r="F699" i="6"/>
  <c r="G699" i="6" s="1"/>
  <c r="J699" i="6" s="1"/>
  <c r="F700" i="6"/>
  <c r="G700" i="6" s="1"/>
  <c r="J700" i="6" s="1"/>
  <c r="F701" i="6"/>
  <c r="G701" i="6" s="1"/>
  <c r="J701" i="6" s="1"/>
  <c r="F702" i="6"/>
  <c r="G702" i="6" s="1"/>
  <c r="J702" i="6" s="1"/>
  <c r="F703" i="6"/>
  <c r="G703" i="6" s="1"/>
  <c r="J703" i="6" s="1"/>
  <c r="F704" i="6"/>
  <c r="G704" i="6" s="1"/>
  <c r="J704" i="6" s="1"/>
  <c r="F705" i="6"/>
  <c r="G705" i="6" s="1"/>
  <c r="J705" i="6" s="1"/>
  <c r="F706" i="6"/>
  <c r="G706" i="6" s="1"/>
  <c r="J706" i="6" s="1"/>
  <c r="F707" i="6"/>
  <c r="G707" i="6" s="1"/>
  <c r="J707" i="6" s="1"/>
  <c r="F708" i="6"/>
  <c r="G708" i="6" s="1"/>
  <c r="J708" i="6" s="1"/>
  <c r="F709" i="6"/>
  <c r="G709" i="6" s="1"/>
  <c r="J709" i="6" s="1"/>
  <c r="F710" i="6"/>
  <c r="G710" i="6" s="1"/>
  <c r="J710" i="6" s="1"/>
  <c r="F711" i="6"/>
  <c r="G711" i="6" s="1"/>
  <c r="J711" i="6" s="1"/>
  <c r="F712" i="6"/>
  <c r="G712" i="6" s="1"/>
  <c r="J712" i="6" s="1"/>
  <c r="F713" i="6"/>
  <c r="G713" i="6" s="1"/>
  <c r="J713" i="6" s="1"/>
  <c r="F714" i="6"/>
  <c r="G714" i="6" s="1"/>
  <c r="F715" i="6"/>
  <c r="G715" i="6" s="1"/>
  <c r="J715" i="6" s="1"/>
  <c r="F716" i="6"/>
  <c r="G716" i="6" s="1"/>
  <c r="J716" i="6" s="1"/>
  <c r="F717" i="6"/>
  <c r="G717" i="6" s="1"/>
  <c r="J717" i="6" s="1"/>
  <c r="F718" i="6"/>
  <c r="G718" i="6" s="1"/>
  <c r="J718" i="6" s="1"/>
  <c r="F719" i="6"/>
  <c r="G719" i="6" s="1"/>
  <c r="J719" i="6" s="1"/>
  <c r="F720" i="6"/>
  <c r="G720" i="6" s="1"/>
  <c r="J720" i="6" s="1"/>
  <c r="F721" i="6"/>
  <c r="G721" i="6" s="1"/>
  <c r="J721" i="6" s="1"/>
  <c r="F722" i="6"/>
  <c r="G722" i="6" s="1"/>
  <c r="J722" i="6" s="1"/>
  <c r="F723" i="6"/>
  <c r="G723" i="6" s="1"/>
  <c r="J723" i="6" s="1"/>
  <c r="F724" i="6"/>
  <c r="G724" i="6" s="1"/>
  <c r="J724" i="6" s="1"/>
  <c r="F725" i="6"/>
  <c r="G725" i="6" s="1"/>
  <c r="J725" i="6" s="1"/>
  <c r="F726" i="6"/>
  <c r="G726" i="6" s="1"/>
  <c r="J726" i="6" s="1"/>
  <c r="F727" i="6"/>
  <c r="G727" i="6" s="1"/>
  <c r="J727" i="6" s="1"/>
  <c r="F728" i="6"/>
  <c r="G728" i="6" s="1"/>
  <c r="J728" i="6" s="1"/>
  <c r="F729" i="6"/>
  <c r="G729" i="6" s="1"/>
  <c r="J729" i="6" s="1"/>
  <c r="F730" i="6"/>
  <c r="G730" i="6" s="1"/>
  <c r="J730" i="6" s="1"/>
  <c r="F731" i="6"/>
  <c r="G731" i="6" s="1"/>
  <c r="J731" i="6" s="1"/>
  <c r="F732" i="6"/>
  <c r="G732" i="6" s="1"/>
  <c r="J732" i="6" s="1"/>
  <c r="F733" i="6"/>
  <c r="G733" i="6" s="1"/>
  <c r="J733" i="6" s="1"/>
  <c r="F734" i="6"/>
  <c r="F735" i="6"/>
  <c r="F736" i="6"/>
  <c r="F737" i="6"/>
  <c r="F738" i="6"/>
  <c r="F739" i="6"/>
  <c r="F740" i="6"/>
  <c r="F741" i="6"/>
  <c r="J741" i="6" s="1"/>
  <c r="F742" i="6"/>
  <c r="F743" i="6"/>
  <c r="F744" i="6"/>
  <c r="J744" i="6" s="1"/>
  <c r="F745" i="6"/>
  <c r="J745" i="6" s="1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J758" i="6" s="1"/>
  <c r="F759" i="6"/>
  <c r="F760" i="6"/>
  <c r="F761" i="6"/>
  <c r="J761" i="6" s="1"/>
  <c r="F762" i="6"/>
  <c r="J762" i="6" s="1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J775" i="6" s="1"/>
  <c r="F776" i="6"/>
  <c r="F777" i="6"/>
  <c r="F778" i="6"/>
  <c r="J778" i="6" s="1"/>
  <c r="F779" i="6"/>
  <c r="J779" i="6" s="1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J792" i="6" s="1"/>
  <c r="F793" i="6"/>
  <c r="F794" i="6"/>
  <c r="F795" i="6"/>
  <c r="J795" i="6" s="1"/>
  <c r="F796" i="6"/>
  <c r="J796" i="6" s="1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J809" i="6" s="1"/>
  <c r="F810" i="6"/>
  <c r="F811" i="6"/>
  <c r="F812" i="6"/>
  <c r="J812" i="6" s="1"/>
  <c r="F813" i="6"/>
  <c r="F814" i="6"/>
  <c r="J814" i="6" s="1"/>
  <c r="F815" i="6"/>
  <c r="F816" i="6"/>
  <c r="F817" i="6"/>
  <c r="F818" i="6"/>
  <c r="F819" i="6"/>
  <c r="F820" i="6"/>
  <c r="F821" i="6"/>
  <c r="F822" i="6"/>
  <c r="F823" i="6"/>
  <c r="F824" i="6"/>
  <c r="F825" i="6"/>
  <c r="F826" i="6"/>
  <c r="J826" i="6" s="1"/>
  <c r="F827" i="6"/>
  <c r="F828" i="6"/>
  <c r="F829" i="6"/>
  <c r="F830" i="6"/>
  <c r="J830" i="6" s="1"/>
  <c r="F831" i="6"/>
  <c r="J831" i="6" s="1"/>
  <c r="F832" i="6"/>
  <c r="F833" i="6"/>
  <c r="F834" i="6"/>
  <c r="F835" i="6"/>
  <c r="F836" i="6"/>
  <c r="F837" i="6"/>
  <c r="F838" i="6"/>
  <c r="F839" i="6"/>
  <c r="F840" i="6"/>
  <c r="F841" i="6"/>
  <c r="F842" i="6"/>
  <c r="F843" i="6"/>
  <c r="J843" i="6" s="1"/>
  <c r="F844" i="6"/>
  <c r="F845" i="6"/>
  <c r="F846" i="6"/>
  <c r="F847" i="6"/>
  <c r="J847" i="6" s="1"/>
  <c r="F848" i="6"/>
  <c r="J848" i="6" s="1"/>
  <c r="F849" i="6"/>
  <c r="F850" i="6"/>
  <c r="F851" i="6"/>
  <c r="F852" i="6"/>
  <c r="F853" i="6"/>
  <c r="F854" i="6"/>
  <c r="F855" i="6"/>
  <c r="F856" i="6"/>
  <c r="F857" i="6"/>
  <c r="F858" i="6"/>
  <c r="F859" i="6"/>
  <c r="F860" i="6"/>
  <c r="J860" i="6" s="1"/>
  <c r="F861" i="6"/>
  <c r="F862" i="6"/>
  <c r="F863" i="6"/>
  <c r="F864" i="6"/>
  <c r="J864" i="6" s="1"/>
  <c r="F865" i="6"/>
  <c r="J865" i="6" s="1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J878" i="6" s="1"/>
  <c r="F879" i="6"/>
  <c r="F880" i="6"/>
  <c r="G880" i="6" s="1"/>
  <c r="J880" i="6" s="1"/>
  <c r="F881" i="6"/>
  <c r="G881" i="6" s="1"/>
  <c r="J881" i="6" s="1"/>
  <c r="F882" i="6"/>
  <c r="G882" i="6" s="1"/>
  <c r="J882" i="6" s="1"/>
  <c r="F883" i="6"/>
  <c r="G883" i="6" s="1"/>
  <c r="J883" i="6" s="1"/>
  <c r="F884" i="6"/>
  <c r="G884" i="6" s="1"/>
  <c r="J884" i="6" s="1"/>
  <c r="F885" i="6"/>
  <c r="G885" i="6" s="1"/>
  <c r="J885" i="6" s="1"/>
  <c r="F886" i="6"/>
  <c r="G886" i="6" s="1"/>
  <c r="J886" i="6" s="1"/>
  <c r="F887" i="6"/>
  <c r="G887" i="6" s="1"/>
  <c r="J887" i="6" s="1"/>
  <c r="F888" i="6"/>
  <c r="G888" i="6" s="1"/>
  <c r="J888" i="6" s="1"/>
  <c r="F889" i="6"/>
  <c r="G889" i="6" s="1"/>
  <c r="J889" i="6" s="1"/>
  <c r="F890" i="6"/>
  <c r="G890" i="6" s="1"/>
  <c r="J890" i="6" s="1"/>
  <c r="F891" i="6"/>
  <c r="G891" i="6" s="1"/>
  <c r="J891" i="6" s="1"/>
  <c r="F892" i="6"/>
  <c r="G892" i="6" s="1"/>
  <c r="J892" i="6" s="1"/>
  <c r="F893" i="6"/>
  <c r="G893" i="6" s="1"/>
  <c r="J893" i="6" s="1"/>
  <c r="F894" i="6"/>
  <c r="G894" i="6" s="1"/>
  <c r="J894" i="6" s="1"/>
  <c r="F895" i="6"/>
  <c r="G895" i="6" s="1"/>
  <c r="J895" i="6" s="1"/>
  <c r="F896" i="6"/>
  <c r="G896" i="6" s="1"/>
  <c r="J896" i="6" s="1"/>
  <c r="F897" i="6"/>
  <c r="G897" i="6" s="1"/>
  <c r="J897" i="6" s="1"/>
  <c r="F898" i="6"/>
  <c r="G898" i="6" s="1"/>
  <c r="J898" i="6" s="1"/>
  <c r="F899" i="6"/>
  <c r="G899" i="6" s="1"/>
  <c r="J899" i="6" s="1"/>
  <c r="F900" i="6"/>
  <c r="G900" i="6" s="1"/>
  <c r="J900" i="6" s="1"/>
  <c r="F901" i="6"/>
  <c r="G901" i="6" s="1"/>
  <c r="J901" i="6" s="1"/>
  <c r="F902" i="6"/>
  <c r="G902" i="6" s="1"/>
  <c r="J902" i="6" s="1"/>
  <c r="F903" i="6"/>
  <c r="G903" i="6" s="1"/>
  <c r="J903" i="6" s="1"/>
  <c r="F904" i="6"/>
  <c r="G904" i="6" s="1"/>
  <c r="J904" i="6" s="1"/>
  <c r="F905" i="6"/>
  <c r="G905" i="6" s="1"/>
  <c r="J905" i="6" s="1"/>
  <c r="F906" i="6"/>
  <c r="G906" i="6" s="1"/>
  <c r="J906" i="6" s="1"/>
  <c r="F907" i="6"/>
  <c r="G907" i="6" s="1"/>
  <c r="J907" i="6" s="1"/>
  <c r="F908" i="6"/>
  <c r="G908" i="6" s="1"/>
  <c r="J908" i="6" s="1"/>
  <c r="F909" i="6"/>
  <c r="G909" i="6" s="1"/>
  <c r="J909" i="6" s="1"/>
  <c r="F910" i="6"/>
  <c r="G910" i="6" s="1"/>
  <c r="J910" i="6" s="1"/>
  <c r="F911" i="6"/>
  <c r="G911" i="6" s="1"/>
  <c r="J911" i="6" s="1"/>
  <c r="F912" i="6"/>
  <c r="G912" i="6" s="1"/>
  <c r="J912" i="6" s="1"/>
  <c r="F913" i="6"/>
  <c r="G913" i="6" s="1"/>
  <c r="J913" i="6" s="1"/>
  <c r="F914" i="6"/>
  <c r="G914" i="6" s="1"/>
  <c r="J914" i="6" s="1"/>
  <c r="F915" i="6"/>
  <c r="G915" i="6" s="1"/>
  <c r="J915" i="6" s="1"/>
  <c r="F916" i="6"/>
  <c r="G916" i="6" s="1"/>
  <c r="J916" i="6" s="1"/>
  <c r="F917" i="6"/>
  <c r="G917" i="6" s="1"/>
  <c r="J917" i="6" s="1"/>
  <c r="F918" i="6"/>
  <c r="G918" i="6" s="1"/>
  <c r="J918" i="6" s="1"/>
  <c r="F919" i="6"/>
  <c r="G919" i="6" s="1"/>
  <c r="J919" i="6" s="1"/>
  <c r="F920" i="6"/>
  <c r="G920" i="6" s="1"/>
  <c r="J920" i="6" s="1"/>
  <c r="F921" i="6"/>
  <c r="G921" i="6" s="1"/>
  <c r="J921" i="6" s="1"/>
  <c r="F922" i="6"/>
  <c r="G922" i="6" s="1"/>
  <c r="J922" i="6" s="1"/>
  <c r="F923" i="6"/>
  <c r="G923" i="6" s="1"/>
  <c r="J923" i="6" s="1"/>
  <c r="F924" i="6"/>
  <c r="G924" i="6" s="1"/>
  <c r="J924" i="6" s="1"/>
  <c r="F925" i="6"/>
  <c r="G925" i="6" s="1"/>
  <c r="J925" i="6" s="1"/>
  <c r="F926" i="6"/>
  <c r="G926" i="6" s="1"/>
  <c r="J926" i="6" s="1"/>
  <c r="F927" i="6"/>
  <c r="G927" i="6" s="1"/>
  <c r="J927" i="6" s="1"/>
  <c r="F928" i="6"/>
  <c r="F929" i="6"/>
  <c r="J929" i="6" s="1"/>
  <c r="F930" i="6"/>
  <c r="J930" i="6" s="1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J943" i="6" s="1"/>
  <c r="F944" i="6"/>
  <c r="F945" i="6"/>
  <c r="F946" i="6"/>
  <c r="J946" i="6" s="1"/>
  <c r="F947" i="6"/>
  <c r="J947" i="6" s="1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J960" i="6" s="1"/>
  <c r="F961" i="6"/>
  <c r="F962" i="6"/>
  <c r="F963" i="6"/>
  <c r="J963" i="6" s="1"/>
  <c r="F964" i="6"/>
  <c r="J964" i="6" s="1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J977" i="6" s="1"/>
  <c r="F978" i="6"/>
  <c r="F979" i="6"/>
  <c r="F980" i="6"/>
  <c r="J980" i="6" s="1"/>
  <c r="F981" i="6"/>
  <c r="J981" i="6" s="1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J994" i="6" s="1"/>
  <c r="F995" i="6"/>
  <c r="F996" i="6"/>
  <c r="F997" i="6"/>
  <c r="J997" i="6" s="1"/>
  <c r="F998" i="6"/>
  <c r="J998" i="6" s="1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J1011" i="6" s="1"/>
  <c r="F1012" i="6"/>
  <c r="F1013" i="6"/>
  <c r="F1014" i="6"/>
  <c r="J1014" i="6" s="1"/>
  <c r="F1015" i="6"/>
  <c r="J1015" i="6" s="1"/>
  <c r="F1016" i="6"/>
  <c r="F1017" i="6"/>
  <c r="F1018" i="6"/>
  <c r="F1019" i="6"/>
  <c r="F1020" i="6"/>
  <c r="F1021" i="6"/>
  <c r="F1022" i="6"/>
  <c r="G1022" i="6" s="1"/>
  <c r="J1022" i="6" s="1"/>
  <c r="F1023" i="6"/>
  <c r="G1023" i="6" s="1"/>
  <c r="J1023" i="6" s="1"/>
  <c r="F1024" i="6"/>
  <c r="G1024" i="6" s="1"/>
  <c r="J1024" i="6" s="1"/>
  <c r="F1025" i="6"/>
  <c r="G1025" i="6" s="1"/>
  <c r="J1025" i="6" s="1"/>
  <c r="F1026" i="6"/>
  <c r="G1026" i="6" s="1"/>
  <c r="J1026" i="6" s="1"/>
  <c r="F1027" i="6"/>
  <c r="G1027" i="6" s="1"/>
  <c r="J1027" i="6" s="1"/>
  <c r="F1028" i="6"/>
  <c r="G1028" i="6" s="1"/>
  <c r="J1028" i="6" s="1"/>
  <c r="F1029" i="6"/>
  <c r="G1029" i="6" s="1"/>
  <c r="J1029" i="6" s="1"/>
  <c r="F1030" i="6"/>
  <c r="G1030" i="6" s="1"/>
  <c r="J1030" i="6" s="1"/>
  <c r="F1031" i="6"/>
  <c r="G1031" i="6" s="1"/>
  <c r="J1031" i="6" s="1"/>
  <c r="F1032" i="6"/>
  <c r="G1032" i="6" s="1"/>
  <c r="J1032" i="6" s="1"/>
  <c r="F1033" i="6"/>
  <c r="G1033" i="6" s="1"/>
  <c r="J1033" i="6" s="1"/>
  <c r="F1034" i="6"/>
  <c r="G1034" i="6" s="1"/>
  <c r="J1034" i="6" s="1"/>
  <c r="F1035" i="6"/>
  <c r="G1035" i="6" s="1"/>
  <c r="J1035" i="6" s="1"/>
  <c r="F1036" i="6"/>
  <c r="G1036" i="6" s="1"/>
  <c r="J1036" i="6" s="1"/>
  <c r="F1037" i="6"/>
  <c r="G1037" i="6" s="1"/>
  <c r="J1037" i="6" s="1"/>
  <c r="F1038" i="6"/>
  <c r="G1038" i="6" s="1"/>
  <c r="J1038" i="6" s="1"/>
  <c r="F1039" i="6"/>
  <c r="G1039" i="6" s="1"/>
  <c r="J1039" i="6" s="1"/>
  <c r="F1040" i="6"/>
  <c r="G1040" i="6" s="1"/>
  <c r="J1040" i="6" s="1"/>
  <c r="F1041" i="6"/>
  <c r="G1041" i="6" s="1"/>
  <c r="J1041" i="6" s="1"/>
  <c r="F1042" i="6"/>
  <c r="G1042" i="6" s="1"/>
  <c r="J1042" i="6" s="1"/>
  <c r="F1043" i="6"/>
  <c r="G1043" i="6" s="1"/>
  <c r="J1043" i="6" s="1"/>
  <c r="F1044" i="6"/>
  <c r="G1044" i="6" s="1"/>
  <c r="J1044" i="6" s="1"/>
  <c r="F1045" i="6"/>
  <c r="G1045" i="6" s="1"/>
  <c r="J1045" i="6" s="1"/>
  <c r="F1046" i="6"/>
  <c r="G1046" i="6" s="1"/>
  <c r="J1046" i="6" s="1"/>
  <c r="F1047" i="6"/>
  <c r="G1047" i="6" s="1"/>
  <c r="J1047" i="6" s="1"/>
  <c r="F1048" i="6"/>
  <c r="G1048" i="6" s="1"/>
  <c r="J1048" i="6" s="1"/>
  <c r="F1049" i="6"/>
  <c r="G1049" i="6" s="1"/>
  <c r="J1049" i="6" s="1"/>
  <c r="F1050" i="6"/>
  <c r="G1050" i="6" s="1"/>
  <c r="J1050" i="6" s="1"/>
  <c r="F1051" i="6"/>
  <c r="G1051" i="6" s="1"/>
  <c r="J1051" i="6" s="1"/>
  <c r="F1052" i="6"/>
  <c r="G1052" i="6" s="1"/>
  <c r="J1052" i="6" s="1"/>
  <c r="F1053" i="6"/>
  <c r="G1053" i="6" s="1"/>
  <c r="J1053" i="6" s="1"/>
  <c r="F1054" i="6"/>
  <c r="G1054" i="6" s="1"/>
  <c r="J1054" i="6" s="1"/>
  <c r="F1055" i="6"/>
  <c r="G1055" i="6" s="1"/>
  <c r="J1055" i="6" s="1"/>
  <c r="F1056" i="6"/>
  <c r="G1056" i="6" s="1"/>
  <c r="J1056" i="6" s="1"/>
  <c r="F1057" i="6"/>
  <c r="F1058" i="6"/>
  <c r="F1059" i="6"/>
  <c r="F1060" i="6"/>
  <c r="F1061" i="6"/>
  <c r="F1062" i="6"/>
  <c r="F1063" i="6"/>
  <c r="J1063" i="6" s="1"/>
  <c r="F1064" i="6"/>
  <c r="F1065" i="6"/>
  <c r="F1066" i="6"/>
  <c r="J1066" i="6" s="1"/>
  <c r="F1067" i="6"/>
  <c r="J1067" i="6" s="1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J1080" i="6" s="1"/>
  <c r="F1081" i="6"/>
  <c r="F1082" i="6"/>
  <c r="F1083" i="6"/>
  <c r="J1083" i="6" s="1"/>
  <c r="F1084" i="6"/>
  <c r="J1084" i="6" s="1"/>
  <c r="F1085" i="6"/>
  <c r="F1086" i="6"/>
  <c r="F1087" i="6"/>
  <c r="F1088" i="6"/>
  <c r="F1089" i="6"/>
  <c r="F1090" i="6"/>
  <c r="F1091" i="6"/>
  <c r="F1092" i="6"/>
  <c r="G1092" i="6" s="1"/>
  <c r="J1092" i="6" s="1"/>
  <c r="F1093" i="6"/>
  <c r="G1093" i="6" s="1"/>
  <c r="J1093" i="6" s="1"/>
  <c r="F1094" i="6"/>
  <c r="G1094" i="6" s="1"/>
  <c r="J1094" i="6" s="1"/>
  <c r="F1095" i="6"/>
  <c r="G1095" i="6" s="1"/>
  <c r="J1095" i="6" s="1"/>
  <c r="F1096" i="6"/>
  <c r="G1096" i="6" s="1"/>
  <c r="J1096" i="6" s="1"/>
  <c r="F1097" i="6"/>
  <c r="G1097" i="6" s="1"/>
  <c r="J1097" i="6" s="1"/>
  <c r="F1098" i="6"/>
  <c r="G1098" i="6" s="1"/>
  <c r="J1098" i="6" s="1"/>
  <c r="F1099" i="6"/>
  <c r="G1099" i="6" s="1"/>
  <c r="J1099" i="6" s="1"/>
  <c r="F1100" i="6"/>
  <c r="G1100" i="6" s="1"/>
  <c r="J1100" i="6" s="1"/>
  <c r="F1101" i="6"/>
  <c r="G1101" i="6" s="1"/>
  <c r="J1101" i="6" s="1"/>
  <c r="F1102" i="6"/>
  <c r="G1102" i="6" s="1"/>
  <c r="J1102" i="6" s="1"/>
  <c r="F1103" i="6"/>
  <c r="G1103" i="6" s="1"/>
  <c r="J1103" i="6" s="1"/>
  <c r="F1104" i="6"/>
  <c r="G1104" i="6" s="1"/>
  <c r="J1104" i="6" s="1"/>
  <c r="F1105" i="6"/>
  <c r="G1105" i="6" s="1"/>
  <c r="J1105" i="6" s="1"/>
  <c r="F1106" i="6"/>
  <c r="G1106" i="6" s="1"/>
  <c r="J1106" i="6" s="1"/>
  <c r="F1107" i="6"/>
  <c r="G1107" i="6" s="1"/>
  <c r="J1107" i="6" s="1"/>
  <c r="F1108" i="6"/>
  <c r="G1108" i="6" s="1"/>
  <c r="J1108" i="6" s="1"/>
  <c r="F1109" i="6"/>
  <c r="G1109" i="6" s="1"/>
  <c r="J1109" i="6" s="1"/>
  <c r="F1110" i="6"/>
  <c r="G1110" i="6" s="1"/>
  <c r="J1110" i="6" s="1"/>
  <c r="F1111" i="6"/>
  <c r="G1111" i="6" s="1"/>
  <c r="J1111" i="6" s="1"/>
  <c r="F1112" i="6"/>
  <c r="G1112" i="6" s="1"/>
  <c r="J1112" i="6" s="1"/>
  <c r="F1113" i="6"/>
  <c r="G1113" i="6" s="1"/>
  <c r="J1113" i="6" s="1"/>
  <c r="F1114" i="6"/>
  <c r="G1114" i="6" s="1"/>
  <c r="J1114" i="6" s="1"/>
  <c r="F1115" i="6"/>
  <c r="G1115" i="6" s="1"/>
  <c r="F1116" i="6"/>
  <c r="G1116" i="6" s="1"/>
  <c r="F1117" i="6"/>
  <c r="G1117" i="6" s="1"/>
  <c r="F1118" i="6"/>
  <c r="G1118" i="6" s="1"/>
  <c r="F1119" i="6"/>
  <c r="G1119" i="6" s="1"/>
  <c r="F1120" i="6"/>
  <c r="G1120" i="6" s="1"/>
  <c r="J1120" i="6" s="1"/>
  <c r="F1121" i="6"/>
  <c r="G1121" i="6" s="1"/>
  <c r="J1121" i="6" s="1"/>
  <c r="F1122" i="6"/>
  <c r="G1122" i="6" s="1"/>
  <c r="J1122" i="6" s="1"/>
  <c r="F1123" i="6"/>
  <c r="G1123" i="6" s="1"/>
  <c r="J1123" i="6" s="1"/>
  <c r="F1124" i="6"/>
  <c r="G1124" i="6" s="1"/>
  <c r="J1124" i="6" s="1"/>
  <c r="F1125" i="6"/>
  <c r="G1125" i="6" s="1"/>
  <c r="J1125" i="6" s="1"/>
  <c r="F1126" i="6"/>
  <c r="G1126" i="6" s="1"/>
  <c r="J1126" i="6" s="1"/>
  <c r="F1127" i="6"/>
  <c r="G1127" i="6" s="1"/>
  <c r="J1127" i="6" s="1"/>
  <c r="F1128" i="6"/>
  <c r="G1128" i="6" s="1"/>
  <c r="J1128" i="6" s="1"/>
  <c r="F1129" i="6"/>
  <c r="G1129" i="6" s="1"/>
  <c r="J1129" i="6" s="1"/>
  <c r="F1130" i="6"/>
  <c r="G1130" i="6" s="1"/>
  <c r="J1130" i="6" s="1"/>
  <c r="F1131" i="6"/>
  <c r="G1131" i="6" s="1"/>
  <c r="J1131" i="6" s="1"/>
  <c r="F1132" i="6"/>
  <c r="G1132" i="6" s="1"/>
  <c r="J1132" i="6" s="1"/>
  <c r="F1133" i="6"/>
  <c r="G1133" i="6" s="1"/>
  <c r="J1133" i="6" s="1"/>
  <c r="F1134" i="6"/>
  <c r="G1134" i="6" s="1"/>
  <c r="J1134" i="6" s="1"/>
  <c r="F1135" i="6"/>
  <c r="G1135" i="6" s="1"/>
  <c r="J1135" i="6" s="1"/>
  <c r="F1136" i="6"/>
  <c r="G1136" i="6" s="1"/>
  <c r="J1136" i="6" s="1"/>
  <c r="F1137" i="6"/>
  <c r="G1137" i="6" s="1"/>
  <c r="J1137" i="6" s="1"/>
  <c r="F1138" i="6"/>
  <c r="G1138" i="6" s="1"/>
  <c r="J1138" i="6" s="1"/>
  <c r="F1139" i="6"/>
  <c r="G1139" i="6" s="1"/>
  <c r="J1139" i="6" s="1"/>
  <c r="F1140" i="6"/>
  <c r="G1140" i="6" s="1"/>
  <c r="J1140" i="6" s="1"/>
  <c r="F1141" i="6"/>
  <c r="G1141" i="6" s="1"/>
  <c r="J1141" i="6" s="1"/>
  <c r="F1142" i="6"/>
  <c r="G1142" i="6" s="1"/>
  <c r="F1143" i="6"/>
  <c r="G1143" i="6" s="1"/>
  <c r="J1143" i="6" s="1"/>
  <c r="F1144" i="6"/>
  <c r="G1144" i="6" s="1"/>
  <c r="J1144" i="6" s="1"/>
  <c r="F1145" i="6"/>
  <c r="G1145" i="6" s="1"/>
  <c r="J1145" i="6" s="1"/>
  <c r="F1146" i="6"/>
  <c r="G1146" i="6" s="1"/>
  <c r="J1146" i="6" s="1"/>
  <c r="F1147" i="6"/>
  <c r="G1147" i="6" s="1"/>
  <c r="J1147" i="6" s="1"/>
  <c r="F1148" i="6"/>
  <c r="G1148" i="6" s="1"/>
  <c r="J1148" i="6" s="1"/>
  <c r="F1149" i="6"/>
  <c r="G1149" i="6" s="1"/>
  <c r="J1149" i="6" s="1"/>
  <c r="F1150" i="6"/>
  <c r="G1150" i="6" s="1"/>
  <c r="J1150" i="6" s="1"/>
  <c r="F1151" i="6"/>
  <c r="G1151" i="6" s="1"/>
  <c r="J1151" i="6" s="1"/>
  <c r="F1152" i="6"/>
  <c r="G1152" i="6" s="1"/>
  <c r="J1152" i="6" s="1"/>
  <c r="F1153" i="6"/>
  <c r="F1154" i="6"/>
  <c r="G1154" i="6" s="1"/>
  <c r="J1154" i="6" s="1"/>
  <c r="F1155" i="6"/>
  <c r="G1155" i="6" s="1"/>
  <c r="J1155" i="6" s="1"/>
  <c r="F1156" i="6"/>
  <c r="G1156" i="6" s="1"/>
  <c r="J1156" i="6" s="1"/>
  <c r="F1157" i="6"/>
  <c r="G1157" i="6" s="1"/>
  <c r="J1157" i="6" s="1"/>
  <c r="F1158" i="6"/>
  <c r="G1158" i="6" s="1"/>
  <c r="J1158" i="6" s="1"/>
  <c r="F1159" i="6"/>
  <c r="G1159" i="6" s="1"/>
  <c r="J1159" i="6" s="1"/>
  <c r="F1160" i="6"/>
  <c r="G1160" i="6" s="1"/>
  <c r="J1160" i="6" s="1"/>
  <c r="F1161" i="6"/>
  <c r="G1161" i="6" s="1"/>
  <c r="F1162" i="6"/>
  <c r="G1162" i="6" s="1"/>
  <c r="F1163" i="6"/>
  <c r="G1163" i="6" s="1"/>
  <c r="F1164" i="6"/>
  <c r="G1164" i="6" s="1"/>
  <c r="J1164" i="6" s="1"/>
  <c r="F1165" i="6"/>
  <c r="G1165" i="6" s="1"/>
  <c r="J1165" i="6" s="1"/>
  <c r="F1166" i="6"/>
  <c r="G1166" i="6" s="1"/>
  <c r="J1166" i="6" s="1"/>
  <c r="F1167" i="6"/>
  <c r="G1167" i="6" s="1"/>
  <c r="J1167" i="6" s="1"/>
  <c r="F1168" i="6"/>
  <c r="G1168" i="6" s="1"/>
  <c r="J1168" i="6" s="1"/>
  <c r="F1169" i="6"/>
  <c r="G1169" i="6" s="1"/>
  <c r="J1169" i="6" s="1"/>
  <c r="F1170" i="6"/>
  <c r="G1170" i="6" s="1"/>
  <c r="J1170" i="6" s="1"/>
  <c r="F1171" i="6"/>
  <c r="G1171" i="6" s="1"/>
  <c r="J1171" i="6" s="1"/>
  <c r="F1172" i="6"/>
  <c r="G1172" i="6" s="1"/>
  <c r="J1172" i="6" s="1"/>
  <c r="F1173" i="6"/>
  <c r="G1173" i="6" s="1"/>
  <c r="J1173" i="6" s="1"/>
  <c r="F1174" i="6"/>
  <c r="G1174" i="6" s="1"/>
  <c r="J1174" i="6" s="1"/>
  <c r="F1175" i="6"/>
  <c r="G1175" i="6" s="1"/>
  <c r="J1175" i="6" s="1"/>
  <c r="F1176" i="6"/>
  <c r="G1176" i="6" s="1"/>
  <c r="J1176" i="6" s="1"/>
  <c r="F1177" i="6"/>
  <c r="G1177" i="6" s="1"/>
  <c r="J1177" i="6" s="1"/>
  <c r="F1178" i="6"/>
  <c r="G1178" i="6" s="1"/>
  <c r="J1178" i="6" s="1"/>
  <c r="F1179" i="6"/>
  <c r="G1179" i="6" s="1"/>
  <c r="J1179" i="6" s="1"/>
  <c r="F1180" i="6"/>
  <c r="G1180" i="6" s="1"/>
  <c r="F1181" i="6"/>
  <c r="G1181" i="6" s="1"/>
  <c r="J1181" i="6" s="1"/>
  <c r="F1182" i="6"/>
  <c r="G1182" i="6" s="1"/>
  <c r="J1182" i="6" s="1"/>
  <c r="F1183" i="6"/>
  <c r="G1183" i="6" s="1"/>
  <c r="J1183" i="6" s="1"/>
  <c r="F1184" i="6"/>
  <c r="G1184" i="6" s="1"/>
  <c r="F1185" i="6"/>
  <c r="G1185" i="6" s="1"/>
  <c r="J1185" i="6" s="1"/>
  <c r="F1186" i="6"/>
  <c r="G1186" i="6" s="1"/>
  <c r="J1186" i="6" s="1"/>
  <c r="F1187" i="6"/>
  <c r="G1187" i="6" s="1"/>
  <c r="J1187" i="6" s="1"/>
  <c r="F1188" i="6"/>
  <c r="G1188" i="6" s="1"/>
  <c r="J1188" i="6" s="1"/>
  <c r="F1189" i="6"/>
  <c r="G1189" i="6" s="1"/>
  <c r="J1189" i="6" s="1"/>
  <c r="F1190" i="6"/>
  <c r="G1190" i="6" s="1"/>
  <c r="J1190" i="6" s="1"/>
  <c r="F1191" i="6"/>
  <c r="G1191" i="6" s="1"/>
  <c r="J1191" i="6" s="1"/>
  <c r="F1192" i="6"/>
  <c r="G1192" i="6" s="1"/>
  <c r="J1192" i="6" s="1"/>
  <c r="F1193" i="6"/>
  <c r="G1193" i="6" s="1"/>
  <c r="J1193" i="6" s="1"/>
  <c r="F1194" i="6"/>
  <c r="G1194" i="6" s="1"/>
  <c r="J1194" i="6" s="1"/>
  <c r="F1195" i="6"/>
  <c r="G1195" i="6" s="1"/>
  <c r="J1195" i="6" s="1"/>
  <c r="F1196" i="6"/>
  <c r="G1196" i="6" s="1"/>
  <c r="J1196" i="6" s="1"/>
  <c r="F1197" i="6"/>
  <c r="G1197" i="6" s="1"/>
  <c r="J1197" i="6" s="1"/>
  <c r="F1198" i="6"/>
  <c r="G1198" i="6" s="1"/>
  <c r="J1198" i="6" s="1"/>
  <c r="F1199" i="6"/>
  <c r="G1199" i="6" s="1"/>
  <c r="J1199" i="6" s="1"/>
  <c r="F1200" i="6"/>
  <c r="G1200" i="6" s="1"/>
  <c r="J1200" i="6" s="1"/>
  <c r="F1201" i="6"/>
  <c r="G1201" i="6" s="1"/>
  <c r="J1201" i="6" s="1"/>
  <c r="F1202" i="6"/>
  <c r="G1202" i="6" s="1"/>
  <c r="J1202" i="6" s="1"/>
  <c r="F1203" i="6"/>
  <c r="G1203" i="6" s="1"/>
  <c r="J1203" i="6" s="1"/>
  <c r="F1204" i="6"/>
  <c r="G1204" i="6" s="1"/>
  <c r="J1204" i="6" s="1"/>
  <c r="F1205" i="6"/>
  <c r="G1205" i="6" s="1"/>
  <c r="J1205" i="6" s="1"/>
  <c r="F1206" i="6"/>
  <c r="G1206" i="6" s="1"/>
  <c r="J1206" i="6" s="1"/>
  <c r="F1207" i="6"/>
  <c r="G1207" i="6" s="1"/>
  <c r="J1207" i="6" s="1"/>
  <c r="F1208" i="6"/>
  <c r="G1208" i="6" s="1"/>
  <c r="J1208" i="6" s="1"/>
  <c r="F1209" i="6"/>
  <c r="G1209" i="6" s="1"/>
  <c r="J1209" i="6" s="1"/>
  <c r="F1210" i="6"/>
  <c r="G1210" i="6" s="1"/>
  <c r="J1210" i="6" s="1"/>
  <c r="F1211" i="6"/>
  <c r="G1211" i="6" s="1"/>
  <c r="J1211" i="6" s="1"/>
  <c r="F1212" i="6"/>
  <c r="G1212" i="6" s="1"/>
  <c r="J1212" i="6" s="1"/>
  <c r="F1213" i="6"/>
  <c r="G1213" i="6" s="1"/>
  <c r="J1213" i="6" s="1"/>
  <c r="F1214" i="6"/>
  <c r="G1214" i="6" s="1"/>
  <c r="J1214" i="6" s="1"/>
  <c r="F1215" i="6"/>
  <c r="G1215" i="6" s="1"/>
  <c r="J1215" i="6" s="1"/>
  <c r="F1216" i="6"/>
  <c r="G1216" i="6" s="1"/>
  <c r="J1216" i="6" s="1"/>
  <c r="F1217" i="6"/>
  <c r="G1217" i="6" s="1"/>
  <c r="J1217" i="6" s="1"/>
  <c r="F1218" i="6"/>
  <c r="G1218" i="6" s="1"/>
  <c r="J1218" i="6" s="1"/>
  <c r="F1219" i="6"/>
  <c r="G1219" i="6" s="1"/>
  <c r="J1219" i="6" s="1"/>
  <c r="F1220" i="6"/>
  <c r="G1220" i="6" s="1"/>
  <c r="J1220" i="6" s="1"/>
  <c r="F1221" i="6"/>
  <c r="G1221" i="6" s="1"/>
  <c r="J1221" i="6" s="1"/>
  <c r="F1222" i="6"/>
  <c r="G1222" i="6" s="1"/>
  <c r="J1222" i="6" s="1"/>
  <c r="F1223" i="6"/>
  <c r="G1223" i="6" s="1"/>
  <c r="J1223" i="6" s="1"/>
  <c r="F1224" i="6"/>
  <c r="G1224" i="6" s="1"/>
  <c r="J1224" i="6" s="1"/>
  <c r="F1225" i="6"/>
  <c r="G1225" i="6" s="1"/>
  <c r="J1225" i="6" s="1"/>
  <c r="F1226" i="6"/>
  <c r="G1226" i="6" s="1"/>
  <c r="J1226" i="6" s="1"/>
  <c r="F1227" i="6"/>
  <c r="G1227" i="6" s="1"/>
  <c r="J1227" i="6" s="1"/>
  <c r="F1228" i="6"/>
  <c r="G1228" i="6" s="1"/>
  <c r="J1228" i="6" s="1"/>
  <c r="F1229" i="6"/>
  <c r="G1229" i="6" s="1"/>
  <c r="J1229" i="6" s="1"/>
  <c r="F1230" i="6"/>
  <c r="G1230" i="6" s="1"/>
  <c r="J1230" i="6" s="1"/>
  <c r="F1231" i="6"/>
  <c r="G1231" i="6" s="1"/>
  <c r="J1231" i="6" s="1"/>
  <c r="F1232" i="6"/>
  <c r="G1232" i="6" s="1"/>
  <c r="F1233" i="6"/>
  <c r="G1233" i="6" s="1"/>
  <c r="F1234" i="6"/>
  <c r="G1234" i="6" s="1"/>
  <c r="F1235" i="6"/>
  <c r="G1235" i="6" s="1"/>
  <c r="F1236" i="6"/>
  <c r="G1236" i="6" s="1"/>
  <c r="F1237" i="6"/>
  <c r="G1237" i="6" s="1"/>
  <c r="F1238" i="6"/>
  <c r="G1238" i="6" s="1"/>
  <c r="F1239" i="6"/>
  <c r="G1239" i="6" s="1"/>
  <c r="J1239" i="6" s="1"/>
  <c r="F1240" i="6"/>
  <c r="G1240" i="6" s="1"/>
  <c r="F1241" i="6"/>
  <c r="G1241" i="6" s="1"/>
  <c r="J1241" i="6" s="1"/>
  <c r="F1242" i="6"/>
  <c r="G1242" i="6" s="1"/>
  <c r="F1243" i="6"/>
  <c r="G1243" i="6" s="1"/>
  <c r="J1243" i="6" s="1"/>
  <c r="F1244" i="6"/>
  <c r="G1244" i="6" s="1"/>
  <c r="J1244" i="6" s="1"/>
  <c r="F1245" i="6"/>
  <c r="G1245" i="6" s="1"/>
  <c r="F1246" i="6"/>
  <c r="G1246" i="6" s="1"/>
  <c r="J1246" i="6" s="1"/>
  <c r="F1247" i="6"/>
  <c r="G1247" i="6" s="1"/>
  <c r="J1247" i="6" s="1"/>
  <c r="F1248" i="6"/>
  <c r="G1248" i="6" s="1"/>
  <c r="J1248" i="6" s="1"/>
  <c r="F1249" i="6"/>
  <c r="G1249" i="6" s="1"/>
  <c r="J1249" i="6" s="1"/>
  <c r="F1250" i="6"/>
  <c r="G1250" i="6" s="1"/>
  <c r="J1250" i="6" s="1"/>
  <c r="F1251" i="6"/>
  <c r="G1251" i="6" s="1"/>
  <c r="F1252" i="6"/>
  <c r="G1252" i="6" s="1"/>
  <c r="J1252" i="6" s="1"/>
  <c r="F1253" i="6"/>
  <c r="G1253" i="6" s="1"/>
  <c r="J1253" i="6" s="1"/>
  <c r="F1254" i="6"/>
  <c r="G1254" i="6" s="1"/>
  <c r="J1254" i="6" s="1"/>
  <c r="F1255" i="6"/>
  <c r="G1255" i="6" s="1"/>
  <c r="F1256" i="6"/>
  <c r="G1256" i="6" s="1"/>
  <c r="F1257" i="6"/>
  <c r="G1257" i="6" s="1"/>
  <c r="J1257" i="6" s="1"/>
  <c r="F1258" i="6"/>
  <c r="G1258" i="6" s="1"/>
  <c r="J1258" i="6" s="1"/>
  <c r="F1259" i="6"/>
  <c r="G1259" i="6" s="1"/>
  <c r="J1259" i="6" s="1"/>
  <c r="F1260" i="6"/>
  <c r="G1260" i="6" s="1"/>
  <c r="J1260" i="6" s="1"/>
  <c r="F1261" i="6"/>
  <c r="G1261" i="6" s="1"/>
  <c r="J1261" i="6" s="1"/>
  <c r="F1262" i="6"/>
  <c r="G1262" i="6" s="1"/>
  <c r="J1262" i="6" s="1"/>
  <c r="F1263" i="6"/>
  <c r="G1263" i="6" s="1"/>
  <c r="J1263" i="6" s="1"/>
  <c r="F1264" i="6"/>
  <c r="G1264" i="6" s="1"/>
  <c r="J1264" i="6" s="1"/>
  <c r="F1265" i="6"/>
  <c r="G1265" i="6" s="1"/>
  <c r="J1265" i="6" s="1"/>
  <c r="F1266" i="6"/>
  <c r="G1266" i="6" s="1"/>
  <c r="J1266" i="6" s="1"/>
  <c r="F1267" i="6"/>
  <c r="G1267" i="6" s="1"/>
  <c r="F1268" i="6"/>
  <c r="G1268" i="6" s="1"/>
  <c r="J1268" i="6" s="1"/>
  <c r="F1269" i="6"/>
  <c r="G1269" i="6" s="1"/>
  <c r="J1269" i="6" s="1"/>
  <c r="F1270" i="6"/>
  <c r="G1270" i="6" s="1"/>
  <c r="J1270" i="6" s="1"/>
  <c r="F1271" i="6"/>
  <c r="G1271" i="6" s="1"/>
  <c r="J1271" i="6" s="1"/>
  <c r="F1272" i="6"/>
  <c r="G1272" i="6" s="1"/>
  <c r="J1272" i="6" s="1"/>
  <c r="F1273" i="6"/>
  <c r="G1273" i="6" s="1"/>
  <c r="J1273" i="6" s="1"/>
  <c r="F1274" i="6"/>
  <c r="G1274" i="6" s="1"/>
  <c r="J1274" i="6" s="1"/>
  <c r="F1275" i="6"/>
  <c r="G1275" i="6" s="1"/>
  <c r="J1275" i="6" s="1"/>
  <c r="F1276" i="6"/>
  <c r="G1276" i="6" s="1"/>
  <c r="J1276" i="6" s="1"/>
  <c r="F1277" i="6"/>
  <c r="G1277" i="6" s="1"/>
  <c r="J1277" i="6" s="1"/>
  <c r="F1278" i="6"/>
  <c r="G1278" i="6" s="1"/>
  <c r="J1278" i="6" s="1"/>
  <c r="F1279" i="6"/>
  <c r="G1279" i="6" s="1"/>
  <c r="J1279" i="6" s="1"/>
  <c r="F1280" i="6"/>
  <c r="G1280" i="6" s="1"/>
  <c r="J1280" i="6" s="1"/>
  <c r="F1281" i="6"/>
  <c r="G1281" i="6" s="1"/>
  <c r="J1281" i="6" s="1"/>
  <c r="F1282" i="6"/>
  <c r="F1283" i="6"/>
  <c r="F1284" i="6"/>
  <c r="F1285" i="6"/>
  <c r="G1285" i="6" s="1"/>
  <c r="J1285" i="6" s="1"/>
  <c r="F1286" i="6"/>
  <c r="G1286" i="6" s="1"/>
  <c r="J1286" i="6" s="1"/>
  <c r="F1287" i="6"/>
  <c r="G1287" i="6" s="1"/>
  <c r="J1287" i="6" s="1"/>
  <c r="F1288" i="6"/>
  <c r="G1288" i="6" s="1"/>
  <c r="J1288" i="6" s="1"/>
  <c r="F1289" i="6"/>
  <c r="G1289" i="6" s="1"/>
  <c r="J1289" i="6" s="1"/>
  <c r="F1290" i="6"/>
  <c r="G1290" i="6" s="1"/>
  <c r="J1290" i="6" s="1"/>
  <c r="F1291" i="6"/>
  <c r="G1291" i="6" s="1"/>
  <c r="J1291" i="6" s="1"/>
  <c r="F1292" i="6"/>
  <c r="G1292" i="6" s="1"/>
  <c r="J1292" i="6" s="1"/>
  <c r="F1293" i="6"/>
  <c r="G1293" i="6" s="1"/>
  <c r="J1293" i="6" s="1"/>
  <c r="F1294" i="6"/>
  <c r="G1294" i="6" s="1"/>
  <c r="J1294" i="6" s="1"/>
  <c r="F1295" i="6"/>
  <c r="G1295" i="6" s="1"/>
  <c r="J1295" i="6" s="1"/>
  <c r="F1296" i="6"/>
  <c r="G1296" i="6" s="1"/>
  <c r="J1296" i="6" s="1"/>
  <c r="F1297" i="6"/>
  <c r="G1297" i="6" s="1"/>
  <c r="J1297" i="6" s="1"/>
  <c r="F1298" i="6"/>
  <c r="G1298" i="6" s="1"/>
  <c r="J1298" i="6" s="1"/>
  <c r="F1299" i="6"/>
  <c r="G1299" i="6" s="1"/>
  <c r="J1299" i="6" s="1"/>
  <c r="F1300" i="6"/>
  <c r="G1300" i="6" s="1"/>
  <c r="J1300" i="6" s="1"/>
  <c r="F1301" i="6"/>
  <c r="G1301" i="6" s="1"/>
  <c r="J1301" i="6" s="1"/>
  <c r="F1302" i="6"/>
  <c r="G1302" i="6" s="1"/>
  <c r="J1302" i="6" s="1"/>
  <c r="F1303" i="6"/>
  <c r="G1303" i="6" s="1"/>
  <c r="J1303" i="6" s="1"/>
  <c r="F1304" i="6"/>
  <c r="G1304" i="6" s="1"/>
  <c r="J1304" i="6" s="1"/>
  <c r="F1305" i="6"/>
  <c r="G1305" i="6" s="1"/>
  <c r="J1305" i="6" s="1"/>
  <c r="F1306" i="6"/>
  <c r="G1306" i="6" s="1"/>
  <c r="J1306" i="6" s="1"/>
  <c r="F1307" i="6"/>
  <c r="G1307" i="6" s="1"/>
  <c r="J1307" i="6" s="1"/>
  <c r="F1308" i="6"/>
  <c r="G1308" i="6" s="1"/>
  <c r="J1308" i="6" s="1"/>
  <c r="F1309" i="6"/>
  <c r="G1309" i="6" s="1"/>
  <c r="J1309" i="6" s="1"/>
  <c r="F1310" i="6"/>
  <c r="G1310" i="6" s="1"/>
  <c r="J1310" i="6" s="1"/>
  <c r="F1311" i="6"/>
  <c r="G1311" i="6" s="1"/>
  <c r="J1311" i="6" s="1"/>
  <c r="F1312" i="6"/>
  <c r="G1312" i="6" s="1"/>
  <c r="J1312" i="6" s="1"/>
  <c r="F1313" i="6"/>
  <c r="G1313" i="6" s="1"/>
  <c r="J1313" i="6" s="1"/>
  <c r="F1314" i="6"/>
  <c r="G1314" i="6" s="1"/>
  <c r="J1314" i="6" s="1"/>
  <c r="F1315" i="6"/>
  <c r="G1315" i="6" s="1"/>
  <c r="J1315" i="6" s="1"/>
  <c r="F1316" i="6"/>
  <c r="G1316" i="6" s="1"/>
  <c r="J1316" i="6" s="1"/>
  <c r="F1317" i="6"/>
  <c r="G1317" i="6" s="1"/>
  <c r="J1317" i="6" s="1"/>
  <c r="F1318" i="6"/>
  <c r="G1318" i="6" s="1"/>
  <c r="J1318" i="6" s="1"/>
  <c r="F1319" i="6"/>
  <c r="G1319" i="6" s="1"/>
  <c r="J1319" i="6" s="1"/>
  <c r="F1320" i="6"/>
  <c r="G1320" i="6" s="1"/>
  <c r="J1320" i="6" s="1"/>
  <c r="F1321" i="6"/>
  <c r="G1321" i="6" s="1"/>
  <c r="J1321" i="6" s="1"/>
  <c r="F1322" i="6"/>
  <c r="G1322" i="6" s="1"/>
  <c r="J1322" i="6" s="1"/>
  <c r="F1323" i="6"/>
  <c r="G1323" i="6" s="1"/>
  <c r="J1323" i="6" s="1"/>
  <c r="F1324" i="6"/>
  <c r="G1324" i="6" s="1"/>
  <c r="J1324" i="6" s="1"/>
  <c r="F1325" i="6"/>
  <c r="G1325" i="6" s="1"/>
  <c r="J1325" i="6" s="1"/>
  <c r="F1326" i="6"/>
  <c r="G1326" i="6" s="1"/>
  <c r="J1326" i="6" s="1"/>
  <c r="F1327" i="6"/>
  <c r="G1327" i="6" s="1"/>
  <c r="J1327" i="6" s="1"/>
  <c r="F1328" i="6"/>
  <c r="G1328" i="6" s="1"/>
  <c r="J1328" i="6" s="1"/>
  <c r="F1329" i="6"/>
  <c r="G1329" i="6" s="1"/>
  <c r="J1329" i="6" s="1"/>
  <c r="F1330" i="6"/>
  <c r="G1330" i="6" s="1"/>
  <c r="J1330" i="6" s="1"/>
  <c r="F1331" i="6"/>
  <c r="G1331" i="6" s="1"/>
  <c r="J1331" i="6" s="1"/>
  <c r="F1332" i="6"/>
  <c r="G1332" i="6" s="1"/>
  <c r="J1332" i="6" s="1"/>
  <c r="F1333" i="6"/>
  <c r="G1333" i="6" s="1"/>
  <c r="J1333" i="6" s="1"/>
  <c r="F1334" i="6"/>
  <c r="G1334" i="6" s="1"/>
  <c r="J1334" i="6" s="1"/>
  <c r="F1335" i="6"/>
  <c r="G1335" i="6" s="1"/>
  <c r="J1335" i="6" s="1"/>
  <c r="F1336" i="6"/>
  <c r="G1336" i="6" s="1"/>
  <c r="J1336" i="6" s="1"/>
  <c r="F1337" i="6"/>
  <c r="G1337" i="6" s="1"/>
  <c r="J1337" i="6" s="1"/>
  <c r="F1338" i="6"/>
  <c r="G1338" i="6" s="1"/>
  <c r="J1338" i="6" s="1"/>
  <c r="F1339" i="6"/>
  <c r="G1339" i="6" s="1"/>
  <c r="J1339" i="6" s="1"/>
  <c r="F1340" i="6"/>
  <c r="G1340" i="6" s="1"/>
  <c r="J1340" i="6" s="1"/>
  <c r="F1341" i="6"/>
  <c r="F1342" i="6"/>
  <c r="F1343" i="6"/>
  <c r="F1344" i="6"/>
  <c r="F1345" i="6"/>
  <c r="J1345" i="6" s="1"/>
  <c r="F1346" i="6"/>
  <c r="F1347" i="6"/>
  <c r="F1348" i="6"/>
  <c r="J1348" i="6" s="1"/>
  <c r="F1349" i="6"/>
  <c r="J1349" i="6" s="1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J1362" i="6" s="1"/>
  <c r="F1363" i="6"/>
  <c r="F1364" i="6"/>
  <c r="F1365" i="6"/>
  <c r="J1365" i="6" s="1"/>
  <c r="F1366" i="6"/>
  <c r="F1367" i="6"/>
  <c r="J1367" i="6" s="1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J1379" i="6" s="1"/>
  <c r="F1380" i="6"/>
  <c r="F1381" i="6"/>
  <c r="F1382" i="6"/>
  <c r="F1383" i="6"/>
  <c r="J1383" i="6" s="1"/>
  <c r="F1384" i="6"/>
  <c r="J1384" i="6" s="1"/>
  <c r="F1385" i="6"/>
  <c r="F1386" i="6"/>
  <c r="F1387" i="6"/>
  <c r="F1388" i="6"/>
  <c r="F1389" i="6"/>
  <c r="G1389" i="6" s="1"/>
  <c r="J1389" i="6" s="1"/>
  <c r="F1390" i="6"/>
  <c r="G1390" i="6" s="1"/>
  <c r="J1390" i="6" s="1"/>
  <c r="F1391" i="6"/>
  <c r="G1391" i="6" s="1"/>
  <c r="J1391" i="6" s="1"/>
  <c r="F1392" i="6"/>
  <c r="G1392" i="6" s="1"/>
  <c r="J1392" i="6" s="1"/>
  <c r="F1393" i="6"/>
  <c r="G1393" i="6" s="1"/>
  <c r="J1393" i="6" s="1"/>
  <c r="F1394" i="6"/>
  <c r="G1394" i="6" s="1"/>
  <c r="J1394" i="6" s="1"/>
  <c r="F1395" i="6"/>
  <c r="G1395" i="6" s="1"/>
  <c r="J1395" i="6" s="1"/>
  <c r="F1396" i="6"/>
  <c r="G1396" i="6" s="1"/>
  <c r="J1396" i="6" s="1"/>
  <c r="F1397" i="6"/>
  <c r="G1397" i="6" s="1"/>
  <c r="J1397" i="6" s="1"/>
  <c r="F1398" i="6"/>
  <c r="G1398" i="6" s="1"/>
  <c r="J1398" i="6" s="1"/>
  <c r="F1399" i="6"/>
  <c r="G1399" i="6" s="1"/>
  <c r="J1399" i="6" s="1"/>
  <c r="F1400" i="6"/>
  <c r="G1400" i="6" s="1"/>
  <c r="J1400" i="6" s="1"/>
  <c r="F1401" i="6"/>
  <c r="G1401" i="6" s="1"/>
  <c r="J1401" i="6" s="1"/>
  <c r="F1402" i="6"/>
  <c r="G1402" i="6" s="1"/>
  <c r="J1402" i="6" s="1"/>
  <c r="F1403" i="6"/>
  <c r="G1403" i="6" s="1"/>
  <c r="J1403" i="6" s="1"/>
  <c r="F1404" i="6"/>
  <c r="G1404" i="6" s="1"/>
  <c r="J1404" i="6" s="1"/>
  <c r="F1405" i="6"/>
  <c r="G1405" i="6" s="1"/>
  <c r="J1405" i="6" s="1"/>
  <c r="F1406" i="6"/>
  <c r="G1406" i="6" s="1"/>
  <c r="J1406" i="6" s="1"/>
  <c r="F1407" i="6"/>
  <c r="G1407" i="6" s="1"/>
  <c r="J1407" i="6" s="1"/>
  <c r="F1408" i="6"/>
  <c r="G1408" i="6" s="1"/>
  <c r="J1408" i="6" s="1"/>
  <c r="F1409" i="6"/>
  <c r="G1409" i="6" s="1"/>
  <c r="J1409" i="6" s="1"/>
  <c r="F1410" i="6"/>
  <c r="G1410" i="6" s="1"/>
  <c r="J1410" i="6" s="1"/>
  <c r="F1411" i="6"/>
  <c r="G1411" i="6" s="1"/>
  <c r="J1411" i="6" s="1"/>
  <c r="F1412" i="6"/>
  <c r="F1413" i="6"/>
  <c r="F1414" i="6"/>
  <c r="F1415" i="6"/>
  <c r="F1416" i="6"/>
  <c r="F1417" i="6"/>
  <c r="F1418" i="6"/>
  <c r="F1419" i="6"/>
  <c r="J1419" i="6" s="1"/>
  <c r="F1420" i="6"/>
  <c r="F1421" i="6"/>
  <c r="F1422" i="6"/>
  <c r="F1423" i="6"/>
  <c r="J1423" i="6" s="1"/>
  <c r="F1424" i="6"/>
  <c r="J1424" i="6" s="1"/>
  <c r="F1425" i="6"/>
  <c r="F1426" i="6"/>
  <c r="G1426" i="6" s="1"/>
  <c r="J1426" i="6" s="1"/>
  <c r="F1427" i="6"/>
  <c r="G1427" i="6" s="1"/>
  <c r="J1427" i="6" s="1"/>
  <c r="F1428" i="6"/>
  <c r="G1428" i="6" s="1"/>
  <c r="J1428" i="6" s="1"/>
  <c r="F1429" i="6"/>
  <c r="G1429" i="6" s="1"/>
  <c r="J1429" i="6" s="1"/>
  <c r="F1430" i="6"/>
  <c r="G1430" i="6" s="1"/>
  <c r="J1430" i="6" s="1"/>
  <c r="F1431" i="6"/>
  <c r="G1431" i="6" s="1"/>
  <c r="J1431" i="6" s="1"/>
  <c r="F1432" i="6"/>
  <c r="G1432" i="6" s="1"/>
  <c r="J1432" i="6" s="1"/>
  <c r="F1433" i="6"/>
  <c r="G1433" i="6" s="1"/>
  <c r="J1433" i="6" s="1"/>
  <c r="F1434" i="6"/>
  <c r="G1434" i="6" s="1"/>
  <c r="J1434" i="6" s="1"/>
  <c r="F1435" i="6"/>
  <c r="G1435" i="6" s="1"/>
  <c r="J1435" i="6" s="1"/>
  <c r="F1436" i="6"/>
  <c r="G1436" i="6" s="1"/>
  <c r="J1436" i="6" s="1"/>
  <c r="F1437" i="6"/>
  <c r="G1437" i="6" s="1"/>
  <c r="J1437" i="6" s="1"/>
  <c r="F1438" i="6"/>
  <c r="G1438" i="6" s="1"/>
  <c r="J1438" i="6" s="1"/>
  <c r="F1439" i="6"/>
  <c r="G1439" i="6" s="1"/>
  <c r="J1439" i="6" s="1"/>
  <c r="F1440" i="6"/>
  <c r="G1440" i="6" s="1"/>
  <c r="J1440" i="6" s="1"/>
  <c r="F1441" i="6"/>
  <c r="G1441" i="6" s="1"/>
  <c r="J1441" i="6" s="1"/>
  <c r="F1442" i="6"/>
  <c r="G1442" i="6" s="1"/>
  <c r="J1442" i="6" s="1"/>
  <c r="F1443" i="6"/>
  <c r="G1443" i="6" s="1"/>
  <c r="J1443" i="6" s="1"/>
  <c r="F1444" i="6"/>
  <c r="F1445" i="6"/>
  <c r="G1445" i="6" s="1"/>
  <c r="F1446" i="6"/>
  <c r="G1446" i="6" s="1"/>
  <c r="F1447" i="6"/>
  <c r="F1448" i="6"/>
  <c r="G1448" i="6" s="1"/>
  <c r="F1449" i="6"/>
  <c r="G1449" i="6" s="1"/>
  <c r="F1450" i="6"/>
  <c r="G1450" i="6" s="1"/>
  <c r="F1451" i="6"/>
  <c r="F1452" i="6"/>
  <c r="F1453" i="6"/>
  <c r="F1454" i="6"/>
  <c r="J1454" i="6" s="1"/>
  <c r="F1455" i="6"/>
  <c r="F1456" i="6"/>
  <c r="F1457" i="6"/>
  <c r="F1458" i="6"/>
  <c r="J1458" i="6" s="1"/>
  <c r="F1459" i="6"/>
  <c r="J1459" i="6" s="1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J1472" i="6" s="1"/>
  <c r="F1473" i="6"/>
  <c r="F1474" i="6"/>
  <c r="F1475" i="6"/>
  <c r="J1475" i="6" s="1"/>
  <c r="F1476" i="6"/>
  <c r="J1476" i="6" s="1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J1489" i="6" s="1"/>
  <c r="F1490" i="6"/>
  <c r="F1491" i="6"/>
  <c r="F1492" i="6"/>
  <c r="J1492" i="6" s="1"/>
  <c r="F1493" i="6"/>
  <c r="J1493" i="6" s="1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J1506" i="6" s="1"/>
  <c r="F1507" i="6"/>
  <c r="F1508" i="6"/>
  <c r="F1509" i="6"/>
  <c r="J1509" i="6" s="1"/>
  <c r="F1510" i="6"/>
  <c r="J1510" i="6" s="1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J1523" i="6" s="1"/>
  <c r="F1524" i="6"/>
  <c r="F1525" i="6"/>
  <c r="F1526" i="6"/>
  <c r="J1526" i="6" s="1"/>
  <c r="F1527" i="6"/>
  <c r="J1527" i="6" s="1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J1540" i="6" s="1"/>
  <c r="F1541" i="6"/>
  <c r="F1542" i="6"/>
  <c r="F1543" i="6"/>
  <c r="J1543" i="6" s="1"/>
  <c r="F1544" i="6"/>
  <c r="J1544" i="6" s="1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J1557" i="6" s="1"/>
  <c r="F1558" i="6"/>
  <c r="F1559" i="6"/>
  <c r="F1560" i="6"/>
  <c r="J1560" i="6" s="1"/>
  <c r="F1561" i="6"/>
  <c r="J1561" i="6" s="1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J1574" i="6" s="1"/>
  <c r="F1575" i="6"/>
  <c r="F1576" i="6"/>
  <c r="F1577" i="6"/>
  <c r="J1577" i="6" s="1"/>
  <c r="F1578" i="6"/>
  <c r="J1578" i="6" s="1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J1591" i="6" s="1"/>
  <c r="F1592" i="6"/>
  <c r="F1593" i="6"/>
  <c r="F1594" i="6"/>
  <c r="J1594" i="6" s="1"/>
  <c r="F1595" i="6"/>
  <c r="J1595" i="6" s="1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J1608" i="6" s="1"/>
  <c r="F1609" i="6"/>
  <c r="F1610" i="6"/>
  <c r="F1611" i="6"/>
  <c r="J1611" i="6" s="1"/>
  <c r="F1612" i="6"/>
  <c r="J1612" i="6" s="1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J1625" i="6" s="1"/>
  <c r="F1626" i="6"/>
  <c r="F1627" i="6"/>
  <c r="F1628" i="6"/>
  <c r="J1628" i="6" s="1"/>
  <c r="F1629" i="6"/>
  <c r="J1629" i="6" s="1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J1642" i="6" s="1"/>
  <c r="F1643" i="6"/>
  <c r="F1644" i="6"/>
  <c r="F1645" i="6"/>
  <c r="J1645" i="6" s="1"/>
  <c r="F1646" i="6"/>
  <c r="J1646" i="6" s="1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J1659" i="6" s="1"/>
  <c r="F1660" i="6"/>
  <c r="F1661" i="6"/>
  <c r="F1662" i="6"/>
  <c r="J1662" i="6" s="1"/>
  <c r="F1663" i="6"/>
  <c r="F1664" i="6"/>
  <c r="J1664" i="6" s="1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J1676" i="6" s="1"/>
  <c r="F1677" i="6"/>
  <c r="F1678" i="6"/>
  <c r="F1679" i="6"/>
  <c r="F1680" i="6"/>
  <c r="J1680" i="6" s="1"/>
  <c r="F1681" i="6"/>
  <c r="J1681" i="6" s="1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J1693" i="6" s="1"/>
  <c r="F1694" i="6"/>
  <c r="F1695" i="6"/>
  <c r="F1696" i="6"/>
  <c r="F1697" i="6"/>
  <c r="J1697" i="6" s="1"/>
  <c r="F1698" i="6"/>
  <c r="J1698" i="6" s="1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J1712" i="6" s="1"/>
  <c r="F1713" i="6"/>
  <c r="F1714" i="6"/>
  <c r="F1715" i="6"/>
  <c r="J1715" i="6" s="1"/>
  <c r="F1716" i="6"/>
  <c r="J1716" i="6" s="1"/>
  <c r="F1717" i="6"/>
  <c r="F1718" i="6"/>
  <c r="G1718" i="6" s="1"/>
  <c r="F1719" i="6"/>
  <c r="F1720" i="6"/>
  <c r="G1720" i="6" s="1"/>
  <c r="F1721" i="6"/>
  <c r="G1721" i="6" s="1"/>
  <c r="F1722" i="6"/>
  <c r="G1722" i="6" s="1"/>
  <c r="F1723" i="6"/>
  <c r="G1723" i="6" s="1"/>
  <c r="J1723" i="6" s="1"/>
  <c r="F1724" i="6"/>
  <c r="G1724" i="6" s="1"/>
  <c r="J1724" i="6" s="1"/>
  <c r="F1725" i="6"/>
  <c r="G1725" i="6" s="1"/>
  <c r="J1725" i="6" s="1"/>
  <c r="F1726" i="6"/>
  <c r="G1726" i="6" s="1"/>
  <c r="J1726" i="6" s="1"/>
  <c r="F1727" i="6"/>
  <c r="G1727" i="6" s="1"/>
  <c r="J1727" i="6" s="1"/>
  <c r="F1728" i="6"/>
  <c r="G1728" i="6" s="1"/>
  <c r="J1728" i="6" s="1"/>
  <c r="F1729" i="6"/>
  <c r="G1729" i="6" s="1"/>
  <c r="J1729" i="6" s="1"/>
  <c r="F1730" i="6"/>
  <c r="G1730" i="6" s="1"/>
  <c r="J1730" i="6" s="1"/>
  <c r="F1731" i="6"/>
  <c r="G1731" i="6" s="1"/>
  <c r="J1731" i="6" s="1"/>
  <c r="F1732" i="6"/>
  <c r="G1732" i="6" s="1"/>
  <c r="J1732" i="6" s="1"/>
  <c r="F1733" i="6"/>
  <c r="G1733" i="6" s="1"/>
  <c r="J1733" i="6" s="1"/>
  <c r="F1734" i="6"/>
  <c r="G1734" i="6" s="1"/>
  <c r="J1734" i="6" s="1"/>
  <c r="F1735" i="6"/>
  <c r="G1735" i="6" s="1"/>
  <c r="J1735" i="6" s="1"/>
  <c r="F1736" i="6"/>
  <c r="G1736" i="6" s="1"/>
  <c r="J1736" i="6" s="1"/>
  <c r="F1737" i="6"/>
  <c r="G1737" i="6" s="1"/>
  <c r="F1738" i="6"/>
  <c r="G1738" i="6" s="1"/>
  <c r="F1739" i="6"/>
  <c r="F1740" i="6"/>
  <c r="F1741" i="6"/>
  <c r="F1742" i="6"/>
  <c r="G1742" i="6" s="1"/>
  <c r="F1743" i="6"/>
  <c r="G1743" i="6" s="1"/>
  <c r="F1744" i="6"/>
  <c r="G1744" i="6" s="1"/>
  <c r="J1744" i="6" s="1"/>
  <c r="F1745" i="6"/>
  <c r="G1745" i="6" s="1"/>
  <c r="F1746" i="6"/>
  <c r="F1747" i="6"/>
  <c r="J1747" i="6" s="1"/>
  <c r="F1748" i="6"/>
  <c r="J1748" i="6" s="1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J1762" i="6" s="1"/>
  <c r="F1763" i="6"/>
  <c r="F1764" i="6"/>
  <c r="F1765" i="6"/>
  <c r="J1765" i="6" s="1"/>
  <c r="F1766" i="6"/>
  <c r="J1766" i="6" s="1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J1780" i="6" s="1"/>
  <c r="F1781" i="6"/>
  <c r="F1782" i="6"/>
  <c r="F1783" i="6"/>
  <c r="F1784" i="6"/>
  <c r="J1784" i="6" s="1"/>
  <c r="F1785" i="6"/>
  <c r="J1785" i="6" s="1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J1798" i="6" s="1"/>
  <c r="F1799" i="6"/>
  <c r="F1800" i="6"/>
  <c r="F1801" i="6"/>
  <c r="F1802" i="6"/>
  <c r="J1802" i="6" s="1"/>
  <c r="F1803" i="6"/>
  <c r="J1803" i="6" s="1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J1817" i="6" s="1"/>
  <c r="F1818" i="6"/>
  <c r="F1819" i="6"/>
  <c r="F1820" i="6"/>
  <c r="J1820" i="6" s="1"/>
  <c r="F1821" i="6"/>
  <c r="F1822" i="6"/>
  <c r="J1822" i="6" s="1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J1835" i="6" s="1"/>
  <c r="F1836" i="6"/>
  <c r="F1837" i="6"/>
  <c r="F1838" i="6"/>
  <c r="F1839" i="6"/>
  <c r="J1839" i="6" s="1"/>
  <c r="F1840" i="6"/>
  <c r="J1840" i="6" s="1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J1854" i="6" s="1"/>
  <c r="F1855" i="6"/>
  <c r="F1856" i="6"/>
  <c r="F1857" i="6"/>
  <c r="J1857" i="6" s="1"/>
  <c r="F1858" i="6"/>
  <c r="J1858" i="6" s="1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J1872" i="6" s="1"/>
  <c r="F1873" i="6"/>
  <c r="F1874" i="6"/>
  <c r="F1875" i="6"/>
  <c r="J1875" i="6" s="1"/>
  <c r="F1876" i="6"/>
  <c r="J1876" i="6" s="1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J1890" i="6" s="1"/>
  <c r="F1891" i="6"/>
  <c r="F1892" i="6"/>
  <c r="F1893" i="6"/>
  <c r="J1893" i="6" s="1"/>
  <c r="F1894" i="6"/>
  <c r="J1894" i="6" s="1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J1908" i="6" s="1"/>
  <c r="F1909" i="6"/>
  <c r="F1910" i="6"/>
  <c r="F1911" i="6"/>
  <c r="F1912" i="6"/>
  <c r="J1912" i="6" s="1"/>
  <c r="F1913" i="6"/>
  <c r="F1914" i="6"/>
  <c r="J1914" i="6" s="1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J1928" i="6" s="1"/>
  <c r="F1929" i="6"/>
  <c r="F1930" i="6"/>
  <c r="F1931" i="6"/>
  <c r="F1932" i="6"/>
  <c r="J1932" i="6" s="1"/>
  <c r="F1933" i="6"/>
  <c r="F1934" i="6"/>
  <c r="J1934" i="6" s="1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J1948" i="6" s="1"/>
  <c r="F1949" i="6"/>
  <c r="F1950" i="6"/>
  <c r="F1951" i="6"/>
  <c r="F1952" i="6"/>
  <c r="J1952" i="6" s="1"/>
  <c r="F1953" i="6"/>
  <c r="J1953" i="6" s="1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J1968" i="6" s="1"/>
  <c r="F1969" i="6"/>
  <c r="F1970" i="6"/>
  <c r="F1971" i="6"/>
  <c r="J1971" i="6" s="1"/>
  <c r="F1972" i="6"/>
  <c r="J1972" i="6" s="1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J1987" i="6" s="1"/>
  <c r="F1988" i="6"/>
  <c r="F1989" i="6"/>
  <c r="F1990" i="6"/>
  <c r="J1990" i="6" s="1"/>
  <c r="F1991" i="6"/>
  <c r="F1992" i="6"/>
  <c r="J1992" i="6" s="1"/>
  <c r="F1993" i="6"/>
  <c r="F1994" i="6"/>
  <c r="F1995" i="6"/>
  <c r="F1996" i="6"/>
  <c r="F1997" i="6"/>
  <c r="G1997" i="6" s="1"/>
  <c r="F1998" i="6"/>
  <c r="G1998" i="6" s="1"/>
  <c r="F1999" i="6"/>
  <c r="F2000" i="6"/>
  <c r="G2000" i="6" s="1"/>
  <c r="F2001" i="6"/>
  <c r="F2002" i="6"/>
  <c r="G2002" i="6" s="1"/>
  <c r="F2003" i="6"/>
  <c r="G2003" i="6" s="1"/>
  <c r="F2004" i="6"/>
  <c r="G2004" i="6" s="1"/>
  <c r="F2005" i="6"/>
  <c r="G2005" i="6" s="1"/>
  <c r="J2005" i="6" s="1"/>
  <c r="F2006" i="6"/>
  <c r="G2006" i="6" s="1"/>
  <c r="J2006" i="6" s="1"/>
  <c r="F2007" i="6"/>
  <c r="G2007" i="6" s="1"/>
  <c r="J2007" i="6" s="1"/>
  <c r="F2008" i="6"/>
  <c r="G2008" i="6" s="1"/>
  <c r="F2009" i="6"/>
  <c r="G2009" i="6" s="1"/>
  <c r="J2009" i="6" s="1"/>
  <c r="F2010" i="6"/>
  <c r="G2010" i="6" s="1"/>
  <c r="F2011" i="6"/>
  <c r="G2011" i="6" s="1"/>
  <c r="F2012" i="6"/>
  <c r="G2012" i="6" s="1"/>
  <c r="J2012" i="6" s="1"/>
  <c r="F2013" i="6"/>
  <c r="G2013" i="6" s="1"/>
  <c r="F2014" i="6"/>
  <c r="G2014" i="6" s="1"/>
  <c r="F2015" i="6"/>
  <c r="G2015" i="6" s="1"/>
  <c r="F2016" i="6"/>
  <c r="G2016" i="6" s="1"/>
  <c r="J2016" i="6" s="1"/>
  <c r="F2017" i="6"/>
  <c r="G2017" i="6" s="1"/>
  <c r="J2017" i="6" s="1"/>
  <c r="F2018" i="6"/>
  <c r="G2018" i="6" s="1"/>
  <c r="J2018" i="6" s="1"/>
  <c r="F2019" i="6"/>
  <c r="G2019" i="6" s="1"/>
  <c r="F2020" i="6"/>
  <c r="G2020" i="6" s="1"/>
  <c r="J2020" i="6" s="1"/>
  <c r="F2021" i="6"/>
  <c r="G2021" i="6" s="1"/>
  <c r="F2022" i="6"/>
  <c r="G2022" i="6" s="1"/>
  <c r="F2023" i="6"/>
  <c r="G2023" i="6" s="1"/>
  <c r="F2024" i="6"/>
  <c r="G2024" i="6" s="1"/>
  <c r="F2025" i="6"/>
  <c r="G2025" i="6" s="1"/>
  <c r="F2026" i="6"/>
  <c r="G2026" i="6" s="1"/>
  <c r="F2027" i="6"/>
  <c r="G2027" i="6" s="1"/>
  <c r="F2028" i="6"/>
  <c r="G2028" i="6" s="1"/>
  <c r="F2029" i="6"/>
  <c r="G2029" i="6" s="1"/>
  <c r="F2030" i="6"/>
  <c r="F2031" i="6"/>
  <c r="F2032" i="6"/>
  <c r="F2033" i="6"/>
  <c r="F2034" i="6"/>
  <c r="F2035" i="6"/>
  <c r="E6694" i="5"/>
  <c r="E6695" i="5"/>
  <c r="E6696" i="5"/>
  <c r="E6697" i="5"/>
  <c r="E6698" i="5"/>
  <c r="E6699" i="5"/>
  <c r="E6700" i="5"/>
  <c r="E6701" i="5"/>
  <c r="E6702" i="5"/>
  <c r="E6703" i="5"/>
  <c r="E6704" i="5"/>
  <c r="E6705" i="5"/>
  <c r="E6706" i="5"/>
  <c r="E6707" i="5"/>
  <c r="E6708" i="5"/>
  <c r="E6709" i="5"/>
  <c r="E6710" i="5"/>
  <c r="E6711" i="5"/>
  <c r="E6712" i="5"/>
  <c r="E6713" i="5"/>
  <c r="E6714" i="5"/>
  <c r="E6715" i="5"/>
  <c r="E6716" i="5"/>
  <c r="E6717" i="5"/>
  <c r="E6718" i="5"/>
  <c r="E6719" i="5"/>
  <c r="E6720" i="5"/>
  <c r="E6721" i="5"/>
  <c r="E6722" i="5"/>
  <c r="E6723" i="5"/>
  <c r="E6724" i="5"/>
  <c r="E6725" i="5"/>
  <c r="E6726" i="5"/>
  <c r="E6727" i="5"/>
  <c r="E6728" i="5"/>
  <c r="E6729" i="5"/>
  <c r="E6730" i="5"/>
  <c r="E6731" i="5"/>
  <c r="E6732" i="5"/>
  <c r="E6733" i="5"/>
  <c r="E6734" i="5"/>
  <c r="E6735" i="5"/>
  <c r="E6736" i="5"/>
  <c r="E6737" i="5"/>
  <c r="E6738" i="5"/>
  <c r="E6739" i="5"/>
  <c r="E6740" i="5"/>
  <c r="E6741" i="5"/>
  <c r="E6742" i="5"/>
  <c r="E6743" i="5"/>
  <c r="E6744" i="5"/>
  <c r="E6745" i="5"/>
  <c r="E6746" i="5"/>
  <c r="E6747" i="5"/>
  <c r="E6748" i="5"/>
  <c r="E6749" i="5"/>
  <c r="E6750" i="5"/>
  <c r="E6751" i="5"/>
  <c r="E6752" i="5"/>
  <c r="E6753" i="5"/>
  <c r="E6754" i="5"/>
  <c r="E6755" i="5"/>
  <c r="E6756" i="5"/>
  <c r="E6757" i="5"/>
  <c r="E6758" i="5"/>
  <c r="E6759" i="5"/>
  <c r="E6760" i="5"/>
  <c r="E6761" i="5"/>
  <c r="E6762" i="5"/>
  <c r="E6763" i="5"/>
  <c r="E6764" i="5"/>
  <c r="E6765" i="5"/>
  <c r="E6766" i="5"/>
  <c r="E6767" i="5"/>
  <c r="E6768" i="5"/>
  <c r="E6769" i="5"/>
  <c r="E6770" i="5"/>
  <c r="E6771" i="5"/>
  <c r="E6772" i="5"/>
  <c r="E6773" i="5"/>
  <c r="E6774" i="5"/>
  <c r="E6775" i="5"/>
  <c r="E6776" i="5"/>
  <c r="E6777" i="5"/>
  <c r="E6778" i="5"/>
  <c r="E6779" i="5"/>
  <c r="E6780" i="5"/>
  <c r="E6781" i="5"/>
  <c r="E6782" i="5"/>
  <c r="E6783" i="5"/>
  <c r="E6784" i="5"/>
  <c r="E6785" i="5"/>
  <c r="E6786" i="5"/>
  <c r="E6787" i="5"/>
  <c r="E6788" i="5"/>
  <c r="E6789" i="5"/>
  <c r="E6790" i="5"/>
  <c r="E6791" i="5"/>
  <c r="E6792" i="5"/>
  <c r="E6793" i="5"/>
  <c r="E6794" i="5"/>
  <c r="E6795" i="5"/>
  <c r="E6796" i="5"/>
  <c r="E6797" i="5"/>
  <c r="E6798" i="5"/>
  <c r="E6799" i="5"/>
  <c r="E6800" i="5"/>
  <c r="E6801" i="5"/>
  <c r="E6802" i="5"/>
  <c r="E6803" i="5"/>
  <c r="E6804" i="5"/>
  <c r="E6805" i="5"/>
  <c r="E6806" i="5"/>
  <c r="E6807" i="5"/>
  <c r="E6808" i="5"/>
  <c r="E6809" i="5"/>
  <c r="E6810" i="5"/>
  <c r="E6811" i="5"/>
  <c r="E6812" i="5"/>
  <c r="E6813" i="5"/>
  <c r="E6814" i="5"/>
  <c r="E6815" i="5"/>
  <c r="E6816" i="5"/>
  <c r="E6817" i="5"/>
  <c r="E6818" i="5"/>
  <c r="E6819" i="5"/>
  <c r="E6820" i="5"/>
  <c r="E6821" i="5"/>
  <c r="E6822" i="5"/>
  <c r="E6823" i="5"/>
  <c r="E6824" i="5"/>
  <c r="E6825" i="5"/>
  <c r="E6826" i="5"/>
  <c r="E6827" i="5"/>
  <c r="E6828" i="5"/>
  <c r="E6829" i="5"/>
  <c r="E6830" i="5"/>
  <c r="E6831" i="5"/>
  <c r="E6832" i="5"/>
  <c r="E6833" i="5"/>
  <c r="E6834" i="5"/>
  <c r="E6835" i="5"/>
  <c r="E6836" i="5"/>
  <c r="E6837" i="5"/>
  <c r="E6838" i="5"/>
  <c r="E6839" i="5"/>
  <c r="E6840" i="5"/>
  <c r="E6841" i="5"/>
  <c r="E6842" i="5"/>
  <c r="E6843" i="5"/>
  <c r="E6844" i="5"/>
  <c r="E6845" i="5"/>
  <c r="E6846" i="5"/>
  <c r="E6847" i="5"/>
  <c r="E6848" i="5"/>
  <c r="E6849" i="5"/>
  <c r="E6850" i="5"/>
  <c r="E6851" i="5"/>
  <c r="E6852" i="5"/>
  <c r="E6853" i="5"/>
  <c r="E6854" i="5"/>
  <c r="E6855" i="5"/>
  <c r="E6856" i="5"/>
  <c r="E6857" i="5"/>
  <c r="E6858" i="5"/>
  <c r="E6859" i="5"/>
  <c r="E6860" i="5"/>
  <c r="E6861" i="5"/>
  <c r="E6862" i="5"/>
  <c r="E6863" i="5"/>
  <c r="E6864" i="5"/>
  <c r="E6865" i="5"/>
  <c r="E6866" i="5"/>
  <c r="E6867" i="5"/>
  <c r="E6868" i="5"/>
  <c r="E6869" i="5"/>
  <c r="E6870" i="5"/>
  <c r="E6871" i="5"/>
  <c r="E6872" i="5"/>
  <c r="E6873" i="5"/>
  <c r="E6874" i="5"/>
  <c r="E6875" i="5"/>
  <c r="E6876" i="5"/>
  <c r="E6877" i="5"/>
  <c r="E6878" i="5"/>
  <c r="E6879" i="5"/>
  <c r="E6880" i="5"/>
  <c r="E6881" i="5"/>
  <c r="E6882" i="5"/>
  <c r="E6883" i="5"/>
  <c r="E6884" i="5"/>
  <c r="E6885" i="5"/>
  <c r="E6886" i="5"/>
  <c r="E6887" i="5"/>
  <c r="E6888" i="5"/>
  <c r="E6889" i="5"/>
  <c r="E6890" i="5"/>
  <c r="E6891" i="5"/>
  <c r="E6892" i="5"/>
  <c r="E6893" i="5"/>
  <c r="E6894" i="5"/>
  <c r="E6895" i="5"/>
  <c r="E6896" i="5"/>
  <c r="E6897" i="5"/>
  <c r="E6898" i="5"/>
  <c r="E6899" i="5"/>
  <c r="E6900" i="5"/>
  <c r="E6901" i="5"/>
  <c r="E6902" i="5"/>
  <c r="E6903" i="5"/>
  <c r="E6904" i="5"/>
  <c r="E6905" i="5"/>
  <c r="E6906" i="5"/>
  <c r="E6907" i="5"/>
  <c r="E6908" i="5"/>
  <c r="E6909" i="5"/>
  <c r="E6910" i="5"/>
  <c r="E6911" i="5"/>
  <c r="E6912" i="5"/>
  <c r="E6913" i="5"/>
  <c r="E6914" i="5"/>
  <c r="E6915" i="5"/>
  <c r="E6916" i="5"/>
  <c r="E6917" i="5"/>
  <c r="E6918" i="5"/>
  <c r="E6919" i="5"/>
  <c r="E6920" i="5"/>
  <c r="E6921" i="5"/>
  <c r="E6922" i="5"/>
  <c r="E6923" i="5"/>
  <c r="E6924" i="5"/>
  <c r="E6925" i="5"/>
  <c r="E6926" i="5"/>
  <c r="E6927" i="5"/>
  <c r="E6928" i="5"/>
  <c r="E6929" i="5"/>
  <c r="E6930" i="5"/>
  <c r="E6931" i="5"/>
  <c r="E6932" i="5"/>
  <c r="E6933" i="5"/>
  <c r="E6934" i="5"/>
  <c r="E6935" i="5"/>
  <c r="E6936" i="5"/>
  <c r="E6937" i="5"/>
  <c r="E6938" i="5"/>
  <c r="E6939" i="5"/>
  <c r="E6940" i="5"/>
  <c r="E6941" i="5"/>
  <c r="E6942" i="5"/>
  <c r="E6943" i="5"/>
  <c r="E6944" i="5"/>
  <c r="E6945" i="5"/>
  <c r="E6946" i="5"/>
  <c r="E6947" i="5"/>
  <c r="E6948" i="5"/>
  <c r="E6949" i="5"/>
  <c r="E6950" i="5"/>
  <c r="E6951" i="5"/>
  <c r="E6952" i="5"/>
  <c r="E6953" i="5"/>
  <c r="E6954" i="5"/>
  <c r="E6955" i="5"/>
  <c r="E6956" i="5"/>
  <c r="E6957" i="5"/>
  <c r="E6958" i="5"/>
  <c r="E6959" i="5"/>
  <c r="E6960" i="5"/>
  <c r="E6961" i="5"/>
  <c r="E6962" i="5"/>
  <c r="E6963" i="5"/>
  <c r="E6964" i="5"/>
  <c r="E6965" i="5"/>
  <c r="E6966" i="5"/>
  <c r="E6967" i="5"/>
  <c r="E6968" i="5"/>
  <c r="E6969" i="5"/>
  <c r="E6970" i="5"/>
  <c r="E6971" i="5"/>
  <c r="E6972" i="5"/>
  <c r="E6973" i="5"/>
  <c r="E6974" i="5"/>
  <c r="E6975" i="5"/>
  <c r="E6976" i="5"/>
  <c r="E6977" i="5"/>
  <c r="E6978" i="5"/>
  <c r="E6979" i="5"/>
  <c r="E6980" i="5"/>
  <c r="E6981" i="5"/>
  <c r="E6982" i="5"/>
  <c r="E6983" i="5"/>
  <c r="E6984" i="5"/>
  <c r="E6985" i="5"/>
  <c r="E6986" i="5"/>
  <c r="E6987" i="5"/>
  <c r="E6988" i="5"/>
  <c r="E6989" i="5"/>
  <c r="E6990" i="5"/>
  <c r="E6991" i="5"/>
  <c r="E6992" i="5"/>
  <c r="E6993" i="5"/>
  <c r="E6994" i="5"/>
  <c r="E6995" i="5"/>
  <c r="E6996" i="5"/>
  <c r="E6997" i="5"/>
  <c r="E6998" i="5"/>
  <c r="E6999" i="5"/>
  <c r="E7000" i="5"/>
  <c r="E7001" i="5"/>
  <c r="E7002" i="5"/>
  <c r="E7003" i="5"/>
  <c r="E7004" i="5"/>
  <c r="E7005" i="5"/>
  <c r="E7006" i="5"/>
  <c r="E7007" i="5"/>
  <c r="E7008" i="5"/>
  <c r="E7009" i="5"/>
  <c r="E7010" i="5"/>
  <c r="E7011" i="5"/>
  <c r="E7012" i="5"/>
  <c r="E7013" i="5"/>
  <c r="E7014" i="5"/>
  <c r="E7015" i="5"/>
  <c r="E7016" i="5"/>
  <c r="E7017" i="5"/>
  <c r="E7018" i="5"/>
  <c r="E7019" i="5"/>
  <c r="E7020" i="5"/>
  <c r="E7021" i="5"/>
  <c r="E7022" i="5"/>
  <c r="E7023" i="5"/>
  <c r="E7024" i="5"/>
  <c r="E7025" i="5"/>
  <c r="E7026" i="5"/>
  <c r="E7027" i="5"/>
  <c r="E7028" i="5"/>
  <c r="E7029" i="5"/>
  <c r="E7030" i="5"/>
  <c r="E7031" i="5"/>
  <c r="E7032" i="5"/>
  <c r="E7033" i="5"/>
  <c r="E7034" i="5"/>
  <c r="E7035" i="5"/>
  <c r="E7036" i="5"/>
  <c r="E7037" i="5"/>
  <c r="E7038" i="5"/>
  <c r="E7039" i="5"/>
  <c r="E7040" i="5"/>
  <c r="E7041" i="5"/>
  <c r="E7042" i="5"/>
  <c r="E7043" i="5"/>
  <c r="E7044" i="5"/>
  <c r="E7045" i="5"/>
  <c r="E7046" i="5"/>
  <c r="E7047" i="5"/>
  <c r="E7048" i="5"/>
  <c r="E7049" i="5"/>
  <c r="E7050" i="5"/>
  <c r="E7051" i="5"/>
  <c r="E7052" i="5"/>
  <c r="E7053" i="5"/>
  <c r="E7054" i="5"/>
  <c r="E7055" i="5"/>
  <c r="E7056" i="5"/>
  <c r="E7057" i="5"/>
  <c r="E7058" i="5"/>
  <c r="E7059" i="5"/>
  <c r="E7060" i="5"/>
  <c r="E7061" i="5"/>
  <c r="E7062" i="5"/>
  <c r="E7063" i="5"/>
  <c r="E7064" i="5"/>
  <c r="E7065" i="5"/>
  <c r="E7066" i="5"/>
  <c r="E7067" i="5"/>
  <c r="E7068" i="5"/>
  <c r="E7069" i="5"/>
  <c r="E7070" i="5"/>
  <c r="E7071" i="5"/>
  <c r="E7072" i="5"/>
  <c r="E7073" i="5"/>
  <c r="E7074" i="5"/>
  <c r="E7075" i="5"/>
  <c r="E7076" i="5"/>
  <c r="E7077" i="5"/>
  <c r="E7078" i="5"/>
  <c r="E7079" i="5"/>
  <c r="E7080" i="5"/>
  <c r="E7081" i="5"/>
  <c r="E7082" i="5"/>
  <c r="E7083" i="5"/>
  <c r="E7084" i="5"/>
  <c r="E7085" i="5"/>
  <c r="E7086" i="5"/>
  <c r="E7087" i="5"/>
  <c r="E7088" i="5"/>
  <c r="E7089" i="5"/>
  <c r="E7090" i="5"/>
  <c r="E7091" i="5"/>
  <c r="E7092" i="5"/>
  <c r="E7093" i="5"/>
  <c r="E7094" i="5"/>
  <c r="E7095" i="5"/>
  <c r="E7096" i="5"/>
  <c r="E7097" i="5"/>
  <c r="E7098" i="5"/>
  <c r="E7099" i="5"/>
  <c r="E7100" i="5"/>
  <c r="E7101" i="5"/>
  <c r="E7102" i="5"/>
  <c r="E7103" i="5"/>
  <c r="E7104" i="5"/>
  <c r="E7105" i="5"/>
  <c r="E7106" i="5"/>
  <c r="E7107" i="5"/>
  <c r="E7108" i="5"/>
  <c r="E7109" i="5"/>
  <c r="E7110" i="5"/>
  <c r="E7111" i="5"/>
  <c r="E7112" i="5"/>
  <c r="E7113" i="5"/>
  <c r="E7114" i="5"/>
  <c r="E7115" i="5"/>
  <c r="E7116" i="5"/>
  <c r="E7117" i="5"/>
  <c r="E7118" i="5"/>
  <c r="E7119" i="5"/>
  <c r="E7120" i="5"/>
  <c r="E7121" i="5"/>
  <c r="E7122" i="5"/>
  <c r="E7123" i="5"/>
  <c r="E7124" i="5"/>
  <c r="E7125" i="5"/>
  <c r="E7126" i="5"/>
  <c r="E7127" i="5"/>
  <c r="E7128" i="5"/>
  <c r="E7129" i="5"/>
  <c r="E7130" i="5"/>
  <c r="E7131" i="5"/>
  <c r="E7132" i="5"/>
  <c r="E7133" i="5"/>
  <c r="E7134" i="5"/>
  <c r="E7135" i="5"/>
  <c r="E7136" i="5"/>
  <c r="E7137" i="5"/>
  <c r="E7138" i="5"/>
  <c r="E7139" i="5"/>
  <c r="E7140" i="5"/>
  <c r="E7141" i="5"/>
  <c r="E7142" i="5"/>
  <c r="E7143" i="5"/>
  <c r="E7144" i="5"/>
  <c r="E7145" i="5"/>
  <c r="E7146" i="5"/>
  <c r="E7147" i="5"/>
  <c r="E7148" i="5"/>
  <c r="E7149" i="5"/>
  <c r="E7150" i="5"/>
  <c r="E7151" i="5"/>
  <c r="E7152" i="5"/>
  <c r="E7153" i="5"/>
  <c r="E7154" i="5"/>
  <c r="E7155" i="5"/>
  <c r="E7156" i="5"/>
  <c r="E7157" i="5"/>
  <c r="E7158" i="5"/>
  <c r="E7159" i="5"/>
  <c r="E7160" i="5"/>
  <c r="E7161" i="5"/>
  <c r="E7162" i="5"/>
  <c r="E7163" i="5"/>
  <c r="E7164" i="5"/>
  <c r="E7165" i="5"/>
  <c r="E7166" i="5"/>
  <c r="E7167" i="5"/>
  <c r="E7168" i="5"/>
  <c r="E7169" i="5"/>
  <c r="E7170" i="5"/>
  <c r="E7171" i="5"/>
  <c r="E7172" i="5"/>
  <c r="E7173" i="5"/>
  <c r="E7174" i="5"/>
  <c r="E7175" i="5"/>
  <c r="E7176" i="5"/>
  <c r="E7177" i="5"/>
  <c r="E7178" i="5"/>
  <c r="E7179" i="5"/>
  <c r="E7180" i="5"/>
  <c r="E7181" i="5"/>
  <c r="E7182" i="5"/>
  <c r="E7183" i="5"/>
  <c r="E7184" i="5"/>
  <c r="E7185" i="5"/>
  <c r="E7186" i="5"/>
  <c r="E7187" i="5"/>
  <c r="E7188" i="5"/>
  <c r="E7189" i="5"/>
  <c r="E7190" i="5"/>
  <c r="E7191" i="5"/>
  <c r="E7192" i="5"/>
  <c r="E7193" i="5"/>
  <c r="E7194" i="5"/>
  <c r="E7195" i="5"/>
  <c r="E7196" i="5"/>
  <c r="E7197" i="5"/>
  <c r="E7198" i="5"/>
  <c r="E7199" i="5"/>
  <c r="E7200" i="5"/>
  <c r="E7201" i="5"/>
  <c r="E7202" i="5"/>
  <c r="E7203" i="5"/>
  <c r="E7204" i="5"/>
  <c r="E7205" i="5"/>
  <c r="E7206" i="5"/>
  <c r="E7207" i="5"/>
  <c r="E7208" i="5"/>
  <c r="E7209" i="5"/>
  <c r="E7210" i="5"/>
  <c r="E7211" i="5"/>
  <c r="E7212" i="5"/>
  <c r="E7213" i="5"/>
  <c r="E7214" i="5"/>
  <c r="E7215" i="5"/>
  <c r="E7216" i="5"/>
  <c r="E7217" i="5"/>
  <c r="E7218" i="5"/>
  <c r="E7219" i="5"/>
  <c r="E7220" i="5"/>
  <c r="E7221" i="5"/>
  <c r="E7222" i="5"/>
  <c r="E7223" i="5"/>
  <c r="E7224" i="5"/>
  <c r="E7225" i="5"/>
  <c r="E7226" i="5"/>
  <c r="E7227" i="5"/>
  <c r="E7228" i="5"/>
  <c r="E7229" i="5"/>
  <c r="E7230" i="5"/>
  <c r="E7231" i="5"/>
  <c r="E7232" i="5"/>
  <c r="E7233" i="5"/>
  <c r="E7234" i="5"/>
  <c r="E7235" i="5"/>
  <c r="E7236" i="5"/>
  <c r="E7237" i="5"/>
  <c r="E7238" i="5"/>
  <c r="E7239" i="5"/>
  <c r="E7240" i="5"/>
  <c r="E7241" i="5"/>
  <c r="E7242" i="5"/>
  <c r="E7243" i="5"/>
  <c r="E7244" i="5"/>
  <c r="E7245" i="5"/>
  <c r="E7246" i="5"/>
  <c r="E7247" i="5"/>
  <c r="E7248" i="5"/>
  <c r="E7249" i="5"/>
  <c r="E7250" i="5"/>
  <c r="E7251" i="5"/>
  <c r="E7252" i="5"/>
  <c r="E7253" i="5"/>
  <c r="E7254" i="5"/>
  <c r="E7255" i="5"/>
  <c r="E7256" i="5"/>
  <c r="E7257" i="5"/>
  <c r="E7258" i="5"/>
  <c r="E7259" i="5"/>
  <c r="E7260" i="5"/>
  <c r="E7261" i="5"/>
  <c r="E7262" i="5"/>
  <c r="E7263" i="5"/>
  <c r="E7264" i="5"/>
  <c r="E7265" i="5"/>
  <c r="E7266" i="5"/>
  <c r="E7267" i="5"/>
  <c r="E7268" i="5"/>
  <c r="E7269" i="5"/>
  <c r="E7270" i="5"/>
  <c r="E7271" i="5"/>
  <c r="E7272" i="5"/>
  <c r="E7273" i="5"/>
  <c r="E7274" i="5"/>
  <c r="E7275" i="5"/>
  <c r="E7276" i="5"/>
  <c r="E7277" i="5"/>
  <c r="E7278" i="5"/>
  <c r="E7279" i="5"/>
  <c r="E7280" i="5"/>
  <c r="E7281" i="5"/>
  <c r="E7282" i="5"/>
  <c r="E7283" i="5"/>
  <c r="E7284" i="5"/>
  <c r="E7285" i="5"/>
  <c r="E7286" i="5"/>
  <c r="E7287" i="5"/>
  <c r="E7288" i="5"/>
  <c r="E7289" i="5"/>
  <c r="E7290" i="5"/>
  <c r="E7291" i="5"/>
  <c r="E7292" i="5"/>
  <c r="E7293" i="5"/>
  <c r="E7294" i="5"/>
  <c r="E7295" i="5"/>
  <c r="E7296" i="5"/>
  <c r="E7297" i="5"/>
  <c r="E7298" i="5"/>
  <c r="E7299" i="5"/>
  <c r="E7300" i="5"/>
  <c r="E7301" i="5"/>
  <c r="E7302" i="5"/>
  <c r="E7303" i="5"/>
  <c r="E7304" i="5"/>
  <c r="E7305" i="5"/>
  <c r="E7306" i="5"/>
  <c r="E7307" i="5"/>
  <c r="E7308" i="5"/>
  <c r="E7309" i="5"/>
  <c r="E7310" i="5"/>
  <c r="E7311" i="5"/>
  <c r="E7312" i="5"/>
  <c r="E7313" i="5"/>
  <c r="E7314" i="5"/>
  <c r="E7315" i="5"/>
  <c r="E7316" i="5"/>
  <c r="E7317" i="5"/>
  <c r="E7318" i="5"/>
  <c r="E7319" i="5"/>
  <c r="E7320" i="5"/>
  <c r="E7321" i="5"/>
  <c r="E7322" i="5"/>
  <c r="E7323" i="5"/>
  <c r="E7324" i="5"/>
  <c r="E7325" i="5"/>
  <c r="E7326" i="5"/>
  <c r="E7327" i="5"/>
  <c r="E7328" i="5"/>
  <c r="E7329" i="5"/>
  <c r="E7330" i="5"/>
  <c r="E7331" i="5"/>
  <c r="E7332" i="5"/>
  <c r="E7333" i="5"/>
  <c r="E7334" i="5"/>
  <c r="E7335" i="5"/>
  <c r="E7336" i="5"/>
  <c r="E7337" i="5"/>
  <c r="E7338" i="5"/>
  <c r="E7339" i="5"/>
  <c r="E7340" i="5"/>
  <c r="E7341" i="5"/>
  <c r="E7342" i="5"/>
  <c r="E7343" i="5"/>
  <c r="E7344" i="5"/>
  <c r="E7345" i="5"/>
  <c r="E7346" i="5"/>
  <c r="E7347" i="5"/>
  <c r="E7348" i="5"/>
  <c r="E7349" i="5"/>
  <c r="E7350" i="5"/>
  <c r="E7351" i="5"/>
  <c r="E7352" i="5"/>
  <c r="E7353" i="5"/>
  <c r="E7354" i="5"/>
  <c r="E7355" i="5"/>
  <c r="E7356" i="5"/>
  <c r="E7357" i="5"/>
  <c r="E7358" i="5"/>
  <c r="E7359" i="5"/>
  <c r="E7360" i="5"/>
  <c r="E7361" i="5"/>
  <c r="E7362" i="5"/>
  <c r="E7363" i="5"/>
  <c r="E7364" i="5"/>
  <c r="E7365" i="5"/>
  <c r="E7366" i="5"/>
  <c r="E7367" i="5"/>
  <c r="E7368" i="5"/>
  <c r="E7369" i="5"/>
  <c r="E7370" i="5"/>
  <c r="E7371" i="5"/>
  <c r="E7372" i="5"/>
  <c r="E7373" i="5"/>
  <c r="E7374" i="5"/>
  <c r="E7375" i="5"/>
  <c r="E7376" i="5"/>
  <c r="E7377" i="5"/>
  <c r="E7378" i="5"/>
  <c r="E7379" i="5"/>
  <c r="E7380" i="5"/>
  <c r="E7381" i="5"/>
  <c r="E7382" i="5"/>
  <c r="E7383" i="5"/>
  <c r="E7384" i="5"/>
  <c r="E7385" i="5"/>
  <c r="E7386" i="5"/>
  <c r="E7387" i="5"/>
  <c r="E7388" i="5"/>
  <c r="E7389" i="5"/>
  <c r="E7390" i="5"/>
  <c r="E7391" i="5"/>
  <c r="E7392" i="5"/>
  <c r="E7393" i="5"/>
  <c r="E7394" i="5"/>
  <c r="E7395" i="5"/>
  <c r="E7396" i="5"/>
  <c r="E7397" i="5"/>
  <c r="E7398" i="5"/>
  <c r="E7399" i="5"/>
  <c r="E7400" i="5"/>
  <c r="E7401" i="5"/>
  <c r="E7402" i="5"/>
  <c r="E7403" i="5"/>
  <c r="E7404" i="5"/>
  <c r="E7405" i="5"/>
  <c r="E7406" i="5"/>
  <c r="E7407" i="5"/>
  <c r="E7408" i="5"/>
  <c r="E7409" i="5"/>
  <c r="E7410" i="5"/>
  <c r="E7411" i="5"/>
  <c r="E7412" i="5"/>
  <c r="E7413" i="5"/>
  <c r="E7414" i="5"/>
  <c r="E7415" i="5"/>
  <c r="E7416" i="5"/>
  <c r="E7417" i="5"/>
  <c r="E7418" i="5"/>
  <c r="E7419" i="5"/>
  <c r="E7420" i="5"/>
  <c r="E7421" i="5"/>
  <c r="E7422" i="5"/>
  <c r="E7423" i="5"/>
  <c r="E7424" i="5"/>
  <c r="E7425" i="5"/>
  <c r="E7426" i="5"/>
  <c r="E7427" i="5"/>
  <c r="E7428" i="5"/>
  <c r="E7429" i="5"/>
  <c r="E7430" i="5"/>
  <c r="E7431" i="5"/>
  <c r="E7432" i="5"/>
  <c r="E7433" i="5"/>
  <c r="E7434" i="5"/>
  <c r="E7435" i="5"/>
  <c r="E7436" i="5"/>
  <c r="E7437" i="5"/>
  <c r="E7438" i="5"/>
  <c r="E7439" i="5"/>
  <c r="E7440" i="5"/>
  <c r="E7441" i="5"/>
  <c r="E7442" i="5"/>
  <c r="E7443" i="5"/>
  <c r="E7444" i="5"/>
  <c r="E7445" i="5"/>
  <c r="E7446" i="5"/>
  <c r="E7447" i="5"/>
  <c r="E7448" i="5"/>
  <c r="E7449" i="5"/>
  <c r="E7450" i="5"/>
  <c r="E7451" i="5"/>
  <c r="E7452" i="5"/>
  <c r="E7453" i="5"/>
  <c r="E7454" i="5"/>
  <c r="E7455" i="5"/>
  <c r="E7456" i="5"/>
  <c r="E7457" i="5"/>
  <c r="E7458" i="5"/>
  <c r="E7459" i="5"/>
  <c r="E7460" i="5"/>
  <c r="E7461" i="5"/>
  <c r="E7462" i="5"/>
  <c r="E7463" i="5"/>
  <c r="E7464" i="5"/>
  <c r="E7465" i="5"/>
  <c r="E7466" i="5"/>
  <c r="E7467" i="5"/>
  <c r="E7468" i="5"/>
  <c r="E7469" i="5"/>
  <c r="E7470" i="5"/>
  <c r="E7471" i="5"/>
  <c r="E7472" i="5"/>
  <c r="E7473" i="5"/>
  <c r="E7474" i="5"/>
  <c r="E7475" i="5"/>
  <c r="E7476" i="5"/>
  <c r="E7477" i="5"/>
  <c r="E7478" i="5"/>
  <c r="E7479" i="5"/>
  <c r="E7480" i="5"/>
  <c r="E7481" i="5"/>
  <c r="E7482" i="5"/>
  <c r="E7483" i="5"/>
  <c r="E7484" i="5"/>
  <c r="E7485" i="5"/>
  <c r="E7486" i="5"/>
  <c r="E7487" i="5"/>
  <c r="E7488" i="5"/>
  <c r="E7489" i="5"/>
  <c r="E7490" i="5"/>
  <c r="E7491" i="5"/>
  <c r="E7492" i="5"/>
  <c r="E7493" i="5"/>
  <c r="E7494" i="5"/>
  <c r="E7495" i="5"/>
  <c r="E7496" i="5"/>
  <c r="E7497" i="5"/>
  <c r="E7498" i="5"/>
  <c r="E7499" i="5"/>
  <c r="E7500" i="5"/>
  <c r="E7501" i="5"/>
  <c r="E7502" i="5"/>
  <c r="E7503" i="5"/>
  <c r="E7504" i="5"/>
  <c r="E7505" i="5"/>
  <c r="E7506" i="5"/>
  <c r="E7507" i="5"/>
  <c r="E7508" i="5"/>
  <c r="E7509" i="5"/>
  <c r="E7510" i="5"/>
  <c r="E7511" i="5"/>
  <c r="E7512" i="5"/>
  <c r="E7513" i="5"/>
  <c r="E7514" i="5"/>
  <c r="E7515" i="5"/>
  <c r="E7516" i="5"/>
  <c r="E7517" i="5"/>
  <c r="E7518" i="5"/>
  <c r="E7519" i="5"/>
  <c r="E7520" i="5"/>
  <c r="E7521" i="5"/>
  <c r="E7522" i="5"/>
  <c r="E7523" i="5"/>
  <c r="E7524" i="5"/>
  <c r="E7525" i="5"/>
  <c r="E7526" i="5"/>
  <c r="E7527" i="5"/>
  <c r="E7528" i="5"/>
  <c r="E7529" i="5"/>
  <c r="E7530" i="5"/>
  <c r="E7531" i="5"/>
  <c r="E7532" i="5"/>
  <c r="E7533" i="5"/>
  <c r="E7534" i="5"/>
  <c r="E7535" i="5"/>
  <c r="E7536" i="5"/>
  <c r="E7537" i="5"/>
  <c r="E7538" i="5"/>
  <c r="E7539" i="5"/>
  <c r="E7540" i="5"/>
  <c r="E7541" i="5"/>
  <c r="E7542" i="5"/>
  <c r="E7543" i="5"/>
  <c r="E7544" i="5"/>
  <c r="E7545" i="5"/>
  <c r="E7546" i="5"/>
  <c r="E7547" i="5"/>
  <c r="E7548" i="5"/>
  <c r="E7549" i="5"/>
  <c r="E7550" i="5"/>
  <c r="E7551" i="5"/>
  <c r="E7552" i="5"/>
  <c r="E7553" i="5"/>
  <c r="E7554" i="5"/>
  <c r="E7555" i="5"/>
  <c r="E7556" i="5"/>
  <c r="E7557" i="5"/>
  <c r="E7558" i="5"/>
  <c r="E7559" i="5"/>
  <c r="E7560" i="5"/>
  <c r="E7561" i="5"/>
  <c r="E7562" i="5"/>
  <c r="E7563" i="5"/>
  <c r="E7564" i="5"/>
  <c r="E7565" i="5"/>
  <c r="E7566" i="5"/>
  <c r="E7567" i="5"/>
  <c r="E7568" i="5"/>
  <c r="E7569" i="5"/>
  <c r="E7570" i="5"/>
  <c r="E7571" i="5"/>
  <c r="E7572" i="5"/>
  <c r="E7573" i="5"/>
  <c r="E7574" i="5"/>
  <c r="E7575" i="5"/>
  <c r="E7576" i="5"/>
  <c r="E7577" i="5"/>
  <c r="E7578" i="5"/>
  <c r="E7579" i="5"/>
  <c r="E7580" i="5"/>
  <c r="E7581" i="5"/>
  <c r="E7582" i="5"/>
  <c r="E7583" i="5"/>
  <c r="E7584" i="5"/>
  <c r="E7585" i="5"/>
  <c r="E7586" i="5"/>
  <c r="E7587" i="5"/>
  <c r="E7588" i="5"/>
  <c r="E7589" i="5"/>
  <c r="E7590" i="5"/>
  <c r="E7591" i="5"/>
  <c r="E7592" i="5"/>
  <c r="E7593" i="5"/>
  <c r="E7594" i="5"/>
  <c r="E7595" i="5"/>
  <c r="E7596" i="5"/>
  <c r="E7597" i="5"/>
  <c r="E7598" i="5"/>
  <c r="E7599" i="5"/>
  <c r="E7600" i="5"/>
  <c r="E7601" i="5"/>
  <c r="E7602" i="5"/>
  <c r="E7603" i="5"/>
  <c r="E7604" i="5"/>
  <c r="E7605" i="5"/>
  <c r="E7606" i="5"/>
  <c r="E7607" i="5"/>
  <c r="E7608" i="5"/>
  <c r="E7609" i="5"/>
  <c r="E7610" i="5"/>
  <c r="E7611" i="5"/>
  <c r="E7612" i="5"/>
  <c r="E7613" i="5"/>
  <c r="E7614" i="5"/>
  <c r="E7615" i="5"/>
  <c r="E7616" i="5"/>
  <c r="E7617" i="5"/>
  <c r="E7618" i="5"/>
  <c r="E7619" i="5"/>
  <c r="E7620" i="5"/>
  <c r="E7621" i="5"/>
  <c r="E7622" i="5"/>
  <c r="E7623" i="5"/>
  <c r="E7624" i="5"/>
  <c r="E7625" i="5"/>
  <c r="E7626" i="5"/>
  <c r="E7627" i="5"/>
  <c r="E7628" i="5"/>
  <c r="E7629" i="5"/>
  <c r="E7630" i="5"/>
  <c r="E7631" i="5"/>
  <c r="E7632" i="5"/>
  <c r="E7633" i="5"/>
  <c r="E7634" i="5"/>
  <c r="E7635" i="5"/>
  <c r="E7636" i="5"/>
  <c r="E7637" i="5"/>
  <c r="E7638" i="5"/>
  <c r="E7639" i="5"/>
  <c r="E7640" i="5"/>
  <c r="E7641" i="5"/>
  <c r="E7642" i="5"/>
  <c r="E7643" i="5"/>
  <c r="E7644" i="5"/>
  <c r="E7645" i="5"/>
  <c r="E7646" i="5"/>
  <c r="E7647" i="5"/>
  <c r="E7648" i="5"/>
  <c r="E7649" i="5"/>
  <c r="E7650" i="5"/>
  <c r="E7651" i="5"/>
  <c r="E7652" i="5"/>
  <c r="E7653" i="5"/>
  <c r="E7654" i="5"/>
  <c r="E7655" i="5"/>
  <c r="E7656" i="5"/>
  <c r="E7657" i="5"/>
  <c r="E7658" i="5"/>
  <c r="E7659" i="5"/>
  <c r="E7660" i="5"/>
  <c r="E7661" i="5"/>
  <c r="E7662" i="5"/>
  <c r="E7663" i="5"/>
  <c r="E7664" i="5"/>
  <c r="E7665" i="5"/>
  <c r="E7666" i="5"/>
  <c r="E7667" i="5"/>
  <c r="E7668" i="5"/>
  <c r="E7669" i="5"/>
  <c r="E7670" i="5"/>
  <c r="E7671" i="5"/>
  <c r="E7672" i="5"/>
  <c r="E7673" i="5"/>
  <c r="E7674" i="5"/>
  <c r="E7675" i="5"/>
  <c r="E7676" i="5"/>
  <c r="E7677" i="5"/>
  <c r="E7678" i="5"/>
  <c r="E7679" i="5"/>
  <c r="E7680" i="5"/>
  <c r="E7681" i="5"/>
  <c r="E7682" i="5"/>
  <c r="E7683" i="5"/>
  <c r="E7684" i="5"/>
  <c r="E7685" i="5"/>
  <c r="E7686" i="5"/>
  <c r="E7687" i="5"/>
  <c r="E7688" i="5"/>
  <c r="E7689" i="5"/>
  <c r="E7690" i="5"/>
  <c r="E7691" i="5"/>
  <c r="E7692" i="5"/>
  <c r="E7693" i="5"/>
  <c r="E7694" i="5"/>
  <c r="E7695" i="5"/>
  <c r="E7696" i="5"/>
  <c r="E7697" i="5"/>
  <c r="E7698" i="5"/>
  <c r="E7699" i="5"/>
  <c r="E7700" i="5"/>
  <c r="E7701" i="5"/>
  <c r="E7702" i="5"/>
  <c r="E7703" i="5"/>
  <c r="E7704" i="5"/>
  <c r="E7705" i="5"/>
  <c r="E7706" i="5"/>
  <c r="E7707" i="5"/>
  <c r="E7708" i="5"/>
  <c r="E7709" i="5"/>
  <c r="E7710" i="5"/>
  <c r="E7711" i="5"/>
  <c r="E7712" i="5"/>
  <c r="E7713" i="5"/>
  <c r="E7714" i="5"/>
  <c r="E7715" i="5"/>
  <c r="E7716" i="5"/>
  <c r="E7717" i="5"/>
  <c r="E7718" i="5"/>
  <c r="E7719" i="5"/>
  <c r="E7720" i="5"/>
  <c r="E7721" i="5"/>
  <c r="E7722" i="5"/>
  <c r="E7723" i="5"/>
  <c r="E7724" i="5"/>
  <c r="E7725" i="5"/>
  <c r="E7726" i="5"/>
  <c r="E7727" i="5"/>
  <c r="E7728" i="5"/>
  <c r="E7729" i="5"/>
  <c r="E7730" i="5"/>
  <c r="E7731" i="5"/>
  <c r="E7732" i="5"/>
  <c r="E7733" i="5"/>
  <c r="E7734" i="5"/>
  <c r="E7735" i="5"/>
  <c r="E7736" i="5"/>
  <c r="E7737" i="5"/>
  <c r="E7738" i="5"/>
  <c r="E7739" i="5"/>
  <c r="E7740" i="5"/>
  <c r="E7741" i="5"/>
  <c r="E7742" i="5"/>
  <c r="E7743" i="5"/>
  <c r="E7744" i="5"/>
  <c r="E7745" i="5"/>
  <c r="E7746" i="5"/>
  <c r="E7747" i="5"/>
  <c r="E7748" i="5"/>
  <c r="E7749" i="5"/>
  <c r="E7750" i="5"/>
  <c r="E7751" i="5"/>
  <c r="E7752" i="5"/>
  <c r="E7753" i="5"/>
  <c r="E7754" i="5"/>
  <c r="E7755" i="5"/>
  <c r="E7756" i="5"/>
  <c r="E7757" i="5"/>
  <c r="E7758" i="5"/>
  <c r="E7759" i="5"/>
  <c r="E7760" i="5"/>
  <c r="E7761" i="5"/>
  <c r="E7762" i="5"/>
  <c r="E7763" i="5"/>
  <c r="E7764" i="5"/>
  <c r="E7765" i="5"/>
  <c r="E7766" i="5"/>
  <c r="E7767" i="5"/>
  <c r="E7768" i="5"/>
  <c r="E7769" i="5"/>
  <c r="E7770" i="5"/>
  <c r="E7771" i="5"/>
  <c r="E7772" i="5"/>
  <c r="E7773" i="5"/>
  <c r="E7774" i="5"/>
  <c r="E7775" i="5"/>
  <c r="E7776" i="5"/>
  <c r="E7777" i="5"/>
  <c r="E7778" i="5"/>
  <c r="E7779" i="5"/>
  <c r="E7780" i="5"/>
  <c r="E7781" i="5"/>
  <c r="E7782" i="5"/>
  <c r="E7783" i="5"/>
  <c r="E7784" i="5"/>
  <c r="E7785" i="5"/>
  <c r="E7786" i="5"/>
  <c r="E7787" i="5"/>
  <c r="E7788" i="5"/>
  <c r="E7789" i="5"/>
  <c r="E7790" i="5"/>
  <c r="E7791" i="5"/>
  <c r="E7792" i="5"/>
  <c r="E7793" i="5"/>
  <c r="E7794" i="5"/>
  <c r="E7795" i="5"/>
  <c r="E7796" i="5"/>
  <c r="E7797" i="5"/>
  <c r="E7798" i="5"/>
  <c r="E7799" i="5"/>
  <c r="E7800" i="5"/>
  <c r="E7801" i="5"/>
  <c r="E7802" i="5"/>
  <c r="E7803" i="5"/>
  <c r="E7804" i="5"/>
  <c r="E7805" i="5"/>
  <c r="E7806" i="5"/>
  <c r="E7807" i="5"/>
  <c r="E7808" i="5"/>
  <c r="E7809" i="5"/>
  <c r="E7810" i="5"/>
  <c r="E7811" i="5"/>
  <c r="E7812" i="5"/>
  <c r="E7813" i="5"/>
  <c r="E7814" i="5"/>
  <c r="E7815" i="5"/>
  <c r="E7816" i="5"/>
  <c r="E7817" i="5"/>
  <c r="E7818" i="5"/>
  <c r="E7819" i="5"/>
  <c r="E7820" i="5"/>
  <c r="E7821" i="5"/>
  <c r="E7822" i="5"/>
  <c r="E7823" i="5"/>
  <c r="E7824" i="5"/>
  <c r="E7825" i="5"/>
  <c r="E7826" i="5"/>
  <c r="E7827" i="5"/>
  <c r="E7828" i="5"/>
  <c r="E7829" i="5"/>
  <c r="E7830" i="5"/>
  <c r="E7831" i="5"/>
  <c r="E7832" i="5"/>
  <c r="E7833" i="5"/>
  <c r="E7834" i="5"/>
  <c r="E7835" i="5"/>
  <c r="E7836" i="5"/>
  <c r="E7837" i="5"/>
  <c r="E7838" i="5"/>
  <c r="E7839" i="5"/>
  <c r="E7840" i="5"/>
  <c r="E7841" i="5"/>
  <c r="E7842" i="5"/>
  <c r="E7843" i="5"/>
  <c r="E7844" i="5"/>
  <c r="E7845" i="5"/>
  <c r="E7846" i="5"/>
  <c r="E7847" i="5"/>
  <c r="E7848" i="5"/>
  <c r="E7849" i="5"/>
  <c r="E7850" i="5"/>
  <c r="E7851" i="5"/>
  <c r="E7852" i="5"/>
  <c r="E7853" i="5"/>
  <c r="E7854" i="5"/>
  <c r="E7855" i="5"/>
  <c r="E7856" i="5"/>
  <c r="E7857" i="5"/>
  <c r="E7858" i="5"/>
  <c r="E7859" i="5"/>
  <c r="E7860" i="5"/>
  <c r="E7861" i="5"/>
  <c r="E7862" i="5"/>
  <c r="E7863" i="5"/>
  <c r="E7864" i="5"/>
  <c r="E7865" i="5"/>
  <c r="E7866" i="5"/>
  <c r="E7867" i="5"/>
  <c r="E7868" i="5"/>
  <c r="E7869" i="5"/>
  <c r="E7870" i="5"/>
  <c r="E7871" i="5"/>
  <c r="E7872" i="5"/>
  <c r="E7873" i="5"/>
  <c r="E7874" i="5"/>
  <c r="E7875" i="5"/>
  <c r="E7876" i="5"/>
  <c r="E7877" i="5"/>
  <c r="E7878" i="5"/>
  <c r="E7879" i="5"/>
  <c r="E7880" i="5"/>
  <c r="E7881" i="5"/>
  <c r="E7882" i="5"/>
  <c r="E7883" i="5"/>
  <c r="E7884" i="5"/>
  <c r="E7885" i="5"/>
  <c r="E7886" i="5"/>
  <c r="E7887" i="5"/>
  <c r="E7888" i="5"/>
  <c r="E7889" i="5"/>
  <c r="E7890" i="5"/>
  <c r="E7891" i="5"/>
  <c r="E7892" i="5"/>
  <c r="E7893" i="5"/>
  <c r="E7894" i="5"/>
  <c r="E7895" i="5"/>
  <c r="E7896" i="5"/>
  <c r="E7897" i="5"/>
  <c r="E7898" i="5"/>
  <c r="E7899" i="5"/>
  <c r="E7900" i="5"/>
  <c r="E7901" i="5"/>
  <c r="E7902" i="5"/>
  <c r="E7903" i="5"/>
  <c r="E7904" i="5"/>
  <c r="E7905" i="5"/>
  <c r="E7906" i="5"/>
  <c r="E7907" i="5"/>
  <c r="E7908" i="5"/>
  <c r="E7909" i="5"/>
  <c r="E7910" i="5"/>
  <c r="E7911" i="5"/>
  <c r="E7912" i="5"/>
  <c r="E7913" i="5"/>
  <c r="E7914" i="5"/>
  <c r="E7915" i="5"/>
  <c r="E7916" i="5"/>
  <c r="E7917" i="5"/>
  <c r="E7918" i="5"/>
  <c r="E7919" i="5"/>
  <c r="E7920" i="5"/>
  <c r="E7921" i="5"/>
  <c r="E7922" i="5"/>
  <c r="E7923" i="5"/>
  <c r="E7924" i="5"/>
  <c r="E7925" i="5"/>
  <c r="E7926" i="5"/>
  <c r="E7927" i="5"/>
  <c r="E7928" i="5"/>
  <c r="E7929" i="5"/>
  <c r="E7930" i="5"/>
  <c r="E7931" i="5"/>
  <c r="E7932" i="5"/>
  <c r="E7933" i="5"/>
  <c r="E7934" i="5"/>
  <c r="E7935" i="5"/>
  <c r="E7936" i="5"/>
  <c r="E7937" i="5"/>
  <c r="E7938" i="5"/>
  <c r="E7939" i="5"/>
  <c r="E7940" i="5"/>
  <c r="E7941" i="5"/>
  <c r="E7942" i="5"/>
  <c r="E7943" i="5"/>
  <c r="E7944" i="5"/>
  <c r="E7945" i="5"/>
  <c r="E7946" i="5"/>
  <c r="E7947" i="5"/>
  <c r="E7948" i="5"/>
  <c r="E7949" i="5"/>
  <c r="E7950" i="5"/>
  <c r="E7951" i="5"/>
  <c r="E7952" i="5"/>
  <c r="E7953" i="5"/>
  <c r="E7954" i="5"/>
  <c r="E7955" i="5"/>
  <c r="E7956" i="5"/>
  <c r="E7957" i="5"/>
  <c r="E7958" i="5"/>
  <c r="E7959" i="5"/>
  <c r="E7960" i="5"/>
  <c r="E7961" i="5"/>
  <c r="E7962" i="5"/>
  <c r="E7963" i="5"/>
  <c r="E7964" i="5"/>
  <c r="E7965" i="5"/>
  <c r="E7966" i="5"/>
  <c r="E7967" i="5"/>
  <c r="E7968" i="5"/>
  <c r="E7969" i="5"/>
  <c r="E7970" i="5"/>
  <c r="E7971" i="5"/>
  <c r="E7972" i="5"/>
  <c r="E7973" i="5"/>
  <c r="E7974" i="5"/>
  <c r="E7975" i="5"/>
  <c r="E7976" i="5"/>
  <c r="E7977" i="5"/>
  <c r="E7978" i="5"/>
  <c r="E7979" i="5"/>
  <c r="E7980" i="5"/>
  <c r="E7981" i="5"/>
  <c r="E7982" i="5"/>
  <c r="E7983" i="5"/>
  <c r="E7984" i="5"/>
  <c r="E7985" i="5"/>
  <c r="E7986" i="5"/>
  <c r="E7987" i="5"/>
  <c r="E7988" i="5"/>
  <c r="E7989" i="5"/>
  <c r="E7990" i="5"/>
  <c r="E7991" i="5"/>
  <c r="E7992" i="5"/>
  <c r="E7993" i="5"/>
  <c r="E7994" i="5"/>
  <c r="E7995" i="5"/>
  <c r="E7996" i="5"/>
  <c r="E7997" i="5"/>
  <c r="E7998" i="5"/>
  <c r="E7999" i="5"/>
  <c r="E8000" i="5"/>
  <c r="E8001" i="5"/>
  <c r="E8002" i="5"/>
  <c r="E8003" i="5"/>
  <c r="E8004" i="5"/>
  <c r="E8005" i="5"/>
  <c r="E8006" i="5"/>
  <c r="E8007" i="5"/>
  <c r="E8008" i="5"/>
  <c r="E8009" i="5"/>
  <c r="E8010" i="5"/>
  <c r="E8011" i="5"/>
  <c r="E8012" i="5"/>
  <c r="E8013" i="5"/>
  <c r="E8014" i="5"/>
  <c r="E8015" i="5"/>
  <c r="E8016" i="5"/>
  <c r="E8017" i="5"/>
  <c r="E8018" i="5"/>
  <c r="E8019" i="5"/>
  <c r="E8020" i="5"/>
  <c r="E8021" i="5"/>
  <c r="E8022" i="5"/>
  <c r="E8023" i="5"/>
  <c r="E8024" i="5"/>
  <c r="E8025" i="5"/>
  <c r="E8026" i="5"/>
  <c r="E8027" i="5"/>
  <c r="E8028" i="5"/>
  <c r="E8029" i="5"/>
  <c r="E8030" i="5"/>
  <c r="E8031" i="5"/>
  <c r="E8032" i="5"/>
  <c r="E8033" i="5"/>
  <c r="E8034" i="5"/>
  <c r="E8035" i="5"/>
  <c r="E8036" i="5"/>
  <c r="E8037" i="5"/>
  <c r="E8038" i="5"/>
  <c r="E8039" i="5"/>
  <c r="E8040" i="5"/>
  <c r="E8041" i="5"/>
  <c r="E8042" i="5"/>
  <c r="E8043" i="5"/>
  <c r="E8044" i="5"/>
  <c r="E8045" i="5"/>
  <c r="E8046" i="5"/>
  <c r="E8047" i="5"/>
  <c r="E8048" i="5"/>
  <c r="E8049" i="5"/>
  <c r="E8050" i="5"/>
  <c r="E8051" i="5"/>
  <c r="E8052" i="5"/>
  <c r="E8053" i="5"/>
  <c r="E8054" i="5"/>
  <c r="E8055" i="5"/>
  <c r="E8056" i="5"/>
  <c r="E8057" i="5"/>
  <c r="E8058" i="5"/>
  <c r="E8059" i="5"/>
  <c r="E8060" i="5"/>
  <c r="E8061" i="5"/>
  <c r="E8062" i="5"/>
  <c r="E8063" i="5"/>
  <c r="E8064" i="5"/>
  <c r="E8065" i="5"/>
  <c r="E8066" i="5"/>
  <c r="E8067" i="5"/>
  <c r="E8068" i="5"/>
  <c r="E8069" i="5"/>
  <c r="E8070" i="5"/>
  <c r="E8071" i="5"/>
  <c r="E8072" i="5"/>
  <c r="E8073" i="5"/>
  <c r="E8074" i="5"/>
  <c r="E8075" i="5"/>
  <c r="E8076" i="5"/>
  <c r="E8077" i="5"/>
  <c r="E8078" i="5"/>
  <c r="E8079" i="5"/>
  <c r="E8080" i="5"/>
  <c r="E8081" i="5"/>
  <c r="E8082" i="5"/>
  <c r="E8083" i="5"/>
  <c r="E8084" i="5"/>
  <c r="E8085" i="5"/>
  <c r="E8086" i="5"/>
  <c r="E8087" i="5"/>
  <c r="E8088" i="5"/>
  <c r="E8089" i="5"/>
  <c r="E8090" i="5"/>
  <c r="E8091" i="5"/>
  <c r="E8092" i="5"/>
  <c r="E8093" i="5"/>
  <c r="E8094" i="5"/>
  <c r="E8095" i="5"/>
  <c r="E8096" i="5"/>
  <c r="E8097" i="5"/>
  <c r="E8098" i="5"/>
  <c r="E8099" i="5"/>
  <c r="E8100" i="5"/>
  <c r="E8101" i="5"/>
  <c r="E8102" i="5"/>
  <c r="E8103" i="5"/>
  <c r="E8104" i="5"/>
  <c r="E8105" i="5"/>
  <c r="E8106" i="5"/>
  <c r="E8107" i="5"/>
  <c r="E8108" i="5"/>
  <c r="E8109" i="5"/>
  <c r="E8110" i="5"/>
  <c r="E8111" i="5"/>
  <c r="E8112" i="5"/>
  <c r="E8113" i="5"/>
  <c r="E8114" i="5"/>
  <c r="E8115" i="5"/>
  <c r="E8116" i="5"/>
  <c r="E8117" i="5"/>
  <c r="E8118" i="5"/>
  <c r="E8119" i="5"/>
  <c r="E8120" i="5"/>
  <c r="E8121" i="5"/>
  <c r="E8122" i="5"/>
  <c r="E8123" i="5"/>
  <c r="E8124" i="5"/>
  <c r="E8125" i="5"/>
  <c r="E8126" i="5"/>
  <c r="E8127" i="5"/>
  <c r="E8128" i="5"/>
  <c r="E8129" i="5"/>
  <c r="E8130" i="5"/>
  <c r="E8131" i="5"/>
  <c r="E8132" i="5"/>
  <c r="E8133" i="5"/>
  <c r="E8134" i="5"/>
  <c r="E8135" i="5"/>
  <c r="E8136" i="5"/>
  <c r="E8137" i="5"/>
  <c r="E8138" i="5"/>
  <c r="E8139" i="5"/>
  <c r="E8140" i="5"/>
  <c r="E8141" i="5"/>
  <c r="E8142" i="5"/>
  <c r="E8143" i="5"/>
  <c r="E8144" i="5"/>
  <c r="E8145" i="5"/>
  <c r="E8146" i="5"/>
  <c r="E8147" i="5"/>
  <c r="E8148" i="5"/>
  <c r="E8149" i="5"/>
  <c r="E8150" i="5"/>
  <c r="E8151" i="5"/>
  <c r="E8152" i="5"/>
  <c r="E8153" i="5"/>
  <c r="E8154" i="5"/>
  <c r="E8155" i="5"/>
  <c r="E8156" i="5"/>
  <c r="E8157" i="5"/>
  <c r="E8158" i="5"/>
  <c r="E8159" i="5"/>
  <c r="E8160" i="5"/>
  <c r="E8161" i="5"/>
  <c r="E8162" i="5"/>
  <c r="E8163" i="5"/>
  <c r="E8164" i="5"/>
  <c r="E8165" i="5"/>
  <c r="E8166" i="5"/>
  <c r="E8167" i="5"/>
  <c r="E8168" i="5"/>
  <c r="E8169" i="5"/>
  <c r="E8170" i="5"/>
  <c r="E8171" i="5"/>
  <c r="E8172" i="5"/>
  <c r="E8173" i="5"/>
  <c r="E8174" i="5"/>
  <c r="E8175" i="5"/>
  <c r="E8176" i="5"/>
  <c r="E8177" i="5"/>
  <c r="E8178" i="5"/>
  <c r="E8179" i="5"/>
  <c r="E8180" i="5"/>
  <c r="E8181" i="5"/>
  <c r="E8182" i="5"/>
  <c r="E8183" i="5"/>
  <c r="E8184" i="5"/>
  <c r="E8185" i="5"/>
  <c r="E8186" i="5"/>
  <c r="E8187" i="5"/>
  <c r="E8188" i="5"/>
  <c r="E8189" i="5"/>
  <c r="E8190" i="5"/>
  <c r="E8191" i="5"/>
  <c r="E8192" i="5"/>
  <c r="E8193" i="5"/>
  <c r="E8194" i="5"/>
  <c r="E8195" i="5"/>
  <c r="E8196" i="5"/>
  <c r="E8197" i="5"/>
  <c r="E8198" i="5"/>
  <c r="E8199" i="5"/>
  <c r="E8200" i="5"/>
  <c r="E8201" i="5"/>
  <c r="E8202" i="5"/>
  <c r="E8203" i="5"/>
  <c r="E8204" i="5"/>
  <c r="E8205" i="5"/>
  <c r="E8206" i="5"/>
  <c r="E8207" i="5"/>
  <c r="E8208" i="5"/>
  <c r="E8209" i="5"/>
  <c r="E8210" i="5"/>
  <c r="E8211" i="5"/>
  <c r="E8212" i="5"/>
  <c r="E8213" i="5"/>
  <c r="E8214" i="5"/>
  <c r="E8215" i="5"/>
  <c r="E8216" i="5"/>
  <c r="E8217" i="5"/>
  <c r="E8218" i="5"/>
  <c r="E8219" i="5"/>
  <c r="E8220" i="5"/>
  <c r="E8221" i="5"/>
  <c r="E8222" i="5"/>
  <c r="E8223" i="5"/>
  <c r="E8224" i="5"/>
  <c r="E8225" i="5"/>
  <c r="E8226" i="5"/>
  <c r="E8227" i="5"/>
  <c r="E8228" i="5"/>
  <c r="E8229" i="5"/>
  <c r="E8230" i="5"/>
  <c r="E8231" i="5"/>
  <c r="E8232" i="5"/>
  <c r="E8233" i="5"/>
  <c r="E8234" i="5"/>
  <c r="E8235" i="5"/>
  <c r="E8236" i="5"/>
  <c r="E8237" i="5"/>
  <c r="E8238" i="5"/>
  <c r="E8239" i="5"/>
  <c r="E8240" i="5"/>
  <c r="E8241" i="5"/>
  <c r="E8242" i="5"/>
  <c r="E8243" i="5"/>
  <c r="E8244" i="5"/>
  <c r="E8245" i="5"/>
  <c r="E8246" i="5"/>
  <c r="E8247" i="5"/>
  <c r="E8248" i="5"/>
  <c r="E8249" i="5"/>
  <c r="E8250" i="5"/>
  <c r="E8251" i="5"/>
  <c r="E8252" i="5"/>
  <c r="E8253" i="5"/>
  <c r="E8254" i="5"/>
  <c r="E8255" i="5"/>
  <c r="E8256" i="5"/>
  <c r="E8257" i="5"/>
  <c r="E8258" i="5"/>
  <c r="E8259" i="5"/>
  <c r="E8260" i="5"/>
  <c r="E8261" i="5"/>
  <c r="E8262" i="5"/>
  <c r="E8263" i="5"/>
  <c r="E8264" i="5"/>
  <c r="E8265" i="5"/>
  <c r="E8266" i="5"/>
  <c r="E8267" i="5"/>
  <c r="E8268" i="5"/>
  <c r="E8269" i="5"/>
  <c r="E8270" i="5"/>
  <c r="E8271" i="5"/>
  <c r="E8272" i="5"/>
  <c r="E8273" i="5"/>
  <c r="E8274" i="5"/>
  <c r="E8275" i="5"/>
  <c r="E8276" i="5"/>
  <c r="E8277" i="5"/>
  <c r="E8278" i="5"/>
  <c r="E8279" i="5"/>
  <c r="E8280" i="5"/>
  <c r="E8281" i="5"/>
  <c r="E8282" i="5"/>
  <c r="E8283" i="5"/>
  <c r="E8284" i="5"/>
  <c r="E8285" i="5"/>
  <c r="E8286" i="5"/>
  <c r="E8287" i="5"/>
  <c r="E8288" i="5"/>
  <c r="E8289" i="5"/>
  <c r="E8290" i="5"/>
  <c r="E8291" i="5"/>
  <c r="E8292" i="5"/>
  <c r="E8293" i="5"/>
  <c r="E8294" i="5"/>
  <c r="E8295" i="5"/>
  <c r="E8296" i="5"/>
  <c r="E8297" i="5"/>
  <c r="E8298" i="5"/>
  <c r="E8299" i="5"/>
  <c r="E8300" i="5"/>
  <c r="E8301" i="5"/>
  <c r="E8302" i="5"/>
  <c r="E8303" i="5"/>
  <c r="E8304" i="5"/>
  <c r="E8305" i="5"/>
  <c r="E8306" i="5"/>
  <c r="E8307" i="5"/>
  <c r="E8308" i="5"/>
  <c r="E8309" i="5"/>
  <c r="E8310" i="5"/>
  <c r="E8311" i="5"/>
  <c r="E8312" i="5"/>
  <c r="E8313" i="5"/>
  <c r="E8314" i="5"/>
  <c r="E8315" i="5"/>
  <c r="E8316" i="5"/>
  <c r="E8317" i="5"/>
  <c r="E8318" i="5"/>
  <c r="E8319" i="5"/>
  <c r="E8320" i="5"/>
  <c r="E8321" i="5"/>
  <c r="E8322" i="5"/>
  <c r="E8323" i="5"/>
  <c r="E8324" i="5"/>
  <c r="E8325" i="5"/>
  <c r="E8326" i="5"/>
  <c r="E8327" i="5"/>
  <c r="E8328" i="5"/>
  <c r="E8329" i="5"/>
  <c r="E8330" i="5"/>
  <c r="E8331" i="5"/>
  <c r="E8332" i="5"/>
  <c r="E8333" i="5"/>
  <c r="E8334" i="5"/>
  <c r="E8335" i="5"/>
  <c r="E8336" i="5"/>
  <c r="E8337" i="5"/>
  <c r="E8338" i="5"/>
  <c r="E8339" i="5"/>
  <c r="E8340" i="5"/>
  <c r="E8341" i="5"/>
  <c r="E8342" i="5"/>
  <c r="E8343" i="5"/>
  <c r="E8344" i="5"/>
  <c r="E8345" i="5"/>
  <c r="E8346" i="5"/>
  <c r="E8347" i="5"/>
  <c r="E8348" i="5"/>
  <c r="E8349" i="5"/>
  <c r="E8350" i="5"/>
  <c r="E8351" i="5"/>
  <c r="E8352" i="5"/>
  <c r="E8353" i="5"/>
  <c r="E8354" i="5"/>
  <c r="E8355" i="5"/>
  <c r="E8356" i="5"/>
  <c r="E8357" i="5"/>
  <c r="E8358" i="5"/>
  <c r="E8359" i="5"/>
  <c r="E8360" i="5"/>
  <c r="E8361" i="5"/>
  <c r="E8362" i="5"/>
  <c r="E8363" i="5"/>
  <c r="E8364" i="5"/>
  <c r="E8365" i="5"/>
  <c r="E8366" i="5"/>
  <c r="E8367" i="5"/>
  <c r="E8368" i="5"/>
  <c r="E8369" i="5"/>
  <c r="E8370" i="5"/>
  <c r="E8371" i="5"/>
  <c r="E8372" i="5"/>
  <c r="E8373" i="5"/>
  <c r="E8374" i="5"/>
  <c r="E8375" i="5"/>
  <c r="E8376" i="5"/>
  <c r="E8377" i="5"/>
  <c r="E8378" i="5"/>
  <c r="E8379" i="5"/>
  <c r="E8380" i="5"/>
  <c r="E8381" i="5"/>
  <c r="E8382" i="5"/>
  <c r="E8383" i="5"/>
  <c r="E8384" i="5"/>
  <c r="E8385" i="5"/>
  <c r="E8386" i="5"/>
  <c r="E8387" i="5"/>
  <c r="E8388" i="5"/>
  <c r="E8389" i="5"/>
  <c r="E8390" i="5"/>
  <c r="E8391" i="5"/>
  <c r="E8392" i="5"/>
  <c r="E8393" i="5"/>
  <c r="E8394" i="5"/>
  <c r="E8395" i="5"/>
  <c r="E8396" i="5"/>
  <c r="E8397" i="5"/>
  <c r="E8398" i="5"/>
  <c r="E8399" i="5"/>
  <c r="E8400" i="5"/>
  <c r="E8401" i="5"/>
  <c r="E8402" i="5"/>
  <c r="E8403" i="5"/>
  <c r="E8404" i="5"/>
  <c r="E8405" i="5"/>
  <c r="E8406" i="5"/>
  <c r="E8407" i="5"/>
  <c r="E8408" i="5"/>
  <c r="E8409" i="5"/>
  <c r="E8410" i="5"/>
  <c r="E8411" i="5"/>
  <c r="E8412" i="5"/>
  <c r="E8413" i="5"/>
  <c r="E8414" i="5"/>
  <c r="E8415" i="5"/>
  <c r="E8416" i="5"/>
  <c r="E8417" i="5"/>
  <c r="E8418" i="5"/>
  <c r="E8419" i="5"/>
  <c r="E8420" i="5"/>
  <c r="E8421" i="5"/>
  <c r="E8422" i="5"/>
  <c r="E8423" i="5"/>
  <c r="E8424" i="5"/>
  <c r="E8425" i="5"/>
  <c r="E8426" i="5"/>
  <c r="E8427" i="5"/>
  <c r="E8428" i="5"/>
  <c r="E8429" i="5"/>
  <c r="E8430" i="5"/>
  <c r="E8431" i="5"/>
  <c r="E8432" i="5"/>
  <c r="E8433" i="5"/>
  <c r="E8434" i="5"/>
  <c r="E8435" i="5"/>
  <c r="E8436" i="5"/>
  <c r="E8437" i="5"/>
  <c r="E8438" i="5"/>
  <c r="E8439" i="5"/>
  <c r="E8440" i="5"/>
  <c r="E8441" i="5"/>
  <c r="E8442" i="5"/>
  <c r="E8443" i="5"/>
  <c r="E8444" i="5"/>
  <c r="E8445" i="5"/>
  <c r="E8446" i="5"/>
  <c r="E8447" i="5"/>
  <c r="E8448" i="5"/>
  <c r="E8449" i="5"/>
  <c r="E8450" i="5"/>
  <c r="E8451" i="5"/>
  <c r="E8452" i="5"/>
  <c r="E8453" i="5"/>
  <c r="E8454" i="5"/>
  <c r="E8455" i="5"/>
  <c r="E8456" i="5"/>
  <c r="E8457" i="5"/>
  <c r="E8458" i="5"/>
  <c r="E8459" i="5"/>
  <c r="E8460" i="5"/>
  <c r="E8461" i="5"/>
  <c r="E8462" i="5"/>
  <c r="E8463" i="5"/>
  <c r="E8464" i="5"/>
  <c r="E8465" i="5"/>
  <c r="E8466" i="5"/>
  <c r="E8467" i="5"/>
  <c r="E8468" i="5"/>
  <c r="E8469" i="5"/>
  <c r="E8470" i="5"/>
  <c r="E8471" i="5"/>
  <c r="E8472" i="5"/>
  <c r="E8473" i="5"/>
  <c r="E8474" i="5"/>
  <c r="E8475" i="5"/>
  <c r="E8476" i="5"/>
  <c r="E8477" i="5"/>
  <c r="E8478" i="5"/>
  <c r="E8479" i="5"/>
  <c r="E8480" i="5"/>
  <c r="E8481" i="5"/>
  <c r="E8482" i="5"/>
  <c r="E8483" i="5"/>
  <c r="E8484" i="5"/>
  <c r="E8485" i="5"/>
  <c r="E8486" i="5"/>
  <c r="E8487" i="5"/>
  <c r="E8488" i="5"/>
  <c r="E8489" i="5"/>
  <c r="E8490" i="5"/>
  <c r="E8491" i="5"/>
  <c r="E8492" i="5"/>
  <c r="E8493" i="5"/>
  <c r="E8494" i="5"/>
  <c r="E8495" i="5"/>
  <c r="E8496" i="5"/>
  <c r="E8497" i="5"/>
  <c r="E8498" i="5"/>
  <c r="E8499" i="5"/>
  <c r="E8500" i="5"/>
  <c r="E8501" i="5"/>
  <c r="E8502" i="5"/>
  <c r="E8503" i="5"/>
  <c r="E8504" i="5"/>
  <c r="E8505" i="5"/>
  <c r="E8506" i="5"/>
  <c r="E8507" i="5"/>
  <c r="E8508" i="5"/>
  <c r="E8509" i="5"/>
  <c r="E8510" i="5"/>
  <c r="E8511" i="5"/>
  <c r="E8512" i="5"/>
  <c r="E8513" i="5"/>
  <c r="E8514" i="5"/>
  <c r="E8515" i="5"/>
  <c r="E8516" i="5"/>
  <c r="E8517" i="5"/>
  <c r="E8518" i="5"/>
  <c r="E8519" i="5"/>
  <c r="E8520" i="5"/>
  <c r="E8521" i="5"/>
  <c r="E8522" i="5"/>
  <c r="E8523" i="5"/>
  <c r="E8524" i="5"/>
  <c r="E8525" i="5"/>
  <c r="E8526" i="5"/>
  <c r="E8527" i="5"/>
  <c r="E8528" i="5"/>
  <c r="E8529" i="5"/>
  <c r="E8530" i="5"/>
  <c r="E8531" i="5"/>
  <c r="E8532" i="5"/>
  <c r="E8533" i="5"/>
  <c r="E8534" i="5"/>
  <c r="E8535" i="5"/>
  <c r="E8536" i="5"/>
  <c r="E8537" i="5"/>
  <c r="E8538" i="5"/>
  <c r="E8539" i="5"/>
  <c r="E8540" i="5"/>
  <c r="E8541" i="5"/>
  <c r="E8542" i="5"/>
  <c r="E8543" i="5"/>
  <c r="E8544" i="5"/>
  <c r="E8545" i="5"/>
  <c r="E8546" i="5"/>
  <c r="E8547" i="5"/>
  <c r="E8548" i="5"/>
  <c r="E8549" i="5"/>
  <c r="E8550" i="5"/>
  <c r="E8551" i="5"/>
  <c r="E8552" i="5"/>
  <c r="E8553" i="5"/>
  <c r="E8554" i="5"/>
  <c r="E8555" i="5"/>
  <c r="E8556" i="5"/>
  <c r="E8557" i="5"/>
  <c r="E8558" i="5"/>
  <c r="E8559" i="5"/>
  <c r="E8560" i="5"/>
  <c r="E8561" i="5"/>
  <c r="E8562" i="5"/>
  <c r="E8563" i="5"/>
  <c r="E8564" i="5"/>
  <c r="E8565" i="5"/>
  <c r="E8566" i="5"/>
  <c r="E8567" i="5"/>
  <c r="E8568" i="5"/>
  <c r="E8569" i="5"/>
  <c r="E8570" i="5"/>
  <c r="E8571" i="5"/>
  <c r="E8572" i="5"/>
  <c r="E8573" i="5"/>
  <c r="E8574" i="5"/>
  <c r="E8575" i="5"/>
  <c r="E8576" i="5"/>
  <c r="E8577" i="5"/>
  <c r="E8578" i="5"/>
  <c r="E8579" i="5"/>
  <c r="E8580" i="5"/>
  <c r="E8581" i="5"/>
  <c r="E8582" i="5"/>
  <c r="E8583" i="5"/>
  <c r="E8584" i="5"/>
  <c r="E8585" i="5"/>
  <c r="E8586" i="5"/>
  <c r="E8587" i="5"/>
  <c r="E8588" i="5"/>
  <c r="E8589" i="5"/>
  <c r="E8590" i="5"/>
  <c r="E8591" i="5"/>
  <c r="E8592" i="5"/>
  <c r="E8593" i="5"/>
  <c r="E8594" i="5"/>
  <c r="E8595" i="5"/>
  <c r="E8596" i="5"/>
  <c r="E8597" i="5"/>
  <c r="E8598" i="5"/>
  <c r="E8599" i="5"/>
  <c r="E8600" i="5"/>
  <c r="E8601" i="5"/>
  <c r="E8602" i="5"/>
  <c r="E8603" i="5"/>
  <c r="E8604" i="5"/>
  <c r="E8605" i="5"/>
  <c r="E8606" i="5"/>
  <c r="E8607" i="5"/>
  <c r="E8608" i="5"/>
  <c r="E8609" i="5"/>
  <c r="E8610" i="5"/>
  <c r="E8611" i="5"/>
  <c r="E8612" i="5"/>
  <c r="E8613" i="5"/>
  <c r="E8614" i="5"/>
  <c r="E8615" i="5"/>
  <c r="E8616" i="5"/>
  <c r="E8617" i="5"/>
  <c r="E8618" i="5"/>
  <c r="E8619" i="5"/>
  <c r="E8620" i="5"/>
  <c r="E8621" i="5"/>
  <c r="E8622" i="5"/>
  <c r="E8623" i="5"/>
  <c r="E8624" i="5"/>
  <c r="E8625" i="5"/>
  <c r="E8626" i="5"/>
  <c r="E8627" i="5"/>
  <c r="E8628" i="5"/>
  <c r="E8629" i="5"/>
  <c r="E8630" i="5"/>
  <c r="E8631" i="5"/>
  <c r="E8632" i="5"/>
  <c r="E8633" i="5"/>
  <c r="E8634" i="5"/>
  <c r="E8635" i="5"/>
  <c r="E8636" i="5"/>
  <c r="E8637" i="5"/>
  <c r="E8638" i="5"/>
  <c r="E8639" i="5"/>
  <c r="E8640" i="5"/>
  <c r="E8641" i="5"/>
  <c r="E8642" i="5"/>
  <c r="E8643" i="5"/>
  <c r="E8644" i="5"/>
  <c r="E8645" i="5"/>
  <c r="E8646" i="5"/>
  <c r="E8647" i="5"/>
  <c r="E8648" i="5"/>
  <c r="E8649" i="5"/>
  <c r="E8650" i="5"/>
  <c r="E8651" i="5"/>
  <c r="E8652" i="5"/>
  <c r="E8653" i="5"/>
  <c r="E8654" i="5"/>
  <c r="E8655" i="5"/>
  <c r="E8656" i="5"/>
  <c r="E8657" i="5"/>
  <c r="E8658" i="5"/>
  <c r="E8659" i="5"/>
  <c r="E8660" i="5"/>
  <c r="E8661" i="5"/>
  <c r="E8662" i="5"/>
  <c r="E8663" i="5"/>
  <c r="E8664" i="5"/>
  <c r="E8665" i="5"/>
  <c r="E8666" i="5"/>
  <c r="E8667" i="5"/>
  <c r="E8668" i="5"/>
  <c r="E8669" i="5"/>
  <c r="E8670" i="5"/>
  <c r="E8671" i="5"/>
  <c r="E8672" i="5"/>
  <c r="E8673" i="5"/>
  <c r="E8674" i="5"/>
  <c r="E8675" i="5"/>
  <c r="E8676" i="5"/>
  <c r="E8677" i="5"/>
  <c r="E8678" i="5"/>
  <c r="E8679" i="5"/>
  <c r="E8680" i="5"/>
  <c r="E8681" i="5"/>
  <c r="E8682" i="5"/>
  <c r="E8683" i="5"/>
  <c r="E8684" i="5"/>
  <c r="E8685" i="5"/>
  <c r="E8686" i="5"/>
  <c r="E8687" i="5"/>
  <c r="E8688" i="5"/>
  <c r="E8689" i="5"/>
  <c r="E8690" i="5"/>
  <c r="E8691" i="5"/>
  <c r="E8692" i="5"/>
  <c r="E8693" i="5"/>
  <c r="E8694" i="5"/>
  <c r="E8695" i="5"/>
  <c r="E8696" i="5"/>
  <c r="E8697" i="5"/>
  <c r="E8698" i="5"/>
  <c r="E8699" i="5"/>
  <c r="E8700" i="5"/>
  <c r="E8701" i="5"/>
  <c r="E8702" i="5"/>
  <c r="E8703" i="5"/>
  <c r="E8704" i="5"/>
  <c r="E8705" i="5"/>
  <c r="E8706" i="5"/>
  <c r="E8707" i="5"/>
  <c r="E8708" i="5"/>
  <c r="E8709" i="5"/>
  <c r="E8710" i="5"/>
  <c r="E8711" i="5"/>
  <c r="E8712" i="5"/>
  <c r="E8713" i="5"/>
  <c r="E8714" i="5"/>
  <c r="E8715" i="5"/>
  <c r="E8716" i="5"/>
  <c r="E8717" i="5"/>
  <c r="E8718" i="5"/>
  <c r="E8719" i="5"/>
  <c r="E8720" i="5"/>
  <c r="E8721" i="5"/>
  <c r="E8722" i="5"/>
  <c r="E8723" i="5"/>
  <c r="E8724" i="5"/>
  <c r="E8725" i="5"/>
  <c r="E8726" i="5"/>
  <c r="E8727" i="5"/>
  <c r="E8728" i="5"/>
  <c r="E8729" i="5"/>
  <c r="E8730" i="5"/>
  <c r="E8731" i="5"/>
  <c r="E8732" i="5"/>
  <c r="E8733" i="5"/>
  <c r="E8734" i="5"/>
  <c r="E8735" i="5"/>
  <c r="E8736" i="5"/>
  <c r="E8737" i="5"/>
  <c r="E8738" i="5"/>
  <c r="E8739" i="5"/>
  <c r="E8740" i="5"/>
  <c r="E8741" i="5"/>
  <c r="E8742" i="5"/>
  <c r="E8743" i="5"/>
  <c r="E8744" i="5"/>
  <c r="E8745" i="5"/>
  <c r="E8746" i="5"/>
  <c r="E8747" i="5"/>
  <c r="E8748" i="5"/>
  <c r="E8749" i="5"/>
  <c r="E8750" i="5"/>
  <c r="E8751" i="5"/>
  <c r="E8752" i="5"/>
  <c r="E8753" i="5"/>
  <c r="E8754" i="5"/>
  <c r="E8755" i="5"/>
  <c r="E8756" i="5"/>
  <c r="E8757" i="5"/>
  <c r="E8758" i="5"/>
  <c r="E8759" i="5"/>
  <c r="E8760" i="5"/>
  <c r="E8761" i="5"/>
  <c r="E8762" i="5"/>
  <c r="E8763" i="5"/>
  <c r="E8764" i="5"/>
  <c r="E8765" i="5"/>
  <c r="E8766" i="5"/>
  <c r="E8767" i="5"/>
  <c r="E8768" i="5"/>
  <c r="E8769" i="5"/>
  <c r="E8770" i="5"/>
  <c r="E8771" i="5"/>
  <c r="E8772" i="5"/>
  <c r="E8773" i="5"/>
  <c r="E8774" i="5"/>
  <c r="E8775" i="5"/>
  <c r="E8776" i="5"/>
  <c r="E8777" i="5"/>
  <c r="E8778" i="5"/>
  <c r="E8779" i="5"/>
  <c r="E8780" i="5"/>
  <c r="E8781" i="5"/>
  <c r="E8782" i="5"/>
  <c r="E8783" i="5"/>
  <c r="E8784" i="5"/>
  <c r="E8785" i="5"/>
  <c r="E8786" i="5"/>
  <c r="E8787" i="5"/>
  <c r="E8788" i="5"/>
  <c r="E8789" i="5"/>
  <c r="E8790" i="5"/>
  <c r="E8791" i="5"/>
  <c r="E8792" i="5"/>
  <c r="E8793" i="5"/>
  <c r="E8794" i="5"/>
  <c r="E8795" i="5"/>
  <c r="E8796" i="5"/>
  <c r="E8797" i="5"/>
  <c r="E8798" i="5"/>
  <c r="E8799" i="5"/>
  <c r="E8800" i="5"/>
  <c r="E8801" i="5"/>
  <c r="E8802" i="5"/>
  <c r="E8803" i="5"/>
  <c r="E8804" i="5"/>
  <c r="E8805" i="5"/>
  <c r="E8806" i="5"/>
  <c r="E8807" i="5"/>
  <c r="E8808" i="5"/>
  <c r="E8809" i="5"/>
  <c r="E8810" i="5"/>
  <c r="E8811" i="5"/>
  <c r="E8812" i="5"/>
  <c r="E8813" i="5"/>
  <c r="E8814" i="5"/>
  <c r="E8815" i="5"/>
  <c r="E8816" i="5"/>
  <c r="E8817" i="5"/>
  <c r="E8818" i="5"/>
  <c r="E8819" i="5"/>
  <c r="E8820" i="5"/>
  <c r="E8821" i="5"/>
  <c r="E8822" i="5"/>
  <c r="E8823" i="5"/>
  <c r="E8824" i="5"/>
  <c r="E8825" i="5"/>
  <c r="E8826" i="5"/>
  <c r="E8827" i="5"/>
  <c r="E8828" i="5"/>
  <c r="E8829" i="5"/>
  <c r="E8830" i="5"/>
  <c r="E8831" i="5"/>
  <c r="E8832" i="5"/>
  <c r="E8833" i="5"/>
  <c r="E8834" i="5"/>
  <c r="E8835" i="5"/>
  <c r="E8836" i="5"/>
  <c r="E8837" i="5"/>
  <c r="E8838" i="5"/>
  <c r="E8839" i="5"/>
  <c r="E8840" i="5"/>
  <c r="E8841" i="5"/>
  <c r="E8842" i="5"/>
  <c r="E8843" i="5"/>
  <c r="E8844" i="5"/>
  <c r="E8845" i="5"/>
  <c r="E8846" i="5"/>
  <c r="E8847" i="5"/>
  <c r="E8848" i="5"/>
  <c r="E8849" i="5"/>
  <c r="E8850" i="5"/>
  <c r="E8851" i="5"/>
  <c r="E8852" i="5"/>
  <c r="E8853" i="5"/>
  <c r="E8854" i="5"/>
  <c r="E8855" i="5"/>
  <c r="E8856" i="5"/>
  <c r="E8857" i="5"/>
  <c r="E8858" i="5"/>
  <c r="E8859" i="5"/>
  <c r="E8860" i="5"/>
  <c r="E8861" i="5"/>
  <c r="E8862" i="5"/>
  <c r="E8863" i="5"/>
  <c r="E8864" i="5"/>
  <c r="E8865" i="5"/>
  <c r="E8866" i="5"/>
  <c r="E8867" i="5"/>
  <c r="E8868" i="5"/>
  <c r="E8869" i="5"/>
  <c r="E8870" i="5"/>
  <c r="E8871" i="5"/>
  <c r="E8872" i="5"/>
  <c r="E8873" i="5"/>
  <c r="E8874" i="5"/>
  <c r="E8875" i="5"/>
  <c r="E8876" i="5"/>
  <c r="E8877" i="5"/>
  <c r="E8878" i="5"/>
  <c r="E8879" i="5"/>
  <c r="E8880" i="5"/>
  <c r="E8881" i="5"/>
  <c r="E8882" i="5"/>
  <c r="E8883" i="5"/>
  <c r="E8884" i="5"/>
  <c r="E8885" i="5"/>
  <c r="E8886" i="5"/>
  <c r="E8887" i="5"/>
  <c r="E8888" i="5"/>
  <c r="E8889" i="5"/>
  <c r="E8890" i="5"/>
  <c r="E8891" i="5"/>
  <c r="E8892" i="5"/>
  <c r="E8893" i="5"/>
  <c r="E8894" i="5"/>
  <c r="E8895" i="5"/>
  <c r="E8896" i="5"/>
  <c r="E8897" i="5"/>
  <c r="E8898" i="5"/>
  <c r="E8899" i="5"/>
  <c r="E8900" i="5"/>
  <c r="E8901" i="5"/>
  <c r="E8902" i="5"/>
  <c r="E8903" i="5"/>
  <c r="E8904" i="5"/>
  <c r="E8905" i="5"/>
  <c r="E8906" i="5"/>
  <c r="E8907" i="5"/>
  <c r="E8908" i="5"/>
  <c r="E8909" i="5"/>
  <c r="E8910" i="5"/>
  <c r="E8911" i="5"/>
  <c r="E8912" i="5"/>
  <c r="E8913" i="5"/>
  <c r="E8914" i="5"/>
  <c r="E8915" i="5"/>
  <c r="E8916" i="5"/>
  <c r="E8917" i="5"/>
  <c r="E8918" i="5"/>
  <c r="E8919" i="5"/>
  <c r="E8920" i="5"/>
  <c r="E8921" i="5"/>
  <c r="E8922" i="5"/>
  <c r="E8923" i="5"/>
  <c r="E8924" i="5"/>
  <c r="E8925" i="5"/>
  <c r="E8926" i="5"/>
  <c r="E8927" i="5"/>
  <c r="E8928" i="5"/>
  <c r="E8929" i="5"/>
  <c r="E8930" i="5"/>
  <c r="E8931" i="5"/>
  <c r="E8932" i="5"/>
  <c r="E8933" i="5"/>
  <c r="E8934" i="5"/>
  <c r="E8935" i="5"/>
  <c r="E8936" i="5"/>
  <c r="E8937" i="5"/>
  <c r="E8938" i="5"/>
  <c r="E8939" i="5"/>
  <c r="E8940" i="5"/>
  <c r="E8941" i="5"/>
  <c r="E8942" i="5"/>
  <c r="E8943" i="5"/>
  <c r="E8944" i="5"/>
  <c r="E8945" i="5"/>
  <c r="E8946" i="5"/>
  <c r="E8947" i="5"/>
  <c r="E8948" i="5"/>
  <c r="E8949" i="5"/>
  <c r="E8950" i="5"/>
  <c r="E8951" i="5"/>
  <c r="E8952" i="5"/>
  <c r="E8953" i="5"/>
  <c r="E8954" i="5"/>
  <c r="E8955" i="5"/>
  <c r="E8956" i="5"/>
  <c r="E8957" i="5"/>
  <c r="E8958" i="5"/>
  <c r="E8959" i="5"/>
  <c r="E8960" i="5"/>
  <c r="E8961" i="5"/>
  <c r="E8962" i="5"/>
  <c r="E8963" i="5"/>
  <c r="E8964" i="5"/>
  <c r="E8965" i="5"/>
  <c r="E8966" i="5"/>
  <c r="E8967" i="5"/>
  <c r="E8968" i="5"/>
  <c r="E8969" i="5"/>
  <c r="E8970" i="5"/>
  <c r="E8971" i="5"/>
  <c r="E8972" i="5"/>
  <c r="E8973" i="5"/>
  <c r="E8974" i="5"/>
  <c r="E8975" i="5"/>
  <c r="E8976" i="5"/>
  <c r="E8977" i="5"/>
  <c r="E8978" i="5"/>
  <c r="E8979" i="5"/>
  <c r="E8980" i="5"/>
  <c r="E8981" i="5"/>
  <c r="E8982" i="5"/>
  <c r="E8983" i="5"/>
  <c r="E8984" i="5"/>
  <c r="E8985" i="5"/>
  <c r="E8986" i="5"/>
  <c r="E8987" i="5"/>
  <c r="E8988" i="5"/>
  <c r="E8989" i="5"/>
  <c r="E8990" i="5"/>
  <c r="E8991" i="5"/>
  <c r="E8992" i="5"/>
  <c r="E8993" i="5"/>
  <c r="E8994" i="5"/>
  <c r="E8995" i="5"/>
  <c r="E8996" i="5"/>
  <c r="E8997" i="5"/>
  <c r="E8998" i="5"/>
  <c r="E8999" i="5"/>
  <c r="E9000" i="5"/>
  <c r="E9001" i="5"/>
  <c r="E9002" i="5"/>
  <c r="E9003" i="5"/>
  <c r="E9004" i="5"/>
  <c r="E9005" i="5"/>
  <c r="E9006" i="5"/>
  <c r="E9007" i="5"/>
  <c r="E9008" i="5"/>
  <c r="E9009" i="5"/>
  <c r="E9010" i="5"/>
  <c r="E9011" i="5"/>
  <c r="E9012" i="5"/>
  <c r="E9013" i="5"/>
  <c r="E9014" i="5"/>
  <c r="E9015" i="5"/>
  <c r="E9016" i="5"/>
  <c r="E9017" i="5"/>
  <c r="E9018" i="5"/>
  <c r="E9019" i="5"/>
  <c r="E9020" i="5"/>
  <c r="E9021" i="5"/>
  <c r="E9022" i="5"/>
  <c r="E9023" i="5"/>
  <c r="E9024" i="5"/>
  <c r="E9025" i="5"/>
  <c r="E9026" i="5"/>
  <c r="E9027" i="5"/>
  <c r="E9028" i="5"/>
  <c r="E9029" i="5"/>
  <c r="E9030" i="5"/>
  <c r="E9031" i="5"/>
  <c r="E9032" i="5"/>
  <c r="E9033" i="5"/>
  <c r="E9034" i="5"/>
  <c r="E9035" i="5"/>
  <c r="E9036" i="5"/>
  <c r="E9037" i="5"/>
  <c r="E9038" i="5"/>
  <c r="E9039" i="5"/>
  <c r="E9040" i="5"/>
  <c r="E9041" i="5"/>
  <c r="E9042" i="5"/>
  <c r="E9043" i="5"/>
  <c r="E9044" i="5"/>
  <c r="E9045" i="5"/>
  <c r="E9046" i="5"/>
  <c r="E9047" i="5"/>
  <c r="E9048" i="5"/>
  <c r="E9049" i="5"/>
  <c r="E9050" i="5"/>
  <c r="E9051" i="5"/>
  <c r="E9052" i="5"/>
  <c r="E9053" i="5"/>
  <c r="E9054" i="5"/>
  <c r="E9055" i="5"/>
  <c r="E9056" i="5"/>
  <c r="E9057" i="5"/>
  <c r="E9058" i="5"/>
  <c r="E9059" i="5"/>
  <c r="E9060" i="5"/>
  <c r="E9061" i="5"/>
  <c r="E9062" i="5"/>
  <c r="E9063" i="5"/>
  <c r="E9064" i="5"/>
  <c r="E9065" i="5"/>
  <c r="E9066" i="5"/>
  <c r="E9067" i="5"/>
  <c r="E9068" i="5"/>
  <c r="E9069" i="5"/>
  <c r="E9070" i="5"/>
  <c r="E9071" i="5"/>
  <c r="E9072" i="5"/>
  <c r="E9073" i="5"/>
  <c r="E9074" i="5"/>
  <c r="E9075" i="5"/>
  <c r="E9076" i="5"/>
  <c r="E9077" i="5"/>
  <c r="E9078" i="5"/>
  <c r="E9079" i="5"/>
  <c r="E9080" i="5"/>
  <c r="E9081" i="5"/>
  <c r="E9082" i="5"/>
  <c r="E9083" i="5"/>
  <c r="E9084" i="5"/>
  <c r="E9085" i="5"/>
  <c r="E9086" i="5"/>
  <c r="E9087" i="5"/>
  <c r="E9088" i="5"/>
  <c r="E9089" i="5"/>
  <c r="E9090" i="5"/>
  <c r="E9091" i="5"/>
  <c r="E9092" i="5"/>
  <c r="E9093" i="5"/>
  <c r="E9094" i="5"/>
  <c r="E9095" i="5"/>
  <c r="E9096" i="5"/>
  <c r="E9097" i="5"/>
  <c r="E9098" i="5"/>
  <c r="E9099" i="5"/>
  <c r="E9100" i="5"/>
  <c r="E9101" i="5"/>
  <c r="E9102" i="5"/>
  <c r="E9103" i="5"/>
  <c r="E9104" i="5"/>
  <c r="E9105" i="5"/>
  <c r="E9106" i="5"/>
  <c r="E9107" i="5"/>
  <c r="E9108" i="5"/>
  <c r="E9109" i="5"/>
  <c r="E9110" i="5"/>
  <c r="E9111" i="5"/>
  <c r="E9112" i="5"/>
  <c r="E9113" i="5"/>
  <c r="E9114" i="5"/>
  <c r="E9115" i="5"/>
  <c r="E9116" i="5"/>
  <c r="E9117" i="5"/>
  <c r="E9118" i="5"/>
  <c r="E9119" i="5"/>
  <c r="E9120" i="5"/>
  <c r="E9121" i="5"/>
  <c r="E9122" i="5"/>
  <c r="E9123" i="5"/>
  <c r="E9124" i="5"/>
  <c r="E9125" i="5"/>
  <c r="E9126" i="5"/>
  <c r="E9127" i="5"/>
  <c r="E9128" i="5"/>
  <c r="E9129" i="5"/>
  <c r="E9130" i="5"/>
  <c r="E9131" i="5"/>
  <c r="E9132" i="5"/>
  <c r="E9133" i="5"/>
  <c r="E9134" i="5"/>
  <c r="E9135" i="5"/>
  <c r="E9136" i="5"/>
  <c r="E9137" i="5"/>
  <c r="E9138" i="5"/>
  <c r="E9139" i="5"/>
  <c r="E9140" i="5"/>
  <c r="E9141" i="5"/>
  <c r="E9142" i="5"/>
  <c r="E9143" i="5"/>
  <c r="E9144" i="5"/>
  <c r="E9145" i="5"/>
  <c r="E9146" i="5"/>
  <c r="E9147" i="5"/>
  <c r="E9148" i="5"/>
  <c r="E9149" i="5"/>
  <c r="E9150" i="5"/>
  <c r="E9151" i="5"/>
  <c r="E9152" i="5"/>
  <c r="E9153" i="5"/>
  <c r="E9154" i="5"/>
  <c r="E9155" i="5"/>
  <c r="E9156" i="5"/>
  <c r="E9157" i="5"/>
  <c r="E9158" i="5"/>
  <c r="E9159" i="5"/>
  <c r="E9160" i="5"/>
  <c r="E9161" i="5"/>
  <c r="E9162" i="5"/>
  <c r="E9163" i="5"/>
  <c r="E9164" i="5"/>
  <c r="E9165" i="5"/>
  <c r="E9166" i="5"/>
  <c r="E9167" i="5"/>
  <c r="E9168" i="5"/>
  <c r="E9169" i="5"/>
  <c r="E9170" i="5"/>
  <c r="E9171" i="5"/>
  <c r="E9172" i="5"/>
  <c r="E9173" i="5"/>
  <c r="E9174" i="5"/>
  <c r="E9175" i="5"/>
  <c r="E9176" i="5"/>
  <c r="E9177" i="5"/>
  <c r="E9178" i="5"/>
  <c r="E9179" i="5"/>
  <c r="E9180" i="5"/>
  <c r="E9181" i="5"/>
  <c r="E9182" i="5"/>
  <c r="E9183" i="5"/>
  <c r="E9184" i="5"/>
  <c r="E9185" i="5"/>
  <c r="E9186" i="5"/>
  <c r="E9187" i="5"/>
  <c r="E9188" i="5"/>
  <c r="E9189" i="5"/>
  <c r="E9190" i="5"/>
  <c r="E9191" i="5"/>
  <c r="E9192" i="5"/>
  <c r="E9193" i="5"/>
  <c r="E9194" i="5"/>
  <c r="E9195" i="5"/>
  <c r="E9196" i="5"/>
  <c r="E9197" i="5"/>
  <c r="E9198" i="5"/>
  <c r="E9199" i="5"/>
  <c r="E9200" i="5"/>
  <c r="E9201" i="5"/>
  <c r="E9202" i="5"/>
  <c r="E9203" i="5"/>
  <c r="E9204" i="5"/>
  <c r="E9205" i="5"/>
  <c r="E9206" i="5"/>
  <c r="E9207" i="5"/>
  <c r="E9208" i="5"/>
  <c r="E9209" i="5"/>
  <c r="E9210" i="5"/>
  <c r="E9211" i="5"/>
  <c r="E9212" i="5"/>
  <c r="E9213" i="5"/>
  <c r="E9214" i="5"/>
  <c r="E9215" i="5"/>
  <c r="E9216" i="5"/>
  <c r="E9217" i="5"/>
  <c r="E9218" i="5"/>
  <c r="E9219" i="5"/>
  <c r="E9220" i="5"/>
  <c r="E9221" i="5"/>
  <c r="E9222" i="5"/>
  <c r="E9223" i="5"/>
  <c r="E9224" i="5"/>
  <c r="E9225" i="5"/>
  <c r="E9226" i="5"/>
  <c r="E9227" i="5"/>
  <c r="E9228" i="5"/>
  <c r="E9229" i="5"/>
  <c r="E9230" i="5"/>
  <c r="E9231" i="5"/>
  <c r="E9232" i="5"/>
  <c r="E9233" i="5"/>
  <c r="E9234" i="5"/>
  <c r="E9235" i="5"/>
  <c r="E9236" i="5"/>
  <c r="E9237" i="5"/>
  <c r="E9238" i="5"/>
  <c r="E9239" i="5"/>
  <c r="E9240" i="5"/>
  <c r="E9241" i="5"/>
  <c r="E9242" i="5"/>
  <c r="E9243" i="5"/>
  <c r="E9244" i="5"/>
  <c r="E9245" i="5"/>
  <c r="E9246" i="5"/>
  <c r="E9247" i="5"/>
  <c r="E9248" i="5"/>
  <c r="E9249" i="5"/>
  <c r="E9250" i="5"/>
  <c r="E9251" i="5"/>
  <c r="E9252" i="5"/>
  <c r="E9253" i="5"/>
  <c r="E9254" i="5"/>
  <c r="E9255" i="5"/>
  <c r="E9256" i="5"/>
  <c r="E9257" i="5"/>
  <c r="E9258" i="5"/>
  <c r="E9259" i="5"/>
  <c r="E9260" i="5"/>
  <c r="E9261" i="5"/>
  <c r="E9262" i="5"/>
  <c r="E9263" i="5"/>
  <c r="E9264" i="5"/>
  <c r="E9265" i="5"/>
  <c r="E9266" i="5"/>
  <c r="E9267" i="5"/>
  <c r="E9268" i="5"/>
  <c r="E9269" i="5"/>
  <c r="E9270" i="5"/>
  <c r="E9271" i="5"/>
  <c r="E9272" i="5"/>
  <c r="E9273" i="5"/>
  <c r="E9274" i="5"/>
  <c r="E9275" i="5"/>
  <c r="E9276" i="5"/>
  <c r="E9277" i="5"/>
  <c r="E9278" i="5"/>
  <c r="E9279" i="5"/>
  <c r="E9280" i="5"/>
  <c r="E9281" i="5"/>
  <c r="E9282" i="5"/>
  <c r="E9283" i="5"/>
  <c r="E9284" i="5"/>
  <c r="E9285" i="5"/>
  <c r="E9286" i="5"/>
  <c r="E9287" i="5"/>
  <c r="E9288" i="5"/>
  <c r="E9289" i="5"/>
  <c r="E9290" i="5"/>
  <c r="E9291" i="5"/>
  <c r="E9292" i="5"/>
  <c r="E9293" i="5"/>
  <c r="E9294" i="5"/>
  <c r="E9295" i="5"/>
  <c r="E9296" i="5"/>
  <c r="E9297" i="5"/>
  <c r="E9298" i="5"/>
  <c r="E9299" i="5"/>
  <c r="E9300" i="5"/>
  <c r="E9301" i="5"/>
  <c r="E9302" i="5"/>
  <c r="E9303" i="5"/>
  <c r="E9304" i="5"/>
  <c r="E9305" i="5"/>
  <c r="E9306" i="5"/>
  <c r="E9307" i="5"/>
  <c r="E9308" i="5"/>
  <c r="E9309" i="5"/>
  <c r="E9310" i="5"/>
  <c r="E9311" i="5"/>
  <c r="E9312" i="5"/>
  <c r="E9313" i="5"/>
  <c r="E9314" i="5"/>
  <c r="E9315" i="5"/>
  <c r="E9316" i="5"/>
  <c r="E9317" i="5"/>
  <c r="E9318" i="5"/>
  <c r="E9319" i="5"/>
  <c r="E9320" i="5"/>
  <c r="E9321" i="5"/>
  <c r="E9322" i="5"/>
  <c r="E9323" i="5"/>
  <c r="E9324" i="5"/>
  <c r="E9325" i="5"/>
  <c r="E9326" i="5"/>
  <c r="E9327" i="5"/>
  <c r="E9328" i="5"/>
  <c r="E9329" i="5"/>
  <c r="E9330" i="5"/>
  <c r="E9331" i="5"/>
  <c r="E9332" i="5"/>
  <c r="E9333" i="5"/>
  <c r="E9334" i="5"/>
  <c r="E9335" i="5"/>
  <c r="E9336" i="5"/>
  <c r="E9337" i="5"/>
  <c r="E9338" i="5"/>
  <c r="E9339" i="5"/>
  <c r="E9340" i="5"/>
  <c r="E9341" i="5"/>
  <c r="E9342" i="5"/>
  <c r="E9343" i="5"/>
  <c r="E9344" i="5"/>
  <c r="E9345" i="5"/>
  <c r="E9346" i="5"/>
  <c r="E9347" i="5"/>
  <c r="E9348" i="5"/>
  <c r="E9349" i="5"/>
  <c r="E9350" i="5"/>
  <c r="E9351" i="5"/>
  <c r="E9352" i="5"/>
  <c r="E9353" i="5"/>
  <c r="E9354" i="5"/>
  <c r="E9355" i="5"/>
  <c r="E9356" i="5"/>
  <c r="E9357" i="5"/>
  <c r="E9358" i="5"/>
  <c r="E9359" i="5"/>
  <c r="E9360" i="5"/>
  <c r="E9361" i="5"/>
  <c r="E9362" i="5"/>
  <c r="E9363" i="5"/>
  <c r="E9364" i="5"/>
  <c r="E9365" i="5"/>
  <c r="E9366" i="5"/>
  <c r="E9367" i="5"/>
  <c r="E9368" i="5"/>
  <c r="E9369" i="5"/>
  <c r="E9370" i="5"/>
  <c r="E9371" i="5"/>
  <c r="E9372" i="5"/>
  <c r="E9373" i="5"/>
  <c r="E9374" i="5"/>
  <c r="E9375" i="5"/>
  <c r="E9376" i="5"/>
  <c r="E9377" i="5"/>
  <c r="E9378" i="5"/>
  <c r="E9379" i="5"/>
  <c r="E9380" i="5"/>
  <c r="E9381" i="5"/>
  <c r="E9382" i="5"/>
  <c r="E9383" i="5"/>
  <c r="E9384" i="5"/>
  <c r="E9385" i="5"/>
  <c r="E9386" i="5"/>
  <c r="E9387" i="5"/>
  <c r="E9388" i="5"/>
  <c r="E9389" i="5"/>
  <c r="E9390" i="5"/>
  <c r="E9391" i="5"/>
  <c r="E9392" i="5"/>
  <c r="E9393" i="5"/>
  <c r="E9394" i="5"/>
  <c r="E9395" i="5"/>
  <c r="E9396" i="5"/>
  <c r="E9397" i="5"/>
  <c r="E9398" i="5"/>
  <c r="E9399" i="5"/>
  <c r="E9400" i="5"/>
  <c r="E9401" i="5"/>
  <c r="E9402" i="5"/>
  <c r="E9403" i="5"/>
  <c r="E9404" i="5"/>
  <c r="E9405" i="5"/>
  <c r="E9406" i="5"/>
  <c r="E9407" i="5"/>
  <c r="E9408" i="5"/>
  <c r="E9409" i="5"/>
  <c r="E9410" i="5"/>
  <c r="E9411" i="5"/>
  <c r="E9412" i="5"/>
  <c r="E9413" i="5"/>
  <c r="E9414" i="5"/>
  <c r="E9415" i="5"/>
  <c r="E9416" i="5"/>
  <c r="E9417" i="5"/>
  <c r="E9418" i="5"/>
  <c r="E9419" i="5"/>
  <c r="E9420" i="5"/>
  <c r="E9421" i="5"/>
  <c r="E9422" i="5"/>
  <c r="E9423" i="5"/>
  <c r="E9424" i="5"/>
  <c r="E9425" i="5"/>
  <c r="E9426" i="5"/>
  <c r="E9427" i="5"/>
  <c r="E9428" i="5"/>
  <c r="E9429" i="5"/>
  <c r="E9430" i="5"/>
  <c r="E9431" i="5"/>
  <c r="E9432" i="5"/>
  <c r="E9433" i="5"/>
  <c r="E9434" i="5"/>
  <c r="E9435" i="5"/>
  <c r="E9436" i="5"/>
  <c r="E9437" i="5"/>
  <c r="E9438" i="5"/>
  <c r="E9439" i="5"/>
  <c r="E9440" i="5"/>
  <c r="E9441" i="5"/>
  <c r="E9442" i="5"/>
  <c r="E9443" i="5"/>
  <c r="E9444" i="5"/>
  <c r="E9445" i="5"/>
  <c r="E9446" i="5"/>
  <c r="E9447" i="5"/>
  <c r="E9448" i="5"/>
  <c r="E9449" i="5"/>
  <c r="E9450" i="5"/>
  <c r="E9451" i="5"/>
  <c r="E9452" i="5"/>
  <c r="E9453" i="5"/>
  <c r="E9454" i="5"/>
  <c r="E9455" i="5"/>
  <c r="E9456" i="5"/>
  <c r="E9457" i="5"/>
  <c r="E9458" i="5"/>
  <c r="E9459" i="5"/>
  <c r="E9460" i="5"/>
  <c r="E9461" i="5"/>
  <c r="E9462" i="5"/>
  <c r="E9463" i="5"/>
  <c r="E9464" i="5"/>
  <c r="E9465" i="5"/>
  <c r="E9466" i="5"/>
  <c r="E9467" i="5"/>
  <c r="E9468" i="5"/>
  <c r="E9469" i="5"/>
  <c r="E9470" i="5"/>
  <c r="E9471" i="5"/>
  <c r="E9472" i="5"/>
  <c r="E9473" i="5"/>
  <c r="E9474" i="5"/>
  <c r="E9475" i="5"/>
  <c r="E9476" i="5"/>
  <c r="E9477" i="5"/>
  <c r="E9478" i="5"/>
  <c r="E9479" i="5"/>
  <c r="E9480" i="5"/>
  <c r="E9481" i="5"/>
  <c r="E9482" i="5"/>
  <c r="E9483" i="5"/>
  <c r="E9484" i="5"/>
  <c r="E9485" i="5"/>
  <c r="E9486" i="5"/>
  <c r="E9487" i="5"/>
  <c r="E9488" i="5"/>
  <c r="E9489" i="5"/>
  <c r="E9490" i="5"/>
  <c r="E9491" i="5"/>
  <c r="E9492" i="5"/>
  <c r="E9493" i="5"/>
  <c r="E9494" i="5"/>
  <c r="E9495" i="5"/>
  <c r="E9496" i="5"/>
  <c r="E9497" i="5"/>
  <c r="E9498" i="5"/>
  <c r="E9499" i="5"/>
  <c r="E9500" i="5"/>
  <c r="E9501" i="5"/>
  <c r="E9502" i="5"/>
  <c r="E9503" i="5"/>
  <c r="E9504" i="5"/>
  <c r="E9505" i="5"/>
  <c r="E9506" i="5"/>
  <c r="E9507" i="5"/>
  <c r="E9508" i="5"/>
  <c r="E9509" i="5"/>
  <c r="E9510" i="5"/>
  <c r="E9511" i="5"/>
  <c r="E9512" i="5"/>
  <c r="E9513" i="5"/>
  <c r="E9514" i="5"/>
  <c r="E9515" i="5"/>
  <c r="E9516" i="5"/>
  <c r="E9517" i="5"/>
  <c r="E9518" i="5"/>
  <c r="E9519" i="5"/>
  <c r="E9520" i="5"/>
  <c r="E9521" i="5"/>
  <c r="E9522" i="5"/>
  <c r="E9523" i="5"/>
  <c r="E9524" i="5"/>
  <c r="E9525" i="5"/>
  <c r="E9526" i="5"/>
  <c r="E9527" i="5"/>
  <c r="E9528" i="5"/>
  <c r="E9529" i="5"/>
  <c r="E9530" i="5"/>
  <c r="E9531" i="5"/>
  <c r="E9532" i="5"/>
  <c r="E9533" i="5"/>
  <c r="E9534" i="5"/>
  <c r="E9535" i="5"/>
  <c r="E9536" i="5"/>
  <c r="E9537" i="5"/>
  <c r="E9538" i="5"/>
  <c r="E9539" i="5"/>
  <c r="E9540" i="5"/>
  <c r="E9541" i="5"/>
  <c r="E9542" i="5"/>
  <c r="E9543" i="5"/>
  <c r="E9544" i="5"/>
  <c r="E9545" i="5"/>
  <c r="E9546" i="5"/>
  <c r="E9547" i="5"/>
  <c r="E9548" i="5"/>
  <c r="E9549" i="5"/>
  <c r="E9550" i="5"/>
  <c r="E9551" i="5"/>
  <c r="E9552" i="5"/>
  <c r="E9553" i="5"/>
  <c r="E9554" i="5"/>
  <c r="E9555" i="5"/>
  <c r="E9556" i="5"/>
  <c r="E9557" i="5"/>
  <c r="E9558" i="5"/>
  <c r="E9559" i="5"/>
  <c r="E9560" i="5"/>
  <c r="E9561" i="5"/>
  <c r="E9562" i="5"/>
  <c r="E9563" i="5"/>
  <c r="E9564" i="5"/>
  <c r="E9565" i="5"/>
  <c r="E9566" i="5"/>
  <c r="E9567" i="5"/>
  <c r="E9568" i="5"/>
  <c r="E9569" i="5"/>
  <c r="E9570" i="5"/>
  <c r="E9571" i="5"/>
  <c r="E9572" i="5"/>
  <c r="E9573" i="5"/>
  <c r="E9574" i="5"/>
  <c r="E9575" i="5"/>
  <c r="E9576" i="5"/>
  <c r="E9577" i="5"/>
  <c r="E9578" i="5"/>
  <c r="E9579" i="5"/>
  <c r="E9580" i="5"/>
  <c r="E9581" i="5"/>
  <c r="E9582" i="5"/>
  <c r="E9583" i="5"/>
  <c r="E9584" i="5"/>
  <c r="E9585" i="5"/>
  <c r="E9586" i="5"/>
  <c r="E9587" i="5"/>
  <c r="E9588" i="5"/>
  <c r="E9589" i="5"/>
  <c r="E9590" i="5"/>
  <c r="E9591" i="5"/>
  <c r="E9592" i="5"/>
  <c r="E9593" i="5"/>
  <c r="E9594" i="5"/>
  <c r="E9595" i="5"/>
  <c r="E9596" i="5"/>
  <c r="E9597" i="5"/>
  <c r="E9598" i="5"/>
  <c r="E9599" i="5"/>
  <c r="E9600" i="5"/>
  <c r="E9601" i="5"/>
  <c r="E9602" i="5"/>
  <c r="E9603" i="5"/>
  <c r="E9604" i="5"/>
  <c r="E9605" i="5"/>
  <c r="E9606" i="5"/>
  <c r="E9607" i="5"/>
  <c r="E9608" i="5"/>
  <c r="E9609" i="5"/>
  <c r="E9610" i="5"/>
  <c r="E9611" i="5"/>
  <c r="E9612" i="5"/>
  <c r="E9613" i="5"/>
  <c r="E9614" i="5"/>
  <c r="E9615" i="5"/>
  <c r="E9616" i="5"/>
  <c r="E9617" i="5"/>
  <c r="E9618" i="5"/>
  <c r="E9619" i="5"/>
  <c r="E9620" i="5"/>
  <c r="E9621" i="5"/>
  <c r="E9622" i="5"/>
  <c r="E9623" i="5"/>
  <c r="E9624" i="5"/>
  <c r="E9625" i="5"/>
  <c r="E9626" i="5"/>
  <c r="E9627" i="5"/>
  <c r="E9628" i="5"/>
  <c r="E9629" i="5"/>
  <c r="E9630" i="5"/>
  <c r="E9631" i="5"/>
  <c r="E9632" i="5"/>
  <c r="E9633" i="5"/>
  <c r="E9634" i="5"/>
  <c r="E9635" i="5"/>
  <c r="E9636" i="5"/>
  <c r="E9637" i="5"/>
  <c r="E9638" i="5"/>
  <c r="E9639" i="5"/>
  <c r="E9640" i="5"/>
  <c r="E9641" i="5"/>
  <c r="E9642" i="5"/>
  <c r="E9643" i="5"/>
  <c r="E9644" i="5"/>
  <c r="E9645" i="5"/>
  <c r="E9646" i="5"/>
  <c r="E9647" i="5"/>
  <c r="E9648" i="5"/>
  <c r="E9649" i="5"/>
  <c r="E9650" i="5"/>
  <c r="E9651" i="5"/>
  <c r="E9652" i="5"/>
  <c r="E9653" i="5"/>
  <c r="E9654" i="5"/>
  <c r="E9655" i="5"/>
  <c r="E9656" i="5"/>
  <c r="E9657" i="5"/>
  <c r="E9658" i="5"/>
  <c r="E9659" i="5"/>
  <c r="E9660" i="5"/>
  <c r="E9661" i="5"/>
  <c r="E9662" i="5"/>
  <c r="E9663" i="5"/>
  <c r="E9664" i="5"/>
  <c r="E9665" i="5"/>
  <c r="E9666" i="5"/>
  <c r="E9667" i="5"/>
  <c r="E9668" i="5"/>
  <c r="E9669" i="5"/>
  <c r="E9670" i="5"/>
  <c r="E9671" i="5"/>
  <c r="E9672" i="5"/>
  <c r="E9673" i="5"/>
  <c r="E9674" i="5"/>
  <c r="E9675" i="5"/>
  <c r="E9676" i="5"/>
  <c r="E9677" i="5"/>
  <c r="E9678" i="5"/>
  <c r="E9679" i="5"/>
  <c r="E9680" i="5"/>
  <c r="E9681" i="5"/>
  <c r="E9682" i="5"/>
  <c r="E9683" i="5"/>
  <c r="E9684" i="5"/>
  <c r="E9685" i="5"/>
  <c r="E9686" i="5"/>
  <c r="E9687" i="5"/>
  <c r="E9688" i="5"/>
  <c r="E9689" i="5"/>
  <c r="E9690" i="5"/>
  <c r="E9691" i="5"/>
  <c r="E9692" i="5"/>
  <c r="E9693" i="5"/>
  <c r="E9694" i="5"/>
  <c r="E9695" i="5"/>
  <c r="E9696" i="5"/>
  <c r="E9697" i="5"/>
  <c r="E9698" i="5"/>
  <c r="E9699" i="5"/>
  <c r="E9700" i="5"/>
  <c r="E9701" i="5"/>
  <c r="E9702" i="5"/>
  <c r="E9703" i="5"/>
  <c r="E9704" i="5"/>
  <c r="E9705" i="5"/>
  <c r="E9706" i="5"/>
  <c r="E9707" i="5"/>
  <c r="E9708" i="5"/>
  <c r="E9709" i="5"/>
  <c r="E9710" i="5"/>
  <c r="E9711" i="5"/>
  <c r="E9712" i="5"/>
  <c r="E9713" i="5"/>
  <c r="E9714" i="5"/>
  <c r="E9715" i="5"/>
  <c r="E9716" i="5"/>
  <c r="E9717" i="5"/>
  <c r="E9718" i="5"/>
  <c r="E9719" i="5"/>
  <c r="E9720" i="5"/>
  <c r="E9721" i="5"/>
  <c r="E9722" i="5"/>
  <c r="E9723" i="5"/>
  <c r="E9724" i="5"/>
  <c r="E9725" i="5"/>
  <c r="E9726" i="5"/>
  <c r="E9727" i="5"/>
  <c r="E9728" i="5"/>
  <c r="E9729" i="5"/>
  <c r="E9730" i="5"/>
  <c r="E9731" i="5"/>
  <c r="E9732" i="5"/>
  <c r="E9733" i="5"/>
  <c r="E9734" i="5"/>
  <c r="E9735" i="5"/>
  <c r="E9736" i="5"/>
  <c r="E9737" i="5"/>
  <c r="E9738" i="5"/>
  <c r="E9739" i="5"/>
  <c r="E9740" i="5"/>
  <c r="E9741" i="5"/>
  <c r="E9742" i="5"/>
  <c r="E9743" i="5"/>
  <c r="E9744" i="5"/>
  <c r="E9745" i="5"/>
  <c r="E9746" i="5"/>
  <c r="E9747" i="5"/>
  <c r="E9748" i="5"/>
  <c r="E9749" i="5"/>
  <c r="E9750" i="5"/>
  <c r="E9751" i="5"/>
  <c r="E9752" i="5"/>
  <c r="E9753" i="5"/>
  <c r="E9754" i="5"/>
  <c r="E9755" i="5"/>
  <c r="E9756" i="5"/>
  <c r="E9757" i="5"/>
  <c r="E9758" i="5"/>
  <c r="E9759" i="5"/>
  <c r="E9760" i="5"/>
  <c r="E9761" i="5"/>
  <c r="E9762" i="5"/>
  <c r="E9763" i="5"/>
  <c r="E9764" i="5"/>
  <c r="E9765" i="5"/>
  <c r="E9766" i="5"/>
  <c r="E9767" i="5"/>
  <c r="E9768" i="5"/>
  <c r="E9769" i="5"/>
  <c r="E9770" i="5"/>
  <c r="E9771" i="5"/>
  <c r="E9772" i="5"/>
  <c r="E9773" i="5"/>
  <c r="E9774" i="5"/>
  <c r="E9775" i="5"/>
  <c r="E9776" i="5"/>
  <c r="E9777" i="5"/>
  <c r="E9778" i="5"/>
  <c r="E9779" i="5"/>
  <c r="E9780" i="5"/>
  <c r="E9781" i="5"/>
  <c r="E9782" i="5"/>
  <c r="E9783" i="5"/>
  <c r="E9784" i="5"/>
  <c r="E9785" i="5"/>
  <c r="E9786" i="5"/>
  <c r="E9787" i="5"/>
  <c r="E9788" i="5"/>
  <c r="E9789" i="5"/>
  <c r="E9790" i="5"/>
  <c r="E9791" i="5"/>
  <c r="E9792" i="5"/>
  <c r="E9793" i="5"/>
  <c r="E9794" i="5"/>
  <c r="E9795" i="5"/>
  <c r="E9796" i="5"/>
  <c r="E9797" i="5"/>
  <c r="E9798" i="5"/>
  <c r="E9799" i="5"/>
  <c r="E9800" i="5"/>
  <c r="E9801" i="5"/>
  <c r="E9802" i="5"/>
  <c r="E9803" i="5"/>
  <c r="E9804" i="5"/>
  <c r="E9805" i="5"/>
  <c r="E9806" i="5"/>
  <c r="E9807" i="5"/>
  <c r="E9808" i="5"/>
  <c r="E9809" i="5"/>
  <c r="E9810" i="5"/>
  <c r="E9811" i="5"/>
  <c r="E9812" i="5"/>
  <c r="E9813" i="5"/>
  <c r="E9814" i="5"/>
  <c r="E9815" i="5"/>
  <c r="E9816" i="5"/>
  <c r="E9817" i="5"/>
  <c r="E9818" i="5"/>
  <c r="E9819" i="5"/>
  <c r="E9820" i="5"/>
  <c r="E9821" i="5"/>
  <c r="E9822" i="5"/>
  <c r="E9823" i="5"/>
  <c r="E9824" i="5"/>
  <c r="E9825" i="5"/>
  <c r="E9826" i="5"/>
  <c r="E9827" i="5"/>
  <c r="E9828" i="5"/>
  <c r="E9829" i="5"/>
  <c r="E9830" i="5"/>
  <c r="E9831" i="5"/>
  <c r="E9832" i="5"/>
  <c r="E9833" i="5"/>
  <c r="E9834" i="5"/>
  <c r="E9835" i="5"/>
  <c r="E9836" i="5"/>
  <c r="E9837" i="5"/>
  <c r="E9838" i="5"/>
  <c r="E9839" i="5"/>
  <c r="E9840" i="5"/>
  <c r="E9841" i="5"/>
  <c r="E9842" i="5"/>
  <c r="E9843" i="5"/>
  <c r="E9844" i="5"/>
  <c r="E9845" i="5"/>
  <c r="E9846" i="5"/>
  <c r="E9847" i="5"/>
  <c r="E9848" i="5"/>
  <c r="E9849" i="5"/>
  <c r="E9850" i="5"/>
  <c r="E9851" i="5"/>
  <c r="E9852" i="5"/>
  <c r="E9853" i="5"/>
  <c r="E9854" i="5"/>
  <c r="E9855" i="5"/>
  <c r="E9856" i="5"/>
  <c r="E9857" i="5"/>
  <c r="E9858" i="5"/>
  <c r="E9859" i="5"/>
  <c r="E9860" i="5"/>
  <c r="E9861" i="5"/>
  <c r="E9862" i="5"/>
  <c r="E9863" i="5"/>
  <c r="E9864" i="5"/>
  <c r="E9865" i="5"/>
  <c r="E9866" i="5"/>
  <c r="E9867" i="5"/>
  <c r="E9868" i="5"/>
  <c r="E9869" i="5"/>
  <c r="E9870" i="5"/>
  <c r="E9871" i="5"/>
  <c r="E9872" i="5"/>
  <c r="E9873" i="5"/>
  <c r="E9874" i="5"/>
  <c r="E9875" i="5"/>
  <c r="E9876" i="5"/>
  <c r="E9877" i="5"/>
  <c r="E9878" i="5"/>
  <c r="E9879" i="5"/>
  <c r="E9880" i="5"/>
  <c r="E9881" i="5"/>
  <c r="E9882" i="5"/>
  <c r="E9883" i="5"/>
  <c r="E9884" i="5"/>
  <c r="E9885" i="5"/>
  <c r="E9886" i="5"/>
  <c r="E9887" i="5"/>
  <c r="E9888" i="5"/>
  <c r="E9889" i="5"/>
  <c r="E9890" i="5"/>
  <c r="E9891" i="5"/>
  <c r="E9892" i="5"/>
  <c r="E9893" i="5"/>
  <c r="E9894" i="5"/>
  <c r="E9895" i="5"/>
  <c r="E9896" i="5"/>
  <c r="E9897" i="5"/>
  <c r="E9898" i="5"/>
  <c r="E9899" i="5"/>
  <c r="E9900" i="5"/>
  <c r="E9901" i="5"/>
  <c r="E9902" i="5"/>
  <c r="E9903" i="5"/>
  <c r="E9904" i="5"/>
  <c r="E9905" i="5"/>
  <c r="E9906" i="5"/>
  <c r="E9907" i="5"/>
  <c r="E9908" i="5"/>
  <c r="E9909" i="5"/>
  <c r="E9910" i="5"/>
  <c r="E9911" i="5"/>
  <c r="E9912" i="5"/>
  <c r="E9913" i="5"/>
  <c r="E9914" i="5"/>
  <c r="E9915" i="5"/>
  <c r="E9916" i="5"/>
  <c r="E9917" i="5"/>
  <c r="E9918" i="5"/>
  <c r="E9919" i="5"/>
  <c r="E9920" i="5"/>
  <c r="E9921" i="5"/>
  <c r="E9922" i="5"/>
  <c r="E9923" i="5"/>
  <c r="E9924" i="5"/>
  <c r="E9925" i="5"/>
  <c r="E9926" i="5"/>
  <c r="E9927" i="5"/>
  <c r="E9928" i="5"/>
  <c r="E9929" i="5"/>
  <c r="E9930" i="5"/>
  <c r="E9931" i="5"/>
  <c r="E9932" i="5"/>
  <c r="E9933" i="5"/>
  <c r="E9934" i="5"/>
  <c r="E9935" i="5"/>
  <c r="E9936" i="5"/>
  <c r="E9937" i="5"/>
  <c r="E9938" i="5"/>
  <c r="E9939" i="5"/>
  <c r="E9940" i="5"/>
  <c r="E9941" i="5"/>
  <c r="E9942" i="5"/>
  <c r="E9943" i="5"/>
  <c r="E9944" i="5"/>
  <c r="E9945" i="5"/>
  <c r="E9946" i="5"/>
  <c r="E9947" i="5"/>
  <c r="E9948" i="5"/>
  <c r="E9949" i="5"/>
  <c r="E9950" i="5"/>
  <c r="E9951" i="5"/>
  <c r="E9952" i="5"/>
  <c r="E9953" i="5"/>
  <c r="E9954" i="5"/>
  <c r="E9955" i="5"/>
  <c r="E9956" i="5"/>
  <c r="E9957" i="5"/>
  <c r="E9958" i="5"/>
  <c r="E9959" i="5"/>
  <c r="E9960" i="5"/>
  <c r="E9961" i="5"/>
  <c r="E9962" i="5"/>
  <c r="E9963" i="5"/>
  <c r="E9964" i="5"/>
  <c r="E9965" i="5"/>
  <c r="E9966" i="5"/>
  <c r="E9967" i="5"/>
  <c r="E9968" i="5"/>
  <c r="E9969" i="5"/>
  <c r="E9970" i="5"/>
  <c r="E9971" i="5"/>
  <c r="E9972" i="5"/>
  <c r="E9973" i="5"/>
  <c r="E9974" i="5"/>
  <c r="E9975" i="5"/>
  <c r="E9976" i="5"/>
  <c r="E9977" i="5"/>
  <c r="E9978" i="5"/>
  <c r="E9979" i="5"/>
  <c r="E9980" i="5"/>
  <c r="E9981" i="5"/>
  <c r="E9982" i="5"/>
  <c r="E9983" i="5"/>
  <c r="E9984" i="5"/>
  <c r="E9985" i="5"/>
  <c r="E9986" i="5"/>
  <c r="E9987" i="5"/>
  <c r="E9988" i="5"/>
  <c r="E9989" i="5"/>
  <c r="E9990" i="5"/>
  <c r="E9991" i="5"/>
  <c r="E9992" i="5"/>
  <c r="E9993" i="5"/>
  <c r="E9994" i="5"/>
  <c r="E9995" i="5"/>
  <c r="E9996" i="5"/>
  <c r="E9997" i="5"/>
  <c r="E9998" i="5"/>
  <c r="E9999" i="5"/>
  <c r="E10000" i="5"/>
  <c r="E10001" i="5"/>
  <c r="E10002" i="5"/>
  <c r="E10003" i="5"/>
  <c r="E10004" i="5"/>
  <c r="E10005" i="5"/>
  <c r="E10006" i="5"/>
  <c r="E10007" i="5"/>
  <c r="E10008" i="5"/>
  <c r="E10009" i="5"/>
  <c r="E10010" i="5"/>
  <c r="E10011" i="5"/>
  <c r="E10012" i="5"/>
  <c r="E10013" i="5"/>
  <c r="E10014" i="5"/>
  <c r="E10015" i="5"/>
  <c r="E10016" i="5"/>
  <c r="E10017" i="5"/>
  <c r="E10018" i="5"/>
  <c r="E10019" i="5"/>
  <c r="E10020" i="5"/>
  <c r="E10021" i="5"/>
  <c r="E10022" i="5"/>
  <c r="E10023" i="5"/>
  <c r="E10024" i="5"/>
  <c r="E10025" i="5"/>
  <c r="E10026" i="5"/>
  <c r="E10027" i="5"/>
  <c r="E10028" i="5"/>
  <c r="E10029" i="5"/>
  <c r="E10030" i="5"/>
  <c r="E10031" i="5"/>
  <c r="E10032" i="5"/>
  <c r="E10033" i="5"/>
  <c r="E10034" i="5"/>
  <c r="E10035" i="5"/>
  <c r="E10036" i="5"/>
  <c r="E10037" i="5"/>
  <c r="E10038" i="5"/>
  <c r="E10039" i="5"/>
  <c r="E10040" i="5"/>
  <c r="E10041" i="5"/>
  <c r="E10042" i="5"/>
  <c r="E10043" i="5"/>
  <c r="E10044" i="5"/>
  <c r="E10045" i="5"/>
  <c r="E10046" i="5"/>
  <c r="E10047" i="5"/>
  <c r="E10048" i="5"/>
  <c r="E10049" i="5"/>
  <c r="E10050" i="5"/>
  <c r="E10051" i="5"/>
  <c r="E10052" i="5"/>
  <c r="E10053" i="5"/>
  <c r="E10054" i="5"/>
  <c r="E10055" i="5"/>
  <c r="E10056" i="5"/>
  <c r="E10057" i="5"/>
  <c r="E10058" i="5"/>
  <c r="E10059" i="5"/>
  <c r="E10060" i="5"/>
  <c r="E10061" i="5"/>
  <c r="E10062" i="5"/>
  <c r="E10063" i="5"/>
  <c r="E10064" i="5"/>
  <c r="E10065" i="5"/>
  <c r="E10066" i="5"/>
  <c r="E10067" i="5"/>
  <c r="E10068" i="5"/>
  <c r="E10069" i="5"/>
  <c r="E10070" i="5"/>
  <c r="E10071" i="5"/>
  <c r="E10072" i="5"/>
  <c r="E10073" i="5"/>
  <c r="E10074" i="5"/>
  <c r="E10075" i="5"/>
  <c r="E10076" i="5"/>
  <c r="E10077" i="5"/>
  <c r="E10078" i="5"/>
  <c r="E10079" i="5"/>
  <c r="E10080" i="5"/>
  <c r="E10081" i="5"/>
  <c r="E10082" i="5"/>
  <c r="E10083" i="5"/>
  <c r="E10084" i="5"/>
  <c r="E10085" i="5"/>
  <c r="E10086" i="5"/>
  <c r="E10087" i="5"/>
  <c r="E10088" i="5"/>
  <c r="E10089" i="5"/>
  <c r="E10090" i="5"/>
  <c r="E10091" i="5"/>
  <c r="E10092" i="5"/>
  <c r="E10093" i="5"/>
  <c r="E10094" i="5"/>
  <c r="E10095" i="5"/>
  <c r="E10096" i="5"/>
  <c r="E10097" i="5"/>
  <c r="E10098" i="5"/>
  <c r="E10099" i="5"/>
  <c r="E10100" i="5"/>
  <c r="E10101" i="5"/>
  <c r="E10102" i="5"/>
  <c r="E10103" i="5"/>
  <c r="E10104" i="5"/>
  <c r="E10105" i="5"/>
  <c r="E10106" i="5"/>
  <c r="E10107" i="5"/>
  <c r="E10108" i="5"/>
  <c r="E10109" i="5"/>
  <c r="E10110" i="5"/>
  <c r="E10111" i="5"/>
  <c r="E10112" i="5"/>
  <c r="E10113" i="5"/>
  <c r="E10114" i="5"/>
  <c r="E10115" i="5"/>
  <c r="E10116" i="5"/>
  <c r="E10117" i="5"/>
  <c r="E10118" i="5"/>
  <c r="E10119" i="5"/>
  <c r="E10120" i="5"/>
  <c r="E10121" i="5"/>
  <c r="E10122" i="5"/>
  <c r="E10123" i="5"/>
  <c r="E10124" i="5"/>
  <c r="E10125" i="5"/>
  <c r="E10126" i="5"/>
  <c r="E10127" i="5"/>
  <c r="E10128" i="5"/>
  <c r="E10129" i="5"/>
  <c r="E10130" i="5"/>
  <c r="E10131" i="5"/>
  <c r="E10132" i="5"/>
  <c r="E10133" i="5"/>
  <c r="E10134" i="5"/>
  <c r="E10135" i="5"/>
  <c r="E10136" i="5"/>
  <c r="E10137" i="5"/>
  <c r="E10138" i="5"/>
  <c r="E10139" i="5"/>
  <c r="E10140" i="5"/>
  <c r="E10141" i="5"/>
  <c r="E10142" i="5"/>
  <c r="E10143" i="5"/>
  <c r="E10144" i="5"/>
  <c r="E10145" i="5"/>
  <c r="E10146" i="5"/>
  <c r="E10147" i="5"/>
  <c r="E10148" i="5"/>
  <c r="E10149" i="5"/>
  <c r="E10150" i="5"/>
  <c r="E10151" i="5"/>
  <c r="E10152" i="5"/>
  <c r="E10153" i="5"/>
  <c r="E10154" i="5"/>
  <c r="E10155" i="5"/>
  <c r="E10156" i="5"/>
  <c r="E10157" i="5"/>
  <c r="E10158" i="5"/>
  <c r="E10159" i="5"/>
  <c r="E10160" i="5"/>
  <c r="E10161" i="5"/>
  <c r="E10162" i="5"/>
  <c r="E10163" i="5"/>
  <c r="E10164" i="5"/>
  <c r="F14" i="6"/>
  <c r="G14" i="6" s="1"/>
  <c r="J14" i="6" s="1"/>
  <c r="F15" i="6"/>
  <c r="G15" i="6" s="1"/>
  <c r="J15" i="6" s="1"/>
  <c r="F16" i="6"/>
  <c r="G16" i="6" s="1"/>
  <c r="F17" i="6"/>
  <c r="G17" i="6" s="1"/>
  <c r="F18" i="6"/>
  <c r="G18" i="6" s="1"/>
  <c r="F19" i="6"/>
  <c r="G19" i="6" s="1"/>
  <c r="F20" i="6"/>
  <c r="G20" i="6" s="1"/>
  <c r="J20" i="6" s="1"/>
  <c r="F21" i="6"/>
  <c r="G21" i="6" s="1"/>
  <c r="J21" i="6" s="1"/>
  <c r="F22" i="6"/>
  <c r="G22" i="6" s="1"/>
  <c r="J22" i="6" s="1"/>
  <c r="F23" i="6"/>
  <c r="G23" i="6" s="1"/>
  <c r="J23" i="6" s="1"/>
  <c r="F24" i="6"/>
  <c r="G24" i="6" s="1"/>
  <c r="J24" i="6" s="1"/>
  <c r="F25" i="6"/>
  <c r="G25" i="6" s="1"/>
  <c r="J25" i="6" s="1"/>
  <c r="F26" i="6"/>
  <c r="G26" i="6" s="1"/>
  <c r="J26" i="6" s="1"/>
  <c r="F27" i="6"/>
  <c r="G27" i="6" s="1"/>
  <c r="J27" i="6" s="1"/>
  <c r="F28" i="6"/>
  <c r="G28" i="6" s="1"/>
  <c r="J28" i="6" s="1"/>
  <c r="F29" i="6"/>
  <c r="G29" i="6" s="1"/>
  <c r="J29" i="6" s="1"/>
  <c r="F30" i="6"/>
  <c r="G30" i="6" s="1"/>
  <c r="J30" i="6" s="1"/>
  <c r="F31" i="6"/>
  <c r="G31" i="6" s="1"/>
  <c r="J31" i="6" s="1"/>
  <c r="F32" i="6"/>
  <c r="G32" i="6" s="1"/>
  <c r="J32" i="6" s="1"/>
  <c r="F33" i="6"/>
  <c r="G33" i="6" s="1"/>
  <c r="J33" i="6" s="1"/>
  <c r="F34" i="6"/>
  <c r="G34" i="6" s="1"/>
  <c r="J34" i="6" s="1"/>
  <c r="F35" i="6"/>
  <c r="G35" i="6" s="1"/>
  <c r="J35" i="6" s="1"/>
  <c r="F36" i="6"/>
  <c r="G36" i="6" s="1"/>
  <c r="J36" i="6" s="1"/>
  <c r="F37" i="6"/>
  <c r="G37" i="6" s="1"/>
  <c r="J37" i="6" s="1"/>
  <c r="F38" i="6"/>
  <c r="G38" i="6" s="1"/>
  <c r="J38" i="6" s="1"/>
  <c r="F39" i="6"/>
  <c r="G39" i="6" s="1"/>
  <c r="J39" i="6" s="1"/>
  <c r="F40" i="6"/>
  <c r="G40" i="6" s="1"/>
  <c r="J40" i="6" s="1"/>
  <c r="F41" i="6"/>
  <c r="G41" i="6" s="1"/>
  <c r="J41" i="6" s="1"/>
  <c r="F42" i="6"/>
  <c r="G42" i="6" s="1"/>
  <c r="J42" i="6" s="1"/>
  <c r="F43" i="6"/>
  <c r="G43" i="6" s="1"/>
  <c r="J43" i="6" s="1"/>
  <c r="F44" i="6"/>
  <c r="F45" i="6"/>
  <c r="F46" i="6"/>
  <c r="G46" i="6" s="1"/>
  <c r="J46" i="6" s="1"/>
  <c r="F47" i="6"/>
  <c r="G47" i="6" s="1"/>
  <c r="J47" i="6" s="1"/>
  <c r="F48" i="6"/>
  <c r="G48" i="6" s="1"/>
  <c r="J48" i="6" s="1"/>
  <c r="F49" i="6"/>
  <c r="G49" i="6" s="1"/>
  <c r="J49" i="6" s="1"/>
  <c r="F50" i="6"/>
  <c r="G50" i="6" s="1"/>
  <c r="J50" i="6" s="1"/>
  <c r="F51" i="6"/>
  <c r="G51" i="6" s="1"/>
  <c r="J51" i="6" s="1"/>
  <c r="F52" i="6"/>
  <c r="F53" i="6"/>
  <c r="F54" i="6"/>
  <c r="G54" i="6" s="1"/>
  <c r="J54" i="6" s="1"/>
  <c r="F55" i="6"/>
  <c r="G55" i="6" s="1"/>
  <c r="J55" i="6" s="1"/>
  <c r="F56" i="6"/>
  <c r="G56" i="6" s="1"/>
  <c r="J56" i="6" s="1"/>
  <c r="F57" i="6"/>
  <c r="G57" i="6" s="1"/>
  <c r="J57" i="6" s="1"/>
  <c r="F58" i="6"/>
  <c r="G58" i="6" s="1"/>
  <c r="J58" i="6" s="1"/>
  <c r="F59" i="6"/>
  <c r="G59" i="6" s="1"/>
  <c r="J59" i="6" s="1"/>
  <c r="F60" i="6"/>
  <c r="G60" i="6" s="1"/>
  <c r="J60" i="6" s="1"/>
  <c r="F61" i="6"/>
  <c r="G61" i="6" s="1"/>
  <c r="J61" i="6" s="1"/>
  <c r="F62" i="6"/>
  <c r="G62" i="6" s="1"/>
  <c r="J62" i="6" s="1"/>
  <c r="F63" i="6"/>
  <c r="F64" i="6"/>
  <c r="F65" i="6"/>
  <c r="F66" i="6"/>
  <c r="J66" i="6" s="1"/>
  <c r="F67" i="6"/>
  <c r="F68" i="6"/>
  <c r="F69" i="6"/>
  <c r="J69" i="6" s="1"/>
  <c r="F70" i="6"/>
  <c r="J70" i="6" s="1"/>
  <c r="F71" i="6"/>
  <c r="G71" i="6" s="1"/>
  <c r="J71" i="6" s="1"/>
  <c r="F72" i="6"/>
  <c r="G72" i="6" s="1"/>
  <c r="F73" i="6"/>
  <c r="G73" i="6" s="1"/>
  <c r="J73" i="6" s="1"/>
  <c r="F74" i="6"/>
  <c r="G74" i="6" s="1"/>
  <c r="J74" i="6" s="1"/>
  <c r="F75" i="6"/>
  <c r="G75" i="6" s="1"/>
  <c r="J75" i="6" s="1"/>
  <c r="F76" i="6"/>
  <c r="G76" i="6" s="1"/>
  <c r="J76" i="6" s="1"/>
  <c r="F77" i="6"/>
  <c r="G77" i="6" s="1"/>
  <c r="J77" i="6" s="1"/>
  <c r="F78" i="6"/>
  <c r="G78" i="6" s="1"/>
  <c r="J78" i="6" s="1"/>
  <c r="F79" i="6"/>
  <c r="G79" i="6" s="1"/>
  <c r="J79" i="6" s="1"/>
  <c r="F80" i="6"/>
  <c r="G80" i="6" s="1"/>
  <c r="J80" i="6" s="1"/>
  <c r="F81" i="6"/>
  <c r="G81" i="6" s="1"/>
  <c r="J81" i="6" s="1"/>
  <c r="F82" i="6"/>
  <c r="G82" i="6" s="1"/>
  <c r="J82" i="6" s="1"/>
  <c r="F83" i="6"/>
  <c r="G83" i="6" s="1"/>
  <c r="J83" i="6" s="1"/>
  <c r="F84" i="6"/>
  <c r="G84" i="6" s="1"/>
  <c r="J84" i="6" s="1"/>
  <c r="F85" i="6"/>
  <c r="G85" i="6" s="1"/>
  <c r="J85" i="6" s="1"/>
  <c r="F86" i="6"/>
  <c r="G86" i="6" s="1"/>
  <c r="J86" i="6" s="1"/>
  <c r="F87" i="6"/>
  <c r="G87" i="6" s="1"/>
  <c r="J87" i="6" s="1"/>
  <c r="F88" i="6"/>
  <c r="G88" i="6" s="1"/>
  <c r="J88" i="6" s="1"/>
  <c r="F89" i="6"/>
  <c r="G89" i="6" s="1"/>
  <c r="J89" i="6" s="1"/>
  <c r="F90" i="6"/>
  <c r="G90" i="6" s="1"/>
  <c r="J90" i="6" s="1"/>
  <c r="F91" i="6"/>
  <c r="G91" i="6" s="1"/>
  <c r="J91" i="6" s="1"/>
  <c r="F92" i="6"/>
  <c r="G92" i="6" s="1"/>
  <c r="J92" i="6" s="1"/>
  <c r="F93" i="6"/>
  <c r="G93" i="6" s="1"/>
  <c r="J93" i="6" s="1"/>
  <c r="F94" i="6"/>
  <c r="G94" i="6" s="1"/>
  <c r="J94" i="6" s="1"/>
  <c r="F95" i="6"/>
  <c r="G95" i="6" s="1"/>
  <c r="J95" i="6" s="1"/>
  <c r="F96" i="6"/>
  <c r="G96" i="6" s="1"/>
  <c r="J96" i="6" s="1"/>
  <c r="F97" i="6"/>
  <c r="G97" i="6" s="1"/>
  <c r="J97" i="6" s="1"/>
  <c r="F98" i="6"/>
  <c r="G98" i="6" s="1"/>
  <c r="J98" i="6" s="1"/>
  <c r="F99" i="6"/>
  <c r="G99" i="6" s="1"/>
  <c r="J99" i="6" s="1"/>
  <c r="F100" i="6"/>
  <c r="G100" i="6" s="1"/>
  <c r="J100" i="6" s="1"/>
  <c r="F101" i="6"/>
  <c r="G101" i="6" s="1"/>
  <c r="J101" i="6" s="1"/>
  <c r="F102" i="6"/>
  <c r="G102" i="6" s="1"/>
  <c r="J102" i="6" s="1"/>
  <c r="F103" i="6"/>
  <c r="G103" i="6" s="1"/>
  <c r="J103" i="6" s="1"/>
  <c r="F104" i="6"/>
  <c r="G104" i="6" s="1"/>
  <c r="J104" i="6" s="1"/>
  <c r="F105" i="6"/>
  <c r="G105" i="6" s="1"/>
  <c r="J105" i="6" s="1"/>
  <c r="F106" i="6"/>
  <c r="G106" i="6" s="1"/>
  <c r="J106" i="6" s="1"/>
  <c r="F107" i="6"/>
  <c r="G107" i="6" s="1"/>
  <c r="J107" i="6" s="1"/>
  <c r="F108" i="6"/>
  <c r="G108" i="6" s="1"/>
  <c r="J108" i="6" s="1"/>
  <c r="F109" i="6"/>
  <c r="G109" i="6" s="1"/>
  <c r="J109" i="6" s="1"/>
  <c r="F110" i="6"/>
  <c r="G110" i="6" s="1"/>
  <c r="J110" i="6" s="1"/>
  <c r="F111" i="6"/>
  <c r="G111" i="6" s="1"/>
  <c r="J111" i="6" s="1"/>
  <c r="F112" i="6"/>
  <c r="G112" i="6" s="1"/>
  <c r="J112" i="6" s="1"/>
  <c r="F113" i="6"/>
  <c r="G113" i="6" s="1"/>
  <c r="J113" i="6" s="1"/>
  <c r="F114" i="6"/>
  <c r="G114" i="6" s="1"/>
  <c r="J114" i="6" s="1"/>
  <c r="F115" i="6"/>
  <c r="G115" i="6" s="1"/>
  <c r="J115" i="6" s="1"/>
  <c r="F116" i="6"/>
  <c r="G116" i="6" s="1"/>
  <c r="J116" i="6" s="1"/>
  <c r="F117" i="6"/>
  <c r="G117" i="6" s="1"/>
  <c r="J117" i="6" s="1"/>
  <c r="F118" i="6"/>
  <c r="G118" i="6" s="1"/>
  <c r="J118" i="6" s="1"/>
  <c r="F119" i="6"/>
  <c r="G119" i="6" s="1"/>
  <c r="J119" i="6" s="1"/>
  <c r="F120" i="6"/>
  <c r="G120" i="6" s="1"/>
  <c r="J120" i="6" s="1"/>
  <c r="F121" i="6"/>
  <c r="G121" i="6" s="1"/>
  <c r="J121" i="6" s="1"/>
  <c r="F122" i="6"/>
  <c r="G122" i="6" s="1"/>
  <c r="J122" i="6" s="1"/>
  <c r="F123" i="6"/>
  <c r="G123" i="6" s="1"/>
  <c r="J123" i="6" s="1"/>
  <c r="F124" i="6"/>
  <c r="G124" i="6" s="1"/>
  <c r="J124" i="6" s="1"/>
  <c r="F125" i="6"/>
  <c r="G125" i="6" s="1"/>
  <c r="J125" i="6" s="1"/>
  <c r="F126" i="6"/>
  <c r="G126" i="6" s="1"/>
  <c r="J126" i="6" s="1"/>
  <c r="F127" i="6"/>
  <c r="G127" i="6" s="1"/>
  <c r="J127" i="6" s="1"/>
  <c r="F128" i="6"/>
  <c r="G128" i="6" s="1"/>
  <c r="J128" i="6" s="1"/>
  <c r="F129" i="6"/>
  <c r="G129" i="6" s="1"/>
  <c r="J129" i="6" s="1"/>
  <c r="F130" i="6"/>
  <c r="G130" i="6" s="1"/>
  <c r="J130" i="6" s="1"/>
  <c r="F131" i="6"/>
  <c r="G131" i="6" s="1"/>
  <c r="J131" i="6" s="1"/>
  <c r="F132" i="6"/>
  <c r="G132" i="6" s="1"/>
  <c r="J132" i="6" s="1"/>
  <c r="F133" i="6"/>
  <c r="G133" i="6" s="1"/>
  <c r="J133" i="6" s="1"/>
  <c r="F134" i="6"/>
  <c r="G134" i="6" s="1"/>
  <c r="J134" i="6" s="1"/>
  <c r="F135" i="6"/>
  <c r="G135" i="6" s="1"/>
  <c r="J135" i="6" s="1"/>
  <c r="F136" i="6"/>
  <c r="G136" i="6" s="1"/>
  <c r="J136" i="6" s="1"/>
  <c r="F137" i="6"/>
  <c r="G137" i="6" s="1"/>
  <c r="J137" i="6" s="1"/>
  <c r="F138" i="6"/>
  <c r="G138" i="6" s="1"/>
  <c r="J138" i="6" s="1"/>
  <c r="F139" i="6"/>
  <c r="G139" i="6" s="1"/>
  <c r="J139" i="6" s="1"/>
  <c r="F140" i="6"/>
  <c r="G140" i="6" s="1"/>
  <c r="J140" i="6" s="1"/>
  <c r="F141" i="6"/>
  <c r="G141" i="6" s="1"/>
  <c r="J141" i="6" s="1"/>
  <c r="F142" i="6"/>
  <c r="G142" i="6" s="1"/>
  <c r="J142" i="6" s="1"/>
  <c r="F143" i="6"/>
  <c r="G143" i="6" s="1"/>
  <c r="J143" i="6" s="1"/>
  <c r="F144" i="6"/>
  <c r="G144" i="6" s="1"/>
  <c r="J144" i="6" s="1"/>
  <c r="F145" i="6"/>
  <c r="G145" i="6" s="1"/>
  <c r="J145" i="6" s="1"/>
  <c r="F146" i="6"/>
  <c r="G146" i="6" s="1"/>
  <c r="J146" i="6" s="1"/>
  <c r="F147" i="6"/>
  <c r="F148" i="6"/>
  <c r="F149" i="6"/>
  <c r="F150" i="6"/>
  <c r="F151" i="6"/>
  <c r="F152" i="6"/>
  <c r="F153" i="6"/>
  <c r="F154" i="6"/>
  <c r="F155" i="6"/>
  <c r="F156" i="6"/>
  <c r="F157" i="6"/>
  <c r="F158" i="6"/>
  <c r="J158" i="6" s="1"/>
  <c r="F159" i="6"/>
  <c r="F160" i="6"/>
  <c r="F161" i="6"/>
  <c r="J161" i="6" s="1"/>
  <c r="F162" i="6"/>
  <c r="J162" i="6" s="1"/>
  <c r="F163" i="6"/>
  <c r="F164" i="6"/>
  <c r="F165" i="6"/>
  <c r="F166" i="6"/>
  <c r="F167" i="6"/>
  <c r="F168" i="6"/>
  <c r="F169" i="6"/>
  <c r="F170" i="6"/>
  <c r="F171" i="6"/>
  <c r="F172" i="6"/>
  <c r="F173" i="6"/>
  <c r="F174" i="6"/>
  <c r="J174" i="6" s="1"/>
  <c r="F175" i="6"/>
  <c r="F176" i="6"/>
  <c r="F177" i="6"/>
  <c r="J177" i="6" s="1"/>
  <c r="F178" i="6"/>
  <c r="J178" i="6" s="1"/>
  <c r="F179" i="6"/>
  <c r="F180" i="6"/>
  <c r="F181" i="6"/>
  <c r="F182" i="6"/>
  <c r="F183" i="6"/>
  <c r="F184" i="6"/>
  <c r="F185" i="6"/>
  <c r="F186" i="6"/>
  <c r="F187" i="6"/>
  <c r="F188" i="6"/>
  <c r="F189" i="6"/>
  <c r="F190" i="6"/>
  <c r="J190" i="6" s="1"/>
  <c r="F191" i="6"/>
  <c r="F192" i="6"/>
  <c r="F193" i="6"/>
  <c r="J193" i="6" s="1"/>
  <c r="F194" i="6"/>
  <c r="J194" i="6" s="1"/>
  <c r="F195" i="6"/>
  <c r="F196" i="6"/>
  <c r="F197" i="6"/>
  <c r="F198" i="6"/>
  <c r="F199" i="6"/>
  <c r="F13" i="6"/>
  <c r="G13" i="6" s="1"/>
  <c r="J13" i="6" s="1"/>
  <c r="F12" i="6"/>
  <c r="F5" i="6"/>
  <c r="F6" i="6"/>
  <c r="F7" i="6"/>
  <c r="F8" i="6"/>
  <c r="F9" i="6"/>
  <c r="F10" i="6"/>
  <c r="F11" i="6"/>
  <c r="F4" i="6"/>
  <c r="E6693" i="5"/>
  <c r="E6692" i="5"/>
  <c r="E6691" i="5"/>
  <c r="E6690" i="5"/>
  <c r="E6689" i="5"/>
  <c r="E6688" i="5"/>
  <c r="E6687" i="5"/>
  <c r="E6686" i="5"/>
  <c r="E6685" i="5"/>
  <c r="E6684" i="5"/>
  <c r="E6683" i="5"/>
  <c r="E6682" i="5"/>
  <c r="E6681" i="5"/>
  <c r="E6680" i="5"/>
  <c r="E6679" i="5"/>
  <c r="E6678" i="5"/>
  <c r="E6677" i="5"/>
  <c r="E6676" i="5"/>
  <c r="E6675" i="5"/>
  <c r="E6674" i="5"/>
  <c r="E6673" i="5"/>
  <c r="E6672" i="5"/>
  <c r="E6671" i="5"/>
  <c r="E6670" i="5"/>
  <c r="E6669" i="5"/>
  <c r="E6668" i="5"/>
  <c r="E6667" i="5"/>
  <c r="E6666" i="5"/>
  <c r="E6665" i="5"/>
  <c r="E6664" i="5"/>
  <c r="E6663" i="5"/>
  <c r="E6662" i="5"/>
  <c r="E6661" i="5"/>
  <c r="E6660" i="5"/>
  <c r="E6659" i="5"/>
  <c r="E6658" i="5"/>
  <c r="E6657" i="5"/>
  <c r="E6656" i="5"/>
  <c r="E6655" i="5"/>
  <c r="E6654" i="5"/>
  <c r="E6653" i="5"/>
  <c r="E6652" i="5"/>
  <c r="E6651" i="5"/>
  <c r="E6650" i="5"/>
  <c r="E6649" i="5"/>
  <c r="E6648" i="5"/>
  <c r="E6647" i="5"/>
  <c r="E6646" i="5"/>
  <c r="E6645" i="5"/>
  <c r="E6644" i="5"/>
  <c r="E6643" i="5"/>
  <c r="E6642" i="5"/>
  <c r="E6641" i="5"/>
  <c r="E6640" i="5"/>
  <c r="E6639" i="5"/>
  <c r="E6638" i="5"/>
  <c r="E6637" i="5"/>
  <c r="E6636" i="5"/>
  <c r="E6635" i="5"/>
  <c r="E6634" i="5"/>
  <c r="E6633" i="5"/>
  <c r="E6632" i="5"/>
  <c r="E6631" i="5"/>
  <c r="E6630" i="5"/>
  <c r="E6629" i="5"/>
  <c r="E6628" i="5"/>
  <c r="E6627" i="5"/>
  <c r="E6626" i="5"/>
  <c r="E6625" i="5"/>
  <c r="E6624" i="5"/>
  <c r="E6623" i="5"/>
  <c r="E6622" i="5"/>
  <c r="E6621" i="5"/>
  <c r="E6620" i="5"/>
  <c r="E6619" i="5"/>
  <c r="E6618" i="5"/>
  <c r="E6617" i="5"/>
  <c r="E6616" i="5"/>
  <c r="E6615" i="5"/>
  <c r="E6614" i="5"/>
  <c r="E6613" i="5"/>
  <c r="E6612" i="5"/>
  <c r="E6611" i="5"/>
  <c r="E6610" i="5"/>
  <c r="E6609" i="5"/>
  <c r="E6608" i="5"/>
  <c r="E6607" i="5"/>
  <c r="E6606" i="5"/>
  <c r="E6605" i="5"/>
  <c r="E6604" i="5"/>
  <c r="E6603" i="5"/>
  <c r="E6602" i="5"/>
  <c r="E6601" i="5"/>
  <c r="E6600" i="5"/>
  <c r="E6599" i="5"/>
  <c r="E6598" i="5"/>
  <c r="E6597" i="5"/>
  <c r="E6596" i="5"/>
  <c r="E6595" i="5"/>
  <c r="E6594" i="5"/>
  <c r="E6593" i="5"/>
  <c r="E6592" i="5"/>
  <c r="E6591" i="5"/>
  <c r="E6590" i="5"/>
  <c r="E6589" i="5"/>
  <c r="E6588" i="5"/>
  <c r="E6587" i="5"/>
  <c r="E6586" i="5"/>
  <c r="E6585" i="5"/>
  <c r="E6584" i="5"/>
  <c r="E6583" i="5"/>
  <c r="E6582" i="5"/>
  <c r="E6581" i="5"/>
  <c r="E6580" i="5"/>
  <c r="E6579" i="5"/>
  <c r="E6578" i="5"/>
  <c r="E6577" i="5"/>
  <c r="E6576" i="5"/>
  <c r="E6575" i="5"/>
  <c r="E6574" i="5"/>
  <c r="E6573" i="5"/>
  <c r="E6572" i="5"/>
  <c r="E6571" i="5"/>
  <c r="E6570" i="5"/>
  <c r="E6569" i="5"/>
  <c r="E6568" i="5"/>
  <c r="E6567" i="5"/>
  <c r="E6566" i="5"/>
  <c r="E6565" i="5"/>
  <c r="E6564" i="5"/>
  <c r="E6563" i="5"/>
  <c r="E6562" i="5"/>
  <c r="E6561" i="5"/>
  <c r="E6560" i="5"/>
  <c r="E6559" i="5"/>
  <c r="E6558" i="5"/>
  <c r="E6557" i="5"/>
  <c r="E6556" i="5"/>
  <c r="E6555" i="5"/>
  <c r="E6554" i="5"/>
  <c r="E6553" i="5"/>
  <c r="E6552" i="5"/>
  <c r="E6551" i="5"/>
  <c r="E6550" i="5"/>
  <c r="E6549" i="5"/>
  <c r="E6548" i="5"/>
  <c r="E6547" i="5"/>
  <c r="E6546" i="5"/>
  <c r="E6545" i="5"/>
  <c r="E6544" i="5"/>
  <c r="E6543" i="5"/>
  <c r="E6542" i="5"/>
  <c r="E6541" i="5"/>
  <c r="E6540" i="5"/>
  <c r="E6539" i="5"/>
  <c r="E6538" i="5"/>
  <c r="E6537" i="5"/>
  <c r="E6536" i="5"/>
  <c r="E6535" i="5"/>
  <c r="E6534" i="5"/>
  <c r="E6533" i="5"/>
  <c r="E6532" i="5"/>
  <c r="E6531" i="5"/>
  <c r="E6530" i="5"/>
  <c r="E6529" i="5"/>
  <c r="E6528" i="5"/>
  <c r="E6527" i="5"/>
  <c r="E6526" i="5"/>
  <c r="E6525" i="5"/>
  <c r="E6524" i="5"/>
  <c r="E6523" i="5"/>
  <c r="E6522" i="5"/>
  <c r="E6521" i="5"/>
  <c r="E6520" i="5"/>
  <c r="E6519" i="5"/>
  <c r="E6518" i="5"/>
  <c r="E6517" i="5"/>
  <c r="E6516" i="5"/>
  <c r="E6515" i="5"/>
  <c r="E6514" i="5"/>
  <c r="E6513" i="5"/>
  <c r="E6512" i="5"/>
  <c r="E6511" i="5"/>
  <c r="E6510" i="5"/>
  <c r="E6509" i="5"/>
  <c r="E6508" i="5"/>
  <c r="E6507" i="5"/>
  <c r="E6506" i="5"/>
  <c r="E6505" i="5"/>
  <c r="E6504" i="5"/>
  <c r="E6503" i="5"/>
  <c r="E6502" i="5"/>
  <c r="E6501" i="5"/>
  <c r="E6500" i="5"/>
  <c r="E6499" i="5"/>
  <c r="E6498" i="5"/>
  <c r="E6497" i="5"/>
  <c r="E6496" i="5"/>
  <c r="E6495" i="5"/>
  <c r="E6494" i="5"/>
  <c r="E6493" i="5"/>
  <c r="E6492" i="5"/>
  <c r="E6491" i="5"/>
  <c r="E6490" i="5"/>
  <c r="E6489" i="5"/>
  <c r="E6488" i="5"/>
  <c r="E6487" i="5"/>
  <c r="E6486" i="5"/>
  <c r="E6485" i="5"/>
  <c r="E6484" i="5"/>
  <c r="E6483" i="5"/>
  <c r="E6482" i="5"/>
  <c r="E6481" i="5"/>
  <c r="E6480" i="5"/>
  <c r="E6479" i="5"/>
  <c r="E6478" i="5"/>
  <c r="E6477" i="5"/>
  <c r="E6476" i="5"/>
  <c r="E6475" i="5"/>
  <c r="E6474" i="5"/>
  <c r="E6473" i="5"/>
  <c r="E6472" i="5"/>
  <c r="E6471" i="5"/>
  <c r="E6470" i="5"/>
  <c r="E6469" i="5"/>
  <c r="E6468" i="5"/>
  <c r="E6467" i="5"/>
  <c r="E6466" i="5"/>
  <c r="E6465" i="5"/>
  <c r="E6464" i="5"/>
  <c r="E6463" i="5"/>
  <c r="E6462" i="5"/>
  <c r="E6461" i="5"/>
  <c r="E6460" i="5"/>
  <c r="E6459" i="5"/>
  <c r="E6458" i="5"/>
  <c r="E6457" i="5"/>
  <c r="E6456" i="5"/>
  <c r="E6455" i="5"/>
  <c r="E6454" i="5"/>
  <c r="E6453" i="5"/>
  <c r="E6452" i="5"/>
  <c r="E6451" i="5"/>
  <c r="E6450" i="5"/>
  <c r="E6449" i="5"/>
  <c r="E6448" i="5"/>
  <c r="E6447" i="5"/>
  <c r="E6446" i="5"/>
  <c r="E6445" i="5"/>
  <c r="E6444" i="5"/>
  <c r="E6443" i="5"/>
  <c r="E6442" i="5"/>
  <c r="E6441" i="5"/>
  <c r="E6440" i="5"/>
  <c r="E6439" i="5"/>
  <c r="E6438" i="5"/>
  <c r="E6437" i="5"/>
  <c r="E6436" i="5"/>
  <c r="E6435" i="5"/>
  <c r="E6434" i="5"/>
  <c r="E6433" i="5"/>
  <c r="E6432" i="5"/>
  <c r="E6431" i="5"/>
  <c r="E6430" i="5"/>
  <c r="E6429" i="5"/>
  <c r="E6428" i="5"/>
  <c r="E6427" i="5"/>
  <c r="E6426" i="5"/>
  <c r="E6425" i="5"/>
  <c r="E6424" i="5"/>
  <c r="E6423" i="5"/>
  <c r="E6422" i="5"/>
  <c r="E6421" i="5"/>
  <c r="E6420" i="5"/>
  <c r="E6419" i="5"/>
  <c r="E6418" i="5"/>
  <c r="E6417" i="5"/>
  <c r="E6416" i="5"/>
  <c r="E6415" i="5"/>
  <c r="E6414" i="5"/>
  <c r="E6413" i="5"/>
  <c r="E6412" i="5"/>
  <c r="E6411" i="5"/>
  <c r="E6410" i="5"/>
  <c r="E6409" i="5"/>
  <c r="E6408" i="5"/>
  <c r="E6407" i="5"/>
  <c r="E6406" i="5"/>
  <c r="E6405" i="5"/>
  <c r="E6404" i="5"/>
  <c r="E6403" i="5"/>
  <c r="E6402" i="5"/>
  <c r="E6401" i="5"/>
  <c r="E6400" i="5"/>
  <c r="E6399" i="5"/>
  <c r="E6398" i="5"/>
  <c r="E6397" i="5"/>
  <c r="E6396" i="5"/>
  <c r="E6395" i="5"/>
  <c r="E6394" i="5"/>
  <c r="E6393" i="5"/>
  <c r="E6392" i="5"/>
  <c r="E6391" i="5"/>
  <c r="E6390" i="5"/>
  <c r="E6389" i="5"/>
  <c r="E6388" i="5"/>
  <c r="E6387" i="5"/>
  <c r="E6386" i="5"/>
  <c r="E6385" i="5"/>
  <c r="E6384" i="5"/>
  <c r="E6383" i="5"/>
  <c r="E6382" i="5"/>
  <c r="E6381" i="5"/>
  <c r="E6380" i="5"/>
  <c r="E6379" i="5"/>
  <c r="E6378" i="5"/>
  <c r="E6377" i="5"/>
  <c r="E6376" i="5"/>
  <c r="E6375" i="5"/>
  <c r="E6374" i="5"/>
  <c r="E6373" i="5"/>
  <c r="E6372" i="5"/>
  <c r="E6371" i="5"/>
  <c r="E6370" i="5"/>
  <c r="E6369" i="5"/>
  <c r="E6368" i="5"/>
  <c r="E6367" i="5"/>
  <c r="E6366" i="5"/>
  <c r="E6365" i="5"/>
  <c r="E6364" i="5"/>
  <c r="E6363" i="5"/>
  <c r="E6362" i="5"/>
  <c r="E6361" i="5"/>
  <c r="E6360" i="5"/>
  <c r="E6359" i="5"/>
  <c r="E6358" i="5"/>
  <c r="E6357" i="5"/>
  <c r="E6356" i="5"/>
  <c r="E6355" i="5"/>
  <c r="E6354" i="5"/>
  <c r="E6353" i="5"/>
  <c r="E6352" i="5"/>
  <c r="E6351" i="5"/>
  <c r="E6350" i="5"/>
  <c r="E6349" i="5"/>
  <c r="E6348" i="5"/>
  <c r="E6347" i="5"/>
  <c r="E6346" i="5"/>
  <c r="E6345" i="5"/>
  <c r="E6344" i="5"/>
  <c r="E6343" i="5"/>
  <c r="E6342" i="5"/>
  <c r="E6341" i="5"/>
  <c r="E6340" i="5"/>
  <c r="E6339" i="5"/>
  <c r="E6338" i="5"/>
  <c r="E6337" i="5"/>
  <c r="E6336" i="5"/>
  <c r="E6335" i="5"/>
  <c r="E6334" i="5"/>
  <c r="E6333" i="5"/>
  <c r="E6332" i="5"/>
  <c r="E6331" i="5"/>
  <c r="E6330" i="5"/>
  <c r="E6329" i="5"/>
  <c r="E6328" i="5"/>
  <c r="E6327" i="5"/>
  <c r="E6326" i="5"/>
  <c r="E6325" i="5"/>
  <c r="E6324" i="5"/>
  <c r="E6323" i="5"/>
  <c r="E6322" i="5"/>
  <c r="E6321" i="5"/>
  <c r="E6320" i="5"/>
  <c r="E6319" i="5"/>
  <c r="E6318" i="5"/>
  <c r="E6317" i="5"/>
  <c r="E6316" i="5"/>
  <c r="E6315" i="5"/>
  <c r="E6314" i="5"/>
  <c r="E6313" i="5"/>
  <c r="E6312" i="5"/>
  <c r="E6311" i="5"/>
  <c r="E6310" i="5"/>
  <c r="E6309" i="5"/>
  <c r="E6308" i="5"/>
  <c r="E6307" i="5"/>
  <c r="E6306" i="5"/>
  <c r="E6305" i="5"/>
  <c r="E6304" i="5"/>
  <c r="E6303" i="5"/>
  <c r="E6302" i="5"/>
  <c r="E6301" i="5"/>
  <c r="E6300" i="5"/>
  <c r="E6299" i="5"/>
  <c r="E6298" i="5"/>
  <c r="E6297" i="5"/>
  <c r="E6296" i="5"/>
  <c r="E6295" i="5"/>
  <c r="E6294" i="5"/>
  <c r="E6293" i="5"/>
  <c r="E6292" i="5"/>
  <c r="E6291" i="5"/>
  <c r="E6290" i="5"/>
  <c r="E6289" i="5"/>
  <c r="E6288" i="5"/>
  <c r="E3243" i="5"/>
  <c r="E3242" i="5"/>
  <c r="E3241" i="5"/>
  <c r="E3240" i="5"/>
  <c r="E3239" i="5"/>
  <c r="E3238" i="5"/>
  <c r="E3237" i="5"/>
  <c r="E3236" i="5"/>
  <c r="E3235" i="5"/>
  <c r="E3234" i="5"/>
  <c r="E3233" i="5"/>
  <c r="E3232" i="5"/>
  <c r="E3231" i="5"/>
  <c r="E3230" i="5"/>
  <c r="E3229" i="5"/>
  <c r="E3228" i="5"/>
  <c r="E3227" i="5"/>
  <c r="E3226" i="5"/>
  <c r="E3225" i="5"/>
  <c r="E3224" i="5"/>
  <c r="E3223" i="5"/>
  <c r="E3222" i="5"/>
  <c r="E3221" i="5"/>
  <c r="E3220" i="5"/>
  <c r="E3219" i="5"/>
  <c r="E3218" i="5"/>
  <c r="E3217" i="5"/>
  <c r="E3216" i="5"/>
  <c r="E3215" i="5"/>
  <c r="E3214" i="5"/>
  <c r="E3213" i="5"/>
  <c r="E3212" i="5"/>
  <c r="E3211" i="5"/>
  <c r="E3210" i="5"/>
  <c r="E3209" i="5"/>
  <c r="E3208" i="5"/>
  <c r="E3207" i="5"/>
  <c r="E3206" i="5"/>
  <c r="E3205" i="5"/>
  <c r="E3204" i="5"/>
  <c r="E3203" i="5"/>
  <c r="E3202" i="5"/>
  <c r="E3201" i="5"/>
  <c r="E3200" i="5"/>
  <c r="E3199" i="5"/>
  <c r="E3198" i="5"/>
  <c r="E3197" i="5"/>
  <c r="E3196" i="5"/>
  <c r="E3195" i="5"/>
  <c r="E3194" i="5"/>
  <c r="E3193" i="5"/>
  <c r="E3192" i="5"/>
  <c r="E3191" i="5"/>
  <c r="E3190" i="5"/>
  <c r="E3189" i="5"/>
  <c r="E3188" i="5"/>
  <c r="E3187" i="5"/>
  <c r="E3186" i="5"/>
  <c r="E3185" i="5"/>
  <c r="E3184" i="5"/>
  <c r="E3183" i="5"/>
  <c r="E3182" i="5"/>
  <c r="E3181" i="5"/>
  <c r="E3180" i="5"/>
  <c r="E3179" i="5"/>
  <c r="E3178" i="5"/>
  <c r="E3177" i="5"/>
  <c r="E3176" i="5"/>
  <c r="E3175" i="5"/>
  <c r="E3174" i="5"/>
  <c r="E3173" i="5"/>
  <c r="E3172" i="5"/>
  <c r="E3171" i="5"/>
  <c r="E3170" i="5"/>
  <c r="E3169" i="5"/>
  <c r="E3168" i="5"/>
  <c r="E3167" i="5"/>
  <c r="E3166" i="5"/>
  <c r="E3165" i="5"/>
  <c r="E3164" i="5"/>
  <c r="E3163" i="5"/>
  <c r="E3162" i="5"/>
  <c r="E3161" i="5"/>
  <c r="E3160" i="5"/>
  <c r="E3159" i="5"/>
  <c r="E3158" i="5"/>
  <c r="E3157" i="5"/>
  <c r="E3156" i="5"/>
  <c r="E3155" i="5"/>
  <c r="E3154" i="5"/>
  <c r="E3153" i="5"/>
  <c r="E3152" i="5"/>
  <c r="E3151" i="5"/>
  <c r="E3150" i="5"/>
  <c r="E3149" i="5"/>
  <c r="E3148" i="5"/>
  <c r="E3147" i="5"/>
  <c r="E3146" i="5"/>
  <c r="E3145" i="5"/>
  <c r="E3144" i="5"/>
  <c r="E3143" i="5"/>
  <c r="E3142" i="5"/>
  <c r="E3141" i="5"/>
  <c r="E3140" i="5"/>
  <c r="E3139" i="5"/>
  <c r="E3138" i="5"/>
  <c r="E3137" i="5"/>
  <c r="E3136" i="5"/>
  <c r="E3135" i="5"/>
  <c r="E3134" i="5"/>
  <c r="E3133" i="5"/>
  <c r="E3132" i="5"/>
  <c r="E3131" i="5"/>
  <c r="E3130" i="5"/>
  <c r="E3129" i="5"/>
  <c r="E3128" i="5"/>
  <c r="E3127" i="5"/>
  <c r="E3126" i="5"/>
  <c r="E3125" i="5"/>
  <c r="E3124" i="5"/>
  <c r="E3123" i="5"/>
  <c r="E3122" i="5"/>
  <c r="E3121" i="5"/>
  <c r="E3120" i="5"/>
  <c r="E3119" i="5"/>
  <c r="E3118" i="5"/>
  <c r="E3117" i="5"/>
  <c r="E3116" i="5"/>
  <c r="E3115" i="5"/>
  <c r="E3114" i="5"/>
  <c r="E3113" i="5"/>
  <c r="E3112" i="5"/>
  <c r="E3111" i="5"/>
  <c r="E3110" i="5"/>
  <c r="E3109" i="5"/>
  <c r="E3108" i="5"/>
  <c r="E3107" i="5"/>
  <c r="E3106" i="5"/>
  <c r="E3105" i="5"/>
  <c r="E3104" i="5"/>
  <c r="E3103" i="5"/>
  <c r="E3102" i="5"/>
  <c r="E3101" i="5"/>
  <c r="E3100" i="5"/>
  <c r="E3099" i="5"/>
  <c r="E3098" i="5"/>
  <c r="E3097" i="5"/>
  <c r="E3096" i="5"/>
  <c r="E3095" i="5"/>
  <c r="E3094" i="5"/>
  <c r="E3093" i="5"/>
  <c r="E3092" i="5"/>
  <c r="E3091" i="5"/>
  <c r="E3090" i="5"/>
  <c r="E3089" i="5"/>
  <c r="E3088" i="5"/>
  <c r="E3087" i="5"/>
  <c r="E3086" i="5"/>
  <c r="E3085" i="5"/>
  <c r="E3084" i="5"/>
  <c r="E3083" i="5"/>
  <c r="E3082" i="5"/>
  <c r="E3081" i="5"/>
  <c r="E3080" i="5"/>
  <c r="E3079" i="5"/>
  <c r="E3078" i="5"/>
  <c r="E3077" i="5"/>
  <c r="E3076" i="5"/>
  <c r="E3075" i="5"/>
  <c r="E3074" i="5"/>
  <c r="E3073" i="5"/>
  <c r="E3072" i="5"/>
  <c r="E3071" i="5"/>
  <c r="E3070" i="5"/>
  <c r="E3069" i="5"/>
  <c r="E3068" i="5"/>
  <c r="E3067" i="5"/>
  <c r="E3066" i="5"/>
  <c r="E3065" i="5"/>
  <c r="E3064" i="5"/>
  <c r="E3063" i="5"/>
  <c r="E3062" i="5"/>
  <c r="E3061" i="5"/>
  <c r="E3060" i="5"/>
  <c r="E3059" i="5"/>
  <c r="E3058" i="5"/>
  <c r="E3057" i="5"/>
  <c r="E3056" i="5"/>
  <c r="E3055" i="5"/>
  <c r="E3054" i="5"/>
  <c r="E3053" i="5"/>
  <c r="E3052" i="5"/>
  <c r="E3051" i="5"/>
  <c r="E3050" i="5"/>
  <c r="E3049" i="5"/>
  <c r="E3048" i="5"/>
  <c r="E3047" i="5"/>
  <c r="E3046" i="5"/>
  <c r="E3045" i="5"/>
  <c r="E3044" i="5"/>
  <c r="E3043" i="5"/>
  <c r="E3042" i="5"/>
  <c r="E3041" i="5"/>
  <c r="E3040" i="5"/>
  <c r="E3039" i="5"/>
  <c r="E3038" i="5"/>
  <c r="F10136" i="5"/>
  <c r="F10135" i="5"/>
  <c r="F10134" i="5"/>
  <c r="F10133" i="5"/>
  <c r="F10132" i="5"/>
  <c r="F10131" i="5"/>
  <c r="F10130" i="5"/>
  <c r="F10129" i="5"/>
  <c r="F10128" i="5"/>
  <c r="F10127" i="5"/>
  <c r="F10126" i="5"/>
  <c r="F10125" i="5"/>
  <c r="F10124" i="5"/>
  <c r="F10123" i="5"/>
  <c r="F10122" i="5"/>
  <c r="F10121" i="5"/>
  <c r="F10120" i="5"/>
  <c r="F10119" i="5"/>
  <c r="F10118" i="5"/>
  <c r="F10117" i="5"/>
  <c r="F10116" i="5"/>
  <c r="F10115" i="5"/>
  <c r="F10114" i="5"/>
  <c r="F10113" i="5"/>
  <c r="F10112" i="5"/>
  <c r="F10111" i="5"/>
  <c r="F10110" i="5"/>
  <c r="F10109" i="5"/>
  <c r="F10108" i="5"/>
  <c r="F10107" i="5"/>
  <c r="F10106" i="5"/>
  <c r="F10105" i="5"/>
  <c r="F10104" i="5"/>
  <c r="F10103" i="5"/>
  <c r="F10102" i="5"/>
  <c r="F10101" i="5"/>
  <c r="F10100" i="5"/>
  <c r="F10099" i="5"/>
  <c r="F10098" i="5"/>
  <c r="F10097" i="5"/>
  <c r="F10096" i="5"/>
  <c r="F10095" i="5"/>
  <c r="F10094" i="5"/>
  <c r="F10093" i="5"/>
  <c r="F10092" i="5"/>
  <c r="F10091" i="5"/>
  <c r="F10090" i="5"/>
  <c r="F10089" i="5"/>
  <c r="F10088" i="5"/>
  <c r="F10087" i="5"/>
  <c r="F10086" i="5"/>
  <c r="F10085" i="5"/>
  <c r="F10084" i="5"/>
  <c r="F10083" i="5"/>
  <c r="F10082" i="5"/>
  <c r="F10081" i="5"/>
  <c r="F10080" i="5"/>
  <c r="F10079" i="5"/>
  <c r="F10078" i="5"/>
  <c r="F10077" i="5"/>
  <c r="F10076" i="5"/>
  <c r="F10075" i="5"/>
  <c r="F10074" i="5"/>
  <c r="F10073" i="5"/>
  <c r="F10072" i="5"/>
  <c r="F10071" i="5"/>
  <c r="F10070" i="5"/>
  <c r="F10069" i="5"/>
  <c r="F10068" i="5"/>
  <c r="F10067" i="5"/>
  <c r="F10066" i="5"/>
  <c r="F10065" i="5"/>
  <c r="F10064" i="5"/>
  <c r="F10063" i="5"/>
  <c r="F10062" i="5"/>
  <c r="F10061" i="5"/>
  <c r="F10060" i="5"/>
  <c r="F10059" i="5"/>
  <c r="F10058" i="5"/>
  <c r="F10057" i="5"/>
  <c r="F10056" i="5"/>
  <c r="F10055" i="5"/>
  <c r="F10054" i="5"/>
  <c r="F10053" i="5"/>
  <c r="F10052" i="5"/>
  <c r="F10051" i="5"/>
  <c r="F10050" i="5"/>
  <c r="F10049" i="5"/>
  <c r="F10048" i="5"/>
  <c r="F10047" i="5"/>
  <c r="F10046" i="5"/>
  <c r="F10045" i="5"/>
  <c r="F10044" i="5"/>
  <c r="F10043" i="5"/>
  <c r="F10042" i="5"/>
  <c r="F10041" i="5"/>
  <c r="F10040" i="5"/>
  <c r="F10039" i="5"/>
  <c r="F10038" i="5"/>
  <c r="F10037" i="5"/>
  <c r="F10036" i="5"/>
  <c r="F10035" i="5"/>
  <c r="F10034" i="5"/>
  <c r="F10033" i="5"/>
  <c r="F10032" i="5"/>
  <c r="F10031" i="5"/>
  <c r="F10030" i="5"/>
  <c r="F10029" i="5"/>
  <c r="F10028" i="5"/>
  <c r="F10027" i="5"/>
  <c r="F10026" i="5"/>
  <c r="F10025" i="5"/>
  <c r="F10024" i="5"/>
  <c r="F10023" i="5"/>
  <c r="F10022" i="5"/>
  <c r="F10021" i="5"/>
  <c r="F10020" i="5"/>
  <c r="F10019" i="5"/>
  <c r="F10018" i="5"/>
  <c r="F10017" i="5"/>
  <c r="F10016" i="5"/>
  <c r="F10015" i="5"/>
  <c r="F10014" i="5"/>
  <c r="F10013" i="5"/>
  <c r="F10012" i="5"/>
  <c r="F8670" i="5"/>
  <c r="F8669" i="5"/>
  <c r="F8668" i="5"/>
  <c r="F8667" i="5"/>
  <c r="F8666" i="5"/>
  <c r="F8665" i="5"/>
  <c r="F8664" i="5"/>
  <c r="F8663" i="5"/>
  <c r="F8662" i="5"/>
  <c r="F8661" i="5"/>
  <c r="F8660" i="5"/>
  <c r="F8659" i="5"/>
  <c r="F8658" i="5"/>
  <c r="F8657" i="5"/>
  <c r="F8656" i="5"/>
  <c r="F8655" i="5"/>
  <c r="F8654" i="5"/>
  <c r="F8653" i="5"/>
  <c r="F8652" i="5"/>
  <c r="F8651" i="5"/>
  <c r="F8650" i="5"/>
  <c r="F8649" i="5"/>
  <c r="F8648" i="5"/>
  <c r="F8647" i="5"/>
  <c r="F8646" i="5"/>
  <c r="F8645" i="5"/>
  <c r="F8644" i="5"/>
  <c r="F8643" i="5"/>
  <c r="F8642" i="5"/>
  <c r="F8641" i="5"/>
  <c r="F8640" i="5"/>
  <c r="F8639" i="5"/>
  <c r="F8638" i="5"/>
  <c r="F8637" i="5"/>
  <c r="F8636" i="5"/>
  <c r="F8635" i="5"/>
  <c r="F8634" i="5"/>
  <c r="F8633" i="5"/>
  <c r="F8632" i="5"/>
  <c r="F8631" i="5"/>
  <c r="F8630" i="5"/>
  <c r="F8629" i="5"/>
  <c r="F8628" i="5"/>
  <c r="F8627" i="5"/>
  <c r="F8626" i="5"/>
  <c r="F8625" i="5"/>
  <c r="F8624" i="5"/>
  <c r="F8623" i="5"/>
  <c r="F8622" i="5"/>
  <c r="F8621" i="5"/>
  <c r="F8620" i="5"/>
  <c r="F8619" i="5"/>
  <c r="F8618" i="5"/>
  <c r="F8617" i="5"/>
  <c r="F8616" i="5"/>
  <c r="F8615" i="5"/>
  <c r="F8614" i="5"/>
  <c r="F8613" i="5"/>
  <c r="F8612" i="5"/>
  <c r="F8611" i="5"/>
  <c r="F8610" i="5"/>
  <c r="F8609" i="5"/>
  <c r="F8608" i="5"/>
  <c r="F8607" i="5"/>
  <c r="F8606" i="5"/>
  <c r="F8605" i="5"/>
  <c r="F8604" i="5"/>
  <c r="F8603" i="5"/>
  <c r="F8602" i="5"/>
  <c r="F8601" i="5"/>
  <c r="F7206" i="5"/>
  <c r="F7203" i="5"/>
  <c r="F7202" i="5"/>
  <c r="F7201" i="5"/>
  <c r="F7200" i="5"/>
  <c r="F7199" i="5"/>
  <c r="F7198" i="5"/>
  <c r="F7197" i="5"/>
  <c r="F7196" i="5"/>
  <c r="F7195" i="5"/>
  <c r="F7194" i="5"/>
  <c r="F7193" i="5"/>
  <c r="F7192" i="5"/>
  <c r="F7191" i="5"/>
  <c r="F7190" i="5"/>
  <c r="F7189" i="5"/>
  <c r="F7188" i="5"/>
  <c r="F7187" i="5"/>
  <c r="F7186" i="5"/>
  <c r="F7185" i="5"/>
  <c r="F7184" i="5"/>
  <c r="F7183" i="5"/>
  <c r="F7182" i="5"/>
  <c r="F7181" i="5"/>
  <c r="F7180" i="5"/>
  <c r="F7179" i="5"/>
  <c r="F7178" i="5"/>
  <c r="F7177" i="5"/>
  <c r="F7176" i="5"/>
  <c r="F7175" i="5"/>
  <c r="F7174" i="5"/>
  <c r="F7173" i="5"/>
  <c r="F7172" i="5"/>
  <c r="F7171" i="5"/>
  <c r="F7170" i="5"/>
  <c r="F7169" i="5"/>
  <c r="F7168" i="5"/>
  <c r="F7167" i="5"/>
  <c r="F7166" i="5"/>
  <c r="F7165" i="5"/>
  <c r="F7164" i="5"/>
  <c r="F7163" i="5"/>
  <c r="F7162" i="5"/>
  <c r="F7161" i="5"/>
  <c r="F7160" i="5"/>
  <c r="F7159" i="5"/>
  <c r="F7158" i="5"/>
  <c r="F7157" i="5"/>
  <c r="F7156" i="5"/>
  <c r="F7155" i="5"/>
  <c r="F7154" i="5"/>
  <c r="F7153" i="5"/>
  <c r="F7152" i="5"/>
  <c r="F7151" i="5"/>
  <c r="F7150" i="5"/>
  <c r="F7149" i="5"/>
  <c r="F7148" i="5"/>
  <c r="F7147" i="5"/>
  <c r="F7146" i="5"/>
  <c r="F7145" i="5"/>
  <c r="F7144" i="5"/>
  <c r="F7143" i="5"/>
  <c r="F7142" i="5"/>
  <c r="F7141" i="5"/>
  <c r="F7140" i="5"/>
  <c r="F7139" i="5"/>
  <c r="F7138" i="5"/>
  <c r="F7137" i="5"/>
  <c r="F7136" i="5"/>
  <c r="F7135" i="5"/>
  <c r="F7134" i="5"/>
  <c r="F7133" i="5"/>
  <c r="F7132" i="5"/>
  <c r="F7131" i="5"/>
  <c r="F7130" i="5"/>
  <c r="F7129" i="5"/>
  <c r="F7128" i="5"/>
  <c r="F7127" i="5"/>
  <c r="F7126" i="5"/>
  <c r="F7125" i="5"/>
  <c r="F7124" i="5"/>
  <c r="F7123" i="5"/>
  <c r="F7122" i="5"/>
  <c r="F7121" i="5"/>
  <c r="F7120" i="5"/>
  <c r="F7119" i="5"/>
  <c r="F7118" i="5"/>
  <c r="F7117" i="5"/>
  <c r="F6933" i="5"/>
  <c r="F6934" i="5"/>
  <c r="F6935" i="5"/>
  <c r="F6936" i="5"/>
  <c r="F6937" i="5"/>
  <c r="F6938" i="5"/>
  <c r="F6939" i="5"/>
  <c r="F6940" i="5"/>
  <c r="F6941" i="5"/>
  <c r="F6942" i="5"/>
  <c r="F6943" i="5"/>
  <c r="F6944" i="5"/>
  <c r="F6945" i="5"/>
  <c r="F6946" i="5"/>
  <c r="F6947" i="5"/>
  <c r="F6948" i="5"/>
  <c r="F6949" i="5"/>
  <c r="F6950" i="5"/>
  <c r="F6951" i="5"/>
  <c r="F6952" i="5"/>
  <c r="F6953" i="5"/>
  <c r="F6955" i="5"/>
  <c r="F6956" i="5"/>
  <c r="F6957" i="5"/>
  <c r="F6958" i="5"/>
  <c r="F6959" i="5"/>
  <c r="F6960" i="5"/>
  <c r="F6961" i="5"/>
  <c r="F6962" i="5"/>
  <c r="F6963" i="5"/>
  <c r="F6964" i="5"/>
  <c r="F6965" i="5"/>
  <c r="F6966" i="5"/>
  <c r="F6967" i="5"/>
  <c r="F6968" i="5"/>
  <c r="F6969" i="5"/>
  <c r="F6970" i="5"/>
  <c r="F6971" i="5"/>
  <c r="F6972" i="5"/>
  <c r="F6973" i="5"/>
  <c r="F6974" i="5"/>
  <c r="F6975" i="5"/>
  <c r="F6976" i="5"/>
  <c r="F6977" i="5"/>
  <c r="F6978" i="5"/>
  <c r="F6979" i="5"/>
  <c r="F6980" i="5"/>
  <c r="F6981" i="5"/>
  <c r="F6982" i="5"/>
  <c r="F6983" i="5"/>
  <c r="F6984" i="5"/>
  <c r="F6985" i="5"/>
  <c r="F6986" i="5"/>
  <c r="F6987" i="5"/>
  <c r="F6988" i="5"/>
  <c r="F6989" i="5"/>
  <c r="F6990" i="5"/>
  <c r="F6991" i="5"/>
  <c r="F6992" i="5"/>
  <c r="F6993" i="5"/>
  <c r="F6994" i="5"/>
  <c r="F6995" i="5"/>
  <c r="F6996" i="5"/>
  <c r="F6997" i="5"/>
  <c r="F6998" i="5"/>
  <c r="F6999" i="5"/>
  <c r="F7000" i="5"/>
  <c r="F7001" i="5"/>
  <c r="F7002" i="5"/>
  <c r="F7003" i="5"/>
  <c r="F7004" i="5"/>
  <c r="F7005" i="5"/>
  <c r="F7006" i="5"/>
  <c r="F7007" i="5"/>
  <c r="F7008" i="5"/>
  <c r="F7009" i="5"/>
  <c r="F7010" i="5"/>
  <c r="F7011" i="5"/>
  <c r="F7012" i="5"/>
  <c r="F7013" i="5"/>
  <c r="F7014" i="5"/>
  <c r="F7015" i="5"/>
  <c r="F7016" i="5"/>
  <c r="F7017" i="5"/>
  <c r="F7018" i="5"/>
  <c r="F7019" i="5"/>
  <c r="F7020" i="5"/>
  <c r="F7021" i="5"/>
  <c r="F7022" i="5"/>
  <c r="F7023" i="5"/>
  <c r="F7024" i="5"/>
  <c r="F7025" i="5"/>
  <c r="F7026" i="5"/>
  <c r="F7027" i="5"/>
  <c r="F7028" i="5"/>
  <c r="F7029" i="5"/>
  <c r="F7030" i="5"/>
  <c r="F7031" i="5"/>
  <c r="F7032" i="5"/>
  <c r="F7033" i="5"/>
  <c r="F7034" i="5"/>
  <c r="F7035" i="5"/>
  <c r="F7036" i="5"/>
  <c r="F7037" i="5"/>
  <c r="F7038" i="5"/>
  <c r="F7039" i="5"/>
  <c r="F7040" i="5"/>
  <c r="F7041" i="5"/>
  <c r="F7042" i="5"/>
  <c r="F7043" i="5"/>
  <c r="F7044" i="5"/>
  <c r="F7045" i="5"/>
  <c r="F7046" i="5"/>
  <c r="F7047" i="5"/>
  <c r="F6932" i="5"/>
  <c r="F6607" i="5"/>
  <c r="F6608" i="5"/>
  <c r="F6609" i="5"/>
  <c r="F6610" i="5"/>
  <c r="F6611" i="5"/>
  <c r="F6612" i="5"/>
  <c r="F6613" i="5"/>
  <c r="F6614" i="5"/>
  <c r="F6615" i="5"/>
  <c r="F6616" i="5"/>
  <c r="F6617" i="5"/>
  <c r="F6618" i="5"/>
  <c r="F6619" i="5"/>
  <c r="F6620" i="5"/>
  <c r="F6621" i="5"/>
  <c r="F6622" i="5"/>
  <c r="F6623" i="5"/>
  <c r="F6624" i="5"/>
  <c r="F6625" i="5"/>
  <c r="F6626" i="5"/>
  <c r="F6627" i="5"/>
  <c r="F6628" i="5"/>
  <c r="F6629" i="5"/>
  <c r="F6630" i="5"/>
  <c r="F6631" i="5"/>
  <c r="F6632" i="5"/>
  <c r="F6633" i="5"/>
  <c r="F6634" i="5"/>
  <c r="F6635" i="5"/>
  <c r="F6636" i="5"/>
  <c r="F6637" i="5"/>
  <c r="F6638" i="5"/>
  <c r="F6639" i="5"/>
  <c r="F6640" i="5"/>
  <c r="F6641" i="5"/>
  <c r="F6642" i="5"/>
  <c r="F6643" i="5"/>
  <c r="F6644" i="5"/>
  <c r="F6645" i="5"/>
  <c r="F6646" i="5"/>
  <c r="F6647" i="5"/>
  <c r="F6648" i="5"/>
  <c r="F6649" i="5"/>
  <c r="F6650" i="5"/>
  <c r="F6651" i="5"/>
  <c r="F6652" i="5"/>
  <c r="F6653" i="5"/>
  <c r="F6654" i="5"/>
  <c r="F6655" i="5"/>
  <c r="F6656" i="5"/>
  <c r="F6657" i="5"/>
  <c r="F6658" i="5"/>
  <c r="F6659" i="5"/>
  <c r="F6660" i="5"/>
  <c r="F6661" i="5"/>
  <c r="F6662" i="5"/>
  <c r="F6663" i="5"/>
  <c r="F6664" i="5"/>
  <c r="F6665" i="5"/>
  <c r="F6666" i="5"/>
  <c r="F6667" i="5"/>
  <c r="F6668" i="5"/>
  <c r="F6669" i="5"/>
  <c r="F6670" i="5"/>
  <c r="F6671" i="5"/>
  <c r="F6672" i="5"/>
  <c r="F6673" i="5"/>
  <c r="F6674" i="5"/>
  <c r="F6675" i="5"/>
  <c r="F6676" i="5"/>
  <c r="F6677" i="5"/>
  <c r="F6678" i="5"/>
  <c r="F6679" i="5"/>
  <c r="F6680" i="5"/>
  <c r="F6681" i="5"/>
  <c r="F6682" i="5"/>
  <c r="F6683" i="5"/>
  <c r="F6684" i="5"/>
  <c r="F6685" i="5"/>
  <c r="F6686" i="5"/>
  <c r="F6687" i="5"/>
  <c r="F6688" i="5"/>
  <c r="F6689" i="5"/>
  <c r="F6690" i="5"/>
  <c r="F6606" i="5"/>
  <c r="F6605" i="5"/>
  <c r="F6604" i="5"/>
  <c r="F6603" i="5"/>
  <c r="F6602" i="5"/>
  <c r="F6601" i="5"/>
  <c r="F6600" i="5"/>
  <c r="F6599" i="5"/>
  <c r="F6598" i="5"/>
  <c r="F6597" i="5"/>
  <c r="F6596" i="5"/>
  <c r="F6595" i="5"/>
  <c r="F6594" i="5"/>
  <c r="F6593" i="5"/>
  <c r="F6592" i="5"/>
  <c r="F6591" i="5"/>
  <c r="F6590" i="5"/>
  <c r="F6589" i="5"/>
  <c r="F6588" i="5"/>
  <c r="F6587" i="5"/>
  <c r="F6586" i="5"/>
  <c r="F6585" i="5"/>
  <c r="F6584" i="5"/>
  <c r="F6583" i="5"/>
  <c r="F6582" i="5"/>
  <c r="F6581" i="5"/>
  <c r="F6580" i="5"/>
  <c r="F6579" i="5"/>
  <c r="F6578" i="5"/>
  <c r="F6577" i="5"/>
  <c r="F6576" i="5"/>
  <c r="F6575" i="5"/>
  <c r="F6574" i="5"/>
  <c r="F6573" i="5"/>
  <c r="F6572" i="5"/>
  <c r="F6571" i="5"/>
  <c r="F6570" i="5"/>
  <c r="F6569" i="5"/>
  <c r="F6568" i="5"/>
  <c r="F6567" i="5"/>
  <c r="F6566" i="5"/>
  <c r="F6565" i="5"/>
  <c r="F6564" i="5"/>
  <c r="F6563" i="5"/>
  <c r="F6562" i="5"/>
  <c r="F6561" i="5"/>
  <c r="F6560" i="5"/>
  <c r="F6559" i="5"/>
  <c r="F6558" i="5"/>
  <c r="F6557" i="5"/>
  <c r="F6556" i="5"/>
  <c r="F6555" i="5"/>
  <c r="F6554" i="5"/>
  <c r="F6553" i="5"/>
  <c r="F6552" i="5"/>
  <c r="F6551" i="5"/>
  <c r="F6550" i="5"/>
  <c r="F6549" i="5"/>
  <c r="F6548" i="5"/>
  <c r="F6547" i="5"/>
  <c r="F6546" i="5"/>
  <c r="F6545" i="5"/>
  <c r="F6544" i="5"/>
  <c r="F6543" i="5"/>
  <c r="F6542" i="5"/>
  <c r="F6541" i="5"/>
  <c r="F6540" i="5"/>
  <c r="F6539" i="5"/>
  <c r="F6538" i="5"/>
  <c r="F6537" i="5"/>
  <c r="F6536" i="5"/>
  <c r="F6535" i="5"/>
  <c r="F6534" i="5"/>
  <c r="F6533" i="5"/>
  <c r="F6532" i="5"/>
  <c r="F6531" i="5"/>
  <c r="F6530" i="5"/>
  <c r="F6529" i="5"/>
  <c r="F6528" i="5"/>
  <c r="F6527" i="5"/>
  <c r="F6526" i="5"/>
  <c r="F6525" i="5"/>
  <c r="F6524" i="5"/>
  <c r="F6523" i="5"/>
  <c r="F6522" i="5"/>
  <c r="F6521" i="5"/>
  <c r="F6520" i="5"/>
  <c r="F6519" i="5"/>
  <c r="F6518" i="5"/>
  <c r="F6517" i="5"/>
  <c r="F6516" i="5"/>
  <c r="F6515" i="5"/>
  <c r="F6514" i="5"/>
  <c r="F6513" i="5"/>
  <c r="F6512" i="5"/>
  <c r="F6511" i="5"/>
  <c r="F6510" i="5"/>
  <c r="F6509" i="5"/>
  <c r="F6508" i="5"/>
  <c r="F6507" i="5"/>
  <c r="F6506" i="5"/>
  <c r="F6505" i="5"/>
  <c r="F6504" i="5"/>
  <c r="F6503" i="5"/>
  <c r="F6502" i="5"/>
  <c r="F6501" i="5"/>
  <c r="F6500" i="5"/>
  <c r="F6499" i="5"/>
  <c r="F6498" i="5"/>
  <c r="F6497" i="5"/>
  <c r="F6496" i="5"/>
  <c r="F6495" i="5"/>
  <c r="F6494" i="5"/>
  <c r="F6493" i="5"/>
  <c r="F6492" i="5"/>
  <c r="F6491" i="5"/>
  <c r="F6490" i="5"/>
  <c r="F6489" i="5"/>
  <c r="F6488" i="5"/>
  <c r="F6487" i="5"/>
  <c r="F6486" i="5"/>
  <c r="F6485" i="5"/>
  <c r="F6484" i="5"/>
  <c r="F6483" i="5"/>
  <c r="F6482" i="5"/>
  <c r="F6481" i="5"/>
  <c r="F6480" i="5"/>
  <c r="F6479" i="5"/>
  <c r="F6478" i="5"/>
  <c r="F6477" i="5"/>
  <c r="F6476" i="5"/>
  <c r="F6475" i="5"/>
  <c r="F6474" i="5"/>
  <c r="F6473" i="5"/>
  <c r="F6472" i="5"/>
  <c r="F6471" i="5"/>
  <c r="F6470" i="5"/>
  <c r="F6469" i="5"/>
  <c r="F6468" i="5"/>
  <c r="F6467" i="5"/>
  <c r="F6466" i="5"/>
  <c r="F6465" i="5"/>
  <c r="F6464" i="5"/>
  <c r="F6463" i="5"/>
  <c r="F6462" i="5"/>
  <c r="F6461" i="5"/>
  <c r="F6460" i="5"/>
  <c r="F6459" i="5"/>
  <c r="F6458" i="5"/>
  <c r="F6457" i="5"/>
  <c r="F6456" i="5"/>
  <c r="F6455" i="5"/>
  <c r="F6454" i="5"/>
  <c r="F6453" i="5"/>
  <c r="F6452" i="5"/>
  <c r="F6451" i="5"/>
  <c r="F6450" i="5"/>
  <c r="F6449" i="5"/>
  <c r="F6448" i="5"/>
  <c r="F6447" i="5"/>
  <c r="F6446" i="5"/>
  <c r="F6445" i="5"/>
  <c r="F6444" i="5"/>
  <c r="F6443" i="5"/>
  <c r="F6442" i="5"/>
  <c r="F6441" i="5"/>
  <c r="F6440" i="5"/>
  <c r="F6439" i="5"/>
  <c r="F6438" i="5"/>
  <c r="F6437" i="5"/>
  <c r="F6436" i="5"/>
  <c r="F6435" i="5"/>
  <c r="F6434" i="5"/>
  <c r="F6433" i="5"/>
  <c r="F6432" i="5"/>
  <c r="F6431" i="5"/>
  <c r="F6430" i="5"/>
  <c r="F6429" i="5"/>
  <c r="F6428" i="5"/>
  <c r="F6427" i="5"/>
  <c r="F6426" i="5"/>
  <c r="F6425" i="5"/>
  <c r="F6424" i="5"/>
  <c r="F6423" i="5"/>
  <c r="F6422" i="5"/>
  <c r="F6421" i="5"/>
  <c r="F6420" i="5"/>
  <c r="F6419" i="5"/>
  <c r="F6418" i="5"/>
  <c r="F6417" i="5"/>
  <c r="F6416" i="5"/>
  <c r="F6415" i="5"/>
  <c r="F6414" i="5"/>
  <c r="F6413" i="5"/>
  <c r="F6412" i="5"/>
  <c r="F6411" i="5"/>
  <c r="F6410" i="5"/>
  <c r="F6409" i="5"/>
  <c r="F6396" i="5"/>
  <c r="F6395" i="5"/>
  <c r="F6394" i="5"/>
  <c r="F6393" i="5"/>
  <c r="F6392" i="5"/>
  <c r="F6391" i="5"/>
  <c r="F6390" i="5"/>
  <c r="F6389" i="5"/>
  <c r="F6388" i="5"/>
  <c r="F6387" i="5"/>
  <c r="F6386" i="5"/>
  <c r="F6385" i="5"/>
  <c r="F6384" i="5"/>
  <c r="F6383" i="5"/>
  <c r="F6382" i="5"/>
  <c r="F6381" i="5"/>
  <c r="F6380" i="5"/>
  <c r="F6379" i="5"/>
  <c r="F6378" i="5"/>
  <c r="F6377" i="5"/>
  <c r="F6376" i="5"/>
  <c r="F6375" i="5"/>
  <c r="F6374" i="5"/>
  <c r="F6373" i="5"/>
  <c r="F6372" i="5"/>
  <c r="F6371" i="5"/>
  <c r="F6370" i="5"/>
  <c r="F6369" i="5"/>
  <c r="F6368" i="5"/>
  <c r="F6367" i="5"/>
  <c r="F6366" i="5"/>
  <c r="F6365" i="5"/>
  <c r="F6364" i="5"/>
  <c r="F6363" i="5"/>
  <c r="F6362" i="5"/>
  <c r="F6361" i="5"/>
  <c r="F6360" i="5"/>
  <c r="F6359" i="5"/>
  <c r="F6358" i="5"/>
  <c r="F6357" i="5"/>
  <c r="F6356" i="5"/>
  <c r="F6355" i="5"/>
  <c r="F6354" i="5"/>
  <c r="F6353" i="5"/>
  <c r="F6352" i="5"/>
  <c r="F6351" i="5"/>
  <c r="F6350" i="5"/>
  <c r="F6349" i="5"/>
  <c r="F6348" i="5"/>
  <c r="F6347" i="5"/>
  <c r="F6346" i="5"/>
  <c r="F6345" i="5"/>
  <c r="F6344" i="5"/>
  <c r="F6343" i="5"/>
  <c r="F6342" i="5"/>
  <c r="F6341" i="5"/>
  <c r="F6340" i="5"/>
  <c r="F6339" i="5"/>
  <c r="F6338" i="5"/>
  <c r="F6337" i="5"/>
  <c r="F6336" i="5"/>
  <c r="F6335" i="5"/>
  <c r="F6334" i="5"/>
  <c r="F6333" i="5"/>
  <c r="F6332" i="5"/>
  <c r="F6331" i="5"/>
  <c r="F6330" i="5"/>
  <c r="F6329" i="5"/>
  <c r="F6328" i="5"/>
  <c r="F6327" i="5"/>
  <c r="F6326" i="5"/>
  <c r="F6325" i="5"/>
  <c r="F6324" i="5"/>
  <c r="F6323" i="5"/>
  <c r="F6322" i="5"/>
  <c r="F6321" i="5"/>
  <c r="F6320" i="5"/>
  <c r="F6319" i="5"/>
  <c r="F6318" i="5"/>
  <c r="F6317" i="5"/>
  <c r="F6316" i="5"/>
  <c r="F6315" i="5"/>
  <c r="F6314" i="5"/>
  <c r="F6313" i="5"/>
  <c r="F6312" i="5"/>
  <c r="F6311" i="5"/>
  <c r="F6310" i="5"/>
  <c r="F6309" i="5"/>
  <c r="F6308" i="5"/>
  <c r="F6307" i="5"/>
  <c r="F6306" i="5"/>
  <c r="F6305" i="5"/>
  <c r="F6304" i="5"/>
  <c r="F6303" i="5"/>
  <c r="F6302" i="5"/>
  <c r="F6301" i="5"/>
  <c r="F6300" i="5"/>
  <c r="F6299" i="5"/>
  <c r="F6298" i="5"/>
  <c r="F6297" i="5"/>
  <c r="F6296" i="5"/>
  <c r="F6295" i="5"/>
  <c r="F6294" i="5"/>
  <c r="F6293" i="5"/>
  <c r="F6292" i="5"/>
  <c r="F6291" i="5"/>
  <c r="F6290" i="5"/>
  <c r="F6289" i="5"/>
  <c r="F6288" i="5"/>
  <c r="F6287" i="5"/>
  <c r="F6286" i="5"/>
  <c r="F6285" i="5"/>
  <c r="F6284" i="5"/>
  <c r="F6283" i="5"/>
  <c r="F6282" i="5"/>
  <c r="F6281" i="5"/>
  <c r="F6280" i="5"/>
  <c r="F6279" i="5"/>
  <c r="F6278" i="5"/>
  <c r="F6277" i="5"/>
  <c r="F6276" i="5"/>
  <c r="F6275" i="5"/>
  <c r="F6274" i="5"/>
  <c r="F6273" i="5"/>
  <c r="F6272" i="5"/>
  <c r="F6271" i="5"/>
  <c r="F6270" i="5"/>
  <c r="F6269" i="5"/>
  <c r="F6268" i="5"/>
  <c r="F6267" i="5"/>
  <c r="F6266" i="5"/>
  <c r="F6265" i="5"/>
  <c r="F6264" i="5"/>
  <c r="F6263" i="5"/>
  <c r="F6262" i="5"/>
  <c r="F6261" i="5"/>
  <c r="F6260" i="5"/>
  <c r="F6259" i="5"/>
  <c r="F6258" i="5"/>
  <c r="F6257" i="5"/>
  <c r="F6256" i="5"/>
  <c r="F6255" i="5"/>
  <c r="F6254" i="5"/>
  <c r="F6253" i="5"/>
  <c r="F6252" i="5"/>
  <c r="F6251" i="5"/>
  <c r="F6250" i="5"/>
  <c r="F6249" i="5"/>
  <c r="F6248" i="5"/>
  <c r="F6247" i="5"/>
  <c r="F6246" i="5"/>
  <c r="F6245" i="5"/>
  <c r="F6244" i="5"/>
  <c r="F6243" i="5"/>
  <c r="F6242" i="5"/>
  <c r="F6241" i="5"/>
  <c r="F6240" i="5"/>
  <c r="F6239" i="5"/>
  <c r="F6238" i="5"/>
  <c r="F6237" i="5"/>
  <c r="F6236" i="5"/>
  <c r="F6235" i="5"/>
  <c r="F6234" i="5"/>
  <c r="F6233" i="5"/>
  <c r="F6232" i="5"/>
  <c r="F6231" i="5"/>
  <c r="F6230" i="5"/>
  <c r="F6229" i="5"/>
  <c r="F6228" i="5"/>
  <c r="F6227" i="5"/>
  <c r="F6226" i="5"/>
  <c r="F6225" i="5"/>
  <c r="F6224" i="5"/>
  <c r="F6223" i="5"/>
  <c r="F6222" i="5"/>
  <c r="F6221" i="5"/>
  <c r="F6220" i="5"/>
  <c r="F6219" i="5"/>
  <c r="F6218" i="5"/>
  <c r="F6217" i="5"/>
  <c r="F6216" i="5"/>
  <c r="F6215" i="5"/>
  <c r="F6214" i="5"/>
  <c r="F6213" i="5"/>
  <c r="F6212" i="5"/>
  <c r="F6211" i="5"/>
  <c r="F6210" i="5"/>
  <c r="F6209" i="5"/>
  <c r="F6208" i="5"/>
  <c r="F6207" i="5"/>
  <c r="F6206" i="5"/>
  <c r="F6205" i="5"/>
  <c r="F6204" i="5"/>
  <c r="F6203" i="5"/>
  <c r="F6202" i="5"/>
  <c r="F6201" i="5"/>
  <c r="F6200" i="5"/>
  <c r="F6199" i="5"/>
  <c r="F6198" i="5"/>
  <c r="F6197" i="5"/>
  <c r="F6196" i="5"/>
  <c r="F6195" i="5"/>
  <c r="F6194" i="5"/>
  <c r="F6193" i="5"/>
  <c r="F6192" i="5"/>
  <c r="F6191" i="5"/>
  <c r="F6190" i="5"/>
  <c r="F6189" i="5"/>
  <c r="F6188" i="5"/>
  <c r="F6187" i="5"/>
  <c r="F6186" i="5"/>
  <c r="F6185" i="5"/>
  <c r="F6184" i="5"/>
  <c r="F6183" i="5"/>
  <c r="F6182" i="5"/>
  <c r="F6181" i="5"/>
  <c r="F6180" i="5"/>
  <c r="F6179" i="5"/>
  <c r="F6178" i="5"/>
  <c r="F6177" i="5"/>
  <c r="F6176" i="5"/>
  <c r="F6175" i="5"/>
  <c r="F6174" i="5"/>
  <c r="F6173" i="5"/>
  <c r="F6172" i="5"/>
  <c r="F6171" i="5"/>
  <c r="F6170" i="5"/>
  <c r="F6169" i="5"/>
  <c r="F6168" i="5"/>
  <c r="F6167" i="5"/>
  <c r="F6166" i="5"/>
  <c r="F6165" i="5"/>
  <c r="F6164" i="5"/>
  <c r="F6163" i="5"/>
  <c r="F6162" i="5"/>
  <c r="F6161" i="5"/>
  <c r="F6160" i="5"/>
  <c r="F6159" i="5"/>
  <c r="F6158" i="5"/>
  <c r="F6157" i="5"/>
  <c r="F6156" i="5"/>
  <c r="F6155" i="5"/>
  <c r="F6154" i="5"/>
  <c r="F6153" i="5"/>
  <c r="F6152" i="5"/>
  <c r="F6151" i="5"/>
  <c r="F6150" i="5"/>
  <c r="F6149" i="5"/>
  <c r="F6148" i="5"/>
  <c r="F6147" i="5"/>
  <c r="F6146" i="5"/>
  <c r="F6145" i="5"/>
  <c r="F6144" i="5"/>
  <c r="F6143" i="5"/>
  <c r="F6142" i="5"/>
  <c r="F6141" i="5"/>
  <c r="F6140" i="5"/>
  <c r="F6139" i="5"/>
  <c r="F6138" i="5"/>
  <c r="F6137" i="5"/>
  <c r="F6136" i="5"/>
  <c r="F6135" i="5"/>
  <c r="F6134" i="5"/>
  <c r="F6133" i="5"/>
  <c r="F6132" i="5"/>
  <c r="F6131" i="5"/>
  <c r="F6128" i="5"/>
  <c r="F6127" i="5"/>
  <c r="F6126" i="5"/>
  <c r="F6125" i="5"/>
  <c r="F6124" i="5"/>
  <c r="F6123" i="5"/>
  <c r="F6122" i="5"/>
  <c r="F6121" i="5"/>
  <c r="F6120" i="5"/>
  <c r="F6119" i="5"/>
  <c r="F6118" i="5"/>
  <c r="F6117" i="5"/>
  <c r="F6116" i="5"/>
  <c r="F6115" i="5"/>
  <c r="F6114" i="5"/>
  <c r="F6113" i="5"/>
  <c r="F6112" i="5"/>
  <c r="F6111" i="5"/>
  <c r="F6110" i="5"/>
  <c r="F6109" i="5"/>
  <c r="F6108" i="5"/>
  <c r="F6107" i="5"/>
  <c r="F6106" i="5"/>
  <c r="F6105" i="5"/>
  <c r="F6104" i="5"/>
  <c r="F6103" i="5"/>
  <c r="F6102" i="5"/>
  <c r="F6101" i="5"/>
  <c r="F6100" i="5"/>
  <c r="F6099" i="5"/>
  <c r="F6098" i="5"/>
  <c r="F6097" i="5"/>
  <c r="F6096" i="5"/>
  <c r="F6095" i="5"/>
  <c r="F6094" i="5"/>
  <c r="F6093" i="5"/>
  <c r="F6092" i="5"/>
  <c r="F6091" i="5"/>
  <c r="F6090" i="5"/>
  <c r="F6089" i="5"/>
  <c r="F6088" i="5"/>
  <c r="F6087" i="5"/>
  <c r="F6086" i="5"/>
  <c r="F6085" i="5"/>
  <c r="F6084" i="5"/>
  <c r="F6083" i="5"/>
  <c r="F6082" i="5"/>
  <c r="F6081" i="5"/>
  <c r="F6080" i="5"/>
  <c r="F6079" i="5"/>
  <c r="F6078" i="5"/>
  <c r="F6077" i="5"/>
  <c r="F6076" i="5"/>
  <c r="F6075" i="5"/>
  <c r="F6074" i="5"/>
  <c r="F6073" i="5"/>
  <c r="F6072" i="5"/>
  <c r="F6071" i="5"/>
  <c r="F6070" i="5"/>
  <c r="F6069" i="5"/>
  <c r="F6068" i="5"/>
  <c r="F6067" i="5"/>
  <c r="F6066" i="5"/>
  <c r="F6065" i="5"/>
  <c r="F6064" i="5"/>
  <c r="F6063" i="5"/>
  <c r="F6062" i="5"/>
  <c r="F6061" i="5"/>
  <c r="F6060" i="5"/>
  <c r="F6059" i="5"/>
  <c r="F6058" i="5"/>
  <c r="F6057" i="5"/>
  <c r="F6056" i="5"/>
  <c r="F6055" i="5"/>
  <c r="F6054" i="5"/>
  <c r="F6053" i="5"/>
  <c r="F6052" i="5"/>
  <c r="F6051" i="5"/>
  <c r="F6050" i="5"/>
  <c r="F6049" i="5"/>
  <c r="F6048" i="5"/>
  <c r="F6047" i="5"/>
  <c r="F6046" i="5"/>
  <c r="F6045" i="5"/>
  <c r="F6044" i="5"/>
  <c r="F6043" i="5"/>
  <c r="F6042" i="5"/>
  <c r="F6041" i="5"/>
  <c r="F6040" i="5"/>
  <c r="F6039" i="5"/>
  <c r="F6038" i="5"/>
  <c r="F6037" i="5"/>
  <c r="F6036" i="5"/>
  <c r="F6035" i="5"/>
  <c r="F6034" i="5"/>
  <c r="F6033" i="5"/>
  <c r="F6032" i="5"/>
  <c r="F6031" i="5"/>
  <c r="F6030" i="5"/>
  <c r="F6029" i="5"/>
  <c r="F6028" i="5"/>
  <c r="F6027" i="5"/>
  <c r="F6026" i="5"/>
  <c r="F6025" i="5"/>
  <c r="F6024" i="5"/>
  <c r="F6023" i="5"/>
  <c r="F6022" i="5"/>
  <c r="F6021" i="5"/>
  <c r="F6020" i="5"/>
  <c r="F6019" i="5"/>
  <c r="F6018" i="5"/>
  <c r="F6017" i="5"/>
  <c r="F6016" i="5"/>
  <c r="F6015" i="5"/>
  <c r="F6014" i="5"/>
  <c r="F6013" i="5"/>
  <c r="F6012" i="5"/>
  <c r="F6011" i="5"/>
  <c r="F6010" i="5"/>
  <c r="F6009" i="5"/>
  <c r="F6008" i="5"/>
  <c r="F6007" i="5"/>
  <c r="F6006" i="5"/>
  <c r="F6005" i="5"/>
  <c r="F6004" i="5"/>
  <c r="F6003" i="5"/>
  <c r="F6002" i="5"/>
  <c r="F6001" i="5"/>
  <c r="F6000" i="5"/>
  <c r="F5999" i="5"/>
  <c r="F5998" i="5"/>
  <c r="F5997" i="5"/>
  <c r="F5996" i="5"/>
  <c r="F5995" i="5"/>
  <c r="F5994" i="5"/>
  <c r="F5993" i="5"/>
  <c r="F5992" i="5"/>
  <c r="F5991" i="5"/>
  <c r="F5990" i="5"/>
  <c r="F5989" i="5"/>
  <c r="F5988" i="5"/>
  <c r="F5987" i="5"/>
  <c r="F5986" i="5"/>
  <c r="F5985" i="5"/>
  <c r="F5984" i="5"/>
  <c r="F5983" i="5"/>
  <c r="F5982" i="5"/>
  <c r="F5981" i="5"/>
  <c r="F5980" i="5"/>
  <c r="F5979" i="5"/>
  <c r="F5978" i="5"/>
  <c r="F5977" i="5"/>
  <c r="F5976" i="5"/>
  <c r="F5975" i="5"/>
  <c r="F5974" i="5"/>
  <c r="F5973" i="5"/>
  <c r="F5972" i="5"/>
  <c r="F5971" i="5"/>
  <c r="F5970" i="5"/>
  <c r="F5969" i="5"/>
  <c r="F5968" i="5"/>
  <c r="F5967" i="5"/>
  <c r="F5966" i="5"/>
  <c r="F5965" i="5"/>
  <c r="F5964" i="5"/>
  <c r="F5963" i="5"/>
  <c r="F5962" i="5"/>
  <c r="F5961" i="5"/>
  <c r="F5960" i="5"/>
  <c r="F5959" i="5"/>
  <c r="F5958" i="5"/>
  <c r="F5957" i="5"/>
  <c r="F5956" i="5"/>
  <c r="F5955" i="5"/>
  <c r="F5954" i="5"/>
  <c r="F5953" i="5"/>
  <c r="F5952" i="5"/>
  <c r="F5951" i="5"/>
  <c r="F5950" i="5"/>
  <c r="F5949" i="5"/>
  <c r="F5948" i="5"/>
  <c r="F5947" i="5"/>
  <c r="F5946" i="5"/>
  <c r="F5945" i="5"/>
  <c r="F5944" i="5"/>
  <c r="F5943" i="5"/>
  <c r="F5942" i="5"/>
  <c r="F5941" i="5"/>
  <c r="F5940" i="5"/>
  <c r="F5939" i="5"/>
  <c r="F5938" i="5"/>
  <c r="F5937" i="5"/>
  <c r="F5936" i="5"/>
  <c r="F5935" i="5"/>
  <c r="F5934" i="5"/>
  <c r="F5933" i="5"/>
  <c r="F5932" i="5"/>
  <c r="F5931" i="5"/>
  <c r="F5930" i="5"/>
  <c r="F5929" i="5"/>
  <c r="F5928" i="5"/>
  <c r="F5927" i="5"/>
  <c r="F5926" i="5"/>
  <c r="F5925" i="5"/>
  <c r="F5924" i="5"/>
  <c r="F5923" i="5"/>
  <c r="F5922" i="5"/>
  <c r="F5921" i="5"/>
  <c r="F5920" i="5"/>
  <c r="F5919" i="5"/>
  <c r="F5918" i="5"/>
  <c r="F5917" i="5"/>
  <c r="F5916" i="5"/>
  <c r="F5915" i="5"/>
  <c r="F5914" i="5"/>
  <c r="F5913" i="5"/>
  <c r="F5912" i="5"/>
  <c r="F5911" i="5"/>
  <c r="F5910" i="5"/>
  <c r="F5909" i="5"/>
  <c r="F5908" i="5"/>
  <c r="F5907" i="5"/>
  <c r="F5906" i="5"/>
  <c r="F5905" i="5"/>
  <c r="F5904" i="5"/>
  <c r="F5903" i="5"/>
  <c r="F5902" i="5"/>
  <c r="F5901" i="5"/>
  <c r="F5900" i="5"/>
  <c r="F5899" i="5"/>
  <c r="F5898" i="5"/>
  <c r="F5897" i="5"/>
  <c r="F5896" i="5"/>
  <c r="F5895" i="5"/>
  <c r="F5894" i="5"/>
  <c r="F5893" i="5"/>
  <c r="F5892" i="5"/>
  <c r="F5891" i="5"/>
  <c r="F5890" i="5"/>
  <c r="F5889" i="5"/>
  <c r="F5888" i="5"/>
  <c r="F5887" i="5"/>
  <c r="F5886" i="5"/>
  <c r="F5885" i="5"/>
  <c r="F5884" i="5"/>
  <c r="F5883" i="5"/>
  <c r="F5882" i="5"/>
  <c r="F5881" i="5"/>
  <c r="F5880" i="5"/>
  <c r="F5879" i="5"/>
  <c r="F5878" i="5"/>
  <c r="F5877" i="5"/>
  <c r="F5876" i="5"/>
  <c r="F5875" i="5"/>
  <c r="F5874" i="5"/>
  <c r="F5873" i="5"/>
  <c r="F5872" i="5"/>
  <c r="F5871" i="5"/>
  <c r="F5870" i="5"/>
  <c r="F5869" i="5"/>
  <c r="F5868" i="5"/>
  <c r="F5867" i="5"/>
  <c r="F5866" i="5"/>
  <c r="F5865" i="5"/>
  <c r="F5864" i="5"/>
  <c r="F5863" i="5"/>
  <c r="F5862" i="5"/>
  <c r="F5861" i="5"/>
  <c r="F5860" i="5"/>
  <c r="F5859" i="5"/>
  <c r="F5858" i="5"/>
  <c r="F5857" i="5"/>
  <c r="F5856" i="5"/>
  <c r="F5855" i="5"/>
  <c r="F5854" i="5"/>
  <c r="F5853" i="5"/>
  <c r="F5852" i="5"/>
  <c r="F5851" i="5"/>
  <c r="F5850" i="5"/>
  <c r="F5849" i="5"/>
  <c r="F5848" i="5"/>
  <c r="F5847" i="5"/>
  <c r="F5846" i="5"/>
  <c r="F5845" i="5"/>
  <c r="F5844" i="5"/>
  <c r="F5843" i="5"/>
  <c r="F5842" i="5"/>
  <c r="F5841" i="5"/>
  <c r="F5840" i="5"/>
  <c r="F5839" i="5"/>
  <c r="F5838" i="5"/>
  <c r="F5837" i="5"/>
  <c r="F5836" i="5"/>
  <c r="F5835" i="5"/>
  <c r="F5834" i="5"/>
  <c r="F5833" i="5"/>
  <c r="F5832" i="5"/>
  <c r="F5831" i="5"/>
  <c r="F5830" i="5"/>
  <c r="F5829" i="5"/>
  <c r="F5828" i="5"/>
  <c r="F5827" i="5"/>
  <c r="F5826" i="5"/>
  <c r="F5825" i="5"/>
  <c r="F5824" i="5"/>
  <c r="F5823" i="5"/>
  <c r="F5822" i="5"/>
  <c r="F5821" i="5"/>
  <c r="F5820" i="5"/>
  <c r="F5819" i="5"/>
  <c r="F5818" i="5"/>
  <c r="F5817" i="5"/>
  <c r="F5816" i="5"/>
  <c r="F5815" i="5"/>
  <c r="F5814" i="5"/>
  <c r="F5813" i="5"/>
  <c r="F5812" i="5"/>
  <c r="F5811" i="5"/>
  <c r="F5810" i="5"/>
  <c r="F5809" i="5"/>
  <c r="F5808" i="5"/>
  <c r="F5807" i="5"/>
  <c r="F5806" i="5"/>
  <c r="F5805" i="5"/>
  <c r="F5804" i="5"/>
  <c r="F5803" i="5"/>
  <c r="F5802" i="5"/>
  <c r="F5801" i="5"/>
  <c r="F5800" i="5"/>
  <c r="F5799" i="5"/>
  <c r="F5798" i="5"/>
  <c r="F5797" i="5"/>
  <c r="F5796" i="5"/>
  <c r="F5795" i="5"/>
  <c r="F5794" i="5"/>
  <c r="F5793" i="5"/>
  <c r="F5792" i="5"/>
  <c r="F5791" i="5"/>
  <c r="F5790" i="5"/>
  <c r="F5789" i="5"/>
  <c r="F5788" i="5"/>
  <c r="F5787" i="5"/>
  <c r="F5786" i="5"/>
  <c r="F5785" i="5"/>
  <c r="F5784" i="5"/>
  <c r="F5783" i="5"/>
  <c r="F5782" i="5"/>
  <c r="F5781" i="5"/>
  <c r="F5780" i="5"/>
  <c r="F5779" i="5"/>
  <c r="F5778" i="5"/>
  <c r="F5777" i="5"/>
  <c r="F5776" i="5"/>
  <c r="F5775" i="5"/>
  <c r="F5774" i="5"/>
  <c r="F5773" i="5"/>
  <c r="F5772" i="5"/>
  <c r="F5771" i="5"/>
  <c r="F5770" i="5"/>
  <c r="F5769" i="5"/>
  <c r="F5768" i="5"/>
  <c r="F5767" i="5"/>
  <c r="F5766" i="5"/>
  <c r="F5765" i="5"/>
  <c r="F5764" i="5"/>
  <c r="F5763" i="5"/>
  <c r="F5762" i="5"/>
  <c r="F5761" i="5"/>
  <c r="F5760" i="5"/>
  <c r="F5759" i="5"/>
  <c r="F5758" i="5"/>
  <c r="F5757" i="5"/>
  <c r="F5756" i="5"/>
  <c r="F5748" i="5"/>
  <c r="F5747" i="5"/>
  <c r="F5746" i="5"/>
  <c r="F5745" i="5"/>
  <c r="F5744" i="5"/>
  <c r="F5743" i="5"/>
  <c r="F5742" i="5"/>
  <c r="F5741" i="5"/>
  <c r="F5740" i="5"/>
  <c r="F5739" i="5"/>
  <c r="F5738" i="5"/>
  <c r="F5737" i="5"/>
  <c r="F5736" i="5"/>
  <c r="F5735" i="5"/>
  <c r="F5734" i="5"/>
  <c r="F5733" i="5"/>
  <c r="F5732" i="5"/>
  <c r="F5731" i="5"/>
  <c r="F5730" i="5"/>
  <c r="F5729" i="5"/>
  <c r="F5728" i="5"/>
  <c r="F5727" i="5"/>
  <c r="F5726" i="5"/>
  <c r="F5725" i="5"/>
  <c r="F5724" i="5"/>
  <c r="F5723" i="5"/>
  <c r="F5722" i="5"/>
  <c r="F5721" i="5"/>
  <c r="F5720" i="5"/>
  <c r="F5719" i="5"/>
  <c r="F5718" i="5"/>
  <c r="F5717" i="5"/>
  <c r="F5716" i="5"/>
  <c r="F5715" i="5"/>
  <c r="F5714" i="5"/>
  <c r="F5713" i="5"/>
  <c r="F5712" i="5"/>
  <c r="F5711" i="5"/>
  <c r="F5710" i="5"/>
  <c r="F5709" i="5"/>
  <c r="F5708" i="5"/>
  <c r="F5707" i="5"/>
  <c r="F5706" i="5"/>
  <c r="F5705" i="5"/>
  <c r="F5704" i="5"/>
  <c r="F5703" i="5"/>
  <c r="F5702" i="5"/>
  <c r="F5701" i="5"/>
  <c r="F5700" i="5"/>
  <c r="F5699" i="5"/>
  <c r="F5698" i="5"/>
  <c r="F5697" i="5"/>
  <c r="F5696" i="5"/>
  <c r="F5695" i="5"/>
  <c r="F5694" i="5"/>
  <c r="F5693" i="5"/>
  <c r="F5692" i="5"/>
  <c r="F5691" i="5"/>
  <c r="F5690" i="5"/>
  <c r="F5689" i="5"/>
  <c r="F5688" i="5"/>
  <c r="F5687" i="5"/>
  <c r="F5686" i="5"/>
  <c r="F5685" i="5"/>
  <c r="F5684" i="5"/>
  <c r="F5683" i="5"/>
  <c r="F5682" i="5"/>
  <c r="F5681" i="5"/>
  <c r="F5680" i="5"/>
  <c r="F5679" i="5"/>
  <c r="F5678" i="5"/>
  <c r="F5677" i="5"/>
  <c r="F5676" i="5"/>
  <c r="F5675" i="5"/>
  <c r="F5674" i="5"/>
  <c r="F5673" i="5"/>
  <c r="F5672" i="5"/>
  <c r="F5671" i="5"/>
  <c r="F5670" i="5"/>
  <c r="F5669" i="5"/>
  <c r="F5668" i="5"/>
  <c r="F5667" i="5"/>
  <c r="F5666" i="5"/>
  <c r="F5665" i="5"/>
  <c r="F5664" i="5"/>
  <c r="F5663" i="5"/>
  <c r="F5662" i="5"/>
  <c r="F5661" i="5"/>
  <c r="F5660" i="5"/>
  <c r="F5659" i="5"/>
  <c r="F5658" i="5"/>
  <c r="F5657" i="5"/>
  <c r="F5656" i="5"/>
  <c r="F5655" i="5"/>
  <c r="F5654" i="5"/>
  <c r="F5653" i="5"/>
  <c r="F5652" i="5"/>
  <c r="F5651" i="5"/>
  <c r="F5650" i="5"/>
  <c r="F5649" i="5"/>
  <c r="F5648" i="5"/>
  <c r="F5647" i="5"/>
  <c r="F5646" i="5"/>
  <c r="F5645" i="5"/>
  <c r="F5644" i="5"/>
  <c r="F5643" i="5"/>
  <c r="F5642" i="5"/>
  <c r="F5641" i="5"/>
  <c r="F5640" i="5"/>
  <c r="F5639" i="5"/>
  <c r="F5638" i="5"/>
  <c r="F5637" i="5"/>
  <c r="F5636" i="5"/>
  <c r="F5635" i="5"/>
  <c r="F5634" i="5"/>
  <c r="F5633" i="5"/>
  <c r="F5632" i="5"/>
  <c r="F5631" i="5"/>
  <c r="F5630" i="5"/>
  <c r="F5629" i="5"/>
  <c r="F5628" i="5"/>
  <c r="F5627" i="5"/>
  <c r="F5626" i="5"/>
  <c r="F5625" i="5"/>
  <c r="F5624" i="5"/>
  <c r="F5623" i="5"/>
  <c r="F5622" i="5"/>
  <c r="F5621" i="5"/>
  <c r="F5620" i="5"/>
  <c r="F5619" i="5"/>
  <c r="F5618" i="5"/>
  <c r="F5617" i="5"/>
  <c r="F5616" i="5"/>
  <c r="F5615" i="5"/>
  <c r="F5614" i="5"/>
  <c r="F5613" i="5"/>
  <c r="F5612" i="5"/>
  <c r="F5611" i="5"/>
  <c r="F5610" i="5"/>
  <c r="F5609" i="5"/>
  <c r="F5608" i="5"/>
  <c r="F5607" i="5"/>
  <c r="F5606" i="5"/>
  <c r="F5605" i="5"/>
  <c r="F5604" i="5"/>
  <c r="F5603" i="5"/>
  <c r="F5602" i="5"/>
  <c r="F5601" i="5"/>
  <c r="F5600" i="5"/>
  <c r="F5599" i="5"/>
  <c r="F5598" i="5"/>
  <c r="F5597" i="5"/>
  <c r="F5596" i="5"/>
  <c r="F5595" i="5"/>
  <c r="F5594" i="5"/>
  <c r="F5593" i="5"/>
  <c r="F5592" i="5"/>
  <c r="F5591" i="5"/>
  <c r="F5590" i="5"/>
  <c r="F5589" i="5"/>
  <c r="F5588" i="5"/>
  <c r="F5587" i="5"/>
  <c r="F5586" i="5"/>
  <c r="F5585" i="5"/>
  <c r="F5584" i="5"/>
  <c r="F5583" i="5"/>
  <c r="F5582" i="5"/>
  <c r="F5581" i="5"/>
  <c r="F5580" i="5"/>
  <c r="F5579" i="5"/>
  <c r="F5578" i="5"/>
  <c r="F5577" i="5"/>
  <c r="F5576" i="5"/>
  <c r="F5575" i="5"/>
  <c r="F5574" i="5"/>
  <c r="F5573" i="5"/>
  <c r="F5572" i="5"/>
  <c r="F5571" i="5"/>
  <c r="F5570" i="5"/>
  <c r="F5569" i="5"/>
  <c r="F5568" i="5"/>
  <c r="F5567" i="5"/>
  <c r="F5566" i="5"/>
  <c r="F5565" i="5"/>
  <c r="F5564" i="5"/>
  <c r="F5563" i="5"/>
  <c r="F5562" i="5"/>
  <c r="F5561" i="5"/>
  <c r="F5560" i="5"/>
  <c r="F5559" i="5"/>
  <c r="F5558" i="5"/>
  <c r="F5557" i="5"/>
  <c r="F5556" i="5"/>
  <c r="F5555" i="5"/>
  <c r="F5554" i="5"/>
  <c r="F5553" i="5"/>
  <c r="F5552" i="5"/>
  <c r="F5551" i="5"/>
  <c r="F5550" i="5"/>
  <c r="F5549" i="5"/>
  <c r="F5548" i="5"/>
  <c r="F5547" i="5"/>
  <c r="F5546" i="5"/>
  <c r="F5545" i="5"/>
  <c r="F5544" i="5"/>
  <c r="F5543" i="5"/>
  <c r="F5542" i="5"/>
  <c r="F5541" i="5"/>
  <c r="F5540" i="5"/>
  <c r="F5539" i="5"/>
  <c r="F5538" i="5"/>
  <c r="F5537" i="5"/>
  <c r="F5536" i="5"/>
  <c r="F5535" i="5"/>
  <c r="F5534" i="5"/>
  <c r="F5533" i="5"/>
  <c r="F5532" i="5"/>
  <c r="F5531" i="5"/>
  <c r="F5530" i="5"/>
  <c r="F5529" i="5"/>
  <c r="F5528" i="5"/>
  <c r="F5527" i="5"/>
  <c r="F5526" i="5"/>
  <c r="F5525" i="5"/>
  <c r="F5524" i="5"/>
  <c r="F5523" i="5"/>
  <c r="F5522" i="5"/>
  <c r="F5521" i="5"/>
  <c r="F5520" i="5"/>
  <c r="F5519" i="5"/>
  <c r="F5518" i="5"/>
  <c r="F5517" i="5"/>
  <c r="F5516" i="5"/>
  <c r="F5515" i="5"/>
  <c r="F5514" i="5"/>
  <c r="F5513" i="5"/>
  <c r="F5512" i="5"/>
  <c r="F5511" i="5"/>
  <c r="F5510" i="5"/>
  <c r="F5509" i="5"/>
  <c r="F5508" i="5"/>
  <c r="F5507" i="5"/>
  <c r="F5506" i="5"/>
  <c r="F5505" i="5"/>
  <c r="F5504" i="5"/>
  <c r="F5503" i="5"/>
  <c r="F5502" i="5"/>
  <c r="F5501" i="5"/>
  <c r="F5500" i="5"/>
  <c r="F5499" i="5"/>
  <c r="F5498" i="5"/>
  <c r="F5497" i="5"/>
  <c r="F5496" i="5"/>
  <c r="F5495" i="5"/>
  <c r="F5494" i="5"/>
  <c r="F5493" i="5"/>
  <c r="F5492" i="5"/>
  <c r="F5491" i="5"/>
  <c r="F5490" i="5"/>
  <c r="F5489" i="5"/>
  <c r="F5488" i="5"/>
  <c r="F5487" i="5"/>
  <c r="F5486" i="5"/>
  <c r="F5485" i="5"/>
  <c r="F5484" i="5"/>
  <c r="F5483" i="5"/>
  <c r="F5482" i="5"/>
  <c r="F5481" i="5"/>
  <c r="F5480" i="5"/>
  <c r="F5479" i="5"/>
  <c r="F5478" i="5"/>
  <c r="F5477" i="5"/>
  <c r="F5476" i="5"/>
  <c r="F5475" i="5"/>
  <c r="F5474" i="5"/>
  <c r="F5473" i="5"/>
  <c r="F5472" i="5"/>
  <c r="F5471" i="5"/>
  <c r="F5470" i="5"/>
  <c r="F5469" i="5"/>
  <c r="F5468" i="5"/>
  <c r="F5467" i="5"/>
  <c r="F5466" i="5"/>
  <c r="F5465" i="5"/>
  <c r="F5464" i="5"/>
  <c r="F5463" i="5"/>
  <c r="F5462" i="5"/>
  <c r="F5461" i="5"/>
  <c r="F5460" i="5"/>
  <c r="F5459" i="5"/>
  <c r="F5458" i="5"/>
  <c r="F5457" i="5"/>
  <c r="F5456" i="5"/>
  <c r="F5455" i="5"/>
  <c r="F5454" i="5"/>
  <c r="F5453" i="5"/>
  <c r="F5452" i="5"/>
  <c r="F5451" i="5"/>
  <c r="F5450" i="5"/>
  <c r="F5449" i="5"/>
  <c r="F5448" i="5"/>
  <c r="F5447" i="5"/>
  <c r="F5446" i="5"/>
  <c r="F5445" i="5"/>
  <c r="F5272" i="5"/>
  <c r="F5271" i="5"/>
  <c r="F5270" i="5"/>
  <c r="F5269" i="5"/>
  <c r="F5268" i="5"/>
  <c r="F5267" i="5"/>
  <c r="F5266" i="5"/>
  <c r="F5265" i="5"/>
  <c r="F5264" i="5"/>
  <c r="F5263" i="5"/>
  <c r="F5262" i="5"/>
  <c r="F5261" i="5"/>
  <c r="F5260" i="5"/>
  <c r="F5259" i="5"/>
  <c r="F5258" i="5"/>
  <c r="F5257" i="5"/>
  <c r="F5256" i="5"/>
  <c r="F5255" i="5"/>
  <c r="F5254" i="5"/>
  <c r="F5253" i="5"/>
  <c r="F5252" i="5"/>
  <c r="F5251" i="5"/>
  <c r="F5250" i="5"/>
  <c r="F5249" i="5"/>
  <c r="F5248" i="5"/>
  <c r="F5247" i="5"/>
  <c r="F5246" i="5"/>
  <c r="F5245" i="5"/>
  <c r="F5244" i="5"/>
  <c r="F5243" i="5"/>
  <c r="F5242" i="5"/>
  <c r="F5241" i="5"/>
  <c r="F5240" i="5"/>
  <c r="F5239" i="5"/>
  <c r="F5238" i="5"/>
  <c r="F5237" i="5"/>
  <c r="F5236" i="5"/>
  <c r="F5235" i="5"/>
  <c r="F5234" i="5"/>
  <c r="F5233" i="5"/>
  <c r="F5232" i="5"/>
  <c r="F5231" i="5"/>
  <c r="F5230" i="5"/>
  <c r="F5229" i="5"/>
  <c r="F5228" i="5"/>
  <c r="F5227" i="5"/>
  <c r="F5226" i="5"/>
  <c r="F5225" i="5"/>
  <c r="F5224" i="5"/>
  <c r="F5223" i="5"/>
  <c r="F5222" i="5"/>
  <c r="F5221" i="5"/>
  <c r="F5220" i="5"/>
  <c r="F5219" i="5"/>
  <c r="F5218" i="5"/>
  <c r="F5217" i="5"/>
  <c r="F5216" i="5"/>
  <c r="F5215" i="5"/>
  <c r="F5214" i="5"/>
  <c r="F5213" i="5"/>
  <c r="F5212" i="5"/>
  <c r="F5211" i="5"/>
  <c r="F5210" i="5"/>
  <c r="F5209" i="5"/>
  <c r="F5208" i="5"/>
  <c r="F5207" i="5"/>
  <c r="F5206" i="5"/>
  <c r="F5205" i="5"/>
  <c r="F5204" i="5"/>
  <c r="F5203" i="5"/>
  <c r="F5202" i="5"/>
  <c r="F5201" i="5"/>
  <c r="F5200" i="5"/>
  <c r="F5199" i="5"/>
  <c r="F5198" i="5"/>
  <c r="F5197" i="5"/>
  <c r="F5196" i="5"/>
  <c r="F5195" i="5"/>
  <c r="F5194" i="5"/>
  <c r="F5193" i="5"/>
  <c r="F5192" i="5"/>
  <c r="F5191" i="5"/>
  <c r="F5190" i="5"/>
  <c r="F5189" i="5"/>
  <c r="F5188" i="5"/>
  <c r="F5187" i="5"/>
  <c r="F5186" i="5"/>
  <c r="F5185" i="5"/>
  <c r="F5184" i="5"/>
  <c r="F5183" i="5"/>
  <c r="F5182" i="5"/>
  <c r="F5181" i="5"/>
  <c r="F5180" i="5"/>
  <c r="F5179" i="5"/>
  <c r="F5178" i="5"/>
  <c r="F5177" i="5"/>
  <c r="F5176" i="5"/>
  <c r="F5175" i="5"/>
  <c r="F5174" i="5"/>
  <c r="F5173" i="5"/>
  <c r="F5172" i="5"/>
  <c r="F5171" i="5"/>
  <c r="F5170" i="5"/>
  <c r="F5169" i="5"/>
  <c r="F5168" i="5"/>
  <c r="F5167" i="5"/>
  <c r="F5166" i="5"/>
  <c r="F5165" i="5"/>
  <c r="F5164" i="5"/>
  <c r="F5163" i="5"/>
  <c r="F5162" i="5"/>
  <c r="F5161" i="5"/>
  <c r="F5160" i="5"/>
  <c r="F5159" i="5"/>
  <c r="F5158" i="5"/>
  <c r="F5157" i="5"/>
  <c r="F5156" i="5"/>
  <c r="F5155" i="5"/>
  <c r="F5154" i="5"/>
  <c r="F5153" i="5"/>
  <c r="F5152" i="5"/>
  <c r="F5151" i="5"/>
  <c r="F5150" i="5"/>
  <c r="F5149" i="5"/>
  <c r="F5148" i="5"/>
  <c r="F5147" i="5"/>
  <c r="F5146" i="5"/>
  <c r="F5145" i="5"/>
  <c r="F5144" i="5"/>
  <c r="F5143" i="5"/>
  <c r="F5142" i="5"/>
  <c r="F5141" i="5"/>
  <c r="F5140" i="5"/>
  <c r="F5139" i="5"/>
  <c r="F5138" i="5"/>
  <c r="F5137" i="5"/>
  <c r="F5136" i="5"/>
  <c r="F5135" i="5"/>
  <c r="F5134" i="5"/>
  <c r="F5133" i="5"/>
  <c r="F5132" i="5"/>
  <c r="F5131" i="5"/>
  <c r="F5130" i="5"/>
  <c r="F5129" i="5"/>
  <c r="F5128" i="5"/>
  <c r="F5127" i="5"/>
  <c r="F5126" i="5"/>
  <c r="F5125" i="5"/>
  <c r="F5124" i="5"/>
  <c r="F5123" i="5"/>
  <c r="F5122" i="5"/>
  <c r="F5121" i="5"/>
  <c r="F5120" i="5"/>
  <c r="F5119" i="5"/>
  <c r="F5118" i="5"/>
  <c r="F5117" i="5"/>
  <c r="F5116" i="5"/>
  <c r="F5115" i="5"/>
  <c r="F5114" i="5"/>
  <c r="F5113" i="5"/>
  <c r="F5112" i="5"/>
  <c r="F5111" i="5"/>
  <c r="F5110" i="5"/>
  <c r="F5109" i="5"/>
  <c r="F5108" i="5"/>
  <c r="F5107" i="5"/>
  <c r="F5106" i="5"/>
  <c r="F5105" i="5"/>
  <c r="F5104" i="5"/>
  <c r="F5103" i="5"/>
  <c r="F5102" i="5"/>
  <c r="F5101" i="5"/>
  <c r="F5100" i="5"/>
  <c r="F5099" i="5"/>
  <c r="F5098" i="5"/>
  <c r="F5097" i="5"/>
  <c r="F5096" i="5"/>
  <c r="F5095" i="5"/>
  <c r="F5094" i="5"/>
  <c r="F4627" i="5"/>
  <c r="F4626" i="5"/>
  <c r="F4625" i="5"/>
  <c r="F4624" i="5"/>
  <c r="F4623" i="5"/>
  <c r="F4622" i="5"/>
  <c r="F4621" i="5"/>
  <c r="F4620" i="5"/>
  <c r="F4619" i="5"/>
  <c r="F4618" i="5"/>
  <c r="F4617" i="5"/>
  <c r="F4616" i="5"/>
  <c r="F4615" i="5"/>
  <c r="F4614" i="5"/>
  <c r="F4613" i="5"/>
  <c r="F4612" i="5"/>
  <c r="F4611" i="5"/>
  <c r="F4610" i="5"/>
  <c r="F4609" i="5"/>
  <c r="F4608" i="5"/>
  <c r="F4607" i="5"/>
  <c r="F4606" i="5"/>
  <c r="F4605" i="5"/>
  <c r="F4604" i="5"/>
  <c r="F4603" i="5"/>
  <c r="F4602" i="5"/>
  <c r="F4601" i="5"/>
  <c r="F4600" i="5"/>
  <c r="F4599" i="5"/>
  <c r="F4598" i="5"/>
  <c r="F4597" i="5"/>
  <c r="F4596" i="5"/>
  <c r="F4595" i="5"/>
  <c r="F4594" i="5"/>
  <c r="F4593" i="5"/>
  <c r="F4592" i="5"/>
  <c r="F4591" i="5"/>
  <c r="F4590" i="5"/>
  <c r="F4589" i="5"/>
  <c r="F4588" i="5"/>
  <c r="F4587" i="5"/>
  <c r="F4586" i="5"/>
  <c r="F4585" i="5"/>
  <c r="F4584" i="5"/>
  <c r="F4583" i="5"/>
  <c r="F4582" i="5"/>
  <c r="F4581" i="5"/>
  <c r="F4580" i="5"/>
  <c r="F4579" i="5"/>
  <c r="F4578" i="5"/>
  <c r="F4577" i="5"/>
  <c r="F4576" i="5"/>
  <c r="F4575" i="5"/>
  <c r="F4574" i="5"/>
  <c r="F4573" i="5"/>
  <c r="F4572" i="5"/>
  <c r="F4571" i="5"/>
  <c r="F4570" i="5"/>
  <c r="F4569" i="5"/>
  <c r="F4568" i="5"/>
  <c r="F4567" i="5"/>
  <c r="F4566" i="5"/>
  <c r="F4565" i="5"/>
  <c r="F4564" i="5"/>
  <c r="F4563" i="5"/>
  <c r="F4562" i="5"/>
  <c r="F4561" i="5"/>
  <c r="F4560" i="5"/>
  <c r="F4559" i="5"/>
  <c r="F4558" i="5"/>
  <c r="F4557" i="5"/>
  <c r="F4556" i="5"/>
  <c r="F4555" i="5"/>
  <c r="F4554" i="5"/>
  <c r="F4553" i="5"/>
  <c r="F4552" i="5"/>
  <c r="F4551" i="5"/>
  <c r="F4550" i="5"/>
  <c r="F4549" i="5"/>
  <c r="F4548" i="5"/>
  <c r="F4547" i="5"/>
  <c r="F4546" i="5"/>
  <c r="F4545" i="5"/>
  <c r="F4544" i="5"/>
  <c r="F4543" i="5"/>
  <c r="F4542" i="5"/>
  <c r="F4541" i="5"/>
  <c r="F4540" i="5"/>
  <c r="F4539" i="5"/>
  <c r="F4538" i="5"/>
  <c r="F4537" i="5"/>
  <c r="F4536" i="5"/>
  <c r="F4535" i="5"/>
  <c r="F4534" i="5"/>
  <c r="F4533" i="5"/>
  <c r="F4532" i="5"/>
  <c r="F4531" i="5"/>
  <c r="F4530" i="5"/>
  <c r="F4529" i="5"/>
  <c r="F4528" i="5"/>
  <c r="F4527" i="5"/>
  <c r="F4526" i="5"/>
  <c r="F4525" i="5"/>
  <c r="F4524" i="5"/>
  <c r="F4523" i="5"/>
  <c r="F4522" i="5"/>
  <c r="F4521" i="5"/>
  <c r="F4520" i="5"/>
  <c r="F4519" i="5"/>
  <c r="F4518" i="5"/>
  <c r="F4517" i="5"/>
  <c r="F4516" i="5"/>
  <c r="F4515" i="5"/>
  <c r="F4514" i="5"/>
  <c r="F4513" i="5"/>
  <c r="F4512" i="5"/>
  <c r="F4511" i="5"/>
  <c r="F4510" i="5"/>
  <c r="F4509" i="5"/>
  <c r="F4508" i="5"/>
  <c r="F4507" i="5"/>
  <c r="F4506" i="5"/>
  <c r="F4505" i="5"/>
  <c r="F4504" i="5"/>
  <c r="F4503" i="5"/>
  <c r="F4502" i="5"/>
  <c r="F4501" i="5"/>
  <c r="F4500" i="5"/>
  <c r="F4499" i="5"/>
  <c r="F4498" i="5"/>
  <c r="F4497" i="5"/>
  <c r="F4496" i="5"/>
  <c r="F4495" i="5"/>
  <c r="F4494" i="5"/>
  <c r="F4493" i="5"/>
  <c r="F4492" i="5"/>
  <c r="F4491" i="5"/>
  <c r="F4490" i="5"/>
  <c r="F4489" i="5"/>
  <c r="F4488" i="5"/>
  <c r="F4487" i="5"/>
  <c r="F4486" i="5"/>
  <c r="F4485" i="5"/>
  <c r="F4484" i="5"/>
  <c r="F4483" i="5"/>
  <c r="F4482" i="5"/>
  <c r="F4481" i="5"/>
  <c r="F4480" i="5"/>
  <c r="F4479" i="5"/>
  <c r="F4478" i="5"/>
  <c r="F4477" i="5"/>
  <c r="F4476" i="5"/>
  <c r="F4475" i="5"/>
  <c r="F4474" i="5"/>
  <c r="F4473" i="5"/>
  <c r="F4472" i="5"/>
  <c r="F4471" i="5"/>
  <c r="F4470" i="5"/>
  <c r="F4469" i="5"/>
  <c r="F4468" i="5"/>
  <c r="F4467" i="5"/>
  <c r="F4466" i="5"/>
  <c r="F4465" i="5"/>
  <c r="F4464" i="5"/>
  <c r="F4463" i="5"/>
  <c r="F4462" i="5"/>
  <c r="F4461" i="5"/>
  <c r="F4460" i="5"/>
  <c r="F4459" i="5"/>
  <c r="F4458" i="5"/>
  <c r="F4457" i="5"/>
  <c r="F4456" i="5"/>
  <c r="F4455" i="5"/>
  <c r="F4454" i="5"/>
  <c r="F4453" i="5"/>
  <c r="F4452" i="5"/>
  <c r="F4451" i="5"/>
  <c r="F4450" i="5"/>
  <c r="F4449" i="5"/>
  <c r="F4448" i="5"/>
  <c r="F4447" i="5"/>
  <c r="F4446" i="5"/>
  <c r="F4445" i="5"/>
  <c r="F4444" i="5"/>
  <c r="F4443" i="5"/>
  <c r="F4442" i="5"/>
  <c r="F4441" i="5"/>
  <c r="F4440" i="5"/>
  <c r="F4439" i="5"/>
  <c r="F4438" i="5"/>
  <c r="F4437" i="5"/>
  <c r="F4436" i="5"/>
  <c r="F4435" i="5"/>
  <c r="F4434" i="5"/>
  <c r="F4433" i="5"/>
  <c r="F4432" i="5"/>
  <c r="F4431" i="5"/>
  <c r="F4430" i="5"/>
  <c r="F4429" i="5"/>
  <c r="F4428" i="5"/>
  <c r="F4427" i="5"/>
  <c r="F4426" i="5"/>
  <c r="F4425" i="5"/>
  <c r="F4424" i="5"/>
  <c r="F4423" i="5"/>
  <c r="F4422" i="5"/>
  <c r="F4421" i="5"/>
  <c r="F4420" i="5"/>
  <c r="F4419" i="5"/>
  <c r="F4418" i="5"/>
  <c r="F4417" i="5"/>
  <c r="F4416" i="5"/>
  <c r="F4415" i="5"/>
  <c r="F4414" i="5"/>
  <c r="F4413" i="5"/>
  <c r="F4412" i="5"/>
  <c r="F4411" i="5"/>
  <c r="F4410" i="5"/>
  <c r="F4409" i="5"/>
  <c r="F4408" i="5"/>
  <c r="F4407" i="5"/>
  <c r="F4406" i="5"/>
  <c r="F4405" i="5"/>
  <c r="F4404" i="5"/>
  <c r="F4403" i="5"/>
  <c r="F4402" i="5"/>
  <c r="F4401" i="5"/>
  <c r="F4400" i="5"/>
  <c r="F4399" i="5"/>
  <c r="F4398" i="5"/>
  <c r="F4397" i="5"/>
  <c r="F4396" i="5"/>
  <c r="F4395" i="5"/>
  <c r="F4394" i="5"/>
  <c r="F4393" i="5"/>
  <c r="F4392" i="5"/>
  <c r="F4391" i="5"/>
  <c r="F4390" i="5"/>
  <c r="F4389" i="5"/>
  <c r="F4388" i="5"/>
  <c r="F4387" i="5"/>
  <c r="F3656" i="5"/>
  <c r="F3655" i="5"/>
  <c r="F3654" i="5"/>
  <c r="F3653" i="5"/>
  <c r="F3652" i="5"/>
  <c r="F3651" i="5"/>
  <c r="F3650" i="5"/>
  <c r="F3649" i="5"/>
  <c r="F3648" i="5"/>
  <c r="F3647" i="5"/>
  <c r="F3646" i="5"/>
  <c r="F3645" i="5"/>
  <c r="F3644" i="5"/>
  <c r="F3643" i="5"/>
  <c r="F3642" i="5"/>
  <c r="F3641" i="5"/>
  <c r="F3640" i="5"/>
  <c r="F3639" i="5"/>
  <c r="F3638" i="5"/>
  <c r="F3637" i="5"/>
  <c r="F3636" i="5"/>
  <c r="F3635" i="5"/>
  <c r="F3634" i="5"/>
  <c r="F3633" i="5"/>
  <c r="F3632" i="5"/>
  <c r="F3631" i="5"/>
  <c r="F3630" i="5"/>
  <c r="F3629" i="5"/>
  <c r="F3628" i="5"/>
  <c r="F3627" i="5"/>
  <c r="F3626" i="5"/>
  <c r="F3625" i="5"/>
  <c r="F3624" i="5"/>
  <c r="F3623" i="5"/>
  <c r="F3622" i="5"/>
  <c r="F3621" i="5"/>
  <c r="F3620" i="5"/>
  <c r="F3619" i="5"/>
  <c r="F3618" i="5"/>
  <c r="F3617" i="5"/>
  <c r="F3616" i="5"/>
  <c r="F3615" i="5"/>
  <c r="F3614" i="5"/>
  <c r="F3613" i="5"/>
  <c r="F3612" i="5"/>
  <c r="F3611" i="5"/>
  <c r="F3610" i="5"/>
  <c r="F3609" i="5"/>
  <c r="F3608" i="5"/>
  <c r="F3607" i="5"/>
  <c r="F3606" i="5"/>
  <c r="F3605" i="5"/>
  <c r="F3604" i="5"/>
  <c r="F3603" i="5"/>
  <c r="F3602" i="5"/>
  <c r="F3601" i="5"/>
  <c r="F3600" i="5"/>
  <c r="F3599" i="5"/>
  <c r="F3598" i="5"/>
  <c r="F3597" i="5"/>
  <c r="F3596" i="5"/>
  <c r="F3595" i="5"/>
  <c r="F3594" i="5"/>
  <c r="F3593" i="5"/>
  <c r="F3592" i="5"/>
  <c r="F3591" i="5"/>
  <c r="F3590" i="5"/>
  <c r="F3589" i="5"/>
  <c r="F3588" i="5"/>
  <c r="F3587" i="5"/>
  <c r="F3586" i="5"/>
  <c r="F3585" i="5"/>
  <c r="F3584" i="5"/>
  <c r="F3583" i="5"/>
  <c r="F3582" i="5"/>
  <c r="F3581" i="5"/>
  <c r="F3580" i="5"/>
  <c r="F3579" i="5"/>
  <c r="F3578" i="5"/>
  <c r="F3577" i="5"/>
  <c r="F3576" i="5"/>
  <c r="F3575" i="5"/>
  <c r="F3574" i="5"/>
  <c r="F3573" i="5"/>
  <c r="F3572" i="5"/>
  <c r="F3571" i="5"/>
  <c r="F3570" i="5"/>
  <c r="F3569" i="5"/>
  <c r="F3568" i="5"/>
  <c r="F3567" i="5"/>
  <c r="F3566" i="5"/>
  <c r="F3565" i="5"/>
  <c r="F3564" i="5"/>
  <c r="F3563" i="5"/>
  <c r="F3562" i="5"/>
  <c r="F3561" i="5"/>
  <c r="F3560" i="5"/>
  <c r="F3559" i="5"/>
  <c r="F3558" i="5"/>
  <c r="F3557" i="5"/>
  <c r="F3556" i="5"/>
  <c r="F3555" i="5"/>
  <c r="F3554" i="5"/>
  <c r="F3553" i="5"/>
  <c r="F3552" i="5"/>
  <c r="F3551" i="5"/>
  <c r="F3550" i="5"/>
  <c r="F3549" i="5"/>
  <c r="F3548" i="5"/>
  <c r="F3547" i="5"/>
  <c r="F3546" i="5"/>
  <c r="F3545" i="5"/>
  <c r="F3544" i="5"/>
  <c r="F3543" i="5"/>
  <c r="F3542" i="5"/>
  <c r="F3541" i="5"/>
  <c r="F3540" i="5"/>
  <c r="F3539" i="5"/>
  <c r="F3538" i="5"/>
  <c r="F3537" i="5"/>
  <c r="F3536" i="5"/>
  <c r="F3535" i="5"/>
  <c r="F3534" i="5"/>
  <c r="F3533" i="5"/>
  <c r="F3532" i="5"/>
  <c r="F3531" i="5"/>
  <c r="F3530" i="5"/>
  <c r="F3529" i="5"/>
  <c r="F3528" i="5"/>
  <c r="F3527" i="5"/>
  <c r="F3526" i="5"/>
  <c r="F3525" i="5"/>
  <c r="F3524" i="5"/>
  <c r="F3523" i="5"/>
  <c r="F3522" i="5"/>
  <c r="F3521" i="5"/>
  <c r="F3520" i="5"/>
  <c r="F3519" i="5"/>
  <c r="F3518" i="5"/>
  <c r="F3517" i="5"/>
  <c r="F3516" i="5"/>
  <c r="F3515" i="5"/>
  <c r="F3514" i="5"/>
  <c r="F3513" i="5"/>
  <c r="F3512" i="5"/>
  <c r="F3511" i="5"/>
  <c r="F3510" i="5"/>
  <c r="F3509" i="5"/>
  <c r="F3508" i="5"/>
  <c r="F3507" i="5"/>
  <c r="F3506" i="5"/>
  <c r="F3505" i="5"/>
  <c r="F3504" i="5"/>
  <c r="F3503" i="5"/>
  <c r="F3502" i="5"/>
  <c r="F3501" i="5"/>
  <c r="F3500" i="5"/>
  <c r="F3499" i="5"/>
  <c r="F3498" i="5"/>
  <c r="F3497" i="5"/>
  <c r="F3496" i="5"/>
  <c r="F3495" i="5"/>
  <c r="F3494" i="5"/>
  <c r="F3493" i="5"/>
  <c r="F3492" i="5"/>
  <c r="F3491" i="5"/>
  <c r="F3490" i="5"/>
  <c r="F3489" i="5"/>
  <c r="F3488" i="5"/>
  <c r="F3487" i="5"/>
  <c r="F3486" i="5"/>
  <c r="F3485" i="5"/>
  <c r="F3484" i="5"/>
  <c r="F3483" i="5"/>
  <c r="F3482" i="5"/>
  <c r="F3481" i="5"/>
  <c r="F3480" i="5"/>
  <c r="F3479" i="5"/>
  <c r="F3478" i="5"/>
  <c r="F3477" i="5"/>
  <c r="F3476" i="5"/>
  <c r="F3475" i="5"/>
  <c r="F3474" i="5"/>
  <c r="F3473" i="5"/>
  <c r="F3472" i="5"/>
  <c r="F3471" i="5"/>
  <c r="F3470" i="5"/>
  <c r="F3469" i="5"/>
  <c r="F3468" i="5"/>
  <c r="F3467" i="5"/>
  <c r="F3466" i="5"/>
  <c r="F3465" i="5"/>
  <c r="F3464" i="5"/>
  <c r="F3463" i="5"/>
  <c r="F3462" i="5"/>
  <c r="F3461" i="5"/>
  <c r="F3460" i="5"/>
  <c r="F3459" i="5"/>
  <c r="F3458" i="5"/>
  <c r="F3457" i="5"/>
  <c r="F3456" i="5"/>
  <c r="F3455" i="5"/>
  <c r="F3454" i="5"/>
  <c r="F3453" i="5"/>
  <c r="F3452" i="5"/>
  <c r="F3451" i="5"/>
  <c r="F3450" i="5"/>
  <c r="F3449" i="5"/>
  <c r="F3448" i="5"/>
  <c r="F3447" i="5"/>
  <c r="F3446" i="5"/>
  <c r="F3445" i="5"/>
  <c r="F3444" i="5"/>
  <c r="F3443" i="5"/>
  <c r="F3442" i="5"/>
  <c r="F3441" i="5"/>
  <c r="F3440" i="5"/>
  <c r="F3439" i="5"/>
  <c r="F3438" i="5"/>
  <c r="F3437" i="5"/>
  <c r="F3436" i="5"/>
  <c r="F3435" i="5"/>
  <c r="F3434" i="5"/>
  <c r="F3433" i="5"/>
  <c r="F3432" i="5"/>
  <c r="F3431" i="5"/>
  <c r="F3430" i="5"/>
  <c r="F3429" i="5"/>
  <c r="F3428" i="5"/>
  <c r="F3427" i="5"/>
  <c r="F3426" i="5"/>
  <c r="F3425" i="5"/>
  <c r="F3424" i="5"/>
  <c r="F3423" i="5"/>
  <c r="F3422" i="5"/>
  <c r="F3421" i="5"/>
  <c r="F3420" i="5"/>
  <c r="F3419" i="5"/>
  <c r="F3418" i="5"/>
  <c r="F3417" i="5"/>
  <c r="F3416" i="5"/>
  <c r="F3415" i="5"/>
  <c r="F3414" i="5"/>
  <c r="F3413" i="5"/>
  <c r="F3412" i="5"/>
  <c r="F3411" i="5"/>
  <c r="F3410" i="5"/>
  <c r="F3409" i="5"/>
  <c r="F3408" i="5"/>
  <c r="F3407" i="5"/>
  <c r="F3406" i="5"/>
  <c r="F3405" i="5"/>
  <c r="F3404" i="5"/>
  <c r="F3403" i="5"/>
  <c r="F3402" i="5"/>
  <c r="F3401" i="5"/>
  <c r="F3400" i="5"/>
  <c r="F3399" i="5"/>
  <c r="F3398" i="5"/>
  <c r="F3397" i="5"/>
  <c r="F3396" i="5"/>
  <c r="F3395" i="5"/>
  <c r="F3394" i="5"/>
  <c r="F3393" i="5"/>
  <c r="F3392" i="5"/>
  <c r="F3391" i="5"/>
  <c r="F3390" i="5"/>
  <c r="F3389" i="5"/>
  <c r="F3388" i="5"/>
  <c r="F3387" i="5"/>
  <c r="F3386" i="5"/>
  <c r="F3385" i="5"/>
  <c r="F3384" i="5"/>
  <c r="F3383" i="5"/>
  <c r="F3382" i="5"/>
  <c r="F3381" i="5"/>
  <c r="F3380" i="5"/>
  <c r="F3379" i="5"/>
  <c r="F3378" i="5"/>
  <c r="F3377" i="5"/>
  <c r="F3376" i="5"/>
  <c r="F3375" i="5"/>
  <c r="F3374" i="5"/>
  <c r="F3373" i="5"/>
  <c r="F3372" i="5"/>
  <c r="F3371" i="5"/>
  <c r="F3370" i="5"/>
  <c r="F3369" i="5"/>
  <c r="F3368" i="5"/>
  <c r="F3367" i="5"/>
  <c r="F3366" i="5"/>
  <c r="F3365" i="5"/>
  <c r="F3364" i="5"/>
  <c r="F3363" i="5"/>
  <c r="F3362" i="5"/>
  <c r="F3361" i="5"/>
  <c r="F3360" i="5"/>
  <c r="F3359" i="5"/>
  <c r="F3358" i="5"/>
  <c r="F3357" i="5"/>
  <c r="F3356" i="5"/>
  <c r="F3355" i="5"/>
  <c r="F3354" i="5"/>
  <c r="F3353" i="5"/>
  <c r="F3352" i="5"/>
  <c r="F3351" i="5"/>
  <c r="F3350" i="5"/>
  <c r="F3349" i="5"/>
  <c r="F3348" i="5"/>
  <c r="F3347" i="5"/>
  <c r="F3346" i="5"/>
  <c r="F3345" i="5"/>
  <c r="F3344" i="5"/>
  <c r="F3343" i="5"/>
  <c r="F3342" i="5"/>
  <c r="F3341" i="5"/>
  <c r="F3340" i="5"/>
  <c r="F3339" i="5"/>
  <c r="F3338" i="5"/>
  <c r="F3337" i="5"/>
  <c r="F3336" i="5"/>
  <c r="F3335" i="5"/>
  <c r="F3334" i="5"/>
  <c r="F3333" i="5"/>
  <c r="F3332" i="5"/>
  <c r="F3331" i="5"/>
  <c r="F3330" i="5"/>
  <c r="F3329" i="5"/>
  <c r="F3328" i="5"/>
  <c r="F3327" i="5"/>
  <c r="F3326" i="5"/>
  <c r="F3325" i="5"/>
  <c r="F3324" i="5"/>
  <c r="F3323" i="5"/>
  <c r="F3322" i="5"/>
  <c r="F3321" i="5"/>
  <c r="F3320" i="5"/>
  <c r="F3319" i="5"/>
  <c r="F3318" i="5"/>
  <c r="F3317" i="5"/>
  <c r="F3316" i="5"/>
  <c r="F3315" i="5"/>
  <c r="F3314" i="5"/>
  <c r="F3313" i="5"/>
  <c r="F3312" i="5"/>
  <c r="F3311" i="5"/>
  <c r="F3310" i="5"/>
  <c r="F3309" i="5"/>
  <c r="F3308" i="5"/>
  <c r="F3307" i="5"/>
  <c r="F3306" i="5"/>
  <c r="F3305" i="5"/>
  <c r="F3304" i="5"/>
  <c r="F3303" i="5"/>
  <c r="F3302" i="5"/>
  <c r="F3301" i="5"/>
  <c r="F3300" i="5"/>
  <c r="F3299" i="5"/>
  <c r="F3298" i="5"/>
  <c r="F3297" i="5"/>
  <c r="F3296" i="5"/>
  <c r="F3295" i="5"/>
  <c r="F3294" i="5"/>
  <c r="F3293" i="5"/>
  <c r="F3292" i="5"/>
  <c r="F3291" i="5"/>
  <c r="F3290" i="5"/>
  <c r="F3289" i="5"/>
  <c r="F3288" i="5"/>
  <c r="F3287" i="5"/>
  <c r="F3286" i="5"/>
  <c r="F3285" i="5"/>
  <c r="F3284" i="5"/>
  <c r="F3283" i="5"/>
  <c r="F3282" i="5"/>
  <c r="F3281" i="5"/>
  <c r="F3280" i="5"/>
  <c r="F3279" i="5"/>
  <c r="F3278" i="5"/>
  <c r="F3277" i="5"/>
  <c r="F3276" i="5"/>
  <c r="F3275" i="5"/>
  <c r="F3274" i="5"/>
  <c r="F3273" i="5"/>
  <c r="F3272" i="5"/>
  <c r="F3271" i="5"/>
  <c r="F3270" i="5"/>
  <c r="F3269" i="5"/>
  <c r="F3268" i="5"/>
  <c r="F3267" i="5"/>
  <c r="F3266" i="5"/>
  <c r="F3265" i="5"/>
  <c r="F3264" i="5"/>
  <c r="F3263" i="5"/>
  <c r="F3262" i="5"/>
  <c r="F3261" i="5"/>
  <c r="F3260" i="5"/>
  <c r="F3259" i="5"/>
  <c r="F3258" i="5"/>
  <c r="F3257" i="5"/>
  <c r="F3256" i="5"/>
  <c r="F3255" i="5"/>
  <c r="F3254" i="5"/>
  <c r="F3253" i="5"/>
  <c r="F3252" i="5"/>
  <c r="F3251" i="5"/>
  <c r="F3250" i="5"/>
  <c r="F3249" i="5"/>
  <c r="F3248" i="5"/>
  <c r="F3247" i="5"/>
  <c r="F3246" i="5"/>
  <c r="F3245" i="5"/>
  <c r="F3244" i="5"/>
  <c r="F3243" i="5"/>
  <c r="F3242" i="5"/>
  <c r="F3241" i="5"/>
  <c r="F3240" i="5"/>
  <c r="F3239" i="5"/>
  <c r="F3238" i="5"/>
  <c r="F3237" i="5"/>
  <c r="F3236" i="5"/>
  <c r="F3235" i="5"/>
  <c r="F3234" i="5"/>
  <c r="F3233" i="5"/>
  <c r="F3232" i="5"/>
  <c r="F3231" i="5"/>
  <c r="F3230" i="5"/>
  <c r="F3229" i="5"/>
  <c r="F3228" i="5"/>
  <c r="F3227" i="5"/>
  <c r="F3226" i="5"/>
  <c r="F3225" i="5"/>
  <c r="F3224" i="5"/>
  <c r="F3223" i="5"/>
  <c r="F3222" i="5"/>
  <c r="F3221" i="5"/>
  <c r="F3220" i="5"/>
  <c r="F3219" i="5"/>
  <c r="F3218" i="5"/>
  <c r="F3217" i="5"/>
  <c r="F3216" i="5"/>
  <c r="F3215" i="5"/>
  <c r="F3214" i="5"/>
  <c r="F3213" i="5"/>
  <c r="F3212" i="5"/>
  <c r="F3211" i="5"/>
  <c r="F3210" i="5"/>
  <c r="F3209" i="5"/>
  <c r="F3208" i="5"/>
  <c r="F3207" i="5"/>
  <c r="F3206" i="5"/>
  <c r="F3205" i="5"/>
  <c r="F3204" i="5"/>
  <c r="F3203" i="5"/>
  <c r="F3202" i="5"/>
  <c r="F3201" i="5"/>
  <c r="F3200" i="5"/>
  <c r="F3199" i="5"/>
  <c r="F3198" i="5"/>
  <c r="F3197" i="5"/>
  <c r="F3196" i="5"/>
  <c r="F3195" i="5"/>
  <c r="F3194" i="5"/>
  <c r="F3193" i="5"/>
  <c r="F3192" i="5"/>
  <c r="F3191" i="5"/>
  <c r="F3190" i="5"/>
  <c r="F3189" i="5"/>
  <c r="F3188" i="5"/>
  <c r="F3187" i="5"/>
  <c r="F3186" i="5"/>
  <c r="F3185" i="5"/>
  <c r="F3184" i="5"/>
  <c r="F3183" i="5"/>
  <c r="F3182" i="5"/>
  <c r="F3181" i="5"/>
  <c r="F3180" i="5"/>
  <c r="F3179" i="5"/>
  <c r="F3178" i="5"/>
  <c r="F3177" i="5"/>
  <c r="F3176" i="5"/>
  <c r="F3175" i="5"/>
  <c r="F3174" i="5"/>
  <c r="F3173" i="5"/>
  <c r="F3172" i="5"/>
  <c r="F3171" i="5"/>
  <c r="F3170" i="5"/>
  <c r="F3169" i="5"/>
  <c r="F3168" i="5"/>
  <c r="F3167" i="5"/>
  <c r="F3166" i="5"/>
  <c r="F3165" i="5"/>
  <c r="F3164" i="5"/>
  <c r="F3163" i="5"/>
  <c r="F3162" i="5"/>
  <c r="F3161" i="5"/>
  <c r="F3160" i="5"/>
  <c r="F3159" i="5"/>
  <c r="F3158" i="5"/>
  <c r="F3157" i="5"/>
  <c r="F3156" i="5"/>
  <c r="F3155" i="5"/>
  <c r="F3154" i="5"/>
  <c r="F3153" i="5"/>
  <c r="F3152" i="5"/>
  <c r="F3151" i="5"/>
  <c r="F3150" i="5"/>
  <c r="F3149" i="5"/>
  <c r="F3148" i="5"/>
  <c r="F3147" i="5"/>
  <c r="F3146" i="5"/>
  <c r="F3145" i="5"/>
  <c r="F3144" i="5"/>
  <c r="F3143" i="5"/>
  <c r="F3142" i="5"/>
  <c r="F3141" i="5"/>
  <c r="F3140" i="5"/>
  <c r="F3139" i="5"/>
  <c r="F3138" i="5"/>
  <c r="F3137" i="5"/>
  <c r="F3136" i="5"/>
  <c r="F3135" i="5"/>
  <c r="F3134" i="5"/>
  <c r="F3133" i="5"/>
  <c r="F3132" i="5"/>
  <c r="F3131" i="5"/>
  <c r="F3130" i="5"/>
  <c r="F3129" i="5"/>
  <c r="F3128" i="5"/>
  <c r="F3127" i="5"/>
  <c r="F3126" i="5"/>
  <c r="F3125" i="5"/>
  <c r="F3124" i="5"/>
  <c r="F3123" i="5"/>
  <c r="F3122" i="5"/>
  <c r="F3121" i="5"/>
  <c r="F3120" i="5"/>
  <c r="F3119" i="5"/>
  <c r="F3118" i="5"/>
  <c r="F3117" i="5"/>
  <c r="F3116" i="5"/>
  <c r="F3115" i="5"/>
  <c r="F3114" i="5"/>
  <c r="F3113" i="5"/>
  <c r="F3112" i="5"/>
  <c r="F3111" i="5"/>
  <c r="F3110" i="5"/>
  <c r="F3109" i="5"/>
  <c r="F3108" i="5"/>
  <c r="F3107" i="5"/>
  <c r="F3106" i="5"/>
  <c r="F3105" i="5"/>
  <c r="F3104" i="5"/>
  <c r="F3103" i="5"/>
  <c r="F3102" i="5"/>
  <c r="F3101" i="5"/>
  <c r="F3100" i="5"/>
  <c r="F3099" i="5"/>
  <c r="F3098" i="5"/>
  <c r="F3097" i="5"/>
  <c r="F3096" i="5"/>
  <c r="F3095" i="5"/>
  <c r="F3094" i="5"/>
  <c r="F3093" i="5"/>
  <c r="F3092" i="5"/>
  <c r="F3091" i="5"/>
  <c r="F3090" i="5"/>
  <c r="F3089" i="5"/>
  <c r="F3088" i="5"/>
  <c r="F3087" i="5"/>
  <c r="F3086" i="5"/>
  <c r="F3085" i="5"/>
  <c r="F3084" i="5"/>
  <c r="F3083" i="5"/>
  <c r="F3082" i="5"/>
  <c r="F3081" i="5"/>
  <c r="F3080" i="5"/>
  <c r="F3079" i="5"/>
  <c r="F3078" i="5"/>
  <c r="F3077" i="5"/>
  <c r="F3076" i="5"/>
  <c r="F3075" i="5"/>
  <c r="F3074" i="5"/>
  <c r="F3073" i="5"/>
  <c r="F3072" i="5"/>
  <c r="F3071" i="5"/>
  <c r="F3070" i="5"/>
  <c r="F3069" i="5"/>
  <c r="F3068" i="5"/>
  <c r="F3067" i="5"/>
  <c r="F3066" i="5"/>
  <c r="F3065" i="5"/>
  <c r="F3064" i="5"/>
  <c r="F3063" i="5"/>
  <c r="F3062" i="5"/>
  <c r="F3061" i="5"/>
  <c r="F3060" i="5"/>
  <c r="F3059" i="5"/>
  <c r="F3058" i="5"/>
  <c r="F3057" i="5"/>
  <c r="F3056" i="5"/>
  <c r="F3055" i="5"/>
  <c r="F3054" i="5"/>
  <c r="F3053" i="5"/>
  <c r="F3052" i="5"/>
  <c r="F3051" i="5"/>
  <c r="F3050" i="5"/>
  <c r="F3049" i="5"/>
  <c r="F3048" i="5"/>
  <c r="F3047" i="5"/>
  <c r="F3046" i="5"/>
  <c r="F3045" i="5"/>
  <c r="F3044" i="5"/>
  <c r="F3043" i="5"/>
  <c r="F3042" i="5"/>
  <c r="F3041" i="5"/>
  <c r="F3040" i="5"/>
  <c r="F3039" i="5"/>
  <c r="F3038" i="5"/>
  <c r="F3037" i="5"/>
  <c r="F3029" i="5"/>
  <c r="F3026" i="5"/>
  <c r="F3024" i="5"/>
  <c r="F2999" i="5"/>
  <c r="F2998" i="5"/>
  <c r="F2996" i="5"/>
  <c r="F2995" i="5"/>
  <c r="F2994" i="5"/>
  <c r="F2993" i="5"/>
  <c r="F2992" i="5"/>
  <c r="F725" i="5"/>
  <c r="F724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00" i="5"/>
  <c r="F298" i="5"/>
  <c r="F296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4" i="5"/>
  <c r="F263" i="5"/>
  <c r="F262" i="5"/>
  <c r="F261" i="5"/>
  <c r="F260" i="5"/>
  <c r="F259" i="5"/>
  <c r="F258" i="5"/>
  <c r="F257" i="5"/>
  <c r="F256" i="5"/>
  <c r="F254" i="5"/>
  <c r="F252" i="5"/>
  <c r="F249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2" i="5"/>
  <c r="F210" i="5"/>
  <c r="F209" i="5"/>
  <c r="F206" i="5"/>
  <c r="F204" i="5"/>
  <c r="F203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5" i="5"/>
  <c r="F184" i="5"/>
  <c r="F183" i="5"/>
  <c r="F182" i="5"/>
  <c r="F181" i="5"/>
  <c r="F180" i="5"/>
  <c r="F179" i="5"/>
  <c r="F178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I1160" i="6" l="1"/>
  <c r="I347" i="6"/>
  <c r="I878" i="6"/>
  <c r="I190" i="6"/>
  <c r="I363" i="6"/>
  <c r="I980" i="6"/>
  <c r="I204" i="6"/>
  <c r="I364" i="6"/>
  <c r="I994" i="6"/>
  <c r="I210" i="6"/>
  <c r="I1472" i="6"/>
  <c r="I450" i="6"/>
  <c r="I1543" i="6"/>
  <c r="I223" i="6"/>
  <c r="I462" i="6"/>
  <c r="I1629" i="6"/>
  <c r="I479" i="6"/>
  <c r="I1645" i="6"/>
  <c r="I241" i="6"/>
  <c r="I534" i="6"/>
  <c r="I1646" i="6"/>
  <c r="I244" i="6"/>
  <c r="I548" i="6"/>
  <c r="I1664" i="6"/>
  <c r="I209" i="6"/>
  <c r="I245" i="6"/>
  <c r="I568" i="6"/>
  <c r="I1744" i="6"/>
  <c r="I261" i="6"/>
  <c r="I762" i="6"/>
  <c r="I1839" i="6"/>
  <c r="I275" i="6"/>
  <c r="I779" i="6"/>
  <c r="I1854" i="6"/>
  <c r="I279" i="6"/>
  <c r="I843" i="6"/>
  <c r="I1934" i="6"/>
  <c r="I296" i="6"/>
  <c r="I848" i="6"/>
  <c r="I1952" i="6"/>
  <c r="J1356" i="6"/>
  <c r="I1356" i="6"/>
  <c r="J1180" i="6"/>
  <c r="I1180" i="6"/>
  <c r="J1116" i="6"/>
  <c r="I1116" i="6"/>
  <c r="J1068" i="6"/>
  <c r="I1068" i="6"/>
  <c r="J1020" i="6"/>
  <c r="I1020" i="6"/>
  <c r="J1004" i="6"/>
  <c r="I1004" i="6"/>
  <c r="J988" i="6"/>
  <c r="I988" i="6"/>
  <c r="J972" i="6"/>
  <c r="I972" i="6"/>
  <c r="J956" i="6"/>
  <c r="I956" i="6"/>
  <c r="J940" i="6"/>
  <c r="I940" i="6"/>
  <c r="J876" i="6"/>
  <c r="I876" i="6"/>
  <c r="J844" i="6"/>
  <c r="I844" i="6"/>
  <c r="J828" i="6"/>
  <c r="I828" i="6"/>
  <c r="J780" i="6"/>
  <c r="I780" i="6"/>
  <c r="J764" i="6"/>
  <c r="I764" i="6"/>
  <c r="J748" i="6"/>
  <c r="I748" i="6"/>
  <c r="J588" i="6"/>
  <c r="I588" i="6"/>
  <c r="J572" i="6"/>
  <c r="I572" i="6"/>
  <c r="J556" i="6"/>
  <c r="I556" i="6"/>
  <c r="J540" i="6"/>
  <c r="I540" i="6"/>
  <c r="J524" i="6"/>
  <c r="I524" i="6"/>
  <c r="J508" i="6"/>
  <c r="I508" i="6"/>
  <c r="J492" i="6"/>
  <c r="I492" i="6"/>
  <c r="J476" i="6"/>
  <c r="I476" i="6"/>
  <c r="J460" i="6"/>
  <c r="I460" i="6"/>
  <c r="J444" i="6"/>
  <c r="I444" i="6"/>
  <c r="J412" i="6"/>
  <c r="I412" i="6"/>
  <c r="J396" i="6"/>
  <c r="I396" i="6"/>
  <c r="J348" i="6"/>
  <c r="I348" i="6"/>
  <c r="J332" i="6"/>
  <c r="I332" i="6"/>
  <c r="I174" i="6"/>
  <c r="I330" i="6"/>
  <c r="I428" i="6"/>
  <c r="I517" i="6"/>
  <c r="I605" i="6"/>
  <c r="I826" i="6"/>
  <c r="I963" i="6"/>
  <c r="I1084" i="6"/>
  <c r="I1419" i="6"/>
  <c r="I1526" i="6"/>
  <c r="I1612" i="6"/>
  <c r="I1712" i="6"/>
  <c r="I1820" i="6"/>
  <c r="I1914" i="6"/>
  <c r="J1675" i="6"/>
  <c r="I1675" i="6"/>
  <c r="J1563" i="6"/>
  <c r="I1563" i="6"/>
  <c r="J1547" i="6"/>
  <c r="I1547" i="6"/>
  <c r="J1531" i="6"/>
  <c r="I1531" i="6"/>
  <c r="J1515" i="6"/>
  <c r="I1515" i="6"/>
  <c r="J1499" i="6"/>
  <c r="I1499" i="6"/>
  <c r="J1483" i="6"/>
  <c r="I1483" i="6"/>
  <c r="J1467" i="6"/>
  <c r="I1467" i="6"/>
  <c r="J1451" i="6"/>
  <c r="I1451" i="6"/>
  <c r="J1387" i="6"/>
  <c r="I1387" i="6"/>
  <c r="J1371" i="6"/>
  <c r="I1371" i="6"/>
  <c r="J1355" i="6"/>
  <c r="I1355" i="6"/>
  <c r="J1163" i="6"/>
  <c r="I1163" i="6"/>
  <c r="J1115" i="6"/>
  <c r="I1115" i="6"/>
  <c r="J1019" i="6"/>
  <c r="I1019" i="6"/>
  <c r="J1003" i="6"/>
  <c r="I1003" i="6"/>
  <c r="J987" i="6"/>
  <c r="I987" i="6"/>
  <c r="J971" i="6"/>
  <c r="I971" i="6"/>
  <c r="J955" i="6"/>
  <c r="I955" i="6"/>
  <c r="J939" i="6"/>
  <c r="I939" i="6"/>
  <c r="J875" i="6"/>
  <c r="I875" i="6"/>
  <c r="J859" i="6"/>
  <c r="I859" i="6"/>
  <c r="J827" i="6"/>
  <c r="I827" i="6"/>
  <c r="J811" i="6"/>
  <c r="I811" i="6"/>
  <c r="J763" i="6"/>
  <c r="I763" i="6"/>
  <c r="J747" i="6"/>
  <c r="I747" i="6"/>
  <c r="J603" i="6"/>
  <c r="I603" i="6"/>
  <c r="J587" i="6"/>
  <c r="I587" i="6"/>
  <c r="J571" i="6"/>
  <c r="I571" i="6"/>
  <c r="J555" i="6"/>
  <c r="I555" i="6"/>
  <c r="J539" i="6"/>
  <c r="I539" i="6"/>
  <c r="J523" i="6"/>
  <c r="I523" i="6"/>
  <c r="J507" i="6"/>
  <c r="I507" i="6"/>
  <c r="J491" i="6"/>
  <c r="I491" i="6"/>
  <c r="J475" i="6"/>
  <c r="I475" i="6"/>
  <c r="J459" i="6"/>
  <c r="I459" i="6"/>
  <c r="J443" i="6"/>
  <c r="I443" i="6"/>
  <c r="J427" i="6"/>
  <c r="I427" i="6"/>
  <c r="J395" i="6"/>
  <c r="I395" i="6"/>
  <c r="J379" i="6"/>
  <c r="I379" i="6"/>
  <c r="J331" i="6"/>
  <c r="I331" i="6"/>
  <c r="J315" i="6"/>
  <c r="I315" i="6"/>
  <c r="J299" i="6"/>
  <c r="I299" i="6"/>
  <c r="J283" i="6"/>
  <c r="I283" i="6"/>
  <c r="J267" i="6"/>
  <c r="I267" i="6"/>
  <c r="J251" i="6"/>
  <c r="I251" i="6"/>
  <c r="I177" i="6"/>
  <c r="I343" i="6"/>
  <c r="I431" i="6"/>
  <c r="I518" i="6"/>
  <c r="I741" i="6"/>
  <c r="I830" i="6"/>
  <c r="I964" i="6"/>
  <c r="I1129" i="6"/>
  <c r="I1423" i="6"/>
  <c r="I1527" i="6"/>
  <c r="I1625" i="6"/>
  <c r="I1715" i="6"/>
  <c r="I1822" i="6"/>
  <c r="I1928" i="6"/>
  <c r="J1786" i="6"/>
  <c r="I1786" i="6"/>
  <c r="J1514" i="6"/>
  <c r="I1514" i="6"/>
  <c r="J1498" i="6"/>
  <c r="I1498" i="6"/>
  <c r="J1482" i="6"/>
  <c r="I1482" i="6"/>
  <c r="J1466" i="6"/>
  <c r="I1466" i="6"/>
  <c r="J1450" i="6"/>
  <c r="I1450" i="6"/>
  <c r="J1418" i="6"/>
  <c r="I1418" i="6"/>
  <c r="J1386" i="6"/>
  <c r="I1386" i="6"/>
  <c r="J1370" i="6"/>
  <c r="I1370" i="6"/>
  <c r="J1354" i="6"/>
  <c r="I1354" i="6"/>
  <c r="J1242" i="6"/>
  <c r="I1242" i="6"/>
  <c r="J1162" i="6"/>
  <c r="I1162" i="6"/>
  <c r="J1082" i="6"/>
  <c r="I1082" i="6"/>
  <c r="J1018" i="6"/>
  <c r="I1018" i="6"/>
  <c r="J1002" i="6"/>
  <c r="I1002" i="6"/>
  <c r="J986" i="6"/>
  <c r="I986" i="6"/>
  <c r="J970" i="6"/>
  <c r="I970" i="6"/>
  <c r="J954" i="6"/>
  <c r="I954" i="6"/>
  <c r="J938" i="6"/>
  <c r="I938" i="6"/>
  <c r="J874" i="6"/>
  <c r="I874" i="6"/>
  <c r="J858" i="6"/>
  <c r="I858" i="6"/>
  <c r="J842" i="6"/>
  <c r="I842" i="6"/>
  <c r="J810" i="6"/>
  <c r="I810" i="6"/>
  <c r="J794" i="6"/>
  <c r="I794" i="6"/>
  <c r="J746" i="6"/>
  <c r="I746" i="6"/>
  <c r="J570" i="6"/>
  <c r="I570" i="6"/>
  <c r="J554" i="6"/>
  <c r="I554" i="6"/>
  <c r="J538" i="6"/>
  <c r="I538" i="6"/>
  <c r="J522" i="6"/>
  <c r="I522" i="6"/>
  <c r="J506" i="6"/>
  <c r="I506" i="6"/>
  <c r="J490" i="6"/>
  <c r="I490" i="6"/>
  <c r="J474" i="6"/>
  <c r="I474" i="6"/>
  <c r="J458" i="6"/>
  <c r="I458" i="6"/>
  <c r="J442" i="6"/>
  <c r="I442" i="6"/>
  <c r="J426" i="6"/>
  <c r="I426" i="6"/>
  <c r="J410" i="6"/>
  <c r="I410" i="6"/>
  <c r="J378" i="6"/>
  <c r="I378" i="6"/>
  <c r="J362" i="6"/>
  <c r="I362" i="6"/>
  <c r="J314" i="6"/>
  <c r="I314" i="6"/>
  <c r="J298" i="6"/>
  <c r="I298" i="6"/>
  <c r="J282" i="6"/>
  <c r="I282" i="6"/>
  <c r="J266" i="6"/>
  <c r="I266" i="6"/>
  <c r="J250" i="6"/>
  <c r="I250" i="6"/>
  <c r="J234" i="6"/>
  <c r="I234" i="6"/>
  <c r="I178" i="6"/>
  <c r="I258" i="6"/>
  <c r="I346" i="6"/>
  <c r="I433" i="6"/>
  <c r="I531" i="6"/>
  <c r="I744" i="6"/>
  <c r="I831" i="6"/>
  <c r="I977" i="6"/>
  <c r="I1159" i="6"/>
  <c r="I1424" i="6"/>
  <c r="I1540" i="6"/>
  <c r="I1628" i="6"/>
  <c r="I1716" i="6"/>
  <c r="I1835" i="6"/>
  <c r="I1932" i="6"/>
  <c r="J856" i="6"/>
  <c r="I856" i="6"/>
  <c r="J840" i="6"/>
  <c r="I840" i="6"/>
  <c r="J824" i="6"/>
  <c r="I824" i="6"/>
  <c r="J808" i="6"/>
  <c r="I808" i="6"/>
  <c r="J776" i="6"/>
  <c r="I776" i="6"/>
  <c r="J760" i="6"/>
  <c r="I760" i="6"/>
  <c r="J600" i="6"/>
  <c r="I600" i="6"/>
  <c r="J584" i="6"/>
  <c r="I584" i="6"/>
  <c r="J536" i="6"/>
  <c r="I536" i="6"/>
  <c r="J520" i="6"/>
  <c r="I520" i="6"/>
  <c r="J504" i="6"/>
  <c r="I504" i="6"/>
  <c r="J488" i="6"/>
  <c r="I488" i="6"/>
  <c r="J472" i="6"/>
  <c r="I472" i="6"/>
  <c r="J456" i="6"/>
  <c r="I456" i="6"/>
  <c r="J440" i="6"/>
  <c r="I440" i="6"/>
  <c r="J424" i="6"/>
  <c r="I424" i="6"/>
  <c r="J408" i="6"/>
  <c r="I408" i="6"/>
  <c r="J392" i="6"/>
  <c r="I392" i="6"/>
  <c r="J376" i="6"/>
  <c r="I376" i="6"/>
  <c r="J344" i="6"/>
  <c r="I344" i="6"/>
  <c r="J328" i="6"/>
  <c r="I328" i="6"/>
  <c r="J280" i="6"/>
  <c r="I280" i="6"/>
  <c r="J264" i="6"/>
  <c r="I264" i="6"/>
  <c r="I193" i="6"/>
  <c r="I262" i="6"/>
  <c r="I360" i="6"/>
  <c r="I449" i="6"/>
  <c r="I535" i="6"/>
  <c r="I758" i="6"/>
  <c r="I847" i="6"/>
  <c r="I981" i="6"/>
  <c r="I1239" i="6"/>
  <c r="I1458" i="6"/>
  <c r="I1544" i="6"/>
  <c r="I1642" i="6"/>
  <c r="I1747" i="6"/>
  <c r="I1840" i="6"/>
  <c r="I1948" i="6"/>
  <c r="J952" i="6"/>
  <c r="I952" i="6"/>
  <c r="J327" i="6"/>
  <c r="I327" i="6"/>
  <c r="J311" i="6"/>
  <c r="I311" i="6"/>
  <c r="J288" i="6"/>
  <c r="I288" i="6"/>
  <c r="I194" i="6"/>
  <c r="I761" i="6"/>
  <c r="I1243" i="6"/>
  <c r="I1459" i="6"/>
  <c r="I1557" i="6"/>
  <c r="I1748" i="6"/>
  <c r="J1366" i="6"/>
  <c r="I1366" i="6"/>
  <c r="J294" i="6"/>
  <c r="I294" i="6"/>
  <c r="J246" i="6"/>
  <c r="I246" i="6"/>
  <c r="J230" i="6"/>
  <c r="I230" i="6"/>
  <c r="J214" i="6"/>
  <c r="I214" i="6"/>
  <c r="I278" i="6"/>
  <c r="I551" i="6"/>
  <c r="I860" i="6"/>
  <c r="I997" i="6"/>
  <c r="I1244" i="6"/>
  <c r="I1560" i="6"/>
  <c r="I1762" i="6"/>
  <c r="I1857" i="6"/>
  <c r="I1953" i="6"/>
  <c r="J1484" i="6"/>
  <c r="I1484" i="6"/>
  <c r="J1627" i="6"/>
  <c r="I1627" i="6"/>
  <c r="J968" i="6"/>
  <c r="I968" i="6"/>
  <c r="J1255" i="6"/>
  <c r="I1255" i="6"/>
  <c r="J1237" i="6"/>
  <c r="I1237" i="6"/>
  <c r="J1077" i="6"/>
  <c r="I1077" i="6"/>
  <c r="J1061" i="6"/>
  <c r="I1061" i="6"/>
  <c r="J1013" i="6"/>
  <c r="I1013" i="6"/>
  <c r="J965" i="6"/>
  <c r="I965" i="6"/>
  <c r="J949" i="6"/>
  <c r="I949" i="6"/>
  <c r="J933" i="6"/>
  <c r="I933" i="6"/>
  <c r="J869" i="6"/>
  <c r="I869" i="6"/>
  <c r="J853" i="6"/>
  <c r="I853" i="6"/>
  <c r="J837" i="6"/>
  <c r="I837" i="6"/>
  <c r="J821" i="6"/>
  <c r="I821" i="6"/>
  <c r="J805" i="6"/>
  <c r="I805" i="6"/>
  <c r="J789" i="6"/>
  <c r="I789" i="6"/>
  <c r="J773" i="6"/>
  <c r="I773" i="6"/>
  <c r="J757" i="6"/>
  <c r="I757" i="6"/>
  <c r="J597" i="6"/>
  <c r="I597" i="6"/>
  <c r="J581" i="6"/>
  <c r="I581" i="6"/>
  <c r="J549" i="6"/>
  <c r="I549" i="6"/>
  <c r="J533" i="6"/>
  <c r="I533" i="6"/>
  <c r="J485" i="6"/>
  <c r="I485" i="6"/>
  <c r="J469" i="6"/>
  <c r="I469" i="6"/>
  <c r="J453" i="6"/>
  <c r="I453" i="6"/>
  <c r="J437" i="6"/>
  <c r="I437" i="6"/>
  <c r="J421" i="6"/>
  <c r="I421" i="6"/>
  <c r="J405" i="6"/>
  <c r="I405" i="6"/>
  <c r="J389" i="6"/>
  <c r="I389" i="6"/>
  <c r="J373" i="6"/>
  <c r="I373" i="6"/>
  <c r="J357" i="6"/>
  <c r="I357" i="6"/>
  <c r="J341" i="6"/>
  <c r="I341" i="6"/>
  <c r="J325" i="6"/>
  <c r="I325" i="6"/>
  <c r="J293" i="6"/>
  <c r="I293" i="6"/>
  <c r="J277" i="6"/>
  <c r="I277" i="6"/>
  <c r="I377" i="6"/>
  <c r="I466" i="6"/>
  <c r="I552" i="6"/>
  <c r="I775" i="6"/>
  <c r="I864" i="6"/>
  <c r="I998" i="6"/>
  <c r="I1345" i="6"/>
  <c r="I1475" i="6"/>
  <c r="I1561" i="6"/>
  <c r="I1659" i="6"/>
  <c r="I1765" i="6"/>
  <c r="I1858" i="6"/>
  <c r="I1968" i="6"/>
  <c r="J53" i="6"/>
  <c r="I53" i="6"/>
  <c r="J1988" i="6"/>
  <c r="I1988" i="6"/>
  <c r="J1076" i="6"/>
  <c r="I1076" i="6"/>
  <c r="J1060" i="6"/>
  <c r="I1060" i="6"/>
  <c r="J1012" i="6"/>
  <c r="I1012" i="6"/>
  <c r="J996" i="6"/>
  <c r="I996" i="6"/>
  <c r="J948" i="6"/>
  <c r="I948" i="6"/>
  <c r="J932" i="6"/>
  <c r="I932" i="6"/>
  <c r="J868" i="6"/>
  <c r="I868" i="6"/>
  <c r="J852" i="6"/>
  <c r="I852" i="6"/>
  <c r="J836" i="6"/>
  <c r="I836" i="6"/>
  <c r="J820" i="6"/>
  <c r="I820" i="6"/>
  <c r="J804" i="6"/>
  <c r="I804" i="6"/>
  <c r="J788" i="6"/>
  <c r="I788" i="6"/>
  <c r="J772" i="6"/>
  <c r="I772" i="6"/>
  <c r="J756" i="6"/>
  <c r="I756" i="6"/>
  <c r="J740" i="6"/>
  <c r="I740" i="6"/>
  <c r="J596" i="6"/>
  <c r="I596" i="6"/>
  <c r="J580" i="6"/>
  <c r="I580" i="6"/>
  <c r="J564" i="6"/>
  <c r="I564" i="6"/>
  <c r="J532" i="6"/>
  <c r="I532" i="6"/>
  <c r="J516" i="6"/>
  <c r="I516" i="6"/>
  <c r="J468" i="6"/>
  <c r="I468" i="6"/>
  <c r="J452" i="6"/>
  <c r="I452" i="6"/>
  <c r="J436" i="6"/>
  <c r="I436" i="6"/>
  <c r="J420" i="6"/>
  <c r="I420" i="6"/>
  <c r="J404" i="6"/>
  <c r="I404" i="6"/>
  <c r="J388" i="6"/>
  <c r="I388" i="6"/>
  <c r="J372" i="6"/>
  <c r="I372" i="6"/>
  <c r="J356" i="6"/>
  <c r="I356" i="6"/>
  <c r="J340" i="6"/>
  <c r="I340" i="6"/>
  <c r="J324" i="6"/>
  <c r="I324" i="6"/>
  <c r="J308" i="6"/>
  <c r="I308" i="6"/>
  <c r="J276" i="6"/>
  <c r="I276" i="6"/>
  <c r="J260" i="6"/>
  <c r="I260" i="6"/>
  <c r="I13" i="6"/>
  <c r="I292" i="6"/>
  <c r="I380" i="6"/>
  <c r="I467" i="6"/>
  <c r="I565" i="6"/>
  <c r="I778" i="6"/>
  <c r="I865" i="6"/>
  <c r="I1011" i="6"/>
  <c r="I1348" i="6"/>
  <c r="I1476" i="6"/>
  <c r="I1574" i="6"/>
  <c r="I1662" i="6"/>
  <c r="I1766" i="6"/>
  <c r="I1872" i="6"/>
  <c r="I1971" i="6"/>
  <c r="J1994" i="6"/>
  <c r="I1994" i="6"/>
  <c r="J1610" i="6"/>
  <c r="I1610" i="6"/>
  <c r="J1763" i="6"/>
  <c r="I1763" i="6"/>
  <c r="J595" i="6"/>
  <c r="I595" i="6"/>
  <c r="J579" i="6"/>
  <c r="I579" i="6"/>
  <c r="J563" i="6"/>
  <c r="I563" i="6"/>
  <c r="J547" i="6"/>
  <c r="I547" i="6"/>
  <c r="J515" i="6"/>
  <c r="I515" i="6"/>
  <c r="J499" i="6"/>
  <c r="I499" i="6"/>
  <c r="J451" i="6"/>
  <c r="I451" i="6"/>
  <c r="J435" i="6"/>
  <c r="I435" i="6"/>
  <c r="J419" i="6"/>
  <c r="I419" i="6"/>
  <c r="J403" i="6"/>
  <c r="I403" i="6"/>
  <c r="J387" i="6"/>
  <c r="I387" i="6"/>
  <c r="J371" i="6"/>
  <c r="I371" i="6"/>
  <c r="J355" i="6"/>
  <c r="I355" i="6"/>
  <c r="J339" i="6"/>
  <c r="I339" i="6"/>
  <c r="J323" i="6"/>
  <c r="I323" i="6"/>
  <c r="J307" i="6"/>
  <c r="I307" i="6"/>
  <c r="J291" i="6"/>
  <c r="I291" i="6"/>
  <c r="J259" i="6"/>
  <c r="I259" i="6"/>
  <c r="J243" i="6"/>
  <c r="I243" i="6"/>
  <c r="I14" i="6"/>
  <c r="I295" i="6"/>
  <c r="I1014" i="6"/>
  <c r="I1349" i="6"/>
  <c r="I1489" i="6"/>
  <c r="I1577" i="6"/>
  <c r="I1780" i="6"/>
  <c r="I1875" i="6"/>
  <c r="I1972" i="6"/>
  <c r="J198" i="6"/>
  <c r="I198" i="6"/>
  <c r="J150" i="6"/>
  <c r="I150" i="6"/>
  <c r="J1996" i="6"/>
  <c r="I1996" i="6"/>
  <c r="J1916" i="6"/>
  <c r="I1916" i="6"/>
  <c r="J1884" i="6"/>
  <c r="I1884" i="6"/>
  <c r="J1852" i="6"/>
  <c r="I1852" i="6"/>
  <c r="J1788" i="6"/>
  <c r="I1788" i="6"/>
  <c r="J1756" i="6"/>
  <c r="I1756" i="6"/>
  <c r="J1740" i="6"/>
  <c r="I1740" i="6"/>
  <c r="J1708" i="6"/>
  <c r="I1708" i="6"/>
  <c r="J1692" i="6"/>
  <c r="I1692" i="6"/>
  <c r="J1660" i="6"/>
  <c r="I1660" i="6"/>
  <c r="J1596" i="6"/>
  <c r="I1596" i="6"/>
  <c r="J1564" i="6"/>
  <c r="I1564" i="6"/>
  <c r="J1532" i="6"/>
  <c r="I1532" i="6"/>
  <c r="J1500" i="6"/>
  <c r="I1500" i="6"/>
  <c r="J1468" i="6"/>
  <c r="I1468" i="6"/>
  <c r="J1372" i="6"/>
  <c r="I1372" i="6"/>
  <c r="J165" i="6"/>
  <c r="I165" i="6"/>
  <c r="J149" i="6"/>
  <c r="I149" i="6"/>
  <c r="J2027" i="6"/>
  <c r="I2027" i="6"/>
  <c r="J1979" i="6"/>
  <c r="I1979" i="6"/>
  <c r="J1947" i="6"/>
  <c r="I1947" i="6"/>
  <c r="J1931" i="6"/>
  <c r="I1931" i="6"/>
  <c r="J1899" i="6"/>
  <c r="I1899" i="6"/>
  <c r="J1867" i="6"/>
  <c r="I1867" i="6"/>
  <c r="J1851" i="6"/>
  <c r="I1851" i="6"/>
  <c r="J1755" i="6"/>
  <c r="I1755" i="6"/>
  <c r="J1579" i="6"/>
  <c r="I1579" i="6"/>
  <c r="J196" i="6"/>
  <c r="I196" i="6"/>
  <c r="J164" i="6"/>
  <c r="I164" i="6"/>
  <c r="J1962" i="6"/>
  <c r="I1962" i="6"/>
  <c r="J1850" i="6"/>
  <c r="I1850" i="6"/>
  <c r="J1834" i="6"/>
  <c r="I1834" i="6"/>
  <c r="J1770" i="6"/>
  <c r="I1770" i="6"/>
  <c r="J1738" i="6"/>
  <c r="I1738" i="6"/>
  <c r="J1690" i="6"/>
  <c r="I1690" i="6"/>
  <c r="J1674" i="6"/>
  <c r="I1674" i="6"/>
  <c r="J1562" i="6"/>
  <c r="I1562" i="6"/>
  <c r="J163" i="6"/>
  <c r="I163" i="6"/>
  <c r="J67" i="6"/>
  <c r="I67" i="6"/>
  <c r="J1977" i="6"/>
  <c r="I1977" i="6"/>
  <c r="J1897" i="6"/>
  <c r="I1897" i="6"/>
  <c r="J1705" i="6"/>
  <c r="I1705" i="6"/>
  <c r="J1497" i="6"/>
  <c r="I1497" i="6"/>
  <c r="J1081" i="6"/>
  <c r="I1081" i="6"/>
  <c r="J1017" i="6"/>
  <c r="I1017" i="6"/>
  <c r="J857" i="6"/>
  <c r="I857" i="6"/>
  <c r="J505" i="6"/>
  <c r="I505" i="6"/>
  <c r="J457" i="6"/>
  <c r="I457" i="6"/>
  <c r="J345" i="6"/>
  <c r="I345" i="6"/>
  <c r="J281" i="6"/>
  <c r="I281" i="6"/>
  <c r="J18" i="6"/>
  <c r="I18" i="6"/>
  <c r="J2008" i="6"/>
  <c r="I2008" i="6"/>
  <c r="J1848" i="6"/>
  <c r="I1848" i="6"/>
  <c r="J1800" i="6"/>
  <c r="I1800" i="6"/>
  <c r="J1752" i="6"/>
  <c r="I1752" i="6"/>
  <c r="J1688" i="6"/>
  <c r="I1688" i="6"/>
  <c r="J1656" i="6"/>
  <c r="I1656" i="6"/>
  <c r="J1592" i="6"/>
  <c r="I1592" i="6"/>
  <c r="J1512" i="6"/>
  <c r="I1512" i="6"/>
  <c r="J1368" i="6"/>
  <c r="I1368" i="6"/>
  <c r="J1240" i="6"/>
  <c r="I1240" i="6"/>
  <c r="J984" i="6"/>
  <c r="I984" i="6"/>
  <c r="J872" i="6"/>
  <c r="I872" i="6"/>
  <c r="J65" i="6"/>
  <c r="I65" i="6"/>
  <c r="J1783" i="6"/>
  <c r="I1783" i="6"/>
  <c r="J1957" i="6"/>
  <c r="I1957" i="6"/>
  <c r="J1829" i="6"/>
  <c r="I1829" i="6"/>
  <c r="J1781" i="6"/>
  <c r="I1781" i="6"/>
  <c r="J1749" i="6"/>
  <c r="I1749" i="6"/>
  <c r="J1701" i="6"/>
  <c r="I1701" i="6"/>
  <c r="J1653" i="6"/>
  <c r="I1653" i="6"/>
  <c r="J1605" i="6"/>
  <c r="I1605" i="6"/>
  <c r="J1573" i="6"/>
  <c r="I1573" i="6"/>
  <c r="J1779" i="6"/>
  <c r="I1779" i="6"/>
  <c r="J1619" i="6"/>
  <c r="I1619" i="6"/>
  <c r="J1555" i="6"/>
  <c r="I1555" i="6"/>
  <c r="J1507" i="6"/>
  <c r="I1507" i="6"/>
  <c r="J1347" i="6"/>
  <c r="I1347" i="6"/>
  <c r="J1235" i="6"/>
  <c r="I1235" i="6"/>
  <c r="J995" i="6"/>
  <c r="I995" i="6"/>
  <c r="J1602" i="6"/>
  <c r="I1602" i="6"/>
  <c r="J850" i="6"/>
  <c r="I850" i="6"/>
  <c r="J834" i="6"/>
  <c r="I834" i="6"/>
  <c r="J818" i="6"/>
  <c r="I818" i="6"/>
  <c r="J802" i="6"/>
  <c r="I802" i="6"/>
  <c r="J786" i="6"/>
  <c r="I786" i="6"/>
  <c r="J770" i="6"/>
  <c r="I770" i="6"/>
  <c r="J754" i="6"/>
  <c r="I754" i="6"/>
  <c r="J738" i="6"/>
  <c r="I738" i="6"/>
  <c r="J594" i="6"/>
  <c r="I594" i="6"/>
  <c r="J578" i="6"/>
  <c r="I578" i="6"/>
  <c r="J562" i="6"/>
  <c r="I562" i="6"/>
  <c r="J546" i="6"/>
  <c r="I546" i="6"/>
  <c r="J530" i="6"/>
  <c r="I530" i="6"/>
  <c r="J498" i="6"/>
  <c r="I498" i="6"/>
  <c r="J482" i="6"/>
  <c r="I482" i="6"/>
  <c r="J434" i="6"/>
  <c r="I434" i="6"/>
  <c r="J418" i="6"/>
  <c r="I418" i="6"/>
  <c r="J402" i="6"/>
  <c r="I402" i="6"/>
  <c r="J386" i="6"/>
  <c r="I386" i="6"/>
  <c r="J370" i="6"/>
  <c r="I370" i="6"/>
  <c r="J354" i="6"/>
  <c r="I354" i="6"/>
  <c r="J338" i="6"/>
  <c r="I338" i="6"/>
  <c r="J322" i="6"/>
  <c r="I322" i="6"/>
  <c r="J306" i="6"/>
  <c r="I306" i="6"/>
  <c r="J290" i="6"/>
  <c r="I290" i="6"/>
  <c r="J274" i="6"/>
  <c r="I274" i="6"/>
  <c r="J242" i="6"/>
  <c r="I242" i="6"/>
  <c r="J226" i="6"/>
  <c r="I226" i="6"/>
  <c r="I66" i="6"/>
  <c r="I211" i="6"/>
  <c r="I483" i="6"/>
  <c r="I569" i="6"/>
  <c r="I792" i="6"/>
  <c r="I929" i="6"/>
  <c r="I1015" i="6"/>
  <c r="I1362" i="6"/>
  <c r="I1492" i="6"/>
  <c r="I1578" i="6"/>
  <c r="I1676" i="6"/>
  <c r="I1784" i="6"/>
  <c r="I1876" i="6"/>
  <c r="I1987" i="6"/>
  <c r="J1420" i="6"/>
  <c r="I1420" i="6"/>
  <c r="J52" i="6"/>
  <c r="I52" i="6"/>
  <c r="J1478" i="6"/>
  <c r="I1478" i="6"/>
  <c r="J950" i="6"/>
  <c r="I950" i="6"/>
  <c r="J854" i="6"/>
  <c r="I854" i="6"/>
  <c r="J806" i="6"/>
  <c r="I806" i="6"/>
  <c r="J774" i="6"/>
  <c r="I774" i="6"/>
  <c r="J742" i="6"/>
  <c r="I742" i="6"/>
  <c r="J470" i="6"/>
  <c r="I470" i="6"/>
  <c r="J422" i="6"/>
  <c r="I422" i="6"/>
  <c r="J390" i="6"/>
  <c r="I390" i="6"/>
  <c r="J342" i="6"/>
  <c r="I342" i="6"/>
  <c r="J1251" i="6"/>
  <c r="I1251" i="6"/>
  <c r="J979" i="6"/>
  <c r="I979" i="6"/>
  <c r="J961" i="6"/>
  <c r="I961" i="6"/>
  <c r="J609" i="6"/>
  <c r="I609" i="6"/>
  <c r="J593" i="6"/>
  <c r="I593" i="6"/>
  <c r="J577" i="6"/>
  <c r="I577" i="6"/>
  <c r="J561" i="6"/>
  <c r="I561" i="6"/>
  <c r="J545" i="6"/>
  <c r="I545" i="6"/>
  <c r="J529" i="6"/>
  <c r="I529" i="6"/>
  <c r="J513" i="6"/>
  <c r="I513" i="6"/>
  <c r="J481" i="6"/>
  <c r="I481" i="6"/>
  <c r="J465" i="6"/>
  <c r="I465" i="6"/>
  <c r="J417" i="6"/>
  <c r="I417" i="6"/>
  <c r="J401" i="6"/>
  <c r="I401" i="6"/>
  <c r="J385" i="6"/>
  <c r="I385" i="6"/>
  <c r="J369" i="6"/>
  <c r="I369" i="6"/>
  <c r="J353" i="6"/>
  <c r="I353" i="6"/>
  <c r="J337" i="6"/>
  <c r="I337" i="6"/>
  <c r="J321" i="6"/>
  <c r="I321" i="6"/>
  <c r="J305" i="6"/>
  <c r="I305" i="6"/>
  <c r="I69" i="6"/>
  <c r="I309" i="6"/>
  <c r="I397" i="6"/>
  <c r="I484" i="6"/>
  <c r="I582" i="6"/>
  <c r="I795" i="6"/>
  <c r="I930" i="6"/>
  <c r="I1063" i="6"/>
  <c r="I1365" i="6"/>
  <c r="I1493" i="6"/>
  <c r="I1591" i="6"/>
  <c r="I1680" i="6"/>
  <c r="I1785" i="6"/>
  <c r="I1890" i="6"/>
  <c r="I1990" i="6"/>
  <c r="J1643" i="6"/>
  <c r="I1643" i="6"/>
  <c r="J195" i="6"/>
  <c r="I195" i="6"/>
  <c r="J19" i="6"/>
  <c r="I19" i="6"/>
  <c r="J2025" i="6"/>
  <c r="I2025" i="6"/>
  <c r="J1961" i="6"/>
  <c r="I1961" i="6"/>
  <c r="J1865" i="6"/>
  <c r="I1865" i="6"/>
  <c r="J1801" i="6"/>
  <c r="I1801" i="6"/>
  <c r="J1721" i="6"/>
  <c r="I1721" i="6"/>
  <c r="J1529" i="6"/>
  <c r="I1529" i="6"/>
  <c r="J1449" i="6"/>
  <c r="I1449" i="6"/>
  <c r="J1385" i="6"/>
  <c r="I1385" i="6"/>
  <c r="J1353" i="6"/>
  <c r="I1353" i="6"/>
  <c r="J969" i="6"/>
  <c r="I969" i="6"/>
  <c r="J553" i="6"/>
  <c r="I553" i="6"/>
  <c r="J489" i="6"/>
  <c r="I489" i="6"/>
  <c r="J409" i="6"/>
  <c r="I409" i="6"/>
  <c r="J249" i="6"/>
  <c r="I249" i="6"/>
  <c r="J2024" i="6"/>
  <c r="I2024" i="6"/>
  <c r="J1864" i="6"/>
  <c r="I1864" i="6"/>
  <c r="J1816" i="6"/>
  <c r="I1816" i="6"/>
  <c r="J1768" i="6"/>
  <c r="I1768" i="6"/>
  <c r="J1704" i="6"/>
  <c r="I1704" i="6"/>
  <c r="J1640" i="6"/>
  <c r="I1640" i="6"/>
  <c r="J1496" i="6"/>
  <c r="I1496" i="6"/>
  <c r="J1448" i="6"/>
  <c r="I1448" i="6"/>
  <c r="J1416" i="6"/>
  <c r="I1416" i="6"/>
  <c r="J1256" i="6"/>
  <c r="I1256" i="6"/>
  <c r="J17" i="6"/>
  <c r="I17" i="6"/>
  <c r="J2023" i="6"/>
  <c r="I2023" i="6"/>
  <c r="J1991" i="6"/>
  <c r="I1991" i="6"/>
  <c r="J1943" i="6"/>
  <c r="I1943" i="6"/>
  <c r="J1863" i="6"/>
  <c r="I1863" i="6"/>
  <c r="J1799" i="6"/>
  <c r="I1799" i="6"/>
  <c r="J1719" i="6"/>
  <c r="I1719" i="6"/>
  <c r="J1655" i="6"/>
  <c r="I1655" i="6"/>
  <c r="J1607" i="6"/>
  <c r="I1607" i="6"/>
  <c r="J1575" i="6"/>
  <c r="I1575" i="6"/>
  <c r="J1511" i="6"/>
  <c r="I1511" i="6"/>
  <c r="J1447" i="6"/>
  <c r="I1447" i="6"/>
  <c r="J1415" i="6"/>
  <c r="I1415" i="6"/>
  <c r="J983" i="6"/>
  <c r="I983" i="6"/>
  <c r="J935" i="6"/>
  <c r="I935" i="6"/>
  <c r="J839" i="6"/>
  <c r="I839" i="6"/>
  <c r="J807" i="6"/>
  <c r="I807" i="6"/>
  <c r="J759" i="6"/>
  <c r="I759" i="6"/>
  <c r="J487" i="6"/>
  <c r="I487" i="6"/>
  <c r="J439" i="6"/>
  <c r="I439" i="6"/>
  <c r="J407" i="6"/>
  <c r="I407" i="6"/>
  <c r="J359" i="6"/>
  <c r="I359" i="6"/>
  <c r="J176" i="6"/>
  <c r="I176" i="6"/>
  <c r="J160" i="6"/>
  <c r="I160" i="6"/>
  <c r="J16" i="6"/>
  <c r="I16" i="6"/>
  <c r="J2022" i="6"/>
  <c r="I2022" i="6"/>
  <c r="J1846" i="6"/>
  <c r="I1846" i="6"/>
  <c r="J1702" i="6"/>
  <c r="I1702" i="6"/>
  <c r="J1638" i="6"/>
  <c r="I1638" i="6"/>
  <c r="J1590" i="6"/>
  <c r="I1590" i="6"/>
  <c r="J1558" i="6"/>
  <c r="I1558" i="6"/>
  <c r="J1494" i="6"/>
  <c r="I1494" i="6"/>
  <c r="J1142" i="6"/>
  <c r="I1142" i="6"/>
  <c r="J550" i="6"/>
  <c r="I550" i="6"/>
  <c r="J2035" i="6"/>
  <c r="I2035" i="6"/>
  <c r="J1811" i="6"/>
  <c r="I1811" i="6"/>
  <c r="J1667" i="6"/>
  <c r="I1667" i="6"/>
  <c r="J1587" i="6"/>
  <c r="I1587" i="6"/>
  <c r="J803" i="6"/>
  <c r="I803" i="6"/>
  <c r="J1650" i="6"/>
  <c r="I1650" i="6"/>
  <c r="J1586" i="6"/>
  <c r="I1586" i="6"/>
  <c r="J1378" i="6"/>
  <c r="I1378" i="6"/>
  <c r="J1058" i="6"/>
  <c r="I1058" i="6"/>
  <c r="J1010" i="6"/>
  <c r="I1010" i="6"/>
  <c r="J978" i="6"/>
  <c r="I978" i="6"/>
  <c r="J171" i="6"/>
  <c r="I171" i="6"/>
  <c r="J1889" i="6"/>
  <c r="I1889" i="6"/>
  <c r="J1761" i="6"/>
  <c r="I1761" i="6"/>
  <c r="J1713" i="6"/>
  <c r="I1713" i="6"/>
  <c r="J1649" i="6"/>
  <c r="I1649" i="6"/>
  <c r="J1585" i="6"/>
  <c r="I1585" i="6"/>
  <c r="J1473" i="6"/>
  <c r="I1473" i="6"/>
  <c r="J1153" i="6"/>
  <c r="I1153" i="6"/>
  <c r="J1089" i="6"/>
  <c r="I1089" i="6"/>
  <c r="J1009" i="6"/>
  <c r="I1009" i="6"/>
  <c r="J993" i="6"/>
  <c r="I993" i="6"/>
  <c r="J833" i="6"/>
  <c r="I833" i="6"/>
  <c r="J801" i="6"/>
  <c r="I801" i="6"/>
  <c r="J769" i="6"/>
  <c r="I769" i="6"/>
  <c r="J186" i="6"/>
  <c r="I186" i="6"/>
  <c r="J154" i="6"/>
  <c r="I154" i="6"/>
  <c r="J1696" i="6"/>
  <c r="I1696" i="6"/>
  <c r="J1648" i="6"/>
  <c r="I1648" i="6"/>
  <c r="J1632" i="6"/>
  <c r="I1632" i="6"/>
  <c r="J1616" i="6"/>
  <c r="I1616" i="6"/>
  <c r="J1600" i="6"/>
  <c r="I1600" i="6"/>
  <c r="J1584" i="6"/>
  <c r="I1584" i="6"/>
  <c r="J1568" i="6"/>
  <c r="I1568" i="6"/>
  <c r="J1552" i="6"/>
  <c r="I1552" i="6"/>
  <c r="J1536" i="6"/>
  <c r="I1536" i="6"/>
  <c r="J1520" i="6"/>
  <c r="I1520" i="6"/>
  <c r="J1504" i="6"/>
  <c r="I1504" i="6"/>
  <c r="J1488" i="6"/>
  <c r="I1488" i="6"/>
  <c r="J1456" i="6"/>
  <c r="I1456" i="6"/>
  <c r="J1376" i="6"/>
  <c r="I1376" i="6"/>
  <c r="J1360" i="6"/>
  <c r="I1360" i="6"/>
  <c r="J1344" i="6"/>
  <c r="I1344" i="6"/>
  <c r="J1232" i="6"/>
  <c r="I1232" i="6"/>
  <c r="J1184" i="6"/>
  <c r="I1184" i="6"/>
  <c r="J1088" i="6"/>
  <c r="I1088" i="6"/>
  <c r="J1072" i="6"/>
  <c r="I1072" i="6"/>
  <c r="J1008" i="6"/>
  <c r="I1008" i="6"/>
  <c r="J992" i="6"/>
  <c r="I992" i="6"/>
  <c r="J976" i="6"/>
  <c r="I976" i="6"/>
  <c r="J944" i="6"/>
  <c r="I944" i="6"/>
  <c r="J928" i="6"/>
  <c r="I928" i="6"/>
  <c r="J832" i="6"/>
  <c r="I832" i="6"/>
  <c r="J816" i="6"/>
  <c r="I816" i="6"/>
  <c r="J800" i="6"/>
  <c r="I800" i="6"/>
  <c r="J784" i="6"/>
  <c r="I784" i="6"/>
  <c r="J768" i="6"/>
  <c r="I768" i="6"/>
  <c r="J752" i="6"/>
  <c r="I752" i="6"/>
  <c r="J736" i="6"/>
  <c r="I736" i="6"/>
  <c r="J608" i="6"/>
  <c r="I608" i="6"/>
  <c r="J592" i="6"/>
  <c r="I592" i="6"/>
  <c r="J576" i="6"/>
  <c r="I576" i="6"/>
  <c r="J560" i="6"/>
  <c r="I560" i="6"/>
  <c r="J544" i="6"/>
  <c r="I544" i="6"/>
  <c r="J528" i="6"/>
  <c r="I528" i="6"/>
  <c r="J512" i="6"/>
  <c r="I512" i="6"/>
  <c r="J496" i="6"/>
  <c r="I496" i="6"/>
  <c r="J480" i="6"/>
  <c r="I480" i="6"/>
  <c r="J464" i="6"/>
  <c r="I464" i="6"/>
  <c r="J448" i="6"/>
  <c r="I448" i="6"/>
  <c r="J432" i="6"/>
  <c r="I432" i="6"/>
  <c r="J416" i="6"/>
  <c r="I416" i="6"/>
  <c r="J400" i="6"/>
  <c r="I400" i="6"/>
  <c r="J384" i="6"/>
  <c r="I384" i="6"/>
  <c r="J368" i="6"/>
  <c r="I368" i="6"/>
  <c r="J352" i="6"/>
  <c r="I352" i="6"/>
  <c r="I70" i="6"/>
  <c r="I312" i="6"/>
  <c r="I398" i="6"/>
  <c r="I497" i="6"/>
  <c r="I585" i="6"/>
  <c r="I796" i="6"/>
  <c r="I943" i="6"/>
  <c r="I1066" i="6"/>
  <c r="I1367" i="6"/>
  <c r="I1506" i="6"/>
  <c r="I1594" i="6"/>
  <c r="I1681" i="6"/>
  <c r="I1798" i="6"/>
  <c r="I1893" i="6"/>
  <c r="I1992" i="6"/>
  <c r="J1964" i="6"/>
  <c r="I1964" i="6"/>
  <c r="J2010" i="6"/>
  <c r="I2010" i="6"/>
  <c r="J1930" i="6"/>
  <c r="I1930" i="6"/>
  <c r="J1898" i="6"/>
  <c r="I1898" i="6"/>
  <c r="J1866" i="6"/>
  <c r="I1866" i="6"/>
  <c r="J1818" i="6"/>
  <c r="I1818" i="6"/>
  <c r="J1546" i="6"/>
  <c r="I1546" i="6"/>
  <c r="J1993" i="6"/>
  <c r="I1993" i="6"/>
  <c r="J1913" i="6"/>
  <c r="I1913" i="6"/>
  <c r="J1737" i="6"/>
  <c r="I1737" i="6"/>
  <c r="J1657" i="6"/>
  <c r="I1657" i="6"/>
  <c r="J1593" i="6"/>
  <c r="I1593" i="6"/>
  <c r="J1545" i="6"/>
  <c r="I1545" i="6"/>
  <c r="J1465" i="6"/>
  <c r="I1465" i="6"/>
  <c r="J1417" i="6"/>
  <c r="I1417" i="6"/>
  <c r="J1369" i="6"/>
  <c r="I1369" i="6"/>
  <c r="J1161" i="6"/>
  <c r="I1161" i="6"/>
  <c r="J1065" i="6"/>
  <c r="I1065" i="6"/>
  <c r="J985" i="6"/>
  <c r="I985" i="6"/>
  <c r="J841" i="6"/>
  <c r="I841" i="6"/>
  <c r="J793" i="6"/>
  <c r="I793" i="6"/>
  <c r="J537" i="6"/>
  <c r="I537" i="6"/>
  <c r="J473" i="6"/>
  <c r="I473" i="6"/>
  <c r="J425" i="6"/>
  <c r="I425" i="6"/>
  <c r="J265" i="6"/>
  <c r="I265" i="6"/>
  <c r="J1960" i="6"/>
  <c r="I1960" i="6"/>
  <c r="J1880" i="6"/>
  <c r="I1880" i="6"/>
  <c r="J1720" i="6"/>
  <c r="I1720" i="6"/>
  <c r="J1576" i="6"/>
  <c r="I1576" i="6"/>
  <c r="J1528" i="6"/>
  <c r="I1528" i="6"/>
  <c r="J1464" i="6"/>
  <c r="I1464" i="6"/>
  <c r="J1352" i="6"/>
  <c r="I1352" i="6"/>
  <c r="J1016" i="6"/>
  <c r="I1016" i="6"/>
  <c r="J1975" i="6"/>
  <c r="I1975" i="6"/>
  <c r="J1911" i="6"/>
  <c r="I1911" i="6"/>
  <c r="J1847" i="6"/>
  <c r="I1847" i="6"/>
  <c r="J1671" i="6"/>
  <c r="I1671" i="6"/>
  <c r="J1559" i="6"/>
  <c r="I1559" i="6"/>
  <c r="J1495" i="6"/>
  <c r="I1495" i="6"/>
  <c r="J1079" i="6"/>
  <c r="I1079" i="6"/>
  <c r="J967" i="6"/>
  <c r="I967" i="6"/>
  <c r="J871" i="6"/>
  <c r="I871" i="6"/>
  <c r="J823" i="6"/>
  <c r="I823" i="6"/>
  <c r="J791" i="6"/>
  <c r="I791" i="6"/>
  <c r="J743" i="6"/>
  <c r="I743" i="6"/>
  <c r="J503" i="6"/>
  <c r="I503" i="6"/>
  <c r="J471" i="6"/>
  <c r="I471" i="6"/>
  <c r="J423" i="6"/>
  <c r="I423" i="6"/>
  <c r="J192" i="6"/>
  <c r="I192" i="6"/>
  <c r="J64" i="6"/>
  <c r="I64" i="6"/>
  <c r="J1974" i="6"/>
  <c r="I1974" i="6"/>
  <c r="J1910" i="6"/>
  <c r="I1910" i="6"/>
  <c r="J1862" i="6"/>
  <c r="I1862" i="6"/>
  <c r="J1814" i="6"/>
  <c r="I1814" i="6"/>
  <c r="J1670" i="6"/>
  <c r="I1670" i="6"/>
  <c r="J1606" i="6"/>
  <c r="I1606" i="6"/>
  <c r="J1078" i="6"/>
  <c r="I1078" i="6"/>
  <c r="J966" i="6"/>
  <c r="I966" i="6"/>
  <c r="J870" i="6"/>
  <c r="I870" i="6"/>
  <c r="J822" i="6"/>
  <c r="I822" i="6"/>
  <c r="J486" i="6"/>
  <c r="I486" i="6"/>
  <c r="J438" i="6"/>
  <c r="I438" i="6"/>
  <c r="J374" i="6"/>
  <c r="I374" i="6"/>
  <c r="J310" i="6"/>
  <c r="I310" i="6"/>
  <c r="J191" i="6"/>
  <c r="I191" i="6"/>
  <c r="J159" i="6"/>
  <c r="I159" i="6"/>
  <c r="J2021" i="6"/>
  <c r="I2021" i="6"/>
  <c r="J1941" i="6"/>
  <c r="I1941" i="6"/>
  <c r="J1861" i="6"/>
  <c r="I1861" i="6"/>
  <c r="J1813" i="6"/>
  <c r="I1813" i="6"/>
  <c r="J1685" i="6"/>
  <c r="I1685" i="6"/>
  <c r="J1637" i="6"/>
  <c r="I1637" i="6"/>
  <c r="J1461" i="6"/>
  <c r="I1461" i="6"/>
  <c r="J1956" i="6"/>
  <c r="I1956" i="6"/>
  <c r="J1892" i="6"/>
  <c r="I1892" i="6"/>
  <c r="J1860" i="6"/>
  <c r="I1860" i="6"/>
  <c r="J1812" i="6"/>
  <c r="I1812" i="6"/>
  <c r="J1796" i="6"/>
  <c r="I1796" i="6"/>
  <c r="J1700" i="6"/>
  <c r="I1700" i="6"/>
  <c r="J1668" i="6"/>
  <c r="I1668" i="6"/>
  <c r="J1636" i="6"/>
  <c r="I1636" i="6"/>
  <c r="J1604" i="6"/>
  <c r="I1604" i="6"/>
  <c r="J1572" i="6"/>
  <c r="I1572" i="6"/>
  <c r="J1556" i="6"/>
  <c r="I1556" i="6"/>
  <c r="J1524" i="6"/>
  <c r="I1524" i="6"/>
  <c r="J1460" i="6"/>
  <c r="I1460" i="6"/>
  <c r="J1444" i="6"/>
  <c r="I1444" i="6"/>
  <c r="J1412" i="6"/>
  <c r="I1412" i="6"/>
  <c r="J1380" i="6"/>
  <c r="I1380" i="6"/>
  <c r="J1364" i="6"/>
  <c r="I1364" i="6"/>
  <c r="J45" i="6"/>
  <c r="I45" i="6"/>
  <c r="J1923" i="6"/>
  <c r="I1923" i="6"/>
  <c r="J1907" i="6"/>
  <c r="I1907" i="6"/>
  <c r="J1859" i="6"/>
  <c r="I1859" i="6"/>
  <c r="J1795" i="6"/>
  <c r="I1795" i="6"/>
  <c r="J1699" i="6"/>
  <c r="I1699" i="6"/>
  <c r="J1635" i="6"/>
  <c r="I1635" i="6"/>
  <c r="J1571" i="6"/>
  <c r="I1571" i="6"/>
  <c r="J1491" i="6"/>
  <c r="I1491" i="6"/>
  <c r="J1363" i="6"/>
  <c r="I1363" i="6"/>
  <c r="I1267" i="6"/>
  <c r="J1075" i="6"/>
  <c r="I1075" i="6"/>
  <c r="J931" i="6"/>
  <c r="I931" i="6"/>
  <c r="J867" i="6"/>
  <c r="I867" i="6"/>
  <c r="J851" i="6"/>
  <c r="I851" i="6"/>
  <c r="J835" i="6"/>
  <c r="I835" i="6"/>
  <c r="J819" i="6"/>
  <c r="I819" i="6"/>
  <c r="J787" i="6"/>
  <c r="I787" i="6"/>
  <c r="J771" i="6"/>
  <c r="I771" i="6"/>
  <c r="J755" i="6"/>
  <c r="I755" i="6"/>
  <c r="J1969" i="6"/>
  <c r="I1969" i="6"/>
  <c r="J1921" i="6"/>
  <c r="I1921" i="6"/>
  <c r="J1873" i="6"/>
  <c r="I1873" i="6"/>
  <c r="J1825" i="6"/>
  <c r="I1825" i="6"/>
  <c r="J1793" i="6"/>
  <c r="I1793" i="6"/>
  <c r="J1777" i="6"/>
  <c r="I1777" i="6"/>
  <c r="J1665" i="6"/>
  <c r="I1665" i="6"/>
  <c r="J1617" i="6"/>
  <c r="I1617" i="6"/>
  <c r="J1569" i="6"/>
  <c r="I1569" i="6"/>
  <c r="J1537" i="6"/>
  <c r="I1537" i="6"/>
  <c r="J1521" i="6"/>
  <c r="I1521" i="6"/>
  <c r="J1377" i="6"/>
  <c r="I1377" i="6"/>
  <c r="J737" i="6"/>
  <c r="I737" i="6"/>
  <c r="J2032" i="6"/>
  <c r="I2032" i="6"/>
  <c r="J2000" i="6"/>
  <c r="I2000" i="6"/>
  <c r="J1776" i="6"/>
  <c r="I1776" i="6"/>
  <c r="J185" i="6"/>
  <c r="I185" i="6"/>
  <c r="J153" i="6"/>
  <c r="I153" i="6"/>
  <c r="J2031" i="6"/>
  <c r="I2031" i="6"/>
  <c r="J2015" i="6"/>
  <c r="I2015" i="6"/>
  <c r="J1999" i="6"/>
  <c r="I1999" i="6"/>
  <c r="J1983" i="6"/>
  <c r="I1983" i="6"/>
  <c r="J1967" i="6"/>
  <c r="I1967" i="6"/>
  <c r="J1951" i="6"/>
  <c r="I1951" i="6"/>
  <c r="J1935" i="6"/>
  <c r="I1935" i="6"/>
  <c r="J1919" i="6"/>
  <c r="I1919" i="6"/>
  <c r="J1903" i="6"/>
  <c r="I1903" i="6"/>
  <c r="J1887" i="6"/>
  <c r="I1887" i="6"/>
  <c r="J1871" i="6"/>
  <c r="I1871" i="6"/>
  <c r="J1855" i="6"/>
  <c r="I1855" i="6"/>
  <c r="J1823" i="6"/>
  <c r="I1823" i="6"/>
  <c r="J1807" i="6"/>
  <c r="I1807" i="6"/>
  <c r="J1791" i="6"/>
  <c r="I1791" i="6"/>
  <c r="J1775" i="6"/>
  <c r="I1775" i="6"/>
  <c r="J1759" i="6"/>
  <c r="I1759" i="6"/>
  <c r="J1743" i="6"/>
  <c r="I1743" i="6"/>
  <c r="J1711" i="6"/>
  <c r="I1711" i="6"/>
  <c r="J1695" i="6"/>
  <c r="I1695" i="6"/>
  <c r="J1679" i="6"/>
  <c r="I1679" i="6"/>
  <c r="J1663" i="6"/>
  <c r="I1663" i="6"/>
  <c r="J1647" i="6"/>
  <c r="I1647" i="6"/>
  <c r="J1631" i="6"/>
  <c r="I1631" i="6"/>
  <c r="J1615" i="6"/>
  <c r="I1615" i="6"/>
  <c r="J1599" i="6"/>
  <c r="I1599" i="6"/>
  <c r="J1583" i="6"/>
  <c r="I1583" i="6"/>
  <c r="J1567" i="6"/>
  <c r="I1567" i="6"/>
  <c r="J1551" i="6"/>
  <c r="I1551" i="6"/>
  <c r="J1535" i="6"/>
  <c r="I1535" i="6"/>
  <c r="J1519" i="6"/>
  <c r="I1519" i="6"/>
  <c r="J1503" i="6"/>
  <c r="I1503" i="6"/>
  <c r="J1487" i="6"/>
  <c r="I1487" i="6"/>
  <c r="J1471" i="6"/>
  <c r="I1471" i="6"/>
  <c r="J1455" i="6"/>
  <c r="I1455" i="6"/>
  <c r="J1375" i="6"/>
  <c r="I1375" i="6"/>
  <c r="J1359" i="6"/>
  <c r="I1359" i="6"/>
  <c r="J1343" i="6"/>
  <c r="I1343" i="6"/>
  <c r="J1119" i="6"/>
  <c r="I1119" i="6"/>
  <c r="J1087" i="6"/>
  <c r="I1087" i="6"/>
  <c r="J1071" i="6"/>
  <c r="I1071" i="6"/>
  <c r="J1007" i="6"/>
  <c r="I1007" i="6"/>
  <c r="J991" i="6"/>
  <c r="I991" i="6"/>
  <c r="J975" i="6"/>
  <c r="I975" i="6"/>
  <c r="J959" i="6"/>
  <c r="I959" i="6"/>
  <c r="J879" i="6"/>
  <c r="I879" i="6"/>
  <c r="J863" i="6"/>
  <c r="I863" i="6"/>
  <c r="J815" i="6"/>
  <c r="I815" i="6"/>
  <c r="J799" i="6"/>
  <c r="I799" i="6"/>
  <c r="J783" i="6"/>
  <c r="I783" i="6"/>
  <c r="J767" i="6"/>
  <c r="I767" i="6"/>
  <c r="J751" i="6"/>
  <c r="I751" i="6"/>
  <c r="J735" i="6"/>
  <c r="I735" i="6"/>
  <c r="J607" i="6"/>
  <c r="I607" i="6"/>
  <c r="J591" i="6"/>
  <c r="I591" i="6"/>
  <c r="J575" i="6"/>
  <c r="I575" i="6"/>
  <c r="J559" i="6"/>
  <c r="I559" i="6"/>
  <c r="J543" i="6"/>
  <c r="I543" i="6"/>
  <c r="J527" i="6"/>
  <c r="I527" i="6"/>
  <c r="J511" i="6"/>
  <c r="I511" i="6"/>
  <c r="J495" i="6"/>
  <c r="I495" i="6"/>
  <c r="J463" i="6"/>
  <c r="I463" i="6"/>
  <c r="J447" i="6"/>
  <c r="I447" i="6"/>
  <c r="J399" i="6"/>
  <c r="I399" i="6"/>
  <c r="J383" i="6"/>
  <c r="I383" i="6"/>
  <c r="J367" i="6"/>
  <c r="I367" i="6"/>
  <c r="J351" i="6"/>
  <c r="I351" i="6"/>
  <c r="J335" i="6"/>
  <c r="I335" i="6"/>
  <c r="J319" i="6"/>
  <c r="I319" i="6"/>
  <c r="J303" i="6"/>
  <c r="I303" i="6"/>
  <c r="J287" i="6"/>
  <c r="I287" i="6"/>
  <c r="J271" i="6"/>
  <c r="I271" i="6"/>
  <c r="J255" i="6"/>
  <c r="I255" i="6"/>
  <c r="I158" i="6"/>
  <c r="I227" i="6"/>
  <c r="I313" i="6"/>
  <c r="I411" i="6"/>
  <c r="I500" i="6"/>
  <c r="I586" i="6"/>
  <c r="I809" i="6"/>
  <c r="I946" i="6"/>
  <c r="I1067" i="6"/>
  <c r="I1379" i="6"/>
  <c r="I1509" i="6"/>
  <c r="I1595" i="6"/>
  <c r="I1693" i="6"/>
  <c r="I1802" i="6"/>
  <c r="I1894" i="6"/>
  <c r="I2009" i="6"/>
  <c r="J166" i="6"/>
  <c r="I166" i="6"/>
  <c r="J1644" i="6"/>
  <c r="I1644" i="6"/>
  <c r="J197" i="6"/>
  <c r="I197" i="6"/>
  <c r="J1771" i="6"/>
  <c r="I1771" i="6"/>
  <c r="J1706" i="6"/>
  <c r="I1706" i="6"/>
  <c r="J1929" i="6"/>
  <c r="I1929" i="6"/>
  <c r="J1849" i="6"/>
  <c r="I1849" i="6"/>
  <c r="J1769" i="6"/>
  <c r="I1769" i="6"/>
  <c r="J1689" i="6"/>
  <c r="I1689" i="6"/>
  <c r="J1609" i="6"/>
  <c r="I1609" i="6"/>
  <c r="J1481" i="6"/>
  <c r="I1481" i="6"/>
  <c r="J936" i="6"/>
  <c r="I936" i="6"/>
  <c r="J1959" i="6"/>
  <c r="I1959" i="6"/>
  <c r="J1895" i="6"/>
  <c r="I1895" i="6"/>
  <c r="J1831" i="6"/>
  <c r="I1831" i="6"/>
  <c r="J1767" i="6"/>
  <c r="I1767" i="6"/>
  <c r="J1703" i="6"/>
  <c r="I1703" i="6"/>
  <c r="J1639" i="6"/>
  <c r="I1639" i="6"/>
  <c r="J1463" i="6"/>
  <c r="I1463" i="6"/>
  <c r="J1351" i="6"/>
  <c r="I1351" i="6"/>
  <c r="J391" i="6"/>
  <c r="I391" i="6"/>
  <c r="J1942" i="6"/>
  <c r="I1942" i="6"/>
  <c r="J1878" i="6"/>
  <c r="I1878" i="6"/>
  <c r="J1750" i="6"/>
  <c r="I1750" i="6"/>
  <c r="J1686" i="6"/>
  <c r="I1686" i="6"/>
  <c r="J1622" i="6"/>
  <c r="I1622" i="6"/>
  <c r="J1446" i="6"/>
  <c r="I1446" i="6"/>
  <c r="J1350" i="6"/>
  <c r="I1350" i="6"/>
  <c r="J1062" i="6"/>
  <c r="I1062" i="6"/>
  <c r="J358" i="6"/>
  <c r="I358" i="6"/>
  <c r="J2004" i="6"/>
  <c r="I2004" i="6"/>
  <c r="J1924" i="6"/>
  <c r="I1924" i="6"/>
  <c r="J173" i="6"/>
  <c r="I173" i="6"/>
  <c r="J2019" i="6"/>
  <c r="I2019" i="6"/>
  <c r="J1939" i="6"/>
  <c r="I1939" i="6"/>
  <c r="J1891" i="6"/>
  <c r="I1891" i="6"/>
  <c r="J1827" i="6"/>
  <c r="I1827" i="6"/>
  <c r="J1651" i="6"/>
  <c r="I1651" i="6"/>
  <c r="J1539" i="6"/>
  <c r="I1539" i="6"/>
  <c r="J188" i="6"/>
  <c r="I188" i="6"/>
  <c r="J172" i="6"/>
  <c r="I172" i="6"/>
  <c r="J156" i="6"/>
  <c r="I156" i="6"/>
  <c r="J44" i="6"/>
  <c r="I44" i="6"/>
  <c r="J2002" i="6"/>
  <c r="I2002" i="6"/>
  <c r="J1938" i="6"/>
  <c r="I1938" i="6"/>
  <c r="J1906" i="6"/>
  <c r="I1906" i="6"/>
  <c r="J1874" i="6"/>
  <c r="I1874" i="6"/>
  <c r="J1842" i="6"/>
  <c r="I1842" i="6"/>
  <c r="J1810" i="6"/>
  <c r="I1810" i="6"/>
  <c r="J1778" i="6"/>
  <c r="I1778" i="6"/>
  <c r="J1746" i="6"/>
  <c r="I1746" i="6"/>
  <c r="J1714" i="6"/>
  <c r="I1714" i="6"/>
  <c r="J1666" i="6"/>
  <c r="I1666" i="6"/>
  <c r="J1618" i="6"/>
  <c r="I1618" i="6"/>
  <c r="J1570" i="6"/>
  <c r="I1570" i="6"/>
  <c r="J1538" i="6"/>
  <c r="I1538" i="6"/>
  <c r="J1490" i="6"/>
  <c r="I1490" i="6"/>
  <c r="J1346" i="6"/>
  <c r="I1346" i="6"/>
  <c r="J1074" i="6"/>
  <c r="I1074" i="6"/>
  <c r="J962" i="6"/>
  <c r="I962" i="6"/>
  <c r="J866" i="6"/>
  <c r="I866" i="6"/>
  <c r="J187" i="6"/>
  <c r="I187" i="6"/>
  <c r="J155" i="6"/>
  <c r="I155" i="6"/>
  <c r="J1809" i="6"/>
  <c r="I1809" i="6"/>
  <c r="J1745" i="6"/>
  <c r="I1745" i="6"/>
  <c r="J1601" i="6"/>
  <c r="I1601" i="6"/>
  <c r="J1553" i="6"/>
  <c r="I1553" i="6"/>
  <c r="J1505" i="6"/>
  <c r="I1505" i="6"/>
  <c r="J1457" i="6"/>
  <c r="I1457" i="6"/>
  <c r="J1425" i="6"/>
  <c r="I1425" i="6"/>
  <c r="J1361" i="6"/>
  <c r="I1361" i="6"/>
  <c r="J1233" i="6"/>
  <c r="I1233" i="6"/>
  <c r="J1073" i="6"/>
  <c r="I1073" i="6"/>
  <c r="J1057" i="6"/>
  <c r="I1057" i="6"/>
  <c r="J945" i="6"/>
  <c r="I945" i="6"/>
  <c r="J849" i="6"/>
  <c r="I849" i="6"/>
  <c r="J817" i="6"/>
  <c r="I817" i="6"/>
  <c r="J785" i="6"/>
  <c r="I785" i="6"/>
  <c r="J753" i="6"/>
  <c r="I753" i="6"/>
  <c r="J170" i="6"/>
  <c r="I170" i="6"/>
  <c r="J1984" i="6"/>
  <c r="I1984" i="6"/>
  <c r="J1936" i="6"/>
  <c r="I1936" i="6"/>
  <c r="J1920" i="6"/>
  <c r="I1920" i="6"/>
  <c r="J1904" i="6"/>
  <c r="I1904" i="6"/>
  <c r="J1888" i="6"/>
  <c r="I1888" i="6"/>
  <c r="J1856" i="6"/>
  <c r="I1856" i="6"/>
  <c r="J1824" i="6"/>
  <c r="I1824" i="6"/>
  <c r="J1808" i="6"/>
  <c r="I1808" i="6"/>
  <c r="J1792" i="6"/>
  <c r="I1792" i="6"/>
  <c r="J1760" i="6"/>
  <c r="I1760" i="6"/>
  <c r="J169" i="6"/>
  <c r="I169" i="6"/>
  <c r="J184" i="6"/>
  <c r="I184" i="6"/>
  <c r="J168" i="6"/>
  <c r="I168" i="6"/>
  <c r="J152" i="6"/>
  <c r="I152" i="6"/>
  <c r="J2030" i="6"/>
  <c r="I2030" i="6"/>
  <c r="J2014" i="6"/>
  <c r="I2014" i="6"/>
  <c r="J1998" i="6"/>
  <c r="I1998" i="6"/>
  <c r="J1982" i="6"/>
  <c r="I1982" i="6"/>
  <c r="J1966" i="6"/>
  <c r="I1966" i="6"/>
  <c r="J1950" i="6"/>
  <c r="I1950" i="6"/>
  <c r="J1918" i="6"/>
  <c r="I1918" i="6"/>
  <c r="J1902" i="6"/>
  <c r="I1902" i="6"/>
  <c r="J1886" i="6"/>
  <c r="I1886" i="6"/>
  <c r="J1870" i="6"/>
  <c r="I1870" i="6"/>
  <c r="J1838" i="6"/>
  <c r="I1838" i="6"/>
  <c r="J1806" i="6"/>
  <c r="I1806" i="6"/>
  <c r="J1790" i="6"/>
  <c r="I1790" i="6"/>
  <c r="J1774" i="6"/>
  <c r="I1774" i="6"/>
  <c r="J1758" i="6"/>
  <c r="I1758" i="6"/>
  <c r="J1742" i="6"/>
  <c r="I1742" i="6"/>
  <c r="J1710" i="6"/>
  <c r="I1710" i="6"/>
  <c r="J1694" i="6"/>
  <c r="I1694" i="6"/>
  <c r="J1678" i="6"/>
  <c r="I1678" i="6"/>
  <c r="J1630" i="6"/>
  <c r="I1630" i="6"/>
  <c r="J1614" i="6"/>
  <c r="I1614" i="6"/>
  <c r="J1598" i="6"/>
  <c r="I1598" i="6"/>
  <c r="J1582" i="6"/>
  <c r="I1582" i="6"/>
  <c r="J1566" i="6"/>
  <c r="I1566" i="6"/>
  <c r="J1550" i="6"/>
  <c r="I1550" i="6"/>
  <c r="J1534" i="6"/>
  <c r="I1534" i="6"/>
  <c r="J1518" i="6"/>
  <c r="I1518" i="6"/>
  <c r="J1502" i="6"/>
  <c r="I1502" i="6"/>
  <c r="J1486" i="6"/>
  <c r="I1486" i="6"/>
  <c r="J1470" i="6"/>
  <c r="I1470" i="6"/>
  <c r="J1422" i="6"/>
  <c r="I1422" i="6"/>
  <c r="J1374" i="6"/>
  <c r="I1374" i="6"/>
  <c r="J1358" i="6"/>
  <c r="I1358" i="6"/>
  <c r="J1342" i="6"/>
  <c r="I1342" i="6"/>
  <c r="J1118" i="6"/>
  <c r="I1118" i="6"/>
  <c r="J1086" i="6"/>
  <c r="I1086" i="6"/>
  <c r="J1070" i="6"/>
  <c r="I1070" i="6"/>
  <c r="J1006" i="6"/>
  <c r="I1006" i="6"/>
  <c r="J990" i="6"/>
  <c r="I990" i="6"/>
  <c r="J974" i="6"/>
  <c r="I974" i="6"/>
  <c r="J958" i="6"/>
  <c r="I958" i="6"/>
  <c r="J942" i="6"/>
  <c r="I942" i="6"/>
  <c r="J862" i="6"/>
  <c r="I862" i="6"/>
  <c r="J846" i="6"/>
  <c r="I846" i="6"/>
  <c r="J798" i="6"/>
  <c r="I798" i="6"/>
  <c r="J782" i="6"/>
  <c r="I782" i="6"/>
  <c r="J766" i="6"/>
  <c r="I766" i="6"/>
  <c r="J750" i="6"/>
  <c r="I750" i="6"/>
  <c r="J734" i="6"/>
  <c r="I734" i="6"/>
  <c r="J606" i="6"/>
  <c r="I606" i="6"/>
  <c r="J590" i="6"/>
  <c r="I590" i="6"/>
  <c r="J574" i="6"/>
  <c r="I574" i="6"/>
  <c r="J558" i="6"/>
  <c r="I558" i="6"/>
  <c r="J542" i="6"/>
  <c r="I542" i="6"/>
  <c r="J526" i="6"/>
  <c r="I526" i="6"/>
  <c r="J510" i="6"/>
  <c r="I510" i="6"/>
  <c r="J494" i="6"/>
  <c r="I494" i="6"/>
  <c r="J478" i="6"/>
  <c r="I478" i="6"/>
  <c r="J446" i="6"/>
  <c r="I446" i="6"/>
  <c r="J430" i="6"/>
  <c r="I430" i="6"/>
  <c r="J382" i="6"/>
  <c r="I382" i="6"/>
  <c r="J366" i="6"/>
  <c r="I366" i="6"/>
  <c r="J350" i="6"/>
  <c r="I350" i="6"/>
  <c r="J334" i="6"/>
  <c r="I334" i="6"/>
  <c r="J318" i="6"/>
  <c r="I318" i="6"/>
  <c r="J302" i="6"/>
  <c r="I302" i="6"/>
  <c r="J286" i="6"/>
  <c r="I286" i="6"/>
  <c r="J270" i="6"/>
  <c r="I270" i="6"/>
  <c r="J254" i="6"/>
  <c r="I254" i="6"/>
  <c r="J238" i="6"/>
  <c r="I238" i="6"/>
  <c r="I161" i="6"/>
  <c r="I326" i="6"/>
  <c r="I414" i="6"/>
  <c r="I501" i="6"/>
  <c r="I599" i="6"/>
  <c r="I812" i="6"/>
  <c r="I947" i="6"/>
  <c r="I1080" i="6"/>
  <c r="I1383" i="6"/>
  <c r="I1510" i="6"/>
  <c r="I1608" i="6"/>
  <c r="I1697" i="6"/>
  <c r="I1803" i="6"/>
  <c r="I1908" i="6"/>
  <c r="I2018" i="6"/>
  <c r="J182" i="6"/>
  <c r="I182" i="6"/>
  <c r="J2028" i="6"/>
  <c r="I2028" i="6"/>
  <c r="J1980" i="6"/>
  <c r="I1980" i="6"/>
  <c r="J1900" i="6"/>
  <c r="I1900" i="6"/>
  <c r="J1868" i="6"/>
  <c r="I1868" i="6"/>
  <c r="J1836" i="6"/>
  <c r="I1836" i="6"/>
  <c r="J1804" i="6"/>
  <c r="I1804" i="6"/>
  <c r="J1772" i="6"/>
  <c r="I1772" i="6"/>
  <c r="J1580" i="6"/>
  <c r="I1580" i="6"/>
  <c r="J1548" i="6"/>
  <c r="I1548" i="6"/>
  <c r="J1516" i="6"/>
  <c r="I1516" i="6"/>
  <c r="J1452" i="6"/>
  <c r="I1452" i="6"/>
  <c r="J1388" i="6"/>
  <c r="I1388" i="6"/>
  <c r="J181" i="6"/>
  <c r="I181" i="6"/>
  <c r="J2011" i="6"/>
  <c r="I2011" i="6"/>
  <c r="J1995" i="6"/>
  <c r="I1995" i="6"/>
  <c r="J1963" i="6"/>
  <c r="I1963" i="6"/>
  <c r="J1915" i="6"/>
  <c r="I1915" i="6"/>
  <c r="J1883" i="6"/>
  <c r="I1883" i="6"/>
  <c r="J1819" i="6"/>
  <c r="I1819" i="6"/>
  <c r="J1787" i="6"/>
  <c r="I1787" i="6"/>
  <c r="J1739" i="6"/>
  <c r="I1739" i="6"/>
  <c r="J1707" i="6"/>
  <c r="I1707" i="6"/>
  <c r="J1691" i="6"/>
  <c r="I1691" i="6"/>
  <c r="J180" i="6"/>
  <c r="I180" i="6"/>
  <c r="J148" i="6"/>
  <c r="I148" i="6"/>
  <c r="J68" i="6"/>
  <c r="I68" i="6"/>
  <c r="J2026" i="6"/>
  <c r="I2026" i="6"/>
  <c r="J1978" i="6"/>
  <c r="I1978" i="6"/>
  <c r="J1946" i="6"/>
  <c r="I1946" i="6"/>
  <c r="J1882" i="6"/>
  <c r="I1882" i="6"/>
  <c r="J1754" i="6"/>
  <c r="I1754" i="6"/>
  <c r="J1722" i="6"/>
  <c r="I1722" i="6"/>
  <c r="J1658" i="6"/>
  <c r="I1658" i="6"/>
  <c r="J1626" i="6"/>
  <c r="I1626" i="6"/>
  <c r="J1530" i="6"/>
  <c r="I1530" i="6"/>
  <c r="J179" i="6"/>
  <c r="I179" i="6"/>
  <c r="J147" i="6"/>
  <c r="I147" i="6"/>
  <c r="J1945" i="6"/>
  <c r="I1945" i="6"/>
  <c r="J1881" i="6"/>
  <c r="I1881" i="6"/>
  <c r="J1833" i="6"/>
  <c r="I1833" i="6"/>
  <c r="J1753" i="6"/>
  <c r="I1753" i="6"/>
  <c r="J1673" i="6"/>
  <c r="I1673" i="6"/>
  <c r="J1641" i="6"/>
  <c r="I1641" i="6"/>
  <c r="J1513" i="6"/>
  <c r="I1513" i="6"/>
  <c r="J1001" i="6"/>
  <c r="I1001" i="6"/>
  <c r="J953" i="6"/>
  <c r="I953" i="6"/>
  <c r="J937" i="6"/>
  <c r="I937" i="6"/>
  <c r="J873" i="6"/>
  <c r="I873" i="6"/>
  <c r="J825" i="6"/>
  <c r="I825" i="6"/>
  <c r="J777" i="6"/>
  <c r="I777" i="6"/>
  <c r="J521" i="6"/>
  <c r="I521" i="6"/>
  <c r="J441" i="6"/>
  <c r="I441" i="6"/>
  <c r="J393" i="6"/>
  <c r="I393" i="6"/>
  <c r="J361" i="6"/>
  <c r="I361" i="6"/>
  <c r="J297" i="6"/>
  <c r="I297" i="6"/>
  <c r="J233" i="6"/>
  <c r="I233" i="6"/>
  <c r="I745" i="6"/>
  <c r="J1976" i="6"/>
  <c r="I1976" i="6"/>
  <c r="J1944" i="6"/>
  <c r="I1944" i="6"/>
  <c r="J1896" i="6"/>
  <c r="I1896" i="6"/>
  <c r="J1832" i="6"/>
  <c r="I1832" i="6"/>
  <c r="J1672" i="6"/>
  <c r="I1672" i="6"/>
  <c r="J1624" i="6"/>
  <c r="I1624" i="6"/>
  <c r="J1480" i="6"/>
  <c r="I1480" i="6"/>
  <c r="J1064" i="6"/>
  <c r="I1064" i="6"/>
  <c r="J1000" i="6"/>
  <c r="I1000" i="6"/>
  <c r="J1927" i="6"/>
  <c r="I1927" i="6"/>
  <c r="J1879" i="6"/>
  <c r="I1879" i="6"/>
  <c r="J1815" i="6"/>
  <c r="I1815" i="6"/>
  <c r="J1751" i="6"/>
  <c r="I1751" i="6"/>
  <c r="J1687" i="6"/>
  <c r="I1687" i="6"/>
  <c r="J1623" i="6"/>
  <c r="I1623" i="6"/>
  <c r="J1479" i="6"/>
  <c r="I1479" i="6"/>
  <c r="J999" i="6"/>
  <c r="I999" i="6"/>
  <c r="J951" i="6"/>
  <c r="I951" i="6"/>
  <c r="J855" i="6"/>
  <c r="I855" i="6"/>
  <c r="J583" i="6"/>
  <c r="I583" i="6"/>
  <c r="J567" i="6"/>
  <c r="I567" i="6"/>
  <c r="J519" i="6"/>
  <c r="I519" i="6"/>
  <c r="J455" i="6"/>
  <c r="I455" i="6"/>
  <c r="J375" i="6"/>
  <c r="I375" i="6"/>
  <c r="J1958" i="6"/>
  <c r="I1958" i="6"/>
  <c r="J1926" i="6"/>
  <c r="I1926" i="6"/>
  <c r="J1830" i="6"/>
  <c r="I1830" i="6"/>
  <c r="J1782" i="6"/>
  <c r="I1782" i="6"/>
  <c r="J1718" i="6"/>
  <c r="I1718" i="6"/>
  <c r="J1654" i="6"/>
  <c r="I1654" i="6"/>
  <c r="J1542" i="6"/>
  <c r="I1542" i="6"/>
  <c r="J1462" i="6"/>
  <c r="I1462" i="6"/>
  <c r="J1414" i="6"/>
  <c r="I1414" i="6"/>
  <c r="J1382" i="6"/>
  <c r="I1382" i="6"/>
  <c r="J1238" i="6"/>
  <c r="I1238" i="6"/>
  <c r="J982" i="6"/>
  <c r="I982" i="6"/>
  <c r="J934" i="6"/>
  <c r="I934" i="6"/>
  <c r="J838" i="6"/>
  <c r="I838" i="6"/>
  <c r="J790" i="6"/>
  <c r="I790" i="6"/>
  <c r="J598" i="6"/>
  <c r="I598" i="6"/>
  <c r="J566" i="6"/>
  <c r="I566" i="6"/>
  <c r="J502" i="6"/>
  <c r="I502" i="6"/>
  <c r="J454" i="6"/>
  <c r="I454" i="6"/>
  <c r="J406" i="6"/>
  <c r="I406" i="6"/>
  <c r="J175" i="6"/>
  <c r="I175" i="6"/>
  <c r="J63" i="6"/>
  <c r="I63" i="6"/>
  <c r="J1989" i="6"/>
  <c r="I1989" i="6"/>
  <c r="J1973" i="6"/>
  <c r="I1973" i="6"/>
  <c r="J1925" i="6"/>
  <c r="I1925" i="6"/>
  <c r="J1909" i="6"/>
  <c r="I1909" i="6"/>
  <c r="J1877" i="6"/>
  <c r="I1877" i="6"/>
  <c r="J1845" i="6"/>
  <c r="I1845" i="6"/>
  <c r="J1797" i="6"/>
  <c r="I1797" i="6"/>
  <c r="J1717" i="6"/>
  <c r="I1717" i="6"/>
  <c r="J1669" i="6"/>
  <c r="I1669" i="6"/>
  <c r="J1621" i="6"/>
  <c r="I1621" i="6"/>
  <c r="J1589" i="6"/>
  <c r="I1589" i="6"/>
  <c r="J1541" i="6"/>
  <c r="I1541" i="6"/>
  <c r="J1525" i="6"/>
  <c r="I1525" i="6"/>
  <c r="J1477" i="6"/>
  <c r="I1477" i="6"/>
  <c r="J1445" i="6"/>
  <c r="I1445" i="6"/>
  <c r="J1413" i="6"/>
  <c r="I1413" i="6"/>
  <c r="J1381" i="6"/>
  <c r="I1381" i="6"/>
  <c r="J1940" i="6"/>
  <c r="I1940" i="6"/>
  <c r="J1844" i="6"/>
  <c r="I1844" i="6"/>
  <c r="J1828" i="6"/>
  <c r="I1828" i="6"/>
  <c r="J1764" i="6"/>
  <c r="I1764" i="6"/>
  <c r="J1684" i="6"/>
  <c r="I1684" i="6"/>
  <c r="J1652" i="6"/>
  <c r="I1652" i="6"/>
  <c r="J1620" i="6"/>
  <c r="I1620" i="6"/>
  <c r="J1588" i="6"/>
  <c r="I1588" i="6"/>
  <c r="J1508" i="6"/>
  <c r="I1508" i="6"/>
  <c r="J1284" i="6"/>
  <c r="I1284" i="6"/>
  <c r="J1236" i="6"/>
  <c r="I1236" i="6"/>
  <c r="J189" i="6"/>
  <c r="I189" i="6"/>
  <c r="J157" i="6"/>
  <c r="I157" i="6"/>
  <c r="J2003" i="6"/>
  <c r="I2003" i="6"/>
  <c r="J1955" i="6"/>
  <c r="I1955" i="6"/>
  <c r="J1843" i="6"/>
  <c r="I1843" i="6"/>
  <c r="J1683" i="6"/>
  <c r="I1683" i="6"/>
  <c r="J1603" i="6"/>
  <c r="I1603" i="6"/>
  <c r="J1283" i="6"/>
  <c r="I1283" i="6"/>
  <c r="J1091" i="6"/>
  <c r="I1091" i="6"/>
  <c r="J1059" i="6"/>
  <c r="I1059" i="6"/>
  <c r="J739" i="6"/>
  <c r="I739" i="6"/>
  <c r="J2034" i="6"/>
  <c r="I2034" i="6"/>
  <c r="J1986" i="6"/>
  <c r="I1986" i="6"/>
  <c r="J1970" i="6"/>
  <c r="I1970" i="6"/>
  <c r="J1954" i="6"/>
  <c r="I1954" i="6"/>
  <c r="J1922" i="6"/>
  <c r="I1922" i="6"/>
  <c r="J1826" i="6"/>
  <c r="I1826" i="6"/>
  <c r="J1794" i="6"/>
  <c r="I1794" i="6"/>
  <c r="J1682" i="6"/>
  <c r="I1682" i="6"/>
  <c r="J1634" i="6"/>
  <c r="I1634" i="6"/>
  <c r="J1554" i="6"/>
  <c r="I1554" i="6"/>
  <c r="J1522" i="6"/>
  <c r="I1522" i="6"/>
  <c r="J1474" i="6"/>
  <c r="I1474" i="6"/>
  <c r="J1282" i="6"/>
  <c r="I1282" i="6"/>
  <c r="J1234" i="6"/>
  <c r="I1234" i="6"/>
  <c r="J1090" i="6"/>
  <c r="I1090" i="6"/>
  <c r="J2033" i="6"/>
  <c r="I2033" i="6"/>
  <c r="J2001" i="6"/>
  <c r="I2001" i="6"/>
  <c r="J1985" i="6"/>
  <c r="I1985" i="6"/>
  <c r="J1937" i="6"/>
  <c r="I1937" i="6"/>
  <c r="J1905" i="6"/>
  <c r="I1905" i="6"/>
  <c r="J1841" i="6"/>
  <c r="I1841" i="6"/>
  <c r="J1633" i="6"/>
  <c r="I1633" i="6"/>
  <c r="J199" i="6"/>
  <c r="I199" i="6"/>
  <c r="J183" i="6"/>
  <c r="I183" i="6"/>
  <c r="J167" i="6"/>
  <c r="I167" i="6"/>
  <c r="J151" i="6"/>
  <c r="I151" i="6"/>
  <c r="J2029" i="6"/>
  <c r="I2029" i="6"/>
  <c r="J2013" i="6"/>
  <c r="I2013" i="6"/>
  <c r="J1997" i="6"/>
  <c r="I1997" i="6"/>
  <c r="J1981" i="6"/>
  <c r="I1981" i="6"/>
  <c r="J1965" i="6"/>
  <c r="I1965" i="6"/>
  <c r="J1949" i="6"/>
  <c r="I1949" i="6"/>
  <c r="J1933" i="6"/>
  <c r="I1933" i="6"/>
  <c r="J1917" i="6"/>
  <c r="I1917" i="6"/>
  <c r="J1901" i="6"/>
  <c r="I1901" i="6"/>
  <c r="J1885" i="6"/>
  <c r="I1885" i="6"/>
  <c r="J1869" i="6"/>
  <c r="I1869" i="6"/>
  <c r="J1853" i="6"/>
  <c r="I1853" i="6"/>
  <c r="J1837" i="6"/>
  <c r="I1837" i="6"/>
  <c r="J1821" i="6"/>
  <c r="I1821" i="6"/>
  <c r="J1805" i="6"/>
  <c r="I1805" i="6"/>
  <c r="J1789" i="6"/>
  <c r="I1789" i="6"/>
  <c r="J1773" i="6"/>
  <c r="I1773" i="6"/>
  <c r="J1757" i="6"/>
  <c r="I1757" i="6"/>
  <c r="J1741" i="6"/>
  <c r="I1741" i="6"/>
  <c r="J1709" i="6"/>
  <c r="I1709" i="6"/>
  <c r="J1677" i="6"/>
  <c r="I1677" i="6"/>
  <c r="J1661" i="6"/>
  <c r="I1661" i="6"/>
  <c r="J1613" i="6"/>
  <c r="I1613" i="6"/>
  <c r="J1597" i="6"/>
  <c r="I1597" i="6"/>
  <c r="J1581" i="6"/>
  <c r="I1581" i="6"/>
  <c r="J1565" i="6"/>
  <c r="I1565" i="6"/>
  <c r="J1549" i="6"/>
  <c r="I1549" i="6"/>
  <c r="J1533" i="6"/>
  <c r="I1533" i="6"/>
  <c r="J1517" i="6"/>
  <c r="I1517" i="6"/>
  <c r="J1501" i="6"/>
  <c r="I1501" i="6"/>
  <c r="J1485" i="6"/>
  <c r="I1485" i="6"/>
  <c r="J1469" i="6"/>
  <c r="I1469" i="6"/>
  <c r="J1453" i="6"/>
  <c r="I1453" i="6"/>
  <c r="J1421" i="6"/>
  <c r="I1421" i="6"/>
  <c r="J1373" i="6"/>
  <c r="I1373" i="6"/>
  <c r="J1357" i="6"/>
  <c r="I1357" i="6"/>
  <c r="J1341" i="6"/>
  <c r="I1341" i="6"/>
  <c r="J1245" i="6"/>
  <c r="I1245" i="6"/>
  <c r="J1117" i="6"/>
  <c r="I1117" i="6"/>
  <c r="J1085" i="6"/>
  <c r="I1085" i="6"/>
  <c r="J1069" i="6"/>
  <c r="I1069" i="6"/>
  <c r="J1021" i="6"/>
  <c r="I1021" i="6"/>
  <c r="J1005" i="6"/>
  <c r="I1005" i="6"/>
  <c r="J989" i="6"/>
  <c r="I989" i="6"/>
  <c r="J973" i="6"/>
  <c r="I973" i="6"/>
  <c r="J957" i="6"/>
  <c r="I957" i="6"/>
  <c r="J941" i="6"/>
  <c r="I941" i="6"/>
  <c r="J877" i="6"/>
  <c r="I877" i="6"/>
  <c r="J861" i="6"/>
  <c r="I861" i="6"/>
  <c r="J845" i="6"/>
  <c r="I845" i="6"/>
  <c r="J829" i="6"/>
  <c r="I829" i="6"/>
  <c r="J813" i="6"/>
  <c r="I813" i="6"/>
  <c r="J797" i="6"/>
  <c r="I797" i="6"/>
  <c r="J781" i="6"/>
  <c r="I781" i="6"/>
  <c r="J765" i="6"/>
  <c r="I765" i="6"/>
  <c r="J749" i="6"/>
  <c r="I749" i="6"/>
  <c r="J589" i="6"/>
  <c r="I589" i="6"/>
  <c r="J573" i="6"/>
  <c r="I573" i="6"/>
  <c r="J557" i="6"/>
  <c r="I557" i="6"/>
  <c r="J541" i="6"/>
  <c r="I541" i="6"/>
  <c r="J525" i="6"/>
  <c r="I525" i="6"/>
  <c r="J509" i="6"/>
  <c r="I509" i="6"/>
  <c r="J493" i="6"/>
  <c r="I493" i="6"/>
  <c r="J477" i="6"/>
  <c r="I477" i="6"/>
  <c r="J461" i="6"/>
  <c r="I461" i="6"/>
  <c r="J429" i="6"/>
  <c r="I429" i="6"/>
  <c r="J413" i="6"/>
  <c r="I413" i="6"/>
  <c r="J365" i="6"/>
  <c r="I365" i="6"/>
  <c r="J349" i="6"/>
  <c r="I349" i="6"/>
  <c r="J333" i="6"/>
  <c r="I333" i="6"/>
  <c r="I162" i="6"/>
  <c r="I329" i="6"/>
  <c r="I415" i="6"/>
  <c r="I514" i="6"/>
  <c r="I604" i="6"/>
  <c r="I814" i="6"/>
  <c r="I960" i="6"/>
  <c r="I1083" i="6"/>
  <c r="I1384" i="6"/>
  <c r="I1523" i="6"/>
  <c r="I1611" i="6"/>
  <c r="I1698" i="6"/>
  <c r="I1817" i="6"/>
  <c r="I1912" i="6"/>
  <c r="I2020" i="6"/>
  <c r="I207" i="6"/>
  <c r="I225" i="6"/>
  <c r="I212" i="6"/>
  <c r="I229" i="6"/>
  <c r="I263" i="6"/>
  <c r="J336" i="6"/>
  <c r="I336" i="6"/>
  <c r="J320" i="6"/>
  <c r="I320" i="6"/>
  <c r="J304" i="6"/>
  <c r="I304" i="6"/>
  <c r="J272" i="6"/>
  <c r="I272" i="6"/>
  <c r="J256" i="6"/>
  <c r="I256" i="6"/>
  <c r="J240" i="6"/>
  <c r="I240" i="6"/>
  <c r="J224" i="6"/>
  <c r="I224" i="6"/>
  <c r="J208" i="6"/>
  <c r="I208" i="6"/>
  <c r="I213" i="6"/>
  <c r="I247" i="6"/>
  <c r="I231" i="6"/>
  <c r="I248" i="6"/>
  <c r="I316" i="6"/>
  <c r="I232" i="6"/>
  <c r="I300" i="6"/>
  <c r="I317" i="6"/>
  <c r="I216" i="6"/>
  <c r="I284" i="6"/>
  <c r="I301" i="6"/>
  <c r="I200" i="6"/>
  <c r="I217" i="6"/>
  <c r="I268" i="6"/>
  <c r="I285" i="6"/>
  <c r="I201" i="6"/>
  <c r="I218" i="6"/>
  <c r="I235" i="6"/>
  <c r="I252" i="6"/>
  <c r="I269" i="6"/>
  <c r="I202" i="6"/>
  <c r="I219" i="6"/>
  <c r="I236" i="6"/>
  <c r="I253" i="6"/>
  <c r="I203" i="6"/>
  <c r="I220" i="6"/>
  <c r="I237" i="6"/>
  <c r="I289" i="6"/>
  <c r="I221" i="6"/>
  <c r="I273" i="6"/>
  <c r="I205" i="6"/>
  <c r="I222" i="6"/>
  <c r="I239" i="6"/>
  <c r="I257" i="6"/>
  <c r="B5" i="7"/>
  <c r="D5" i="7" s="1"/>
  <c r="B8" i="7" l="1"/>
  <c r="D8" i="7" s="1"/>
  <c r="B9" i="7"/>
  <c r="D9" i="7" s="1"/>
  <c r="D12" i="7" l="1"/>
  <c r="N21" i="6"/>
  <c r="N23" i="6"/>
  <c r="N24" i="6"/>
  <c r="P341" i="6"/>
  <c r="N436" i="6"/>
  <c r="P471" i="6"/>
  <c r="P522" i="6"/>
  <c r="Q628" i="6"/>
  <c r="N629" i="6"/>
  <c r="P696" i="6"/>
  <c r="O726" i="6"/>
  <c r="N727" i="6"/>
  <c r="N775" i="6"/>
  <c r="P825" i="6"/>
  <c r="O851" i="6"/>
  <c r="O869" i="6"/>
  <c r="P888" i="6"/>
  <c r="O947" i="6"/>
  <c r="Q997" i="6"/>
  <c r="N1019" i="6"/>
  <c r="O1047" i="6"/>
  <c r="Q1051" i="6"/>
  <c r="O1066" i="6"/>
  <c r="O1095" i="6"/>
  <c r="N1099" i="6"/>
  <c r="Q1170" i="6"/>
  <c r="N1194" i="6"/>
  <c r="P1204" i="6"/>
  <c r="P1211" i="6"/>
  <c r="N1215" i="6"/>
  <c r="Q1290" i="6"/>
  <c r="P1299" i="6"/>
  <c r="N1303" i="6"/>
  <c r="P1339" i="6"/>
  <c r="N1350" i="6"/>
  <c r="N1352" i="6"/>
  <c r="Q1403" i="6"/>
  <c r="N1434" i="6"/>
  <c r="P1480" i="6"/>
  <c r="O1486" i="6"/>
  <c r="Q1487" i="6"/>
  <c r="Q1493" i="6"/>
  <c r="Q1542" i="6"/>
  <c r="P1543" i="6"/>
  <c r="Q1555" i="6"/>
  <c r="P1560" i="6"/>
  <c r="N1572" i="6"/>
  <c r="N1576" i="6"/>
  <c r="N1604" i="6"/>
  <c r="Q1605" i="6"/>
  <c r="N1606" i="6"/>
  <c r="N1618" i="6"/>
  <c r="P1619" i="6"/>
  <c r="Q1621" i="6"/>
  <c r="O1634" i="6"/>
  <c r="O1642" i="6"/>
  <c r="Q1673" i="6"/>
  <c r="P1676" i="6"/>
  <c r="Q1702" i="6"/>
  <c r="P1703" i="6"/>
  <c r="N1707" i="6"/>
  <c r="N1732" i="6"/>
  <c r="N1747" i="6"/>
  <c r="N1754" i="6"/>
  <c r="N1766" i="6"/>
  <c r="P1797" i="6"/>
  <c r="Q1798" i="6"/>
  <c r="Q1836" i="6"/>
  <c r="O1837" i="6"/>
  <c r="Q1863" i="6"/>
  <c r="P1880" i="6"/>
  <c r="O1885" i="6"/>
  <c r="N1898" i="6"/>
  <c r="Q1925" i="6"/>
  <c r="P1927" i="6"/>
  <c r="P1951" i="6"/>
  <c r="O1967" i="6"/>
  <c r="N1972" i="6"/>
  <c r="O1989" i="6"/>
  <c r="P1898" i="6" l="1"/>
  <c r="O1898" i="6"/>
  <c r="O1481" i="6"/>
  <c r="P1481" i="6"/>
  <c r="P1575" i="6"/>
  <c r="Q1575" i="6"/>
  <c r="O1896" i="6"/>
  <c r="P1896" i="6"/>
  <c r="O1807" i="6"/>
  <c r="P1807" i="6"/>
  <c r="P1382" i="6"/>
  <c r="Q1382" i="6"/>
  <c r="Q1765" i="6"/>
  <c r="P1765" i="6"/>
  <c r="P2014" i="6"/>
  <c r="N1494" i="6"/>
  <c r="O1494" i="6"/>
  <c r="O1541" i="6"/>
  <c r="P1541" i="6"/>
  <c r="Q1091" i="6"/>
  <c r="N1091" i="6"/>
  <c r="P1091" i="6"/>
  <c r="O1091" i="6"/>
  <c r="N1946" i="6"/>
  <c r="O1946" i="6"/>
  <c r="P1946" i="6"/>
  <c r="Q1946" i="6"/>
  <c r="Q1674" i="6"/>
  <c r="P1674" i="6"/>
  <c r="N1674" i="6"/>
  <c r="O1674" i="6"/>
  <c r="N1514" i="6"/>
  <c r="O1514" i="6"/>
  <c r="N1926" i="6"/>
  <c r="Q1926" i="6"/>
  <c r="P901" i="6"/>
  <c r="Q901" i="6"/>
  <c r="Q1988" i="6"/>
  <c r="P1988" i="6"/>
  <c r="O1988" i="6"/>
  <c r="Q1430" i="6"/>
  <c r="O1430" i="6"/>
  <c r="P1430" i="6"/>
  <c r="N1430" i="6"/>
  <c r="O20" i="6"/>
  <c r="Q20" i="6"/>
  <c r="N483" i="6"/>
  <c r="P483" i="6"/>
  <c r="O483" i="6"/>
  <c r="Q483" i="6"/>
  <c r="Q1362" i="6"/>
  <c r="N1362" i="6"/>
  <c r="O1362" i="6"/>
  <c r="P20" i="6"/>
  <c r="N20" i="6"/>
  <c r="P1926" i="6"/>
  <c r="O1705" i="6"/>
  <c r="P1705" i="6"/>
  <c r="P2025" i="6"/>
  <c r="O775" i="6"/>
  <c r="N2001" i="6"/>
  <c r="P2001" i="6"/>
  <c r="Q2001" i="6"/>
  <c r="O2001" i="6"/>
  <c r="N1889" i="6"/>
  <c r="O1889" i="6"/>
  <c r="P1889" i="6"/>
  <c r="Q1889" i="6"/>
  <c r="N1777" i="6"/>
  <c r="O1777" i="6"/>
  <c r="P1777" i="6"/>
  <c r="Q1777" i="6"/>
  <c r="N1649" i="6"/>
  <c r="Q1649" i="6"/>
  <c r="O1649" i="6"/>
  <c r="P1649" i="6"/>
  <c r="N1537" i="6"/>
  <c r="O1537" i="6"/>
  <c r="P1537" i="6"/>
  <c r="Q1537" i="6"/>
  <c r="N1377" i="6"/>
  <c r="Q1377" i="6"/>
  <c r="O1377" i="6"/>
  <c r="P1377" i="6"/>
  <c r="P1297" i="6"/>
  <c r="P1185" i="6"/>
  <c r="O1041" i="6"/>
  <c r="P1041" i="6"/>
  <c r="Q1041" i="6"/>
  <c r="O913" i="6"/>
  <c r="P913" i="6"/>
  <c r="N913" i="6"/>
  <c r="Q817" i="6"/>
  <c r="N817" i="6"/>
  <c r="O817" i="6"/>
  <c r="P817" i="6"/>
  <c r="P705" i="6"/>
  <c r="Q609" i="6"/>
  <c r="N609" i="6"/>
  <c r="P609" i="6"/>
  <c r="O609" i="6"/>
  <c r="Q465" i="6"/>
  <c r="P465" i="6"/>
  <c r="N465" i="6"/>
  <c r="O465" i="6"/>
  <c r="O321" i="6"/>
  <c r="P321" i="6"/>
  <c r="Q321" i="6"/>
  <c r="N321" i="6"/>
  <c r="O209" i="6"/>
  <c r="P209" i="6"/>
  <c r="Q209" i="6"/>
  <c r="N209" i="6"/>
  <c r="O97" i="6"/>
  <c r="P97" i="6"/>
  <c r="N97" i="6"/>
  <c r="Q1904" i="6"/>
  <c r="N1904" i="6"/>
  <c r="O1904" i="6"/>
  <c r="P1904" i="6"/>
  <c r="Q1808" i="6"/>
  <c r="N1808" i="6"/>
  <c r="O1808" i="6"/>
  <c r="P1808" i="6"/>
  <c r="Q1696" i="6"/>
  <c r="N1696" i="6"/>
  <c r="O1696" i="6"/>
  <c r="P1696" i="6"/>
  <c r="Q1600" i="6"/>
  <c r="N1600" i="6"/>
  <c r="O1600" i="6"/>
  <c r="P1600" i="6"/>
  <c r="Q1456" i="6"/>
  <c r="N1456" i="6"/>
  <c r="O1456" i="6"/>
  <c r="P1456" i="6"/>
  <c r="Q1312" i="6"/>
  <c r="P1312" i="6"/>
  <c r="Q1200" i="6"/>
  <c r="N1200" i="6"/>
  <c r="O1200" i="6"/>
  <c r="P1200" i="6"/>
  <c r="N1088" i="6"/>
  <c r="O1088" i="6"/>
  <c r="P1088" i="6"/>
  <c r="Q1088" i="6"/>
  <c r="O928" i="6"/>
  <c r="Q928" i="6"/>
  <c r="N928" i="6"/>
  <c r="P928" i="6"/>
  <c r="Q816" i="6"/>
  <c r="N816" i="6"/>
  <c r="O816" i="6"/>
  <c r="P816" i="6"/>
  <c r="P704" i="6"/>
  <c r="N592" i="6"/>
  <c r="O592" i="6"/>
  <c r="P592" i="6"/>
  <c r="Q592" i="6"/>
  <c r="N480" i="6"/>
  <c r="O480" i="6"/>
  <c r="P480" i="6"/>
  <c r="Q480" i="6"/>
  <c r="P368" i="6"/>
  <c r="Q368" i="6"/>
  <c r="O368" i="6"/>
  <c r="N368" i="6"/>
  <c r="N144" i="6"/>
  <c r="P144" i="6"/>
  <c r="O144" i="6"/>
  <c r="N1953" i="6"/>
  <c r="O1953" i="6"/>
  <c r="P1953" i="6"/>
  <c r="Q1953" i="6"/>
  <c r="N1841" i="6"/>
  <c r="Q1841" i="6"/>
  <c r="O1841" i="6"/>
  <c r="P1841" i="6"/>
  <c r="N1697" i="6"/>
  <c r="Q1697" i="6"/>
  <c r="P1697" i="6"/>
  <c r="O1697" i="6"/>
  <c r="N1569" i="6"/>
  <c r="O1569" i="6"/>
  <c r="P1569" i="6"/>
  <c r="Q1569" i="6"/>
  <c r="N1473" i="6"/>
  <c r="Q1473" i="6"/>
  <c r="O1473" i="6"/>
  <c r="P1473" i="6"/>
  <c r="N1361" i="6"/>
  <c r="O1361" i="6"/>
  <c r="P1361" i="6"/>
  <c r="Q1361" i="6"/>
  <c r="P1249" i="6"/>
  <c r="P1137" i="6"/>
  <c r="Q1137" i="6"/>
  <c r="N1137" i="6"/>
  <c r="N1025" i="6"/>
  <c r="O1025" i="6"/>
  <c r="P1025" i="6"/>
  <c r="Q1025" i="6"/>
  <c r="O929" i="6"/>
  <c r="P929" i="6"/>
  <c r="Q929" i="6"/>
  <c r="N929" i="6"/>
  <c r="Q801" i="6"/>
  <c r="N801" i="6"/>
  <c r="O801" i="6"/>
  <c r="P801" i="6"/>
  <c r="Q657" i="6"/>
  <c r="P657" i="6"/>
  <c r="N657" i="6"/>
  <c r="O657" i="6"/>
  <c r="Q529" i="6"/>
  <c r="P529" i="6"/>
  <c r="O529" i="6"/>
  <c r="N529" i="6"/>
  <c r="P417" i="6"/>
  <c r="Q417" i="6"/>
  <c r="N417" i="6"/>
  <c r="O417" i="6"/>
  <c r="O305" i="6"/>
  <c r="P305" i="6"/>
  <c r="Q305" i="6"/>
  <c r="N305" i="6"/>
  <c r="O193" i="6"/>
  <c r="P193" i="6"/>
  <c r="Q193" i="6"/>
  <c r="N193" i="6"/>
  <c r="O33" i="6"/>
  <c r="P33" i="6"/>
  <c r="N33" i="6"/>
  <c r="Q2032" i="6"/>
  <c r="N2032" i="6"/>
  <c r="O2032" i="6"/>
  <c r="P2032" i="6"/>
  <c r="Q1920" i="6"/>
  <c r="P1920" i="6"/>
  <c r="N1920" i="6"/>
  <c r="O1920" i="6"/>
  <c r="Q1792" i="6"/>
  <c r="O1792" i="6"/>
  <c r="P1792" i="6"/>
  <c r="N1792" i="6"/>
  <c r="Q1680" i="6"/>
  <c r="N1680" i="6"/>
  <c r="O1680" i="6"/>
  <c r="P1680" i="6"/>
  <c r="Q1584" i="6"/>
  <c r="N1584" i="6"/>
  <c r="O1584" i="6"/>
  <c r="P1584" i="6"/>
  <c r="Q1488" i="6"/>
  <c r="N1488" i="6"/>
  <c r="O1488" i="6"/>
  <c r="P1488" i="6"/>
  <c r="Q1376" i="6"/>
  <c r="N1376" i="6"/>
  <c r="O1376" i="6"/>
  <c r="P1376" i="6"/>
  <c r="P1264" i="6"/>
  <c r="P1152" i="6"/>
  <c r="O1040" i="6"/>
  <c r="P1040" i="6"/>
  <c r="Q1040" i="6"/>
  <c r="N1040" i="6"/>
  <c r="N960" i="6"/>
  <c r="O960" i="6"/>
  <c r="P960" i="6"/>
  <c r="Q960" i="6"/>
  <c r="Q864" i="6"/>
  <c r="N864" i="6"/>
  <c r="O864" i="6"/>
  <c r="P864" i="6"/>
  <c r="Q784" i="6"/>
  <c r="N784" i="6"/>
  <c r="O784" i="6"/>
  <c r="P784" i="6"/>
  <c r="N688" i="6"/>
  <c r="O688" i="6"/>
  <c r="P688" i="6"/>
  <c r="Q688" i="6"/>
  <c r="N576" i="6"/>
  <c r="O576" i="6"/>
  <c r="P576" i="6"/>
  <c r="Q576" i="6"/>
  <c r="Q464" i="6"/>
  <c r="O464" i="6"/>
  <c r="P464" i="6"/>
  <c r="N464" i="6"/>
  <c r="N352" i="6"/>
  <c r="O352" i="6"/>
  <c r="P352" i="6"/>
  <c r="Q352" i="6"/>
  <c r="N224" i="6"/>
  <c r="O224" i="6"/>
  <c r="P224" i="6"/>
  <c r="Q224" i="6"/>
  <c r="N1969" i="6"/>
  <c r="Q1969" i="6"/>
  <c r="O1969" i="6"/>
  <c r="P1969" i="6"/>
  <c r="N1873" i="6"/>
  <c r="O1873" i="6"/>
  <c r="P1873" i="6"/>
  <c r="Q1873" i="6"/>
  <c r="P1745" i="6"/>
  <c r="N1633" i="6"/>
  <c r="O1633" i="6"/>
  <c r="P1633" i="6"/>
  <c r="Q1633" i="6"/>
  <c r="N1521" i="6"/>
  <c r="O1521" i="6"/>
  <c r="P1521" i="6"/>
  <c r="Q1521" i="6"/>
  <c r="N1409" i="6"/>
  <c r="O1409" i="6"/>
  <c r="P1409" i="6"/>
  <c r="P1265" i="6"/>
  <c r="O1169" i="6"/>
  <c r="P1169" i="6"/>
  <c r="Q1169" i="6"/>
  <c r="N1169" i="6"/>
  <c r="O1057" i="6"/>
  <c r="P1057" i="6"/>
  <c r="Q1057" i="6"/>
  <c r="N1057" i="6"/>
  <c r="P945" i="6"/>
  <c r="Q945" i="6"/>
  <c r="N945" i="6"/>
  <c r="O945" i="6"/>
  <c r="Q833" i="6"/>
  <c r="N833" i="6"/>
  <c r="O833" i="6"/>
  <c r="P833" i="6"/>
  <c r="P721" i="6"/>
  <c r="O721" i="6"/>
  <c r="N721" i="6"/>
  <c r="Q593" i="6"/>
  <c r="P593" i="6"/>
  <c r="N593" i="6"/>
  <c r="O593" i="6"/>
  <c r="Q497" i="6"/>
  <c r="P497" i="6"/>
  <c r="N497" i="6"/>
  <c r="O497" i="6"/>
  <c r="N369" i="6"/>
  <c r="O369" i="6"/>
  <c r="P369" i="6"/>
  <c r="Q369" i="6"/>
  <c r="O257" i="6"/>
  <c r="P257" i="6"/>
  <c r="Q257" i="6"/>
  <c r="N257" i="6"/>
  <c r="O145" i="6"/>
  <c r="P145" i="6"/>
  <c r="N145" i="6"/>
  <c r="O113" i="6"/>
  <c r="P113" i="6"/>
  <c r="Q113" i="6"/>
  <c r="N113" i="6"/>
  <c r="Q1968" i="6"/>
  <c r="N1968" i="6"/>
  <c r="O1968" i="6"/>
  <c r="P1968" i="6"/>
  <c r="Q1856" i="6"/>
  <c r="N1856" i="6"/>
  <c r="O1856" i="6"/>
  <c r="P1856" i="6"/>
  <c r="Q1760" i="6"/>
  <c r="O1760" i="6"/>
  <c r="P1760" i="6"/>
  <c r="N1760" i="6"/>
  <c r="Q1648" i="6"/>
  <c r="N1648" i="6"/>
  <c r="O1648" i="6"/>
  <c r="P1648" i="6"/>
  <c r="Q1520" i="6"/>
  <c r="N1520" i="6"/>
  <c r="O1520" i="6"/>
  <c r="P1520" i="6"/>
  <c r="Q1424" i="6"/>
  <c r="N1424" i="6"/>
  <c r="O1424" i="6"/>
  <c r="P1424" i="6"/>
  <c r="Q1360" i="6"/>
  <c r="N1360" i="6"/>
  <c r="O1360" i="6"/>
  <c r="P1360" i="6"/>
  <c r="P1248" i="6"/>
  <c r="O1136" i="6"/>
  <c r="Q1136" i="6"/>
  <c r="N1136" i="6"/>
  <c r="P1136" i="6"/>
  <c r="O1024" i="6"/>
  <c r="P1024" i="6"/>
  <c r="N1024" i="6"/>
  <c r="N912" i="6"/>
  <c r="O912" i="6"/>
  <c r="P912" i="6"/>
  <c r="N800" i="6"/>
  <c r="P800" i="6"/>
  <c r="Q800" i="6"/>
  <c r="O800" i="6"/>
  <c r="N672" i="6"/>
  <c r="O672" i="6"/>
  <c r="P672" i="6"/>
  <c r="Q672" i="6"/>
  <c r="P560" i="6"/>
  <c r="N560" i="6"/>
  <c r="O560" i="6"/>
  <c r="Q560" i="6"/>
  <c r="N448" i="6"/>
  <c r="O448" i="6"/>
  <c r="P448" i="6"/>
  <c r="Q448" i="6"/>
  <c r="N320" i="6"/>
  <c r="P320" i="6"/>
  <c r="Q320" i="6"/>
  <c r="O320" i="6"/>
  <c r="N272" i="6"/>
  <c r="O272" i="6"/>
  <c r="P272" i="6"/>
  <c r="Q272" i="6"/>
  <c r="N2033" i="6"/>
  <c r="P2033" i="6"/>
  <c r="Q2033" i="6"/>
  <c r="O2033" i="6"/>
  <c r="N1905" i="6"/>
  <c r="O1905" i="6"/>
  <c r="P1905" i="6"/>
  <c r="Q1905" i="6"/>
  <c r="N1793" i="6"/>
  <c r="O1793" i="6"/>
  <c r="P1793" i="6"/>
  <c r="Q1793" i="6"/>
  <c r="N1681" i="6"/>
  <c r="O1681" i="6"/>
  <c r="P1681" i="6"/>
  <c r="Q1681" i="6"/>
  <c r="N1585" i="6"/>
  <c r="Q1585" i="6"/>
  <c r="O1585" i="6"/>
  <c r="P1585" i="6"/>
  <c r="N1457" i="6"/>
  <c r="O1457" i="6"/>
  <c r="P1457" i="6"/>
  <c r="Q1457" i="6"/>
  <c r="N1329" i="6"/>
  <c r="Q1329" i="6"/>
  <c r="O1329" i="6"/>
  <c r="P1329" i="6"/>
  <c r="O1201" i="6"/>
  <c r="P1201" i="6"/>
  <c r="Q1201" i="6"/>
  <c r="N1201" i="6"/>
  <c r="O1089" i="6"/>
  <c r="P1089" i="6"/>
  <c r="Q1089" i="6"/>
  <c r="N1089" i="6"/>
  <c r="O977" i="6"/>
  <c r="P977" i="6"/>
  <c r="Q977" i="6"/>
  <c r="N977" i="6"/>
  <c r="Q849" i="6"/>
  <c r="N849" i="6"/>
  <c r="O849" i="6"/>
  <c r="P849" i="6"/>
  <c r="Q753" i="6"/>
  <c r="P753" i="6"/>
  <c r="N753" i="6"/>
  <c r="O753" i="6"/>
  <c r="Q641" i="6"/>
  <c r="N641" i="6"/>
  <c r="O641" i="6"/>
  <c r="P641" i="6"/>
  <c r="Q513" i="6"/>
  <c r="N513" i="6"/>
  <c r="O513" i="6"/>
  <c r="P513" i="6"/>
  <c r="O401" i="6"/>
  <c r="P401" i="6"/>
  <c r="Q401" i="6"/>
  <c r="N401" i="6"/>
  <c r="O289" i="6"/>
  <c r="P289" i="6"/>
  <c r="Q289" i="6"/>
  <c r="N289" i="6"/>
  <c r="O177" i="6"/>
  <c r="P177" i="6"/>
  <c r="Q177" i="6"/>
  <c r="N177" i="6"/>
  <c r="O49" i="6"/>
  <c r="P49" i="6"/>
  <c r="N49" i="6"/>
  <c r="Q1984" i="6"/>
  <c r="N1984" i="6"/>
  <c r="O1984" i="6"/>
  <c r="P1984" i="6"/>
  <c r="Q1888" i="6"/>
  <c r="N1888" i="6"/>
  <c r="O1888" i="6"/>
  <c r="P1888" i="6"/>
  <c r="Q1776" i="6"/>
  <c r="N1776" i="6"/>
  <c r="O1776" i="6"/>
  <c r="P1776" i="6"/>
  <c r="Q1664" i="6"/>
  <c r="N1664" i="6"/>
  <c r="O1664" i="6"/>
  <c r="P1664" i="6"/>
  <c r="Q1552" i="6"/>
  <c r="N1552" i="6"/>
  <c r="O1552" i="6"/>
  <c r="P1552" i="6"/>
  <c r="Q1440" i="6"/>
  <c r="O1440" i="6"/>
  <c r="P1440" i="6"/>
  <c r="N1440" i="6"/>
  <c r="Q1344" i="6"/>
  <c r="N1344" i="6"/>
  <c r="O1344" i="6"/>
  <c r="P1344" i="6"/>
  <c r="Q1216" i="6"/>
  <c r="N1216" i="6"/>
  <c r="O1216" i="6"/>
  <c r="P1216" i="6"/>
  <c r="P1120" i="6"/>
  <c r="O1120" i="6"/>
  <c r="N1008" i="6"/>
  <c r="P1008" i="6"/>
  <c r="Q1008" i="6"/>
  <c r="O1008" i="6"/>
  <c r="O896" i="6"/>
  <c r="P896" i="6"/>
  <c r="Q896" i="6"/>
  <c r="N896" i="6"/>
  <c r="N768" i="6"/>
  <c r="O768" i="6"/>
  <c r="P768" i="6"/>
  <c r="Q768" i="6"/>
  <c r="N656" i="6"/>
  <c r="O656" i="6"/>
  <c r="P656" i="6"/>
  <c r="Q656" i="6"/>
  <c r="N528" i="6"/>
  <c r="O528" i="6"/>
  <c r="P528" i="6"/>
  <c r="Q528" i="6"/>
  <c r="N400" i="6"/>
  <c r="O400" i="6"/>
  <c r="P400" i="6"/>
  <c r="Q400" i="6"/>
  <c r="N288" i="6"/>
  <c r="O288" i="6"/>
  <c r="P288" i="6"/>
  <c r="Q288" i="6"/>
  <c r="N240" i="6"/>
  <c r="O240" i="6"/>
  <c r="P240" i="6"/>
  <c r="Q240" i="6"/>
  <c r="N1985" i="6"/>
  <c r="Q1985" i="6"/>
  <c r="O1985" i="6"/>
  <c r="P1985" i="6"/>
  <c r="N1857" i="6"/>
  <c r="P1857" i="6"/>
  <c r="Q1857" i="6"/>
  <c r="O1857" i="6"/>
  <c r="N1761" i="6"/>
  <c r="O1761" i="6"/>
  <c r="P1761" i="6"/>
  <c r="Q1761" i="6"/>
  <c r="N1665" i="6"/>
  <c r="O1665" i="6"/>
  <c r="Q1665" i="6"/>
  <c r="P1665" i="6"/>
  <c r="N1553" i="6"/>
  <c r="O1553" i="6"/>
  <c r="P1553" i="6"/>
  <c r="Q1553" i="6"/>
  <c r="N1441" i="6"/>
  <c r="O1441" i="6"/>
  <c r="P1441" i="6"/>
  <c r="N1313" i="6"/>
  <c r="O1313" i="6"/>
  <c r="P1313" i="6"/>
  <c r="Q1313" i="6"/>
  <c r="O1217" i="6"/>
  <c r="P1217" i="6"/>
  <c r="Q1217" i="6"/>
  <c r="N1217" i="6"/>
  <c r="O1105" i="6"/>
  <c r="P1105" i="6"/>
  <c r="Q1105" i="6"/>
  <c r="N1105" i="6"/>
  <c r="O1009" i="6"/>
  <c r="P1009" i="6"/>
  <c r="N1009" i="6"/>
  <c r="Q1009" i="6"/>
  <c r="Q897" i="6"/>
  <c r="N897" i="6"/>
  <c r="O897" i="6"/>
  <c r="P897" i="6"/>
  <c r="Q785" i="6"/>
  <c r="N785" i="6"/>
  <c r="O785" i="6"/>
  <c r="P785" i="6"/>
  <c r="Q673" i="6"/>
  <c r="O673" i="6"/>
  <c r="P673" i="6"/>
  <c r="N673" i="6"/>
  <c r="Q577" i="6"/>
  <c r="O577" i="6"/>
  <c r="P577" i="6"/>
  <c r="N577" i="6"/>
  <c r="Q481" i="6"/>
  <c r="N481" i="6"/>
  <c r="O481" i="6"/>
  <c r="P481" i="6"/>
  <c r="N385" i="6"/>
  <c r="O385" i="6"/>
  <c r="P385" i="6"/>
  <c r="Q385" i="6"/>
  <c r="O273" i="6"/>
  <c r="P273" i="6"/>
  <c r="Q273" i="6"/>
  <c r="N273" i="6"/>
  <c r="O161" i="6"/>
  <c r="P161" i="6"/>
  <c r="Q161" i="6"/>
  <c r="N161" i="6"/>
  <c r="P81" i="6"/>
  <c r="Q81" i="6"/>
  <c r="N81" i="6"/>
  <c r="P2000" i="6"/>
  <c r="Q1872" i="6"/>
  <c r="N1872" i="6"/>
  <c r="O1872" i="6"/>
  <c r="P1872" i="6"/>
  <c r="P1744" i="6"/>
  <c r="Q1632" i="6"/>
  <c r="P1632" i="6"/>
  <c r="N1632" i="6"/>
  <c r="O1632" i="6"/>
  <c r="Q1536" i="6"/>
  <c r="O1536" i="6"/>
  <c r="P1536" i="6"/>
  <c r="N1536" i="6"/>
  <c r="Q1408" i="6"/>
  <c r="N1408" i="6"/>
  <c r="O1408" i="6"/>
  <c r="P1408" i="6"/>
  <c r="P1296" i="6"/>
  <c r="P1168" i="6"/>
  <c r="Q1168" i="6"/>
  <c r="O1168" i="6"/>
  <c r="N1168" i="6"/>
  <c r="P1056" i="6"/>
  <c r="Q1056" i="6"/>
  <c r="N1056" i="6"/>
  <c r="O1056" i="6"/>
  <c r="Q976" i="6"/>
  <c r="O976" i="6"/>
  <c r="P976" i="6"/>
  <c r="N976" i="6"/>
  <c r="O832" i="6"/>
  <c r="P832" i="6"/>
  <c r="Q832" i="6"/>
  <c r="N832" i="6"/>
  <c r="O720" i="6"/>
  <c r="P720" i="6"/>
  <c r="N720" i="6"/>
  <c r="N608" i="6"/>
  <c r="O608" i="6"/>
  <c r="P608" i="6"/>
  <c r="Q608" i="6"/>
  <c r="N496" i="6"/>
  <c r="O496" i="6"/>
  <c r="P496" i="6"/>
  <c r="Q496" i="6"/>
  <c r="Q384" i="6"/>
  <c r="O384" i="6"/>
  <c r="N384" i="6"/>
  <c r="P384" i="6"/>
  <c r="N192" i="6"/>
  <c r="O192" i="6"/>
  <c r="P192" i="6"/>
  <c r="Q192" i="6"/>
  <c r="N1937" i="6"/>
  <c r="O1937" i="6"/>
  <c r="P1937" i="6"/>
  <c r="Q1937" i="6"/>
  <c r="N1825" i="6"/>
  <c r="O1825" i="6"/>
  <c r="P1825" i="6"/>
  <c r="Q1825" i="6"/>
  <c r="N1713" i="6"/>
  <c r="O1713" i="6"/>
  <c r="P1713" i="6"/>
  <c r="Q1713" i="6"/>
  <c r="N1601" i="6"/>
  <c r="O1601" i="6"/>
  <c r="P1601" i="6"/>
  <c r="Q1601" i="6"/>
  <c r="N1489" i="6"/>
  <c r="Q1489" i="6"/>
  <c r="O1489" i="6"/>
  <c r="P1489" i="6"/>
  <c r="N1393" i="6"/>
  <c r="P1393" i="6"/>
  <c r="O1281" i="6"/>
  <c r="P1281" i="6"/>
  <c r="Q1281" i="6"/>
  <c r="O1153" i="6"/>
  <c r="P1153" i="6"/>
  <c r="Q1153" i="6"/>
  <c r="N1153" i="6"/>
  <c r="O1073" i="6"/>
  <c r="P1073" i="6"/>
  <c r="Q1073" i="6"/>
  <c r="N1073" i="6"/>
  <c r="Q961" i="6"/>
  <c r="N961" i="6"/>
  <c r="O961" i="6"/>
  <c r="P961" i="6"/>
  <c r="O865" i="6"/>
  <c r="P865" i="6"/>
  <c r="Q865" i="6"/>
  <c r="N865" i="6"/>
  <c r="Q737" i="6"/>
  <c r="N737" i="6"/>
  <c r="O737" i="6"/>
  <c r="P737" i="6"/>
  <c r="P625" i="6"/>
  <c r="N625" i="6"/>
  <c r="O625" i="6"/>
  <c r="Q545" i="6"/>
  <c r="O545" i="6"/>
  <c r="P545" i="6"/>
  <c r="N545" i="6"/>
  <c r="N433" i="6"/>
  <c r="O433" i="6"/>
  <c r="P433" i="6"/>
  <c r="Q433" i="6"/>
  <c r="O337" i="6"/>
  <c r="N337" i="6"/>
  <c r="P337" i="6"/>
  <c r="Q337" i="6"/>
  <c r="O241" i="6"/>
  <c r="P241" i="6"/>
  <c r="Q241" i="6"/>
  <c r="N241" i="6"/>
  <c r="O129" i="6"/>
  <c r="P129" i="6"/>
  <c r="Q1936" i="6"/>
  <c r="N1936" i="6"/>
  <c r="O1936" i="6"/>
  <c r="P1936" i="6"/>
  <c r="Q1824" i="6"/>
  <c r="N1824" i="6"/>
  <c r="O1824" i="6"/>
  <c r="P1824" i="6"/>
  <c r="Q1728" i="6"/>
  <c r="N1728" i="6"/>
  <c r="O1728" i="6"/>
  <c r="P1728" i="6"/>
  <c r="Q1616" i="6"/>
  <c r="N1616" i="6"/>
  <c r="O1616" i="6"/>
  <c r="P1616" i="6"/>
  <c r="Q1504" i="6"/>
  <c r="N1504" i="6"/>
  <c r="O1504" i="6"/>
  <c r="P1504" i="6"/>
  <c r="Q1392" i="6"/>
  <c r="N1392" i="6"/>
  <c r="P1392" i="6"/>
  <c r="P1280" i="6"/>
  <c r="P1184" i="6"/>
  <c r="O1072" i="6"/>
  <c r="Q1072" i="6"/>
  <c r="N1072" i="6"/>
  <c r="P1072" i="6"/>
  <c r="O944" i="6"/>
  <c r="P944" i="6"/>
  <c r="Q944" i="6"/>
  <c r="N944" i="6"/>
  <c r="Q848" i="6"/>
  <c r="P848" i="6"/>
  <c r="N848" i="6"/>
  <c r="O848" i="6"/>
  <c r="N752" i="6"/>
  <c r="O752" i="6"/>
  <c r="P752" i="6"/>
  <c r="Q752" i="6"/>
  <c r="N640" i="6"/>
  <c r="O640" i="6"/>
  <c r="P640" i="6"/>
  <c r="Q640" i="6"/>
  <c r="N544" i="6"/>
  <c r="O544" i="6"/>
  <c r="P544" i="6"/>
  <c r="Q544" i="6"/>
  <c r="P432" i="6"/>
  <c r="Q432" i="6"/>
  <c r="O432" i="6"/>
  <c r="N432" i="6"/>
  <c r="N336" i="6"/>
  <c r="Q336" i="6"/>
  <c r="O336" i="6"/>
  <c r="P336" i="6"/>
  <c r="N256" i="6"/>
  <c r="O256" i="6"/>
  <c r="P256" i="6"/>
  <c r="Q256" i="6"/>
  <c r="P2017" i="6"/>
  <c r="Q2017" i="6"/>
  <c r="N1921" i="6"/>
  <c r="O1921" i="6"/>
  <c r="P1921" i="6"/>
  <c r="Q1921" i="6"/>
  <c r="N1809" i="6"/>
  <c r="O1809" i="6"/>
  <c r="P1809" i="6"/>
  <c r="Q1809" i="6"/>
  <c r="N1729" i="6"/>
  <c r="Q1729" i="6"/>
  <c r="O1729" i="6"/>
  <c r="P1729" i="6"/>
  <c r="N1617" i="6"/>
  <c r="O1617" i="6"/>
  <c r="P1617" i="6"/>
  <c r="Q1617" i="6"/>
  <c r="N1505" i="6"/>
  <c r="O1505" i="6"/>
  <c r="P1505" i="6"/>
  <c r="Q1505" i="6"/>
  <c r="N1425" i="6"/>
  <c r="O1425" i="6"/>
  <c r="P1425" i="6"/>
  <c r="Q1425" i="6"/>
  <c r="N1345" i="6"/>
  <c r="O1345" i="6"/>
  <c r="P1345" i="6"/>
  <c r="Q1345" i="6"/>
  <c r="P1233" i="6"/>
  <c r="O1121" i="6"/>
  <c r="P1121" i="6"/>
  <c r="Q1121" i="6"/>
  <c r="N1121" i="6"/>
  <c r="O993" i="6"/>
  <c r="P993" i="6"/>
  <c r="Q993" i="6"/>
  <c r="N993" i="6"/>
  <c r="N881" i="6"/>
  <c r="O881" i="6"/>
  <c r="P881" i="6"/>
  <c r="Q881" i="6"/>
  <c r="Q769" i="6"/>
  <c r="P769" i="6"/>
  <c r="N769" i="6"/>
  <c r="O769" i="6"/>
  <c r="P689" i="6"/>
  <c r="N689" i="6"/>
  <c r="O689" i="6"/>
  <c r="Q561" i="6"/>
  <c r="P561" i="6"/>
  <c r="N561" i="6"/>
  <c r="O561" i="6"/>
  <c r="Q449" i="6"/>
  <c r="P449" i="6"/>
  <c r="O449" i="6"/>
  <c r="N449" i="6"/>
  <c r="O353" i="6"/>
  <c r="N353" i="6"/>
  <c r="Q353" i="6"/>
  <c r="P353" i="6"/>
  <c r="O225" i="6"/>
  <c r="P225" i="6"/>
  <c r="Q225" i="6"/>
  <c r="N225" i="6"/>
  <c r="O65" i="6"/>
  <c r="P65" i="6"/>
  <c r="Q65" i="6"/>
  <c r="N65" i="6"/>
  <c r="Q2016" i="6"/>
  <c r="P2016" i="6"/>
  <c r="Q1952" i="6"/>
  <c r="O1952" i="6"/>
  <c r="P1952" i="6"/>
  <c r="N1952" i="6"/>
  <c r="Q1840" i="6"/>
  <c r="N1840" i="6"/>
  <c r="O1840" i="6"/>
  <c r="P1840" i="6"/>
  <c r="Q1712" i="6"/>
  <c r="N1712" i="6"/>
  <c r="O1712" i="6"/>
  <c r="P1712" i="6"/>
  <c r="Q1568" i="6"/>
  <c r="N1568" i="6"/>
  <c r="O1568" i="6"/>
  <c r="P1568" i="6"/>
  <c r="Q1472" i="6"/>
  <c r="N1472" i="6"/>
  <c r="O1472" i="6"/>
  <c r="P1472" i="6"/>
  <c r="Q1328" i="6"/>
  <c r="N1328" i="6"/>
  <c r="O1328" i="6"/>
  <c r="P1328" i="6"/>
  <c r="P1232" i="6"/>
  <c r="P1104" i="6"/>
  <c r="Q1104" i="6"/>
  <c r="O1104" i="6"/>
  <c r="N1104" i="6"/>
  <c r="N992" i="6"/>
  <c r="O992" i="6"/>
  <c r="P992" i="6"/>
  <c r="Q992" i="6"/>
  <c r="O880" i="6"/>
  <c r="P880" i="6"/>
  <c r="Q880" i="6"/>
  <c r="N880" i="6"/>
  <c r="Q736" i="6"/>
  <c r="N736" i="6"/>
  <c r="O736" i="6"/>
  <c r="P736" i="6"/>
  <c r="P624" i="6"/>
  <c r="Q624" i="6"/>
  <c r="N624" i="6"/>
  <c r="O624" i="6"/>
  <c r="N512" i="6"/>
  <c r="Q512" i="6"/>
  <c r="P512" i="6"/>
  <c r="O512" i="6"/>
  <c r="N416" i="6"/>
  <c r="O416" i="6"/>
  <c r="P416" i="6"/>
  <c r="Q416" i="6"/>
  <c r="N304" i="6"/>
  <c r="O304" i="6"/>
  <c r="P304" i="6"/>
  <c r="Q304" i="6"/>
  <c r="N208" i="6"/>
  <c r="Q208" i="6"/>
  <c r="O208" i="6"/>
  <c r="P208" i="6"/>
  <c r="Q1964" i="6"/>
  <c r="N1964" i="6"/>
  <c r="O1964" i="6"/>
  <c r="P1964" i="6"/>
  <c r="Q1708" i="6"/>
  <c r="P1708" i="6"/>
  <c r="N1708" i="6"/>
  <c r="O1708" i="6"/>
  <c r="Q1596" i="6"/>
  <c r="N1596" i="6"/>
  <c r="O1596" i="6"/>
  <c r="P1596" i="6"/>
  <c r="Q1500" i="6"/>
  <c r="N1500" i="6"/>
  <c r="O1500" i="6"/>
  <c r="P1500" i="6"/>
  <c r="Q1404" i="6"/>
  <c r="N1404" i="6"/>
  <c r="O1404" i="6"/>
  <c r="P1404" i="6"/>
  <c r="P1244" i="6"/>
  <c r="P1180" i="6"/>
  <c r="N1068" i="6"/>
  <c r="O1068" i="6"/>
  <c r="P1068" i="6"/>
  <c r="Q1068" i="6"/>
  <c r="N972" i="6"/>
  <c r="O972" i="6"/>
  <c r="Q972" i="6"/>
  <c r="P972" i="6"/>
  <c r="O844" i="6"/>
  <c r="P844" i="6"/>
  <c r="Q844" i="6"/>
  <c r="N844" i="6"/>
  <c r="N732" i="6"/>
  <c r="O732" i="6"/>
  <c r="P732" i="6"/>
  <c r="Q732" i="6"/>
  <c r="N636" i="6"/>
  <c r="O636" i="6"/>
  <c r="P636" i="6"/>
  <c r="N556" i="6"/>
  <c r="O556" i="6"/>
  <c r="P556" i="6"/>
  <c r="Q556" i="6"/>
  <c r="N444" i="6"/>
  <c r="O444" i="6"/>
  <c r="P444" i="6"/>
  <c r="Q444" i="6"/>
  <c r="P348" i="6"/>
  <c r="N348" i="6"/>
  <c r="O348" i="6"/>
  <c r="Q348" i="6"/>
  <c r="N236" i="6"/>
  <c r="O236" i="6"/>
  <c r="P236" i="6"/>
  <c r="Q236" i="6"/>
  <c r="Q108" i="6"/>
  <c r="N108" i="6"/>
  <c r="O108" i="6"/>
  <c r="P108" i="6"/>
  <c r="N48" i="6"/>
  <c r="O48" i="6"/>
  <c r="P48" i="6"/>
  <c r="Q48" i="6"/>
  <c r="Q1983" i="6"/>
  <c r="N1983" i="6"/>
  <c r="O1983" i="6"/>
  <c r="P1983" i="6"/>
  <c r="N1919" i="6"/>
  <c r="O1919" i="6"/>
  <c r="P1919" i="6"/>
  <c r="Q1919" i="6"/>
  <c r="Q1823" i="6"/>
  <c r="O1823" i="6"/>
  <c r="P1823" i="6"/>
  <c r="N1823" i="6"/>
  <c r="Q1711" i="6"/>
  <c r="N1711" i="6"/>
  <c r="O1711" i="6"/>
  <c r="P1711" i="6"/>
  <c r="N1615" i="6"/>
  <c r="O1615" i="6"/>
  <c r="P1615" i="6"/>
  <c r="Q1615" i="6"/>
  <c r="Q1535" i="6"/>
  <c r="N1535" i="6"/>
  <c r="O1535" i="6"/>
  <c r="P1535" i="6"/>
  <c r="O1471" i="6"/>
  <c r="P1471" i="6"/>
  <c r="Q1471" i="6"/>
  <c r="N1471" i="6"/>
  <c r="N1359" i="6"/>
  <c r="O1359" i="6"/>
  <c r="P1359" i="6"/>
  <c r="Q1359" i="6"/>
  <c r="P1279" i="6"/>
  <c r="Q1279" i="6"/>
  <c r="O1199" i="6"/>
  <c r="P1199" i="6"/>
  <c r="P1119" i="6"/>
  <c r="N1039" i="6"/>
  <c r="O1039" i="6"/>
  <c r="P1039" i="6"/>
  <c r="N959" i="6"/>
  <c r="O959" i="6"/>
  <c r="P959" i="6"/>
  <c r="Q959" i="6"/>
  <c r="P847" i="6"/>
  <c r="N847" i="6"/>
  <c r="O847" i="6"/>
  <c r="Q847" i="6"/>
  <c r="P751" i="6"/>
  <c r="Q751" i="6"/>
  <c r="O751" i="6"/>
  <c r="N751" i="6"/>
  <c r="N655" i="6"/>
  <c r="O655" i="6"/>
  <c r="P655" i="6"/>
  <c r="Q655" i="6"/>
  <c r="P575" i="6"/>
  <c r="Q575" i="6"/>
  <c r="N575" i="6"/>
  <c r="O575" i="6"/>
  <c r="P511" i="6"/>
  <c r="Q511" i="6"/>
  <c r="N511" i="6"/>
  <c r="O511" i="6"/>
  <c r="O431" i="6"/>
  <c r="P431" i="6"/>
  <c r="N431" i="6"/>
  <c r="Q431" i="6"/>
  <c r="N351" i="6"/>
  <c r="O351" i="6"/>
  <c r="P351" i="6"/>
  <c r="Q351" i="6"/>
  <c r="N271" i="6"/>
  <c r="P271" i="6"/>
  <c r="Q271" i="6"/>
  <c r="O271" i="6"/>
  <c r="N191" i="6"/>
  <c r="P191" i="6"/>
  <c r="Q191" i="6"/>
  <c r="O191" i="6"/>
  <c r="N111" i="6"/>
  <c r="P111" i="6"/>
  <c r="O111" i="6"/>
  <c r="Q2012" i="6"/>
  <c r="P2012" i="6"/>
  <c r="Q1916" i="6"/>
  <c r="N1916" i="6"/>
  <c r="O1916" i="6"/>
  <c r="P1916" i="6"/>
  <c r="Q1852" i="6"/>
  <c r="N1852" i="6"/>
  <c r="O1852" i="6"/>
  <c r="P1852" i="6"/>
  <c r="Q1740" i="6"/>
  <c r="O1740" i="6"/>
  <c r="P1740" i="6"/>
  <c r="N1740" i="6"/>
  <c r="Q1644" i="6"/>
  <c r="N1644" i="6"/>
  <c r="O1644" i="6"/>
  <c r="P1644" i="6"/>
  <c r="Q1548" i="6"/>
  <c r="N1548" i="6"/>
  <c r="O1548" i="6"/>
  <c r="P1548" i="6"/>
  <c r="Q1468" i="6"/>
  <c r="O1468" i="6"/>
  <c r="P1468" i="6"/>
  <c r="N1468" i="6"/>
  <c r="Q1372" i="6"/>
  <c r="N1372" i="6"/>
  <c r="O1372" i="6"/>
  <c r="P1372" i="6"/>
  <c r="P1228" i="6"/>
  <c r="N1132" i="6"/>
  <c r="P1132" i="6"/>
  <c r="Q1132" i="6"/>
  <c r="P1052" i="6"/>
  <c r="O1052" i="6"/>
  <c r="N1052" i="6"/>
  <c r="N956" i="6"/>
  <c r="O956" i="6"/>
  <c r="P956" i="6"/>
  <c r="Q956" i="6"/>
  <c r="N876" i="6"/>
  <c r="O876" i="6"/>
  <c r="P876" i="6"/>
  <c r="Q876" i="6"/>
  <c r="O780" i="6"/>
  <c r="P780" i="6"/>
  <c r="Q780" i="6"/>
  <c r="N780" i="6"/>
  <c r="N700" i="6"/>
  <c r="O700" i="6"/>
  <c r="P700" i="6"/>
  <c r="N604" i="6"/>
  <c r="O604" i="6"/>
  <c r="P604" i="6"/>
  <c r="Q604" i="6"/>
  <c r="N508" i="6"/>
  <c r="O508" i="6"/>
  <c r="P508" i="6"/>
  <c r="Q508" i="6"/>
  <c r="Q412" i="6"/>
  <c r="O412" i="6"/>
  <c r="P412" i="6"/>
  <c r="N412" i="6"/>
  <c r="O300" i="6"/>
  <c r="P300" i="6"/>
  <c r="Q300" i="6"/>
  <c r="N300" i="6"/>
  <c r="N188" i="6"/>
  <c r="O188" i="6"/>
  <c r="P188" i="6"/>
  <c r="Q188" i="6"/>
  <c r="N60" i="6"/>
  <c r="O60" i="6"/>
  <c r="P60" i="6"/>
  <c r="Q60" i="6"/>
  <c r="N176" i="6"/>
  <c r="O176" i="6"/>
  <c r="P176" i="6"/>
  <c r="Q176" i="6"/>
  <c r="Q96" i="6"/>
  <c r="P96" i="6"/>
  <c r="P2015" i="6"/>
  <c r="O1935" i="6"/>
  <c r="P1935" i="6"/>
  <c r="Q1935" i="6"/>
  <c r="N1935" i="6"/>
  <c r="O1855" i="6"/>
  <c r="P1855" i="6"/>
  <c r="Q1855" i="6"/>
  <c r="N1855" i="6"/>
  <c r="Q1807" i="6"/>
  <c r="N1807" i="6"/>
  <c r="N1727" i="6"/>
  <c r="O1727" i="6"/>
  <c r="P1727" i="6"/>
  <c r="Q1727" i="6"/>
  <c r="N1647" i="6"/>
  <c r="Q1647" i="6"/>
  <c r="O1647" i="6"/>
  <c r="P1647" i="6"/>
  <c r="Q1551" i="6"/>
  <c r="O1551" i="6"/>
  <c r="P1551" i="6"/>
  <c r="N1551" i="6"/>
  <c r="N1455" i="6"/>
  <c r="O1455" i="6"/>
  <c r="P1455" i="6"/>
  <c r="Q1455" i="6"/>
  <c r="N1375" i="6"/>
  <c r="O1375" i="6"/>
  <c r="P1375" i="6"/>
  <c r="Q1375" i="6"/>
  <c r="P1295" i="6"/>
  <c r="P1231" i="6"/>
  <c r="P1135" i="6"/>
  <c r="Q1135" i="6"/>
  <c r="O1135" i="6"/>
  <c r="N1135" i="6"/>
  <c r="O1071" i="6"/>
  <c r="P1071" i="6"/>
  <c r="N1071" i="6"/>
  <c r="Q1071" i="6"/>
  <c r="N975" i="6"/>
  <c r="P975" i="6"/>
  <c r="Q975" i="6"/>
  <c r="O975" i="6"/>
  <c r="N895" i="6"/>
  <c r="O895" i="6"/>
  <c r="P895" i="6"/>
  <c r="Q895" i="6"/>
  <c r="O815" i="6"/>
  <c r="P815" i="6"/>
  <c r="Q815" i="6"/>
  <c r="N815" i="6"/>
  <c r="Q719" i="6"/>
  <c r="N719" i="6"/>
  <c r="O719" i="6"/>
  <c r="P719" i="6"/>
  <c r="P639" i="6"/>
  <c r="O639" i="6"/>
  <c r="Q639" i="6"/>
  <c r="N639" i="6"/>
  <c r="N559" i="6"/>
  <c r="O559" i="6"/>
  <c r="P559" i="6"/>
  <c r="Q559" i="6"/>
  <c r="P479" i="6"/>
  <c r="Q479" i="6"/>
  <c r="N479" i="6"/>
  <c r="O479" i="6"/>
  <c r="O383" i="6"/>
  <c r="P383" i="6"/>
  <c r="N383" i="6"/>
  <c r="Q383" i="6"/>
  <c r="N303" i="6"/>
  <c r="P303" i="6"/>
  <c r="Q303" i="6"/>
  <c r="O303" i="6"/>
  <c r="N223" i="6"/>
  <c r="P223" i="6"/>
  <c r="Q223" i="6"/>
  <c r="O223" i="6"/>
  <c r="N143" i="6"/>
  <c r="P143" i="6"/>
  <c r="Q143" i="6"/>
  <c r="O143" i="6"/>
  <c r="N31" i="6"/>
  <c r="P31" i="6"/>
  <c r="Q31" i="6"/>
  <c r="O31" i="6"/>
  <c r="N1982" i="6"/>
  <c r="O1982" i="6"/>
  <c r="Q1982" i="6"/>
  <c r="P1982" i="6"/>
  <c r="N1918" i="6"/>
  <c r="O1918" i="6"/>
  <c r="P1918" i="6"/>
  <c r="Q1918" i="6"/>
  <c r="N1886" i="6"/>
  <c r="O1886" i="6"/>
  <c r="Q1886" i="6"/>
  <c r="P1886" i="6"/>
  <c r="N1806" i="6"/>
  <c r="O1806" i="6"/>
  <c r="P1806" i="6"/>
  <c r="Q1806" i="6"/>
  <c r="N1726" i="6"/>
  <c r="O1726" i="6"/>
  <c r="Q1726" i="6"/>
  <c r="P1726" i="6"/>
  <c r="O1646" i="6"/>
  <c r="P1646" i="6"/>
  <c r="Q1646" i="6"/>
  <c r="N1646" i="6"/>
  <c r="N1582" i="6"/>
  <c r="O1582" i="6"/>
  <c r="P1582" i="6"/>
  <c r="Q1582" i="6"/>
  <c r="N1502" i="6"/>
  <c r="O1502" i="6"/>
  <c r="P1502" i="6"/>
  <c r="Q1502" i="6"/>
  <c r="N1438" i="6"/>
  <c r="O1438" i="6"/>
  <c r="P1438" i="6"/>
  <c r="Q1438" i="6"/>
  <c r="N1374" i="6"/>
  <c r="O1374" i="6"/>
  <c r="Q1374" i="6"/>
  <c r="P1374" i="6"/>
  <c r="N1326" i="6"/>
  <c r="O1326" i="6"/>
  <c r="P1326" i="6"/>
  <c r="Q1326" i="6"/>
  <c r="P1246" i="6"/>
  <c r="O1198" i="6"/>
  <c r="P1198" i="6"/>
  <c r="O1150" i="6"/>
  <c r="P1150" i="6"/>
  <c r="Q1150" i="6"/>
  <c r="O1102" i="6"/>
  <c r="Q1102" i="6"/>
  <c r="P1102" i="6"/>
  <c r="N1102" i="6"/>
  <c r="N1054" i="6"/>
  <c r="O1054" i="6"/>
  <c r="P1054" i="6"/>
  <c r="Q1054" i="6"/>
  <c r="P1006" i="6"/>
  <c r="N1006" i="6"/>
  <c r="Q1006" i="6"/>
  <c r="O1006" i="6"/>
  <c r="P958" i="6"/>
  <c r="Q958" i="6"/>
  <c r="N958" i="6"/>
  <c r="O958" i="6"/>
  <c r="P894" i="6"/>
  <c r="Q894" i="6"/>
  <c r="N894" i="6"/>
  <c r="O894" i="6"/>
  <c r="N846" i="6"/>
  <c r="Q846" i="6"/>
  <c r="O846" i="6"/>
  <c r="P846" i="6"/>
  <c r="N798" i="6"/>
  <c r="Q798" i="6"/>
  <c r="O798" i="6"/>
  <c r="P798" i="6"/>
  <c r="N718" i="6"/>
  <c r="O718" i="6"/>
  <c r="P718" i="6"/>
  <c r="O686" i="6"/>
  <c r="P686" i="6"/>
  <c r="N638" i="6"/>
  <c r="O638" i="6"/>
  <c r="P638" i="6"/>
  <c r="N590" i="6"/>
  <c r="Q590" i="6"/>
  <c r="O590" i="6"/>
  <c r="P590" i="6"/>
  <c r="N542" i="6"/>
  <c r="O542" i="6"/>
  <c r="P542" i="6"/>
  <c r="Q542" i="6"/>
  <c r="N494" i="6"/>
  <c r="Q494" i="6"/>
  <c r="O494" i="6"/>
  <c r="P494" i="6"/>
  <c r="N446" i="6"/>
  <c r="O446" i="6"/>
  <c r="P446" i="6"/>
  <c r="Q446" i="6"/>
  <c r="P398" i="6"/>
  <c r="N398" i="6"/>
  <c r="Q398" i="6"/>
  <c r="O398" i="6"/>
  <c r="N350" i="6"/>
  <c r="Q350" i="6"/>
  <c r="O350" i="6"/>
  <c r="P350" i="6"/>
  <c r="N302" i="6"/>
  <c r="O302" i="6"/>
  <c r="P302" i="6"/>
  <c r="Q302" i="6"/>
  <c r="N254" i="6"/>
  <c r="O254" i="6"/>
  <c r="P254" i="6"/>
  <c r="Q254" i="6"/>
  <c r="N206" i="6"/>
  <c r="O206" i="6"/>
  <c r="P206" i="6"/>
  <c r="Q206" i="6"/>
  <c r="N158" i="6"/>
  <c r="P158" i="6"/>
  <c r="Q158" i="6"/>
  <c r="O158" i="6"/>
  <c r="O94" i="6"/>
  <c r="P94" i="6"/>
  <c r="N62" i="6"/>
  <c r="O62" i="6"/>
  <c r="P62" i="6"/>
  <c r="Q62" i="6"/>
  <c r="P2013" i="6"/>
  <c r="N1965" i="6"/>
  <c r="O1965" i="6"/>
  <c r="P1965" i="6"/>
  <c r="Q1965" i="6"/>
  <c r="N1901" i="6"/>
  <c r="O1901" i="6"/>
  <c r="P1901" i="6"/>
  <c r="Q1901" i="6"/>
  <c r="N1853" i="6"/>
  <c r="O1853" i="6"/>
  <c r="P1853" i="6"/>
  <c r="Q1853" i="6"/>
  <c r="N1805" i="6"/>
  <c r="O1805" i="6"/>
  <c r="P1805" i="6"/>
  <c r="Q1805" i="6"/>
  <c r="N1757" i="6"/>
  <c r="O1757" i="6"/>
  <c r="P1757" i="6"/>
  <c r="Q1757" i="6"/>
  <c r="N1725" i="6"/>
  <c r="O1725" i="6"/>
  <c r="P1725" i="6"/>
  <c r="N1677" i="6"/>
  <c r="Q1677" i="6"/>
  <c r="O1677" i="6"/>
  <c r="P1677" i="6"/>
  <c r="N1629" i="6"/>
  <c r="O1629" i="6"/>
  <c r="P1629" i="6"/>
  <c r="Q1629" i="6"/>
  <c r="N1581" i="6"/>
  <c r="O1581" i="6"/>
  <c r="P1581" i="6"/>
  <c r="Q1581" i="6"/>
  <c r="N1533" i="6"/>
  <c r="O1533" i="6"/>
  <c r="P1533" i="6"/>
  <c r="Q1533" i="6"/>
  <c r="N1485" i="6"/>
  <c r="O1485" i="6"/>
  <c r="P1485" i="6"/>
  <c r="Q1485" i="6"/>
  <c r="N1437" i="6"/>
  <c r="O1437" i="6"/>
  <c r="P1437" i="6"/>
  <c r="Q1437" i="6"/>
  <c r="N1389" i="6"/>
  <c r="O1389" i="6"/>
  <c r="P1389" i="6"/>
  <c r="N1341" i="6"/>
  <c r="O1341" i="6"/>
  <c r="P1341" i="6"/>
  <c r="Q1341" i="6"/>
  <c r="P1293" i="6"/>
  <c r="P1229" i="6"/>
  <c r="Q1229" i="6"/>
  <c r="N1229" i="6"/>
  <c r="P1181" i="6"/>
  <c r="O1133" i="6"/>
  <c r="P1133" i="6"/>
  <c r="Q1133" i="6"/>
  <c r="O1085" i="6"/>
  <c r="P1085" i="6"/>
  <c r="Q1085" i="6"/>
  <c r="N1085" i="6"/>
  <c r="N1037" i="6"/>
  <c r="O1037" i="6"/>
  <c r="P1037" i="6"/>
  <c r="Q1037" i="6"/>
  <c r="N989" i="6"/>
  <c r="O989" i="6"/>
  <c r="Q989" i="6"/>
  <c r="P989" i="6"/>
  <c r="O941" i="6"/>
  <c r="P941" i="6"/>
  <c r="Q941" i="6"/>
  <c r="N941" i="6"/>
  <c r="N893" i="6"/>
  <c r="O893" i="6"/>
  <c r="P893" i="6"/>
  <c r="Q893" i="6"/>
  <c r="Q845" i="6"/>
  <c r="N845" i="6"/>
  <c r="O845" i="6"/>
  <c r="P845" i="6"/>
  <c r="Q797" i="6"/>
  <c r="N797" i="6"/>
  <c r="O797" i="6"/>
  <c r="P797" i="6"/>
  <c r="Q733" i="6"/>
  <c r="N733" i="6"/>
  <c r="O733" i="6"/>
  <c r="P733" i="6"/>
  <c r="Q669" i="6"/>
  <c r="N669" i="6"/>
  <c r="P669" i="6"/>
  <c r="O669" i="6"/>
  <c r="Q621" i="6"/>
  <c r="N621" i="6"/>
  <c r="O621" i="6"/>
  <c r="P621" i="6"/>
  <c r="Q557" i="6"/>
  <c r="N557" i="6"/>
  <c r="O557" i="6"/>
  <c r="P557" i="6"/>
  <c r="Q509" i="6"/>
  <c r="N509" i="6"/>
  <c r="O509" i="6"/>
  <c r="P509" i="6"/>
  <c r="Q461" i="6"/>
  <c r="N461" i="6"/>
  <c r="O461" i="6"/>
  <c r="P461" i="6"/>
  <c r="N413" i="6"/>
  <c r="O413" i="6"/>
  <c r="P413" i="6"/>
  <c r="Q413" i="6"/>
  <c r="N365" i="6"/>
  <c r="O365" i="6"/>
  <c r="P365" i="6"/>
  <c r="Q365" i="6"/>
  <c r="O317" i="6"/>
  <c r="P317" i="6"/>
  <c r="Q317" i="6"/>
  <c r="N317" i="6"/>
  <c r="O269" i="6"/>
  <c r="P269" i="6"/>
  <c r="Q269" i="6"/>
  <c r="N269" i="6"/>
  <c r="O221" i="6"/>
  <c r="P221" i="6"/>
  <c r="Q221" i="6"/>
  <c r="N221" i="6"/>
  <c r="O189" i="6"/>
  <c r="P189" i="6"/>
  <c r="Q189" i="6"/>
  <c r="N189" i="6"/>
  <c r="O141" i="6"/>
  <c r="P141" i="6"/>
  <c r="N141" i="6"/>
  <c r="O93" i="6"/>
  <c r="P93" i="6"/>
  <c r="Q93" i="6"/>
  <c r="N93" i="6"/>
  <c r="O45" i="6"/>
  <c r="P45" i="6"/>
  <c r="Q45" i="6"/>
  <c r="N45" i="6"/>
  <c r="Q1948" i="6"/>
  <c r="O1948" i="6"/>
  <c r="P1948" i="6"/>
  <c r="N1948" i="6"/>
  <c r="Q1804" i="6"/>
  <c r="N1804" i="6"/>
  <c r="O1804" i="6"/>
  <c r="P1804" i="6"/>
  <c r="Q1692" i="6"/>
  <c r="N1692" i="6"/>
  <c r="O1692" i="6"/>
  <c r="P1692" i="6"/>
  <c r="Q1580" i="6"/>
  <c r="O1580" i="6"/>
  <c r="P1580" i="6"/>
  <c r="N1580" i="6"/>
  <c r="Q1452" i="6"/>
  <c r="P1452" i="6"/>
  <c r="N1452" i="6"/>
  <c r="O1452" i="6"/>
  <c r="Q1324" i="6"/>
  <c r="N1324" i="6"/>
  <c r="O1324" i="6"/>
  <c r="P1324" i="6"/>
  <c r="O1212" i="6"/>
  <c r="P1212" i="6"/>
  <c r="P1116" i="6"/>
  <c r="N1020" i="6"/>
  <c r="O1020" i="6"/>
  <c r="P1020" i="6"/>
  <c r="Q1020" i="6"/>
  <c r="N908" i="6"/>
  <c r="O908" i="6"/>
  <c r="P908" i="6"/>
  <c r="O812" i="6"/>
  <c r="P812" i="6"/>
  <c r="Q812" i="6"/>
  <c r="N812" i="6"/>
  <c r="O748" i="6"/>
  <c r="P748" i="6"/>
  <c r="Q748" i="6"/>
  <c r="N748" i="6"/>
  <c r="Q652" i="6"/>
  <c r="O652" i="6"/>
  <c r="P652" i="6"/>
  <c r="N652" i="6"/>
  <c r="N540" i="6"/>
  <c r="O540" i="6"/>
  <c r="P540" i="6"/>
  <c r="Q540" i="6"/>
  <c r="O460" i="6"/>
  <c r="P460" i="6"/>
  <c r="Q460" i="6"/>
  <c r="N460" i="6"/>
  <c r="Q364" i="6"/>
  <c r="N364" i="6"/>
  <c r="O364" i="6"/>
  <c r="P364" i="6"/>
  <c r="N268" i="6"/>
  <c r="O268" i="6"/>
  <c r="P268" i="6"/>
  <c r="Q268" i="6"/>
  <c r="N156" i="6"/>
  <c r="O156" i="6"/>
  <c r="P156" i="6"/>
  <c r="Q156" i="6"/>
  <c r="N44" i="6"/>
  <c r="O44" i="6"/>
  <c r="P44" i="6"/>
  <c r="Q44" i="6"/>
  <c r="Q1951" i="6"/>
  <c r="N112" i="6"/>
  <c r="O112" i="6"/>
  <c r="P112" i="6"/>
  <c r="N64" i="6"/>
  <c r="Q64" i="6"/>
  <c r="P64" i="6"/>
  <c r="O64" i="6"/>
  <c r="N1999" i="6"/>
  <c r="O1999" i="6"/>
  <c r="P1999" i="6"/>
  <c r="Q1999" i="6"/>
  <c r="N1903" i="6"/>
  <c r="O1903" i="6"/>
  <c r="P1903" i="6"/>
  <c r="Q1903" i="6"/>
  <c r="N1791" i="6"/>
  <c r="O1791" i="6"/>
  <c r="P1791" i="6"/>
  <c r="Q1791" i="6"/>
  <c r="N1679" i="6"/>
  <c r="O1679" i="6"/>
  <c r="P1679" i="6"/>
  <c r="Q1679" i="6"/>
  <c r="O1599" i="6"/>
  <c r="P1599" i="6"/>
  <c r="Q1599" i="6"/>
  <c r="N1599" i="6"/>
  <c r="N1519" i="6"/>
  <c r="O1519" i="6"/>
  <c r="Q1519" i="6"/>
  <c r="P1519" i="6"/>
  <c r="P1439" i="6"/>
  <c r="Q1439" i="6"/>
  <c r="N1439" i="6"/>
  <c r="O1439" i="6"/>
  <c r="O1343" i="6"/>
  <c r="P1343" i="6"/>
  <c r="Q1343" i="6"/>
  <c r="N1343" i="6"/>
  <c r="P1263" i="6"/>
  <c r="P1183" i="6"/>
  <c r="N1103" i="6"/>
  <c r="P1103" i="6"/>
  <c r="Q1103" i="6"/>
  <c r="N1023" i="6"/>
  <c r="O1023" i="6"/>
  <c r="P1023" i="6"/>
  <c r="Q1023" i="6"/>
  <c r="N927" i="6"/>
  <c r="O927" i="6"/>
  <c r="P927" i="6"/>
  <c r="Q927" i="6"/>
  <c r="N799" i="6"/>
  <c r="O799" i="6"/>
  <c r="P799" i="6"/>
  <c r="Q799" i="6"/>
  <c r="P735" i="6"/>
  <c r="N735" i="6"/>
  <c r="Q735" i="6"/>
  <c r="O735" i="6"/>
  <c r="P671" i="6"/>
  <c r="N671" i="6"/>
  <c r="O671" i="6"/>
  <c r="Q671" i="6"/>
  <c r="N591" i="6"/>
  <c r="O591" i="6"/>
  <c r="P591" i="6"/>
  <c r="Q591" i="6"/>
  <c r="N495" i="6"/>
  <c r="O495" i="6"/>
  <c r="P495" i="6"/>
  <c r="Q495" i="6"/>
  <c r="O415" i="6"/>
  <c r="P415" i="6"/>
  <c r="Q415" i="6"/>
  <c r="N415" i="6"/>
  <c r="N335" i="6"/>
  <c r="P335" i="6"/>
  <c r="Q335" i="6"/>
  <c r="O335" i="6"/>
  <c r="N239" i="6"/>
  <c r="P239" i="6"/>
  <c r="Q239" i="6"/>
  <c r="O239" i="6"/>
  <c r="N159" i="6"/>
  <c r="P159" i="6"/>
  <c r="Q159" i="6"/>
  <c r="O159" i="6"/>
  <c r="N63" i="6"/>
  <c r="P63" i="6"/>
  <c r="Q63" i="6"/>
  <c r="O63" i="6"/>
  <c r="P1998" i="6"/>
  <c r="O1902" i="6"/>
  <c r="P1902" i="6"/>
  <c r="Q1902" i="6"/>
  <c r="N1902" i="6"/>
  <c r="N1822" i="6"/>
  <c r="O1822" i="6"/>
  <c r="P1822" i="6"/>
  <c r="Q1822" i="6"/>
  <c r="N1758" i="6"/>
  <c r="O1758" i="6"/>
  <c r="P1758" i="6"/>
  <c r="N1694" i="6"/>
  <c r="O1694" i="6"/>
  <c r="P1694" i="6"/>
  <c r="Q1694" i="6"/>
  <c r="Q1614" i="6"/>
  <c r="O1614" i="6"/>
  <c r="P1614" i="6"/>
  <c r="N1614" i="6"/>
  <c r="N1534" i="6"/>
  <c r="O1534" i="6"/>
  <c r="P1534" i="6"/>
  <c r="Q1534" i="6"/>
  <c r="N1470" i="6"/>
  <c r="O1470" i="6"/>
  <c r="P1470" i="6"/>
  <c r="Q1470" i="6"/>
  <c r="O1390" i="6"/>
  <c r="P1390" i="6"/>
  <c r="Q1390" i="6"/>
  <c r="N1390" i="6"/>
  <c r="N1342" i="6"/>
  <c r="O1342" i="6"/>
  <c r="Q1342" i="6"/>
  <c r="P1342" i="6"/>
  <c r="P1262" i="6"/>
  <c r="N1214" i="6"/>
  <c r="O1214" i="6"/>
  <c r="P1214" i="6"/>
  <c r="Q1214" i="6"/>
  <c r="O1166" i="6"/>
  <c r="Q1166" i="6"/>
  <c r="N1166" i="6"/>
  <c r="P1166" i="6"/>
  <c r="P1118" i="6"/>
  <c r="P1070" i="6"/>
  <c r="Q1070" i="6"/>
  <c r="N1070" i="6"/>
  <c r="O1070" i="6"/>
  <c r="P1022" i="6"/>
  <c r="N1022" i="6"/>
  <c r="O1022" i="6"/>
  <c r="P974" i="6"/>
  <c r="Q974" i="6"/>
  <c r="N974" i="6"/>
  <c r="O974" i="6"/>
  <c r="P910" i="6"/>
  <c r="N910" i="6"/>
  <c r="O910" i="6"/>
  <c r="P862" i="6"/>
  <c r="Q862" i="6"/>
  <c r="O862" i="6"/>
  <c r="N862" i="6"/>
  <c r="N814" i="6"/>
  <c r="O814" i="6"/>
  <c r="P814" i="6"/>
  <c r="Q814" i="6"/>
  <c r="N734" i="6"/>
  <c r="O734" i="6"/>
  <c r="P734" i="6"/>
  <c r="Q734" i="6"/>
  <c r="N670" i="6"/>
  <c r="O670" i="6"/>
  <c r="P670" i="6"/>
  <c r="Q670" i="6"/>
  <c r="N622" i="6"/>
  <c r="O622" i="6"/>
  <c r="P622" i="6"/>
  <c r="Q622" i="6"/>
  <c r="N574" i="6"/>
  <c r="Q574" i="6"/>
  <c r="P574" i="6"/>
  <c r="O574" i="6"/>
  <c r="N510" i="6"/>
  <c r="O510" i="6"/>
  <c r="P510" i="6"/>
  <c r="Q510" i="6"/>
  <c r="N478" i="6"/>
  <c r="O478" i="6"/>
  <c r="P478" i="6"/>
  <c r="Q478" i="6"/>
  <c r="P414" i="6"/>
  <c r="N414" i="6"/>
  <c r="O414" i="6"/>
  <c r="Q414" i="6"/>
  <c r="P366" i="6"/>
  <c r="N366" i="6"/>
  <c r="O366" i="6"/>
  <c r="Q366" i="6"/>
  <c r="N318" i="6"/>
  <c r="O318" i="6"/>
  <c r="P318" i="6"/>
  <c r="Q318" i="6"/>
  <c r="N270" i="6"/>
  <c r="O270" i="6"/>
  <c r="P270" i="6"/>
  <c r="Q270" i="6"/>
  <c r="N222" i="6"/>
  <c r="P222" i="6"/>
  <c r="Q222" i="6"/>
  <c r="O222" i="6"/>
  <c r="N174" i="6"/>
  <c r="O174" i="6"/>
  <c r="P174" i="6"/>
  <c r="Q174" i="6"/>
  <c r="P126" i="6"/>
  <c r="N78" i="6"/>
  <c r="O78" i="6"/>
  <c r="P78" i="6"/>
  <c r="Q78" i="6"/>
  <c r="N30" i="6"/>
  <c r="Q30" i="6"/>
  <c r="P30" i="6"/>
  <c r="P2029" i="6"/>
  <c r="N1981" i="6"/>
  <c r="O1981" i="6"/>
  <c r="P1981" i="6"/>
  <c r="N1933" i="6"/>
  <c r="Q1933" i="6"/>
  <c r="O1933" i="6"/>
  <c r="P1933" i="6"/>
  <c r="N1885" i="6"/>
  <c r="Q1885" i="6"/>
  <c r="P1885" i="6"/>
  <c r="N1837" i="6"/>
  <c r="Q1837" i="6"/>
  <c r="P1837" i="6"/>
  <c r="N1789" i="6"/>
  <c r="O1789" i="6"/>
  <c r="P1789" i="6"/>
  <c r="Q1789" i="6"/>
  <c r="N1741" i="6"/>
  <c r="O1741" i="6"/>
  <c r="P1741" i="6"/>
  <c r="Q1741" i="6"/>
  <c r="N1693" i="6"/>
  <c r="O1693" i="6"/>
  <c r="P1693" i="6"/>
  <c r="Q1693" i="6"/>
  <c r="N1645" i="6"/>
  <c r="O1645" i="6"/>
  <c r="P1645" i="6"/>
  <c r="Q1645" i="6"/>
  <c r="N1613" i="6"/>
  <c r="O1613" i="6"/>
  <c r="P1613" i="6"/>
  <c r="Q1613" i="6"/>
  <c r="N1565" i="6"/>
  <c r="Q1565" i="6"/>
  <c r="O1565" i="6"/>
  <c r="P1565" i="6"/>
  <c r="N1517" i="6"/>
  <c r="Q1517" i="6"/>
  <c r="O1517" i="6"/>
  <c r="P1517" i="6"/>
  <c r="N1469" i="6"/>
  <c r="O1469" i="6"/>
  <c r="P1469" i="6"/>
  <c r="Q1469" i="6"/>
  <c r="N1421" i="6"/>
  <c r="Q1421" i="6"/>
  <c r="O1421" i="6"/>
  <c r="P1421" i="6"/>
  <c r="N1357" i="6"/>
  <c r="O1357" i="6"/>
  <c r="P1357" i="6"/>
  <c r="Q1357" i="6"/>
  <c r="O1309" i="6"/>
  <c r="N1309" i="6"/>
  <c r="P1309" i="6"/>
  <c r="Q1309" i="6"/>
  <c r="P1277" i="6"/>
  <c r="O1165" i="6"/>
  <c r="P1165" i="6"/>
  <c r="Q1165" i="6"/>
  <c r="N1165" i="6"/>
  <c r="P1117" i="6"/>
  <c r="O1069" i="6"/>
  <c r="P1069" i="6"/>
  <c r="Q1069" i="6"/>
  <c r="N1069" i="6"/>
  <c r="P1021" i="6"/>
  <c r="Q1021" i="6"/>
  <c r="N1021" i="6"/>
  <c r="O1021" i="6"/>
  <c r="P973" i="6"/>
  <c r="Q973" i="6"/>
  <c r="N973" i="6"/>
  <c r="O973" i="6"/>
  <c r="N925" i="6"/>
  <c r="O925" i="6"/>
  <c r="P925" i="6"/>
  <c r="Q925" i="6"/>
  <c r="P877" i="6"/>
  <c r="Q877" i="6"/>
  <c r="N877" i="6"/>
  <c r="O877" i="6"/>
  <c r="Q813" i="6"/>
  <c r="O813" i="6"/>
  <c r="N813" i="6"/>
  <c r="P813" i="6"/>
  <c r="Q781" i="6"/>
  <c r="P781" i="6"/>
  <c r="N781" i="6"/>
  <c r="O781" i="6"/>
  <c r="Q749" i="6"/>
  <c r="N749" i="6"/>
  <c r="O749" i="6"/>
  <c r="P749" i="6"/>
  <c r="Q685" i="6"/>
  <c r="N685" i="6"/>
  <c r="O685" i="6"/>
  <c r="P685" i="6"/>
  <c r="P637" i="6"/>
  <c r="O637" i="6"/>
  <c r="N637" i="6"/>
  <c r="Q589" i="6"/>
  <c r="N589" i="6"/>
  <c r="P589" i="6"/>
  <c r="O589" i="6"/>
  <c r="Q541" i="6"/>
  <c r="N541" i="6"/>
  <c r="O541" i="6"/>
  <c r="P541" i="6"/>
  <c r="Q493" i="6"/>
  <c r="N493" i="6"/>
  <c r="O493" i="6"/>
  <c r="P493" i="6"/>
  <c r="Q445" i="6"/>
  <c r="O445" i="6"/>
  <c r="P445" i="6"/>
  <c r="N445" i="6"/>
  <c r="P381" i="6"/>
  <c r="Q381" i="6"/>
  <c r="N381" i="6"/>
  <c r="O381" i="6"/>
  <c r="O333" i="6"/>
  <c r="P333" i="6"/>
  <c r="Q333" i="6"/>
  <c r="N333" i="6"/>
  <c r="O285" i="6"/>
  <c r="P285" i="6"/>
  <c r="Q285" i="6"/>
  <c r="N285" i="6"/>
  <c r="O237" i="6"/>
  <c r="P237" i="6"/>
  <c r="Q237" i="6"/>
  <c r="N237" i="6"/>
  <c r="O173" i="6"/>
  <c r="P173" i="6"/>
  <c r="Q173" i="6"/>
  <c r="N173" i="6"/>
  <c r="P125" i="6"/>
  <c r="O77" i="6"/>
  <c r="P77" i="6"/>
  <c r="Q77" i="6"/>
  <c r="N77" i="6"/>
  <c r="O29" i="6"/>
  <c r="P29" i="6"/>
  <c r="Q29" i="6"/>
  <c r="N29" i="6"/>
  <c r="Q1980" i="6"/>
  <c r="O1980" i="6"/>
  <c r="P1980" i="6"/>
  <c r="N1980" i="6"/>
  <c r="Q1884" i="6"/>
  <c r="N1884" i="6"/>
  <c r="Q1820" i="6"/>
  <c r="P1820" i="6"/>
  <c r="O1820" i="6"/>
  <c r="Q1756" i="6"/>
  <c r="N1756" i="6"/>
  <c r="O1756" i="6"/>
  <c r="P1756" i="6"/>
  <c r="Q1660" i="6"/>
  <c r="N1660" i="6"/>
  <c r="O1660" i="6"/>
  <c r="P1660" i="6"/>
  <c r="Q1564" i="6"/>
  <c r="N1564" i="6"/>
  <c r="O1564" i="6"/>
  <c r="P1564" i="6"/>
  <c r="Q1436" i="6"/>
  <c r="N1436" i="6"/>
  <c r="O1436" i="6"/>
  <c r="P1436" i="6"/>
  <c r="Q1356" i="6"/>
  <c r="N1356" i="6"/>
  <c r="O1356" i="6"/>
  <c r="P1356" i="6"/>
  <c r="Q1292" i="6"/>
  <c r="P1292" i="6"/>
  <c r="O1164" i="6"/>
  <c r="P1164" i="6"/>
  <c r="Q1164" i="6"/>
  <c r="N1164" i="6"/>
  <c r="N1084" i="6"/>
  <c r="O1084" i="6"/>
  <c r="P1084" i="6"/>
  <c r="P988" i="6"/>
  <c r="Q988" i="6"/>
  <c r="N988" i="6"/>
  <c r="O988" i="6"/>
  <c r="O892" i="6"/>
  <c r="Q892" i="6"/>
  <c r="N892" i="6"/>
  <c r="P892" i="6"/>
  <c r="N796" i="6"/>
  <c r="O796" i="6"/>
  <c r="P796" i="6"/>
  <c r="Q796" i="6"/>
  <c r="O684" i="6"/>
  <c r="P684" i="6"/>
  <c r="N588" i="6"/>
  <c r="O588" i="6"/>
  <c r="P588" i="6"/>
  <c r="Q588" i="6"/>
  <c r="N492" i="6"/>
  <c r="O492" i="6"/>
  <c r="P492" i="6"/>
  <c r="Q492" i="6"/>
  <c r="P396" i="6"/>
  <c r="Q396" i="6"/>
  <c r="O396" i="6"/>
  <c r="N396" i="6"/>
  <c r="P284" i="6"/>
  <c r="Q284" i="6"/>
  <c r="N284" i="6"/>
  <c r="O284" i="6"/>
  <c r="N204" i="6"/>
  <c r="O204" i="6"/>
  <c r="P204" i="6"/>
  <c r="Q204" i="6"/>
  <c r="O92" i="6"/>
  <c r="P92" i="6"/>
  <c r="N92" i="6"/>
  <c r="Q1084" i="6"/>
  <c r="P1836" i="6"/>
  <c r="N160" i="6"/>
  <c r="P160" i="6"/>
  <c r="Q160" i="6"/>
  <c r="O160" i="6"/>
  <c r="N80" i="6"/>
  <c r="O80" i="6"/>
  <c r="P80" i="6"/>
  <c r="P1967" i="6"/>
  <c r="Q1967" i="6"/>
  <c r="N1967" i="6"/>
  <c r="N1887" i="6"/>
  <c r="O1887" i="6"/>
  <c r="P1887" i="6"/>
  <c r="Q1887" i="6"/>
  <c r="O1839" i="6"/>
  <c r="P1839" i="6"/>
  <c r="Q1839" i="6"/>
  <c r="N1839" i="6"/>
  <c r="O1759" i="6"/>
  <c r="P1759" i="6"/>
  <c r="Q1759" i="6"/>
  <c r="N1663" i="6"/>
  <c r="Q1663" i="6"/>
  <c r="O1663" i="6"/>
  <c r="P1663" i="6"/>
  <c r="N1631" i="6"/>
  <c r="O1631" i="6"/>
  <c r="P1631" i="6"/>
  <c r="Q1631" i="6"/>
  <c r="Q1567" i="6"/>
  <c r="N1567" i="6"/>
  <c r="O1567" i="6"/>
  <c r="P1567" i="6"/>
  <c r="N1487" i="6"/>
  <c r="O1487" i="6"/>
  <c r="P1487" i="6"/>
  <c r="N1407" i="6"/>
  <c r="O1407" i="6"/>
  <c r="P1407" i="6"/>
  <c r="Q1311" i="6"/>
  <c r="P1311" i="6"/>
  <c r="N1311" i="6"/>
  <c r="O1311" i="6"/>
  <c r="P1215" i="6"/>
  <c r="Q1215" i="6"/>
  <c r="O1151" i="6"/>
  <c r="Q1151" i="6"/>
  <c r="P1151" i="6"/>
  <c r="Q1055" i="6"/>
  <c r="N1055" i="6"/>
  <c r="O1055" i="6"/>
  <c r="P1055" i="6"/>
  <c r="O1007" i="6"/>
  <c r="P1007" i="6"/>
  <c r="Q1007" i="6"/>
  <c r="N1007" i="6"/>
  <c r="N943" i="6"/>
  <c r="O943" i="6"/>
  <c r="P943" i="6"/>
  <c r="Q943" i="6"/>
  <c r="N863" i="6"/>
  <c r="O863" i="6"/>
  <c r="P863" i="6"/>
  <c r="Q863" i="6"/>
  <c r="N783" i="6"/>
  <c r="O783" i="6"/>
  <c r="P783" i="6"/>
  <c r="Q783" i="6"/>
  <c r="P703" i="6"/>
  <c r="N703" i="6"/>
  <c r="O703" i="6"/>
  <c r="P623" i="6"/>
  <c r="N623" i="6"/>
  <c r="O623" i="6"/>
  <c r="Q623" i="6"/>
  <c r="N527" i="6"/>
  <c r="O527" i="6"/>
  <c r="P527" i="6"/>
  <c r="Q527" i="6"/>
  <c r="P447" i="6"/>
  <c r="Q447" i="6"/>
  <c r="N447" i="6"/>
  <c r="O447" i="6"/>
  <c r="N367" i="6"/>
  <c r="O367" i="6"/>
  <c r="P367" i="6"/>
  <c r="Q367" i="6"/>
  <c r="N319" i="6"/>
  <c r="P319" i="6"/>
  <c r="Q319" i="6"/>
  <c r="O319" i="6"/>
  <c r="N255" i="6"/>
  <c r="P255" i="6"/>
  <c r="Q255" i="6"/>
  <c r="O255" i="6"/>
  <c r="N175" i="6"/>
  <c r="P175" i="6"/>
  <c r="Q175" i="6"/>
  <c r="O175" i="6"/>
  <c r="N95" i="6"/>
  <c r="P95" i="6"/>
  <c r="Q95" i="6"/>
  <c r="O95" i="6"/>
  <c r="N1950" i="6"/>
  <c r="O1950" i="6"/>
  <c r="P1950" i="6"/>
  <c r="Q1950" i="6"/>
  <c r="N1838" i="6"/>
  <c r="O1838" i="6"/>
  <c r="P1838" i="6"/>
  <c r="Q1838" i="6"/>
  <c r="N1790" i="6"/>
  <c r="O1790" i="6"/>
  <c r="P1790" i="6"/>
  <c r="Q1790" i="6"/>
  <c r="N1710" i="6"/>
  <c r="O1710" i="6"/>
  <c r="P1710" i="6"/>
  <c r="Q1710" i="6"/>
  <c r="N1630" i="6"/>
  <c r="O1630" i="6"/>
  <c r="Q1630" i="6"/>
  <c r="P1630" i="6"/>
  <c r="N1566" i="6"/>
  <c r="O1566" i="6"/>
  <c r="P1566" i="6"/>
  <c r="Q1566" i="6"/>
  <c r="N1518" i="6"/>
  <c r="O1518" i="6"/>
  <c r="P1518" i="6"/>
  <c r="Q1518" i="6"/>
  <c r="N1454" i="6"/>
  <c r="Q1454" i="6"/>
  <c r="O1454" i="6"/>
  <c r="P1454" i="6"/>
  <c r="N1406" i="6"/>
  <c r="O1406" i="6"/>
  <c r="P1406" i="6"/>
  <c r="Q1358" i="6"/>
  <c r="N1358" i="6"/>
  <c r="O1358" i="6"/>
  <c r="P1358" i="6"/>
  <c r="N1310" i="6"/>
  <c r="O1310" i="6"/>
  <c r="Q1310" i="6"/>
  <c r="P1310" i="6"/>
  <c r="N1230" i="6"/>
  <c r="O1230" i="6"/>
  <c r="P1230" i="6"/>
  <c r="Q1230" i="6"/>
  <c r="P1182" i="6"/>
  <c r="N1134" i="6"/>
  <c r="P1134" i="6"/>
  <c r="Q1134" i="6"/>
  <c r="O1134" i="6"/>
  <c r="O1086" i="6"/>
  <c r="P1086" i="6"/>
  <c r="N1086" i="6"/>
  <c r="Q1086" i="6"/>
  <c r="P1038" i="6"/>
  <c r="N1038" i="6"/>
  <c r="Q1038" i="6"/>
  <c r="P990" i="6"/>
  <c r="Q990" i="6"/>
  <c r="N990" i="6"/>
  <c r="O990" i="6"/>
  <c r="P926" i="6"/>
  <c r="Q926" i="6"/>
  <c r="N926" i="6"/>
  <c r="O926" i="6"/>
  <c r="P878" i="6"/>
  <c r="Q878" i="6"/>
  <c r="N878" i="6"/>
  <c r="O878" i="6"/>
  <c r="N830" i="6"/>
  <c r="Q830" i="6"/>
  <c r="O830" i="6"/>
  <c r="P830" i="6"/>
  <c r="N766" i="6"/>
  <c r="O766" i="6"/>
  <c r="P766" i="6"/>
  <c r="Q766" i="6"/>
  <c r="N750" i="6"/>
  <c r="O750" i="6"/>
  <c r="P750" i="6"/>
  <c r="Q750" i="6"/>
  <c r="P702" i="6"/>
  <c r="O702" i="6"/>
  <c r="N654" i="6"/>
  <c r="O654" i="6"/>
  <c r="P654" i="6"/>
  <c r="Q654" i="6"/>
  <c r="N606" i="6"/>
  <c r="O606" i="6"/>
  <c r="P606" i="6"/>
  <c r="Q606" i="6"/>
  <c r="N558" i="6"/>
  <c r="P558" i="6"/>
  <c r="Q558" i="6"/>
  <c r="O558" i="6"/>
  <c r="N526" i="6"/>
  <c r="O526" i="6"/>
  <c r="P526" i="6"/>
  <c r="Q526" i="6"/>
  <c r="N462" i="6"/>
  <c r="Q462" i="6"/>
  <c r="O462" i="6"/>
  <c r="P462" i="6"/>
  <c r="P430" i="6"/>
  <c r="O430" i="6"/>
  <c r="Q430" i="6"/>
  <c r="N430" i="6"/>
  <c r="P382" i="6"/>
  <c r="N382" i="6"/>
  <c r="O382" i="6"/>
  <c r="Q382" i="6"/>
  <c r="N334" i="6"/>
  <c r="Q334" i="6"/>
  <c r="O334" i="6"/>
  <c r="P334" i="6"/>
  <c r="N286" i="6"/>
  <c r="O286" i="6"/>
  <c r="Q286" i="6"/>
  <c r="P286" i="6"/>
  <c r="N238" i="6"/>
  <c r="P238" i="6"/>
  <c r="Q238" i="6"/>
  <c r="O238" i="6"/>
  <c r="N190" i="6"/>
  <c r="O190" i="6"/>
  <c r="P190" i="6"/>
  <c r="Q190" i="6"/>
  <c r="N142" i="6"/>
  <c r="P142" i="6"/>
  <c r="O142" i="6"/>
  <c r="N110" i="6"/>
  <c r="O110" i="6"/>
  <c r="P110" i="6"/>
  <c r="Q110" i="6"/>
  <c r="N46" i="6"/>
  <c r="O46" i="6"/>
  <c r="P46" i="6"/>
  <c r="P1997" i="6"/>
  <c r="N1949" i="6"/>
  <c r="O1949" i="6"/>
  <c r="P1949" i="6"/>
  <c r="Q1949" i="6"/>
  <c r="N1917" i="6"/>
  <c r="Q1917" i="6"/>
  <c r="O1917" i="6"/>
  <c r="P1917" i="6"/>
  <c r="N1869" i="6"/>
  <c r="O1869" i="6"/>
  <c r="P1869" i="6"/>
  <c r="Q1869" i="6"/>
  <c r="N1821" i="6"/>
  <c r="O1821" i="6"/>
  <c r="P1821" i="6"/>
  <c r="Q1821" i="6"/>
  <c r="N1773" i="6"/>
  <c r="O1773" i="6"/>
  <c r="P1773" i="6"/>
  <c r="Q1773" i="6"/>
  <c r="N1709" i="6"/>
  <c r="O1709" i="6"/>
  <c r="P1709" i="6"/>
  <c r="Q1709" i="6"/>
  <c r="N1661" i="6"/>
  <c r="Q1661" i="6"/>
  <c r="O1661" i="6"/>
  <c r="P1661" i="6"/>
  <c r="N1597" i="6"/>
  <c r="P1597" i="6"/>
  <c r="Q1597" i="6"/>
  <c r="O1597" i="6"/>
  <c r="N1549" i="6"/>
  <c r="O1549" i="6"/>
  <c r="P1549" i="6"/>
  <c r="Q1549" i="6"/>
  <c r="N1501" i="6"/>
  <c r="Q1501" i="6"/>
  <c r="O1501" i="6"/>
  <c r="P1501" i="6"/>
  <c r="N1453" i="6"/>
  <c r="O1453" i="6"/>
  <c r="P1453" i="6"/>
  <c r="Q1453" i="6"/>
  <c r="N1405" i="6"/>
  <c r="O1405" i="6"/>
  <c r="P1405" i="6"/>
  <c r="N1373" i="6"/>
  <c r="O1373" i="6"/>
  <c r="P1373" i="6"/>
  <c r="Q1373" i="6"/>
  <c r="N1325" i="6"/>
  <c r="O1325" i="6"/>
  <c r="P1325" i="6"/>
  <c r="P1261" i="6"/>
  <c r="O1197" i="6"/>
  <c r="P1197" i="6"/>
  <c r="O1149" i="6"/>
  <c r="P1149" i="6"/>
  <c r="Q1149" i="6"/>
  <c r="O1101" i="6"/>
  <c r="P1101" i="6"/>
  <c r="Q1101" i="6"/>
  <c r="N1101" i="6"/>
  <c r="O1053" i="6"/>
  <c r="P1053" i="6"/>
  <c r="Q1053" i="6"/>
  <c r="N1053" i="6"/>
  <c r="N1005" i="6"/>
  <c r="O1005" i="6"/>
  <c r="P1005" i="6"/>
  <c r="Q1005" i="6"/>
  <c r="N957" i="6"/>
  <c r="O957" i="6"/>
  <c r="P957" i="6"/>
  <c r="Q957" i="6"/>
  <c r="P909" i="6"/>
  <c r="O909" i="6"/>
  <c r="Q861" i="6"/>
  <c r="P861" i="6"/>
  <c r="N861" i="6"/>
  <c r="O861" i="6"/>
  <c r="Q829" i="6"/>
  <c r="N829" i="6"/>
  <c r="O829" i="6"/>
  <c r="P829" i="6"/>
  <c r="Q765" i="6"/>
  <c r="N765" i="6"/>
  <c r="O765" i="6"/>
  <c r="P765" i="6"/>
  <c r="N717" i="6"/>
  <c r="O717" i="6"/>
  <c r="P717" i="6"/>
  <c r="O701" i="6"/>
  <c r="P701" i="6"/>
  <c r="Q653" i="6"/>
  <c r="N653" i="6"/>
  <c r="P653" i="6"/>
  <c r="O653" i="6"/>
  <c r="Q605" i="6"/>
  <c r="N605" i="6"/>
  <c r="O605" i="6"/>
  <c r="P605" i="6"/>
  <c r="Q573" i="6"/>
  <c r="O573" i="6"/>
  <c r="P573" i="6"/>
  <c r="N573" i="6"/>
  <c r="Q525" i="6"/>
  <c r="N525" i="6"/>
  <c r="O525" i="6"/>
  <c r="P525" i="6"/>
  <c r="Q477" i="6"/>
  <c r="O477" i="6"/>
  <c r="N477" i="6"/>
  <c r="P477" i="6"/>
  <c r="Q429" i="6"/>
  <c r="P429" i="6"/>
  <c r="N429" i="6"/>
  <c r="O429" i="6"/>
  <c r="Q397" i="6"/>
  <c r="P397" i="6"/>
  <c r="N397" i="6"/>
  <c r="O397" i="6"/>
  <c r="O349" i="6"/>
  <c r="N349" i="6"/>
  <c r="P349" i="6"/>
  <c r="Q349" i="6"/>
  <c r="O301" i="6"/>
  <c r="P301" i="6"/>
  <c r="Q301" i="6"/>
  <c r="N301" i="6"/>
  <c r="O253" i="6"/>
  <c r="P253" i="6"/>
  <c r="Q253" i="6"/>
  <c r="N253" i="6"/>
  <c r="O205" i="6"/>
  <c r="P205" i="6"/>
  <c r="Q205" i="6"/>
  <c r="N205" i="6"/>
  <c r="O157" i="6"/>
  <c r="P157" i="6"/>
  <c r="Q157" i="6"/>
  <c r="N157" i="6"/>
  <c r="O109" i="6"/>
  <c r="P109" i="6"/>
  <c r="Q109" i="6"/>
  <c r="N109" i="6"/>
  <c r="O61" i="6"/>
  <c r="P61" i="6"/>
  <c r="Q61" i="6"/>
  <c r="N61" i="6"/>
  <c r="Q1996" i="6"/>
  <c r="P1996" i="6"/>
  <c r="N1996" i="6"/>
  <c r="O1996" i="6"/>
  <c r="Q1900" i="6"/>
  <c r="O1900" i="6"/>
  <c r="P1900" i="6"/>
  <c r="N1900" i="6"/>
  <c r="Q1788" i="6"/>
  <c r="N1788" i="6"/>
  <c r="O1788" i="6"/>
  <c r="P1788" i="6"/>
  <c r="O1724" i="6"/>
  <c r="P1724" i="6"/>
  <c r="N1724" i="6"/>
  <c r="Q1612" i="6"/>
  <c r="N1612" i="6"/>
  <c r="O1612" i="6"/>
  <c r="P1612" i="6"/>
  <c r="Q1516" i="6"/>
  <c r="N1516" i="6"/>
  <c r="O1516" i="6"/>
  <c r="P1516" i="6"/>
  <c r="Q1420" i="6"/>
  <c r="N1420" i="6"/>
  <c r="O1420" i="6"/>
  <c r="P1420" i="6"/>
  <c r="Q1340" i="6"/>
  <c r="P1340" i="6"/>
  <c r="N1340" i="6"/>
  <c r="O1340" i="6"/>
  <c r="O1260" i="6"/>
  <c r="P1260" i="6"/>
  <c r="Q1148" i="6"/>
  <c r="N1148" i="6"/>
  <c r="O1148" i="6"/>
  <c r="P1148" i="6"/>
  <c r="P1036" i="6"/>
  <c r="N1036" i="6"/>
  <c r="O1036" i="6"/>
  <c r="P924" i="6"/>
  <c r="Q924" i="6"/>
  <c r="N924" i="6"/>
  <c r="O924" i="6"/>
  <c r="O828" i="6"/>
  <c r="P828" i="6"/>
  <c r="Q828" i="6"/>
  <c r="N828" i="6"/>
  <c r="O716" i="6"/>
  <c r="P716" i="6"/>
  <c r="N620" i="6"/>
  <c r="O620" i="6"/>
  <c r="P620" i="6"/>
  <c r="Q620" i="6"/>
  <c r="N524" i="6"/>
  <c r="O524" i="6"/>
  <c r="P524" i="6"/>
  <c r="Q524" i="6"/>
  <c r="N428" i="6"/>
  <c r="O428" i="6"/>
  <c r="P428" i="6"/>
  <c r="Q428" i="6"/>
  <c r="N332" i="6"/>
  <c r="O332" i="6"/>
  <c r="P332" i="6"/>
  <c r="Q332" i="6"/>
  <c r="N220" i="6"/>
  <c r="O220" i="6"/>
  <c r="P220" i="6"/>
  <c r="Q220" i="6"/>
  <c r="N28" i="6"/>
  <c r="P28" i="6"/>
  <c r="Q28" i="6"/>
  <c r="O1884" i="6"/>
  <c r="Q1758" i="6"/>
  <c r="O1836" i="6"/>
  <c r="P128" i="6"/>
  <c r="N32" i="6"/>
  <c r="O32" i="6"/>
  <c r="P32" i="6"/>
  <c r="Q32" i="6"/>
  <c r="N2031" i="6"/>
  <c r="O2031" i="6"/>
  <c r="P2031" i="6"/>
  <c r="Q2031" i="6"/>
  <c r="N1951" i="6"/>
  <c r="O1951" i="6"/>
  <c r="N1871" i="6"/>
  <c r="O1871" i="6"/>
  <c r="P1871" i="6"/>
  <c r="Q1871" i="6"/>
  <c r="N1775" i="6"/>
  <c r="O1775" i="6"/>
  <c r="P1775" i="6"/>
  <c r="Q1775" i="6"/>
  <c r="Q1695" i="6"/>
  <c r="O1695" i="6"/>
  <c r="P1695" i="6"/>
  <c r="N1695" i="6"/>
  <c r="O1583" i="6"/>
  <c r="P1583" i="6"/>
  <c r="Q1583" i="6"/>
  <c r="N1583" i="6"/>
  <c r="O1503" i="6"/>
  <c r="P1503" i="6"/>
  <c r="Q1503" i="6"/>
  <c r="N1503" i="6"/>
  <c r="N1423" i="6"/>
  <c r="O1423" i="6"/>
  <c r="P1423" i="6"/>
  <c r="Q1423" i="6"/>
  <c r="O1327" i="6"/>
  <c r="P1327" i="6"/>
  <c r="N1327" i="6"/>
  <c r="P1247" i="6"/>
  <c r="N1167" i="6"/>
  <c r="O1167" i="6"/>
  <c r="P1167" i="6"/>
  <c r="O1087" i="6"/>
  <c r="Q1087" i="6"/>
  <c r="N1087" i="6"/>
  <c r="P1087" i="6"/>
  <c r="N991" i="6"/>
  <c r="P991" i="6"/>
  <c r="Q991" i="6"/>
  <c r="O991" i="6"/>
  <c r="N911" i="6"/>
  <c r="P911" i="6"/>
  <c r="O911" i="6"/>
  <c r="N831" i="6"/>
  <c r="O831" i="6"/>
  <c r="P831" i="6"/>
  <c r="Q831" i="6"/>
  <c r="P767" i="6"/>
  <c r="O767" i="6"/>
  <c r="Q767" i="6"/>
  <c r="N767" i="6"/>
  <c r="P687" i="6"/>
  <c r="O687" i="6"/>
  <c r="P607" i="6"/>
  <c r="Q607" i="6"/>
  <c r="N607" i="6"/>
  <c r="O607" i="6"/>
  <c r="P543" i="6"/>
  <c r="Q543" i="6"/>
  <c r="N543" i="6"/>
  <c r="O543" i="6"/>
  <c r="N463" i="6"/>
  <c r="O463" i="6"/>
  <c r="P463" i="6"/>
  <c r="Q463" i="6"/>
  <c r="O399" i="6"/>
  <c r="P399" i="6"/>
  <c r="N399" i="6"/>
  <c r="Q399" i="6"/>
  <c r="N287" i="6"/>
  <c r="P287" i="6"/>
  <c r="Q287" i="6"/>
  <c r="O287" i="6"/>
  <c r="N207" i="6"/>
  <c r="P207" i="6"/>
  <c r="Q207" i="6"/>
  <c r="O207" i="6"/>
  <c r="P127" i="6"/>
  <c r="N47" i="6"/>
  <c r="P47" i="6"/>
  <c r="Q47" i="6"/>
  <c r="O47" i="6"/>
  <c r="N1966" i="6"/>
  <c r="O1966" i="6"/>
  <c r="P1966" i="6"/>
  <c r="Q1966" i="6"/>
  <c r="N1854" i="6"/>
  <c r="O1854" i="6"/>
  <c r="P1854" i="6"/>
  <c r="Q1854" i="6"/>
  <c r="P1742" i="6"/>
  <c r="N1662" i="6"/>
  <c r="O1662" i="6"/>
  <c r="P1662" i="6"/>
  <c r="Q1662" i="6"/>
  <c r="N1550" i="6"/>
  <c r="O1550" i="6"/>
  <c r="P1550" i="6"/>
  <c r="Q1550" i="6"/>
  <c r="N1422" i="6"/>
  <c r="O1422" i="6"/>
  <c r="P1422" i="6"/>
  <c r="Q1422" i="6"/>
  <c r="P1278" i="6"/>
  <c r="P942" i="6"/>
  <c r="Q942" i="6"/>
  <c r="N942" i="6"/>
  <c r="O942" i="6"/>
  <c r="P1245" i="6"/>
  <c r="P1276" i="6"/>
  <c r="P2035" i="6"/>
  <c r="Q2035" i="6"/>
  <c r="O2035" i="6"/>
  <c r="N2035" i="6"/>
  <c r="P2019" i="6"/>
  <c r="P2003" i="6"/>
  <c r="N1987" i="6"/>
  <c r="O1987" i="6"/>
  <c r="P1987" i="6"/>
  <c r="Q1987" i="6"/>
  <c r="N1971" i="6"/>
  <c r="O1971" i="6"/>
  <c r="P1971" i="6"/>
  <c r="Q1971" i="6"/>
  <c r="N1955" i="6"/>
  <c r="O1955" i="6"/>
  <c r="P1955" i="6"/>
  <c r="Q1955" i="6"/>
  <c r="N1939" i="6"/>
  <c r="O1939" i="6"/>
  <c r="P1939" i="6"/>
  <c r="Q1939" i="6"/>
  <c r="O1923" i="6"/>
  <c r="P1923" i="6"/>
  <c r="Q1923" i="6"/>
  <c r="N1923" i="6"/>
  <c r="O1907" i="6"/>
  <c r="P1907" i="6"/>
  <c r="Q1907" i="6"/>
  <c r="N1907" i="6"/>
  <c r="Q1891" i="6"/>
  <c r="N1891" i="6"/>
  <c r="O1891" i="6"/>
  <c r="P1891" i="6"/>
  <c r="Q1875" i="6"/>
  <c r="N1875" i="6"/>
  <c r="O1875" i="6"/>
  <c r="P1875" i="6"/>
  <c r="N1859" i="6"/>
  <c r="O1859" i="6"/>
  <c r="P1859" i="6"/>
  <c r="Q1859" i="6"/>
  <c r="Q1843" i="6"/>
  <c r="O1843" i="6"/>
  <c r="P1843" i="6"/>
  <c r="N1843" i="6"/>
  <c r="Q1827" i="6"/>
  <c r="N1827" i="6"/>
  <c r="O1827" i="6"/>
  <c r="P1827" i="6"/>
  <c r="N1811" i="6"/>
  <c r="O1811" i="6"/>
  <c r="P1811" i="6"/>
  <c r="Q1811" i="6"/>
  <c r="Q1795" i="6"/>
  <c r="N1795" i="6"/>
  <c r="O1795" i="6"/>
  <c r="P1795" i="6"/>
  <c r="P1779" i="6"/>
  <c r="Q1779" i="6"/>
  <c r="O1779" i="6"/>
  <c r="N1779" i="6"/>
  <c r="N1763" i="6"/>
  <c r="O1763" i="6"/>
  <c r="P1763" i="6"/>
  <c r="Q1763" i="6"/>
  <c r="O1747" i="6"/>
  <c r="P1747" i="6"/>
  <c r="Q1747" i="6"/>
  <c r="N1731" i="6"/>
  <c r="O1731" i="6"/>
  <c r="P1731" i="6"/>
  <c r="Q1731" i="6"/>
  <c r="N1715" i="6"/>
  <c r="O1715" i="6"/>
  <c r="P1715" i="6"/>
  <c r="Q1715" i="6"/>
  <c r="N1699" i="6"/>
  <c r="O1699" i="6"/>
  <c r="P1699" i="6"/>
  <c r="Q1699" i="6"/>
  <c r="N1683" i="6"/>
  <c r="O1683" i="6"/>
  <c r="P1683" i="6"/>
  <c r="Q1683" i="6"/>
  <c r="O1667" i="6"/>
  <c r="P1667" i="6"/>
  <c r="Q1667" i="6"/>
  <c r="N1667" i="6"/>
  <c r="O1651" i="6"/>
  <c r="P1651" i="6"/>
  <c r="Q1651" i="6"/>
  <c r="N1651" i="6"/>
  <c r="Q1635" i="6"/>
  <c r="O1635" i="6"/>
  <c r="P1635" i="6"/>
  <c r="N1635" i="6"/>
  <c r="Q1619" i="6"/>
  <c r="N1619" i="6"/>
  <c r="O1619" i="6"/>
  <c r="N1603" i="6"/>
  <c r="O1603" i="6"/>
  <c r="P1603" i="6"/>
  <c r="Q1603" i="6"/>
  <c r="N1587" i="6"/>
  <c r="O1587" i="6"/>
  <c r="P1587" i="6"/>
  <c r="Q1587" i="6"/>
  <c r="N1571" i="6"/>
  <c r="O1571" i="6"/>
  <c r="P1571" i="6"/>
  <c r="Q1571" i="6"/>
  <c r="N1555" i="6"/>
  <c r="O1555" i="6"/>
  <c r="P1555" i="6"/>
  <c r="N1539" i="6"/>
  <c r="O1539" i="6"/>
  <c r="P1539" i="6"/>
  <c r="Q1539" i="6"/>
  <c r="Q1523" i="6"/>
  <c r="P1523" i="6"/>
  <c r="N1523" i="6"/>
  <c r="O1523" i="6"/>
  <c r="O1507" i="6"/>
  <c r="P1507" i="6"/>
  <c r="Q1507" i="6"/>
  <c r="N1507" i="6"/>
  <c r="N1491" i="6"/>
  <c r="O1491" i="6"/>
  <c r="P1491" i="6"/>
  <c r="Q1491" i="6"/>
  <c r="N1475" i="6"/>
  <c r="Q1475" i="6"/>
  <c r="P1475" i="6"/>
  <c r="O1475" i="6"/>
  <c r="N1459" i="6"/>
  <c r="P1459" i="6"/>
  <c r="Q1459" i="6"/>
  <c r="O1459" i="6"/>
  <c r="N1443" i="6"/>
  <c r="O1443" i="6"/>
  <c r="P1443" i="6"/>
  <c r="Q1443" i="6"/>
  <c r="N1427" i="6"/>
  <c r="O1427" i="6"/>
  <c r="P1427" i="6"/>
  <c r="O1411" i="6"/>
  <c r="P1411" i="6"/>
  <c r="N1411" i="6"/>
  <c r="O1395" i="6"/>
  <c r="P1395" i="6"/>
  <c r="Q1395" i="6"/>
  <c r="N1395" i="6"/>
  <c r="Q1379" i="6"/>
  <c r="N1379" i="6"/>
  <c r="O1379" i="6"/>
  <c r="P1379" i="6"/>
  <c r="Q1363" i="6"/>
  <c r="O1363" i="6"/>
  <c r="P1363" i="6"/>
  <c r="N1363" i="6"/>
  <c r="N1347" i="6"/>
  <c r="O1347" i="6"/>
  <c r="P1347" i="6"/>
  <c r="Q1347" i="6"/>
  <c r="N1331" i="6"/>
  <c r="O1331" i="6"/>
  <c r="P1331" i="6"/>
  <c r="N1315" i="6"/>
  <c r="O1315" i="6"/>
  <c r="P1315" i="6"/>
  <c r="Q1315" i="6"/>
  <c r="Q1299" i="6"/>
  <c r="N1283" i="6"/>
  <c r="O1283" i="6"/>
  <c r="P1283" i="6"/>
  <c r="Q1283" i="6"/>
  <c r="P1267" i="6"/>
  <c r="P1251" i="6"/>
  <c r="P1235" i="6"/>
  <c r="N1219" i="6"/>
  <c r="O1219" i="6"/>
  <c r="Q1219" i="6"/>
  <c r="P1219" i="6"/>
  <c r="N1203" i="6"/>
  <c r="O1203" i="6"/>
  <c r="P1203" i="6"/>
  <c r="Q1203" i="6"/>
  <c r="O1187" i="6"/>
  <c r="P1187" i="6"/>
  <c r="N1171" i="6"/>
  <c r="P1171" i="6"/>
  <c r="Q1171" i="6"/>
  <c r="P1155" i="6"/>
  <c r="O1139" i="6"/>
  <c r="P1139" i="6"/>
  <c r="Q1139" i="6"/>
  <c r="N1123" i="6"/>
  <c r="P1123" i="6"/>
  <c r="Q1123" i="6"/>
  <c r="N1107" i="6"/>
  <c r="P1107" i="6"/>
  <c r="Q1107" i="6"/>
  <c r="O1107" i="6"/>
  <c r="N1075" i="6"/>
  <c r="O1075" i="6"/>
  <c r="P1075" i="6"/>
  <c r="Q1075" i="6"/>
  <c r="N1059" i="6"/>
  <c r="O1059" i="6"/>
  <c r="P1059" i="6"/>
  <c r="Q1059" i="6"/>
  <c r="N1836" i="6"/>
  <c r="P1743" i="6"/>
  <c r="N1391" i="6"/>
  <c r="Q1391" i="6"/>
  <c r="O1391" i="6"/>
  <c r="P1391" i="6"/>
  <c r="N879" i="6"/>
  <c r="Q879" i="6"/>
  <c r="O879" i="6"/>
  <c r="P879" i="6"/>
  <c r="N79" i="6"/>
  <c r="P79" i="6"/>
  <c r="O79" i="6"/>
  <c r="N2030" i="6"/>
  <c r="O2030" i="6"/>
  <c r="P2030" i="6"/>
  <c r="Q2030" i="6"/>
  <c r="N1934" i="6"/>
  <c r="O1934" i="6"/>
  <c r="P1934" i="6"/>
  <c r="Q1934" i="6"/>
  <c r="Q1870" i="6"/>
  <c r="O1870" i="6"/>
  <c r="P1870" i="6"/>
  <c r="N1870" i="6"/>
  <c r="Q1774" i="6"/>
  <c r="N1774" i="6"/>
  <c r="O1774" i="6"/>
  <c r="P1774" i="6"/>
  <c r="N1678" i="6"/>
  <c r="O1678" i="6"/>
  <c r="P1678" i="6"/>
  <c r="Q1678" i="6"/>
  <c r="N1598" i="6"/>
  <c r="O1598" i="6"/>
  <c r="P1598" i="6"/>
  <c r="Q1598" i="6"/>
  <c r="P1486" i="6"/>
  <c r="Q1486" i="6"/>
  <c r="N1486" i="6"/>
  <c r="P1294" i="6"/>
  <c r="N782" i="6"/>
  <c r="O782" i="6"/>
  <c r="P782" i="6"/>
  <c r="Q782" i="6"/>
  <c r="O1213" i="6"/>
  <c r="P1213" i="6"/>
  <c r="N1213" i="6"/>
  <c r="P2028" i="6"/>
  <c r="Q1932" i="6"/>
  <c r="N1932" i="6"/>
  <c r="O1932" i="6"/>
  <c r="P1932" i="6"/>
  <c r="Q1868" i="6"/>
  <c r="O1868" i="6"/>
  <c r="P1868" i="6"/>
  <c r="N1868" i="6"/>
  <c r="Q1772" i="6"/>
  <c r="N1772" i="6"/>
  <c r="O1772" i="6"/>
  <c r="P1772" i="6"/>
  <c r="Q1676" i="6"/>
  <c r="N1676" i="6"/>
  <c r="O1676" i="6"/>
  <c r="Q1628" i="6"/>
  <c r="O1628" i="6"/>
  <c r="P1628" i="6"/>
  <c r="N1628" i="6"/>
  <c r="Q1532" i="6"/>
  <c r="N1532" i="6"/>
  <c r="O1532" i="6"/>
  <c r="P1532" i="6"/>
  <c r="Q1484" i="6"/>
  <c r="O1484" i="6"/>
  <c r="P1484" i="6"/>
  <c r="N1484" i="6"/>
  <c r="Q1388" i="6"/>
  <c r="N1388" i="6"/>
  <c r="O1388" i="6"/>
  <c r="P1388" i="6"/>
  <c r="Q1308" i="6"/>
  <c r="O1308" i="6"/>
  <c r="P1308" i="6"/>
  <c r="N1308" i="6"/>
  <c r="N1196" i="6"/>
  <c r="O1196" i="6"/>
  <c r="P1196" i="6"/>
  <c r="P1100" i="6"/>
  <c r="Q1100" i="6"/>
  <c r="N1100" i="6"/>
  <c r="O1100" i="6"/>
  <c r="N1004" i="6"/>
  <c r="O1004" i="6"/>
  <c r="P1004" i="6"/>
  <c r="Q1004" i="6"/>
  <c r="N940" i="6"/>
  <c r="Q940" i="6"/>
  <c r="O940" i="6"/>
  <c r="P940" i="6"/>
  <c r="O860" i="6"/>
  <c r="P860" i="6"/>
  <c r="Q860" i="6"/>
  <c r="N860" i="6"/>
  <c r="N764" i="6"/>
  <c r="O764" i="6"/>
  <c r="P764" i="6"/>
  <c r="Q764" i="6"/>
  <c r="P668" i="6"/>
  <c r="Q668" i="6"/>
  <c r="N668" i="6"/>
  <c r="O668" i="6"/>
  <c r="O572" i="6"/>
  <c r="P572" i="6"/>
  <c r="Q572" i="6"/>
  <c r="N572" i="6"/>
  <c r="P476" i="6"/>
  <c r="Q476" i="6"/>
  <c r="N476" i="6"/>
  <c r="O476" i="6"/>
  <c r="N380" i="6"/>
  <c r="O380" i="6"/>
  <c r="P380" i="6"/>
  <c r="Q380" i="6"/>
  <c r="P316" i="6"/>
  <c r="Q316" i="6"/>
  <c r="N316" i="6"/>
  <c r="O316" i="6"/>
  <c r="N252" i="6"/>
  <c r="O252" i="6"/>
  <c r="P252" i="6"/>
  <c r="Q252" i="6"/>
  <c r="N172" i="6"/>
  <c r="O172" i="6"/>
  <c r="P172" i="6"/>
  <c r="Q172" i="6"/>
  <c r="O140" i="6"/>
  <c r="P140" i="6"/>
  <c r="P124" i="6"/>
  <c r="N76" i="6"/>
  <c r="O76" i="6"/>
  <c r="P76" i="6"/>
  <c r="Q76" i="6"/>
  <c r="Q1981" i="6"/>
  <c r="P1884" i="6"/>
  <c r="N1759" i="6"/>
  <c r="N2034" i="6"/>
  <c r="O2034" i="6"/>
  <c r="P2034" i="6"/>
  <c r="Q2034" i="6"/>
  <c r="P2018" i="6"/>
  <c r="P2002" i="6"/>
  <c r="P1986" i="6"/>
  <c r="Q1986" i="6"/>
  <c r="N1986" i="6"/>
  <c r="O1986" i="6"/>
  <c r="O1970" i="6"/>
  <c r="P1970" i="6"/>
  <c r="Q1970" i="6"/>
  <c r="N1970" i="6"/>
  <c r="P1954" i="6"/>
  <c r="Q1954" i="6"/>
  <c r="O1954" i="6"/>
  <c r="N1954" i="6"/>
  <c r="Q1938" i="6"/>
  <c r="N1938" i="6"/>
  <c r="O1938" i="6"/>
  <c r="P1938" i="6"/>
  <c r="P1922" i="6"/>
  <c r="Q1922" i="6"/>
  <c r="N1922" i="6"/>
  <c r="O1922" i="6"/>
  <c r="Q1906" i="6"/>
  <c r="N1906" i="6"/>
  <c r="O1906" i="6"/>
  <c r="P1906" i="6"/>
  <c r="P1890" i="6"/>
  <c r="Q1890" i="6"/>
  <c r="N1890" i="6"/>
  <c r="O1890" i="6"/>
  <c r="N1874" i="6"/>
  <c r="O1874" i="6"/>
  <c r="P1874" i="6"/>
  <c r="Q1874" i="6"/>
  <c r="P1858" i="6"/>
  <c r="Q1858" i="6"/>
  <c r="O1858" i="6"/>
  <c r="N1858" i="6"/>
  <c r="N1842" i="6"/>
  <c r="O1842" i="6"/>
  <c r="P1842" i="6"/>
  <c r="Q1842" i="6"/>
  <c r="P1826" i="6"/>
  <c r="Q1826" i="6"/>
  <c r="N1826" i="6"/>
  <c r="O1826" i="6"/>
  <c r="O1810" i="6"/>
  <c r="P1810" i="6"/>
  <c r="Q1810" i="6"/>
  <c r="N1810" i="6"/>
  <c r="P1794" i="6"/>
  <c r="Q1794" i="6"/>
  <c r="N1794" i="6"/>
  <c r="O1794" i="6"/>
  <c r="N1778" i="6"/>
  <c r="P1778" i="6"/>
  <c r="Q1778" i="6"/>
  <c r="O1778" i="6"/>
  <c r="P1762" i="6"/>
  <c r="Q1762" i="6"/>
  <c r="N1762" i="6"/>
  <c r="O1762" i="6"/>
  <c r="N1746" i="6"/>
  <c r="O1746" i="6"/>
  <c r="P1746" i="6"/>
  <c r="Q1746" i="6"/>
  <c r="P1730" i="6"/>
  <c r="N1730" i="6"/>
  <c r="O1730" i="6"/>
  <c r="O1714" i="6"/>
  <c r="P1714" i="6"/>
  <c r="Q1714" i="6"/>
  <c r="N1714" i="6"/>
  <c r="P1698" i="6"/>
  <c r="Q1698" i="6"/>
  <c r="O1698" i="6"/>
  <c r="N1698" i="6"/>
  <c r="Q1682" i="6"/>
  <c r="N1682" i="6"/>
  <c r="O1682" i="6"/>
  <c r="P1682" i="6"/>
  <c r="P1666" i="6"/>
  <c r="Q1666" i="6"/>
  <c r="N1666" i="6"/>
  <c r="O1666" i="6"/>
  <c r="N1650" i="6"/>
  <c r="O1650" i="6"/>
  <c r="P1650" i="6"/>
  <c r="Q1650" i="6"/>
  <c r="P1634" i="6"/>
  <c r="Q1634" i="6"/>
  <c r="N1634" i="6"/>
  <c r="O1618" i="6"/>
  <c r="P1618" i="6"/>
  <c r="Q1618" i="6"/>
  <c r="P1602" i="6"/>
  <c r="Q1602" i="6"/>
  <c r="N1602" i="6"/>
  <c r="O1602" i="6"/>
  <c r="Q1586" i="6"/>
  <c r="P1586" i="6"/>
  <c r="O1586" i="6"/>
  <c r="N1586" i="6"/>
  <c r="P1570" i="6"/>
  <c r="Q1570" i="6"/>
  <c r="N1570" i="6"/>
  <c r="O1570" i="6"/>
  <c r="N1554" i="6"/>
  <c r="O1554" i="6"/>
  <c r="P1554" i="6"/>
  <c r="Q1554" i="6"/>
  <c r="P1538" i="6"/>
  <c r="Q1538" i="6"/>
  <c r="O1538" i="6"/>
  <c r="N1538" i="6"/>
  <c r="N1522" i="6"/>
  <c r="O1522" i="6"/>
  <c r="P1522" i="6"/>
  <c r="Q1522" i="6"/>
  <c r="P1506" i="6"/>
  <c r="Q1506" i="6"/>
  <c r="N1506" i="6"/>
  <c r="O1506" i="6"/>
  <c r="N1490" i="6"/>
  <c r="O1490" i="6"/>
  <c r="P1490" i="6"/>
  <c r="Q1490" i="6"/>
  <c r="P1474" i="6"/>
  <c r="Q1474" i="6"/>
  <c r="N1474" i="6"/>
  <c r="O1474" i="6"/>
  <c r="O1458" i="6"/>
  <c r="P1458" i="6"/>
  <c r="Q1458" i="6"/>
  <c r="N1458" i="6"/>
  <c r="P1442" i="6"/>
  <c r="Q1442" i="6"/>
  <c r="O1442" i="6"/>
  <c r="N1442" i="6"/>
  <c r="O1426" i="6"/>
  <c r="P1426" i="6"/>
  <c r="N1426" i="6"/>
  <c r="P1410" i="6"/>
  <c r="Q1410" i="6"/>
  <c r="N1410" i="6"/>
  <c r="O1410" i="6"/>
  <c r="P1394" i="6"/>
  <c r="P1378" i="6"/>
  <c r="Q1378" i="6"/>
  <c r="N1378" i="6"/>
  <c r="O1378" i="6"/>
  <c r="P1346" i="6"/>
  <c r="Q1346" i="6"/>
  <c r="N1346" i="6"/>
  <c r="O1346" i="6"/>
  <c r="N1330" i="6"/>
  <c r="O1330" i="6"/>
  <c r="P1330" i="6"/>
  <c r="P1314" i="6"/>
  <c r="Q1314" i="6"/>
  <c r="N1314" i="6"/>
  <c r="P1298" i="6"/>
  <c r="N1282" i="6"/>
  <c r="O1282" i="6"/>
  <c r="P1282" i="6"/>
  <c r="Q1282" i="6"/>
  <c r="P1266" i="6"/>
  <c r="P1250" i="6"/>
  <c r="P1234" i="6"/>
  <c r="O1218" i="6"/>
  <c r="P1218" i="6"/>
  <c r="Q1218" i="6"/>
  <c r="N1202" i="6"/>
  <c r="P1202" i="6"/>
  <c r="Q1202" i="6"/>
  <c r="O1202" i="6"/>
  <c r="P1186" i="6"/>
  <c r="N1170" i="6"/>
  <c r="P1170" i="6"/>
  <c r="P1154" i="6"/>
  <c r="Q1138" i="6"/>
  <c r="P1138" i="6"/>
  <c r="N1122" i="6"/>
  <c r="P1122" i="6"/>
  <c r="Q1122" i="6"/>
  <c r="N1106" i="6"/>
  <c r="O1106" i="6"/>
  <c r="P1106" i="6"/>
  <c r="Q1106" i="6"/>
  <c r="O1090" i="6"/>
  <c r="P1090" i="6"/>
  <c r="N1090" i="6"/>
  <c r="Q1090" i="6"/>
  <c r="N1074" i="6"/>
  <c r="Q1074" i="6"/>
  <c r="O1074" i="6"/>
  <c r="P1074" i="6"/>
  <c r="N1058" i="6"/>
  <c r="P1058" i="6"/>
  <c r="Q1058" i="6"/>
  <c r="O1058" i="6"/>
  <c r="O1042" i="6"/>
  <c r="P1042" i="6"/>
  <c r="Q1042" i="6"/>
  <c r="P1026" i="6"/>
  <c r="N1026" i="6"/>
  <c r="Q1026" i="6"/>
  <c r="O1026" i="6"/>
  <c r="P1010" i="6"/>
  <c r="N1010" i="6"/>
  <c r="O1010" i="6"/>
  <c r="Q1010" i="6"/>
  <c r="P994" i="6"/>
  <c r="Q994" i="6"/>
  <c r="N994" i="6"/>
  <c r="O994" i="6"/>
  <c r="P978" i="6"/>
  <c r="Q978" i="6"/>
  <c r="O978" i="6"/>
  <c r="N978" i="6"/>
  <c r="P962" i="6"/>
  <c r="Q962" i="6"/>
  <c r="N962" i="6"/>
  <c r="O962" i="6"/>
  <c r="P946" i="6"/>
  <c r="Q946" i="6"/>
  <c r="O946" i="6"/>
  <c r="N946" i="6"/>
  <c r="P930" i="6"/>
  <c r="Q930" i="6"/>
  <c r="N930" i="6"/>
  <c r="O930" i="6"/>
  <c r="P914" i="6"/>
  <c r="Q914" i="6"/>
  <c r="O914" i="6"/>
  <c r="N914" i="6"/>
  <c r="P898" i="6"/>
  <c r="Q898" i="6"/>
  <c r="O898" i="6"/>
  <c r="N898" i="6"/>
  <c r="P882" i="6"/>
  <c r="N882" i="6"/>
  <c r="O882" i="6"/>
  <c r="P866" i="6"/>
  <c r="Q866" i="6"/>
  <c r="O866" i="6"/>
  <c r="N866" i="6"/>
  <c r="N850" i="6"/>
  <c r="O850" i="6"/>
  <c r="P850" i="6"/>
  <c r="Q850" i="6"/>
  <c r="N834" i="6"/>
  <c r="O834" i="6"/>
  <c r="Q834" i="6"/>
  <c r="P834" i="6"/>
  <c r="N818" i="6"/>
  <c r="Q818" i="6"/>
  <c r="O818" i="6"/>
  <c r="P818" i="6"/>
  <c r="N802" i="6"/>
  <c r="O802" i="6"/>
  <c r="P802" i="6"/>
  <c r="Q802" i="6"/>
  <c r="N786" i="6"/>
  <c r="P786" i="6"/>
  <c r="Q786" i="6"/>
  <c r="O786" i="6"/>
  <c r="N770" i="6"/>
  <c r="O770" i="6"/>
  <c r="P770" i="6"/>
  <c r="Q770" i="6"/>
  <c r="N754" i="6"/>
  <c r="O754" i="6"/>
  <c r="P754" i="6"/>
  <c r="Q754" i="6"/>
  <c r="N738" i="6"/>
  <c r="P738" i="6"/>
  <c r="Q738" i="6"/>
  <c r="O738" i="6"/>
  <c r="N722" i="6"/>
  <c r="P722" i="6"/>
  <c r="Q722" i="6"/>
  <c r="O722" i="6"/>
  <c r="O706" i="6"/>
  <c r="P706" i="6"/>
  <c r="N690" i="6"/>
  <c r="P690" i="6"/>
  <c r="O690" i="6"/>
  <c r="Q690" i="6"/>
  <c r="N674" i="6"/>
  <c r="O674" i="6"/>
  <c r="P674" i="6"/>
  <c r="Q674" i="6"/>
  <c r="N658" i="6"/>
  <c r="O658" i="6"/>
  <c r="P658" i="6"/>
  <c r="Q658" i="6"/>
  <c r="N642" i="6"/>
  <c r="O642" i="6"/>
  <c r="P642" i="6"/>
  <c r="Q642" i="6"/>
  <c r="N626" i="6"/>
  <c r="P626" i="6"/>
  <c r="Q626" i="6"/>
  <c r="O626" i="6"/>
  <c r="N610" i="6"/>
  <c r="O610" i="6"/>
  <c r="P610" i="6"/>
  <c r="N594" i="6"/>
  <c r="O594" i="6"/>
  <c r="Q594" i="6"/>
  <c r="P594" i="6"/>
  <c r="N578" i="6"/>
  <c r="O578" i="6"/>
  <c r="P578" i="6"/>
  <c r="Q578" i="6"/>
  <c r="N562" i="6"/>
  <c r="O562" i="6"/>
  <c r="P562" i="6"/>
  <c r="Q562" i="6"/>
  <c r="N546" i="6"/>
  <c r="Q546" i="6"/>
  <c r="O546" i="6"/>
  <c r="P546" i="6"/>
  <c r="N530" i="6"/>
  <c r="O530" i="6"/>
  <c r="P530" i="6"/>
  <c r="Q530" i="6"/>
  <c r="N514" i="6"/>
  <c r="O514" i="6"/>
  <c r="P514" i="6"/>
  <c r="Q514" i="6"/>
  <c r="N498" i="6"/>
  <c r="O498" i="6"/>
  <c r="P498" i="6"/>
  <c r="Q498" i="6"/>
  <c r="N482" i="6"/>
  <c r="O482" i="6"/>
  <c r="P482" i="6"/>
  <c r="Q482" i="6"/>
  <c r="N466" i="6"/>
  <c r="O466" i="6"/>
  <c r="P466" i="6"/>
  <c r="Q466" i="6"/>
  <c r="N450" i="6"/>
  <c r="O450" i="6"/>
  <c r="P450" i="6"/>
  <c r="Q450" i="6"/>
  <c r="P434" i="6"/>
  <c r="N434" i="6"/>
  <c r="O434" i="6"/>
  <c r="Q434" i="6"/>
  <c r="P418" i="6"/>
  <c r="O418" i="6"/>
  <c r="N418" i="6"/>
  <c r="Q418" i="6"/>
  <c r="P402" i="6"/>
  <c r="Q402" i="6"/>
  <c r="N402" i="6"/>
  <c r="O402" i="6"/>
  <c r="P386" i="6"/>
  <c r="N386" i="6"/>
  <c r="O386" i="6"/>
  <c r="Q386" i="6"/>
  <c r="P370" i="6"/>
  <c r="O370" i="6"/>
  <c r="Q370" i="6"/>
  <c r="N370" i="6"/>
  <c r="N354" i="6"/>
  <c r="O354" i="6"/>
  <c r="P354" i="6"/>
  <c r="Q354" i="6"/>
  <c r="N338" i="6"/>
  <c r="P338" i="6"/>
  <c r="Q338" i="6"/>
  <c r="O338" i="6"/>
  <c r="N322" i="6"/>
  <c r="O322" i="6"/>
  <c r="Q322" i="6"/>
  <c r="P322" i="6"/>
  <c r="N306" i="6"/>
  <c r="O306" i="6"/>
  <c r="Q306" i="6"/>
  <c r="P306" i="6"/>
  <c r="N290" i="6"/>
  <c r="O290" i="6"/>
  <c r="P290" i="6"/>
  <c r="Q290" i="6"/>
  <c r="N1820" i="6"/>
  <c r="P1362" i="6"/>
  <c r="P2011" i="6"/>
  <c r="N1947" i="6"/>
  <c r="O1947" i="6"/>
  <c r="P1947" i="6"/>
  <c r="Q1947" i="6"/>
  <c r="P1899" i="6"/>
  <c r="Q1899" i="6"/>
  <c r="O1899" i="6"/>
  <c r="N1819" i="6"/>
  <c r="O1819" i="6"/>
  <c r="P1819" i="6"/>
  <c r="Q1819" i="6"/>
  <c r="Q1755" i="6"/>
  <c r="N1755" i="6"/>
  <c r="O1755" i="6"/>
  <c r="P1755" i="6"/>
  <c r="O1691" i="6"/>
  <c r="P1691" i="6"/>
  <c r="Q1691" i="6"/>
  <c r="N1691" i="6"/>
  <c r="P1611" i="6"/>
  <c r="Q1611" i="6"/>
  <c r="N1611" i="6"/>
  <c r="O1611" i="6"/>
  <c r="P1547" i="6"/>
  <c r="Q1547" i="6"/>
  <c r="N1547" i="6"/>
  <c r="O1547" i="6"/>
  <c r="P1483" i="6"/>
  <c r="Q1483" i="6"/>
  <c r="N1483" i="6"/>
  <c r="O1483" i="6"/>
  <c r="P1451" i="6"/>
  <c r="Q1451" i="6"/>
  <c r="P1387" i="6"/>
  <c r="Q1387" i="6"/>
  <c r="N1387" i="6"/>
  <c r="O1387" i="6"/>
  <c r="P1323" i="6"/>
  <c r="Q1323" i="6"/>
  <c r="N1323" i="6"/>
  <c r="O1323" i="6"/>
  <c r="P1259" i="6"/>
  <c r="O1195" i="6"/>
  <c r="P1195" i="6"/>
  <c r="N1195" i="6"/>
  <c r="Q1195" i="6"/>
  <c r="N1147" i="6"/>
  <c r="O1147" i="6"/>
  <c r="P1147" i="6"/>
  <c r="Q1147" i="6"/>
  <c r="P1099" i="6"/>
  <c r="Q1099" i="6"/>
  <c r="N1051" i="6"/>
  <c r="O1051" i="6"/>
  <c r="P1051" i="6"/>
  <c r="N987" i="6"/>
  <c r="O987" i="6"/>
  <c r="P987" i="6"/>
  <c r="Q987" i="6"/>
  <c r="N939" i="6"/>
  <c r="P939" i="6"/>
  <c r="Q939" i="6"/>
  <c r="O939" i="6"/>
  <c r="N875" i="6"/>
  <c r="P875" i="6"/>
  <c r="Q875" i="6"/>
  <c r="O875" i="6"/>
  <c r="N827" i="6"/>
  <c r="O827" i="6"/>
  <c r="P827" i="6"/>
  <c r="Q827" i="6"/>
  <c r="N763" i="6"/>
  <c r="Q763" i="6"/>
  <c r="O763" i="6"/>
  <c r="P763" i="6"/>
  <c r="O715" i="6"/>
  <c r="P715" i="6"/>
  <c r="N651" i="6"/>
  <c r="O651" i="6"/>
  <c r="P651" i="6"/>
  <c r="Q651" i="6"/>
  <c r="P619" i="6"/>
  <c r="O619" i="6"/>
  <c r="N619" i="6"/>
  <c r="O555" i="6"/>
  <c r="P555" i="6"/>
  <c r="Q555" i="6"/>
  <c r="N555" i="6"/>
  <c r="N491" i="6"/>
  <c r="O491" i="6"/>
  <c r="P491" i="6"/>
  <c r="Q491" i="6"/>
  <c r="O427" i="6"/>
  <c r="P427" i="6"/>
  <c r="Q427" i="6"/>
  <c r="N427" i="6"/>
  <c r="N363" i="6"/>
  <c r="O363" i="6"/>
  <c r="P363" i="6"/>
  <c r="Q363" i="6"/>
  <c r="N315" i="6"/>
  <c r="P315" i="6"/>
  <c r="O315" i="6"/>
  <c r="Q315" i="6"/>
  <c r="N251" i="6"/>
  <c r="O251" i="6"/>
  <c r="P251" i="6"/>
  <c r="Q251" i="6"/>
  <c r="N187" i="6"/>
  <c r="O187" i="6"/>
  <c r="Q187" i="6"/>
  <c r="P187" i="6"/>
  <c r="P123" i="6"/>
  <c r="N27" i="6"/>
  <c r="P27" i="6"/>
  <c r="Q27" i="6"/>
  <c r="N1977" i="6"/>
  <c r="P1977" i="6"/>
  <c r="Q1977" i="6"/>
  <c r="O1977" i="6"/>
  <c r="N1913" i="6"/>
  <c r="P1913" i="6"/>
  <c r="Q1913" i="6"/>
  <c r="O1913" i="6"/>
  <c r="N1849" i="6"/>
  <c r="P1849" i="6"/>
  <c r="Q1849" i="6"/>
  <c r="O1849" i="6"/>
  <c r="N1785" i="6"/>
  <c r="P1785" i="6"/>
  <c r="Q1785" i="6"/>
  <c r="O1785" i="6"/>
  <c r="P1721" i="6"/>
  <c r="N1657" i="6"/>
  <c r="P1657" i="6"/>
  <c r="Q1657" i="6"/>
  <c r="O1657" i="6"/>
  <c r="N1593" i="6"/>
  <c r="P1593" i="6"/>
  <c r="Q1593" i="6"/>
  <c r="O1593" i="6"/>
  <c r="N1529" i="6"/>
  <c r="P1529" i="6"/>
  <c r="Q1529" i="6"/>
  <c r="O1529" i="6"/>
  <c r="N1465" i="6"/>
  <c r="P1465" i="6"/>
  <c r="Q1465" i="6"/>
  <c r="O1465" i="6"/>
  <c r="N1401" i="6"/>
  <c r="P1401" i="6"/>
  <c r="Q1401" i="6"/>
  <c r="O1401" i="6"/>
  <c r="N1337" i="6"/>
  <c r="P1337" i="6"/>
  <c r="O1337" i="6"/>
  <c r="O1273" i="6"/>
  <c r="P1273" i="6"/>
  <c r="O1209" i="6"/>
  <c r="P1209" i="6"/>
  <c r="N1209" i="6"/>
  <c r="P1145" i="6"/>
  <c r="Q1145" i="6"/>
  <c r="O1081" i="6"/>
  <c r="P1081" i="6"/>
  <c r="Q1081" i="6"/>
  <c r="N1081" i="6"/>
  <c r="N1017" i="6"/>
  <c r="P1017" i="6"/>
  <c r="Q1017" i="6"/>
  <c r="O1017" i="6"/>
  <c r="P937" i="6"/>
  <c r="Q937" i="6"/>
  <c r="N937" i="6"/>
  <c r="O937" i="6"/>
  <c r="N889" i="6"/>
  <c r="O889" i="6"/>
  <c r="P889" i="6"/>
  <c r="Q857" i="6"/>
  <c r="N857" i="6"/>
  <c r="P857" i="6"/>
  <c r="Q809" i="6"/>
  <c r="P809" i="6"/>
  <c r="N809" i="6"/>
  <c r="O809" i="6"/>
  <c r="Q761" i="6"/>
  <c r="N761" i="6"/>
  <c r="O761" i="6"/>
  <c r="P761" i="6"/>
  <c r="P713" i="6"/>
  <c r="Q665" i="6"/>
  <c r="N665" i="6"/>
  <c r="O665" i="6"/>
  <c r="P665" i="6"/>
  <c r="P601" i="6"/>
  <c r="Q553" i="6"/>
  <c r="N553" i="6"/>
  <c r="O553" i="6"/>
  <c r="P553" i="6"/>
  <c r="Q505" i="6"/>
  <c r="O505" i="6"/>
  <c r="N505" i="6"/>
  <c r="P505" i="6"/>
  <c r="P441" i="6"/>
  <c r="Q441" i="6"/>
  <c r="O441" i="6"/>
  <c r="N441" i="6"/>
  <c r="N393" i="6"/>
  <c r="O393" i="6"/>
  <c r="P393" i="6"/>
  <c r="Q393" i="6"/>
  <c r="O345" i="6"/>
  <c r="N345" i="6"/>
  <c r="P345" i="6"/>
  <c r="Q345" i="6"/>
  <c r="O297" i="6"/>
  <c r="P297" i="6"/>
  <c r="Q297" i="6"/>
  <c r="N297" i="6"/>
  <c r="O249" i="6"/>
  <c r="P249" i="6"/>
  <c r="Q249" i="6"/>
  <c r="N249" i="6"/>
  <c r="O201" i="6"/>
  <c r="P201" i="6"/>
  <c r="Q201" i="6"/>
  <c r="N201" i="6"/>
  <c r="O153" i="6"/>
  <c r="P153" i="6"/>
  <c r="Q153" i="6"/>
  <c r="N153" i="6"/>
  <c r="O105" i="6"/>
  <c r="P105" i="6"/>
  <c r="Q105" i="6"/>
  <c r="N105" i="6"/>
  <c r="O73" i="6"/>
  <c r="P73" i="6"/>
  <c r="Q73" i="6"/>
  <c r="N73" i="6"/>
  <c r="O41" i="6"/>
  <c r="P41" i="6"/>
  <c r="Q41" i="6"/>
  <c r="N41" i="6"/>
  <c r="Q1339" i="6"/>
  <c r="P2024" i="6"/>
  <c r="P2008" i="6"/>
  <c r="Q1992" i="6"/>
  <c r="N1992" i="6"/>
  <c r="O1992" i="6"/>
  <c r="P1992" i="6"/>
  <c r="Q1976" i="6"/>
  <c r="N1976" i="6"/>
  <c r="O1976" i="6"/>
  <c r="P1976" i="6"/>
  <c r="Q1960" i="6"/>
  <c r="N1960" i="6"/>
  <c r="O1960" i="6"/>
  <c r="P1960" i="6"/>
  <c r="Q1944" i="6"/>
  <c r="N1944" i="6"/>
  <c r="O1944" i="6"/>
  <c r="P1944" i="6"/>
  <c r="Q1928" i="6"/>
  <c r="O1928" i="6"/>
  <c r="P1928" i="6"/>
  <c r="N1928" i="6"/>
  <c r="Q1912" i="6"/>
  <c r="O1912" i="6"/>
  <c r="P1912" i="6"/>
  <c r="N1912" i="6"/>
  <c r="Q1896" i="6"/>
  <c r="N1896" i="6"/>
  <c r="Q1880" i="6"/>
  <c r="N1880" i="6"/>
  <c r="O1880" i="6"/>
  <c r="Q1864" i="6"/>
  <c r="N1864" i="6"/>
  <c r="O1864" i="6"/>
  <c r="P1864" i="6"/>
  <c r="Q1848" i="6"/>
  <c r="N1848" i="6"/>
  <c r="O1848" i="6"/>
  <c r="P1848" i="6"/>
  <c r="Q1832" i="6"/>
  <c r="N1832" i="6"/>
  <c r="O1832" i="6"/>
  <c r="P1832" i="6"/>
  <c r="Q1816" i="6"/>
  <c r="O1816" i="6"/>
  <c r="P1816" i="6"/>
  <c r="N1816" i="6"/>
  <c r="Q1800" i="6"/>
  <c r="O1800" i="6"/>
  <c r="P1800" i="6"/>
  <c r="N1800" i="6"/>
  <c r="Q1784" i="6"/>
  <c r="N1784" i="6"/>
  <c r="O1784" i="6"/>
  <c r="P1784" i="6"/>
  <c r="Q1768" i="6"/>
  <c r="O1768" i="6"/>
  <c r="P1768" i="6"/>
  <c r="N1768" i="6"/>
  <c r="Q1752" i="6"/>
  <c r="N1752" i="6"/>
  <c r="O1752" i="6"/>
  <c r="P1752" i="6"/>
  <c r="Q1736" i="6"/>
  <c r="N1736" i="6"/>
  <c r="O1736" i="6"/>
  <c r="P1736" i="6"/>
  <c r="P1720" i="6"/>
  <c r="Q1704" i="6"/>
  <c r="N1704" i="6"/>
  <c r="O1704" i="6"/>
  <c r="P1704" i="6"/>
  <c r="Q1688" i="6"/>
  <c r="N1688" i="6"/>
  <c r="O1688" i="6"/>
  <c r="P1688" i="6"/>
  <c r="Q1672" i="6"/>
  <c r="O1672" i="6"/>
  <c r="P1672" i="6"/>
  <c r="N1672" i="6"/>
  <c r="Q1656" i="6"/>
  <c r="O1656" i="6"/>
  <c r="P1656" i="6"/>
  <c r="N1656" i="6"/>
  <c r="Q1640" i="6"/>
  <c r="N1640" i="6"/>
  <c r="O1640" i="6"/>
  <c r="P1640" i="6"/>
  <c r="Q1624" i="6"/>
  <c r="N1624" i="6"/>
  <c r="O1624" i="6"/>
  <c r="P1624" i="6"/>
  <c r="Q1608" i="6"/>
  <c r="N1608" i="6"/>
  <c r="O1608" i="6"/>
  <c r="P1608" i="6"/>
  <c r="Q1592" i="6"/>
  <c r="N1592" i="6"/>
  <c r="O1592" i="6"/>
  <c r="P1592" i="6"/>
  <c r="Q1576" i="6"/>
  <c r="P1576" i="6"/>
  <c r="Q1560" i="6"/>
  <c r="N1560" i="6"/>
  <c r="O1560" i="6"/>
  <c r="Q1544" i="6"/>
  <c r="N1544" i="6"/>
  <c r="O1544" i="6"/>
  <c r="P1544" i="6"/>
  <c r="Q1528" i="6"/>
  <c r="N1528" i="6"/>
  <c r="O1528" i="6"/>
  <c r="P1528" i="6"/>
  <c r="Q1512" i="6"/>
  <c r="N1512" i="6"/>
  <c r="O1512" i="6"/>
  <c r="P1512" i="6"/>
  <c r="Q1496" i="6"/>
  <c r="O1496" i="6"/>
  <c r="P1496" i="6"/>
  <c r="N1496" i="6"/>
  <c r="Q1480" i="6"/>
  <c r="N1480" i="6"/>
  <c r="O1480" i="6"/>
  <c r="Q1464" i="6"/>
  <c r="N1464" i="6"/>
  <c r="O1464" i="6"/>
  <c r="P1464" i="6"/>
  <c r="P1448" i="6"/>
  <c r="N1432" i="6"/>
  <c r="O1432" i="6"/>
  <c r="P1432" i="6"/>
  <c r="Q1416" i="6"/>
  <c r="O1416" i="6"/>
  <c r="P1416" i="6"/>
  <c r="N1416" i="6"/>
  <c r="O1400" i="6"/>
  <c r="P1400" i="6"/>
  <c r="N1400" i="6"/>
  <c r="Q1384" i="6"/>
  <c r="O1384" i="6"/>
  <c r="P1384" i="6"/>
  <c r="N1384" i="6"/>
  <c r="Q1368" i="6"/>
  <c r="P1368" i="6"/>
  <c r="N1368" i="6"/>
  <c r="O1368" i="6"/>
  <c r="Q1352" i="6"/>
  <c r="O1352" i="6"/>
  <c r="P1352" i="6"/>
  <c r="Q1336" i="6"/>
  <c r="N1336" i="6"/>
  <c r="O1336" i="6"/>
  <c r="P1336" i="6"/>
  <c r="Q1320" i="6"/>
  <c r="N1320" i="6"/>
  <c r="P1320" i="6"/>
  <c r="P1304" i="6"/>
  <c r="N1288" i="6"/>
  <c r="O1288" i="6"/>
  <c r="P1288" i="6"/>
  <c r="P1272" i="6"/>
  <c r="P1256" i="6"/>
  <c r="Q1224" i="6"/>
  <c r="N1224" i="6"/>
  <c r="O1224" i="6"/>
  <c r="P1224" i="6"/>
  <c r="N1208" i="6"/>
  <c r="O1208" i="6"/>
  <c r="P1208" i="6"/>
  <c r="O1192" i="6"/>
  <c r="P1192" i="6"/>
  <c r="O1176" i="6"/>
  <c r="P1176" i="6"/>
  <c r="Q1176" i="6"/>
  <c r="N1176" i="6"/>
  <c r="P1160" i="6"/>
  <c r="P1144" i="6"/>
  <c r="O1128" i="6"/>
  <c r="P1128" i="6"/>
  <c r="Q1128" i="6"/>
  <c r="N1128" i="6"/>
  <c r="P1112" i="6"/>
  <c r="Q1112" i="6"/>
  <c r="N1112" i="6"/>
  <c r="Q1096" i="6"/>
  <c r="N1096" i="6"/>
  <c r="O1096" i="6"/>
  <c r="P1096" i="6"/>
  <c r="N1080" i="6"/>
  <c r="O1080" i="6"/>
  <c r="P1080" i="6"/>
  <c r="Q1080" i="6"/>
  <c r="N1064" i="6"/>
  <c r="O1064" i="6"/>
  <c r="P1064" i="6"/>
  <c r="Q1064" i="6"/>
  <c r="O1048" i="6"/>
  <c r="P1048" i="6"/>
  <c r="N1048" i="6"/>
  <c r="Q1032" i="6"/>
  <c r="O1032" i="6"/>
  <c r="N1032" i="6"/>
  <c r="P1032" i="6"/>
  <c r="N1016" i="6"/>
  <c r="O1016" i="6"/>
  <c r="P1016" i="6"/>
  <c r="Q1016" i="6"/>
  <c r="N1000" i="6"/>
  <c r="O1000" i="6"/>
  <c r="P1000" i="6"/>
  <c r="Q1000" i="6"/>
  <c r="N984" i="6"/>
  <c r="O984" i="6"/>
  <c r="P984" i="6"/>
  <c r="Q984" i="6"/>
  <c r="Q968" i="6"/>
  <c r="O968" i="6"/>
  <c r="P968" i="6"/>
  <c r="N968" i="6"/>
  <c r="P952" i="6"/>
  <c r="Q952" i="6"/>
  <c r="N952" i="6"/>
  <c r="O952" i="6"/>
  <c r="N936" i="6"/>
  <c r="O936" i="6"/>
  <c r="P936" i="6"/>
  <c r="Q936" i="6"/>
  <c r="N920" i="6"/>
  <c r="O920" i="6"/>
  <c r="P920" i="6"/>
  <c r="Q920" i="6"/>
  <c r="N904" i="6"/>
  <c r="P904" i="6"/>
  <c r="O904" i="6"/>
  <c r="N888" i="6"/>
  <c r="O888" i="6"/>
  <c r="Q872" i="6"/>
  <c r="N872" i="6"/>
  <c r="O872" i="6"/>
  <c r="P872" i="6"/>
  <c r="N856" i="6"/>
  <c r="O856" i="6"/>
  <c r="P856" i="6"/>
  <c r="Q856" i="6"/>
  <c r="N840" i="6"/>
  <c r="O840" i="6"/>
  <c r="P840" i="6"/>
  <c r="Q840" i="6"/>
  <c r="O824" i="6"/>
  <c r="P824" i="6"/>
  <c r="Q824" i="6"/>
  <c r="N808" i="6"/>
  <c r="O808" i="6"/>
  <c r="Q808" i="6"/>
  <c r="P808" i="6"/>
  <c r="P792" i="6"/>
  <c r="Q792" i="6"/>
  <c r="N792" i="6"/>
  <c r="O792" i="6"/>
  <c r="N776" i="6"/>
  <c r="O776" i="6"/>
  <c r="P776" i="6"/>
  <c r="Q776" i="6"/>
  <c r="N760" i="6"/>
  <c r="O760" i="6"/>
  <c r="P760" i="6"/>
  <c r="Q760" i="6"/>
  <c r="P744" i="6"/>
  <c r="N744" i="6"/>
  <c r="O744" i="6"/>
  <c r="Q744" i="6"/>
  <c r="O728" i="6"/>
  <c r="P728" i="6"/>
  <c r="Q728" i="6"/>
  <c r="N728" i="6"/>
  <c r="P712" i="6"/>
  <c r="O712" i="6"/>
  <c r="N712" i="6"/>
  <c r="O696" i="6"/>
  <c r="P680" i="6"/>
  <c r="N680" i="6"/>
  <c r="O680" i="6"/>
  <c r="N664" i="6"/>
  <c r="O664" i="6"/>
  <c r="Q664" i="6"/>
  <c r="P664" i="6"/>
  <c r="P648" i="6"/>
  <c r="N648" i="6"/>
  <c r="O648" i="6"/>
  <c r="Q648" i="6"/>
  <c r="N632" i="6"/>
  <c r="O632" i="6"/>
  <c r="P632" i="6"/>
  <c r="P616" i="6"/>
  <c r="N616" i="6"/>
  <c r="O616" i="6"/>
  <c r="O600" i="6"/>
  <c r="P600" i="6"/>
  <c r="Q600" i="6"/>
  <c r="N600" i="6"/>
  <c r="P584" i="6"/>
  <c r="N584" i="6"/>
  <c r="O584" i="6"/>
  <c r="Q584" i="6"/>
  <c r="Q568" i="6"/>
  <c r="O568" i="6"/>
  <c r="P568" i="6"/>
  <c r="N568" i="6"/>
  <c r="P552" i="6"/>
  <c r="Q552" i="6"/>
  <c r="N552" i="6"/>
  <c r="O552" i="6"/>
  <c r="N536" i="6"/>
  <c r="O536" i="6"/>
  <c r="P536" i="6"/>
  <c r="Q536" i="6"/>
  <c r="P520" i="6"/>
  <c r="Q520" i="6"/>
  <c r="N520" i="6"/>
  <c r="O520" i="6"/>
  <c r="N504" i="6"/>
  <c r="O504" i="6"/>
  <c r="P504" i="6"/>
  <c r="Q504" i="6"/>
  <c r="P488" i="6"/>
  <c r="Q488" i="6"/>
  <c r="N488" i="6"/>
  <c r="O488" i="6"/>
  <c r="O472" i="6"/>
  <c r="P472" i="6"/>
  <c r="Q472" i="6"/>
  <c r="N472" i="6"/>
  <c r="P456" i="6"/>
  <c r="Q456" i="6"/>
  <c r="O456" i="6"/>
  <c r="N456" i="6"/>
  <c r="N440" i="6"/>
  <c r="O440" i="6"/>
  <c r="P440" i="6"/>
  <c r="Q440" i="6"/>
  <c r="P424" i="6"/>
  <c r="Q424" i="6"/>
  <c r="N424" i="6"/>
  <c r="O424" i="6"/>
  <c r="N408" i="6"/>
  <c r="O408" i="6"/>
  <c r="P408" i="6"/>
  <c r="Q408" i="6"/>
  <c r="Q392" i="6"/>
  <c r="N392" i="6"/>
  <c r="O392" i="6"/>
  <c r="P392" i="6"/>
  <c r="O376" i="6"/>
  <c r="P376" i="6"/>
  <c r="Q376" i="6"/>
  <c r="N376" i="6"/>
  <c r="N360" i="6"/>
  <c r="O360" i="6"/>
  <c r="Q360" i="6"/>
  <c r="P360" i="6"/>
  <c r="N344" i="6"/>
  <c r="P344" i="6"/>
  <c r="Q344" i="6"/>
  <c r="O344" i="6"/>
  <c r="O328" i="6"/>
  <c r="P328" i="6"/>
  <c r="Q328" i="6"/>
  <c r="N328" i="6"/>
  <c r="N312" i="6"/>
  <c r="O312" i="6"/>
  <c r="P312" i="6"/>
  <c r="Q312" i="6"/>
  <c r="N296" i="6"/>
  <c r="O296" i="6"/>
  <c r="P296" i="6"/>
  <c r="Q296" i="6"/>
  <c r="N280" i="6"/>
  <c r="O280" i="6"/>
  <c r="P280" i="6"/>
  <c r="Q280" i="6"/>
  <c r="N264" i="6"/>
  <c r="O264" i="6"/>
  <c r="P264" i="6"/>
  <c r="Q264" i="6"/>
  <c r="N248" i="6"/>
  <c r="O248" i="6"/>
  <c r="P248" i="6"/>
  <c r="Q248" i="6"/>
  <c r="N232" i="6"/>
  <c r="O232" i="6"/>
  <c r="P232" i="6"/>
  <c r="Q232" i="6"/>
  <c r="N216" i="6"/>
  <c r="O216" i="6"/>
  <c r="P216" i="6"/>
  <c r="Q216" i="6"/>
  <c r="Q200" i="6"/>
  <c r="N200" i="6"/>
  <c r="O200" i="6"/>
  <c r="P200" i="6"/>
  <c r="P184" i="6"/>
  <c r="Q184" i="6"/>
  <c r="O184" i="6"/>
  <c r="N184" i="6"/>
  <c r="N168" i="6"/>
  <c r="O168" i="6"/>
  <c r="P168" i="6"/>
  <c r="Q168" i="6"/>
  <c r="O152" i="6"/>
  <c r="P152" i="6"/>
  <c r="Q152" i="6"/>
  <c r="N152" i="6"/>
  <c r="N136" i="6"/>
  <c r="O136" i="6"/>
  <c r="P136" i="6"/>
  <c r="O120" i="6"/>
  <c r="P120" i="6"/>
  <c r="N104" i="6"/>
  <c r="O104" i="6"/>
  <c r="P104" i="6"/>
  <c r="Q104" i="6"/>
  <c r="Q88" i="6"/>
  <c r="P88" i="6"/>
  <c r="N88" i="6"/>
  <c r="O88" i="6"/>
  <c r="P72" i="6"/>
  <c r="Q72" i="6"/>
  <c r="N72" i="6"/>
  <c r="O72" i="6"/>
  <c r="O56" i="6"/>
  <c r="P56" i="6"/>
  <c r="Q56" i="6"/>
  <c r="N56" i="6"/>
  <c r="N40" i="6"/>
  <c r="O40" i="6"/>
  <c r="P40" i="6"/>
  <c r="Q40" i="6"/>
  <c r="N1988" i="6"/>
  <c r="O1926" i="6"/>
  <c r="P1240" i="6"/>
  <c r="O857" i="6"/>
  <c r="N1979" i="6"/>
  <c r="O1979" i="6"/>
  <c r="P1979" i="6"/>
  <c r="Q1979" i="6"/>
  <c r="N1915" i="6"/>
  <c r="O1915" i="6"/>
  <c r="P1915" i="6"/>
  <c r="Q1915" i="6"/>
  <c r="N1851" i="6"/>
  <c r="Q1851" i="6"/>
  <c r="O1851" i="6"/>
  <c r="P1851" i="6"/>
  <c r="O1787" i="6"/>
  <c r="P1787" i="6"/>
  <c r="Q1787" i="6"/>
  <c r="N1787" i="6"/>
  <c r="N1723" i="6"/>
  <c r="O1723" i="6"/>
  <c r="P1723" i="6"/>
  <c r="Q1723" i="6"/>
  <c r="P1643" i="6"/>
  <c r="Q1643" i="6"/>
  <c r="N1643" i="6"/>
  <c r="O1643" i="6"/>
  <c r="N1563" i="6"/>
  <c r="O1563" i="6"/>
  <c r="P1563" i="6"/>
  <c r="Q1563" i="6"/>
  <c r="Q1499" i="6"/>
  <c r="N1499" i="6"/>
  <c r="O1499" i="6"/>
  <c r="P1499" i="6"/>
  <c r="P1419" i="6"/>
  <c r="Q1419" i="6"/>
  <c r="O1419" i="6"/>
  <c r="N1419" i="6"/>
  <c r="P1355" i="6"/>
  <c r="Q1355" i="6"/>
  <c r="N1355" i="6"/>
  <c r="O1355" i="6"/>
  <c r="P1291" i="6"/>
  <c r="Q1291" i="6"/>
  <c r="P1243" i="6"/>
  <c r="P1179" i="6"/>
  <c r="P1115" i="6"/>
  <c r="N1035" i="6"/>
  <c r="O1035" i="6"/>
  <c r="P1035" i="6"/>
  <c r="Q1035" i="6"/>
  <c r="N971" i="6"/>
  <c r="O971" i="6"/>
  <c r="Q971" i="6"/>
  <c r="P971" i="6"/>
  <c r="P907" i="6"/>
  <c r="O843" i="6"/>
  <c r="P843" i="6"/>
  <c r="Q843" i="6"/>
  <c r="N843" i="6"/>
  <c r="O779" i="6"/>
  <c r="P779" i="6"/>
  <c r="Q779" i="6"/>
  <c r="N779" i="6"/>
  <c r="N747" i="6"/>
  <c r="O747" i="6"/>
  <c r="P747" i="6"/>
  <c r="Q747" i="6"/>
  <c r="O683" i="6"/>
  <c r="P683" i="6"/>
  <c r="Q683" i="6"/>
  <c r="N683" i="6"/>
  <c r="N603" i="6"/>
  <c r="O603" i="6"/>
  <c r="P603" i="6"/>
  <c r="Q603" i="6"/>
  <c r="N539" i="6"/>
  <c r="O539" i="6"/>
  <c r="P539" i="6"/>
  <c r="Q539" i="6"/>
  <c r="N475" i="6"/>
  <c r="O475" i="6"/>
  <c r="P475" i="6"/>
  <c r="Q475" i="6"/>
  <c r="O411" i="6"/>
  <c r="P411" i="6"/>
  <c r="N411" i="6"/>
  <c r="Q411" i="6"/>
  <c r="N347" i="6"/>
  <c r="O347" i="6"/>
  <c r="P347" i="6"/>
  <c r="Q347" i="6"/>
  <c r="N283" i="6"/>
  <c r="O283" i="6"/>
  <c r="P283" i="6"/>
  <c r="Q283" i="6"/>
  <c r="N235" i="6"/>
  <c r="P235" i="6"/>
  <c r="Q235" i="6"/>
  <c r="O235" i="6"/>
  <c r="N171" i="6"/>
  <c r="P171" i="6"/>
  <c r="Q171" i="6"/>
  <c r="O171" i="6"/>
  <c r="N107" i="6"/>
  <c r="O107" i="6"/>
  <c r="P107" i="6"/>
  <c r="Q107" i="6"/>
  <c r="N59" i="6"/>
  <c r="O59" i="6"/>
  <c r="P59" i="6"/>
  <c r="Q59" i="6"/>
  <c r="N1994" i="6"/>
  <c r="O1994" i="6"/>
  <c r="P1994" i="6"/>
  <c r="Q1994" i="6"/>
  <c r="N1914" i="6"/>
  <c r="Q1914" i="6"/>
  <c r="O1914" i="6"/>
  <c r="P1914" i="6"/>
  <c r="O1850" i="6"/>
  <c r="P1850" i="6"/>
  <c r="Q1850" i="6"/>
  <c r="N1850" i="6"/>
  <c r="Q1802" i="6"/>
  <c r="O1802" i="6"/>
  <c r="P1802" i="6"/>
  <c r="N1802" i="6"/>
  <c r="O1754" i="6"/>
  <c r="P1754" i="6"/>
  <c r="Q1754" i="6"/>
  <c r="N1626" i="6"/>
  <c r="O1626" i="6"/>
  <c r="P1626" i="6"/>
  <c r="Q1626" i="6"/>
  <c r="O1578" i="6"/>
  <c r="P1578" i="6"/>
  <c r="Q1578" i="6"/>
  <c r="N1578" i="6"/>
  <c r="Q1530" i="6"/>
  <c r="N1530" i="6"/>
  <c r="P1530" i="6"/>
  <c r="O1482" i="6"/>
  <c r="P1482" i="6"/>
  <c r="Q1482" i="6"/>
  <c r="N1482" i="6"/>
  <c r="O1434" i="6"/>
  <c r="P1434" i="6"/>
  <c r="N1386" i="6"/>
  <c r="O1386" i="6"/>
  <c r="P1386" i="6"/>
  <c r="Q1386" i="6"/>
  <c r="O1338" i="6"/>
  <c r="P1338" i="6"/>
  <c r="Q1338" i="6"/>
  <c r="N1338" i="6"/>
  <c r="O1290" i="6"/>
  <c r="P1290" i="6"/>
  <c r="P1242" i="6"/>
  <c r="P1194" i="6"/>
  <c r="O1194" i="6"/>
  <c r="P1146" i="6"/>
  <c r="N1146" i="6"/>
  <c r="Q1146" i="6"/>
  <c r="N1098" i="6"/>
  <c r="O1098" i="6"/>
  <c r="P1098" i="6"/>
  <c r="Q1098" i="6"/>
  <c r="N1066" i="6"/>
  <c r="P1066" i="6"/>
  <c r="Q1066" i="6"/>
  <c r="P1018" i="6"/>
  <c r="N1018" i="6"/>
  <c r="O1018" i="6"/>
  <c r="Q1018" i="6"/>
  <c r="P954" i="6"/>
  <c r="Q954" i="6"/>
  <c r="N954" i="6"/>
  <c r="O954" i="6"/>
  <c r="P890" i="6"/>
  <c r="Q890" i="6"/>
  <c r="N890" i="6"/>
  <c r="O890" i="6"/>
  <c r="N842" i="6"/>
  <c r="O842" i="6"/>
  <c r="P842" i="6"/>
  <c r="Q842" i="6"/>
  <c r="N794" i="6"/>
  <c r="O794" i="6"/>
  <c r="P794" i="6"/>
  <c r="Q794" i="6"/>
  <c r="N746" i="6"/>
  <c r="Q746" i="6"/>
  <c r="O746" i="6"/>
  <c r="P746" i="6"/>
  <c r="N730" i="6"/>
  <c r="P730" i="6"/>
  <c r="Q730" i="6"/>
  <c r="O730" i="6"/>
  <c r="N698" i="6"/>
  <c r="O698" i="6"/>
  <c r="P698" i="6"/>
  <c r="N650" i="6"/>
  <c r="P650" i="6"/>
  <c r="P602" i="6"/>
  <c r="N554" i="6"/>
  <c r="O554" i="6"/>
  <c r="P554" i="6"/>
  <c r="Q554" i="6"/>
  <c r="N506" i="6"/>
  <c r="O506" i="6"/>
  <c r="P506" i="6"/>
  <c r="Q506" i="6"/>
  <c r="N458" i="6"/>
  <c r="O458" i="6"/>
  <c r="P458" i="6"/>
  <c r="Q458" i="6"/>
  <c r="P426" i="6"/>
  <c r="O426" i="6"/>
  <c r="Q426" i="6"/>
  <c r="N426" i="6"/>
  <c r="P378" i="6"/>
  <c r="N378" i="6"/>
  <c r="O378" i="6"/>
  <c r="Q378" i="6"/>
  <c r="N330" i="6"/>
  <c r="P330" i="6"/>
  <c r="Q330" i="6"/>
  <c r="O330" i="6"/>
  <c r="N282" i="6"/>
  <c r="P282" i="6"/>
  <c r="Q282" i="6"/>
  <c r="O282" i="6"/>
  <c r="N218" i="6"/>
  <c r="P218" i="6"/>
  <c r="Q218" i="6"/>
  <c r="O218" i="6"/>
  <c r="N170" i="6"/>
  <c r="P170" i="6"/>
  <c r="Q170" i="6"/>
  <c r="O170" i="6"/>
  <c r="P122" i="6"/>
  <c r="N74" i="6"/>
  <c r="P74" i="6"/>
  <c r="Q74" i="6"/>
  <c r="O74" i="6"/>
  <c r="N26" i="6"/>
  <c r="P26" i="6"/>
  <c r="O26" i="6"/>
  <c r="P2009" i="6"/>
  <c r="N1945" i="6"/>
  <c r="P1945" i="6"/>
  <c r="Q1945" i="6"/>
  <c r="O1945" i="6"/>
  <c r="N1897" i="6"/>
  <c r="O1897" i="6"/>
  <c r="P1897" i="6"/>
  <c r="Q1897" i="6"/>
  <c r="N1833" i="6"/>
  <c r="O1833" i="6"/>
  <c r="P1833" i="6"/>
  <c r="Q1833" i="6"/>
  <c r="P1737" i="6"/>
  <c r="N1673" i="6"/>
  <c r="O1673" i="6"/>
  <c r="P1673" i="6"/>
  <c r="N1609" i="6"/>
  <c r="Q1609" i="6"/>
  <c r="O1609" i="6"/>
  <c r="P1609" i="6"/>
  <c r="N1545" i="6"/>
  <c r="O1545" i="6"/>
  <c r="P1545" i="6"/>
  <c r="Q1545" i="6"/>
  <c r="N1497" i="6"/>
  <c r="P1497" i="6"/>
  <c r="Q1497" i="6"/>
  <c r="O1497" i="6"/>
  <c r="N1433" i="6"/>
  <c r="P1433" i="6"/>
  <c r="O1433" i="6"/>
  <c r="N1369" i="6"/>
  <c r="P1369" i="6"/>
  <c r="Q1369" i="6"/>
  <c r="O1369" i="6"/>
  <c r="P1289" i="6"/>
  <c r="O1225" i="6"/>
  <c r="P1225" i="6"/>
  <c r="Q1225" i="6"/>
  <c r="N1225" i="6"/>
  <c r="P1161" i="6"/>
  <c r="O1097" i="6"/>
  <c r="P1097" i="6"/>
  <c r="Q1097" i="6"/>
  <c r="N1033" i="6"/>
  <c r="O1033" i="6"/>
  <c r="P1033" i="6"/>
  <c r="P985" i="6"/>
  <c r="Q985" i="6"/>
  <c r="N985" i="6"/>
  <c r="O985" i="6"/>
  <c r="N905" i="6"/>
  <c r="O905" i="6"/>
  <c r="P905" i="6"/>
  <c r="Q489" i="6"/>
  <c r="N489" i="6"/>
  <c r="O489" i="6"/>
  <c r="P489" i="6"/>
  <c r="P2023" i="6"/>
  <c r="N2007" i="6"/>
  <c r="P2007" i="6"/>
  <c r="N1991" i="6"/>
  <c r="O1991" i="6"/>
  <c r="P1991" i="6"/>
  <c r="Q1991" i="6"/>
  <c r="O1975" i="6"/>
  <c r="P1975" i="6"/>
  <c r="Q1975" i="6"/>
  <c r="N1975" i="6"/>
  <c r="N1959" i="6"/>
  <c r="O1959" i="6"/>
  <c r="Q1959" i="6"/>
  <c r="P1959" i="6"/>
  <c r="Q1943" i="6"/>
  <c r="N1943" i="6"/>
  <c r="O1943" i="6"/>
  <c r="P1943" i="6"/>
  <c r="N1927" i="6"/>
  <c r="O1927" i="6"/>
  <c r="Q1927" i="6"/>
  <c r="O1911" i="6"/>
  <c r="P1911" i="6"/>
  <c r="Q1911" i="6"/>
  <c r="N1911" i="6"/>
  <c r="N1895" i="6"/>
  <c r="O1895" i="6"/>
  <c r="P1895" i="6"/>
  <c r="Q1895" i="6"/>
  <c r="O1879" i="6"/>
  <c r="P1879" i="6"/>
  <c r="Q1879" i="6"/>
  <c r="N1879" i="6"/>
  <c r="N1863" i="6"/>
  <c r="O1863" i="6"/>
  <c r="P1863" i="6"/>
  <c r="N1847" i="6"/>
  <c r="O1847" i="6"/>
  <c r="P1847" i="6"/>
  <c r="Q1847" i="6"/>
  <c r="N1831" i="6"/>
  <c r="O1831" i="6"/>
  <c r="P1831" i="6"/>
  <c r="Q1831" i="6"/>
  <c r="N1815" i="6"/>
  <c r="O1815" i="6"/>
  <c r="P1815" i="6"/>
  <c r="Q1815" i="6"/>
  <c r="N1799" i="6"/>
  <c r="O1799" i="6"/>
  <c r="P1799" i="6"/>
  <c r="Q1799" i="6"/>
  <c r="N1783" i="6"/>
  <c r="O1783" i="6"/>
  <c r="P1783" i="6"/>
  <c r="Q1783" i="6"/>
  <c r="N1767" i="6"/>
  <c r="O1767" i="6"/>
  <c r="P1767" i="6"/>
  <c r="N1751" i="6"/>
  <c r="O1751" i="6"/>
  <c r="P1751" i="6"/>
  <c r="Q1751" i="6"/>
  <c r="N1735" i="6"/>
  <c r="O1735" i="6"/>
  <c r="P1735" i="6"/>
  <c r="Q1735" i="6"/>
  <c r="O1719" i="6"/>
  <c r="P1719" i="6"/>
  <c r="Q1719" i="6"/>
  <c r="N1719" i="6"/>
  <c r="N1703" i="6"/>
  <c r="O1703" i="6"/>
  <c r="Q1703" i="6"/>
  <c r="Q1687" i="6"/>
  <c r="N1687" i="6"/>
  <c r="O1687" i="6"/>
  <c r="P1687" i="6"/>
  <c r="N1671" i="6"/>
  <c r="O1671" i="6"/>
  <c r="P1671" i="6"/>
  <c r="Q1671" i="6"/>
  <c r="Q1655" i="6"/>
  <c r="N1655" i="6"/>
  <c r="O1655" i="6"/>
  <c r="P1655" i="6"/>
  <c r="N1639" i="6"/>
  <c r="O1639" i="6"/>
  <c r="P1639" i="6"/>
  <c r="Q1639" i="6"/>
  <c r="N1623" i="6"/>
  <c r="O1623" i="6"/>
  <c r="P1623" i="6"/>
  <c r="Q1623" i="6"/>
  <c r="N1607" i="6"/>
  <c r="O1607" i="6"/>
  <c r="Q1607" i="6"/>
  <c r="P1607" i="6"/>
  <c r="N1591" i="6"/>
  <c r="O1591" i="6"/>
  <c r="P1591" i="6"/>
  <c r="Q1591" i="6"/>
  <c r="N1575" i="6"/>
  <c r="O1575" i="6"/>
  <c r="O1559" i="6"/>
  <c r="P1559" i="6"/>
  <c r="Q1559" i="6"/>
  <c r="N1559" i="6"/>
  <c r="N1543" i="6"/>
  <c r="O1543" i="6"/>
  <c r="Q1543" i="6"/>
  <c r="N1527" i="6"/>
  <c r="P1527" i="6"/>
  <c r="Q1527" i="6"/>
  <c r="O1527" i="6"/>
  <c r="N1511" i="6"/>
  <c r="O1511" i="6"/>
  <c r="P1511" i="6"/>
  <c r="Q1511" i="6"/>
  <c r="N1495" i="6"/>
  <c r="O1495" i="6"/>
  <c r="P1495" i="6"/>
  <c r="Q1495" i="6"/>
  <c r="N1479" i="6"/>
  <c r="O1479" i="6"/>
  <c r="P1479" i="6"/>
  <c r="Q1479" i="6"/>
  <c r="O1463" i="6"/>
  <c r="P1463" i="6"/>
  <c r="Q1463" i="6"/>
  <c r="N1463" i="6"/>
  <c r="N1447" i="6"/>
  <c r="O1447" i="6"/>
  <c r="Q1447" i="6"/>
  <c r="P1447" i="6"/>
  <c r="N1431" i="6"/>
  <c r="O1431" i="6"/>
  <c r="P1431" i="6"/>
  <c r="N1415" i="6"/>
  <c r="O1415" i="6"/>
  <c r="P1415" i="6"/>
  <c r="Q1415" i="6"/>
  <c r="P1399" i="6"/>
  <c r="Q1399" i="6"/>
  <c r="N1383" i="6"/>
  <c r="O1383" i="6"/>
  <c r="Q1383" i="6"/>
  <c r="N1367" i="6"/>
  <c r="O1367" i="6"/>
  <c r="P1367" i="6"/>
  <c r="Q1367" i="6"/>
  <c r="N1351" i="6"/>
  <c r="O1351" i="6"/>
  <c r="P1351" i="6"/>
  <c r="Q1351" i="6"/>
  <c r="Q1335" i="6"/>
  <c r="N1335" i="6"/>
  <c r="O1335" i="6"/>
  <c r="P1335" i="6"/>
  <c r="N1319" i="6"/>
  <c r="O1319" i="6"/>
  <c r="P1319" i="6"/>
  <c r="Q1319" i="6"/>
  <c r="P1303" i="6"/>
  <c r="N1287" i="6"/>
  <c r="O1287" i="6"/>
  <c r="P1287" i="6"/>
  <c r="Q1287" i="6"/>
  <c r="P1271" i="6"/>
  <c r="P1255" i="6"/>
  <c r="N1223" i="6"/>
  <c r="O1223" i="6"/>
  <c r="P1223" i="6"/>
  <c r="Q1223" i="6"/>
  <c r="O1207" i="6"/>
  <c r="P1207" i="6"/>
  <c r="N1207" i="6"/>
  <c r="Q1207" i="6"/>
  <c r="P1191" i="6"/>
  <c r="Q1175" i="6"/>
  <c r="P1175" i="6"/>
  <c r="P1159" i="6"/>
  <c r="O1127" i="6"/>
  <c r="P1127" i="6"/>
  <c r="Q1127" i="6"/>
  <c r="N1127" i="6"/>
  <c r="Q1111" i="6"/>
  <c r="N1111" i="6"/>
  <c r="O1111" i="6"/>
  <c r="P1111" i="6"/>
  <c r="P1095" i="6"/>
  <c r="N1095" i="6"/>
  <c r="O1079" i="6"/>
  <c r="P1079" i="6"/>
  <c r="N1079" i="6"/>
  <c r="Q1079" i="6"/>
  <c r="O1063" i="6"/>
  <c r="P1063" i="6"/>
  <c r="Q1063" i="6"/>
  <c r="N1063" i="6"/>
  <c r="P1047" i="6"/>
  <c r="Q1031" i="6"/>
  <c r="P1031" i="6"/>
  <c r="O1031" i="6"/>
  <c r="N1031" i="6"/>
  <c r="Q1015" i="6"/>
  <c r="P1015" i="6"/>
  <c r="O1015" i="6"/>
  <c r="N1015" i="6"/>
  <c r="N999" i="6"/>
  <c r="O999" i="6"/>
  <c r="Q999" i="6"/>
  <c r="N983" i="6"/>
  <c r="Q983" i="6"/>
  <c r="P983" i="6"/>
  <c r="O983" i="6"/>
  <c r="N967" i="6"/>
  <c r="O967" i="6"/>
  <c r="P967" i="6"/>
  <c r="Q967" i="6"/>
  <c r="N951" i="6"/>
  <c r="P951" i="6"/>
  <c r="Q951" i="6"/>
  <c r="O951" i="6"/>
  <c r="N935" i="6"/>
  <c r="O935" i="6"/>
  <c r="Q935" i="6"/>
  <c r="P935" i="6"/>
  <c r="N919" i="6"/>
  <c r="Q919" i="6"/>
  <c r="O919" i="6"/>
  <c r="P919" i="6"/>
  <c r="N903" i="6"/>
  <c r="O903" i="6"/>
  <c r="P903" i="6"/>
  <c r="Q903" i="6"/>
  <c r="N887" i="6"/>
  <c r="O887" i="6"/>
  <c r="P887" i="6"/>
  <c r="N871" i="6"/>
  <c r="O871" i="6"/>
  <c r="P871" i="6"/>
  <c r="Q871" i="6"/>
  <c r="N855" i="6"/>
  <c r="O855" i="6"/>
  <c r="P855" i="6"/>
  <c r="Q855" i="6"/>
  <c r="Q839" i="6"/>
  <c r="N839" i="6"/>
  <c r="O839" i="6"/>
  <c r="P839" i="6"/>
  <c r="N823" i="6"/>
  <c r="O823" i="6"/>
  <c r="P823" i="6"/>
  <c r="Q823" i="6"/>
  <c r="Q807" i="6"/>
  <c r="N807" i="6"/>
  <c r="O807" i="6"/>
  <c r="P807" i="6"/>
  <c r="O791" i="6"/>
  <c r="P791" i="6"/>
  <c r="N791" i="6"/>
  <c r="Q791" i="6"/>
  <c r="Q775" i="6"/>
  <c r="P775" i="6"/>
  <c r="N759" i="6"/>
  <c r="O759" i="6"/>
  <c r="Q759" i="6"/>
  <c r="P759" i="6"/>
  <c r="O743" i="6"/>
  <c r="P743" i="6"/>
  <c r="Q743" i="6"/>
  <c r="N743" i="6"/>
  <c r="O727" i="6"/>
  <c r="P727" i="6"/>
  <c r="Q727" i="6"/>
  <c r="N711" i="6"/>
  <c r="O711" i="6"/>
  <c r="P711" i="6"/>
  <c r="O695" i="6"/>
  <c r="P695" i="6"/>
  <c r="N679" i="6"/>
  <c r="O679" i="6"/>
  <c r="P679" i="6"/>
  <c r="Q679" i="6"/>
  <c r="Q663" i="6"/>
  <c r="N663" i="6"/>
  <c r="O663" i="6"/>
  <c r="P663" i="6"/>
  <c r="N647" i="6"/>
  <c r="O647" i="6"/>
  <c r="P647" i="6"/>
  <c r="Q647" i="6"/>
  <c r="O631" i="6"/>
  <c r="Q631" i="6"/>
  <c r="N631" i="6"/>
  <c r="P631" i="6"/>
  <c r="N615" i="6"/>
  <c r="O615" i="6"/>
  <c r="P615" i="6"/>
  <c r="Q615" i="6"/>
  <c r="N599" i="6"/>
  <c r="O599" i="6"/>
  <c r="Q599" i="6"/>
  <c r="P599" i="6"/>
  <c r="Q583" i="6"/>
  <c r="N583" i="6"/>
  <c r="O583" i="6"/>
  <c r="P583" i="6"/>
  <c r="N567" i="6"/>
  <c r="O567" i="6"/>
  <c r="P567" i="6"/>
  <c r="Q567" i="6"/>
  <c r="O551" i="6"/>
  <c r="Q551" i="6"/>
  <c r="P551" i="6"/>
  <c r="N551" i="6"/>
  <c r="N535" i="6"/>
  <c r="Q535" i="6"/>
  <c r="O535" i="6"/>
  <c r="P535" i="6"/>
  <c r="N519" i="6"/>
  <c r="O519" i="6"/>
  <c r="P519" i="6"/>
  <c r="Q519" i="6"/>
  <c r="N503" i="6"/>
  <c r="O503" i="6"/>
  <c r="P503" i="6"/>
  <c r="Q503" i="6"/>
  <c r="P487" i="6"/>
  <c r="Q487" i="6"/>
  <c r="N487" i="6"/>
  <c r="O487" i="6"/>
  <c r="N471" i="6"/>
  <c r="O471" i="6"/>
  <c r="Q471" i="6"/>
  <c r="Q455" i="6"/>
  <c r="P455" i="6"/>
  <c r="N455" i="6"/>
  <c r="O455" i="6"/>
  <c r="Q439" i="6"/>
  <c r="N439" i="6"/>
  <c r="O439" i="6"/>
  <c r="P439" i="6"/>
  <c r="O423" i="6"/>
  <c r="P423" i="6"/>
  <c r="Q423" i="6"/>
  <c r="N423" i="6"/>
  <c r="O407" i="6"/>
  <c r="P407" i="6"/>
  <c r="N407" i="6"/>
  <c r="Q407" i="6"/>
  <c r="O391" i="6"/>
  <c r="P391" i="6"/>
  <c r="N391" i="6"/>
  <c r="Q391" i="6"/>
  <c r="O375" i="6"/>
  <c r="P375" i="6"/>
  <c r="N375" i="6"/>
  <c r="Q375" i="6"/>
  <c r="N359" i="6"/>
  <c r="O359" i="6"/>
  <c r="Q359" i="6"/>
  <c r="P359" i="6"/>
  <c r="O343" i="6"/>
  <c r="P343" i="6"/>
  <c r="Q343" i="6"/>
  <c r="N343" i="6"/>
  <c r="P327" i="6"/>
  <c r="Q327" i="6"/>
  <c r="N327" i="6"/>
  <c r="O327" i="6"/>
  <c r="N311" i="6"/>
  <c r="O311" i="6"/>
  <c r="Q311" i="6"/>
  <c r="P311" i="6"/>
  <c r="P295" i="6"/>
  <c r="Q295" i="6"/>
  <c r="N295" i="6"/>
  <c r="O295" i="6"/>
  <c r="P279" i="6"/>
  <c r="Q279" i="6"/>
  <c r="N279" i="6"/>
  <c r="O279" i="6"/>
  <c r="P263" i="6"/>
  <c r="Q263" i="6"/>
  <c r="N263" i="6"/>
  <c r="O263" i="6"/>
  <c r="N247" i="6"/>
  <c r="O247" i="6"/>
  <c r="P247" i="6"/>
  <c r="Q247" i="6"/>
  <c r="N231" i="6"/>
  <c r="O231" i="6"/>
  <c r="P231" i="6"/>
  <c r="Q231" i="6"/>
  <c r="N215" i="6"/>
  <c r="O215" i="6"/>
  <c r="P215" i="6"/>
  <c r="Q215" i="6"/>
  <c r="N199" i="6"/>
  <c r="O199" i="6"/>
  <c r="P199" i="6"/>
  <c r="Q199" i="6"/>
  <c r="N183" i="6"/>
  <c r="O183" i="6"/>
  <c r="P183" i="6"/>
  <c r="Q183" i="6"/>
  <c r="Q167" i="6"/>
  <c r="N167" i="6"/>
  <c r="O167" i="6"/>
  <c r="P167" i="6"/>
  <c r="N151" i="6"/>
  <c r="O151" i="6"/>
  <c r="P151" i="6"/>
  <c r="Q151" i="6"/>
  <c r="O135" i="6"/>
  <c r="P135" i="6"/>
  <c r="P119" i="6"/>
  <c r="P103" i="6"/>
  <c r="Q103" i="6"/>
  <c r="N103" i="6"/>
  <c r="O103" i="6"/>
  <c r="N87" i="6"/>
  <c r="O87" i="6"/>
  <c r="P87" i="6"/>
  <c r="Q87" i="6"/>
  <c r="N71" i="6"/>
  <c r="O71" i="6"/>
  <c r="P71" i="6"/>
  <c r="Q71" i="6"/>
  <c r="N55" i="6"/>
  <c r="O55" i="6"/>
  <c r="P55" i="6"/>
  <c r="Q55" i="6"/>
  <c r="N39" i="6"/>
  <c r="O39" i="6"/>
  <c r="P39" i="6"/>
  <c r="Q39" i="6"/>
  <c r="P999" i="6"/>
  <c r="O1659" i="6"/>
  <c r="P1659" i="6"/>
  <c r="Q1659" i="6"/>
  <c r="N1659" i="6"/>
  <c r="P2026" i="6"/>
  <c r="N1978" i="6"/>
  <c r="O1978" i="6"/>
  <c r="P1978" i="6"/>
  <c r="Q1978" i="6"/>
  <c r="N1866" i="6"/>
  <c r="O1866" i="6"/>
  <c r="P1866" i="6"/>
  <c r="Q1866" i="6"/>
  <c r="Q1818" i="6"/>
  <c r="N1818" i="6"/>
  <c r="O1818" i="6"/>
  <c r="P1818" i="6"/>
  <c r="N1786" i="6"/>
  <c r="O1786" i="6"/>
  <c r="P1786" i="6"/>
  <c r="Q1786" i="6"/>
  <c r="P1738" i="6"/>
  <c r="N1706" i="6"/>
  <c r="O1706" i="6"/>
  <c r="P1706" i="6"/>
  <c r="Q1706" i="6"/>
  <c r="N1658" i="6"/>
  <c r="O1658" i="6"/>
  <c r="P1658" i="6"/>
  <c r="Q1658" i="6"/>
  <c r="N1610" i="6"/>
  <c r="O1610" i="6"/>
  <c r="P1610" i="6"/>
  <c r="Q1610" i="6"/>
  <c r="Q1562" i="6"/>
  <c r="N1562" i="6"/>
  <c r="O1562" i="6"/>
  <c r="P1562" i="6"/>
  <c r="O1466" i="6"/>
  <c r="P1466" i="6"/>
  <c r="Q1466" i="6"/>
  <c r="N1466" i="6"/>
  <c r="N1418" i="6"/>
  <c r="O1418" i="6"/>
  <c r="P1418" i="6"/>
  <c r="Q1418" i="6"/>
  <c r="N1370" i="6"/>
  <c r="O1370" i="6"/>
  <c r="P1370" i="6"/>
  <c r="Q1370" i="6"/>
  <c r="O1322" i="6"/>
  <c r="P1322" i="6"/>
  <c r="N1322" i="6"/>
  <c r="O1274" i="6"/>
  <c r="P1274" i="6"/>
  <c r="O1226" i="6"/>
  <c r="P1226" i="6"/>
  <c r="N1226" i="6"/>
  <c r="P1178" i="6"/>
  <c r="P1130" i="6"/>
  <c r="P1082" i="6"/>
  <c r="N1082" i="6"/>
  <c r="O1082" i="6"/>
  <c r="Q1082" i="6"/>
  <c r="P1034" i="6"/>
  <c r="N1034" i="6"/>
  <c r="O1034" i="6"/>
  <c r="P986" i="6"/>
  <c r="Q986" i="6"/>
  <c r="N986" i="6"/>
  <c r="O986" i="6"/>
  <c r="P938" i="6"/>
  <c r="Q938" i="6"/>
  <c r="N938" i="6"/>
  <c r="O938" i="6"/>
  <c r="P906" i="6"/>
  <c r="N906" i="6"/>
  <c r="O906" i="6"/>
  <c r="N858" i="6"/>
  <c r="O858" i="6"/>
  <c r="P858" i="6"/>
  <c r="Q858" i="6"/>
  <c r="N810" i="6"/>
  <c r="O810" i="6"/>
  <c r="P810" i="6"/>
  <c r="Q810" i="6"/>
  <c r="N762" i="6"/>
  <c r="Q762" i="6"/>
  <c r="O762" i="6"/>
  <c r="P762" i="6"/>
  <c r="N666" i="6"/>
  <c r="O666" i="6"/>
  <c r="P666" i="6"/>
  <c r="Q666" i="6"/>
  <c r="N618" i="6"/>
  <c r="O618" i="6"/>
  <c r="P618" i="6"/>
  <c r="Q618" i="6"/>
  <c r="N570" i="6"/>
  <c r="O570" i="6"/>
  <c r="P570" i="6"/>
  <c r="Q570" i="6"/>
  <c r="N522" i="6"/>
  <c r="Q522" i="6"/>
  <c r="O522" i="6"/>
  <c r="N490" i="6"/>
  <c r="Q490" i="6"/>
  <c r="O490" i="6"/>
  <c r="P490" i="6"/>
  <c r="P442" i="6"/>
  <c r="O442" i="6"/>
  <c r="Q442" i="6"/>
  <c r="N442" i="6"/>
  <c r="P394" i="6"/>
  <c r="N394" i="6"/>
  <c r="O394" i="6"/>
  <c r="Q394" i="6"/>
  <c r="N346" i="6"/>
  <c r="Q346" i="6"/>
  <c r="O346" i="6"/>
  <c r="P346" i="6"/>
  <c r="N298" i="6"/>
  <c r="P298" i="6"/>
  <c r="Q298" i="6"/>
  <c r="O298" i="6"/>
  <c r="N250" i="6"/>
  <c r="P250" i="6"/>
  <c r="Q250" i="6"/>
  <c r="O250" i="6"/>
  <c r="N202" i="6"/>
  <c r="P202" i="6"/>
  <c r="Q202" i="6"/>
  <c r="O202" i="6"/>
  <c r="N154" i="6"/>
  <c r="P154" i="6"/>
  <c r="Q154" i="6"/>
  <c r="O154" i="6"/>
  <c r="N106" i="6"/>
  <c r="P106" i="6"/>
  <c r="Q106" i="6"/>
  <c r="O106" i="6"/>
  <c r="N42" i="6"/>
  <c r="P42" i="6"/>
  <c r="Q42" i="6"/>
  <c r="O42" i="6"/>
  <c r="N1993" i="6"/>
  <c r="P1993" i="6"/>
  <c r="Q1993" i="6"/>
  <c r="O1993" i="6"/>
  <c r="N1929" i="6"/>
  <c r="O1929" i="6"/>
  <c r="P1929" i="6"/>
  <c r="Q1929" i="6"/>
  <c r="N1865" i="6"/>
  <c r="Q1865" i="6"/>
  <c r="O1865" i="6"/>
  <c r="P1865" i="6"/>
  <c r="N1817" i="6"/>
  <c r="P1817" i="6"/>
  <c r="Q1817" i="6"/>
  <c r="O1817" i="6"/>
  <c r="N1769" i="6"/>
  <c r="O1769" i="6"/>
  <c r="P1769" i="6"/>
  <c r="Q1769" i="6"/>
  <c r="N1705" i="6"/>
  <c r="Q1705" i="6"/>
  <c r="N1641" i="6"/>
  <c r="O1641" i="6"/>
  <c r="P1641" i="6"/>
  <c r="Q1641" i="6"/>
  <c r="N1577" i="6"/>
  <c r="O1577" i="6"/>
  <c r="P1577" i="6"/>
  <c r="Q1577" i="6"/>
  <c r="N1513" i="6"/>
  <c r="O1513" i="6"/>
  <c r="P1513" i="6"/>
  <c r="Q1513" i="6"/>
  <c r="P1449" i="6"/>
  <c r="N1385" i="6"/>
  <c r="O1385" i="6"/>
  <c r="P1385" i="6"/>
  <c r="Q1385" i="6"/>
  <c r="N1321" i="6"/>
  <c r="P1321" i="6"/>
  <c r="Q1321" i="6"/>
  <c r="O1321" i="6"/>
  <c r="P1257" i="6"/>
  <c r="O1193" i="6"/>
  <c r="P1193" i="6"/>
  <c r="P1129" i="6"/>
  <c r="O1065" i="6"/>
  <c r="P1065" i="6"/>
  <c r="Q1065" i="6"/>
  <c r="N1065" i="6"/>
  <c r="N969" i="6"/>
  <c r="O969" i="6"/>
  <c r="Q969" i="6"/>
  <c r="P969" i="6"/>
  <c r="Q841" i="6"/>
  <c r="N841" i="6"/>
  <c r="P841" i="6"/>
  <c r="O841" i="6"/>
  <c r="Q793" i="6"/>
  <c r="N793" i="6"/>
  <c r="O793" i="6"/>
  <c r="P793" i="6"/>
  <c r="Q745" i="6"/>
  <c r="P745" i="6"/>
  <c r="N745" i="6"/>
  <c r="O745" i="6"/>
  <c r="N681" i="6"/>
  <c r="O681" i="6"/>
  <c r="P681" i="6"/>
  <c r="N633" i="6"/>
  <c r="O633" i="6"/>
  <c r="P633" i="6"/>
  <c r="Q585" i="6"/>
  <c r="P585" i="6"/>
  <c r="O585" i="6"/>
  <c r="N585" i="6"/>
  <c r="Q537" i="6"/>
  <c r="N537" i="6"/>
  <c r="O537" i="6"/>
  <c r="P537" i="6"/>
  <c r="Q473" i="6"/>
  <c r="O473" i="6"/>
  <c r="P473" i="6"/>
  <c r="N473" i="6"/>
  <c r="Q409" i="6"/>
  <c r="N409" i="6"/>
  <c r="O409" i="6"/>
  <c r="P409" i="6"/>
  <c r="O361" i="6"/>
  <c r="P361" i="6"/>
  <c r="Q361" i="6"/>
  <c r="N361" i="6"/>
  <c r="O313" i="6"/>
  <c r="P313" i="6"/>
  <c r="Q313" i="6"/>
  <c r="N313" i="6"/>
  <c r="O265" i="6"/>
  <c r="P265" i="6"/>
  <c r="Q265" i="6"/>
  <c r="N265" i="6"/>
  <c r="O217" i="6"/>
  <c r="P217" i="6"/>
  <c r="Q217" i="6"/>
  <c r="N217" i="6"/>
  <c r="O169" i="6"/>
  <c r="P169" i="6"/>
  <c r="Q169" i="6"/>
  <c r="N169" i="6"/>
  <c r="O137" i="6"/>
  <c r="P137" i="6"/>
  <c r="N137" i="6"/>
  <c r="O89" i="6"/>
  <c r="P89" i="6"/>
  <c r="Q89" i="6"/>
  <c r="N89" i="6"/>
  <c r="O57" i="6"/>
  <c r="P57" i="6"/>
  <c r="Q57" i="6"/>
  <c r="N57" i="6"/>
  <c r="P2022" i="6"/>
  <c r="N2006" i="6"/>
  <c r="P2006" i="6"/>
  <c r="O1990" i="6"/>
  <c r="P1990" i="6"/>
  <c r="Q1990" i="6"/>
  <c r="N1990" i="6"/>
  <c r="N1974" i="6"/>
  <c r="O1974" i="6"/>
  <c r="P1974" i="6"/>
  <c r="Q1974" i="6"/>
  <c r="N1958" i="6"/>
  <c r="O1958" i="6"/>
  <c r="P1958" i="6"/>
  <c r="Q1958" i="6"/>
  <c r="O1942" i="6"/>
  <c r="P1942" i="6"/>
  <c r="Q1942" i="6"/>
  <c r="N1942" i="6"/>
  <c r="P1910" i="6"/>
  <c r="Q1910" i="6"/>
  <c r="N1910" i="6"/>
  <c r="O1910" i="6"/>
  <c r="N1894" i="6"/>
  <c r="O1894" i="6"/>
  <c r="P1894" i="6"/>
  <c r="Q1894" i="6"/>
  <c r="N1878" i="6"/>
  <c r="O1878" i="6"/>
  <c r="P1878" i="6"/>
  <c r="Q1878" i="6"/>
  <c r="N1862" i="6"/>
  <c r="O1862" i="6"/>
  <c r="P1862" i="6"/>
  <c r="Q1862" i="6"/>
  <c r="N1846" i="6"/>
  <c r="O1846" i="6"/>
  <c r="P1846" i="6"/>
  <c r="Q1846" i="6"/>
  <c r="N1830" i="6"/>
  <c r="Q1830" i="6"/>
  <c r="O1830" i="6"/>
  <c r="P1830" i="6"/>
  <c r="N1814" i="6"/>
  <c r="O1814" i="6"/>
  <c r="P1814" i="6"/>
  <c r="Q1814" i="6"/>
  <c r="N1798" i="6"/>
  <c r="O1798" i="6"/>
  <c r="P1798" i="6"/>
  <c r="O1782" i="6"/>
  <c r="P1782" i="6"/>
  <c r="Q1782" i="6"/>
  <c r="N1782" i="6"/>
  <c r="O1766" i="6"/>
  <c r="P1766" i="6"/>
  <c r="Q1766" i="6"/>
  <c r="Q1750" i="6"/>
  <c r="N1750" i="6"/>
  <c r="O1750" i="6"/>
  <c r="P1750" i="6"/>
  <c r="Q1734" i="6"/>
  <c r="N1734" i="6"/>
  <c r="O1734" i="6"/>
  <c r="P1734" i="6"/>
  <c r="P1718" i="6"/>
  <c r="N1702" i="6"/>
  <c r="O1702" i="6"/>
  <c r="P1702" i="6"/>
  <c r="N1686" i="6"/>
  <c r="O1686" i="6"/>
  <c r="P1686" i="6"/>
  <c r="Q1686" i="6"/>
  <c r="O1670" i="6"/>
  <c r="P1670" i="6"/>
  <c r="Q1670" i="6"/>
  <c r="N1670" i="6"/>
  <c r="N1654" i="6"/>
  <c r="O1654" i="6"/>
  <c r="P1654" i="6"/>
  <c r="Q1654" i="6"/>
  <c r="P1638" i="6"/>
  <c r="Q1638" i="6"/>
  <c r="N1638" i="6"/>
  <c r="O1638" i="6"/>
  <c r="O1622" i="6"/>
  <c r="P1622" i="6"/>
  <c r="Q1622" i="6"/>
  <c r="N1622" i="6"/>
  <c r="Q1606" i="6"/>
  <c r="O1606" i="6"/>
  <c r="P1606" i="6"/>
  <c r="N1590" i="6"/>
  <c r="O1590" i="6"/>
  <c r="P1590" i="6"/>
  <c r="Q1590" i="6"/>
  <c r="N1574" i="6"/>
  <c r="O1574" i="6"/>
  <c r="P1574" i="6"/>
  <c r="Q1574" i="6"/>
  <c r="N1558" i="6"/>
  <c r="O1558" i="6"/>
  <c r="P1558" i="6"/>
  <c r="Q1558" i="6"/>
  <c r="N1542" i="6"/>
  <c r="O1542" i="6"/>
  <c r="P1542" i="6"/>
  <c r="O1526" i="6"/>
  <c r="P1526" i="6"/>
  <c r="Q1526" i="6"/>
  <c r="N1526" i="6"/>
  <c r="O1510" i="6"/>
  <c r="P1510" i="6"/>
  <c r="Q1510" i="6"/>
  <c r="N1510" i="6"/>
  <c r="Q1494" i="6"/>
  <c r="P1494" i="6"/>
  <c r="Q1478" i="6"/>
  <c r="N1478" i="6"/>
  <c r="O1478" i="6"/>
  <c r="P1478" i="6"/>
  <c r="N1462" i="6"/>
  <c r="O1462" i="6"/>
  <c r="P1462" i="6"/>
  <c r="Q1462" i="6"/>
  <c r="P1446" i="6"/>
  <c r="N1414" i="6"/>
  <c r="O1414" i="6"/>
  <c r="Q1414" i="6"/>
  <c r="P1414" i="6"/>
  <c r="Q1398" i="6"/>
  <c r="N1398" i="6"/>
  <c r="O1398" i="6"/>
  <c r="P1398" i="6"/>
  <c r="N1382" i="6"/>
  <c r="O1382" i="6"/>
  <c r="N1366" i="6"/>
  <c r="O1366" i="6"/>
  <c r="P1366" i="6"/>
  <c r="Q1366" i="6"/>
  <c r="O1350" i="6"/>
  <c r="P1350" i="6"/>
  <c r="Q1350" i="6"/>
  <c r="N1334" i="6"/>
  <c r="P1334" i="6"/>
  <c r="O1334" i="6"/>
  <c r="N1318" i="6"/>
  <c r="O1318" i="6"/>
  <c r="P1318" i="6"/>
  <c r="Q1318" i="6"/>
  <c r="N1302" i="6"/>
  <c r="P1302" i="6"/>
  <c r="Q1302" i="6"/>
  <c r="N1286" i="6"/>
  <c r="O1286" i="6"/>
  <c r="P1286" i="6"/>
  <c r="P1270" i="6"/>
  <c r="P1254" i="6"/>
  <c r="P1238" i="6"/>
  <c r="N1222" i="6"/>
  <c r="O1222" i="6"/>
  <c r="P1222" i="6"/>
  <c r="Q1222" i="6"/>
  <c r="N1206" i="6"/>
  <c r="O1206" i="6"/>
  <c r="P1206" i="6"/>
  <c r="Q1206" i="6"/>
  <c r="N1190" i="6"/>
  <c r="O1190" i="6"/>
  <c r="P1190" i="6"/>
  <c r="N1174" i="6"/>
  <c r="P1174" i="6"/>
  <c r="Q1174" i="6"/>
  <c r="N1158" i="6"/>
  <c r="O1158" i="6"/>
  <c r="P1158" i="6"/>
  <c r="P1142" i="6"/>
  <c r="Q1126" i="6"/>
  <c r="N1126" i="6"/>
  <c r="P1126" i="6"/>
  <c r="N1110" i="6"/>
  <c r="O1110" i="6"/>
  <c r="P1110" i="6"/>
  <c r="Q1110" i="6"/>
  <c r="O1094" i="6"/>
  <c r="P1094" i="6"/>
  <c r="N1094" i="6"/>
  <c r="Q1094" i="6"/>
  <c r="O1078" i="6"/>
  <c r="P1078" i="6"/>
  <c r="Q1078" i="6"/>
  <c r="N1078" i="6"/>
  <c r="Q1062" i="6"/>
  <c r="N1062" i="6"/>
  <c r="O1062" i="6"/>
  <c r="P1062" i="6"/>
  <c r="N1046" i="6"/>
  <c r="O1046" i="6"/>
  <c r="P1046" i="6"/>
  <c r="P1030" i="6"/>
  <c r="O1030" i="6"/>
  <c r="Q1030" i="6"/>
  <c r="N1030" i="6"/>
  <c r="P1014" i="6"/>
  <c r="N1014" i="6"/>
  <c r="O1014" i="6"/>
  <c r="Q1014" i="6"/>
  <c r="P998" i="6"/>
  <c r="Q998" i="6"/>
  <c r="N998" i="6"/>
  <c r="O998" i="6"/>
  <c r="P982" i="6"/>
  <c r="Q982" i="6"/>
  <c r="O982" i="6"/>
  <c r="N982" i="6"/>
  <c r="P966" i="6"/>
  <c r="Q966" i="6"/>
  <c r="N966" i="6"/>
  <c r="O966" i="6"/>
  <c r="P950" i="6"/>
  <c r="Q950" i="6"/>
  <c r="N950" i="6"/>
  <c r="O950" i="6"/>
  <c r="P934" i="6"/>
  <c r="Q934" i="6"/>
  <c r="N934" i="6"/>
  <c r="O934" i="6"/>
  <c r="P918" i="6"/>
  <c r="Q918" i="6"/>
  <c r="N918" i="6"/>
  <c r="O918" i="6"/>
  <c r="P902" i="6"/>
  <c r="Q902" i="6"/>
  <c r="O902" i="6"/>
  <c r="N902" i="6"/>
  <c r="P886" i="6"/>
  <c r="N886" i="6"/>
  <c r="O886" i="6"/>
  <c r="P870" i="6"/>
  <c r="Q870" i="6"/>
  <c r="N870" i="6"/>
  <c r="O870" i="6"/>
  <c r="N854" i="6"/>
  <c r="O854" i="6"/>
  <c r="Q854" i="6"/>
  <c r="P854" i="6"/>
  <c r="N838" i="6"/>
  <c r="O838" i="6"/>
  <c r="P838" i="6"/>
  <c r="Q838" i="6"/>
  <c r="N822" i="6"/>
  <c r="O822" i="6"/>
  <c r="P822" i="6"/>
  <c r="Q822" i="6"/>
  <c r="N806" i="6"/>
  <c r="P806" i="6"/>
  <c r="O806" i="6"/>
  <c r="Q806" i="6"/>
  <c r="O1320" i="6"/>
  <c r="P1239" i="6"/>
  <c r="P1143" i="6"/>
  <c r="P1995" i="6"/>
  <c r="Q1995" i="6"/>
  <c r="O1995" i="6"/>
  <c r="N1995" i="6"/>
  <c r="P1931" i="6"/>
  <c r="Q1931" i="6"/>
  <c r="N1931" i="6"/>
  <c r="O1931" i="6"/>
  <c r="P1867" i="6"/>
  <c r="Q1867" i="6"/>
  <c r="N1867" i="6"/>
  <c r="O1867" i="6"/>
  <c r="P1803" i="6"/>
  <c r="Q1803" i="6"/>
  <c r="N1803" i="6"/>
  <c r="O1803" i="6"/>
  <c r="P1739" i="6"/>
  <c r="Q1739" i="6"/>
  <c r="O1739" i="6"/>
  <c r="N1739" i="6"/>
  <c r="P1675" i="6"/>
  <c r="Q1675" i="6"/>
  <c r="N1675" i="6"/>
  <c r="O1675" i="6"/>
  <c r="N1595" i="6"/>
  <c r="O1595" i="6"/>
  <c r="P1595" i="6"/>
  <c r="Q1595" i="6"/>
  <c r="O1531" i="6"/>
  <c r="P1531" i="6"/>
  <c r="Q1531" i="6"/>
  <c r="N1531" i="6"/>
  <c r="Q1467" i="6"/>
  <c r="N1467" i="6"/>
  <c r="O1467" i="6"/>
  <c r="P1467" i="6"/>
  <c r="N1403" i="6"/>
  <c r="O1403" i="6"/>
  <c r="P1403" i="6"/>
  <c r="N1339" i="6"/>
  <c r="O1339" i="6"/>
  <c r="P1275" i="6"/>
  <c r="N1211" i="6"/>
  <c r="O1211" i="6"/>
  <c r="P1131" i="6"/>
  <c r="P1067" i="6"/>
  <c r="Q1067" i="6"/>
  <c r="N1067" i="6"/>
  <c r="O1067" i="6"/>
  <c r="N1003" i="6"/>
  <c r="O1003" i="6"/>
  <c r="P1003" i="6"/>
  <c r="Q1003" i="6"/>
  <c r="N923" i="6"/>
  <c r="O923" i="6"/>
  <c r="P923" i="6"/>
  <c r="Q923" i="6"/>
  <c r="P859" i="6"/>
  <c r="Q859" i="6"/>
  <c r="N859" i="6"/>
  <c r="O859" i="6"/>
  <c r="N795" i="6"/>
  <c r="P795" i="6"/>
  <c r="Q795" i="6"/>
  <c r="O795" i="6"/>
  <c r="N699" i="6"/>
  <c r="O699" i="6"/>
  <c r="P699" i="6"/>
  <c r="Q699" i="6"/>
  <c r="N635" i="6"/>
  <c r="O635" i="6"/>
  <c r="P635" i="6"/>
  <c r="N571" i="6"/>
  <c r="O571" i="6"/>
  <c r="P571" i="6"/>
  <c r="Q571" i="6"/>
  <c r="N507" i="6"/>
  <c r="O507" i="6"/>
  <c r="P507" i="6"/>
  <c r="Q507" i="6"/>
  <c r="N443" i="6"/>
  <c r="O443" i="6"/>
  <c r="P443" i="6"/>
  <c r="Q443" i="6"/>
  <c r="O379" i="6"/>
  <c r="P379" i="6"/>
  <c r="N379" i="6"/>
  <c r="Q379" i="6"/>
  <c r="N331" i="6"/>
  <c r="O331" i="6"/>
  <c r="P331" i="6"/>
  <c r="Q331" i="6"/>
  <c r="N267" i="6"/>
  <c r="O267" i="6"/>
  <c r="P267" i="6"/>
  <c r="Q267" i="6"/>
  <c r="N203" i="6"/>
  <c r="O203" i="6"/>
  <c r="P203" i="6"/>
  <c r="Q203" i="6"/>
  <c r="N139" i="6"/>
  <c r="O139" i="6"/>
  <c r="P139" i="6"/>
  <c r="N43" i="6"/>
  <c r="Q43" i="6"/>
  <c r="O43" i="6"/>
  <c r="P43" i="6"/>
  <c r="P2010" i="6"/>
  <c r="Q1962" i="6"/>
  <c r="N1962" i="6"/>
  <c r="O1962" i="6"/>
  <c r="P1962" i="6"/>
  <c r="N1930" i="6"/>
  <c r="O1930" i="6"/>
  <c r="P1930" i="6"/>
  <c r="Q1930" i="6"/>
  <c r="N1882" i="6"/>
  <c r="O1882" i="6"/>
  <c r="P1882" i="6"/>
  <c r="Q1882" i="6"/>
  <c r="O1834" i="6"/>
  <c r="P1834" i="6"/>
  <c r="Q1834" i="6"/>
  <c r="N1834" i="6"/>
  <c r="O1770" i="6"/>
  <c r="P1770" i="6"/>
  <c r="Q1770" i="6"/>
  <c r="N1770" i="6"/>
  <c r="P1722" i="6"/>
  <c r="N1690" i="6"/>
  <c r="O1690" i="6"/>
  <c r="P1690" i="6"/>
  <c r="Q1690" i="6"/>
  <c r="N1642" i="6"/>
  <c r="Q1642" i="6"/>
  <c r="P1642" i="6"/>
  <c r="O1594" i="6"/>
  <c r="P1594" i="6"/>
  <c r="Q1594" i="6"/>
  <c r="N1594" i="6"/>
  <c r="Q1546" i="6"/>
  <c r="N1546" i="6"/>
  <c r="O1546" i="6"/>
  <c r="P1546" i="6"/>
  <c r="N1498" i="6"/>
  <c r="O1498" i="6"/>
  <c r="P1498" i="6"/>
  <c r="Q1498" i="6"/>
  <c r="P1450" i="6"/>
  <c r="N1402" i="6"/>
  <c r="P1402" i="6"/>
  <c r="Q1402" i="6"/>
  <c r="N1354" i="6"/>
  <c r="O1354" i="6"/>
  <c r="P1354" i="6"/>
  <c r="Q1354" i="6"/>
  <c r="P1306" i="6"/>
  <c r="P1258" i="6"/>
  <c r="N1210" i="6"/>
  <c r="O1210" i="6"/>
  <c r="P1210" i="6"/>
  <c r="Q1210" i="6"/>
  <c r="P1162" i="6"/>
  <c r="P1114" i="6"/>
  <c r="Q1114" i="6"/>
  <c r="N1050" i="6"/>
  <c r="O1050" i="6"/>
  <c r="P1050" i="6"/>
  <c r="P1002" i="6"/>
  <c r="N1002" i="6"/>
  <c r="O1002" i="6"/>
  <c r="Q1002" i="6"/>
  <c r="P970" i="6"/>
  <c r="Q970" i="6"/>
  <c r="N970" i="6"/>
  <c r="O970" i="6"/>
  <c r="P922" i="6"/>
  <c r="Q922" i="6"/>
  <c r="N922" i="6"/>
  <c r="O922" i="6"/>
  <c r="P874" i="6"/>
  <c r="Q874" i="6"/>
  <c r="N874" i="6"/>
  <c r="O874" i="6"/>
  <c r="N826" i="6"/>
  <c r="O826" i="6"/>
  <c r="P826" i="6"/>
  <c r="Q826" i="6"/>
  <c r="N778" i="6"/>
  <c r="Q778" i="6"/>
  <c r="O778" i="6"/>
  <c r="P778" i="6"/>
  <c r="N714" i="6"/>
  <c r="O714" i="6"/>
  <c r="P714" i="6"/>
  <c r="Q714" i="6"/>
  <c r="N682" i="6"/>
  <c r="Q682" i="6"/>
  <c r="O682" i="6"/>
  <c r="P682" i="6"/>
  <c r="N634" i="6"/>
  <c r="P634" i="6"/>
  <c r="O634" i="6"/>
  <c r="N586" i="6"/>
  <c r="O586" i="6"/>
  <c r="P586" i="6"/>
  <c r="Q586" i="6"/>
  <c r="N538" i="6"/>
  <c r="O538" i="6"/>
  <c r="P538" i="6"/>
  <c r="Q538" i="6"/>
  <c r="N474" i="6"/>
  <c r="O474" i="6"/>
  <c r="P474" i="6"/>
  <c r="Q474" i="6"/>
  <c r="P410" i="6"/>
  <c r="N410" i="6"/>
  <c r="O410" i="6"/>
  <c r="Q410" i="6"/>
  <c r="N362" i="6"/>
  <c r="P362" i="6"/>
  <c r="Q362" i="6"/>
  <c r="O362" i="6"/>
  <c r="N314" i="6"/>
  <c r="P314" i="6"/>
  <c r="Q314" i="6"/>
  <c r="O314" i="6"/>
  <c r="N266" i="6"/>
  <c r="P266" i="6"/>
  <c r="Q266" i="6"/>
  <c r="O266" i="6"/>
  <c r="N234" i="6"/>
  <c r="P234" i="6"/>
  <c r="Q234" i="6"/>
  <c r="O234" i="6"/>
  <c r="N186" i="6"/>
  <c r="P186" i="6"/>
  <c r="Q186" i="6"/>
  <c r="O186" i="6"/>
  <c r="N138" i="6"/>
  <c r="P138" i="6"/>
  <c r="O138" i="6"/>
  <c r="N90" i="6"/>
  <c r="P90" i="6"/>
  <c r="O90" i="6"/>
  <c r="N58" i="6"/>
  <c r="P58" i="6"/>
  <c r="Q58" i="6"/>
  <c r="O58" i="6"/>
  <c r="O1402" i="6"/>
  <c r="N1961" i="6"/>
  <c r="O1961" i="6"/>
  <c r="P1961" i="6"/>
  <c r="Q1961" i="6"/>
  <c r="N1881" i="6"/>
  <c r="P1881" i="6"/>
  <c r="Q1881" i="6"/>
  <c r="O1881" i="6"/>
  <c r="N1801" i="6"/>
  <c r="O1801" i="6"/>
  <c r="P1801" i="6"/>
  <c r="Q1801" i="6"/>
  <c r="N1753" i="6"/>
  <c r="P1753" i="6"/>
  <c r="Q1753" i="6"/>
  <c r="O1753" i="6"/>
  <c r="N1689" i="6"/>
  <c r="P1689" i="6"/>
  <c r="Q1689" i="6"/>
  <c r="O1689" i="6"/>
  <c r="N1625" i="6"/>
  <c r="P1625" i="6"/>
  <c r="Q1625" i="6"/>
  <c r="O1625" i="6"/>
  <c r="N1561" i="6"/>
  <c r="P1561" i="6"/>
  <c r="Q1561" i="6"/>
  <c r="O1561" i="6"/>
  <c r="N1481" i="6"/>
  <c r="Q1481" i="6"/>
  <c r="N1417" i="6"/>
  <c r="O1417" i="6"/>
  <c r="P1417" i="6"/>
  <c r="Q1417" i="6"/>
  <c r="N1353" i="6"/>
  <c r="Q1353" i="6"/>
  <c r="O1353" i="6"/>
  <c r="P1353" i="6"/>
  <c r="O1305" i="6"/>
  <c r="Q1305" i="6"/>
  <c r="P1305" i="6"/>
  <c r="N1305" i="6"/>
  <c r="P1241" i="6"/>
  <c r="P1177" i="6"/>
  <c r="O1113" i="6"/>
  <c r="P1113" i="6"/>
  <c r="Q1113" i="6"/>
  <c r="N1113" i="6"/>
  <c r="O1049" i="6"/>
  <c r="P1049" i="6"/>
  <c r="Q1049" i="6"/>
  <c r="N1049" i="6"/>
  <c r="N1001" i="6"/>
  <c r="P1001" i="6"/>
  <c r="Q1001" i="6"/>
  <c r="O1001" i="6"/>
  <c r="Q953" i="6"/>
  <c r="N953" i="6"/>
  <c r="O953" i="6"/>
  <c r="P953" i="6"/>
  <c r="O921" i="6"/>
  <c r="P921" i="6"/>
  <c r="N921" i="6"/>
  <c r="P873" i="6"/>
  <c r="N873" i="6"/>
  <c r="Q873" i="6"/>
  <c r="O873" i="6"/>
  <c r="Q825" i="6"/>
  <c r="N825" i="6"/>
  <c r="O825" i="6"/>
  <c r="Q777" i="6"/>
  <c r="O777" i="6"/>
  <c r="P777" i="6"/>
  <c r="N777" i="6"/>
  <c r="P697" i="6"/>
  <c r="O697" i="6"/>
  <c r="Q649" i="6"/>
  <c r="N649" i="6"/>
  <c r="O649" i="6"/>
  <c r="P649" i="6"/>
  <c r="Q617" i="6"/>
  <c r="O617" i="6"/>
  <c r="P617" i="6"/>
  <c r="N617" i="6"/>
  <c r="Q569" i="6"/>
  <c r="N569" i="6"/>
  <c r="O569" i="6"/>
  <c r="P569" i="6"/>
  <c r="Q521" i="6"/>
  <c r="N521" i="6"/>
  <c r="O521" i="6"/>
  <c r="P521" i="6"/>
  <c r="Q457" i="6"/>
  <c r="N457" i="6"/>
  <c r="O457" i="6"/>
  <c r="P457" i="6"/>
  <c r="P425" i="6"/>
  <c r="Q425" i="6"/>
  <c r="N425" i="6"/>
  <c r="O425" i="6"/>
  <c r="P377" i="6"/>
  <c r="Q377" i="6"/>
  <c r="N377" i="6"/>
  <c r="O377" i="6"/>
  <c r="O329" i="6"/>
  <c r="P329" i="6"/>
  <c r="Q329" i="6"/>
  <c r="N329" i="6"/>
  <c r="O281" i="6"/>
  <c r="P281" i="6"/>
  <c r="Q281" i="6"/>
  <c r="N281" i="6"/>
  <c r="O233" i="6"/>
  <c r="P233" i="6"/>
  <c r="Q233" i="6"/>
  <c r="N233" i="6"/>
  <c r="O185" i="6"/>
  <c r="P185" i="6"/>
  <c r="Q185" i="6"/>
  <c r="N185" i="6"/>
  <c r="O121" i="6"/>
  <c r="P121" i="6"/>
  <c r="N121" i="6"/>
  <c r="O25" i="6"/>
  <c r="P25" i="6"/>
  <c r="Q25" i="6"/>
  <c r="N25" i="6"/>
  <c r="O1530" i="6"/>
  <c r="P2021" i="6"/>
  <c r="N2005" i="6"/>
  <c r="P2005" i="6"/>
  <c r="Q2005" i="6"/>
  <c r="N1989" i="6"/>
  <c r="P1989" i="6"/>
  <c r="Q1989" i="6"/>
  <c r="N1973" i="6"/>
  <c r="O1973" i="6"/>
  <c r="P1973" i="6"/>
  <c r="Q1973" i="6"/>
  <c r="N1957" i="6"/>
  <c r="O1957" i="6"/>
  <c r="P1957" i="6"/>
  <c r="Q1957" i="6"/>
  <c r="N1941" i="6"/>
  <c r="O1941" i="6"/>
  <c r="Q1941" i="6"/>
  <c r="P1941" i="6"/>
  <c r="N1925" i="6"/>
  <c r="O1925" i="6"/>
  <c r="P1925" i="6"/>
  <c r="N1909" i="6"/>
  <c r="O1909" i="6"/>
  <c r="P1909" i="6"/>
  <c r="Q1909" i="6"/>
  <c r="N1893" i="6"/>
  <c r="Q1893" i="6"/>
  <c r="O1893" i="6"/>
  <c r="P1893" i="6"/>
  <c r="N1877" i="6"/>
  <c r="O1877" i="6"/>
  <c r="P1877" i="6"/>
  <c r="Q1877" i="6"/>
  <c r="N1861" i="6"/>
  <c r="O1861" i="6"/>
  <c r="P1861" i="6"/>
  <c r="Q1861" i="6"/>
  <c r="N1845" i="6"/>
  <c r="O1845" i="6"/>
  <c r="P1845" i="6"/>
  <c r="Q1845" i="6"/>
  <c r="N1829" i="6"/>
  <c r="O1829" i="6"/>
  <c r="P1829" i="6"/>
  <c r="Q1829" i="6"/>
  <c r="N1813" i="6"/>
  <c r="O1813" i="6"/>
  <c r="Q1813" i="6"/>
  <c r="P1813" i="6"/>
  <c r="N1797" i="6"/>
  <c r="Q1797" i="6"/>
  <c r="O1797" i="6"/>
  <c r="N1781" i="6"/>
  <c r="O1781" i="6"/>
  <c r="Q1781" i="6"/>
  <c r="P1781" i="6"/>
  <c r="N1765" i="6"/>
  <c r="O1765" i="6"/>
  <c r="N1749" i="6"/>
  <c r="O1749" i="6"/>
  <c r="P1749" i="6"/>
  <c r="Q1749" i="6"/>
  <c r="N1733" i="6"/>
  <c r="O1733" i="6"/>
  <c r="P1733" i="6"/>
  <c r="Q1733" i="6"/>
  <c r="N1717" i="6"/>
  <c r="O1717" i="6"/>
  <c r="P1717" i="6"/>
  <c r="Q1717" i="6"/>
  <c r="N1701" i="6"/>
  <c r="O1701" i="6"/>
  <c r="P1701" i="6"/>
  <c r="Q1701" i="6"/>
  <c r="N1685" i="6"/>
  <c r="O1685" i="6"/>
  <c r="P1685" i="6"/>
  <c r="Q1685" i="6"/>
  <c r="N1669" i="6"/>
  <c r="O1669" i="6"/>
  <c r="P1669" i="6"/>
  <c r="Q1669" i="6"/>
  <c r="N1653" i="6"/>
  <c r="O1653" i="6"/>
  <c r="Q1653" i="6"/>
  <c r="P1653" i="6"/>
  <c r="N1637" i="6"/>
  <c r="O1637" i="6"/>
  <c r="P1637" i="6"/>
  <c r="Q1637" i="6"/>
  <c r="N1621" i="6"/>
  <c r="O1621" i="6"/>
  <c r="P1621" i="6"/>
  <c r="N1605" i="6"/>
  <c r="O1605" i="6"/>
  <c r="P1605" i="6"/>
  <c r="N1589" i="6"/>
  <c r="O1589" i="6"/>
  <c r="P1589" i="6"/>
  <c r="Q1589" i="6"/>
  <c r="N1573" i="6"/>
  <c r="O1573" i="6"/>
  <c r="P1573" i="6"/>
  <c r="Q1573" i="6"/>
  <c r="N1557" i="6"/>
  <c r="O1557" i="6"/>
  <c r="Q1557" i="6"/>
  <c r="P1557" i="6"/>
  <c r="N1541" i="6"/>
  <c r="Q1541" i="6"/>
  <c r="N1525" i="6"/>
  <c r="O1525" i="6"/>
  <c r="P1525" i="6"/>
  <c r="Q1525" i="6"/>
  <c r="N1509" i="6"/>
  <c r="Q1509" i="6"/>
  <c r="O1509" i="6"/>
  <c r="P1509" i="6"/>
  <c r="N1493" i="6"/>
  <c r="O1493" i="6"/>
  <c r="P1493" i="6"/>
  <c r="N1477" i="6"/>
  <c r="O1477" i="6"/>
  <c r="P1477" i="6"/>
  <c r="Q1477" i="6"/>
  <c r="N1461" i="6"/>
  <c r="O1461" i="6"/>
  <c r="Q1461" i="6"/>
  <c r="P1461" i="6"/>
  <c r="P1445" i="6"/>
  <c r="N1429" i="6"/>
  <c r="O1429" i="6"/>
  <c r="P1429" i="6"/>
  <c r="N1413" i="6"/>
  <c r="O1413" i="6"/>
  <c r="P1413" i="6"/>
  <c r="Q1413" i="6"/>
  <c r="N1397" i="6"/>
  <c r="O1397" i="6"/>
  <c r="P1397" i="6"/>
  <c r="N1381" i="6"/>
  <c r="O1381" i="6"/>
  <c r="P1381" i="6"/>
  <c r="Q1381" i="6"/>
  <c r="N1365" i="6"/>
  <c r="O1365" i="6"/>
  <c r="P1365" i="6"/>
  <c r="Q1365" i="6"/>
  <c r="N1349" i="6"/>
  <c r="O1349" i="6"/>
  <c r="P1349" i="6"/>
  <c r="Q1349" i="6"/>
  <c r="N1333" i="6"/>
  <c r="O1333" i="6"/>
  <c r="P1333" i="6"/>
  <c r="N1317" i="6"/>
  <c r="O1317" i="6"/>
  <c r="P1317" i="6"/>
  <c r="Q1317" i="6"/>
  <c r="Q1301" i="6"/>
  <c r="N1301" i="6"/>
  <c r="P1301" i="6"/>
  <c r="O1285" i="6"/>
  <c r="P1285" i="6"/>
  <c r="Q1285" i="6"/>
  <c r="P1269" i="6"/>
  <c r="P1253" i="6"/>
  <c r="P1237" i="6"/>
  <c r="O1221" i="6"/>
  <c r="P1221" i="6"/>
  <c r="Q1221" i="6"/>
  <c r="N1221" i="6"/>
  <c r="O1205" i="6"/>
  <c r="P1205" i="6"/>
  <c r="Q1205" i="6"/>
  <c r="N1205" i="6"/>
  <c r="O1189" i="6"/>
  <c r="P1189" i="6"/>
  <c r="P1173" i="6"/>
  <c r="Q1173" i="6"/>
  <c r="P1157" i="6"/>
  <c r="O1141" i="6"/>
  <c r="P1141" i="6"/>
  <c r="O1125" i="6"/>
  <c r="P1125" i="6"/>
  <c r="Q1125" i="6"/>
  <c r="O1109" i="6"/>
  <c r="P1109" i="6"/>
  <c r="Q1109" i="6"/>
  <c r="P1093" i="6"/>
  <c r="Q1093" i="6"/>
  <c r="N1093" i="6"/>
  <c r="O1077" i="6"/>
  <c r="P1077" i="6"/>
  <c r="Q1077" i="6"/>
  <c r="N1077" i="6"/>
  <c r="O1061" i="6"/>
  <c r="P1061" i="6"/>
  <c r="Q1061" i="6"/>
  <c r="N1061" i="6"/>
  <c r="N1899" i="6"/>
  <c r="Q1514" i="6"/>
  <c r="O1451" i="6"/>
  <c r="N824" i="6"/>
  <c r="P2027" i="6"/>
  <c r="P1963" i="6"/>
  <c r="Q1963" i="6"/>
  <c r="N1963" i="6"/>
  <c r="O1963" i="6"/>
  <c r="N1883" i="6"/>
  <c r="O1883" i="6"/>
  <c r="P1883" i="6"/>
  <c r="Q1883" i="6"/>
  <c r="P1835" i="6"/>
  <c r="Q1835" i="6"/>
  <c r="N1835" i="6"/>
  <c r="O1835" i="6"/>
  <c r="P1771" i="6"/>
  <c r="Q1771" i="6"/>
  <c r="O1771" i="6"/>
  <c r="N1771" i="6"/>
  <c r="P1707" i="6"/>
  <c r="Q1707" i="6"/>
  <c r="P1627" i="6"/>
  <c r="Q1627" i="6"/>
  <c r="N1627" i="6"/>
  <c r="O1627" i="6"/>
  <c r="P1579" i="6"/>
  <c r="Q1579" i="6"/>
  <c r="N1579" i="6"/>
  <c r="O1579" i="6"/>
  <c r="P1515" i="6"/>
  <c r="Q1515" i="6"/>
  <c r="O1515" i="6"/>
  <c r="N1515" i="6"/>
  <c r="N1435" i="6"/>
  <c r="O1435" i="6"/>
  <c r="Q1435" i="6"/>
  <c r="P1435" i="6"/>
  <c r="O1371" i="6"/>
  <c r="P1371" i="6"/>
  <c r="Q1371" i="6"/>
  <c r="N1371" i="6"/>
  <c r="O1307" i="6"/>
  <c r="P1307" i="6"/>
  <c r="Q1307" i="6"/>
  <c r="N1227" i="6"/>
  <c r="O1227" i="6"/>
  <c r="P1227" i="6"/>
  <c r="Q1227" i="6"/>
  <c r="P1163" i="6"/>
  <c r="N1083" i="6"/>
  <c r="O1083" i="6"/>
  <c r="P1083" i="6"/>
  <c r="Q1083" i="6"/>
  <c r="O1019" i="6"/>
  <c r="P1019" i="6"/>
  <c r="Q1019" i="6"/>
  <c r="N955" i="6"/>
  <c r="O955" i="6"/>
  <c r="P955" i="6"/>
  <c r="Q955" i="6"/>
  <c r="N891" i="6"/>
  <c r="O891" i="6"/>
  <c r="P891" i="6"/>
  <c r="Q891" i="6"/>
  <c r="N811" i="6"/>
  <c r="O811" i="6"/>
  <c r="P811" i="6"/>
  <c r="Q811" i="6"/>
  <c r="N731" i="6"/>
  <c r="P731" i="6"/>
  <c r="Q731" i="6"/>
  <c r="O731" i="6"/>
  <c r="N667" i="6"/>
  <c r="Q667" i="6"/>
  <c r="P667" i="6"/>
  <c r="O667" i="6"/>
  <c r="O587" i="6"/>
  <c r="Q587" i="6"/>
  <c r="N587" i="6"/>
  <c r="P587" i="6"/>
  <c r="O523" i="6"/>
  <c r="Q523" i="6"/>
  <c r="N523" i="6"/>
  <c r="P523" i="6"/>
  <c r="N459" i="6"/>
  <c r="Q459" i="6"/>
  <c r="O459" i="6"/>
  <c r="P459" i="6"/>
  <c r="O395" i="6"/>
  <c r="P395" i="6"/>
  <c r="Q395" i="6"/>
  <c r="N395" i="6"/>
  <c r="N299" i="6"/>
  <c r="O299" i="6"/>
  <c r="Q299" i="6"/>
  <c r="P299" i="6"/>
  <c r="N219" i="6"/>
  <c r="O219" i="6"/>
  <c r="P219" i="6"/>
  <c r="Q219" i="6"/>
  <c r="N155" i="6"/>
  <c r="O155" i="6"/>
  <c r="P155" i="6"/>
  <c r="Q155" i="6"/>
  <c r="N91" i="6"/>
  <c r="O91" i="6"/>
  <c r="P91" i="6"/>
  <c r="N75" i="6"/>
  <c r="P75" i="6"/>
  <c r="Q75" i="6"/>
  <c r="Q729" i="6"/>
  <c r="N729" i="6"/>
  <c r="O729" i="6"/>
  <c r="P729" i="6"/>
  <c r="P2020" i="6"/>
  <c r="P2004" i="6"/>
  <c r="Q1972" i="6"/>
  <c r="P1972" i="6"/>
  <c r="O1972" i="6"/>
  <c r="Q1956" i="6"/>
  <c r="O1956" i="6"/>
  <c r="P1956" i="6"/>
  <c r="N1956" i="6"/>
  <c r="Q1940" i="6"/>
  <c r="P1940" i="6"/>
  <c r="N1940" i="6"/>
  <c r="O1940" i="6"/>
  <c r="Q1924" i="6"/>
  <c r="N1924" i="6"/>
  <c r="O1924" i="6"/>
  <c r="P1924" i="6"/>
  <c r="Q1908" i="6"/>
  <c r="P1908" i="6"/>
  <c r="N1908" i="6"/>
  <c r="O1908" i="6"/>
  <c r="Q1892" i="6"/>
  <c r="N1892" i="6"/>
  <c r="O1892" i="6"/>
  <c r="P1892" i="6"/>
  <c r="Q1876" i="6"/>
  <c r="P1876" i="6"/>
  <c r="N1876" i="6"/>
  <c r="O1876" i="6"/>
  <c r="Q1860" i="6"/>
  <c r="O1860" i="6"/>
  <c r="P1860" i="6"/>
  <c r="N1860" i="6"/>
  <c r="Q1844" i="6"/>
  <c r="P1844" i="6"/>
  <c r="O1844" i="6"/>
  <c r="N1844" i="6"/>
  <c r="Q1828" i="6"/>
  <c r="N1828" i="6"/>
  <c r="O1828" i="6"/>
  <c r="P1828" i="6"/>
  <c r="Q1812" i="6"/>
  <c r="P1812" i="6"/>
  <c r="N1812" i="6"/>
  <c r="O1812" i="6"/>
  <c r="Q1796" i="6"/>
  <c r="N1796" i="6"/>
  <c r="O1796" i="6"/>
  <c r="P1796" i="6"/>
  <c r="Q1780" i="6"/>
  <c r="P1780" i="6"/>
  <c r="N1780" i="6"/>
  <c r="O1780" i="6"/>
  <c r="Q1764" i="6"/>
  <c r="N1764" i="6"/>
  <c r="O1764" i="6"/>
  <c r="P1764" i="6"/>
  <c r="Q1748" i="6"/>
  <c r="P1748" i="6"/>
  <c r="N1748" i="6"/>
  <c r="O1748" i="6"/>
  <c r="Q1732" i="6"/>
  <c r="O1732" i="6"/>
  <c r="P1732" i="6"/>
  <c r="Q1716" i="6"/>
  <c r="P1716" i="6"/>
  <c r="N1716" i="6"/>
  <c r="O1716" i="6"/>
  <c r="Q1700" i="6"/>
  <c r="N1700" i="6"/>
  <c r="O1700" i="6"/>
  <c r="P1700" i="6"/>
  <c r="Q1684" i="6"/>
  <c r="P1684" i="6"/>
  <c r="O1684" i="6"/>
  <c r="N1684" i="6"/>
  <c r="Q1668" i="6"/>
  <c r="N1668" i="6"/>
  <c r="P1668" i="6"/>
  <c r="O1668" i="6"/>
  <c r="Q1652" i="6"/>
  <c r="P1652" i="6"/>
  <c r="N1652" i="6"/>
  <c r="O1652" i="6"/>
  <c r="Q1636" i="6"/>
  <c r="N1636" i="6"/>
  <c r="O1636" i="6"/>
  <c r="P1636" i="6"/>
  <c r="Q1620" i="6"/>
  <c r="P1620" i="6"/>
  <c r="N1620" i="6"/>
  <c r="O1620" i="6"/>
  <c r="Q1604" i="6"/>
  <c r="O1604" i="6"/>
  <c r="P1604" i="6"/>
  <c r="Q1588" i="6"/>
  <c r="P1588" i="6"/>
  <c r="O1588" i="6"/>
  <c r="N1588" i="6"/>
  <c r="Q1572" i="6"/>
  <c r="O1572" i="6"/>
  <c r="P1572" i="6"/>
  <c r="Q1556" i="6"/>
  <c r="P1556" i="6"/>
  <c r="N1556" i="6"/>
  <c r="O1556" i="6"/>
  <c r="Q1540" i="6"/>
  <c r="N1540" i="6"/>
  <c r="O1540" i="6"/>
  <c r="P1540" i="6"/>
  <c r="Q1524" i="6"/>
  <c r="P1524" i="6"/>
  <c r="N1524" i="6"/>
  <c r="O1524" i="6"/>
  <c r="Q1508" i="6"/>
  <c r="N1508" i="6"/>
  <c r="O1508" i="6"/>
  <c r="P1508" i="6"/>
  <c r="Q1492" i="6"/>
  <c r="P1492" i="6"/>
  <c r="N1492" i="6"/>
  <c r="O1492" i="6"/>
  <c r="Q1476" i="6"/>
  <c r="N1476" i="6"/>
  <c r="O1476" i="6"/>
  <c r="P1476" i="6"/>
  <c r="Q1460" i="6"/>
  <c r="P1460" i="6"/>
  <c r="N1460" i="6"/>
  <c r="O1460" i="6"/>
  <c r="Q1444" i="6"/>
  <c r="P1444" i="6"/>
  <c r="N1444" i="6"/>
  <c r="O1444" i="6"/>
  <c r="Q1428" i="6"/>
  <c r="P1428" i="6"/>
  <c r="N1428" i="6"/>
  <c r="O1428" i="6"/>
  <c r="Q1412" i="6"/>
  <c r="N1412" i="6"/>
  <c r="O1412" i="6"/>
  <c r="P1412" i="6"/>
  <c r="Q1396" i="6"/>
  <c r="P1396" i="6"/>
  <c r="N1396" i="6"/>
  <c r="Q1380" i="6"/>
  <c r="N1380" i="6"/>
  <c r="O1380" i="6"/>
  <c r="P1380" i="6"/>
  <c r="Q1364" i="6"/>
  <c r="P1364" i="6"/>
  <c r="N1364" i="6"/>
  <c r="O1364" i="6"/>
  <c r="Q1348" i="6"/>
  <c r="O1348" i="6"/>
  <c r="P1348" i="6"/>
  <c r="N1348" i="6"/>
  <c r="P1332" i="6"/>
  <c r="O1332" i="6"/>
  <c r="N1332" i="6"/>
  <c r="Q1316" i="6"/>
  <c r="N1316" i="6"/>
  <c r="O1316" i="6"/>
  <c r="P1316" i="6"/>
  <c r="Q1300" i="6"/>
  <c r="P1300" i="6"/>
  <c r="Q1284" i="6"/>
  <c r="N1284" i="6"/>
  <c r="O1284" i="6"/>
  <c r="P1284" i="6"/>
  <c r="P1268" i="6"/>
  <c r="P1252" i="6"/>
  <c r="P1236" i="6"/>
  <c r="Q1220" i="6"/>
  <c r="N1220" i="6"/>
  <c r="O1220" i="6"/>
  <c r="P1220" i="6"/>
  <c r="Q1204" i="6"/>
  <c r="N1204" i="6"/>
  <c r="O1204" i="6"/>
  <c r="Q1188" i="6"/>
  <c r="N1188" i="6"/>
  <c r="O1188" i="6"/>
  <c r="P1188" i="6"/>
  <c r="N1172" i="6"/>
  <c r="Q1172" i="6"/>
  <c r="P1172" i="6"/>
  <c r="O1172" i="6"/>
  <c r="P1156" i="6"/>
  <c r="O1156" i="6"/>
  <c r="O1140" i="6"/>
  <c r="P1140" i="6"/>
  <c r="Q1140" i="6"/>
  <c r="O1124" i="6"/>
  <c r="Q1124" i="6"/>
  <c r="P1124" i="6"/>
  <c r="N1108" i="6"/>
  <c r="P1108" i="6"/>
  <c r="Q1108" i="6"/>
  <c r="O1108" i="6"/>
  <c r="N1092" i="6"/>
  <c r="P1092" i="6"/>
  <c r="Q1092" i="6"/>
  <c r="O1092" i="6"/>
  <c r="O1076" i="6"/>
  <c r="P1076" i="6"/>
  <c r="N1076" i="6"/>
  <c r="Q1076" i="6"/>
  <c r="Q1060" i="6"/>
  <c r="O1060" i="6"/>
  <c r="P1060" i="6"/>
  <c r="N1060" i="6"/>
  <c r="N1044" i="6"/>
  <c r="O1044" i="6"/>
  <c r="P1044" i="6"/>
  <c r="Q1044" i="6"/>
  <c r="P1028" i="6"/>
  <c r="Q1028" i="6"/>
  <c r="N1028" i="6"/>
  <c r="O1028" i="6"/>
  <c r="N1012" i="6"/>
  <c r="P1012" i="6"/>
  <c r="Q1012" i="6"/>
  <c r="O1012" i="6"/>
  <c r="N996" i="6"/>
  <c r="O996" i="6"/>
  <c r="P996" i="6"/>
  <c r="Q996" i="6"/>
  <c r="N980" i="6"/>
  <c r="O980" i="6"/>
  <c r="P980" i="6"/>
  <c r="Q980" i="6"/>
  <c r="N964" i="6"/>
  <c r="O964" i="6"/>
  <c r="P964" i="6"/>
  <c r="Q964" i="6"/>
  <c r="N948" i="6"/>
  <c r="Q948" i="6"/>
  <c r="O948" i="6"/>
  <c r="P948" i="6"/>
  <c r="P932" i="6"/>
  <c r="Q932" i="6"/>
  <c r="N932" i="6"/>
  <c r="O932" i="6"/>
  <c r="P916" i="6"/>
  <c r="N916" i="6"/>
  <c r="O916" i="6"/>
  <c r="N900" i="6"/>
  <c r="O900" i="6"/>
  <c r="P900" i="6"/>
  <c r="Q900" i="6"/>
  <c r="N884" i="6"/>
  <c r="O884" i="6"/>
  <c r="P884" i="6"/>
  <c r="N868" i="6"/>
  <c r="P868" i="6"/>
  <c r="Q868" i="6"/>
  <c r="O868" i="6"/>
  <c r="N852" i="6"/>
  <c r="O852" i="6"/>
  <c r="P852" i="6"/>
  <c r="Q852" i="6"/>
  <c r="N836" i="6"/>
  <c r="Q836" i="6"/>
  <c r="O836" i="6"/>
  <c r="P836" i="6"/>
  <c r="P820" i="6"/>
  <c r="Q820" i="6"/>
  <c r="O820" i="6"/>
  <c r="N820" i="6"/>
  <c r="Q1898" i="6"/>
  <c r="Q1767" i="6"/>
  <c r="O1707" i="6"/>
  <c r="O1576" i="6"/>
  <c r="P1514" i="6"/>
  <c r="N1451" i="6"/>
  <c r="P1383" i="6"/>
  <c r="O1099" i="6"/>
  <c r="N790" i="6"/>
  <c r="O790" i="6"/>
  <c r="Q790" i="6"/>
  <c r="N774" i="6"/>
  <c r="O774" i="6"/>
  <c r="P774" i="6"/>
  <c r="Q774" i="6"/>
  <c r="N758" i="6"/>
  <c r="P758" i="6"/>
  <c r="O758" i="6"/>
  <c r="Q758" i="6"/>
  <c r="N742" i="6"/>
  <c r="O742" i="6"/>
  <c r="P742" i="6"/>
  <c r="Q742" i="6"/>
  <c r="N726" i="6"/>
  <c r="P726" i="6"/>
  <c r="Q726" i="6"/>
  <c r="O710" i="6"/>
  <c r="P710" i="6"/>
  <c r="N694" i="6"/>
  <c r="P694" i="6"/>
  <c r="O694" i="6"/>
  <c r="N678" i="6"/>
  <c r="P678" i="6"/>
  <c r="O678" i="6"/>
  <c r="N662" i="6"/>
  <c r="P662" i="6"/>
  <c r="O662" i="6"/>
  <c r="Q662" i="6"/>
  <c r="N646" i="6"/>
  <c r="P646" i="6"/>
  <c r="Q646" i="6"/>
  <c r="O646" i="6"/>
  <c r="N630" i="6"/>
  <c r="P630" i="6"/>
  <c r="O630" i="6"/>
  <c r="N614" i="6"/>
  <c r="O614" i="6"/>
  <c r="P614" i="6"/>
  <c r="Q614" i="6"/>
  <c r="N598" i="6"/>
  <c r="P598" i="6"/>
  <c r="O598" i="6"/>
  <c r="Q598" i="6"/>
  <c r="N582" i="6"/>
  <c r="P582" i="6"/>
  <c r="Q582" i="6"/>
  <c r="O582" i="6"/>
  <c r="N566" i="6"/>
  <c r="P566" i="6"/>
  <c r="Q566" i="6"/>
  <c r="O566" i="6"/>
  <c r="N550" i="6"/>
  <c r="P550" i="6"/>
  <c r="Q550" i="6"/>
  <c r="O550" i="6"/>
  <c r="N534" i="6"/>
  <c r="P534" i="6"/>
  <c r="Q534" i="6"/>
  <c r="O534" i="6"/>
  <c r="N518" i="6"/>
  <c r="Q518" i="6"/>
  <c r="O518" i="6"/>
  <c r="P518" i="6"/>
  <c r="N502" i="6"/>
  <c r="P502" i="6"/>
  <c r="Q502" i="6"/>
  <c r="O502" i="6"/>
  <c r="N486" i="6"/>
  <c r="O486" i="6"/>
  <c r="N470" i="6"/>
  <c r="P470" i="6"/>
  <c r="Q470" i="6"/>
  <c r="O470" i="6"/>
  <c r="N454" i="6"/>
  <c r="O454" i="6"/>
  <c r="P454" i="6"/>
  <c r="Q454" i="6"/>
  <c r="P438" i="6"/>
  <c r="N438" i="6"/>
  <c r="O438" i="6"/>
  <c r="Q438" i="6"/>
  <c r="P422" i="6"/>
  <c r="O422" i="6"/>
  <c r="Q422" i="6"/>
  <c r="N422" i="6"/>
  <c r="P406" i="6"/>
  <c r="N406" i="6"/>
  <c r="O406" i="6"/>
  <c r="Q406" i="6"/>
  <c r="P390" i="6"/>
  <c r="N390" i="6"/>
  <c r="O390" i="6"/>
  <c r="Q390" i="6"/>
  <c r="P374" i="6"/>
  <c r="O374" i="6"/>
  <c r="Q374" i="6"/>
  <c r="N374" i="6"/>
  <c r="N358" i="6"/>
  <c r="P358" i="6"/>
  <c r="Q358" i="6"/>
  <c r="O358" i="6"/>
  <c r="N342" i="6"/>
  <c r="O342" i="6"/>
  <c r="P342" i="6"/>
  <c r="Q342" i="6"/>
  <c r="N326" i="6"/>
  <c r="O326" i="6"/>
  <c r="P326" i="6"/>
  <c r="Q326" i="6"/>
  <c r="N310" i="6"/>
  <c r="O310" i="6"/>
  <c r="P310" i="6"/>
  <c r="Q310" i="6"/>
  <c r="N294" i="6"/>
  <c r="O294" i="6"/>
  <c r="P294" i="6"/>
  <c r="N278" i="6"/>
  <c r="Q278" i="6"/>
  <c r="O278" i="6"/>
  <c r="P278" i="6"/>
  <c r="N262" i="6"/>
  <c r="O262" i="6"/>
  <c r="P262" i="6"/>
  <c r="Q262" i="6"/>
  <c r="N246" i="6"/>
  <c r="O246" i="6"/>
  <c r="P246" i="6"/>
  <c r="Q246" i="6"/>
  <c r="N230" i="6"/>
  <c r="P230" i="6"/>
  <c r="Q230" i="6"/>
  <c r="O230" i="6"/>
  <c r="N214" i="6"/>
  <c r="O214" i="6"/>
  <c r="P214" i="6"/>
  <c r="Q214" i="6"/>
  <c r="N198" i="6"/>
  <c r="O198" i="6"/>
  <c r="P198" i="6"/>
  <c r="Q198" i="6"/>
  <c r="N182" i="6"/>
  <c r="O182" i="6"/>
  <c r="P182" i="6"/>
  <c r="Q182" i="6"/>
  <c r="N166" i="6"/>
  <c r="O166" i="6"/>
  <c r="P166" i="6"/>
  <c r="Q166" i="6"/>
  <c r="N150" i="6"/>
  <c r="Q150" i="6"/>
  <c r="P150" i="6"/>
  <c r="O150" i="6"/>
  <c r="N134" i="6"/>
  <c r="O134" i="6"/>
  <c r="P134" i="6"/>
  <c r="Q134" i="6"/>
  <c r="P118" i="6"/>
  <c r="N102" i="6"/>
  <c r="O102" i="6"/>
  <c r="P102" i="6"/>
  <c r="Q102" i="6"/>
  <c r="N86" i="6"/>
  <c r="O86" i="6"/>
  <c r="P86" i="6"/>
  <c r="Q86" i="6"/>
  <c r="N70" i="6"/>
  <c r="O70" i="6"/>
  <c r="P70" i="6"/>
  <c r="Q70" i="6"/>
  <c r="N54" i="6"/>
  <c r="Q54" i="6"/>
  <c r="O54" i="6"/>
  <c r="P54" i="6"/>
  <c r="N38" i="6"/>
  <c r="O38" i="6"/>
  <c r="P38" i="6"/>
  <c r="Q38" i="6"/>
  <c r="O1045" i="6"/>
  <c r="P1045" i="6"/>
  <c r="Q1045" i="6"/>
  <c r="N1045" i="6"/>
  <c r="N1029" i="6"/>
  <c r="O1029" i="6"/>
  <c r="P1029" i="6"/>
  <c r="Q1029" i="6"/>
  <c r="N1013" i="6"/>
  <c r="O1013" i="6"/>
  <c r="P1013" i="6"/>
  <c r="Q1013" i="6"/>
  <c r="N997" i="6"/>
  <c r="O997" i="6"/>
  <c r="P997" i="6"/>
  <c r="O981" i="6"/>
  <c r="P981" i="6"/>
  <c r="Q981" i="6"/>
  <c r="N981" i="6"/>
  <c r="N965" i="6"/>
  <c r="P965" i="6"/>
  <c r="Q965" i="6"/>
  <c r="O965" i="6"/>
  <c r="N949" i="6"/>
  <c r="O949" i="6"/>
  <c r="P949" i="6"/>
  <c r="Q949" i="6"/>
  <c r="Q933" i="6"/>
  <c r="N933" i="6"/>
  <c r="O933" i="6"/>
  <c r="P933" i="6"/>
  <c r="N917" i="6"/>
  <c r="O917" i="6"/>
  <c r="P917" i="6"/>
  <c r="N901" i="6"/>
  <c r="O901" i="6"/>
  <c r="N885" i="6"/>
  <c r="O885" i="6"/>
  <c r="P885" i="6"/>
  <c r="N869" i="6"/>
  <c r="P869" i="6"/>
  <c r="Q869" i="6"/>
  <c r="Q853" i="6"/>
  <c r="O853" i="6"/>
  <c r="P853" i="6"/>
  <c r="N853" i="6"/>
  <c r="Q837" i="6"/>
  <c r="P837" i="6"/>
  <c r="O837" i="6"/>
  <c r="N837" i="6"/>
  <c r="Q821" i="6"/>
  <c r="O821" i="6"/>
  <c r="P821" i="6"/>
  <c r="N821" i="6"/>
  <c r="Q805" i="6"/>
  <c r="N805" i="6"/>
  <c r="O805" i="6"/>
  <c r="P805" i="6"/>
  <c r="Q789" i="6"/>
  <c r="O789" i="6"/>
  <c r="P789" i="6"/>
  <c r="N789" i="6"/>
  <c r="Q773" i="6"/>
  <c r="N773" i="6"/>
  <c r="O773" i="6"/>
  <c r="P773" i="6"/>
  <c r="Q757" i="6"/>
  <c r="O757" i="6"/>
  <c r="P757" i="6"/>
  <c r="N757" i="6"/>
  <c r="Q741" i="6"/>
  <c r="P741" i="6"/>
  <c r="N741" i="6"/>
  <c r="O741" i="6"/>
  <c r="Q725" i="6"/>
  <c r="N725" i="6"/>
  <c r="O725" i="6"/>
  <c r="P725" i="6"/>
  <c r="O709" i="6"/>
  <c r="P709" i="6"/>
  <c r="Q693" i="6"/>
  <c r="N693" i="6"/>
  <c r="O693" i="6"/>
  <c r="P693" i="6"/>
  <c r="Q677" i="6"/>
  <c r="N677" i="6"/>
  <c r="O677" i="6"/>
  <c r="P677" i="6"/>
  <c r="Q661" i="6"/>
  <c r="P661" i="6"/>
  <c r="N661" i="6"/>
  <c r="O661" i="6"/>
  <c r="Q645" i="6"/>
  <c r="N645" i="6"/>
  <c r="O645" i="6"/>
  <c r="P645" i="6"/>
  <c r="Q629" i="6"/>
  <c r="O629" i="6"/>
  <c r="P629" i="6"/>
  <c r="Q613" i="6"/>
  <c r="P613" i="6"/>
  <c r="N613" i="6"/>
  <c r="O613" i="6"/>
  <c r="Q597" i="6"/>
  <c r="N597" i="6"/>
  <c r="O597" i="6"/>
  <c r="P597" i="6"/>
  <c r="Q581" i="6"/>
  <c r="N581" i="6"/>
  <c r="O581" i="6"/>
  <c r="P581" i="6"/>
  <c r="Q565" i="6"/>
  <c r="N565" i="6"/>
  <c r="O565" i="6"/>
  <c r="P565" i="6"/>
  <c r="Q549" i="6"/>
  <c r="N549" i="6"/>
  <c r="O549" i="6"/>
  <c r="P549" i="6"/>
  <c r="Q533" i="6"/>
  <c r="N533" i="6"/>
  <c r="O533" i="6"/>
  <c r="P533" i="6"/>
  <c r="Q517" i="6"/>
  <c r="O517" i="6"/>
  <c r="P517" i="6"/>
  <c r="N517" i="6"/>
  <c r="Q501" i="6"/>
  <c r="O501" i="6"/>
  <c r="P501" i="6"/>
  <c r="N501" i="6"/>
  <c r="Q485" i="6"/>
  <c r="N485" i="6"/>
  <c r="O485" i="6"/>
  <c r="P485" i="6"/>
  <c r="Q469" i="6"/>
  <c r="N469" i="6"/>
  <c r="P469" i="6"/>
  <c r="O469" i="6"/>
  <c r="Q453" i="6"/>
  <c r="N453" i="6"/>
  <c r="O453" i="6"/>
  <c r="P453" i="6"/>
  <c r="O437" i="6"/>
  <c r="P437" i="6"/>
  <c r="N437" i="6"/>
  <c r="Q437" i="6"/>
  <c r="N421" i="6"/>
  <c r="O421" i="6"/>
  <c r="P421" i="6"/>
  <c r="Q421" i="6"/>
  <c r="N405" i="6"/>
  <c r="P405" i="6"/>
  <c r="Q405" i="6"/>
  <c r="O405" i="6"/>
  <c r="N389" i="6"/>
  <c r="O389" i="6"/>
  <c r="Q389" i="6"/>
  <c r="P389" i="6"/>
  <c r="O373" i="6"/>
  <c r="P373" i="6"/>
  <c r="Q373" i="6"/>
  <c r="N373" i="6"/>
  <c r="O357" i="6"/>
  <c r="Q357" i="6"/>
  <c r="P357" i="6"/>
  <c r="N357" i="6"/>
  <c r="O341" i="6"/>
  <c r="Q341" i="6"/>
  <c r="N341" i="6"/>
  <c r="O325" i="6"/>
  <c r="P325" i="6"/>
  <c r="Q325" i="6"/>
  <c r="N325" i="6"/>
  <c r="O309" i="6"/>
  <c r="P309" i="6"/>
  <c r="Q309" i="6"/>
  <c r="N309" i="6"/>
  <c r="O293" i="6"/>
  <c r="P293" i="6"/>
  <c r="Q293" i="6"/>
  <c r="N293" i="6"/>
  <c r="O277" i="6"/>
  <c r="P277" i="6"/>
  <c r="Q277" i="6"/>
  <c r="N277" i="6"/>
  <c r="O261" i="6"/>
  <c r="P261" i="6"/>
  <c r="Q261" i="6"/>
  <c r="N261" i="6"/>
  <c r="O245" i="6"/>
  <c r="P245" i="6"/>
  <c r="Q245" i="6"/>
  <c r="N245" i="6"/>
  <c r="O229" i="6"/>
  <c r="P229" i="6"/>
  <c r="Q229" i="6"/>
  <c r="N229" i="6"/>
  <c r="O213" i="6"/>
  <c r="P213" i="6"/>
  <c r="Q213" i="6"/>
  <c r="N213" i="6"/>
  <c r="O197" i="6"/>
  <c r="P197" i="6"/>
  <c r="Q197" i="6"/>
  <c r="N197" i="6"/>
  <c r="O181" i="6"/>
  <c r="P181" i="6"/>
  <c r="Q181" i="6"/>
  <c r="N181" i="6"/>
  <c r="O165" i="6"/>
  <c r="P165" i="6"/>
  <c r="Q165" i="6"/>
  <c r="N165" i="6"/>
  <c r="O149" i="6"/>
  <c r="P149" i="6"/>
  <c r="Q149" i="6"/>
  <c r="N149" i="6"/>
  <c r="P133" i="6"/>
  <c r="P117" i="6"/>
  <c r="O101" i="6"/>
  <c r="P101" i="6"/>
  <c r="Q101" i="6"/>
  <c r="N101" i="6"/>
  <c r="O85" i="6"/>
  <c r="P85" i="6"/>
  <c r="Q85" i="6"/>
  <c r="N85" i="6"/>
  <c r="O69" i="6"/>
  <c r="P69" i="6"/>
  <c r="Q69" i="6"/>
  <c r="N69" i="6"/>
  <c r="O53" i="6"/>
  <c r="P53" i="6"/>
  <c r="Q53" i="6"/>
  <c r="N53" i="6"/>
  <c r="O37" i="6"/>
  <c r="P37" i="6"/>
  <c r="Q37" i="6"/>
  <c r="N37" i="6"/>
  <c r="O804" i="6"/>
  <c r="P804" i="6"/>
  <c r="Q804" i="6"/>
  <c r="N804" i="6"/>
  <c r="O788" i="6"/>
  <c r="P788" i="6"/>
  <c r="Q788" i="6"/>
  <c r="N772" i="6"/>
  <c r="O772" i="6"/>
  <c r="Q772" i="6"/>
  <c r="P772" i="6"/>
  <c r="O756" i="6"/>
  <c r="P756" i="6"/>
  <c r="Q756" i="6"/>
  <c r="N756" i="6"/>
  <c r="N740" i="6"/>
  <c r="O740" i="6"/>
  <c r="P740" i="6"/>
  <c r="Q740" i="6"/>
  <c r="O724" i="6"/>
  <c r="P724" i="6"/>
  <c r="N724" i="6"/>
  <c r="N708" i="6"/>
  <c r="O708" i="6"/>
  <c r="P708" i="6"/>
  <c r="N692" i="6"/>
  <c r="O692" i="6"/>
  <c r="P692" i="6"/>
  <c r="N676" i="6"/>
  <c r="P676" i="6"/>
  <c r="Q676" i="6"/>
  <c r="O676" i="6"/>
  <c r="P660" i="6"/>
  <c r="Q660" i="6"/>
  <c r="N660" i="6"/>
  <c r="O660" i="6"/>
  <c r="N644" i="6"/>
  <c r="O644" i="6"/>
  <c r="P644" i="6"/>
  <c r="Q644" i="6"/>
  <c r="N628" i="6"/>
  <c r="O628" i="6"/>
  <c r="P628" i="6"/>
  <c r="N612" i="6"/>
  <c r="P612" i="6"/>
  <c r="Q612" i="6"/>
  <c r="O612" i="6"/>
  <c r="N596" i="6"/>
  <c r="O596" i="6"/>
  <c r="P596" i="6"/>
  <c r="Q596" i="6"/>
  <c r="N580" i="6"/>
  <c r="O580" i="6"/>
  <c r="P580" i="6"/>
  <c r="Q580" i="6"/>
  <c r="N564" i="6"/>
  <c r="O564" i="6"/>
  <c r="P564" i="6"/>
  <c r="Q564" i="6"/>
  <c r="N548" i="6"/>
  <c r="O548" i="6"/>
  <c r="P548" i="6"/>
  <c r="Q548" i="6"/>
  <c r="P532" i="6"/>
  <c r="Q532" i="6"/>
  <c r="N532" i="6"/>
  <c r="O532" i="6"/>
  <c r="N516" i="6"/>
  <c r="O516" i="6"/>
  <c r="P516" i="6"/>
  <c r="Q516" i="6"/>
  <c r="P500" i="6"/>
  <c r="Q500" i="6"/>
  <c r="O500" i="6"/>
  <c r="N500" i="6"/>
  <c r="N484" i="6"/>
  <c r="O484" i="6"/>
  <c r="P484" i="6"/>
  <c r="N468" i="6"/>
  <c r="O468" i="6"/>
  <c r="P468" i="6"/>
  <c r="Q468" i="6"/>
  <c r="N452" i="6"/>
  <c r="O452" i="6"/>
  <c r="P452" i="6"/>
  <c r="Q452" i="6"/>
  <c r="P436" i="6"/>
  <c r="Q436" i="6"/>
  <c r="O436" i="6"/>
  <c r="N420" i="6"/>
  <c r="O420" i="6"/>
  <c r="P420" i="6"/>
  <c r="Q420" i="6"/>
  <c r="P404" i="6"/>
  <c r="Q404" i="6"/>
  <c r="N404" i="6"/>
  <c r="O404" i="6"/>
  <c r="O388" i="6"/>
  <c r="P388" i="6"/>
  <c r="N388" i="6"/>
  <c r="Q388" i="6"/>
  <c r="N372" i="6"/>
  <c r="O372" i="6"/>
  <c r="P372" i="6"/>
  <c r="Q372" i="6"/>
  <c r="P356" i="6"/>
  <c r="Q356" i="6"/>
  <c r="N356" i="6"/>
  <c r="O356" i="6"/>
  <c r="N340" i="6"/>
  <c r="O340" i="6"/>
  <c r="P340" i="6"/>
  <c r="Q340" i="6"/>
  <c r="N324" i="6"/>
  <c r="P324" i="6"/>
  <c r="Q324" i="6"/>
  <c r="O324" i="6"/>
  <c r="N308" i="6"/>
  <c r="P308" i="6"/>
  <c r="Q308" i="6"/>
  <c r="O308" i="6"/>
  <c r="N292" i="6"/>
  <c r="P292" i="6"/>
  <c r="Q292" i="6"/>
  <c r="O292" i="6"/>
  <c r="N276" i="6"/>
  <c r="P276" i="6"/>
  <c r="Q276" i="6"/>
  <c r="O276" i="6"/>
  <c r="N260" i="6"/>
  <c r="P260" i="6"/>
  <c r="Q260" i="6"/>
  <c r="O260" i="6"/>
  <c r="N244" i="6"/>
  <c r="P244" i="6"/>
  <c r="Q244" i="6"/>
  <c r="O244" i="6"/>
  <c r="N228" i="6"/>
  <c r="P228" i="6"/>
  <c r="Q228" i="6"/>
  <c r="O228" i="6"/>
  <c r="N212" i="6"/>
  <c r="P212" i="6"/>
  <c r="Q212" i="6"/>
  <c r="O212" i="6"/>
  <c r="N196" i="6"/>
  <c r="P196" i="6"/>
  <c r="Q196" i="6"/>
  <c r="O196" i="6"/>
  <c r="N180" i="6"/>
  <c r="P180" i="6"/>
  <c r="Q180" i="6"/>
  <c r="O180" i="6"/>
  <c r="N164" i="6"/>
  <c r="P164" i="6"/>
  <c r="Q164" i="6"/>
  <c r="O164" i="6"/>
  <c r="N148" i="6"/>
  <c r="P148" i="6"/>
  <c r="Q148" i="6"/>
  <c r="O148" i="6"/>
  <c r="N132" i="6"/>
  <c r="P132" i="6"/>
  <c r="O132" i="6"/>
  <c r="P116" i="6"/>
  <c r="Q116" i="6"/>
  <c r="O116" i="6"/>
  <c r="N100" i="6"/>
  <c r="P100" i="6"/>
  <c r="O100" i="6"/>
  <c r="N84" i="6"/>
  <c r="P84" i="6"/>
  <c r="Q84" i="6"/>
  <c r="O84" i="6"/>
  <c r="N68" i="6"/>
  <c r="P68" i="6"/>
  <c r="Q68" i="6"/>
  <c r="O68" i="6"/>
  <c r="N52" i="6"/>
  <c r="P52" i="6"/>
  <c r="Q52" i="6"/>
  <c r="O52" i="6"/>
  <c r="N36" i="6"/>
  <c r="P36" i="6"/>
  <c r="Q36" i="6"/>
  <c r="O36" i="6"/>
  <c r="Q486" i="6"/>
  <c r="Q294" i="6"/>
  <c r="N1043" i="6"/>
  <c r="P1043" i="6"/>
  <c r="Q1043" i="6"/>
  <c r="O1043" i="6"/>
  <c r="O1027" i="6"/>
  <c r="Q1027" i="6"/>
  <c r="N1027" i="6"/>
  <c r="P1027" i="6"/>
  <c r="P1011" i="6"/>
  <c r="Q1011" i="6"/>
  <c r="O1011" i="6"/>
  <c r="N1011" i="6"/>
  <c r="N995" i="6"/>
  <c r="P995" i="6"/>
  <c r="O995" i="6"/>
  <c r="Q995" i="6"/>
  <c r="N979" i="6"/>
  <c r="O979" i="6"/>
  <c r="P979" i="6"/>
  <c r="Q979" i="6"/>
  <c r="N963" i="6"/>
  <c r="O963" i="6"/>
  <c r="P963" i="6"/>
  <c r="Q963" i="6"/>
  <c r="N947" i="6"/>
  <c r="P947" i="6"/>
  <c r="Q947" i="6"/>
  <c r="N931" i="6"/>
  <c r="O931" i="6"/>
  <c r="P931" i="6"/>
  <c r="Q931" i="6"/>
  <c r="N915" i="6"/>
  <c r="O915" i="6"/>
  <c r="P915" i="6"/>
  <c r="Q915" i="6"/>
  <c r="N899" i="6"/>
  <c r="O899" i="6"/>
  <c r="P899" i="6"/>
  <c r="Q899" i="6"/>
  <c r="N883" i="6"/>
  <c r="O883" i="6"/>
  <c r="P883" i="6"/>
  <c r="N867" i="6"/>
  <c r="O867" i="6"/>
  <c r="P867" i="6"/>
  <c r="Q867" i="6"/>
  <c r="P851" i="6"/>
  <c r="Q851" i="6"/>
  <c r="N851" i="6"/>
  <c r="O835" i="6"/>
  <c r="P835" i="6"/>
  <c r="Q835" i="6"/>
  <c r="N835" i="6"/>
  <c r="Q819" i="6"/>
  <c r="N819" i="6"/>
  <c r="O819" i="6"/>
  <c r="P819" i="6"/>
  <c r="O803" i="6"/>
  <c r="P803" i="6"/>
  <c r="Q803" i="6"/>
  <c r="N803" i="6"/>
  <c r="O787" i="6"/>
  <c r="P787" i="6"/>
  <c r="Q787" i="6"/>
  <c r="N787" i="6"/>
  <c r="N771" i="6"/>
  <c r="O771" i="6"/>
  <c r="P771" i="6"/>
  <c r="Q771" i="6"/>
  <c r="N755" i="6"/>
  <c r="O755" i="6"/>
  <c r="P755" i="6"/>
  <c r="Q755" i="6"/>
  <c r="Q739" i="6"/>
  <c r="N739" i="6"/>
  <c r="O739" i="6"/>
  <c r="P739" i="6"/>
  <c r="N723" i="6"/>
  <c r="O723" i="6"/>
  <c r="P723" i="6"/>
  <c r="Q723" i="6"/>
  <c r="P707" i="6"/>
  <c r="O707" i="6"/>
  <c r="N691" i="6"/>
  <c r="O691" i="6"/>
  <c r="P691" i="6"/>
  <c r="N675" i="6"/>
  <c r="Q675" i="6"/>
  <c r="O675" i="6"/>
  <c r="P675" i="6"/>
  <c r="N659" i="6"/>
  <c r="O659" i="6"/>
  <c r="P659" i="6"/>
  <c r="Q659" i="6"/>
  <c r="P643" i="6"/>
  <c r="Q643" i="6"/>
  <c r="N627" i="6"/>
  <c r="O627" i="6"/>
  <c r="P627" i="6"/>
  <c r="Q627" i="6"/>
  <c r="N611" i="6"/>
  <c r="O611" i="6"/>
  <c r="P611" i="6"/>
  <c r="Q611" i="6"/>
  <c r="P595" i="6"/>
  <c r="Q595" i="6"/>
  <c r="N595" i="6"/>
  <c r="O595" i="6"/>
  <c r="N579" i="6"/>
  <c r="P579" i="6"/>
  <c r="Q579" i="6"/>
  <c r="O579" i="6"/>
  <c r="Q563" i="6"/>
  <c r="N563" i="6"/>
  <c r="O563" i="6"/>
  <c r="P563" i="6"/>
  <c r="N547" i="6"/>
  <c r="O547" i="6"/>
  <c r="P547" i="6"/>
  <c r="Q547" i="6"/>
  <c r="N531" i="6"/>
  <c r="O531" i="6"/>
  <c r="P531" i="6"/>
  <c r="Q531" i="6"/>
  <c r="N515" i="6"/>
  <c r="P515" i="6"/>
  <c r="Q515" i="6"/>
  <c r="O515" i="6"/>
  <c r="N499" i="6"/>
  <c r="O499" i="6"/>
  <c r="P499" i="6"/>
  <c r="Q499" i="6"/>
  <c r="N467" i="6"/>
  <c r="O467" i="6"/>
  <c r="P467" i="6"/>
  <c r="Q467" i="6"/>
  <c r="N451" i="6"/>
  <c r="O451" i="6"/>
  <c r="P451" i="6"/>
  <c r="Q451" i="6"/>
  <c r="O435" i="6"/>
  <c r="P435" i="6"/>
  <c r="N435" i="6"/>
  <c r="Q435" i="6"/>
  <c r="O419" i="6"/>
  <c r="P419" i="6"/>
  <c r="N419" i="6"/>
  <c r="Q419" i="6"/>
  <c r="O403" i="6"/>
  <c r="P403" i="6"/>
  <c r="N403" i="6"/>
  <c r="Q403" i="6"/>
  <c r="O387" i="6"/>
  <c r="P387" i="6"/>
  <c r="N387" i="6"/>
  <c r="Q387" i="6"/>
  <c r="O371" i="6"/>
  <c r="P371" i="6"/>
  <c r="N371" i="6"/>
  <c r="Q371" i="6"/>
  <c r="N355" i="6"/>
  <c r="O355" i="6"/>
  <c r="P355" i="6"/>
  <c r="Q355" i="6"/>
  <c r="P339" i="6"/>
  <c r="N339" i="6"/>
  <c r="O339" i="6"/>
  <c r="Q339" i="6"/>
  <c r="N323" i="6"/>
  <c r="O323" i="6"/>
  <c r="P323" i="6"/>
  <c r="Q323" i="6"/>
  <c r="N307" i="6"/>
  <c r="O307" i="6"/>
  <c r="P307" i="6"/>
  <c r="Q307" i="6"/>
  <c r="N291" i="6"/>
  <c r="O291" i="6"/>
  <c r="P291" i="6"/>
  <c r="Q291" i="6"/>
  <c r="N275" i="6"/>
  <c r="O275" i="6"/>
  <c r="P275" i="6"/>
  <c r="Q275" i="6"/>
  <c r="P259" i="6"/>
  <c r="N259" i="6"/>
  <c r="Q259" i="6"/>
  <c r="O259" i="6"/>
  <c r="N243" i="6"/>
  <c r="O243" i="6"/>
  <c r="Q243" i="6"/>
  <c r="P243" i="6"/>
  <c r="N227" i="6"/>
  <c r="P227" i="6"/>
  <c r="Q227" i="6"/>
  <c r="O227" i="6"/>
  <c r="N211" i="6"/>
  <c r="O211" i="6"/>
  <c r="P211" i="6"/>
  <c r="Q211" i="6"/>
  <c r="Q195" i="6"/>
  <c r="O195" i="6"/>
  <c r="P195" i="6"/>
  <c r="N195" i="6"/>
  <c r="O179" i="6"/>
  <c r="P179" i="6"/>
  <c r="Q179" i="6"/>
  <c r="N179" i="6"/>
  <c r="N163" i="6"/>
  <c r="O163" i="6"/>
  <c r="P163" i="6"/>
  <c r="Q163" i="6"/>
  <c r="N147" i="6"/>
  <c r="O147" i="6"/>
  <c r="P147" i="6"/>
  <c r="Q147" i="6"/>
  <c r="P131" i="6"/>
  <c r="O131" i="6"/>
  <c r="N115" i="6"/>
  <c r="O115" i="6"/>
  <c r="P115" i="6"/>
  <c r="Q115" i="6"/>
  <c r="N99" i="6"/>
  <c r="O99" i="6"/>
  <c r="P99" i="6"/>
  <c r="Q99" i="6"/>
  <c r="N83" i="6"/>
  <c r="O83" i="6"/>
  <c r="P83" i="6"/>
  <c r="N67" i="6"/>
  <c r="Q67" i="6"/>
  <c r="O67" i="6"/>
  <c r="P67" i="6"/>
  <c r="N51" i="6"/>
  <c r="O51" i="6"/>
  <c r="P51" i="6"/>
  <c r="N35" i="6"/>
  <c r="O35" i="6"/>
  <c r="P35" i="6"/>
  <c r="Q35" i="6"/>
  <c r="P790" i="6"/>
  <c r="P486" i="6"/>
  <c r="N274" i="6"/>
  <c r="P274" i="6"/>
  <c r="Q274" i="6"/>
  <c r="O274" i="6"/>
  <c r="N258" i="6"/>
  <c r="O258" i="6"/>
  <c r="P258" i="6"/>
  <c r="Q258" i="6"/>
  <c r="N242" i="6"/>
  <c r="P242" i="6"/>
  <c r="Q242" i="6"/>
  <c r="O242" i="6"/>
  <c r="N226" i="6"/>
  <c r="O226" i="6"/>
  <c r="Q226" i="6"/>
  <c r="P226" i="6"/>
  <c r="N210" i="6"/>
  <c r="O210" i="6"/>
  <c r="P210" i="6"/>
  <c r="Q210" i="6"/>
  <c r="N194" i="6"/>
  <c r="O194" i="6"/>
  <c r="P194" i="6"/>
  <c r="Q194" i="6"/>
  <c r="N178" i="6"/>
  <c r="O178" i="6"/>
  <c r="Q178" i="6"/>
  <c r="P178" i="6"/>
  <c r="N162" i="6"/>
  <c r="O162" i="6"/>
  <c r="P162" i="6"/>
  <c r="Q162" i="6"/>
  <c r="N146" i="6"/>
  <c r="O146" i="6"/>
  <c r="P146" i="6"/>
  <c r="Q146" i="6"/>
  <c r="O130" i="6"/>
  <c r="P130" i="6"/>
  <c r="N114" i="6"/>
  <c r="O114" i="6"/>
  <c r="P114" i="6"/>
  <c r="N98" i="6"/>
  <c r="O98" i="6"/>
  <c r="P98" i="6"/>
  <c r="N82" i="6"/>
  <c r="Q82" i="6"/>
  <c r="O82" i="6"/>
  <c r="P82" i="6"/>
  <c r="N66" i="6"/>
  <c r="O66" i="6"/>
  <c r="P66" i="6"/>
  <c r="Q66" i="6"/>
  <c r="N50" i="6"/>
  <c r="Q50" i="6"/>
  <c r="O50" i="6"/>
  <c r="P50" i="6"/>
  <c r="N34" i="6"/>
  <c r="O34" i="6"/>
  <c r="P34" i="6"/>
  <c r="N788" i="6"/>
  <c r="Q484" i="6"/>
  <c r="Q21" i="6"/>
  <c r="P21" i="6"/>
  <c r="O21" i="6"/>
  <c r="Q24" i="6"/>
  <c r="P24" i="6"/>
  <c r="O24" i="6"/>
  <c r="Q23" i="6"/>
  <c r="Q15" i="6"/>
  <c r="P23" i="6"/>
  <c r="P15" i="6"/>
  <c r="O23" i="6"/>
  <c r="Q22" i="6"/>
  <c r="P22" i="6"/>
  <c r="P14" i="6"/>
  <c r="O22" i="6"/>
  <c r="P13" i="6"/>
  <c r="AM4749" i="1"/>
  <c r="AM4748" i="1"/>
  <c r="AM4747" i="1"/>
  <c r="AM4746" i="1"/>
  <c r="AM4745" i="1"/>
  <c r="AM4744" i="1"/>
  <c r="AM4743" i="1"/>
  <c r="AM4742" i="1"/>
  <c r="AM4741" i="1"/>
  <c r="AM4740" i="1"/>
  <c r="AM4739" i="1"/>
  <c r="AM4738" i="1"/>
  <c r="AM4737" i="1"/>
  <c r="AM4736" i="1"/>
  <c r="AM4735" i="1"/>
  <c r="AM4734" i="1"/>
  <c r="AM4733" i="1"/>
  <c r="AM4732" i="1"/>
  <c r="AM4731" i="1"/>
  <c r="AM4730" i="1"/>
  <c r="AM4729" i="1"/>
  <c r="AM4728" i="1"/>
  <c r="AM4727" i="1"/>
  <c r="AM4726" i="1"/>
  <c r="AM4725" i="1"/>
  <c r="AM4724" i="1"/>
  <c r="AM4723" i="1"/>
  <c r="AM4722" i="1"/>
  <c r="AM4721" i="1"/>
  <c r="AM4720" i="1"/>
  <c r="AM4719" i="1"/>
  <c r="AM4718" i="1"/>
  <c r="AM4717" i="1"/>
  <c r="AM4716" i="1"/>
  <c r="AM4715" i="1"/>
  <c r="AM4714" i="1"/>
  <c r="AM4713" i="1"/>
  <c r="AM4712" i="1"/>
  <c r="AM4711" i="1"/>
  <c r="AM4710" i="1"/>
  <c r="AM4709" i="1"/>
  <c r="AM4708" i="1"/>
  <c r="AM4707" i="1"/>
  <c r="AM4706" i="1"/>
  <c r="AM4705" i="1"/>
  <c r="AM4704" i="1"/>
  <c r="AM4703" i="1"/>
  <c r="AM4702" i="1"/>
  <c r="AM4701" i="1"/>
  <c r="AM4700" i="1"/>
  <c r="AM4699" i="1"/>
  <c r="AM4698" i="1"/>
  <c r="AM4697" i="1"/>
  <c r="AM4696" i="1"/>
  <c r="AM4695" i="1"/>
  <c r="AM4694" i="1"/>
  <c r="AM4693" i="1"/>
  <c r="AM4692" i="1"/>
  <c r="AM4691" i="1"/>
  <c r="AM4690" i="1"/>
  <c r="AM4689" i="1"/>
  <c r="AM4688" i="1"/>
  <c r="AM4687" i="1"/>
  <c r="AM4686" i="1"/>
  <c r="AM4685" i="1"/>
  <c r="AM4684" i="1"/>
  <c r="AM4683" i="1"/>
  <c r="AM4682" i="1"/>
  <c r="AM4681" i="1"/>
  <c r="AM4680" i="1"/>
  <c r="AM4679" i="1"/>
  <c r="AM4678" i="1"/>
  <c r="AM4677" i="1"/>
  <c r="AM4676" i="1"/>
  <c r="AM4675" i="1"/>
  <c r="AM4674" i="1"/>
  <c r="AM4673" i="1"/>
  <c r="AM4672" i="1"/>
  <c r="AM4671" i="1"/>
  <c r="AM4670" i="1"/>
  <c r="AM4669" i="1"/>
  <c r="AM4668" i="1"/>
  <c r="AM4667" i="1"/>
  <c r="AM4666" i="1"/>
  <c r="AM4665" i="1"/>
  <c r="AM4664" i="1"/>
  <c r="AM4663" i="1"/>
  <c r="AM4662" i="1"/>
  <c r="AM4661" i="1"/>
  <c r="AM4660" i="1"/>
  <c r="AM4659" i="1"/>
  <c r="AM4658" i="1"/>
  <c r="AM4655" i="1"/>
  <c r="AM4654" i="1"/>
  <c r="AM4653" i="1"/>
  <c r="AM4652" i="1"/>
  <c r="AM4651" i="1"/>
  <c r="AM4650" i="1"/>
  <c r="AM4649" i="1"/>
  <c r="AM4648" i="1"/>
  <c r="AM4647" i="1"/>
  <c r="AM4646" i="1"/>
  <c r="AM4645" i="1"/>
  <c r="AM4644" i="1"/>
  <c r="AM4643" i="1"/>
  <c r="AM4642" i="1"/>
  <c r="AM4641" i="1"/>
  <c r="AM4640" i="1"/>
  <c r="AM4639" i="1"/>
  <c r="AM4638" i="1"/>
  <c r="AM4637" i="1"/>
  <c r="AM4636" i="1"/>
  <c r="AM4635" i="1"/>
  <c r="AM4634" i="1"/>
  <c r="AM4633" i="1"/>
  <c r="AM4632" i="1"/>
  <c r="AM4631" i="1"/>
  <c r="AM4630" i="1"/>
  <c r="AM4629" i="1"/>
  <c r="AM4628" i="1"/>
  <c r="AM4627" i="1"/>
  <c r="AM4626" i="1"/>
  <c r="AM4625" i="1"/>
  <c r="AM4624" i="1"/>
  <c r="AM4623" i="1"/>
  <c r="AM4622" i="1"/>
  <c r="AM4621" i="1"/>
  <c r="AM4620" i="1"/>
  <c r="AM4619" i="1"/>
  <c r="AM4618" i="1"/>
  <c r="AM4617" i="1"/>
  <c r="AM4616" i="1"/>
  <c r="AM4615" i="1"/>
  <c r="AM4614" i="1"/>
  <c r="AM4613" i="1"/>
  <c r="AM4612" i="1"/>
  <c r="AM4611" i="1"/>
  <c r="AM4610" i="1"/>
  <c r="AM4609" i="1"/>
  <c r="AM4608" i="1"/>
  <c r="AM4607" i="1"/>
  <c r="AM4606" i="1"/>
  <c r="AM4605" i="1"/>
  <c r="AM4604" i="1"/>
  <c r="AM4603" i="1"/>
  <c r="AM4602" i="1"/>
  <c r="AM4601" i="1"/>
  <c r="AM4600" i="1"/>
  <c r="AM4599" i="1"/>
  <c r="AM4598" i="1"/>
  <c r="AM4597" i="1"/>
  <c r="AM4596" i="1"/>
  <c r="AM4595" i="1"/>
  <c r="AM4594" i="1"/>
  <c r="AM4593" i="1"/>
  <c r="AM4592" i="1"/>
  <c r="AM4591" i="1"/>
  <c r="AM4590" i="1"/>
  <c r="AM4589" i="1"/>
  <c r="AM4588" i="1"/>
  <c r="AM4587" i="1"/>
  <c r="AM4586" i="1"/>
  <c r="AM4585" i="1"/>
  <c r="AM4584" i="1"/>
  <c r="AM4583" i="1"/>
  <c r="AM4582" i="1"/>
  <c r="AM4581" i="1"/>
  <c r="AM4580" i="1"/>
  <c r="AM4579" i="1"/>
  <c r="AM4578" i="1"/>
  <c r="AM4577" i="1"/>
  <c r="AM4576" i="1"/>
  <c r="AM4575" i="1"/>
  <c r="AM4574" i="1"/>
  <c r="AM4573" i="1"/>
  <c r="AM4572" i="1"/>
  <c r="AM4571" i="1"/>
  <c r="AM4570" i="1"/>
  <c r="AM4569" i="1"/>
  <c r="AM4568" i="1"/>
  <c r="AM4567" i="1"/>
  <c r="AM4566" i="1"/>
  <c r="AM4565" i="1"/>
  <c r="AM4564" i="1"/>
  <c r="AM4563" i="1"/>
  <c r="AM4562" i="1"/>
  <c r="AM4561" i="1"/>
  <c r="AM4560" i="1"/>
  <c r="AM4559" i="1"/>
  <c r="AM4558" i="1"/>
  <c r="AM4557" i="1"/>
  <c r="AM4556" i="1"/>
  <c r="AM4555" i="1"/>
  <c r="AM4554" i="1"/>
  <c r="AM4553" i="1"/>
  <c r="AM4552" i="1"/>
  <c r="AM4551" i="1"/>
  <c r="AM4550" i="1"/>
  <c r="AM4549" i="1"/>
  <c r="AM4548" i="1"/>
  <c r="AM4547" i="1"/>
  <c r="AM4546" i="1"/>
  <c r="AM4545" i="1"/>
  <c r="AM4544" i="1"/>
  <c r="AM4543" i="1"/>
  <c r="AM4542" i="1"/>
  <c r="AM4541" i="1"/>
  <c r="AM4540" i="1"/>
  <c r="AM4539" i="1"/>
  <c r="AM4538" i="1"/>
  <c r="AM4537" i="1"/>
  <c r="AM4536" i="1"/>
  <c r="AM4535" i="1"/>
  <c r="AM4534" i="1"/>
  <c r="AM4533" i="1"/>
  <c r="AM4532" i="1"/>
  <c r="AM4531" i="1"/>
  <c r="AM4530" i="1"/>
  <c r="AM4529" i="1"/>
  <c r="AM4528" i="1"/>
  <c r="AM4527" i="1"/>
  <c r="AM4526" i="1"/>
  <c r="AM4525" i="1"/>
  <c r="AM4524" i="1"/>
  <c r="AM4523" i="1"/>
  <c r="AM4522" i="1"/>
  <c r="AM4521" i="1"/>
  <c r="AM4520" i="1"/>
  <c r="AM4519" i="1"/>
  <c r="AM4518" i="1"/>
  <c r="AM4517" i="1"/>
  <c r="AM4516" i="1"/>
  <c r="AM4515" i="1"/>
  <c r="AM4514" i="1"/>
  <c r="AM4513" i="1"/>
  <c r="AM4512" i="1"/>
  <c r="AM4511" i="1"/>
  <c r="AM4510" i="1"/>
  <c r="AM4509" i="1"/>
  <c r="AM4508" i="1"/>
  <c r="AM4507" i="1"/>
  <c r="AM4506" i="1"/>
  <c r="AM4505" i="1"/>
  <c r="AM4504" i="1"/>
  <c r="AM4503" i="1"/>
  <c r="AM4502" i="1"/>
  <c r="AM4501" i="1"/>
  <c r="AM4500" i="1"/>
  <c r="AM4499" i="1"/>
  <c r="AM4498" i="1"/>
  <c r="AM4497" i="1"/>
  <c r="AM4496" i="1"/>
  <c r="AM4495" i="1"/>
  <c r="AM4494" i="1"/>
  <c r="AM4493" i="1"/>
  <c r="AM4492" i="1"/>
  <c r="AM4491" i="1"/>
  <c r="AM4490" i="1"/>
  <c r="AM4489" i="1"/>
  <c r="AM4488" i="1"/>
  <c r="AM4487" i="1"/>
  <c r="AM4486" i="1"/>
  <c r="AM4485" i="1"/>
  <c r="AM4484" i="1"/>
  <c r="AM4483" i="1"/>
  <c r="AM4482" i="1"/>
  <c r="AM4481" i="1"/>
  <c r="AM4480" i="1"/>
  <c r="AM4479" i="1"/>
  <c r="AM4478" i="1"/>
  <c r="AM4477" i="1"/>
  <c r="AM4476" i="1"/>
  <c r="AM4475" i="1"/>
  <c r="AM4474" i="1"/>
  <c r="AM4473" i="1"/>
  <c r="AM4472" i="1"/>
  <c r="AM4471" i="1"/>
  <c r="AM4470" i="1"/>
  <c r="AM4469" i="1"/>
  <c r="AM4468" i="1"/>
  <c r="AM4467" i="1"/>
  <c r="AM4466" i="1"/>
  <c r="AM4465" i="1"/>
  <c r="AM4464" i="1"/>
  <c r="AM4463" i="1"/>
  <c r="AM4462" i="1"/>
  <c r="AM4461" i="1"/>
  <c r="AM4460" i="1"/>
  <c r="AM4459" i="1"/>
  <c r="AM4458" i="1"/>
  <c r="AM4457" i="1"/>
  <c r="AM4456" i="1"/>
  <c r="AM4455" i="1"/>
  <c r="AM4454" i="1"/>
  <c r="AM4453" i="1"/>
  <c r="AM4452" i="1"/>
  <c r="AM4451" i="1"/>
  <c r="AM4450" i="1"/>
  <c r="AM4449" i="1"/>
  <c r="AM4448" i="1"/>
  <c r="AM4447" i="1"/>
  <c r="AM4446" i="1"/>
  <c r="AM4445" i="1"/>
  <c r="AM4444" i="1"/>
  <c r="AM4443" i="1"/>
  <c r="AM4442" i="1"/>
  <c r="AM4441" i="1"/>
  <c r="AM4440" i="1"/>
  <c r="AM4439" i="1"/>
  <c r="AM4438" i="1"/>
  <c r="AM4437" i="1"/>
  <c r="AM4436" i="1"/>
  <c r="AM4435" i="1"/>
  <c r="AM4434" i="1"/>
  <c r="AM4433" i="1"/>
  <c r="AM4432" i="1"/>
  <c r="AM4431" i="1"/>
  <c r="AM4430" i="1"/>
  <c r="AM4429" i="1"/>
  <c r="AM4428" i="1"/>
  <c r="AM4427" i="1"/>
  <c r="AM4426" i="1"/>
  <c r="AM4425" i="1"/>
  <c r="AM4424" i="1"/>
  <c r="AM4423" i="1"/>
  <c r="AM4422" i="1"/>
  <c r="AM4421" i="1"/>
  <c r="AM4420" i="1"/>
  <c r="AM4419" i="1"/>
  <c r="AM4418" i="1"/>
  <c r="AM4417" i="1"/>
  <c r="AM4416" i="1"/>
  <c r="AM4415" i="1"/>
  <c r="AM4414" i="1"/>
  <c r="AM4413" i="1"/>
  <c r="AM4412" i="1"/>
  <c r="AM4410" i="1"/>
  <c r="AM4409" i="1"/>
  <c r="AM4408" i="1"/>
  <c r="AM4257" i="1"/>
  <c r="AM4256" i="1"/>
  <c r="AM4255" i="1"/>
  <c r="AM4254" i="1"/>
  <c r="AM4253" i="1"/>
  <c r="AM4252" i="1"/>
  <c r="AM4251" i="1"/>
  <c r="AM4250" i="1"/>
  <c r="AM4249" i="1"/>
  <c r="AM4248" i="1"/>
  <c r="AM4247" i="1"/>
  <c r="AM4246" i="1"/>
  <c r="AM4245" i="1"/>
  <c r="AM4244" i="1"/>
  <c r="AM4243" i="1"/>
  <c r="AM4242" i="1"/>
  <c r="AM4241" i="1"/>
  <c r="AM4240" i="1"/>
  <c r="AM4239" i="1"/>
  <c r="AM4238" i="1"/>
  <c r="AM4237" i="1"/>
  <c r="AM4236" i="1"/>
  <c r="AM4235" i="1"/>
  <c r="AM4234" i="1"/>
  <c r="AM4233" i="1"/>
  <c r="AM4232" i="1"/>
  <c r="AM4231" i="1"/>
  <c r="AM4230" i="1"/>
  <c r="AM4229" i="1"/>
  <c r="AM4228" i="1"/>
  <c r="AM4227" i="1"/>
  <c r="AM4226" i="1"/>
  <c r="AM4225" i="1"/>
  <c r="AM4224" i="1"/>
  <c r="AM4223" i="1"/>
  <c r="AM4222" i="1"/>
  <c r="AM4221" i="1"/>
  <c r="AM4220" i="1"/>
  <c r="AM4219" i="1"/>
  <c r="AM4218" i="1"/>
  <c r="AM4217" i="1"/>
  <c r="AM4216" i="1"/>
  <c r="AM4215" i="1"/>
  <c r="AM4214" i="1"/>
  <c r="AM4213" i="1"/>
  <c r="AM4212" i="1"/>
  <c r="AM4211" i="1"/>
  <c r="AM4210" i="1"/>
  <c r="AM4209" i="1"/>
  <c r="AM4208" i="1"/>
  <c r="AM4207" i="1"/>
  <c r="AM4206" i="1"/>
  <c r="AM4205" i="1"/>
  <c r="AM4204" i="1"/>
  <c r="AM4203" i="1"/>
  <c r="AM4202" i="1"/>
  <c r="AM4201" i="1"/>
  <c r="AM4200" i="1"/>
  <c r="AM4199" i="1"/>
  <c r="AM4198" i="1"/>
  <c r="AM4197" i="1"/>
  <c r="AM4196" i="1"/>
  <c r="AM4195" i="1"/>
  <c r="AM4194" i="1"/>
  <c r="AM4193" i="1"/>
  <c r="AM4192" i="1"/>
  <c r="AM4191" i="1"/>
  <c r="AM4190" i="1"/>
  <c r="AM4189" i="1"/>
  <c r="AM4188" i="1"/>
  <c r="AM4187" i="1"/>
  <c r="AM4186" i="1"/>
  <c r="AM4185" i="1"/>
  <c r="AM4184" i="1"/>
  <c r="AM4183" i="1"/>
  <c r="AM4178" i="1"/>
  <c r="AM4176" i="1"/>
  <c r="AM4175" i="1"/>
  <c r="AM4174" i="1"/>
  <c r="AM4173" i="1"/>
  <c r="AM4172" i="1"/>
  <c r="AM4171" i="1"/>
  <c r="AM4170" i="1"/>
  <c r="AM4169" i="1"/>
  <c r="AM4168" i="1"/>
  <c r="AM4167" i="1"/>
  <c r="AM4166" i="1"/>
  <c r="AM4165" i="1"/>
  <c r="AM4164" i="1"/>
  <c r="AM4163" i="1"/>
  <c r="AM4162" i="1"/>
  <c r="AM4161" i="1"/>
  <c r="AM4160" i="1"/>
  <c r="AM4159" i="1"/>
  <c r="AM4158" i="1"/>
  <c r="AM4157" i="1"/>
  <c r="AM4156" i="1"/>
  <c r="AM4155" i="1"/>
  <c r="AM4154" i="1"/>
  <c r="AM4153" i="1"/>
  <c r="AM4152" i="1"/>
  <c r="AM4151" i="1"/>
  <c r="AM4150" i="1"/>
  <c r="AM4149" i="1"/>
  <c r="AM4148" i="1"/>
  <c r="AM4147" i="1"/>
  <c r="AM4146" i="1"/>
  <c r="AM4145" i="1"/>
  <c r="AM4144" i="1"/>
  <c r="AM4143" i="1"/>
  <c r="AM4142" i="1"/>
  <c r="AM4141" i="1"/>
  <c r="AM4140" i="1"/>
  <c r="AM4139" i="1"/>
  <c r="AM4138" i="1"/>
  <c r="AM4137" i="1"/>
  <c r="AM4136" i="1"/>
  <c r="AM4135" i="1"/>
  <c r="AM4134" i="1"/>
  <c r="AM4133" i="1"/>
  <c r="AM4132" i="1"/>
  <c r="AM4131" i="1"/>
  <c r="AM4130" i="1"/>
  <c r="AM4129" i="1"/>
  <c r="AM4128" i="1"/>
  <c r="AM4127" i="1"/>
  <c r="AM4126" i="1"/>
  <c r="AM4125" i="1"/>
  <c r="AM4124" i="1"/>
  <c r="AM4123" i="1"/>
  <c r="AM4122" i="1"/>
  <c r="AM4121" i="1"/>
  <c r="AM4120" i="1"/>
  <c r="AM4119" i="1"/>
  <c r="AM4118" i="1"/>
  <c r="AM4117" i="1"/>
  <c r="AM4116" i="1"/>
  <c r="AM4115" i="1"/>
  <c r="AM4114" i="1"/>
  <c r="AM4113" i="1"/>
  <c r="AM4112" i="1"/>
  <c r="AM4111" i="1"/>
  <c r="AM4110" i="1"/>
  <c r="AM4109" i="1"/>
  <c r="AM4108" i="1"/>
  <c r="AM4107" i="1"/>
  <c r="AM4106" i="1"/>
  <c r="AM4105" i="1"/>
  <c r="AM4104" i="1"/>
  <c r="AM4103" i="1"/>
  <c r="AM4102" i="1"/>
  <c r="AM4101" i="1"/>
  <c r="AM4100" i="1"/>
  <c r="AM4099" i="1"/>
  <c r="AM4098" i="1"/>
  <c r="AM4097" i="1"/>
  <c r="AM4096" i="1"/>
  <c r="AM4095" i="1"/>
  <c r="AM4094" i="1"/>
  <c r="AM4093" i="1"/>
  <c r="AM4092" i="1"/>
  <c r="AM4091" i="1"/>
  <c r="AM4090" i="1"/>
  <c r="AM4089" i="1"/>
  <c r="AM4088" i="1"/>
  <c r="AM4087" i="1"/>
  <c r="AM4086" i="1"/>
  <c r="AM4085" i="1"/>
  <c r="AM4084" i="1"/>
  <c r="AM4083" i="1"/>
  <c r="AM4082" i="1"/>
  <c r="AM4081" i="1"/>
  <c r="AM4080" i="1"/>
  <c r="AM4079" i="1"/>
  <c r="AM4078" i="1"/>
  <c r="AM4077" i="1"/>
  <c r="AM4076" i="1"/>
  <c r="AM4075" i="1"/>
  <c r="AM4074" i="1"/>
  <c r="AM4073" i="1"/>
  <c r="AM4072" i="1"/>
  <c r="AM4071" i="1"/>
  <c r="AM4070" i="1"/>
  <c r="AM4069" i="1"/>
  <c r="AM4068" i="1"/>
  <c r="AM4067" i="1"/>
  <c r="AM4066" i="1"/>
  <c r="AM4065" i="1"/>
  <c r="AM4064" i="1"/>
  <c r="AM4063" i="1"/>
  <c r="AM4062" i="1"/>
  <c r="AM4061" i="1"/>
  <c r="AM4060" i="1"/>
  <c r="AM4059" i="1"/>
  <c r="AM4058" i="1"/>
  <c r="AM4057" i="1"/>
  <c r="AM4056" i="1"/>
  <c r="AM4055" i="1"/>
  <c r="AM4054" i="1"/>
  <c r="AM4053" i="1"/>
  <c r="AM4052" i="1"/>
  <c r="AM4051" i="1"/>
  <c r="AM4050" i="1"/>
  <c r="AM4049" i="1"/>
  <c r="AM4048" i="1"/>
  <c r="AM4047" i="1"/>
  <c r="AM4046" i="1"/>
  <c r="AM4045" i="1"/>
  <c r="AM4044" i="1"/>
  <c r="AM4043" i="1"/>
  <c r="AM4042" i="1"/>
  <c r="AM4041" i="1"/>
  <c r="AM4040" i="1"/>
  <c r="AM4039" i="1"/>
  <c r="AM4038" i="1"/>
  <c r="AM4037" i="1"/>
  <c r="AM4036" i="1"/>
  <c r="AM4035" i="1"/>
  <c r="AM4034" i="1"/>
  <c r="AM4033" i="1"/>
  <c r="AM4032" i="1"/>
  <c r="AM4031" i="1"/>
  <c r="AM4030" i="1"/>
  <c r="AM4029" i="1"/>
  <c r="AM4028" i="1"/>
  <c r="AM4027" i="1"/>
  <c r="AM4026" i="1"/>
  <c r="AM4025" i="1"/>
  <c r="AM4024" i="1"/>
  <c r="AM4023" i="1"/>
  <c r="AM4022" i="1"/>
  <c r="AM4021" i="1"/>
  <c r="AM4020" i="1"/>
  <c r="AM4019" i="1"/>
  <c r="AM4018" i="1"/>
  <c r="AM4017" i="1"/>
  <c r="AM4016" i="1"/>
  <c r="AM4015" i="1"/>
  <c r="AM4014" i="1"/>
  <c r="AM4013" i="1"/>
  <c r="AM4012" i="1"/>
  <c r="AM4011" i="1"/>
  <c r="AM4010" i="1"/>
  <c r="AM4009" i="1"/>
  <c r="AM4008" i="1"/>
  <c r="AM4007" i="1"/>
  <c r="AM4006" i="1"/>
  <c r="AM4005" i="1"/>
  <c r="AM4004" i="1"/>
  <c r="AM4003" i="1"/>
  <c r="AM4002" i="1"/>
  <c r="AM4001" i="1"/>
  <c r="AM4000" i="1"/>
  <c r="AM3999" i="1"/>
  <c r="AM3998" i="1"/>
  <c r="AM3997" i="1"/>
  <c r="AM3996" i="1"/>
  <c r="AM3995" i="1"/>
  <c r="AM3994" i="1"/>
  <c r="AM3993" i="1"/>
  <c r="AM3992" i="1"/>
  <c r="AM3991" i="1"/>
  <c r="AM3990" i="1"/>
  <c r="AM3989" i="1"/>
  <c r="AM3988" i="1"/>
  <c r="AM3987" i="1"/>
  <c r="AM3986" i="1"/>
  <c r="AM3985" i="1"/>
  <c r="AM3984" i="1"/>
  <c r="AM3983" i="1"/>
  <c r="AM3982" i="1"/>
  <c r="AM3981" i="1"/>
  <c r="AM3980" i="1"/>
  <c r="AM3979" i="1"/>
  <c r="AM3978" i="1"/>
  <c r="AM3977" i="1"/>
  <c r="AM3976" i="1"/>
  <c r="AM3975" i="1"/>
  <c r="AM3974" i="1"/>
  <c r="AM3973" i="1"/>
  <c r="AM3972" i="1"/>
  <c r="AM3971" i="1"/>
  <c r="AM3970" i="1"/>
  <c r="AM3969" i="1"/>
  <c r="AM3968" i="1"/>
  <c r="AM3967" i="1"/>
  <c r="AM3966" i="1"/>
  <c r="AM3965" i="1"/>
  <c r="AM3964" i="1"/>
  <c r="AM3963" i="1"/>
  <c r="AM3962" i="1"/>
  <c r="AM3961" i="1"/>
  <c r="AM3960" i="1"/>
  <c r="AM3959" i="1"/>
  <c r="AM3958" i="1"/>
  <c r="AM3957" i="1"/>
  <c r="AM3956" i="1"/>
  <c r="AM3955" i="1"/>
  <c r="AM3954" i="1"/>
  <c r="AM3953" i="1"/>
  <c r="AM3952" i="1"/>
  <c r="AM3951" i="1"/>
  <c r="AM3950" i="1"/>
  <c r="AM3949" i="1"/>
  <c r="AM3948" i="1"/>
  <c r="AM3947" i="1"/>
  <c r="AM3946" i="1"/>
  <c r="AM3945" i="1"/>
  <c r="AM3944" i="1"/>
  <c r="AM3943" i="1"/>
  <c r="AM3942" i="1"/>
  <c r="AM3941" i="1"/>
  <c r="AM3940" i="1"/>
  <c r="AM3939" i="1"/>
  <c r="AM3938" i="1"/>
  <c r="AM3937" i="1"/>
  <c r="AM3936" i="1"/>
  <c r="AM3935" i="1"/>
  <c r="AM3934" i="1"/>
  <c r="AM3933" i="1"/>
  <c r="AM3932" i="1"/>
  <c r="AM3931" i="1"/>
  <c r="AM3930" i="1"/>
  <c r="AM3929" i="1"/>
  <c r="AM3928" i="1"/>
  <c r="AM3927" i="1"/>
  <c r="AM3926" i="1"/>
  <c r="AM3925" i="1"/>
  <c r="AM3924" i="1"/>
  <c r="AM3923" i="1"/>
  <c r="AM3922" i="1"/>
  <c r="AM3921" i="1"/>
  <c r="AM3920" i="1"/>
  <c r="AM3919" i="1"/>
  <c r="AM3918" i="1"/>
  <c r="AM3917" i="1"/>
  <c r="AM3916" i="1"/>
  <c r="AM3915" i="1"/>
  <c r="AM3914" i="1"/>
  <c r="AM3913" i="1"/>
  <c r="AM3912" i="1"/>
  <c r="AM3911" i="1"/>
  <c r="AM3910" i="1"/>
  <c r="AM3909" i="1"/>
  <c r="AM3908" i="1"/>
  <c r="AM3907" i="1"/>
  <c r="AM3906" i="1"/>
  <c r="AM3905" i="1"/>
  <c r="AM3904" i="1"/>
  <c r="AM3903" i="1"/>
  <c r="AM3902" i="1"/>
  <c r="AM3901" i="1"/>
  <c r="AM3900" i="1"/>
  <c r="AM3899" i="1"/>
  <c r="AM3898" i="1"/>
  <c r="AM3897" i="1"/>
  <c r="AM3896" i="1"/>
  <c r="AM3895" i="1"/>
  <c r="AM3894" i="1"/>
  <c r="AM3893" i="1"/>
  <c r="AM3892" i="1"/>
  <c r="AM3891" i="1"/>
  <c r="AM3890" i="1"/>
  <c r="AM3889" i="1"/>
  <c r="AM3888" i="1"/>
  <c r="AM3887" i="1"/>
  <c r="AM3886" i="1"/>
  <c r="AM3885" i="1"/>
  <c r="AM3884" i="1"/>
  <c r="AM3883" i="1"/>
  <c r="AM3882" i="1"/>
  <c r="AM3881" i="1"/>
  <c r="AM3880" i="1"/>
  <c r="AM3879" i="1"/>
  <c r="AM3878" i="1"/>
  <c r="AM3877" i="1"/>
  <c r="AM3876" i="1"/>
  <c r="AM3875" i="1"/>
  <c r="AM3874" i="1"/>
  <c r="AM3873" i="1"/>
  <c r="AM3872" i="1"/>
  <c r="AM3871" i="1"/>
  <c r="AM3870" i="1"/>
  <c r="AM3869" i="1"/>
  <c r="AM3868" i="1"/>
  <c r="AM3867" i="1"/>
  <c r="AM3866" i="1"/>
  <c r="AM3865" i="1"/>
  <c r="AM3864" i="1"/>
  <c r="AM3863" i="1"/>
  <c r="AM3862" i="1"/>
  <c r="AM3861" i="1"/>
  <c r="AM3860" i="1"/>
  <c r="AM3859" i="1"/>
  <c r="AM3858" i="1"/>
  <c r="AM3857" i="1"/>
  <c r="AM3856" i="1"/>
  <c r="AM3855" i="1"/>
  <c r="AM3854" i="1"/>
  <c r="AM3853" i="1"/>
  <c r="AM3852" i="1"/>
  <c r="AM3851" i="1"/>
  <c r="AM3850" i="1"/>
  <c r="AM3849" i="1"/>
  <c r="AM3848" i="1"/>
  <c r="AM3847" i="1"/>
  <c r="AM3846" i="1"/>
  <c r="AM3845" i="1"/>
  <c r="AM3844" i="1"/>
  <c r="AM3843" i="1"/>
  <c r="AM3842" i="1"/>
  <c r="AM3841" i="1"/>
  <c r="AM3840" i="1"/>
  <c r="AM3839" i="1"/>
  <c r="AM3838" i="1"/>
  <c r="AM3837" i="1"/>
  <c r="AM3836" i="1"/>
  <c r="AM3835" i="1"/>
  <c r="AM3834" i="1"/>
  <c r="AM3833" i="1"/>
  <c r="AM3832" i="1"/>
  <c r="AM3831" i="1"/>
  <c r="AM3830" i="1"/>
  <c r="AM3829" i="1"/>
  <c r="AM3828" i="1"/>
  <c r="AM3827" i="1"/>
  <c r="AM3826" i="1"/>
  <c r="AM3825" i="1"/>
  <c r="AM3824" i="1"/>
  <c r="AM3823" i="1"/>
  <c r="AM3822" i="1"/>
  <c r="AM3821" i="1"/>
  <c r="AM3820" i="1"/>
  <c r="AM3819" i="1"/>
  <c r="AM3818" i="1"/>
  <c r="AM3817" i="1"/>
  <c r="AM3618" i="1"/>
  <c r="AM3617" i="1"/>
  <c r="AM3616" i="1"/>
  <c r="AM3615" i="1"/>
  <c r="AM3614" i="1"/>
  <c r="AM3613" i="1"/>
  <c r="AM3612" i="1"/>
  <c r="AM3611" i="1"/>
  <c r="AM3610" i="1"/>
  <c r="AM3609" i="1"/>
  <c r="AM3608" i="1"/>
  <c r="AM3607" i="1"/>
  <c r="AM3606" i="1"/>
  <c r="AM3605" i="1"/>
  <c r="AM3604" i="1"/>
  <c r="AM3603" i="1"/>
  <c r="AM3602" i="1"/>
  <c r="AM3601" i="1"/>
  <c r="AM3600" i="1"/>
  <c r="AM3599" i="1"/>
  <c r="AM3598" i="1"/>
  <c r="AM3597" i="1"/>
  <c r="AM3596" i="1"/>
  <c r="AM3595" i="1"/>
  <c r="AM3594" i="1"/>
  <c r="AM3593" i="1"/>
  <c r="AM3592" i="1"/>
  <c r="AM3591" i="1"/>
  <c r="AM3590" i="1"/>
  <c r="AM3589" i="1"/>
  <c r="AM3588" i="1"/>
  <c r="AM3587" i="1"/>
  <c r="AM3586" i="1"/>
  <c r="AM3585" i="1"/>
  <c r="AM3584" i="1"/>
  <c r="AM3583" i="1"/>
  <c r="AM3582" i="1"/>
  <c r="AM3581" i="1"/>
  <c r="AM3580" i="1"/>
  <c r="AM3579" i="1"/>
  <c r="AM3578" i="1"/>
  <c r="AM3577" i="1"/>
  <c r="AM3576" i="1"/>
  <c r="AM3575" i="1"/>
  <c r="AM3574" i="1"/>
  <c r="AM3573" i="1"/>
  <c r="AM3572" i="1"/>
  <c r="AM3571" i="1"/>
  <c r="AM3570" i="1"/>
  <c r="AM3569" i="1"/>
  <c r="AM3568" i="1"/>
  <c r="AM3567" i="1"/>
  <c r="AM3566" i="1"/>
  <c r="AM3565" i="1"/>
  <c r="AM3564" i="1"/>
  <c r="AM3563" i="1"/>
  <c r="AM3562" i="1"/>
  <c r="AM3561" i="1"/>
  <c r="AM3560" i="1"/>
  <c r="AM3559" i="1"/>
  <c r="AM3558" i="1"/>
  <c r="AM3557" i="1"/>
  <c r="AM3556" i="1"/>
  <c r="AM3555" i="1"/>
  <c r="AM3554" i="1"/>
  <c r="AM3553" i="1"/>
  <c r="AM3552" i="1"/>
  <c r="AM3551" i="1"/>
  <c r="AM3550" i="1"/>
  <c r="AM3549" i="1"/>
  <c r="AM3548" i="1"/>
  <c r="AM3547" i="1"/>
  <c r="AM3546" i="1"/>
  <c r="AM3545" i="1"/>
  <c r="AM3544" i="1"/>
  <c r="AM3543" i="1"/>
  <c r="AM3542" i="1"/>
  <c r="AM3541" i="1"/>
  <c r="AM3540" i="1"/>
  <c r="AM3539" i="1"/>
  <c r="AM3538" i="1"/>
  <c r="AM3537" i="1"/>
  <c r="AM3536" i="1"/>
  <c r="AM3535" i="1"/>
  <c r="AM3534" i="1"/>
  <c r="AM3533" i="1"/>
  <c r="AM3532" i="1"/>
  <c r="AM3531" i="1"/>
  <c r="AM3530" i="1"/>
  <c r="AM3529" i="1"/>
  <c r="AM3528" i="1"/>
  <c r="AM3527" i="1"/>
  <c r="AM3526" i="1"/>
  <c r="AM3525" i="1"/>
  <c r="AM3524" i="1"/>
  <c r="AM3523" i="1"/>
  <c r="AM3522" i="1"/>
  <c r="AM3521" i="1"/>
  <c r="AM3520" i="1"/>
  <c r="AM3519" i="1"/>
  <c r="AM3518" i="1"/>
  <c r="AM3517" i="1"/>
  <c r="AM3516" i="1"/>
  <c r="AM3515" i="1"/>
  <c r="AM3514" i="1"/>
  <c r="AM3513" i="1"/>
  <c r="AM3512" i="1"/>
  <c r="AM3511" i="1"/>
  <c r="AM3510" i="1"/>
  <c r="AM3509" i="1"/>
  <c r="AM3508" i="1"/>
  <c r="AM3507" i="1"/>
  <c r="AM3506" i="1"/>
  <c r="AM3505" i="1"/>
  <c r="AM3504" i="1"/>
  <c r="AM3503" i="1"/>
  <c r="AM3502" i="1"/>
  <c r="AM3501" i="1"/>
  <c r="AM3500" i="1"/>
  <c r="AM3499" i="1"/>
  <c r="AM3498" i="1"/>
  <c r="AM3497" i="1"/>
  <c r="AM3496" i="1"/>
  <c r="AM3495" i="1"/>
  <c r="AM3494" i="1"/>
  <c r="AM3493" i="1"/>
  <c r="AM3492" i="1"/>
  <c r="AM3491" i="1"/>
  <c r="AM3490" i="1"/>
  <c r="AM3489" i="1"/>
  <c r="AM3488" i="1"/>
  <c r="AM3487" i="1"/>
  <c r="AM3486" i="1"/>
  <c r="AM3485" i="1"/>
  <c r="AM3484" i="1"/>
  <c r="AM3483" i="1"/>
  <c r="AM3482" i="1"/>
  <c r="AM3481" i="1"/>
  <c r="AM3480" i="1"/>
  <c r="AM3479" i="1"/>
  <c r="AM3478" i="1"/>
  <c r="AM3477" i="1"/>
  <c r="AM3476" i="1"/>
  <c r="AM3475" i="1"/>
  <c r="AM3474" i="1"/>
  <c r="AM3473" i="1"/>
  <c r="AM3472" i="1"/>
  <c r="AM3471" i="1"/>
  <c r="AM3470" i="1"/>
  <c r="AM3469" i="1"/>
  <c r="AM3468" i="1"/>
  <c r="AM3467" i="1"/>
  <c r="AM3466" i="1"/>
  <c r="AM3465" i="1"/>
  <c r="AM3464" i="1"/>
  <c r="AM3463" i="1"/>
  <c r="AM3462" i="1"/>
  <c r="AM3461" i="1"/>
  <c r="AM3460" i="1"/>
  <c r="AM3459" i="1"/>
  <c r="AM3458" i="1"/>
  <c r="AM3457" i="1"/>
  <c r="AM3456" i="1"/>
  <c r="AM3455" i="1"/>
  <c r="AM3454" i="1"/>
  <c r="AM3453" i="1"/>
  <c r="AM3452" i="1"/>
  <c r="AM3451" i="1"/>
  <c r="AM3450" i="1"/>
  <c r="AM3449" i="1"/>
  <c r="AM3448" i="1"/>
  <c r="AM3447" i="1"/>
  <c r="AM3446" i="1"/>
  <c r="AM3445" i="1"/>
  <c r="AM3444" i="1"/>
  <c r="AM3443" i="1"/>
  <c r="AM3442" i="1"/>
  <c r="AM3441" i="1"/>
  <c r="AM3440" i="1"/>
  <c r="AM3439" i="1"/>
  <c r="AM3438" i="1"/>
  <c r="AM3437" i="1"/>
  <c r="AM3436" i="1"/>
  <c r="AM3435" i="1"/>
  <c r="AM3434" i="1"/>
  <c r="AM3433" i="1"/>
  <c r="AM3432" i="1"/>
  <c r="AM3431" i="1"/>
  <c r="AM3430" i="1"/>
  <c r="AM3429" i="1"/>
  <c r="AM3428" i="1"/>
  <c r="AM3427" i="1"/>
  <c r="AM3426" i="1"/>
  <c r="AM3425" i="1"/>
  <c r="AM3424" i="1"/>
  <c r="AM3423" i="1"/>
  <c r="AM3422" i="1"/>
  <c r="AM3421" i="1"/>
  <c r="AM3420" i="1"/>
  <c r="AM3419" i="1"/>
  <c r="AM3418" i="1"/>
  <c r="AM3417" i="1"/>
  <c r="AM3416" i="1"/>
  <c r="AM3415" i="1"/>
  <c r="AM3414" i="1"/>
  <c r="AM3413" i="1"/>
  <c r="AM3412" i="1"/>
  <c r="AM3411" i="1"/>
  <c r="AM3410" i="1"/>
  <c r="AM3409" i="1"/>
  <c r="AM3408" i="1"/>
  <c r="AM3407" i="1"/>
  <c r="AM3406" i="1"/>
  <c r="AM3405" i="1"/>
  <c r="AM3404" i="1"/>
  <c r="AM3403" i="1"/>
  <c r="AM3402" i="1"/>
  <c r="AM3401" i="1"/>
  <c r="AM3400" i="1"/>
  <c r="AM3399" i="1"/>
  <c r="AM3398" i="1"/>
  <c r="AM3397" i="1"/>
  <c r="AM3396" i="1"/>
  <c r="AM3395" i="1"/>
  <c r="AM3394" i="1"/>
  <c r="AM3393" i="1"/>
  <c r="AM3392" i="1"/>
  <c r="AM3391" i="1"/>
  <c r="AM3390" i="1"/>
  <c r="AM3389" i="1"/>
  <c r="AM3388" i="1"/>
  <c r="AM3387" i="1"/>
  <c r="AM3386" i="1"/>
  <c r="AM3385" i="1"/>
  <c r="AM3384" i="1"/>
  <c r="AM3383" i="1"/>
  <c r="AM3382" i="1"/>
  <c r="AM3381" i="1"/>
  <c r="AM3380" i="1"/>
  <c r="AM3379" i="1"/>
  <c r="AM3378" i="1"/>
  <c r="AM3377" i="1"/>
  <c r="AM3376" i="1"/>
  <c r="AM3375" i="1"/>
  <c r="AM3374" i="1"/>
  <c r="AM3373" i="1"/>
  <c r="AM3372" i="1"/>
  <c r="AM3371" i="1"/>
  <c r="AM3370" i="1"/>
  <c r="AM3369" i="1"/>
  <c r="AM3368" i="1"/>
  <c r="AM3367" i="1"/>
  <c r="AM3366" i="1"/>
  <c r="AM3365" i="1"/>
  <c r="AM3364" i="1"/>
  <c r="AM3363" i="1"/>
  <c r="AM3362" i="1"/>
  <c r="AM3361" i="1"/>
  <c r="AM3360" i="1"/>
  <c r="AM3359" i="1"/>
  <c r="AM3358" i="1"/>
  <c r="AM3357" i="1"/>
  <c r="AM3356" i="1"/>
  <c r="AM3355" i="1"/>
  <c r="AM3354" i="1"/>
  <c r="AM3353" i="1"/>
  <c r="AM3352" i="1"/>
  <c r="AM3351" i="1"/>
  <c r="AM3350" i="1"/>
  <c r="AM3349" i="1"/>
  <c r="AM3348" i="1"/>
  <c r="AM3347" i="1"/>
  <c r="AM3346" i="1"/>
  <c r="AM3345" i="1"/>
  <c r="AM3344" i="1"/>
  <c r="AM3343" i="1"/>
  <c r="AM3342" i="1"/>
  <c r="AM3341" i="1"/>
  <c r="AM3340" i="1"/>
  <c r="AM3339" i="1"/>
  <c r="AM3338" i="1"/>
  <c r="AM3337" i="1"/>
  <c r="AM3336" i="1"/>
  <c r="AM3335" i="1"/>
  <c r="AM3334" i="1"/>
  <c r="AM3333" i="1"/>
  <c r="AM3332" i="1"/>
  <c r="AM3331" i="1"/>
  <c r="AM3330" i="1"/>
  <c r="AM3329" i="1"/>
  <c r="AM3328" i="1"/>
  <c r="AM3327" i="1"/>
  <c r="AM3326" i="1"/>
  <c r="AM3325" i="1"/>
  <c r="AM3324" i="1"/>
  <c r="AM3323" i="1"/>
  <c r="AM3322" i="1"/>
  <c r="AK3325" i="1"/>
  <c r="AM3320" i="1"/>
  <c r="AM3319" i="1"/>
  <c r="AM3318" i="1"/>
  <c r="AM3317" i="1"/>
  <c r="AM3316" i="1"/>
  <c r="AM3315" i="1"/>
  <c r="AM3314" i="1"/>
  <c r="AM3313" i="1"/>
  <c r="AM3312" i="1"/>
  <c r="AM3311" i="1"/>
  <c r="AM3310" i="1"/>
  <c r="AM3309" i="1"/>
  <c r="AM3308" i="1"/>
  <c r="AM3307" i="1"/>
  <c r="AM3306" i="1"/>
  <c r="AM3305" i="1"/>
  <c r="AM3304" i="1"/>
  <c r="AM3303" i="1"/>
  <c r="AM3302" i="1"/>
  <c r="AM3301" i="1"/>
  <c r="AM3300" i="1"/>
  <c r="AM3299" i="1"/>
  <c r="AM3298" i="1"/>
  <c r="AM3297" i="1"/>
  <c r="AM3296" i="1"/>
  <c r="AM3295" i="1"/>
  <c r="AM3294" i="1"/>
  <c r="AM3293" i="1"/>
  <c r="AM3292" i="1"/>
  <c r="AM3291" i="1"/>
  <c r="AM3290" i="1"/>
  <c r="AM3289" i="1"/>
  <c r="AM3288" i="1"/>
  <c r="AM3287" i="1"/>
  <c r="AM3286" i="1"/>
  <c r="AM3285" i="1"/>
  <c r="AM3284" i="1"/>
  <c r="AM3283" i="1"/>
  <c r="AM3282" i="1"/>
  <c r="AM3281" i="1"/>
  <c r="AM3280" i="1"/>
  <c r="AM3279" i="1"/>
  <c r="AM3278" i="1"/>
  <c r="AM3277" i="1"/>
  <c r="AM3276" i="1"/>
  <c r="AM3275" i="1"/>
  <c r="AM3274" i="1"/>
  <c r="AM3273" i="1"/>
  <c r="AM3272" i="1"/>
  <c r="AM3271" i="1"/>
  <c r="AM3270" i="1"/>
  <c r="AM3269" i="1"/>
  <c r="AM3268" i="1"/>
  <c r="AM3267" i="1"/>
  <c r="AM3266" i="1"/>
  <c r="AM3265" i="1"/>
  <c r="AM3264" i="1"/>
  <c r="AM3263" i="1"/>
  <c r="AM3262" i="1"/>
  <c r="AM3261" i="1"/>
  <c r="AM3260" i="1"/>
  <c r="AM3259" i="1"/>
  <c r="AM3258" i="1"/>
  <c r="AM3257" i="1"/>
  <c r="AM3256" i="1"/>
  <c r="AM3255" i="1"/>
  <c r="AM3254" i="1"/>
  <c r="AM3253" i="1"/>
  <c r="AM3252" i="1"/>
  <c r="AM3251" i="1"/>
  <c r="AM3250" i="1"/>
  <c r="AM3249" i="1"/>
  <c r="AM3248" i="1"/>
  <c r="AM3244" i="1"/>
  <c r="AM3243" i="1"/>
  <c r="AM3242" i="1"/>
  <c r="AM3204" i="1"/>
  <c r="AM3203" i="1"/>
  <c r="AM3202" i="1"/>
  <c r="AM3201" i="1"/>
  <c r="AM3200" i="1"/>
  <c r="AM3199" i="1"/>
  <c r="AM3198" i="1"/>
  <c r="AM3197" i="1"/>
  <c r="AM3196" i="1"/>
  <c r="AM3195" i="1"/>
  <c r="AM3194" i="1"/>
  <c r="AM3193" i="1"/>
  <c r="AM3192" i="1"/>
  <c r="AM3191" i="1"/>
  <c r="AM3190" i="1"/>
  <c r="AM3189" i="1"/>
  <c r="AM3188" i="1"/>
  <c r="AM3187" i="1"/>
  <c r="AM3186" i="1"/>
  <c r="AM3185" i="1"/>
  <c r="AM3184" i="1"/>
  <c r="AM3183" i="1"/>
  <c r="AM3182" i="1"/>
  <c r="AM3181" i="1"/>
  <c r="AM3180" i="1"/>
  <c r="AM3179" i="1"/>
  <c r="AM3178" i="1"/>
  <c r="AM3177" i="1"/>
  <c r="AM3176" i="1"/>
  <c r="AM3175" i="1"/>
  <c r="AM3174" i="1"/>
  <c r="AM3173" i="1"/>
  <c r="AM3172" i="1"/>
  <c r="AM3171" i="1"/>
  <c r="AM3170" i="1"/>
  <c r="AM3169" i="1"/>
  <c r="AM3168" i="1"/>
  <c r="AM3167" i="1"/>
  <c r="AM3166" i="1"/>
  <c r="AM3165" i="1"/>
  <c r="AM3164" i="1"/>
  <c r="AM3163" i="1"/>
  <c r="AM3162" i="1"/>
  <c r="AM3161" i="1"/>
  <c r="AM3160" i="1"/>
  <c r="AM3159" i="1"/>
  <c r="AM3158" i="1"/>
  <c r="AM3157" i="1"/>
  <c r="AM3156" i="1"/>
  <c r="AM3155" i="1"/>
  <c r="AM3154" i="1"/>
  <c r="AM3153" i="1"/>
  <c r="AM3152" i="1"/>
  <c r="AM3151" i="1"/>
  <c r="AM3150" i="1"/>
  <c r="AM3149" i="1"/>
  <c r="AM3148" i="1"/>
  <c r="AM3147" i="1"/>
  <c r="AM3146" i="1"/>
  <c r="AM3145" i="1"/>
  <c r="AM3144" i="1"/>
  <c r="AM3143" i="1"/>
  <c r="AM3142" i="1"/>
  <c r="AM3141" i="1"/>
  <c r="AM3140" i="1"/>
  <c r="AM3139" i="1"/>
  <c r="AM3138" i="1"/>
  <c r="AM3137" i="1"/>
  <c r="AM3136" i="1"/>
  <c r="AM3135" i="1"/>
  <c r="AM3134" i="1"/>
  <c r="AM3133" i="1"/>
  <c r="AM3132" i="1"/>
  <c r="AM3131" i="1"/>
  <c r="AM3130" i="1"/>
  <c r="AM3129" i="1"/>
  <c r="AM3128" i="1"/>
  <c r="AM3127" i="1"/>
  <c r="AM3126" i="1"/>
  <c r="AM3125" i="1"/>
  <c r="AM3124" i="1"/>
  <c r="AM3123" i="1"/>
  <c r="AM3122" i="1"/>
  <c r="AM3121" i="1"/>
  <c r="AM3120" i="1"/>
  <c r="AM3119" i="1"/>
  <c r="AM3118" i="1"/>
  <c r="AM3117" i="1"/>
  <c r="AM3116" i="1"/>
  <c r="AM2629" i="1"/>
  <c r="AM2628" i="1"/>
  <c r="AM2627" i="1"/>
  <c r="AM2626" i="1"/>
  <c r="AM2625" i="1"/>
  <c r="AM2624" i="1"/>
  <c r="AM2623" i="1"/>
  <c r="AM2622" i="1"/>
  <c r="AM2621" i="1"/>
  <c r="AM2620" i="1"/>
  <c r="AM2619" i="1"/>
  <c r="AM2618" i="1"/>
  <c r="AM2617" i="1"/>
  <c r="AM2616" i="1"/>
  <c r="AM2615" i="1"/>
  <c r="AM2614" i="1"/>
  <c r="AM2613" i="1"/>
  <c r="AM2612" i="1"/>
  <c r="AM2611" i="1"/>
  <c r="AM2610" i="1"/>
  <c r="AM2609" i="1"/>
  <c r="AM2608" i="1"/>
  <c r="AM2607" i="1"/>
  <c r="AM2606" i="1"/>
  <c r="AM2605" i="1"/>
  <c r="AM2604" i="1"/>
  <c r="AM2603" i="1"/>
  <c r="AM2602" i="1"/>
  <c r="AM2601" i="1"/>
  <c r="AM2600" i="1"/>
  <c r="AM2599" i="1"/>
  <c r="AM2598" i="1"/>
  <c r="AM2597" i="1"/>
  <c r="AM2596" i="1"/>
  <c r="AM2595" i="1"/>
  <c r="AM2594" i="1"/>
  <c r="AM2593" i="1"/>
  <c r="AM2592" i="1"/>
  <c r="AM2591" i="1"/>
  <c r="AM2590" i="1"/>
  <c r="AM2589" i="1"/>
  <c r="AM2588" i="1"/>
  <c r="AM2587" i="1"/>
  <c r="AM2586" i="1"/>
  <c r="AM2585" i="1"/>
  <c r="AM2584" i="1"/>
  <c r="AM2583" i="1"/>
  <c r="AM2582" i="1"/>
  <c r="AM2581" i="1"/>
  <c r="AM2580" i="1"/>
  <c r="AM2579" i="1"/>
  <c r="AM2578" i="1"/>
  <c r="AM2577" i="1"/>
  <c r="AM2576" i="1"/>
  <c r="AM2575" i="1"/>
  <c r="AM2574" i="1"/>
  <c r="AM2573" i="1"/>
  <c r="AM2572" i="1"/>
  <c r="AM2571" i="1"/>
  <c r="AM2570" i="1"/>
  <c r="AM2569" i="1"/>
  <c r="AM2568" i="1"/>
  <c r="AM2567" i="1"/>
  <c r="AM2566" i="1"/>
  <c r="AM2565" i="1"/>
  <c r="AM2564" i="1"/>
  <c r="AM2563" i="1"/>
  <c r="AM2562" i="1"/>
  <c r="AM2561" i="1"/>
  <c r="AM2560" i="1"/>
  <c r="AM2559" i="1"/>
  <c r="AM2558" i="1"/>
  <c r="AM2557" i="1"/>
  <c r="AM2556" i="1"/>
  <c r="AM2555" i="1"/>
  <c r="AM2554" i="1"/>
  <c r="AM2553" i="1"/>
  <c r="AM2552" i="1"/>
  <c r="AM2551" i="1"/>
  <c r="AM2550" i="1"/>
  <c r="AM2549" i="1"/>
  <c r="AM2548" i="1"/>
  <c r="AM2547" i="1"/>
  <c r="AM2546" i="1"/>
  <c r="AM2545" i="1"/>
  <c r="AM2544" i="1"/>
  <c r="AM2543" i="1"/>
  <c r="AM2542" i="1"/>
  <c r="AM2541" i="1"/>
  <c r="AM2540" i="1"/>
  <c r="AM2539" i="1"/>
  <c r="AM2538" i="1"/>
  <c r="AM2537" i="1"/>
  <c r="AM2536" i="1"/>
  <c r="AM2535" i="1"/>
  <c r="AM2534" i="1"/>
  <c r="AM2533" i="1"/>
  <c r="AM2532" i="1"/>
  <c r="AM2531" i="1"/>
  <c r="AM2530" i="1"/>
  <c r="AM2529" i="1"/>
  <c r="AM2528" i="1"/>
  <c r="AM2527" i="1"/>
  <c r="AM2526" i="1"/>
  <c r="AM2525" i="1"/>
  <c r="AM2524" i="1"/>
  <c r="AM2523" i="1"/>
  <c r="AM2522" i="1"/>
  <c r="AM2521" i="1"/>
  <c r="AM2520" i="1"/>
  <c r="AM2519" i="1"/>
  <c r="AM2518" i="1"/>
  <c r="AM2517" i="1"/>
  <c r="AM2516" i="1"/>
  <c r="AM2515" i="1"/>
  <c r="AM2514" i="1"/>
  <c r="AM2513" i="1"/>
  <c r="AM2512" i="1"/>
  <c r="AM2511" i="1"/>
  <c r="AM2510" i="1"/>
  <c r="AM2509" i="1"/>
  <c r="AM2508" i="1"/>
  <c r="AM2507" i="1"/>
  <c r="AM2506" i="1"/>
  <c r="AM2505" i="1"/>
  <c r="AM2504" i="1"/>
  <c r="AM2503" i="1"/>
  <c r="AM2502" i="1"/>
  <c r="AM2501" i="1"/>
  <c r="AM2500" i="1"/>
  <c r="AM2499" i="1"/>
  <c r="AM2498" i="1"/>
  <c r="AM2497" i="1"/>
  <c r="AM2496" i="1"/>
  <c r="AM2495" i="1"/>
  <c r="AM2494" i="1"/>
  <c r="AM2493" i="1"/>
  <c r="AM2492" i="1"/>
  <c r="AM2491" i="1"/>
  <c r="AM2490" i="1"/>
  <c r="AM2489" i="1"/>
  <c r="AM2488" i="1"/>
  <c r="AM2487" i="1"/>
  <c r="AM2486" i="1"/>
  <c r="AM2485" i="1"/>
  <c r="AM2484" i="1"/>
  <c r="AM2483" i="1"/>
  <c r="AM2482" i="1"/>
  <c r="AM2481" i="1"/>
  <c r="AM2480" i="1"/>
  <c r="AM2479" i="1"/>
  <c r="AM2478" i="1"/>
  <c r="AM2477" i="1"/>
  <c r="AM2476" i="1"/>
  <c r="AM2475" i="1"/>
  <c r="AM2474" i="1"/>
  <c r="AM2473" i="1"/>
  <c r="AM2472" i="1"/>
  <c r="AM2471" i="1"/>
  <c r="AM2470" i="1"/>
  <c r="AM2469" i="1"/>
  <c r="AM2468" i="1"/>
  <c r="AM2467" i="1"/>
  <c r="AM2466" i="1"/>
  <c r="AM2465" i="1"/>
  <c r="AM2464" i="1"/>
  <c r="AM2463" i="1"/>
  <c r="AM2462" i="1"/>
  <c r="AM2461" i="1"/>
  <c r="AM2460" i="1"/>
  <c r="AM2459" i="1"/>
  <c r="AM2458" i="1"/>
  <c r="AM2457" i="1"/>
  <c r="AM2456" i="1"/>
  <c r="AM2455" i="1"/>
  <c r="AM2454" i="1"/>
  <c r="AM2453" i="1"/>
  <c r="AM2452" i="1"/>
  <c r="AM2451" i="1"/>
  <c r="AM2450" i="1"/>
  <c r="AM2449" i="1"/>
  <c r="AM2448" i="1"/>
  <c r="AM2447" i="1"/>
  <c r="AM2446" i="1"/>
  <c r="AM2445" i="1"/>
  <c r="AM2444" i="1"/>
  <c r="AM2443" i="1"/>
  <c r="AM2442" i="1"/>
  <c r="AM2441" i="1"/>
  <c r="AM2440" i="1"/>
  <c r="AM2439" i="1"/>
  <c r="AM2438" i="1"/>
  <c r="AM2437" i="1"/>
  <c r="AM2436" i="1"/>
  <c r="AM2435" i="1"/>
  <c r="AM2434" i="1"/>
  <c r="AM2433" i="1"/>
  <c r="AM2432" i="1"/>
  <c r="AM2431" i="1"/>
  <c r="AM2430" i="1"/>
  <c r="AM2429" i="1"/>
  <c r="AM2428" i="1"/>
  <c r="AM2427" i="1"/>
  <c r="AM2426" i="1"/>
  <c r="AM2425" i="1"/>
  <c r="AM2424" i="1"/>
  <c r="AM2423" i="1"/>
  <c r="AM2422" i="1"/>
  <c r="AM2421" i="1"/>
  <c r="AM2420" i="1"/>
  <c r="AM2419" i="1"/>
  <c r="AM2418" i="1"/>
  <c r="AM2417" i="1"/>
  <c r="AM2416" i="1"/>
  <c r="AM2415" i="1"/>
  <c r="AM2414" i="1"/>
  <c r="AM2413" i="1"/>
  <c r="AM2412" i="1"/>
  <c r="AM2411" i="1"/>
  <c r="AM2410" i="1"/>
  <c r="AM2409" i="1"/>
  <c r="AM2408" i="1"/>
  <c r="AM2407" i="1"/>
  <c r="AM2406" i="1"/>
  <c r="AM2405" i="1"/>
  <c r="AM2404" i="1"/>
  <c r="AM2403" i="1"/>
  <c r="AM2402" i="1"/>
  <c r="AM2401" i="1"/>
  <c r="AM2400" i="1"/>
  <c r="AM2399" i="1"/>
  <c r="AM2398" i="1"/>
  <c r="AM2397" i="1"/>
  <c r="AM2396" i="1"/>
  <c r="AM2395" i="1"/>
  <c r="AM2394" i="1"/>
  <c r="AM2393" i="1"/>
  <c r="AM2392" i="1"/>
  <c r="AM2391" i="1"/>
  <c r="AM2390" i="1"/>
  <c r="AM2389" i="1"/>
  <c r="AM2388" i="1"/>
  <c r="AM2387" i="1"/>
  <c r="AM2386" i="1"/>
  <c r="AM2385" i="1"/>
  <c r="AM2384" i="1"/>
  <c r="AM2383" i="1"/>
  <c r="AM2382" i="1"/>
  <c r="AM2381" i="1"/>
  <c r="AM2380" i="1"/>
  <c r="AM2379" i="1"/>
  <c r="AM2378" i="1"/>
  <c r="AM2377" i="1"/>
  <c r="AM2376" i="1"/>
  <c r="AM2375" i="1"/>
  <c r="AM2374" i="1"/>
  <c r="AM2373" i="1"/>
  <c r="AM2372" i="1"/>
  <c r="AM2371" i="1"/>
  <c r="AM2370" i="1"/>
  <c r="AM2369" i="1"/>
  <c r="AM2368" i="1"/>
  <c r="AM2367" i="1"/>
  <c r="AM2366" i="1"/>
  <c r="AM2365" i="1"/>
  <c r="AM2364" i="1"/>
  <c r="AM2363" i="1"/>
  <c r="AM2362" i="1"/>
  <c r="AM2361" i="1"/>
  <c r="AM2360" i="1"/>
  <c r="AM2359" i="1"/>
  <c r="AM2358" i="1"/>
  <c r="AM2357" i="1"/>
  <c r="AM2356" i="1"/>
  <c r="AM2355" i="1"/>
  <c r="AM2354" i="1"/>
  <c r="AM2353" i="1"/>
  <c r="AM2352" i="1"/>
  <c r="AM2351" i="1"/>
  <c r="AM2350" i="1"/>
  <c r="AM2349" i="1"/>
  <c r="AM2348" i="1"/>
  <c r="AM2347" i="1"/>
  <c r="AM2346" i="1"/>
  <c r="AM2345" i="1"/>
  <c r="AM2344" i="1"/>
  <c r="AM2343" i="1"/>
  <c r="AM2342" i="1"/>
  <c r="AM2341" i="1"/>
  <c r="AM2340" i="1"/>
  <c r="AM2339" i="1"/>
  <c r="AM2338" i="1"/>
  <c r="AM2337" i="1"/>
  <c r="AM2336" i="1"/>
  <c r="AM2335" i="1"/>
  <c r="AM2334" i="1"/>
  <c r="AM2333" i="1"/>
  <c r="AM2332" i="1"/>
  <c r="AM2331" i="1"/>
  <c r="AM2330" i="1"/>
  <c r="AM2329" i="1"/>
  <c r="AM2328" i="1"/>
  <c r="AM2327" i="1"/>
  <c r="AM2326" i="1"/>
  <c r="AM2325" i="1"/>
  <c r="AM2324" i="1"/>
  <c r="AM2323" i="1"/>
  <c r="AM2322" i="1"/>
  <c r="AM2321" i="1"/>
  <c r="AM2320" i="1"/>
  <c r="AM2319" i="1"/>
  <c r="AM2318" i="1"/>
  <c r="AM2317" i="1"/>
  <c r="AM2316" i="1"/>
  <c r="AM2315" i="1"/>
  <c r="AM2314" i="1"/>
  <c r="AM2313" i="1"/>
  <c r="AM2312" i="1"/>
  <c r="AM2311" i="1"/>
  <c r="AM2310" i="1"/>
  <c r="AM2309" i="1"/>
  <c r="AM2308" i="1"/>
  <c r="AM2307" i="1"/>
  <c r="AM2306" i="1"/>
  <c r="AM2305" i="1"/>
  <c r="AM2304" i="1"/>
  <c r="AM2303" i="1"/>
  <c r="AM2302" i="1"/>
  <c r="AM2301" i="1"/>
  <c r="AM2300" i="1"/>
  <c r="AM2299" i="1"/>
  <c r="AM2298" i="1"/>
  <c r="AM2297" i="1"/>
  <c r="AM2296" i="1"/>
  <c r="AM2295" i="1"/>
  <c r="AM2294" i="1"/>
  <c r="AM2293" i="1"/>
  <c r="AM2292" i="1"/>
  <c r="AM2291" i="1"/>
  <c r="AM2290" i="1"/>
  <c r="AM2289" i="1"/>
  <c r="AM2288" i="1"/>
  <c r="AM2287" i="1"/>
  <c r="AM2286" i="1"/>
  <c r="AM2285" i="1"/>
  <c r="AM2284" i="1"/>
  <c r="AM2283" i="1"/>
  <c r="AM2282" i="1"/>
  <c r="AM2281" i="1"/>
  <c r="AM2280" i="1"/>
  <c r="AM2279" i="1"/>
  <c r="AM2278" i="1"/>
  <c r="AM2277" i="1"/>
  <c r="AM2276" i="1"/>
  <c r="AM2275" i="1"/>
  <c r="AM2274" i="1"/>
  <c r="AM2273" i="1"/>
  <c r="AM2272" i="1"/>
  <c r="AM2271" i="1"/>
  <c r="AM2270" i="1"/>
  <c r="AM2269" i="1"/>
  <c r="AM2268" i="1"/>
  <c r="AM2267" i="1"/>
  <c r="AM2266" i="1"/>
  <c r="AM2265" i="1"/>
  <c r="AM2264" i="1"/>
  <c r="AM2263" i="1"/>
  <c r="AM2262" i="1"/>
  <c r="AM2261" i="1"/>
  <c r="AM2260" i="1"/>
  <c r="AM2259" i="1"/>
  <c r="AM2258" i="1"/>
  <c r="AM2257" i="1"/>
  <c r="AM2256" i="1"/>
  <c r="AM2255" i="1"/>
  <c r="AM2254" i="1"/>
  <c r="AM2253" i="1"/>
  <c r="AM2252" i="1"/>
  <c r="AM2251" i="1"/>
  <c r="AM2250" i="1"/>
  <c r="AM2249" i="1"/>
  <c r="AM2248" i="1"/>
  <c r="AM2247" i="1"/>
  <c r="AM2246" i="1"/>
  <c r="AM2245" i="1"/>
  <c r="AM2244" i="1"/>
  <c r="AM2243" i="1"/>
  <c r="AM2242" i="1"/>
  <c r="AM2241" i="1"/>
  <c r="AM2240" i="1"/>
  <c r="AM2239" i="1"/>
  <c r="AM2238" i="1"/>
  <c r="AM2237" i="1"/>
  <c r="AM2236" i="1"/>
  <c r="AM2235" i="1"/>
  <c r="AM2234" i="1"/>
  <c r="AM2233" i="1"/>
  <c r="AM2232" i="1"/>
  <c r="AM2231" i="1"/>
  <c r="AM2230" i="1"/>
  <c r="AM2229" i="1"/>
  <c r="AM2228" i="1"/>
  <c r="AM2227" i="1"/>
  <c r="AM2226" i="1"/>
  <c r="AM2225" i="1"/>
  <c r="AM2224" i="1"/>
  <c r="AM2223" i="1"/>
  <c r="AM2222" i="1"/>
  <c r="AM2221" i="1"/>
  <c r="AM2220" i="1"/>
  <c r="AM2219" i="1"/>
  <c r="AM2218" i="1"/>
  <c r="AM2217" i="1"/>
  <c r="AM2216" i="1"/>
  <c r="AM2215" i="1"/>
  <c r="AM2214" i="1"/>
  <c r="AM2213" i="1"/>
  <c r="AM2212" i="1"/>
  <c r="AM2211" i="1"/>
  <c r="AM2210" i="1"/>
  <c r="AM2209" i="1"/>
  <c r="AM2208" i="1"/>
  <c r="AM2207" i="1"/>
  <c r="AM2206" i="1"/>
  <c r="AM2205" i="1"/>
  <c r="AM2204" i="1"/>
  <c r="AM2203" i="1"/>
  <c r="AM2202" i="1"/>
  <c r="AM2201" i="1"/>
  <c r="AM2200" i="1"/>
  <c r="AM2199" i="1"/>
  <c r="AM2198" i="1"/>
  <c r="AM2197" i="1"/>
  <c r="AM2196" i="1"/>
  <c r="AM2195" i="1"/>
  <c r="AM2194" i="1"/>
  <c r="AM2193" i="1"/>
  <c r="AM2192" i="1"/>
  <c r="AM2191" i="1"/>
  <c r="AM2190" i="1"/>
  <c r="AM2189" i="1"/>
  <c r="AM2188" i="1"/>
  <c r="AM2187" i="1"/>
  <c r="AM2186" i="1"/>
  <c r="AM2185" i="1"/>
  <c r="AM2184" i="1"/>
  <c r="AM2183" i="1"/>
  <c r="AM2182" i="1"/>
  <c r="AM2181" i="1"/>
  <c r="AM2180" i="1"/>
  <c r="AM2179" i="1"/>
  <c r="AM2178" i="1"/>
  <c r="AM2177" i="1"/>
  <c r="AM2176" i="1"/>
  <c r="AM2175" i="1"/>
  <c r="AM2174" i="1"/>
  <c r="AM2173" i="1"/>
  <c r="AM2172" i="1"/>
  <c r="AM2171" i="1"/>
  <c r="AM2170" i="1"/>
  <c r="AM2169" i="1"/>
  <c r="AM2168" i="1"/>
  <c r="AM2167" i="1"/>
  <c r="AM2166" i="1"/>
  <c r="AM2165" i="1"/>
  <c r="AM2164" i="1"/>
  <c r="AM2163" i="1"/>
  <c r="AM2162" i="1"/>
  <c r="AM2161" i="1"/>
  <c r="AM2160" i="1"/>
  <c r="AM2159" i="1"/>
  <c r="AM2158" i="1"/>
  <c r="AM2157" i="1"/>
  <c r="AM2156" i="1"/>
  <c r="AM2155" i="1"/>
  <c r="AM2154" i="1"/>
  <c r="AM2153" i="1"/>
  <c r="AM2152" i="1"/>
  <c r="AM2151" i="1"/>
  <c r="AM2150" i="1"/>
  <c r="AM2149" i="1"/>
  <c r="AM2148" i="1"/>
  <c r="AM2147" i="1"/>
  <c r="AM2146" i="1"/>
  <c r="AM2145" i="1"/>
  <c r="AM2144" i="1"/>
  <c r="AM2143" i="1"/>
  <c r="AM2142" i="1"/>
  <c r="AM2141" i="1"/>
  <c r="AM2140" i="1"/>
  <c r="AM2139" i="1"/>
  <c r="AM2138" i="1"/>
  <c r="AM2137" i="1"/>
  <c r="AM2136" i="1"/>
  <c r="AM2135" i="1"/>
  <c r="AM2134" i="1"/>
  <c r="AM2133" i="1"/>
  <c r="AM2132" i="1"/>
  <c r="AM2131" i="1"/>
  <c r="AM2130" i="1"/>
  <c r="AM2129" i="1"/>
  <c r="AM2128" i="1"/>
  <c r="AM2127" i="1"/>
  <c r="AM2126" i="1"/>
  <c r="AM2125" i="1"/>
  <c r="AM2124" i="1"/>
  <c r="AM2123" i="1"/>
  <c r="AM2122" i="1"/>
  <c r="AM2121" i="1"/>
  <c r="AM2120" i="1"/>
  <c r="AM2119" i="1"/>
  <c r="AM2118" i="1"/>
  <c r="AM2117" i="1"/>
  <c r="AM2116" i="1"/>
  <c r="AM2115" i="1"/>
  <c r="AM2114" i="1"/>
  <c r="AM2113" i="1"/>
  <c r="AM2112" i="1"/>
  <c r="AM2111" i="1"/>
  <c r="AM2110" i="1"/>
  <c r="AM2109" i="1"/>
  <c r="AM2108" i="1"/>
  <c r="AM2107" i="1"/>
  <c r="AM2106" i="1"/>
  <c r="AM2105" i="1"/>
  <c r="AM2104" i="1"/>
  <c r="AM2103" i="1"/>
  <c r="AM2102" i="1"/>
  <c r="AM2101" i="1"/>
  <c r="AM2100" i="1"/>
  <c r="AM2099" i="1"/>
  <c r="AM2098" i="1"/>
  <c r="AM2097" i="1"/>
  <c r="AM2096" i="1"/>
  <c r="AM2095" i="1"/>
  <c r="AM2094" i="1"/>
  <c r="AM2093" i="1"/>
  <c r="AM2092" i="1"/>
  <c r="AM2091" i="1"/>
  <c r="AM2090" i="1"/>
  <c r="AM2089" i="1"/>
  <c r="AM2088" i="1"/>
  <c r="AM2087" i="1"/>
  <c r="AM2086" i="1"/>
  <c r="AM2085" i="1"/>
  <c r="AM2084" i="1"/>
  <c r="AM2083" i="1"/>
  <c r="AM2082" i="1"/>
  <c r="AM2081" i="1"/>
  <c r="AM2080" i="1"/>
  <c r="AM2079" i="1"/>
  <c r="AM2078" i="1"/>
  <c r="AM2077" i="1"/>
  <c r="AM2076" i="1"/>
  <c r="AM2075" i="1"/>
  <c r="AM2074" i="1"/>
  <c r="AM2073" i="1"/>
  <c r="AM2072" i="1"/>
  <c r="AM2071" i="1"/>
  <c r="AM2070" i="1"/>
  <c r="AM2069" i="1"/>
  <c r="AM2068" i="1"/>
  <c r="AM2067" i="1"/>
  <c r="AM2066" i="1"/>
  <c r="AM2065" i="1"/>
  <c r="AM2064" i="1"/>
  <c r="AM2063" i="1"/>
  <c r="AM2062" i="1"/>
  <c r="AM2061" i="1"/>
  <c r="AM2060" i="1"/>
  <c r="AM2059" i="1"/>
  <c r="AM2058" i="1"/>
  <c r="AM2057" i="1"/>
  <c r="AM2056" i="1"/>
  <c r="AM2055" i="1"/>
  <c r="AM2054" i="1"/>
  <c r="AM2053" i="1"/>
  <c r="AM2052" i="1"/>
  <c r="AM2051" i="1"/>
  <c r="AM2050" i="1"/>
  <c r="AM2049" i="1"/>
  <c r="AM2048" i="1"/>
  <c r="AM2047" i="1"/>
  <c r="AM2046" i="1"/>
  <c r="AM2045" i="1"/>
  <c r="AM2044" i="1"/>
  <c r="AM2043" i="1"/>
  <c r="AM2042" i="1"/>
  <c r="AM2041" i="1"/>
  <c r="AM2040" i="1"/>
  <c r="AM2039" i="1"/>
  <c r="AM2038" i="1"/>
  <c r="AM2037" i="1"/>
  <c r="AM2036" i="1"/>
  <c r="AM2035" i="1"/>
  <c r="AM2034" i="1"/>
  <c r="AM2033" i="1"/>
  <c r="AM2032" i="1"/>
  <c r="AM2031" i="1"/>
  <c r="AM2030" i="1"/>
  <c r="AM2029" i="1"/>
  <c r="AM2028" i="1"/>
  <c r="AM2027" i="1"/>
  <c r="AM2026" i="1"/>
  <c r="AM2025" i="1"/>
  <c r="AM2024" i="1"/>
  <c r="AM2023" i="1"/>
  <c r="AM2022" i="1"/>
  <c r="AM2021" i="1"/>
  <c r="AM2020" i="1"/>
  <c r="AM2019" i="1"/>
  <c r="AM2018" i="1"/>
  <c r="AM2017" i="1"/>
  <c r="AM2016" i="1"/>
  <c r="AM2015" i="1"/>
  <c r="AM2014" i="1"/>
  <c r="AM2013" i="1"/>
  <c r="AM2012" i="1"/>
  <c r="AM2011" i="1"/>
  <c r="AM2010" i="1"/>
  <c r="AM2009" i="1"/>
  <c r="AM2008" i="1"/>
  <c r="AM2007" i="1"/>
  <c r="AM2006" i="1"/>
  <c r="AM2005" i="1"/>
  <c r="AM2004" i="1"/>
  <c r="AM2003" i="1"/>
  <c r="AM2002" i="1"/>
  <c r="AM2001" i="1"/>
  <c r="AM2000" i="1"/>
  <c r="AM1999" i="1"/>
  <c r="AM1998" i="1"/>
  <c r="AM1997" i="1"/>
  <c r="AM1996" i="1"/>
  <c r="AM1995" i="1"/>
  <c r="AM1994" i="1"/>
  <c r="AM1993" i="1"/>
  <c r="AM1992" i="1"/>
  <c r="AM1991" i="1"/>
  <c r="AM1990" i="1"/>
  <c r="AM1989" i="1"/>
  <c r="AM1988" i="1"/>
  <c r="AM1987" i="1"/>
  <c r="AM1986" i="1"/>
  <c r="AM1985" i="1"/>
  <c r="AM1984" i="1"/>
  <c r="AM1983" i="1"/>
  <c r="AM1982" i="1"/>
  <c r="AM1981" i="1"/>
  <c r="AM1980" i="1"/>
  <c r="AM1979" i="1"/>
  <c r="AM1978" i="1"/>
  <c r="AM1977" i="1"/>
  <c r="AM1976" i="1"/>
  <c r="AM1975" i="1"/>
  <c r="AM1974" i="1"/>
  <c r="AM1973" i="1"/>
  <c r="AM1972" i="1"/>
  <c r="AM1971" i="1"/>
  <c r="AM1970" i="1"/>
  <c r="AM1969" i="1"/>
  <c r="AM1968" i="1"/>
  <c r="AM1967" i="1"/>
  <c r="AM1966" i="1"/>
  <c r="AM1965" i="1"/>
  <c r="AM1964" i="1"/>
  <c r="AM1963" i="1"/>
  <c r="AM1962" i="1"/>
  <c r="AM1961" i="1"/>
  <c r="AM1960" i="1"/>
  <c r="AM1959" i="1"/>
  <c r="AM1958" i="1"/>
  <c r="AM1957" i="1"/>
  <c r="AM1956" i="1"/>
  <c r="AM1955" i="1"/>
  <c r="AM1954" i="1"/>
  <c r="AM1953" i="1"/>
  <c r="AM1952" i="1"/>
  <c r="AM1951" i="1"/>
  <c r="AM1950" i="1"/>
  <c r="AM1949" i="1"/>
  <c r="AM1948" i="1"/>
  <c r="AM1947" i="1"/>
  <c r="AM1946" i="1"/>
  <c r="AM1945" i="1"/>
  <c r="AM1944" i="1"/>
  <c r="AM1943" i="1"/>
  <c r="AM1942" i="1"/>
  <c r="AM1941" i="1"/>
  <c r="AM1940" i="1"/>
  <c r="AM1939" i="1"/>
  <c r="AM1938" i="1"/>
  <c r="AM1937" i="1"/>
  <c r="AM1936" i="1"/>
  <c r="AM1935" i="1"/>
  <c r="AM1934" i="1"/>
  <c r="AM1933" i="1"/>
  <c r="AM1932" i="1"/>
  <c r="AM1931" i="1"/>
  <c r="AM1930" i="1"/>
  <c r="AM1929" i="1"/>
  <c r="AM1928" i="1"/>
  <c r="AM1927" i="1"/>
  <c r="AM1926" i="1"/>
  <c r="AM1925" i="1"/>
  <c r="AM1924" i="1"/>
  <c r="AM1923" i="1"/>
  <c r="AM1922" i="1"/>
  <c r="AM1921" i="1"/>
  <c r="AM1920" i="1"/>
  <c r="AM1919" i="1"/>
  <c r="AM1918" i="1"/>
  <c r="AM1917" i="1"/>
  <c r="AM1916" i="1"/>
  <c r="AM1915" i="1"/>
  <c r="AM1914" i="1"/>
  <c r="AM1913" i="1"/>
  <c r="AM1912" i="1"/>
  <c r="AM1911" i="1"/>
  <c r="AM1910" i="1"/>
  <c r="AM1909" i="1"/>
  <c r="AM1908" i="1"/>
  <c r="AM1907" i="1"/>
  <c r="AM1906" i="1"/>
  <c r="AM1905" i="1"/>
  <c r="AM1904" i="1"/>
  <c r="AM1903" i="1"/>
  <c r="AM1902" i="1"/>
  <c r="AM1901" i="1"/>
  <c r="AM1900" i="1"/>
  <c r="AM1899" i="1"/>
  <c r="AM1898" i="1"/>
  <c r="AM1897" i="1"/>
  <c r="AM1896" i="1"/>
  <c r="AM1895" i="1"/>
  <c r="AM1894" i="1"/>
  <c r="AM1893" i="1"/>
  <c r="AM1892" i="1"/>
  <c r="AM1891" i="1"/>
  <c r="AM1890" i="1"/>
  <c r="AM1889" i="1"/>
  <c r="AM1888" i="1"/>
  <c r="AM1887" i="1"/>
  <c r="AM1886" i="1"/>
  <c r="AM1885" i="1"/>
  <c r="AM1884" i="1"/>
  <c r="AM1883" i="1"/>
  <c r="AM1882" i="1"/>
  <c r="AM1881" i="1"/>
  <c r="AM1880" i="1"/>
  <c r="AM1879" i="1"/>
  <c r="AM1878" i="1"/>
  <c r="AM1877" i="1"/>
  <c r="AM1876" i="1"/>
  <c r="AM1875" i="1"/>
  <c r="AM1874" i="1"/>
  <c r="AM1873" i="1"/>
  <c r="AM1872" i="1"/>
  <c r="AM1871" i="1"/>
  <c r="AM1870" i="1"/>
  <c r="AM1869" i="1"/>
  <c r="AM1868" i="1"/>
  <c r="AM1867" i="1"/>
  <c r="AM1866" i="1"/>
  <c r="AM1865" i="1"/>
  <c r="AM1864" i="1"/>
  <c r="AM1863" i="1"/>
  <c r="AM1862" i="1"/>
  <c r="AM1861" i="1"/>
  <c r="AM1860" i="1"/>
  <c r="AM1859" i="1"/>
  <c r="AM1858" i="1"/>
  <c r="AM1857" i="1"/>
  <c r="AM1856" i="1"/>
  <c r="AM1855" i="1"/>
  <c r="AM1854" i="1"/>
  <c r="AM1853" i="1"/>
  <c r="AM1852" i="1"/>
  <c r="AM1851" i="1"/>
  <c r="AM1850" i="1"/>
  <c r="AM1849" i="1"/>
  <c r="AM1848" i="1"/>
  <c r="AM1847" i="1"/>
  <c r="AM1846" i="1"/>
  <c r="AM1845" i="1"/>
  <c r="AM1844" i="1"/>
  <c r="AM1843" i="1"/>
  <c r="AM1842" i="1"/>
  <c r="AM1841" i="1"/>
  <c r="AM1840" i="1"/>
  <c r="AM1839" i="1"/>
  <c r="AM1838" i="1"/>
  <c r="AM1837" i="1"/>
  <c r="AM1836" i="1"/>
  <c r="AM1835" i="1"/>
  <c r="AM1834" i="1"/>
  <c r="AM1833" i="1"/>
  <c r="AM1832" i="1"/>
  <c r="AM1831" i="1"/>
  <c r="AM1830" i="1"/>
  <c r="AM1829" i="1"/>
  <c r="AM1828" i="1"/>
  <c r="AM1827" i="1"/>
  <c r="AM1826" i="1"/>
  <c r="AM1825" i="1"/>
  <c r="AM1824" i="1"/>
  <c r="AM1823" i="1"/>
  <c r="AM1822" i="1"/>
  <c r="AM1821" i="1"/>
  <c r="AM1820" i="1"/>
  <c r="AM1819" i="1"/>
  <c r="AM1818" i="1"/>
  <c r="AM1817" i="1"/>
  <c r="AM1816" i="1"/>
  <c r="AM1815" i="1"/>
  <c r="AM1814" i="1"/>
  <c r="AM1813" i="1"/>
  <c r="AM1812" i="1"/>
  <c r="AM1811" i="1"/>
  <c r="AM1810" i="1"/>
  <c r="AM1809" i="1"/>
  <c r="AM1808" i="1"/>
  <c r="AM1807" i="1"/>
  <c r="AM1806" i="1"/>
  <c r="AM1805" i="1"/>
  <c r="AM1804" i="1"/>
  <c r="AM1803" i="1"/>
  <c r="AM1802" i="1"/>
  <c r="AM1801" i="1"/>
  <c r="AM1800" i="1"/>
  <c r="AM1799" i="1"/>
  <c r="AM1798" i="1"/>
  <c r="AM1797" i="1"/>
  <c r="AM1796" i="1"/>
  <c r="AM1795" i="1"/>
  <c r="AM1794" i="1"/>
  <c r="AM1793" i="1"/>
  <c r="AM1792" i="1"/>
  <c r="AM1791" i="1"/>
  <c r="AM1790" i="1"/>
  <c r="AM1789" i="1"/>
  <c r="AM1788" i="1"/>
  <c r="AM1787" i="1"/>
  <c r="AM1786" i="1"/>
  <c r="AM1785" i="1"/>
  <c r="AM1784" i="1"/>
  <c r="AM1783" i="1"/>
  <c r="AM1782" i="1"/>
  <c r="AM1781" i="1"/>
  <c r="AM1780" i="1"/>
  <c r="AM1779" i="1"/>
  <c r="AM1778" i="1"/>
  <c r="AM1777" i="1"/>
  <c r="AM1776" i="1"/>
  <c r="AM1775" i="1"/>
  <c r="AM1774" i="1"/>
  <c r="AM1773" i="1"/>
  <c r="AM1772" i="1"/>
  <c r="AM1771" i="1"/>
  <c r="AM1770" i="1"/>
  <c r="AM1769" i="1"/>
  <c r="AM1768" i="1"/>
  <c r="AM1767" i="1"/>
  <c r="AM1766" i="1"/>
  <c r="AM1765" i="1"/>
  <c r="AM1764" i="1"/>
  <c r="AM1763" i="1"/>
  <c r="AM1762" i="1"/>
  <c r="AM1761" i="1"/>
  <c r="AM1760" i="1"/>
  <c r="AM1759" i="1"/>
  <c r="AM1758" i="1"/>
  <c r="AM1757" i="1"/>
  <c r="AM1756" i="1"/>
  <c r="AM1755" i="1"/>
  <c r="AM1754" i="1"/>
  <c r="AM1753" i="1"/>
  <c r="AM1752" i="1"/>
  <c r="AM1751" i="1"/>
  <c r="AM1750" i="1"/>
  <c r="AM1749" i="1"/>
  <c r="AM1748" i="1"/>
  <c r="AM1747" i="1"/>
  <c r="AM1746" i="1"/>
  <c r="AM1745" i="1"/>
  <c r="AM1744" i="1"/>
  <c r="AM1743" i="1"/>
  <c r="AM1742" i="1"/>
  <c r="AM1741" i="1"/>
  <c r="AM1740" i="1"/>
  <c r="AM1739" i="1"/>
  <c r="AM1735" i="1"/>
  <c r="AM1734" i="1"/>
  <c r="AM1569" i="1"/>
  <c r="AM1563" i="1"/>
  <c r="AM1560" i="1"/>
  <c r="AM1559" i="1"/>
  <c r="AM1556" i="1"/>
  <c r="AM1555" i="1"/>
  <c r="AM1554" i="1"/>
  <c r="AM1553" i="1"/>
  <c r="AM1552" i="1"/>
  <c r="AM1551" i="1"/>
  <c r="AM1550" i="1"/>
  <c r="AM1549" i="1"/>
  <c r="AM1547" i="1"/>
  <c r="AM1546" i="1"/>
  <c r="AM1545" i="1"/>
  <c r="AM1544" i="1"/>
  <c r="AM1543" i="1"/>
  <c r="AM1542" i="1"/>
  <c r="AM1541" i="1"/>
  <c r="AM1540" i="1"/>
  <c r="AM1539" i="1"/>
  <c r="AM1538" i="1"/>
  <c r="AM1537" i="1"/>
  <c r="AM1536" i="1"/>
  <c r="AM1535" i="1"/>
  <c r="AM1534" i="1"/>
  <c r="AM1533" i="1"/>
  <c r="AM1532" i="1"/>
  <c r="AM1531" i="1"/>
  <c r="AM1530" i="1"/>
  <c r="AM1529" i="1"/>
  <c r="AM1528" i="1"/>
  <c r="AM1527" i="1"/>
  <c r="AM1526" i="1"/>
  <c r="AM1525" i="1"/>
  <c r="AM1524" i="1"/>
  <c r="AM1523" i="1"/>
  <c r="AM1522" i="1"/>
  <c r="AM1521" i="1"/>
  <c r="AM1520" i="1"/>
  <c r="AM1519" i="1"/>
  <c r="AM1518" i="1"/>
  <c r="AM1517" i="1"/>
  <c r="AM1516" i="1"/>
  <c r="AM1515" i="1"/>
  <c r="AM1514" i="1"/>
  <c r="AM1513" i="1"/>
  <c r="AM1512" i="1"/>
  <c r="AM1511" i="1"/>
  <c r="AM1510" i="1"/>
  <c r="AM1509" i="1"/>
  <c r="AM1508" i="1"/>
  <c r="AM1507" i="1"/>
  <c r="AM1506" i="1"/>
  <c r="AM1505" i="1"/>
  <c r="AM1504" i="1"/>
  <c r="AM1503" i="1"/>
  <c r="AM1502" i="1"/>
  <c r="AM1501" i="1"/>
  <c r="AM1500" i="1"/>
  <c r="AM1499" i="1"/>
  <c r="AM1498" i="1"/>
  <c r="AM1497" i="1"/>
  <c r="AM1496" i="1"/>
  <c r="AM1495" i="1"/>
  <c r="AM1494" i="1"/>
  <c r="AM1493" i="1"/>
  <c r="AM1492" i="1"/>
  <c r="AM1491" i="1"/>
  <c r="AM1490" i="1"/>
  <c r="AM1489" i="1"/>
  <c r="AM1488" i="1"/>
  <c r="AM1487" i="1"/>
  <c r="AM1486" i="1"/>
  <c r="AM1485" i="1"/>
  <c r="AM1484" i="1"/>
  <c r="AM1483" i="1"/>
  <c r="AM1482" i="1"/>
  <c r="AM1481" i="1"/>
  <c r="AM1480" i="1"/>
  <c r="AM1479" i="1"/>
  <c r="AM1478" i="1"/>
  <c r="AM1477" i="1"/>
  <c r="AM1476" i="1"/>
  <c r="AM1475" i="1"/>
  <c r="AM1474" i="1"/>
  <c r="AM1473" i="1"/>
  <c r="AM1472" i="1"/>
  <c r="AM1471" i="1"/>
  <c r="AM1470" i="1"/>
  <c r="AM1469" i="1"/>
  <c r="AM1468" i="1"/>
  <c r="AM1467" i="1"/>
  <c r="AM1466" i="1"/>
  <c r="AM1465" i="1"/>
  <c r="AM1464" i="1"/>
  <c r="AM1463" i="1"/>
  <c r="AM1462" i="1"/>
  <c r="AM1461" i="1"/>
  <c r="AM1460" i="1"/>
  <c r="AM1459" i="1"/>
  <c r="AM1458" i="1"/>
  <c r="AM1457" i="1"/>
  <c r="AM1456" i="1"/>
  <c r="AM1455" i="1"/>
  <c r="AM1454" i="1"/>
  <c r="AM1453" i="1"/>
  <c r="AM1452" i="1"/>
  <c r="AM1451" i="1"/>
  <c r="AM1450" i="1"/>
  <c r="AM1449" i="1"/>
  <c r="AM1448" i="1"/>
  <c r="AM1447" i="1"/>
  <c r="AM1446" i="1"/>
  <c r="AM1445" i="1"/>
  <c r="AM1444" i="1"/>
  <c r="AM1443" i="1"/>
  <c r="AM1442" i="1"/>
  <c r="AM1441" i="1"/>
  <c r="AM1440" i="1"/>
  <c r="AM1439" i="1"/>
  <c r="AM1438" i="1"/>
  <c r="AM1437" i="1"/>
  <c r="AM1436" i="1"/>
  <c r="AM1435" i="1"/>
  <c r="AM1434" i="1"/>
  <c r="AM1433" i="1"/>
  <c r="AM1432" i="1"/>
  <c r="AM1431" i="1"/>
  <c r="AM1430" i="1"/>
  <c r="AM1429" i="1"/>
  <c r="AM1428" i="1"/>
  <c r="AM1427" i="1"/>
  <c r="AM1426" i="1"/>
  <c r="AM1425" i="1"/>
  <c r="AM1424" i="1"/>
  <c r="AM1423" i="1"/>
  <c r="AM1422" i="1"/>
  <c r="AM1421" i="1"/>
  <c r="AM1420" i="1"/>
  <c r="AM1419" i="1"/>
  <c r="AM1418" i="1"/>
  <c r="AM1417" i="1"/>
  <c r="AM1416" i="1"/>
  <c r="AM1415" i="1"/>
  <c r="AM1414" i="1"/>
  <c r="AM1413" i="1"/>
  <c r="AM1412" i="1"/>
  <c r="AM1411" i="1"/>
  <c r="AM1410" i="1"/>
  <c r="AM1409" i="1"/>
  <c r="AM1408" i="1"/>
  <c r="AM1407" i="1"/>
  <c r="AM1406" i="1"/>
  <c r="AM1405" i="1"/>
  <c r="AM1404" i="1"/>
  <c r="AM1403" i="1"/>
  <c r="AM1402" i="1"/>
  <c r="AM1401" i="1"/>
  <c r="AM1400" i="1"/>
  <c r="AM1399" i="1"/>
  <c r="AM1398" i="1"/>
  <c r="AM1397" i="1"/>
  <c r="AM1396" i="1"/>
  <c r="AM1278" i="1"/>
  <c r="AM1277" i="1"/>
  <c r="AM1276" i="1"/>
  <c r="AM1275" i="1"/>
  <c r="AM1274" i="1"/>
  <c r="AM1273" i="1"/>
  <c r="AM1272" i="1"/>
  <c r="AM1271" i="1"/>
  <c r="AM1270" i="1"/>
  <c r="AM1269" i="1"/>
  <c r="AM1268" i="1"/>
  <c r="AM1267" i="1"/>
  <c r="AM1266" i="1"/>
  <c r="AM1265" i="1"/>
  <c r="AM1264" i="1"/>
  <c r="AM1263" i="1"/>
  <c r="AM1262" i="1"/>
  <c r="AM1261" i="1"/>
  <c r="AM1260" i="1"/>
  <c r="AM1259" i="1"/>
  <c r="AM1258" i="1"/>
  <c r="AM1257" i="1"/>
  <c r="AM1256" i="1"/>
  <c r="AM1255" i="1"/>
  <c r="AM1254" i="1"/>
  <c r="AM1253" i="1"/>
  <c r="AM1252" i="1"/>
  <c r="AM1251" i="1"/>
  <c r="AM1250" i="1"/>
  <c r="AM1249" i="1"/>
  <c r="AM1248" i="1"/>
  <c r="AM1247" i="1"/>
  <c r="AM1246" i="1"/>
  <c r="AM1245" i="1"/>
  <c r="AM1244" i="1"/>
  <c r="AM1243" i="1"/>
  <c r="AM1242" i="1"/>
  <c r="AM1241" i="1"/>
  <c r="AM1240" i="1"/>
  <c r="AM1239" i="1"/>
  <c r="AM1238" i="1"/>
  <c r="AM1237" i="1"/>
  <c r="AM1236" i="1"/>
  <c r="AM1235" i="1"/>
  <c r="AM1234" i="1"/>
  <c r="AM1233" i="1"/>
  <c r="AM1232" i="1"/>
  <c r="AM1231" i="1"/>
  <c r="AM1230" i="1"/>
  <c r="AM1229" i="1"/>
  <c r="AM1228" i="1"/>
  <c r="AM1227" i="1"/>
  <c r="AM1226" i="1"/>
  <c r="AM1225" i="1"/>
  <c r="AM1224" i="1"/>
  <c r="AM1223" i="1"/>
  <c r="AM1222" i="1"/>
  <c r="AM1221" i="1"/>
  <c r="AM1220" i="1"/>
  <c r="AM1219" i="1"/>
  <c r="AM1218" i="1"/>
  <c r="AM1217" i="1"/>
  <c r="AM1216" i="1"/>
  <c r="AM1215" i="1"/>
  <c r="AM1214" i="1"/>
  <c r="AM1213" i="1"/>
  <c r="AM1212" i="1"/>
  <c r="AM1211" i="1"/>
  <c r="AM1210" i="1"/>
  <c r="AM1209" i="1"/>
  <c r="AM1208" i="1"/>
  <c r="AM1207" i="1"/>
  <c r="AM1206" i="1"/>
  <c r="AM1205" i="1"/>
  <c r="AM1204" i="1"/>
  <c r="AM1203" i="1"/>
  <c r="AM1202" i="1"/>
  <c r="AM1201" i="1"/>
  <c r="AM1200" i="1"/>
  <c r="AM1199" i="1"/>
  <c r="AM1198" i="1"/>
  <c r="AM1197" i="1"/>
  <c r="AM1196" i="1"/>
  <c r="AM1195" i="1"/>
  <c r="AM1194" i="1"/>
  <c r="AM1193" i="1"/>
  <c r="AM1192" i="1"/>
  <c r="AM1191" i="1"/>
  <c r="AM1190" i="1"/>
  <c r="AM1189" i="1"/>
  <c r="AM1188" i="1"/>
  <c r="AM1187" i="1"/>
  <c r="AM1186" i="1"/>
  <c r="AM1185" i="1"/>
  <c r="AM1184" i="1"/>
  <c r="AM1183" i="1"/>
  <c r="AM1182" i="1"/>
  <c r="AM1181" i="1"/>
  <c r="AM1180" i="1"/>
  <c r="AM1179" i="1"/>
  <c r="AM1178" i="1"/>
  <c r="AM1177" i="1"/>
  <c r="AM1176" i="1"/>
  <c r="AM1175" i="1"/>
  <c r="AM1174" i="1"/>
  <c r="AM1173" i="1"/>
  <c r="AM1172" i="1"/>
  <c r="AM1171" i="1"/>
  <c r="AM1170" i="1"/>
  <c r="AM1169" i="1"/>
  <c r="AM1168" i="1"/>
  <c r="AM1167" i="1"/>
  <c r="AM1166" i="1"/>
  <c r="AM1165" i="1"/>
  <c r="AM1164" i="1"/>
  <c r="AM1163" i="1"/>
  <c r="AM1162" i="1"/>
  <c r="AM1161" i="1"/>
  <c r="AM1160" i="1"/>
  <c r="AM1159" i="1"/>
  <c r="AM1158" i="1"/>
  <c r="AM1157" i="1"/>
  <c r="AM1156" i="1"/>
  <c r="AM1155" i="1"/>
  <c r="AM1154" i="1"/>
  <c r="AM1153" i="1"/>
  <c r="AM1152" i="1"/>
  <c r="AM1151" i="1"/>
  <c r="AM1150" i="1"/>
  <c r="AM1149" i="1"/>
  <c r="AM1148" i="1"/>
  <c r="AM1147" i="1"/>
  <c r="AM1146" i="1"/>
  <c r="AM1145" i="1"/>
  <c r="AM1144" i="1"/>
  <c r="AM1143" i="1"/>
  <c r="AM1142" i="1"/>
  <c r="AM1141" i="1"/>
  <c r="AM1140" i="1"/>
  <c r="AM1139" i="1"/>
  <c r="AM1138" i="1"/>
  <c r="AM1137" i="1"/>
  <c r="AM1136" i="1"/>
  <c r="AM1135" i="1"/>
  <c r="AM1134" i="1"/>
  <c r="AM1133" i="1"/>
  <c r="AM1132" i="1"/>
  <c r="AM1131" i="1"/>
  <c r="AM1130" i="1"/>
  <c r="AM1129" i="1"/>
  <c r="AM1128" i="1"/>
  <c r="AM1127" i="1"/>
  <c r="AM1126" i="1"/>
  <c r="AM1125" i="1"/>
  <c r="AM1124" i="1"/>
  <c r="AM1123" i="1"/>
  <c r="AM1122" i="1"/>
  <c r="AM1121" i="1"/>
  <c r="AM1120" i="1"/>
  <c r="AM1119" i="1"/>
  <c r="AM1118" i="1"/>
  <c r="AM1117" i="1"/>
  <c r="AM1116" i="1"/>
  <c r="AM1115" i="1"/>
  <c r="AM1114" i="1"/>
  <c r="AM1113" i="1"/>
  <c r="AM1112" i="1"/>
  <c r="AM1111" i="1"/>
  <c r="AM1110" i="1"/>
  <c r="AM1109" i="1"/>
  <c r="AM1108" i="1"/>
  <c r="AM1107" i="1"/>
  <c r="AM1106" i="1"/>
  <c r="AM1105" i="1"/>
  <c r="AM1104" i="1"/>
  <c r="AM1103" i="1"/>
  <c r="AM1102" i="1"/>
  <c r="AM1101" i="1"/>
  <c r="AM1100" i="1"/>
  <c r="AM1099" i="1"/>
  <c r="AM1098" i="1"/>
  <c r="AM1097" i="1"/>
  <c r="AM1096" i="1"/>
  <c r="AM1095" i="1"/>
  <c r="AM1094" i="1"/>
  <c r="AM1093" i="1"/>
  <c r="AM1092" i="1"/>
  <c r="AM1091" i="1"/>
  <c r="AM1090" i="1"/>
  <c r="AM1089" i="1"/>
  <c r="AM1088" i="1"/>
  <c r="AM1087" i="1"/>
  <c r="AM1086" i="1"/>
  <c r="AM1085" i="1"/>
  <c r="AM1084" i="1"/>
  <c r="AM1083" i="1"/>
  <c r="AM1082" i="1"/>
  <c r="AM1081" i="1"/>
  <c r="AM1080" i="1"/>
  <c r="AM1079" i="1"/>
  <c r="AM1078" i="1"/>
  <c r="AM1077" i="1"/>
  <c r="AM1076" i="1"/>
  <c r="AM1075" i="1"/>
  <c r="AM1074" i="1"/>
  <c r="AM1073" i="1"/>
  <c r="AM1072" i="1"/>
  <c r="AM1071" i="1"/>
  <c r="AM1070" i="1"/>
  <c r="AM1069" i="1"/>
  <c r="AM1068" i="1"/>
  <c r="AM1067" i="1"/>
  <c r="AM1066" i="1"/>
  <c r="AM1065" i="1"/>
  <c r="AM1064" i="1"/>
  <c r="AM1063" i="1"/>
  <c r="AM1062" i="1"/>
  <c r="AM1061" i="1"/>
  <c r="AM1060" i="1"/>
  <c r="AM1059" i="1"/>
  <c r="AM1058" i="1"/>
  <c r="AM1057" i="1"/>
  <c r="AM1056" i="1"/>
  <c r="AM1055" i="1"/>
  <c r="AM1054" i="1"/>
  <c r="AM1053" i="1"/>
  <c r="AM1052" i="1"/>
  <c r="AM1051" i="1"/>
  <c r="AM1050" i="1"/>
  <c r="AM1049" i="1"/>
  <c r="AM1048" i="1"/>
  <c r="AM1047" i="1"/>
  <c r="AM1046" i="1"/>
  <c r="AM1045" i="1"/>
  <c r="AM1044" i="1"/>
  <c r="AM1043" i="1"/>
  <c r="AM1042" i="1"/>
  <c r="AM1041" i="1"/>
  <c r="AM1040" i="1"/>
  <c r="AM1039" i="1"/>
  <c r="AM1038" i="1"/>
  <c r="AM1037" i="1"/>
  <c r="AM1036" i="1"/>
  <c r="AM1035" i="1"/>
  <c r="AM1034" i="1"/>
  <c r="AM1033" i="1"/>
  <c r="AM1032" i="1"/>
  <c r="AM1031" i="1"/>
  <c r="AM1030" i="1"/>
  <c r="AM1029" i="1"/>
  <c r="AM1028" i="1"/>
  <c r="AM1027" i="1"/>
  <c r="AM1026" i="1"/>
  <c r="AM1025" i="1"/>
  <c r="AM1024" i="1"/>
  <c r="AM1023" i="1"/>
  <c r="AM1022" i="1"/>
  <c r="AM1021" i="1"/>
  <c r="AM1020" i="1"/>
  <c r="AM1019" i="1"/>
  <c r="AM1018" i="1"/>
  <c r="AM1017" i="1"/>
  <c r="AM1016" i="1"/>
  <c r="AM1015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B3" i="7" l="1"/>
  <c r="D3" i="7" s="1"/>
  <c r="B4" i="7"/>
  <c r="D4" i="7" s="1"/>
  <c r="B2" i="7"/>
  <c r="D2" i="7" s="1"/>
  <c r="D11" i="7" l="1"/>
  <c r="D13" i="7" s="1"/>
</calcChain>
</file>

<file path=xl/sharedStrings.xml><?xml version="1.0" encoding="utf-8"?>
<sst xmlns="http://schemas.openxmlformats.org/spreadsheetml/2006/main" count="37480" uniqueCount="7386">
  <si>
    <t>Habitat Structure</t>
  </si>
  <si>
    <t>Human_Modifiers</t>
  </si>
  <si>
    <t>Extent</t>
  </si>
  <si>
    <t>ID</t>
  </si>
  <si>
    <t>id_10m</t>
  </si>
  <si>
    <t>lon_10m_point</t>
  </si>
  <si>
    <t>lat_10m_point</t>
  </si>
  <si>
    <t>INT_50</t>
  </si>
  <si>
    <t>Hyperlink</t>
  </si>
  <si>
    <t>Section</t>
  </si>
  <si>
    <t>Assessed</t>
  </si>
  <si>
    <t>Mangrpve_Patch</t>
  </si>
  <si>
    <t>Patch_Length</t>
  </si>
  <si>
    <t>Patch_HV</t>
  </si>
  <si>
    <t>PatchContinuityScore</t>
  </si>
  <si>
    <t>Naturalness</t>
  </si>
  <si>
    <t>Structure</t>
  </si>
  <si>
    <t>Bank_Hardening</t>
  </si>
  <si>
    <t>Physical_Damage</t>
  </si>
  <si>
    <t>Litter</t>
  </si>
  <si>
    <t>Debris</t>
  </si>
  <si>
    <t>Abandoned_Pots</t>
  </si>
  <si>
    <t>Weeds</t>
  </si>
  <si>
    <t>Modifier_Impact</t>
  </si>
  <si>
    <t>Example</t>
  </si>
  <si>
    <t>Notes</t>
  </si>
  <si>
    <t>X</t>
  </si>
  <si>
    <t>Minor - present, no damage to veg</t>
  </si>
  <si>
    <t>Moderate - non-lethal damage</t>
  </si>
  <si>
    <t>Major - tree death</t>
  </si>
  <si>
    <t>Habitat loss</t>
  </si>
  <si>
    <t>Report Card</t>
  </si>
  <si>
    <t>Species</t>
  </si>
  <si>
    <t>Condition</t>
  </si>
  <si>
    <t xml:space="preserve">used pixea app on software </t>
  </si>
  <si>
    <t>Mangrove_Presence23_50</t>
  </si>
  <si>
    <t>AM (grey mangrove)</t>
  </si>
  <si>
    <t>RS (red mangrove)</t>
  </si>
  <si>
    <t>SA (apple mangrove)</t>
  </si>
  <si>
    <t>Density24</t>
  </si>
  <si>
    <t>Maturity24</t>
  </si>
  <si>
    <t>Connectivity24</t>
  </si>
  <si>
    <t>Condition_Score24</t>
  </si>
  <si>
    <t>Dieback</t>
  </si>
  <si>
    <t>StDeadP_24</t>
  </si>
  <si>
    <t>FallenTree</t>
  </si>
  <si>
    <t>Retreat</t>
  </si>
  <si>
    <t>Expansion/Seedlings</t>
  </si>
  <si>
    <t>TerrRet</t>
  </si>
  <si>
    <t>Connectivity</t>
  </si>
  <si>
    <t>Tidal connectivity very limited</t>
  </si>
  <si>
    <t>Behind a barrier/swale</t>
  </si>
  <si>
    <t>High intertidal</t>
  </si>
  <si>
    <t>Direct</t>
  </si>
  <si>
    <t>Minor - present</t>
  </si>
  <si>
    <t>Seedlings</t>
  </si>
  <si>
    <t>Minor Habitat loss (&lt;10m approx)</t>
  </si>
  <si>
    <t>Major Habitat loss (&gt;10m approx)</t>
  </si>
  <si>
    <t>Expansion - seedling (&lt;0.5m tall)</t>
  </si>
  <si>
    <t>few</t>
  </si>
  <si>
    <t>some</t>
  </si>
  <si>
    <t>many</t>
  </si>
  <si>
    <t>TerrRet - Terrestrial Retreat (dead land trees behind)</t>
  </si>
  <si>
    <t>E:\CAFNEC_GBRF\2022\BarronRiver\Frames_for_Analysis\1_C0031_L_0020.jpg</t>
  </si>
  <si>
    <t>E:\CAFNEC_GBRF\2022\BarronRiver\Frames_for_Analysis\2_C0031_L_0024.jpg</t>
  </si>
  <si>
    <t>E:\CAFNEC_GBRF\2022\BarronRiver\Frames_for_Analysis\3_C0031_L_0029.jpg</t>
  </si>
  <si>
    <t>E:\CAFNEC_GBRF\2022\BarronRiver\Frames_for_Analysis\4_C0031_L_0035.jpg</t>
  </si>
  <si>
    <t>E:\CAFNEC_GBRF\2022\BarronRiver\Frames_for_Analysis\5_C0031_L_0039.jpg</t>
  </si>
  <si>
    <t>E:\CAFNEC_GBRF\2022\BarronRiver\Frames_for_Analysis\6_C0031_L_0043.jpg</t>
  </si>
  <si>
    <t>E:\CAFNEC_GBRF\2022\BarronRiver\Frames_for_Analysis\7_C0031_L_0047.jpg</t>
  </si>
  <si>
    <t>E:\CAFNEC_GBRF\2022\BarronRiver\Frames_for_Analysis\8_C0031_L_0051.jpg</t>
  </si>
  <si>
    <t>E:\CAFNEC_GBRF\2022\BarronRiver\Frames_for_Analysis\9_C0031_L_0055.jpg</t>
  </si>
  <si>
    <t>E:\CAFNEC_GBRF\2022\BarronRiver\Frames_for_Analysis\10_C0031_L_0059.jpg</t>
  </si>
  <si>
    <t>E:\CAFNEC_GBRF\2022\BarronRiver\Frames_for_Analysis\11_C0031_L_0063.jpg</t>
  </si>
  <si>
    <t>E:\CAFNEC_GBRF\2022\BarronRiver\Frames_for_Analysis\12_C0031_L_0067.jpg</t>
  </si>
  <si>
    <t>E:\CAFNEC_GBRF\2022\BarronRiver\Frames_for_Analysis\13_C0031_L_0071.jpg</t>
  </si>
  <si>
    <t>E:\CAFNEC_GBRF\2022\BarronRiver\Frames_for_Analysis\14_C0031_L_0075.jpg</t>
  </si>
  <si>
    <t>E:\CAFNEC_GBRF\2022\BarronRiver\Frames_for_Analysis\15_C0031_L_0078.jpg</t>
  </si>
  <si>
    <t/>
  </si>
  <si>
    <t>E:\CAFNEC_GBRF\2022\BarronRiver\Frames_for_Analysis\18_C0031_L_0081.jpg</t>
  </si>
  <si>
    <t>E:\CAFNEC_GBRF\2022\BarronRiver\Frames_for_Analysis\19_C0031_L_0084.jpg</t>
  </si>
  <si>
    <t>E:\CAFNEC_GBRF\2022\BarronRiver\Frames_for_Analysis\20_C0031_L_0087.jpg</t>
  </si>
  <si>
    <t>E:\CAFNEC_GBRF\2022\BarronRiver\Frames_for_Analysis\21_C0031_L_0090.jpg</t>
  </si>
  <si>
    <t>E:\CAFNEC_GBRF\2022\BarronRiver\Frames_for_Analysis\22_C0031_L_0094.jpg</t>
  </si>
  <si>
    <t>E:\CAFNEC_GBRF\2022\BarronRiver\Frames_for_Analysis\23_C0031_L_0098.jpg</t>
  </si>
  <si>
    <t>E:\CAFNEC_GBRF\2022\BarronRiver\Frames_for_Analysis\24_C0031_L_0101.jpg</t>
  </si>
  <si>
    <t>E:\CAFNEC_GBRF\2022\BarronRiver\Frames_for_Analysis\25_C0031_L_0105.jpg</t>
  </si>
  <si>
    <t>E:\CAFNEC_GBRF\2022\BarronRiver\Frames_for_Analysis\26_C0031_L_0109.jpg</t>
  </si>
  <si>
    <t>E:\CAFNEC_GBRF\2022\BarronRiver\Frames_for_Analysis\27_C0031_L_0113.jpg</t>
  </si>
  <si>
    <t>E:\CAFNEC_GBRF\2022\BarronRiver\Frames_for_Analysis\28_C0031_L_0116.jpg</t>
  </si>
  <si>
    <t>E:\CAFNEC_GBRF\2022\BarronRiver\Frames_for_Analysis\29_C0031_L_0120.jpg</t>
  </si>
  <si>
    <t>E:\CAFNEC_GBRF\2022\BarronRiver\Frames_for_Analysis\30_C0031_L_0124.jpg</t>
  </si>
  <si>
    <t>E:\CAFNEC_GBRF\2022\BarronRiver\Frames_for_Analysis\31_C0031_L_0127.jpg</t>
  </si>
  <si>
    <t>E:\CAFNEC_GBRF\2022\BarronRiver\Frames_for_Analysis\32_C0031_L_0131.jpg</t>
  </si>
  <si>
    <t>E:\CAFNEC_GBRF\2022\BarronRiver\Frames_for_Analysis\33_C0031_L_0135.jpg</t>
  </si>
  <si>
    <t>E:\CAFNEC_GBRF\2022\BarronRiver\Frames_for_Analysis\34_C0031_L_0139.jpg</t>
  </si>
  <si>
    <t>E:\CAFNEC_GBRF\2022\BarronRiver\Frames_for_Analysis\35_C0031_L_0142.jpg</t>
  </si>
  <si>
    <t>E:\CAFNEC_GBRF\2022\BarronRiver\Frames_for_Analysis\36_C0031_L_0146.jpg</t>
  </si>
  <si>
    <t>E:\CAFNEC_GBRF\2022\BarronRiver\Frames_for_Analysis\37_C0031_L_0149.jpg</t>
  </si>
  <si>
    <t>E:\CAFNEC_GBRF\2022\BarronRiver\Frames_for_Analysis\38_C0031_L_0152.jpg</t>
  </si>
  <si>
    <t>E:\CAFNEC_GBRF\2022\BarronRiver\Frames_for_Analysis\39_C0031_L_0155.jpg</t>
  </si>
  <si>
    <t>E:\CAFNEC_GBRF\2022\BarronRiver\Frames_for_Analysis\40_C0031_L_0158.jpg</t>
  </si>
  <si>
    <t>E:\CAFNEC_GBRF\2022\BarronRiver\Frames_for_Analysis\41_C0031_L_0162.jpg</t>
  </si>
  <si>
    <t>E:\CAFNEC_GBRF\2022\BarronRiver\Frames_for_Analysis\42_C0031_L_0165.jpg</t>
  </si>
  <si>
    <t>E:\CAFNEC_GBRF\2022\BarronRiver\Frames_for_Analysis\43_C0031_L_0168.jpg</t>
  </si>
  <si>
    <t>E:\CAFNEC_GBRF\2022\BarronRiver\Frames_for_Analysis\44_C0031_L_0171.jpg</t>
  </si>
  <si>
    <t>E:\CAFNEC_GBRF\2022\BarronRiver\Frames_for_Analysis\45_C0031_L_0174.jpg</t>
  </si>
  <si>
    <t>E:\CAFNEC_GBRF\2022\BarronRiver\Frames_for_Analysis\46_C0031_L_0177.jpg</t>
  </si>
  <si>
    <t>E:\CAFNEC_GBRF\2022\BarronRiver\Frames_for_Analysis\47_C0031_L_0180.jpg</t>
  </si>
  <si>
    <t>E:\CAFNEC_GBRF\2022\BarronRiver\Frames_for_Analysis\48_C0031_L_0183.jpg</t>
  </si>
  <si>
    <t>E:\CAFNEC_GBRF\2022\BarronRiver\Frames_for_Analysis\49_C0031_L_0187.jpg</t>
  </si>
  <si>
    <t>E:\CAFNEC_GBRF\2022\BarronRiver\Frames_for_Analysis\50_C0031_L_0191.jpg</t>
  </si>
  <si>
    <t>E:\CAFNEC_GBRF\2022\BarronRiver\Frames_for_Analysis\51_C0031_L_0195.jpg</t>
  </si>
  <si>
    <t>E:\CAFNEC_GBRF\2022\BarronRiver\Frames_for_Analysis\52_C0031_L_0199.jpg</t>
  </si>
  <si>
    <t>E:\CAFNEC_GBRF\2022\BarronRiver\Frames_for_Analysis\53_C0031_L_0203.jpg</t>
  </si>
  <si>
    <t>E:\CAFNEC_GBRF\2022\BarronRiver\Frames_for_Analysis\54_C0031_L_0208.jpg</t>
  </si>
  <si>
    <t>E:\CAFNEC_GBRF\2022\BarronRiver\Frames_for_Analysis\55_C0031_L_0213.jpg</t>
  </si>
  <si>
    <t>E:\CAFNEC_GBRF\2022\BarronRiver\Frames_for_Analysis\56_C0031_L_0215.jpg</t>
  </si>
  <si>
    <t>E:\CAFNEC_GBRF\2022\BarronRiver\Frames_for_Analysis\57_C0031_L_0219.jpg</t>
  </si>
  <si>
    <t>E:\CAFNEC_GBRF\2022\BarronRiver\Frames_for_Analysis\58_C0031_L_0226.jpg</t>
  </si>
  <si>
    <t>E:\CAFNEC_GBRF\2022\BarronRiver\Frames_for_Analysis\59_C0031_L_0231.jpg</t>
  </si>
  <si>
    <t>E:\CAFNEC_GBRF\2022\BarronRiver\Frames_for_Analysis\60_C0031_L_0235.jpg</t>
  </si>
  <si>
    <t>E:\CAFNEC_GBRF\2022\BarronRiver\Frames_for_Analysis\61_C0031_L_0238.jpg</t>
  </si>
  <si>
    <t>E:\CAFNEC_GBRF\2022\BarronRiver\Frames_for_Analysis\62_C0031_L_0241.jpg</t>
  </si>
  <si>
    <t>E:\CAFNEC_GBRF\2022\BarronRiver\Frames_for_Analysis\63_C0031_L_0244.jpg</t>
  </si>
  <si>
    <t>E:\CAFNEC_GBRF\2022\BarronRiver\Frames_for_Analysis\64_C0031_L_0246.jpg</t>
  </si>
  <si>
    <t>E:\CAFNEC_GBRF\2022\BarronRiver\Frames_for_Analysis\65_C0031_L_0249.jpg</t>
  </si>
  <si>
    <t>E:\CAFNEC_GBRF\2022\BarronRiver\Frames_for_Analysis\66_C0031_L_0252.jpg</t>
  </si>
  <si>
    <t>E:\CAFNEC_GBRF\2022\BarronRiver\Frames_for_Analysis\67_C0031_L_0258.jpg</t>
  </si>
  <si>
    <t>E:\CAFNEC_GBRF\2022\BarronRiver\Frames_for_Analysis\68_C0031_L_0261.jpg</t>
  </si>
  <si>
    <t>E:\CAFNEC_GBRF\2022\BarronRiver\Frames_for_Analysis\69_C0031_L_0264.jpg</t>
  </si>
  <si>
    <t>E:\CAFNEC_GBRF\2022\BarronRiver\Frames_for_Analysis\70_C0031_L_0268.jpg</t>
  </si>
  <si>
    <t>E:\CAFNEC_GBRF\2022\BarronRiver\Frames_for_Analysis\71_C0031_L_0271.jpg</t>
  </si>
  <si>
    <t>E:\CAFNEC_GBRF\2022\BarronRiver\Frames_for_Analysis\72_C0031_L_0273.jpg</t>
  </si>
  <si>
    <t>E:\CAFNEC_GBRF\2022\BarronRiver\Frames_for_Analysis\73_C0031_L_0275.jpg</t>
  </si>
  <si>
    <t>E:\CAFNEC_GBRF\2022\BarronRiver\Frames_for_Analysis\74_C0031_L_0277.jpg</t>
  </si>
  <si>
    <t>E:\CAFNEC_GBRF\2022\BarronRiver\Frames_for_Analysis\75_C0031_L_0283.jpg</t>
  </si>
  <si>
    <t>E:\CAFNEC_GBRF\2022\BarronRiver\Frames_for_Analysis\76_C0031_L_0288.jpg</t>
  </si>
  <si>
    <t>E:\CAFNEC_GBRF\2022\BarronRiver\Frames_for_Analysis\77_C0031_L_0293.jpg</t>
  </si>
  <si>
    <t>E:\CAFNEC_GBRF\2022\BarronRiver\Frames_for_Analysis\78_C0031_L_0298.jpg</t>
  </si>
  <si>
    <t>E:\CAFNEC_GBRF\2022\BarronRiver\Frames_for_Analysis\79_C0031_L_0303.jpg</t>
  </si>
  <si>
    <t>E:\CAFNEC_GBRF\2022\BarronRiver\Frames_for_Analysis\80_C0031_L_0307.jpg</t>
  </si>
  <si>
    <t>E:\CAFNEC_GBRF\2022\BarronRiver\Frames_for_Analysis\81_C0031_L_0315.jpg</t>
  </si>
  <si>
    <t>E:\CAFNEC_GBRF\2022\BarronRiver\Frames_for_Analysis\82_C0031_L_0321.jpg</t>
  </si>
  <si>
    <t>E:\CAFNEC_GBRF\2022\BarronRiver\Frames_for_Analysis\83_C0031_L_0325.jpg</t>
  </si>
  <si>
    <t>E:\CAFNEC_GBRF\2022\BarronRiver\Frames_for_Analysis\84_C0031_L_0330.jpg</t>
  </si>
  <si>
    <t>E:\CAFNEC_GBRF\2022\BarronRiver\Frames_for_Analysis\85_C0031_L_0334.jpg</t>
  </si>
  <si>
    <t>E:\CAFNEC_GBRF\2022\BarronRiver\Frames_for_Analysis\86_C0031_L_0338.jpg</t>
  </si>
  <si>
    <t>E:\CAFNEC_GBRF\2022\BarronRiver\Frames_for_Analysis\87_C0031_L_0343.jpg</t>
  </si>
  <si>
    <t>E:\CAFNEC_GBRF\2022\BarronRiver\Frames_for_Analysis\88_C0031_L_0346.jpg</t>
  </si>
  <si>
    <t>E:\CAFNEC_GBRF\2022\BarronRiver\Frames_for_Analysis\89_C0031_L_0350.jpg</t>
  </si>
  <si>
    <t>E:\CAFNEC_GBRF\2022\BarronRiver\Frames_for_Analysis\90_C0031_L_0356.jpg</t>
  </si>
  <si>
    <t>E:\CAFNEC_GBRF\2022\BarronRiver\Frames_for_Analysis\91_C0031_L_0359.jpg</t>
  </si>
  <si>
    <t>E:\CAFNEC_GBRF\2022\BarronRiver\Frames_for_Analysis\92_C0031_L_0363.jpg</t>
  </si>
  <si>
    <t>E:\CAFNEC_GBRF\2022\BarronRiver\Frames_for_Analysis\93_C0031_L_0369.jpg</t>
  </si>
  <si>
    <t>E:\CAFNEC_GBRF\2022\BarronRiver\Frames_for_Analysis\94_C0031_L_0373.jpg</t>
  </si>
  <si>
    <t>E:\CAFNEC_GBRF\2022\BarronRiver\Frames_for_Analysis\95_C0031_L_0377.jpg</t>
  </si>
  <si>
    <t>E:\CAFNEC_GBRF\2022\BarronRiver\Frames_for_Analysis\112_C0064_R_0135.jpg</t>
  </si>
  <si>
    <t>E:\CAFNEC_GBRF\2022\BarronRiver\Frames_for_Analysis\113_C0064_R_0133.jpg</t>
  </si>
  <si>
    <t>E:\CAFNEC_GBRF\2022\BarronRiver\Frames_for_Analysis\114_C0064_R_0132.jpg</t>
  </si>
  <si>
    <t>E:\CAFNEC_GBRF\2022\BarronRiver\Frames_for_Analysis\115_C0064_R_0138.jpg</t>
  </si>
  <si>
    <t>E:\CAFNEC_GBRF\2022\BarronRiver\Frames_for_Analysis\116_C0064_R_0128.jpg</t>
  </si>
  <si>
    <t>E:\CAFNEC_GBRF\2022\BarronRiver\Frames_for_Analysis\117_C0022_R_0124.jpg</t>
  </si>
  <si>
    <t>E:\CAFNEC_GBRF\2022\BarronRiver\Frames_for_Analysis\118_C0022_R_0123.jpg</t>
  </si>
  <si>
    <t>E:\CAFNEC_GBRF\2022\BarronRiver\Frames_for_Analysis\119_C0064_R_0119.jpg</t>
  </si>
  <si>
    <t>E:\CAFNEC_GBRF\2022\BarronRiver\Frames_for_Analysis\120_C0064_R_0117.jpg</t>
  </si>
  <si>
    <t>E:\CAFNEC_GBRF\2022\BarronRiver\Frames_for_Analysis\121_C0022_R_0117.jpg</t>
  </si>
  <si>
    <t>E:\CAFNEC_GBRF\2022\BarronRiver\Frames_for_Analysis\122_C0064_R_0115.jpg</t>
  </si>
  <si>
    <t>E:\CAFNEC_GBRF\2022\BarronRiver\Frames_for_Analysis\123_C0064_R_0113.jpg</t>
  </si>
  <si>
    <t>E:\CAFNEC_GBRF\2022\BarronRiver\Frames_for_Analysis\124_C0022_R_0110.jpg</t>
  </si>
  <si>
    <t>E:\CAFNEC_GBRF\2022\BarronRiver\Frames_for_Analysis\125_C0064_R_0097.jpg</t>
  </si>
  <si>
    <t>E:\CAFNEC_GBRF\2022\BarronRiver\Frames_for_Analysis\126_C0022_R_0103.jpg</t>
  </si>
  <si>
    <t>E:\CAFNEC_GBRF\2022\BarronRiver\Frames_for_Analysis\127_C0022_R_0099.jpg</t>
  </si>
  <si>
    <t>E:\CAFNEC_GBRF\2022\BarronRiver\Frames_for_Analysis\128_C0022_R_0077.jpg</t>
  </si>
  <si>
    <t>E:\CAFNEC_GBRF\2022\BarronRiver\Frames_for_Analysis\129_C0064_R_0074.jpg</t>
  </si>
  <si>
    <t>E:\CAFNEC_GBRF\2022\BarronRiver\Frames_for_Analysis\130_C0064_R_0072.jpg</t>
  </si>
  <si>
    <t>E:\CAFNEC_GBRF\2022\BarronRiver\Frames_for_Analysis\131_C0064_R_0069.jpg</t>
  </si>
  <si>
    <t>E:\CAFNEC_GBRF\2022\BarronRiver\Frames_for_Analysis\132_C0022_R_0067.jpg</t>
  </si>
  <si>
    <t>E:\CAFNEC_GBRF\2022\BarronRiver\Frames_for_Analysis\133_C0064_R_0061.jpg</t>
  </si>
  <si>
    <t>E:\CAFNEC_GBRF\2022\BarronRiver\Frames_for_Analysis\134_C0022_R_0056.jpg</t>
  </si>
  <si>
    <t>E:\CAFNEC_GBRF\2022\BarronRiver\Frames_for_Analysis\135_C0022_R_0054.jpg</t>
  </si>
  <si>
    <t>E:\CAFNEC_GBRF\2022\BarronRiver\Frames_for_Analysis\136_C0022_R_0050.jpg</t>
  </si>
  <si>
    <t>E:\CAFNEC_GBRF\2022\BarronRiver\Frames_for_Analysis\137_C0064_R_0048.jpg</t>
  </si>
  <si>
    <t>E:\CAFNEC_GBRF\2022\BarronRiver\Frames_for_Analysis\138_C0022_R_0047.jpg</t>
  </si>
  <si>
    <t>E:\CAFNEC_GBRF\2022\BarronRiver\Frames_for_Analysis\139_C0064_R_0040.jpg</t>
  </si>
  <si>
    <t>E:\CAFNEC_GBRF\2022\BarronRiver\Frames_for_Analysis\140_C0064_R_0037.jpg</t>
  </si>
  <si>
    <t>E:\CAFNEC_GBRF\2022\BarronRiver\Frames_for_Analysis\141_C0064_R_0014.jpg</t>
  </si>
  <si>
    <t>E:\CAFNEC_GBRF\2022\BarronRiver\Frames_for_Analysis\142_C0022_R_0031.jpg</t>
  </si>
  <si>
    <t>E:\CAFNEC_GBRF\2022\BarronRiver\Frames_for_Analysis\143_C0022_R_0027.jpg</t>
  </si>
  <si>
    <t>E:\CAFNEC_GBRF\2022\BarronRiver\Frames_for_Analysis\144_C0064_R_0016.jpg</t>
  </si>
  <si>
    <t>E:\CAFNEC_GBRF\2022\BarronRiver\Frames_for_Analysis\145_C0022_R_0016.jpg</t>
  </si>
  <si>
    <t>E:\CAFNEC_GBRF\2022\BarronRiver\Frames_for_Analysis\146_C0064_R_0024.jpg</t>
  </si>
  <si>
    <t>E:\CAFNEC_GBRF\2022\BarronRiver\Frames_for_Analysis\147_C0022_R_0011.jpg</t>
  </si>
  <si>
    <t>E:\CAFNEC_GBRF\2022\BarronRiver\Frames_for_Analysis\148_C0022_R_0008.jpg</t>
  </si>
  <si>
    <t>E:\CAFNEC_GBRF\2022\BarronRiver\Frames_for_Analysis\149_C0022_R_0007.jpg</t>
  </si>
  <si>
    <t>E:\CAFNEC_GBRF\2022\BarronRiver\Frames_for_Analysis\150_C0022_R_0004.jpg</t>
  </si>
  <si>
    <t>E:\CAFNEC_GBRF\2022\BarronRiver\Frames_for_Analysis\151_C0022_R_0002.jpg</t>
  </si>
  <si>
    <t>E:\CAFNEC_GBRF\2022\BarronRiver\Frames_for_Analysis\152_C0021_R_0561.jpg</t>
  </si>
  <si>
    <t>E:\CAFNEC_GBRF\2022\BarronRiver\Frames_for_Analysis\153_C0021_R_0559.jpg</t>
  </si>
  <si>
    <t>E:\CAFNEC_GBRF\2022\BarronRiver\Frames_for_Analysis\154_C0021_R_0556.jpg</t>
  </si>
  <si>
    <t>E:\CAFNEC_GBRF\2022\BarronRiver\Frames_for_Analysis\155_C0021_R_0553.jpg</t>
  </si>
  <si>
    <t>E:\CAFNEC_GBRF\2022\BarronRiver\Frames_for_Analysis\156_C0021_R_0549.jpg</t>
  </si>
  <si>
    <t>E:\CAFNEC_GBRF\2022\BarronRiver\Frames_for_Analysis\157_C0021_R_0544.jpg</t>
  </si>
  <si>
    <t>E:\CAFNEC_GBRF\2022\BarronRiver\Frames_for_Analysis\158_C0021_R_0540.jpg</t>
  </si>
  <si>
    <t>E:\CAFNEC_GBRF\2022\BarronRiver\Frames_for_Analysis\159_C0021_R_0537.jpg</t>
  </si>
  <si>
    <t>E:\CAFNEC_GBRF\2022\BarronRiver\Frames_for_Analysis\160_C0021_R_0534.jpg</t>
  </si>
  <si>
    <t>E:\CAFNEC_GBRF\2022\BarronRiver\Frames_for_Analysis\161_C0021_R_0530.jpg</t>
  </si>
  <si>
    <t>E:\CAFNEC_GBRF\2022\BarronRiver\Frames_for_Analysis\162_C0021_R_0527.jpg</t>
  </si>
  <si>
    <t>E:\CAFNEC_GBRF\2022\BarronRiver\Frames_for_Analysis\163_C0021_R_0524.jpg</t>
  </si>
  <si>
    <t>E:\CAFNEC_GBRF\2022\BarronRiver\Frames_for_Analysis\164_C0021_R_0521.jpg</t>
  </si>
  <si>
    <t>E:\CAFNEC_GBRF\2022\BarronRiver\Frames_for_Analysis\165_C0021_R_0519.jpg</t>
  </si>
  <si>
    <t>E:\CAFNEC_GBRF\2022\BarronRiver\Frames_for_Analysis\166_C0021_R_0516.jpg</t>
  </si>
  <si>
    <t>E:\CAFNEC_GBRF\2022\BarronRiver\Frames_for_Analysis\167_C0021_R_0513.jpg</t>
  </si>
  <si>
    <t>E:\CAFNEC_GBRF\2022\BarronRiver\Frames_for_Analysis\168_C0021_R_0510.jpg</t>
  </si>
  <si>
    <t>E:\CAFNEC_GBRF\2022\BarronRiver\Frames_for_Analysis\169_C0021_R_0508.jpg</t>
  </si>
  <si>
    <t>E:\CAFNEC_GBRF\2022\BarronRiver\Frames_for_Analysis\170_C0021_R_0505.jpg</t>
  </si>
  <si>
    <t>E:\CAFNEC_GBRF\2022\BarronRiver\Frames_for_Analysis\171_C0021_R_0502.jpg</t>
  </si>
  <si>
    <t>E:\CAFNEC_GBRF\2022\BarronRiver\Frames_for_Analysis\172_C0021_R_0500.jpg</t>
  </si>
  <si>
    <t>E:\CAFNEC_GBRF\2022\BarronRiver\Frames_for_Analysis\173_C0021_R_0497.jpg</t>
  </si>
  <si>
    <t>E:\CAFNEC_GBRF\2022\BarronRiver\Frames_for_Analysis\174_C0021_R_0494.jpg</t>
  </si>
  <si>
    <t>E:\CAFNEC_GBRF\2022\BarronRiver\Frames_for_Analysis\175_C0021_R_0491.jpg</t>
  </si>
  <si>
    <t>E:\CAFNEC_GBRF\2022\BarronRiver\Frames_for_Analysis\176_C0021_R_0489.jpg</t>
  </si>
  <si>
    <t>E:\CAFNEC_GBRF\2022\BarronRiver\Frames_for_Analysis\177_C0021_R_0486.jpg</t>
  </si>
  <si>
    <t>E:\CAFNEC_GBRF\2022\BarronRiver\Frames_for_Analysis\178_C0021_R_0483.jpg</t>
  </si>
  <si>
    <t>E:\CAFNEC_GBRF\2022\BarronRiver\Frames_for_Analysis\179_C0021_R_0480.jpg</t>
  </si>
  <si>
    <t>E:\CAFNEC_GBRF\2022\BarronRiver\Frames_for_Analysis\180_C0021_R_0478.jpg</t>
  </si>
  <si>
    <t>E:\CAFNEC_GBRF\2022\BarronRiver\Frames_for_Analysis\181_C0021_R_0475.jpg</t>
  </si>
  <si>
    <t>E:\CAFNEC_GBRF\2022\BarronRiver\Frames_for_Analysis\182_C0021_R_0473.jpg</t>
  </si>
  <si>
    <t>E:\CAFNEC_GBRF\2022\BarronRiver\Frames_for_Analysis\183_C0021_R_0469.jpg</t>
  </si>
  <si>
    <t>E:\CAFNEC_GBRF\2022\BarronRiver\Frames_for_Analysis\184_C0021_R_0467.jpg</t>
  </si>
  <si>
    <t>E:\CAFNEC_GBRF\2022\BarronRiver\Frames_for_Analysis\185_C0021_R_0463.jpg</t>
  </si>
  <si>
    <t>E:\CAFNEC_GBRF\2022\BarronRiver\Frames_for_Analysis\186_C0021_R_0460.jpg</t>
  </si>
  <si>
    <t>E:\CAFNEC_GBRF\2022\BarronRiver\Frames_for_Analysis\187_C0021_R_0456.jpg</t>
  </si>
  <si>
    <t>E:\CAFNEC_GBRF\2022\BarronRiver\Frames_for_Analysis\188_C0021_R_0453.jpg</t>
  </si>
  <si>
    <t>E:\CAFNEC_GBRF\2022\BarronRiver\Frames_for_Analysis\189_C0021_R_0450.jpg</t>
  </si>
  <si>
    <t>E:\CAFNEC_GBRF\2022\BarronRiver\Frames_for_Analysis\190_C0021_R_0446.jpg</t>
  </si>
  <si>
    <t>E:\CAFNEC_GBRF\2022\BarronRiver\Frames_for_Analysis\191_C0021_R_0442.jpg</t>
  </si>
  <si>
    <t>E:\CAFNEC_GBRF\2022\BarronRiver\Frames_for_Analysis\192_C0021_R_0438.jpg</t>
  </si>
  <si>
    <t>E:\CAFNEC_GBRF\2022\BarronRiver\Frames_for_Analysis\193_C0021_R_0434.jpg</t>
  </si>
  <si>
    <t>E:\CAFNEC_GBRF\2022\BarronRiver\Frames_for_Analysis\194_C0021_R_0430.jpg</t>
  </si>
  <si>
    <t>E:\CAFNEC_GBRF\2022\BarronRiver\Frames_for_Analysis\195_C0021_R_0427.jpg</t>
  </si>
  <si>
    <t>E:\CAFNEC_GBRF\2022\BarronRiver\Frames_for_Analysis\196_C0021_R_0424.jpg</t>
  </si>
  <si>
    <t>E:\CAFNEC_GBRF\2022\BarronRiver\Frames_for_Analysis\197_C0021_R_0420.jpg</t>
  </si>
  <si>
    <t>E:\CAFNEC_GBRF\2022\BarronRiver\Frames_for_Analysis\198_C0059_R_0309.jpg</t>
  </si>
  <si>
    <t>E:\CAFNEC_GBRF\2022\BarronRiver\Frames_for_Analysis\199_C0059_R_0306.jpg</t>
  </si>
  <si>
    <t>E:\CAFNEC_GBRF\2022\BarronRiver\Frames_for_Analysis\200_C0059_R_0302.jpg</t>
  </si>
  <si>
    <t>E:\CAFNEC_GBRF\2022\BarronRiver\Frames_for_Analysis\201_C0021_R_0407.jpg</t>
  </si>
  <si>
    <t>E:\CAFNEC_GBRF\2022\BarronRiver\Frames_for_Analysis\202_C0021_R_0404.jpg</t>
  </si>
  <si>
    <t>E:\CAFNEC_GBRF\2022\BarronRiver\Frames_for_Analysis\203_C0059_R_0290.jpg</t>
  </si>
  <si>
    <t>E:\CAFNEC_GBRF\2022\BarronRiver\Frames_for_Analysis\204_C0059_R_0287.jpg</t>
  </si>
  <si>
    <t>E:\CAFNEC_GBRF\2022\BarronRiver\Frames_for_Analysis\205_C0059_R_0283.jpg</t>
  </si>
  <si>
    <t>E:\CAFNEC_GBRF\2022\BarronRiver\Frames_for_Analysis\206_C0059_R_0280.jpg</t>
  </si>
  <si>
    <t>E:\CAFNEC_GBRF\2022\BarronRiver\Frames_for_Analysis\207_C0021_R_0390.jpg</t>
  </si>
  <si>
    <t>E:\CAFNEC_GBRF\2022\BarronRiver\Frames_for_Analysis\208_C0021_R_0387.jpg</t>
  </si>
  <si>
    <t>E:\CAFNEC_GBRF\2022\BarronRiver\Frames_for_Analysis\209_C0021_R_0384.jpg</t>
  </si>
  <si>
    <t>E:\CAFNEC_GBRF\2022\BarronRiver\Frames_for_Analysis\210_C0059_R_0265.jpg</t>
  </si>
  <si>
    <t>E:\CAFNEC_GBRF\2022\BarronRiver\Frames_for_Analysis\211_C0059_R_0260.jpg</t>
  </si>
  <si>
    <t>E:\CAFNEC_GBRF\2022\BarronRiver\Frames_for_Analysis\212_C0021_R_0376.jpg</t>
  </si>
  <si>
    <t>E:\CAFNEC_GBRF\2022\BarronRiver\Frames_for_Analysis\213_C0021_R_0373.jpg</t>
  </si>
  <si>
    <t>E:\CAFNEC_GBRF\2022\BarronRiver\Frames_for_Analysis\214_C0059_R_0250.jpg</t>
  </si>
  <si>
    <t>E:\CAFNEC_GBRF\2022\BarronRiver\Frames_for_Analysis\215_C0021_R_0368.jpg</t>
  </si>
  <si>
    <t>E:\CAFNEC_GBRF\2022\BarronRiver\Frames_for_Analysis\216_C0059_R_0245.jpg</t>
  </si>
  <si>
    <t>E:\CAFNEC_GBRF\2022\BarronRiver\Frames_for_Analysis\217_C0059_R_0242.jpg</t>
  </si>
  <si>
    <t>E:\CAFNEC_GBRF\2022\BarronRiver\Frames_for_Analysis\218_C0059_R_0239.jpg</t>
  </si>
  <si>
    <t>E:\CAFNEC_GBRF\2022\BarronRiver\Frames_for_Analysis\219_C0059_R_0237.jpg</t>
  </si>
  <si>
    <t>E:\CAFNEC_GBRF\2022\BarronRiver\Frames_for_Analysis\220_C0059_R_0234.jpg</t>
  </si>
  <si>
    <t>E:\CAFNEC_GBRF\2022\BarronRiver\Frames_for_Analysis\221_C0059_R_0231.jpg</t>
  </si>
  <si>
    <t>E:\CAFNEC_GBRF\2022\BarronRiver\Frames_for_Analysis\222_C0059_R_0228.jpg</t>
  </si>
  <si>
    <t>E:\CAFNEC_GBRF\2022\BarronRiver\Frames_for_Analysis\223_C0059_R_0225.jpg</t>
  </si>
  <si>
    <t>E:\CAFNEC_GBRF\2022\BarronRiver\Frames_for_Analysis\224_C0021_R_0341.jpg</t>
  </si>
  <si>
    <t>E:\CAFNEC_GBRF\2022\BarronRiver\Frames_for_Analysis\225_C0021_R_0339.jpg</t>
  </si>
  <si>
    <t>E:\CAFNEC_GBRF\2022\BarronRiver\Frames_for_Analysis\226_C0021_R_0336.jpg</t>
  </si>
  <si>
    <t>E:\CAFNEC_GBRF\2022\BarronRiver\Frames_for_Analysis\227_C0059_R_0214.jpg</t>
  </si>
  <si>
    <t>E:\CAFNEC_GBRF\2022\BarronRiver\Frames_for_Analysis\228_C0021_R_0331.jpg</t>
  </si>
  <si>
    <t>E:\CAFNEC_GBRF\2022\BarronRiver\Frames_for_Analysis\229_C0021_R_0328.jpg</t>
  </si>
  <si>
    <t>E:\CAFNEC_GBRF\2022\BarronRiver\Frames_for_Analysis\230_C0059_R_0206.jpg</t>
  </si>
  <si>
    <t>E:\CAFNEC_GBRF\2022\BarronRiver\Frames_for_Analysis\231_C0021_R_0323.jpg</t>
  </si>
  <si>
    <t>E:\CAFNEC_GBRF\2022\BarronRiver\Frames_for_Analysis\232_C0021_R_0320.jpg</t>
  </si>
  <si>
    <t>E:\CAFNEC_GBRF\2022\BarronRiver\Frames_for_Analysis\233_C0059_R_0197.jpg</t>
  </si>
  <si>
    <t>E:\CAFNEC_GBRF\2022\BarronRiver\Frames_for_Analysis\234_C0021_R_0315.jpg</t>
  </si>
  <si>
    <t>E:\CAFNEC_GBRF\2022\BarronRiver\Frames_for_Analysis\235_C0059_R_0192.jpg</t>
  </si>
  <si>
    <t>E:\CAFNEC_GBRF\2022\BarronRiver\Frames_for_Analysis\236_C0021_R_0310.jpg</t>
  </si>
  <si>
    <t>E:\CAFNEC_GBRF\2022\BarronRiver\Frames_for_Analysis\237_C0021_R_0307.jpg</t>
  </si>
  <si>
    <t>E:\CAFNEC_GBRF\2022\BarronRiver\Frames_for_Analysis\238_C0059_R_0182.jpg</t>
  </si>
  <si>
    <t>E:\CAFNEC_GBRF\2022\BarronRiver\Frames_for_Analysis\239_C0021_R_0302.jpg</t>
  </si>
  <si>
    <t>E:\CAFNEC_GBRF\2022\BarronRiver\Frames_for_Analysis\240_C0021_R_0299.jpg</t>
  </si>
  <si>
    <t>E:\CAFNEC_GBRF\2022\BarronRiver\Frames_for_Analysis\241_C0059_R_0173.jpg</t>
  </si>
  <si>
    <t>E:\CAFNEC_GBRF\2022\BarronRiver\Frames_for_Analysis\242_C0059_R_0171.jpg</t>
  </si>
  <si>
    <t>E:\CAFNEC_GBRF\2022\BarronRiver\Frames_for_Analysis\243_C0021_R_0291.jpg</t>
  </si>
  <si>
    <t>E:\CAFNEC_GBRF\2022\BarronRiver\Frames_for_Analysis\244_C0059_R_0165.jpg</t>
  </si>
  <si>
    <t>E:\CAFNEC_GBRF\2022\BarronRiver\Frames_for_Analysis\245_C0059_R_0162.jpg</t>
  </si>
  <si>
    <t>E:\CAFNEC_GBRF\2022\BarronRiver\Frames_for_Analysis\246_C0021_R_0283.jpg</t>
  </si>
  <si>
    <t>E:\CAFNEC_GBRF\2022\BarronRiver\Frames_for_Analysis\247_C0021_R_0280.jpg</t>
  </si>
  <si>
    <t>E:\CAFNEC_GBRF\2022\BarronRiver\Frames_for_Analysis\248_C0021_R_0278.jpg</t>
  </si>
  <si>
    <t>E:\CAFNEC_GBRF\2022\BarronRiver\Frames_for_Analysis\249_C0021_R_0276.jpg</t>
  </si>
  <si>
    <t>E:\CAFNEC_GBRF\2022\BarronRiver\Frames_for_Analysis\250_C0059_R_0149.jpg</t>
  </si>
  <si>
    <t>E:\CAFNEC_GBRF\2022\BarronRiver\Frames_for_Analysis\251_C0059_R_0146.jpg</t>
  </si>
  <si>
    <t>E:\CAFNEC_GBRF\2022\BarronRiver\Frames_for_Analysis\252_C0059_R_0143.jpg</t>
  </si>
  <si>
    <t>E:\CAFNEC_GBRF\2022\BarronRiver\Frames_for_Analysis\253_C0059_R_0141.jpg</t>
  </si>
  <si>
    <t>E:\CAFNEC_GBRF\2022\BarronRiver\Frames_for_Analysis\254_C0059_R_0138.jpg</t>
  </si>
  <si>
    <t>E:\CAFNEC_GBRF\2022\BarronRiver\Frames_for_Analysis\255_C0021_R_0260.jpg</t>
  </si>
  <si>
    <t>E:\CAFNEC_GBRF\2022\BarronRiver\Frames_for_Analysis\256_C0059_R_0133.jpg</t>
  </si>
  <si>
    <t>E:\CAFNEC_GBRF\2022\BarronRiver\Frames_for_Analysis\257_C0059_R_0132.jpg</t>
  </si>
  <si>
    <t>E:\CAFNEC_GBRF\2022\BarronRiver\Frames_for_Analysis\258_C0059_R_0129.jpg</t>
  </si>
  <si>
    <t>E:\CAFNEC_GBRF\2022\BarronRiver\Frames_for_Analysis\259_C0059_R_0126.jpg</t>
  </si>
  <si>
    <t>E:\CAFNEC_GBRF\2022\BarronRiver\Frames_for_Analysis\260_C0059_R_0123.jpg</t>
  </si>
  <si>
    <t>E:\CAFNEC_GBRF\2022\BarronRiver\Frames_for_Analysis\261_C0021_R_0248.jpg</t>
  </si>
  <si>
    <t>E:\CAFNEC_GBRF\2022\BarronRiver\Frames_for_Analysis\262_C0059_R_0117.jpg</t>
  </si>
  <si>
    <t>E:\CAFNEC_GBRF\2022\BarronRiver\Frames_for_Analysis\263_C0059_R_0114.jpg</t>
  </si>
  <si>
    <t>E:\CAFNEC_GBRF\2022\BarronRiver\Frames_for_Analysis\264_C0059_R_0111.jpg</t>
  </si>
  <si>
    <t>E:\CAFNEC_GBRF\2022\BarronRiver\Frames_for_Analysis\265_C0059_R_0108.jpg</t>
  </si>
  <si>
    <t>E:\CAFNEC_GBRF\2022\BarronRiver\Frames_for_Analysis\266_C0021_R_0234.jpg</t>
  </si>
  <si>
    <t>E:\CAFNEC_GBRF\2022\BarronRiver\Frames_for_Analysis\267_C0021_R_0231.jpg</t>
  </si>
  <si>
    <t>E:\CAFNEC_GBRF\2022\BarronRiver\Frames_for_Analysis\268_C0059_R_0100.jpg</t>
  </si>
  <si>
    <t>E:\CAFNEC_GBRF\2022\BarronRiver\Frames_for_Analysis\269_C0059_R_0097.jpg</t>
  </si>
  <si>
    <t>E:\CAFNEC_GBRF\2022\BarronRiver\Frames_for_Analysis\270_C0059_R_0094.jpg</t>
  </si>
  <si>
    <t>E:\CAFNEC_GBRF\2022\BarronRiver\Frames_for_Analysis\271_C0021_R_0218.jpg</t>
  </si>
  <si>
    <t>E:\CAFNEC_GBRF\2022\BarronRiver\Frames_for_Analysis\272_C0059_R_0089.jpg</t>
  </si>
  <si>
    <t>E:\CAFNEC_GBRF\2022\BarronRiver\Frames_for_Analysis\273_C0059_R_0086.jpg</t>
  </si>
  <si>
    <t>E:\CAFNEC_GBRF\2022\BarronRiver\Frames_for_Analysis\274_C0059_R_0083.jpg</t>
  </si>
  <si>
    <t>E:\CAFNEC_GBRF\2022\BarronRiver\Frames_for_Analysis\275_C0059_R_0080.jpg</t>
  </si>
  <si>
    <t>E:\CAFNEC_GBRF\2022\BarronRiver\Frames_for_Analysis\276_C0021_R_0207.jpg</t>
  </si>
  <si>
    <t>E:\CAFNEC_GBRF\2022\BarronRiver\Frames_for_Analysis\277_C0021_R_0204.jpg</t>
  </si>
  <si>
    <t>E:\CAFNEC_GBRF\2022\BarronRiver\Frames_for_Analysis\278_C0059_R_0072.jpg</t>
  </si>
  <si>
    <t>E:\CAFNEC_GBRF\2022\BarronRiver\Frames_for_Analysis\279_C0059_R_0069.jpg</t>
  </si>
  <si>
    <t>E:\CAFNEC_GBRF\2022\BarronRiver\Frames_for_Analysis\280_C0059_R_0066.jpg</t>
  </si>
  <si>
    <t>E:\CAFNEC_GBRF\2022\BarronRiver\Frames_for_Analysis\281_C0021_R_0194.jpg</t>
  </si>
  <si>
    <t>E:\CAFNEC_GBRF\2022\BarronRiver\Frames_for_Analysis\282_C0059_R_0061.jpg</t>
  </si>
  <si>
    <t>E:\CAFNEC_GBRF\2022\BarronRiver\Frames_for_Analysis\283_C0059_R_0058.jpg</t>
  </si>
  <si>
    <t>E:\CAFNEC_GBRF\2022\BarronRiver\Frames_for_Analysis\284_C0059_R_0054.jpg</t>
  </si>
  <si>
    <t>E:\CAFNEC_GBRF\2022\BarronRiver\Frames_for_Analysis\285_C0021_R_0183.jpg</t>
  </si>
  <si>
    <t>E:\CAFNEC_GBRF\2022\BarronRiver\Frames_for_Analysis\286_C0021_R_0180.jpg</t>
  </si>
  <si>
    <t>E:\CAFNEC_GBRF\2022\BarronRiver\Frames_for_Analysis\287_C0021_R_0178.jpg</t>
  </si>
  <si>
    <t>E:\CAFNEC_GBRF\2022\BarronRiver\Frames_for_Analysis\288_C0021_R_0175.jpg</t>
  </si>
  <si>
    <t>E:\CAFNEC_GBRF\2022\BarronRiver\Frames_for_Analysis\289_C0059_R_0038.jpg</t>
  </si>
  <si>
    <t>E:\CAFNEC_GBRF\2022\BarronRiver\Frames_for_Analysis\290_C0059_R_0035.jpg</t>
  </si>
  <si>
    <t>E:\CAFNEC_GBRF\2022\BarronRiver\Frames_for_Analysis\291_C0021_R_0167.jpg</t>
  </si>
  <si>
    <t>E:\CAFNEC_GBRF\2022\BarronRiver\Frames_for_Analysis\292_C0021_R_0164.jpg</t>
  </si>
  <si>
    <t>E:\CAFNEC_GBRF\2022\BarronRiver\Frames_for_Analysis\293_C0059_R_0026.jpg</t>
  </si>
  <si>
    <t>E:\CAFNEC_GBRF\2022\BarronRiver\Frames_for_Analysis\294_C0021_R_0159.jpg</t>
  </si>
  <si>
    <t>E:\CAFNEC_GBRF\2022\BarronRiver\Frames_for_Analysis\295_C0059_R_0020.jpg</t>
  </si>
  <si>
    <t>E:\CAFNEC_GBRF\2022\BarronRiver\Frames_for_Analysis\296_C0021_R_0154.jpg</t>
  </si>
  <si>
    <t>E:\CAFNEC_GBRF\2022\BarronRiver\Frames_for_Analysis\297_C0059_R_0013.jpg</t>
  </si>
  <si>
    <t>E:\CAFNEC_GBRF\2022\BarronRiver\Frames_for_Analysis\298_C0021_R_0148.jpg</t>
  </si>
  <si>
    <t>E:\CAFNEC_GBRF\2022\BarronRiver\Frames_for_Analysis\299_C0059_R_0007.jpg</t>
  </si>
  <si>
    <t>E:\CAFNEC_GBRF\2022\BarronRiver\Frames_for_Analysis\300_C0059_R_0004.jpg</t>
  </si>
  <si>
    <t>E:\CAFNEC_GBRF\2022\BarronRiver\Frames_for_Analysis\301_C0058_R_0563.jpg</t>
  </si>
  <si>
    <t>E:\CAFNEC_GBRF\2022\BarronRiver\Frames_for_Analysis\302_C0021_R_0136.jpg</t>
  </si>
  <si>
    <t>E:\CAFNEC_GBRF\2022\BarronRiver\Frames_for_Analysis\303_C0021_R_0133.jpg</t>
  </si>
  <si>
    <t>E:\CAFNEC_GBRF\2022\BarronRiver\Frames_for_Analysis\304_C0021_R_0130.jpg</t>
  </si>
  <si>
    <t>E:\CAFNEC_GBRF\2022\BarronRiver\Frames_for_Analysis\305_C0021_R_0128.jpg</t>
  </si>
  <si>
    <t>E:\CAFNEC_GBRF\2022\BarronRiver\Frames_for_Analysis\306_C0021_R_0125.jpg</t>
  </si>
  <si>
    <t>E:\CAFNEC_GBRF\2022\BarronRiver\Frames_for_Analysis\307_C0058_R_0546.jpg</t>
  </si>
  <si>
    <t>E:\CAFNEC_GBRF\2022\BarronRiver\Frames_for_Analysis\308_C0021_R_0120.jpg</t>
  </si>
  <si>
    <t>E:\CAFNEC_GBRF\2022\BarronRiver\Frames_for_Analysis\309_C0021_R_0117.jpg</t>
  </si>
  <si>
    <t>E:\CAFNEC_GBRF\2022\BarronRiver\Frames_for_Analysis\310_C0058_R_0537.jpg</t>
  </si>
  <si>
    <t>E:\CAFNEC_GBRF\2022\BarronRiver\Frames_for_Analysis\311_C0021_R_0112.jpg</t>
  </si>
  <si>
    <t>E:\CAFNEC_GBRF\2022\BarronRiver\Frames_for_Analysis\312_C0021_R_0109.jpg</t>
  </si>
  <si>
    <t>E:\CAFNEC_GBRF\2022\BarronRiver\Frames_for_Analysis\313_C0058_R_0528.jpg</t>
  </si>
  <si>
    <t>E:\CAFNEC_GBRF\2022\BarronRiver\Frames_for_Analysis\314_C0058_R_0525.jpg</t>
  </si>
  <si>
    <t>E:\CAFNEC_GBRF\2022\BarronRiver\Frames_for_Analysis\315_C0021_R_0101.jpg</t>
  </si>
  <si>
    <t>E:\CAFNEC_GBRF\2022\BarronRiver\Frames_for_Analysis\316_C0058_R_0519.jpg</t>
  </si>
  <si>
    <t>E:\CAFNEC_GBRF\2022\BarronRiver\Frames_for_Analysis\317_C0021_R_0095.jpg</t>
  </si>
  <si>
    <t>E:\CAFNEC_GBRF\2022\BarronRiver\Frames_for_Analysis\318_C0021_R_0092.jpg</t>
  </si>
  <si>
    <t>E:\CAFNEC_GBRF\2022\BarronRiver\Frames_for_Analysis\319_C0058_R_0509.jpg</t>
  </si>
  <si>
    <t>E:\CAFNEC_GBRF\2022\BarronRiver\Frames_for_Analysis\320_C0021_R_0087.jpg</t>
  </si>
  <si>
    <t>E:\CAFNEC_GBRF\2022\BarronRiver\Frames_for_Analysis\321_C0058_R_0503.jpg</t>
  </si>
  <si>
    <t>E:\CAFNEC_GBRF\2022\BarronRiver\Frames_for_Analysis\322_C0021_R_0081.jpg</t>
  </si>
  <si>
    <t>E:\CAFNEC_GBRF\2022\BarronRiver\Frames_for_Analysis\323_C0021_R_0078.jpg</t>
  </si>
  <si>
    <t>E:\CAFNEC_GBRF\2022\BarronRiver\Frames_for_Analysis\324_C0058_R_0494.jpg</t>
  </si>
  <si>
    <t>E:\CAFNEC_GBRF\2022\BarronRiver\Frames_for_Analysis\325_C0021_R_0072.jpg</t>
  </si>
  <si>
    <t>E:\CAFNEC_GBRF\2022\BarronRiver\Frames_for_Analysis\326_C0021_R_0069.jpg</t>
  </si>
  <si>
    <t>E:\CAFNEC_GBRF\2022\BarronRiver\Frames_for_Analysis\327_C0021_R_0066.jpg</t>
  </si>
  <si>
    <t>E:\CAFNEC_GBRF\2022\BarronRiver\Frames_for_Analysis\328_C0021_R_0063.jpg</t>
  </si>
  <si>
    <t>E:\CAFNEC_GBRF\2022\BarronRiver\Frames_for_Analysis\329_C0058_R_0479.jpg</t>
  </si>
  <si>
    <t>E:\CAFNEC_GBRF\2022\BarronRiver\Frames_for_Analysis\330_C0058_R_0475.jpg</t>
  </si>
  <si>
    <t>E:\CAFNEC_GBRF\2022\BarronRiver\Frames_for_Analysis\331_C0058_R_0472.jpg</t>
  </si>
  <si>
    <t>E:\CAFNEC_GBRF\2022\BarronRiver\Frames_for_Analysis\332_C0058_R_0469.jpg</t>
  </si>
  <si>
    <t>E:\CAFNEC_GBRF\2022\BarronRiver\Frames_for_Analysis\333_C0021_R_0050.jpg</t>
  </si>
  <si>
    <t>E:\CAFNEC_GBRF\2022\BarronRiver\Frames_for_Analysis\334_C0021_R_0047.jpg</t>
  </si>
  <si>
    <t>E:\CAFNEC_GBRF\2022\BarronRiver\Frames_for_Analysis\335_C0021_R_0044.jpg</t>
  </si>
  <si>
    <t>E:\CAFNEC_GBRF\2022\BarronRiver\Frames_for_Analysis\336_C0021_R_0041.jpg</t>
  </si>
  <si>
    <t>E:\CAFNEC_GBRF\2022\BarronRiver\Frames_for_Analysis\337_C0021_R_0038.jpg</t>
  </si>
  <si>
    <t>E:\CAFNEC_GBRF\2022\BarronRiver\Frames_for_Analysis\338_C0021_R_0034.jpg</t>
  </si>
  <si>
    <t>E:\CAFNEC_GBRF\2022\BarronRiver\Frames_for_Analysis\339_C0021_R_0030.jpg</t>
  </si>
  <si>
    <t>E:\CAFNEC_GBRF\2022\BarronRiver\Frames_for_Analysis\340_C0021_R_0027.jpg</t>
  </si>
  <si>
    <t>E:\CAFNEC_GBRF\2022\BarronRiver\Frames_for_Analysis\341_C0021_R_0024.jpg</t>
  </si>
  <si>
    <t>E:\CAFNEC_GBRF\2022\BarronRiver\Frames_for_Analysis\342_C0021_R_0021.jpg</t>
  </si>
  <si>
    <t>E:\CAFNEC_GBRF\2022\BarronRiver\Frames_for_Analysis\343_C0021_R_0018.jpg</t>
  </si>
  <si>
    <t>E:\CAFNEC_GBRF\2022\BarronRiver\Frames_for_Analysis\344_C0021_R_0016.jpg</t>
  </si>
  <si>
    <t>E:\CAFNEC_GBRF\2022\BarronRiver\Frames_for_Analysis\345_C0021_R_0011.jpg</t>
  </si>
  <si>
    <t>E:\CAFNEC_GBRF\2022\BarronRiver\Frames_for_Analysis\346_C0058_R_0424.jpg</t>
  </si>
  <si>
    <t>E:\CAFNEC_GBRF\2022\BarronRiver\Frames_for_Analysis\347_C0021_R_0004.jpg</t>
  </si>
  <si>
    <t>E:\CAFNEC_GBRF\2022\BarronRiver\Frames_for_Analysis\348_C0058_R_0418.jpg</t>
  </si>
  <si>
    <t>E:\CAFNEC_GBRF\2022\BarronRiver\Frames_for_Analysis\349_C0058_R_0414.jpg</t>
  </si>
  <si>
    <t>E:\CAFNEC_GBRF\2022\BarronRiver\Frames_for_Analysis\350_C0058_R_0411.jpg</t>
  </si>
  <si>
    <t>E:\CAFNEC_GBRF\2022\BarronRiver\Frames_for_Analysis\351_C0058_R_0409.jpg</t>
  </si>
  <si>
    <t>E:\CAFNEC_GBRF\2022\BarronRiver\Frames_for_Analysis\352_C0058_R_0405.jpg</t>
  </si>
  <si>
    <t>E:\CAFNEC_GBRF\2022\BarronRiver\Frames_for_Analysis\353_C0058_R_0402.jpg</t>
  </si>
  <si>
    <t>E:\CAFNEC_GBRF\2022\BarronRiver\Frames_for_Analysis\354_C0058_R_0399.jpg</t>
  </si>
  <si>
    <t>E:\CAFNEC_GBRF\2022\BarronRiver\Frames_for_Analysis\355_C0058_R_0395.jpg</t>
  </si>
  <si>
    <t>E:\CAFNEC_GBRF\2022\BarronRiver\Frames_for_Analysis\356_C0058_R_0392.jpg</t>
  </si>
  <si>
    <t>E:\CAFNEC_GBRF\2022\BarronRiver\Frames_for_Analysis\357_C0058_R_0389.jpg</t>
  </si>
  <si>
    <t>E:\CAFNEC_GBRF\2022\BarronRiver\Frames_for_Analysis\358_C0058_R_0386.jpg</t>
  </si>
  <si>
    <t>E:\CAFNEC_GBRF\2022\BarronRiver\Frames_for_Analysis\359_C0058_R_0382.jpg</t>
  </si>
  <si>
    <t>E:\CAFNEC_GBRF\2022\BarronRiver\Frames_for_Analysis\360_C0058_R_0379.jpg</t>
  </si>
  <si>
    <t>E:\CAFNEC_GBRF\2022\BarronRiver\Frames_for_Analysis\361_C0058_R_0375.jpg</t>
  </si>
  <si>
    <t>E:\CAFNEC_GBRF\2022\BarronRiver\Frames_for_Analysis\362_C0058_R_0373.jpg</t>
  </si>
  <si>
    <t>E:\CAFNEC_GBRF\2022\BarronRiver\Frames_for_Analysis\363_C0058_R_0370.jpg</t>
  </si>
  <si>
    <t>E:\CAFNEC_GBRF\2022\BarronRiver\Frames_for_Analysis\364_C0058_R_0368.jpg</t>
  </si>
  <si>
    <t>E:\CAFNEC_GBRF\2022\BarronRiver\Frames_for_Analysis\365_C0058_R_0365.jpg</t>
  </si>
  <si>
    <t>E:\CAFNEC_GBRF\2022\BarronRiver\Frames_for_Analysis\366_C0058_R_0361.jpg</t>
  </si>
  <si>
    <t>E:\CAFNEC_GBRF\2022\BarronRiver\Frames_for_Analysis\367_C0058_R_0357.jpg</t>
  </si>
  <si>
    <t>E:\CAFNEC_GBRF\2022\BarronRiver\Frames_for_Analysis\368_C0058_R_0353.jpg</t>
  </si>
  <si>
    <t>E:\CAFNEC_GBRF\2022\BarronRiver\Frames_for_Analysis\369_C0058_R_0349.jpg</t>
  </si>
  <si>
    <t>E:\CAFNEC_GBRF\2022\BarronRiver\Frames_for_Analysis\370_C0058_R_0344.jpg</t>
  </si>
  <si>
    <t>E:\CAFNEC_GBRF\2022\BarronRiver\Frames_for_Analysis\371_C0058_R_0341.jpg</t>
  </si>
  <si>
    <t>E:\CAFNEC_GBRF\2022\BarronRiver\Frames_for_Analysis\372_C0058_R_0337.jpg</t>
  </si>
  <si>
    <t>E:\CAFNEC_GBRF\2022\BarronRiver\Frames_for_Analysis\373_C0058_R_0334.jpg</t>
  </si>
  <si>
    <t>E:\CAFNEC_GBRF\2022\BarronRiver\Frames_for_Analysis\374_C0058_R_0328.jpg</t>
  </si>
  <si>
    <t>E:\CAFNEC_GBRF\2022\BarronRiver\Frames_for_Analysis\375_C0058_R_0325.jpg</t>
  </si>
  <si>
    <t>E:\CAFNEC_GBRF\2022\BarronRiver\Frames_for_Analysis\376_C0058_R_0322.jpg</t>
  </si>
  <si>
    <t>E:\CAFNEC_GBRF\2022\BarronRiver\Frames_for_Analysis\377_C0058_R_0318.jpg</t>
  </si>
  <si>
    <t>E:\CAFNEC_GBRF\2022\BarronRiver\Frames_for_Analysis\378_C0058_R_0315.jpg</t>
  </si>
  <si>
    <t>E:\CAFNEC_GBRF\2022\BarronRiver\Frames_for_Analysis\379_C0058_R_0311.jpg</t>
  </si>
  <si>
    <t>E:\CAFNEC_GBRF\2022\BarronRiver\Frames_for_Analysis\380_C0058_R_0307.jpg</t>
  </si>
  <si>
    <t>E:\CAFNEC_GBRF\2022\BarronRiver\Frames_for_Analysis\381_C0058_R_0305.jpg</t>
  </si>
  <si>
    <t>E:\CAFNEC_GBRF\2022\BarronRiver\Frames_for_Analysis\382_C0058_R_0301.jpg</t>
  </si>
  <si>
    <t>E:\CAFNEC_GBRF\2022\BarronRiver\Frames_for_Analysis\383_C0018_R_0125.jpg</t>
  </si>
  <si>
    <t>E:\CAFNEC_GBRF\2022\BarronRiver\Frames_for_Analysis\384_C0058_R_0292.jpg</t>
  </si>
  <si>
    <t>E:\CAFNEC_GBRF\2022\BarronRiver\Frames_for_Analysis\385_C0018_R_0122.jpg</t>
  </si>
  <si>
    <t>E:\CAFNEC_GBRF\2022\BarronRiver\Frames_for_Analysis\386_C0058_R_0281.jpg</t>
  </si>
  <si>
    <t>E:\CAFNEC_GBRF\2022\BarronRiver\Frames_for_Analysis\387_C0018_R_0111.jpg</t>
  </si>
  <si>
    <t>E:\CAFNEC_GBRF\2022\BarronRiver\Frames_for_Analysis\388_C0018_R_0108.jpg</t>
  </si>
  <si>
    <t>E:\CAFNEC_GBRF\2022\BarronRiver\Frames_for_Analysis\389_C0058_R_0248.jpg</t>
  </si>
  <si>
    <t>E:\CAFNEC_GBRF\2022\BarronRiver\Frames_for_Analysis\390_C0058_R_0232.jpg</t>
  </si>
  <si>
    <t>E:\CAFNEC_GBRF\2022\BarronRiver\Frames_for_Analysis\391_C0058_R_0226.jpg</t>
  </si>
  <si>
    <t>E:\CAFNEC_GBRF\2022\BarronRiver\Frames_for_Analysis\392_C0018_R_0097.jpg</t>
  </si>
  <si>
    <t>E:\CAFNEC_GBRF\2022\BarronRiver\Frames_for_Analysis\393_C0018_R_0093.jpg</t>
  </si>
  <si>
    <t>E:\CAFNEC_GBRF\2022\BarronRiver\Frames_for_Analysis\394_C0018_R_0087.jpg</t>
  </si>
  <si>
    <t>E:\CAFNEC_GBRF\2022\BarronRiver\Frames_for_Analysis\395_C0018_R_0083.jpg</t>
  </si>
  <si>
    <t>E:\CAFNEC_GBRF\2022\BarronRiver\Frames_for_Analysis\396_C0058_R_0204.jpg</t>
  </si>
  <si>
    <t>E:\CAFNEC_GBRF\2022\BarronRiver\Frames_for_Analysis\397_C0058_R_0200.jpg</t>
  </si>
  <si>
    <t>E:\CAFNEC_GBRF\2022\BarronRiver\Frames_for_Analysis\398_C0018_R_0065.jpg</t>
  </si>
  <si>
    <t>E:\CAFNEC_GBRF\2022\BarronRiver\Frames_for_Analysis\399_C0018_R_0061.jpg</t>
  </si>
  <si>
    <t>E:\CAFNEC_GBRF\2022\BarronRiver\Frames_for_Analysis\400_C0058_R_0187.jpg</t>
  </si>
  <si>
    <t>E:\CAFNEC_GBRF\2022\BarronRiver\Frames_for_Analysis\401_C0058_R_0183.jpg</t>
  </si>
  <si>
    <t>E:\CAFNEC_GBRF\2022\BarronRiver\Frames_for_Analysis\402_C0018_R_0050.jpg</t>
  </si>
  <si>
    <t>E:\CAFNEC_GBRF\2022\BarronRiver\Frames_for_Analysis\403_C0018_R_0047.jpg</t>
  </si>
  <si>
    <t>E:\CAFNEC_GBRF\2022\BarronRiver\Frames_for_Analysis\404_C0058_R_0169.jpg</t>
  </si>
  <si>
    <t>E:\CAFNEC_GBRF\2022\BarronRiver\Frames_for_Analysis\405_C0058_R_0166.jpg</t>
  </si>
  <si>
    <t>E:\CAFNEC_GBRF\2022\BarronRiver\Frames_for_Analysis\406_C0018_R_0034.jpg</t>
  </si>
  <si>
    <t>E:\CAFNEC_GBRF\2022\BarronRiver\Frames_for_Analysis\407_C0058_R_0156.jpg</t>
  </si>
  <si>
    <t>E:\CAFNEC_GBRF\2022\BarronRiver\Frames_for_Analysis\408_C0018_R_0028.jpg</t>
  </si>
  <si>
    <t>E:\CAFNEC_GBRF\2022\BarronRiver\Frames_for_Analysis\409_C0058_R_0146.jpg</t>
  </si>
  <si>
    <t>E:\CAFNEC_GBRF\2022\BarronRiver\Frames_for_Analysis\410_C0018_R_0018.jpg</t>
  </si>
  <si>
    <t>E:\CAFNEC_GBRF\2022\BarronRiver\Frames_for_Analysis\411_C0058_R_0139.jpg</t>
  </si>
  <si>
    <t>E:\CAFNEC_GBRF\2022\BarronRiver\Frames_for_Analysis\412_C0058_R_0136.jpg</t>
  </si>
  <si>
    <t>E:\CAFNEC_GBRF\2022\BarronRiver\Frames_for_Analysis\413_C0058_R_0133.jpg</t>
  </si>
  <si>
    <t>E:\CAFNEC_GBRF\2022\BarronRiver\Frames_for_Analysis\414_C0058_R_0131.jpg</t>
  </si>
  <si>
    <t>E:\CAFNEC_GBRF\2022\BarronRiver\Frames_for_Analysis\415_C0058_R_0129.jpg</t>
  </si>
  <si>
    <t>E:\CAFNEC_GBRF\2022\BarronRiver\Frames_for_Analysis\416_C0058_R_0125.jpg</t>
  </si>
  <si>
    <t>E:\CAFNEC_GBRF\2022\BarronRiver\Frames_for_Analysis\417_C0058_R_0122.jpg</t>
  </si>
  <si>
    <t>E:\CAFNEC_GBRF\2022\BarronRiver\Frames_for_Analysis\418_C0058_R_0116.jpg</t>
  </si>
  <si>
    <t>E:\CAFNEC_GBRF\2022\BarronRiver\Frames_for_Analysis\419_C0058_R_0112.jpg</t>
  </si>
  <si>
    <t>E:\CAFNEC_GBRF\2022\BarronRiver\Frames_for_Analysis\420_C0058_R_0108.jpg</t>
  </si>
  <si>
    <t>E:\CAFNEC_GBRF\2022\BarronRiver\Frames_for_Analysis\421_C0017_R_0549.jpg</t>
  </si>
  <si>
    <t>E:\CAFNEC_GBRF\2022\BarronRiver\Frames_for_Analysis\422_C0058_R_0100.jpg</t>
  </si>
  <si>
    <t>E:\CAFNEC_GBRF\2022\BarronRiver\Frames_for_Analysis\423_C0058_R_0096.jpg</t>
  </si>
  <si>
    <t>E:\CAFNEC_GBRF\2022\BarronRiver\Frames_for_Analysis\424_C0058_R_0093.jpg</t>
  </si>
  <si>
    <t>E:\CAFNEC_GBRF\2022\BarronRiver\Frames_for_Analysis\425_C0058_R_0089.jpg</t>
  </si>
  <si>
    <t>E:\CAFNEC_GBRF\2022\BarronRiver\Frames_for_Analysis\426_C0058_R_0084.jpg</t>
  </si>
  <si>
    <t>E:\CAFNEC_GBRF\2022\BarronRiver\Frames_for_Analysis\427_C0017_R_0531.jpg</t>
  </si>
  <si>
    <t>E:\CAFNEC_GBRF\2022\BarronRiver\Frames_for_Analysis\428_C0058_R_0076.jpg</t>
  </si>
  <si>
    <t>E:\CAFNEC_GBRF\2022\BarronRiver\Frames_for_Analysis\429_C0058_R_0073.jpg</t>
  </si>
  <si>
    <t>E:\CAFNEC_GBRF\2022\BarronRiver\Frames_for_Analysis\430_C0017_R_0522.jpg</t>
  </si>
  <si>
    <t>E:\CAFNEC_GBRF\2022\BarronRiver\Frames_for_Analysis\431_C0058_R_0066.jpg</t>
  </si>
  <si>
    <t>E:\CAFNEC_GBRF\2022\BarronRiver\Frames_for_Analysis\432_C0058_R_0061.jpg</t>
  </si>
  <si>
    <t>E:\CAFNEC_GBRF\2022\BarronRiver\Frames_for_Analysis\433_C0017_R_0513.jpg</t>
  </si>
  <si>
    <t>E:\CAFNEC_GBRF\2022\BarronRiver\Frames_for_Analysis\434_C0058_R_0050.jpg</t>
  </si>
  <si>
    <t>E:\CAFNEC_GBRF\2022\BarronRiver\Frames_for_Analysis\435_C0017_R_0507.jpg</t>
  </si>
  <si>
    <t>E:\CAFNEC_GBRF\2022\BarronRiver\Frames_for_Analysis\436_C0058_R_0043.jpg</t>
  </si>
  <si>
    <t>E:\CAFNEC_GBRF\2022\BarronRiver\Frames_for_Analysis\437_C0058_R_0038.jpg</t>
  </si>
  <si>
    <t>E:\CAFNEC_GBRF\2022\BarronRiver\Frames_for_Analysis\438_C0058_R_0033.jpg</t>
  </si>
  <si>
    <t>E:\CAFNEC_GBRF\2022\BarronRiver\Frames_for_Analysis\439_C0058_R_0029.jpg</t>
  </si>
  <si>
    <t>E:\CAFNEC_GBRF\2022\BarronRiver\Frames_for_Analysis\440_C0017_R_0493.jpg</t>
  </si>
  <si>
    <t>E:\CAFNEC_GBRF\2022\BarronRiver\Frames_for_Analysis\441_C0017_R_0489.jpg</t>
  </si>
  <si>
    <t>E:\CAFNEC_GBRF\2022\BarronRiver\Frames_for_Analysis\442_C0017_R_0484.jpg</t>
  </si>
  <si>
    <t>E:\CAFNEC_GBRF\2022\BarronRiver\Frames_for_Analysis\443_C0058_R_0011.jpg</t>
  </si>
  <si>
    <t>E:\CAFNEC_GBRF\2022\BarronRiver\Frames_for_Analysis\444_C0017_R_0475.jpg</t>
  </si>
  <si>
    <t>E:\CAFNEC_GBRF\2022\BarronRiver\Frames_for_Analysis\445_C0057_R_0026.jpg</t>
  </si>
  <si>
    <t>E:\CAFNEC_GBRF\2022\BarronRiver\Frames_for_Analysis\446_C0057_R_0018.jpg</t>
  </si>
  <si>
    <t>E:\CAFNEC_GBRF\2022\BarronRiver\Frames_for_Analysis\447_C0017_R_0466.jpg</t>
  </si>
  <si>
    <t>E:\CAFNEC_GBRF\2022\BarronRiver\Frames_for_Analysis\448_C0057_R_0007.jpg</t>
  </si>
  <si>
    <t>E:\CAFNEC_GBRF\2022\BarronRiver\Frames_for_Analysis\449_C0017_R_0460.jpg</t>
  </si>
  <si>
    <t>E:\CAFNEC_GBRF\2022\BarronRiver\Frames_for_Analysis\450_C0017_R_0457.jpg</t>
  </si>
  <si>
    <t>E:\CAFNEC_GBRF\2022\BarronRiver\Frames_for_Analysis\451_C0017_R_0454.jpg</t>
  </si>
  <si>
    <t>E:\CAFNEC_GBRF\2022\BarronRiver\Frames_for_Analysis\452_C0017_R_0452.jpg</t>
  </si>
  <si>
    <t>E:\CAFNEC_GBRF\2022\BarronRiver\Frames_for_Analysis\453_C0017_R_0449.jpg</t>
  </si>
  <si>
    <t>E:\CAFNEC_GBRF\2022\BarronRiver\Frames_for_Analysis\454_C0017_R_0446.jpg</t>
  </si>
  <si>
    <t>E:\CAFNEC_GBRF\2022\BarronRiver\Frames_for_Analysis\455_C0017_R_0442.jpg</t>
  </si>
  <si>
    <t>E:\CAFNEC_GBRF\2022\BarronRiver\Frames_for_Analysis\456_C0017_R_0437.jpg</t>
  </si>
  <si>
    <t>E:\CAFNEC_GBRF\2022\BarronRiver\Frames_for_Analysis\457_C0017_R_0433.jpg</t>
  </si>
  <si>
    <t>E:\CAFNEC_GBRF\2022\BarronRiver\Frames_for_Analysis\458_C0017_R_0431.jpg</t>
  </si>
  <si>
    <t>E:\CAFNEC_GBRF\2022\BarronRiver\Frames_for_Analysis\459_C0017_R_0427.jpg</t>
  </si>
  <si>
    <t>E:\CAFNEC_GBRF\2022\BarronRiver\Frames_for_Analysis\460_C0017_R_0424.jpg</t>
  </si>
  <si>
    <t>E:\CAFNEC_GBRF\2022\BarronRiver\Frames_for_Analysis\461_C0017_R_0421.jpg</t>
  </si>
  <si>
    <t>E:\CAFNEC_GBRF\2022\BarronRiver\Frames_for_Analysis\462_C0017_R_0418.jpg</t>
  </si>
  <si>
    <t>E:\CAFNEC_GBRF\2022\BarronRiver\Frames_for_Analysis\463_C0017_R_0414.jpg</t>
  </si>
  <si>
    <t>E:\CAFNEC_GBRF\2022\BarronRiver\Frames_for_Analysis\464_C0017_R_0411.jpg</t>
  </si>
  <si>
    <t>E:\CAFNEC_GBRF\2022\BarronRiver\Frames_for_Analysis\465_C0017_R_0407.jpg</t>
  </si>
  <si>
    <t>E:\CAFNEC_GBRF\2022\BarronRiver\Frames_for_Analysis\466_C0017_R_0403.jpg</t>
  </si>
  <si>
    <t>E:\CAFNEC_GBRF\2022\BarronRiver\Frames_for_Analysis\467_C0017_R_0401.jpg</t>
  </si>
  <si>
    <t>E:\CAFNEC_GBRF\2022\BarronRiver\Frames_for_Analysis\468_C0017_R_0399.jpg</t>
  </si>
  <si>
    <t>E:\CAFNEC_GBRF\2022\BarronRiver\Frames_for_Analysis\469_C0017_R_0396.jpg</t>
  </si>
  <si>
    <t>E:\CAFNEC_GBRF\2022\BarronRiver\Frames_for_Analysis\470_C0017_R_0393.jpg</t>
  </si>
  <si>
    <t>E:\CAFNEC_GBRF\2022\BarronRiver\Frames_for_Analysis\471_C0017_R_0390.jpg</t>
  </si>
  <si>
    <t>E:\CAFNEC_GBRF\2022\BarronRiver\Frames_for_Analysis\472_C0017_R_0388.jpg</t>
  </si>
  <si>
    <t>E:\CAFNEC_GBRF\2022\BarronRiver\Frames_for_Analysis\473_C0017_R_0385.jpg</t>
  </si>
  <si>
    <t>E:\CAFNEC_GBRF\2022\BarronRiver\Frames_for_Analysis\474_C0017_R_0383.jpg</t>
  </si>
  <si>
    <t>E:\CAFNEC_GBRF\2022\BarronRiver\Frames_for_Analysis\475_C0017_R_0380.jpg</t>
  </si>
  <si>
    <t>E:\CAFNEC_GBRF\2022\BarronRiver\Frames_for_Analysis\476_C0017_R_0377.jpg</t>
  </si>
  <si>
    <t>E:\CAFNEC_GBRF\2022\BarronRiver\Frames_for_Analysis\477_C0017_R_0374.jpg</t>
  </si>
  <si>
    <t>E:\CAFNEC_GBRF\2022\BarronRiver\Frames_for_Analysis\478_C0017_R_0371.jpg</t>
  </si>
  <si>
    <t>E:\CAFNEC_GBRF\2022\BarronRiver\Frames_for_Analysis\479_C0017_R_0368.jpg</t>
  </si>
  <si>
    <t>E:\CAFNEC_GBRF\2022\BarronRiver\Frames_for_Analysis\480_C0017_R_0365.jpg</t>
  </si>
  <si>
    <t>E:\CAFNEC_GBRF\2022\BarronRiver\Frames_for_Analysis\481_C0017_R_0363.jpg</t>
  </si>
  <si>
    <t>E:\CAFNEC_GBRF\2022\BarronRiver\Frames_for_Analysis\482_C0017_R_0360.jpg</t>
  </si>
  <si>
    <t>E:\CAFNEC_GBRF\2022\BarronRiver\Frames_for_Analysis\483_C0017_R_0356.jpg</t>
  </si>
  <si>
    <t>E:\CAFNEC_GBRF\2022\BarronRiver\Frames_for_Analysis\484_C0017_R_0352.jpg</t>
  </si>
  <si>
    <t>E:\CAFNEC_GBRF\2022\BarronRiver\Frames_for_Analysis\485_C0017_R_0350.jpg</t>
  </si>
  <si>
    <t>E:\CAFNEC_GBRF\2022\BarronRiver\Frames_for_Analysis\486_C0017_R_0347.jpg</t>
  </si>
  <si>
    <t>E:\CAFNEC_GBRF\2022\BarronRiver\Frames_for_Analysis\487_C0017_R_0344.jpg</t>
  </si>
  <si>
    <t>E:\CAFNEC_GBRF\2022\BarronRiver\Frames_for_Analysis\488_C0017_R_0341.jpg</t>
  </si>
  <si>
    <t>E:\CAFNEC_GBRF\2022\BarronRiver\Frames_for_Analysis\489_C0017_R_0338.jpg</t>
  </si>
  <si>
    <t>E:\CAFNEC_GBRF\2022\BarronRiver\Frames_for_Analysis\490_C0017_R_0336.jpg</t>
  </si>
  <si>
    <t>E:\CAFNEC_GBRF\2022\BarronRiver\Frames_for_Analysis\491_C0017_R_0334.jpg</t>
  </si>
  <si>
    <t>E:\CAFNEC_GBRF\2022\BarronRiver\Frames_for_Analysis\492_C0017_R_0332.jpg</t>
  </si>
  <si>
    <t>E:\CAFNEC_GBRF\2022\BarronRiver\Frames_for_Analysis\493_C0017_R_0329.jpg</t>
  </si>
  <si>
    <t>E:\CAFNEC_GBRF\2022\BarronRiver\Frames_for_Analysis\494_C0017_R_0326.jpg</t>
  </si>
  <si>
    <t>E:\CAFNEC_GBRF\2022\BarronRiver\Frames_for_Analysis\495_C0017_R_0324.jpg</t>
  </si>
  <si>
    <t>E:\CAFNEC_GBRF\2022\BarronRiver\Frames_for_Analysis\496_C0017_R_0320.jpg</t>
  </si>
  <si>
    <t>E:\CAFNEC_GBRF\2022\BarronRiver\Frames_for_Analysis\497_C0017_R_0317.jpg</t>
  </si>
  <si>
    <t>E:\CAFNEC_GBRF\2022\BarronRiver\Frames_for_Analysis\498_C0017_R_0314.jpg</t>
  </si>
  <si>
    <t>E:\CAFNEC_GBRF\2022\BarronRiver\Frames_for_Analysis\499_C0017_R_0311.jpg</t>
  </si>
  <si>
    <t>E:\CAFNEC_GBRF\2022\BarronRiver\Frames_for_Analysis\500_C0017_R_0309.jpg</t>
  </si>
  <si>
    <t>E:\CAFNEC_GBRF\2022\BarronRiver\Frames_for_Analysis\501_C0017_R_0306.jpg</t>
  </si>
  <si>
    <t>E:\CAFNEC_GBRF\2022\BarronRiver\Frames_for_Analysis\502_C0017_R_0303.jpg</t>
  </si>
  <si>
    <t>E:\CAFNEC_GBRF\2022\BarronRiver\Frames_for_Analysis\503_C0017_R_0301.jpg</t>
  </si>
  <si>
    <t>E:\CAFNEC_GBRF\2022\BarronRiver\Frames_for_Analysis\504_C0017_R_0298.jpg</t>
  </si>
  <si>
    <t>E:\CAFNEC_GBRF\2022\BarronRiver\Frames_for_Analysis\505_C0017_R_0296.jpg</t>
  </si>
  <si>
    <t>E:\CAFNEC_GBRF\2022\BarronRiver\Frames_for_Analysis\506_C0017_R_0293.jpg</t>
  </si>
  <si>
    <t>E:\CAFNEC_GBRF\2022\BarronRiver\Frames_for_Analysis\507_C0017_R_0290.jpg</t>
  </si>
  <si>
    <t>E:\CAFNEC_GBRF\2022\BarronRiver\Frames_for_Analysis\508_C0017_R_0287.jpg</t>
  </si>
  <si>
    <t>E:\CAFNEC_GBRF\2022\BarronRiver\Frames_for_Analysis\509_C0017_R_0284.jpg</t>
  </si>
  <si>
    <t>E:\CAFNEC_GBRF\2022\BarronRiver\Frames_for_Analysis\510_C0017_R_0281.jpg</t>
  </si>
  <si>
    <t>E:\CAFNEC_GBRF\2022\BarronRiver\Frames_for_Analysis\511_C0017_R_0278.jpg</t>
  </si>
  <si>
    <t>E:\CAFNEC_GBRF\2022\BarronRiver\Frames_for_Analysis\512_C0017_R_0276.jpg</t>
  </si>
  <si>
    <t>E:\CAFNEC_GBRF\2022\BarronRiver\Frames_for_Analysis\513_C0017_R_0273.jpg</t>
  </si>
  <si>
    <t>E:\CAFNEC_GBRF\2022\BarronRiver\Frames_for_Analysis\514_C0017_R_0271.jpg</t>
  </si>
  <si>
    <t>E:\CAFNEC_GBRF\2022\BarronRiver\Frames_for_Analysis\515_C0017_R_0268.jpg</t>
  </si>
  <si>
    <t>E:\CAFNEC_GBRF\2022\BarronRiver\Frames_for_Analysis\516_C0017_R_0265.jpg</t>
  </si>
  <si>
    <t>E:\CAFNEC_GBRF\2022\BarronRiver\Frames_for_Analysis\517_C0017_R_0262.jpg</t>
  </si>
  <si>
    <t>E:\CAFNEC_GBRF\2022\BarronRiver\Frames_for_Analysis\518_C0017_R_0259.jpg</t>
  </si>
  <si>
    <t>E:\CAFNEC_GBRF\2022\BarronRiver\Frames_for_Analysis\519_C0017_R_0256.jpg</t>
  </si>
  <si>
    <t>E:\CAFNEC_GBRF\2022\BarronRiver\Frames_for_Analysis\520_C0017_R_0255.jpg</t>
  </si>
  <si>
    <t>E:\CAFNEC_GBRF\2022\BarronRiver\Frames_for_Analysis\521_C0017_R_0251.jpg</t>
  </si>
  <si>
    <t>E:\CAFNEC_GBRF\2022\BarronRiver\Frames_for_Analysis\522_C0017_R_0248.jpg</t>
  </si>
  <si>
    <t>E:\CAFNEC_GBRF\2022\BarronRiver\Frames_for_Analysis\523_C0017_R_0246.jpg</t>
  </si>
  <si>
    <t>E:\CAFNEC_GBRF\2022\BarronRiver\Frames_for_Analysis\524_C0017_R_0243.jpg</t>
  </si>
  <si>
    <t>E:\CAFNEC_GBRF\2022\BarronRiver\Frames_for_Analysis\525_C0017_R_0240.jpg</t>
  </si>
  <si>
    <t>E:\CAFNEC_GBRF\2022\BarronRiver\Frames_for_Analysis\526_C0017_R_0238.jpg</t>
  </si>
  <si>
    <t>E:\CAFNEC_GBRF\2022\BarronRiver\Frames_for_Analysis\527_C0017_R_0235.jpg</t>
  </si>
  <si>
    <t>E:\CAFNEC_GBRF\2022\BarronRiver\Frames_for_Analysis\528_C0017_R_0232.jpg</t>
  </si>
  <si>
    <t>E:\CAFNEC_GBRF\2022\BarronRiver\Frames_for_Analysis\529_C0017_R_0229.jpg</t>
  </si>
  <si>
    <t>E:\CAFNEC_GBRF\2022\BarronRiver\Frames_for_Analysis\530_C0017_R_0226.jpg</t>
  </si>
  <si>
    <t>E:\CAFNEC_GBRF\2022\BarronRiver\Frames_for_Analysis\531_C0017_R_0224.jpg</t>
  </si>
  <si>
    <t>E:\CAFNEC_GBRF\2022\BarronRiver\Frames_for_Analysis\532_C0017_R_0221.jpg</t>
  </si>
  <si>
    <t>E:\CAFNEC_GBRF\2022\BarronRiver\Frames_for_Analysis\533_C0017_R_0218.jpg</t>
  </si>
  <si>
    <t>E:\CAFNEC_GBRF\2022\BarronRiver\Frames_for_Analysis\534_C0017_R_0216.jpg</t>
  </si>
  <si>
    <t>E:\CAFNEC_GBRF\2022\BarronRiver\Frames_for_Analysis\535_C0017_R_0214.jpg</t>
  </si>
  <si>
    <t>E:\CAFNEC_GBRF\2022\BarronRiver\Frames_for_Analysis\536_C0017_R_0210.jpg</t>
  </si>
  <si>
    <t>E:\CAFNEC_GBRF\2022\BarronRiver\Frames_for_Analysis\537_C0017_R_0207.jpg</t>
  </si>
  <si>
    <t>E:\CAFNEC_GBRF\2022\BarronRiver\Frames_for_Analysis\538_C0017_R_0204.jpg</t>
  </si>
  <si>
    <t>E:\CAFNEC_GBRF\2022\BarronRiver\Frames_for_Analysis\539_C0017_R_0202.jpg</t>
  </si>
  <si>
    <t>E:\CAFNEC_GBRF\2022\BarronRiver\Frames_for_Analysis\540_C0017_R_0199.jpg</t>
  </si>
  <si>
    <t>E:\CAFNEC_GBRF\2022\BarronRiver\Frames_for_Analysis\541_C0017_R_0196.jpg</t>
  </si>
  <si>
    <t>E:\CAFNEC_GBRF\2022\BarronRiver\Frames_for_Analysis\542_C0017_R_0193.jpg</t>
  </si>
  <si>
    <t>E:\CAFNEC_GBRF\2022\BarronRiver\Frames_for_Analysis\543_C0017_R_0190.jpg</t>
  </si>
  <si>
    <t>E:\CAFNEC_GBRF\2022\BarronRiver\Frames_for_Analysis\544_C0017_R_0187.jpg</t>
  </si>
  <si>
    <t>E:\CAFNEC_GBRF\2022\BarronRiver\Frames_for_Analysis\545_C0017_R_0185.jpg</t>
  </si>
  <si>
    <t>E:\CAFNEC_GBRF\2022\BarronRiver\Frames_for_Analysis\546_C0017_R_0182.jpg</t>
  </si>
  <si>
    <t>E:\CAFNEC_GBRF\2022\BarronRiver\Frames_for_Analysis\547_C0017_R_0179.jpg</t>
  </si>
  <si>
    <t>E:\CAFNEC_GBRF\2022\BarronRiver\Frames_for_Analysis\548_C0017_R_0176.jpg</t>
  </si>
  <si>
    <t>E:\CAFNEC_GBRF\2022\BarronRiver\Frames_for_Analysis\549_C0017_R_0174.jpg</t>
  </si>
  <si>
    <t>E:\CAFNEC_GBRF\2022\BarronRiver\Frames_for_Analysis\550_C0017_R_0171.jpg</t>
  </si>
  <si>
    <t>E:\CAFNEC_GBRF\2022\BarronRiver\Frames_for_Analysis\551_C0017_R_0168.jpg</t>
  </si>
  <si>
    <t>E:\CAFNEC_GBRF\2022\BarronRiver\Frames_for_Analysis\552_C0017_R_0165.jpg</t>
  </si>
  <si>
    <t>E:\CAFNEC_GBRF\2022\BarronRiver\Frames_for_Analysis\553_C0017_R_0161.jpg</t>
  </si>
  <si>
    <t>E:\CAFNEC_GBRF\2022\BarronRiver\Frames_for_Analysis\554_C0017_R_0158.jpg</t>
  </si>
  <si>
    <t>E:\CAFNEC_GBRF\2022\BarronRiver\Frames_for_Analysis\555_C0017_R_0156.jpg</t>
  </si>
  <si>
    <t>E:\CAFNEC_GBRF\2022\BarronRiver\Frames_for_Analysis\556_C0017_R_0153.jpg</t>
  </si>
  <si>
    <t>E:\CAFNEC_GBRF\2022\BarronRiver\Frames_for_Analysis\557_C0017_R_0150.jpg</t>
  </si>
  <si>
    <t>E:\CAFNEC_GBRF\2022\BarronRiver\Frames_for_Analysis\558_C0017_R_0147.jpg</t>
  </si>
  <si>
    <t>E:\CAFNEC_GBRF\2022\BarronRiver\Frames_for_Analysis\559_C0017_R_0144.jpg</t>
  </si>
  <si>
    <t>E:\CAFNEC_GBRF\2022\BarronRiver\Frames_for_Analysis\560_C0017_R_0139.jpg</t>
  </si>
  <si>
    <t>E:\CAFNEC_GBRF\2022\BarronRiver\Frames_for_Analysis\561_C0017_R_0137.jpg</t>
  </si>
  <si>
    <t>E:\CAFNEC_GBRF\2022\BarronRiver\Frames_for_Analysis\562_C0017_R_0134.jpg</t>
  </si>
  <si>
    <t>E:\CAFNEC_GBRF\2022\BarronRiver\Frames_for_Analysis\563_C0017_R_0132.jpg</t>
  </si>
  <si>
    <t>E:\CAFNEC_GBRF\2022\BarronRiver\Frames_for_Analysis\564_C0017_R_0129.jpg</t>
  </si>
  <si>
    <t>E:\CAFNEC_GBRF\2022\BarronRiver\Frames_for_Analysis\565_C0017_R_0126.jpg</t>
  </si>
  <si>
    <t>E:\CAFNEC_GBRF\2022\BarronRiver\Frames_for_Analysis\566_C0017_R_0123.jpg</t>
  </si>
  <si>
    <t>E:\CAFNEC_GBRF\2022\BarronRiver\Frames_for_Analysis\567_C0017_R_0119.jpg</t>
  </si>
  <si>
    <t>E:\CAFNEC_GBRF\2022\BarronRiver\Frames_for_Analysis\568_C0017_R_0116.jpg</t>
  </si>
  <si>
    <t>E:\CAFNEC_GBRF\2022\BarronRiver\Frames_for_Analysis\569_C0017_R_0113.jpg</t>
  </si>
  <si>
    <t>E:\CAFNEC_GBRF\2022\BarronRiver\Frames_for_Analysis\570_C0017_R_0109.jpg</t>
  </si>
  <si>
    <t>E:\CAFNEC_GBRF\2022\BarronRiver\Frames_for_Analysis\571_C0017_R_0105.jpg</t>
  </si>
  <si>
    <t>E:\CAFNEC_GBRF\2022\BarronRiver\Frames_for_Analysis\572_C0017_R_0102.jpg</t>
  </si>
  <si>
    <t>E:\CAFNEC_GBRF\2022\BarronRiver\Frames_for_Analysis\573_C0017_R_0098.jpg</t>
  </si>
  <si>
    <t>E:\CAFNEC_GBRF\2022\BarronRiver\Frames_for_Analysis\574_C0017_R_0095.jpg</t>
  </si>
  <si>
    <t>E:\CAFNEC_GBRF\2022\BarronRiver\Frames_for_Analysis\575_C0017_R_0092.jpg</t>
  </si>
  <si>
    <t>E:\CAFNEC_GBRF\2022\BarronRiver\Frames_for_Analysis\576_C0017_R_0089.jpg</t>
  </si>
  <si>
    <t>E:\CAFNEC_GBRF\2022\BarronRiver\Frames_for_Analysis\577_C0017_R_0087.jpg</t>
  </si>
  <si>
    <t>E:\CAFNEC_GBRF\2022\BarronRiver\Frames_for_Analysis\578_C0017_R_0084.jpg</t>
  </si>
  <si>
    <t>E:\CAFNEC_GBRF\2022\BarronRiver\Frames_for_Analysis\579_C0017_R_0081.jpg</t>
  </si>
  <si>
    <t>E:\CAFNEC_GBRF\2022\BarronRiver\Frames_for_Analysis\580_C0017_R_0078.jpg</t>
  </si>
  <si>
    <t>E:\CAFNEC_GBRF\2022\BarronRiver\Frames_for_Analysis\581_C0017_R_0075.jpg</t>
  </si>
  <si>
    <t>E:\CAFNEC_GBRF\2022\BarronRiver\Frames_for_Analysis\582_C0017_R_0073.jpg</t>
  </si>
  <si>
    <t>E:\CAFNEC_GBRF\2022\BarronRiver\Frames_for_Analysis\583_C0017_R_0072.jpg</t>
  </si>
  <si>
    <t>E:\CAFNEC_GBRF\2022\BarronRiver\Frames_for_Analysis\584_C0017_R_0066.jpg</t>
  </si>
  <si>
    <t>E:\CAFNEC_GBRF\2022\BarronRiver\Frames_for_Analysis\585_C0017_R_0063.jpg</t>
  </si>
  <si>
    <t>E:\CAFNEC_GBRF\2022\BarronRiver\Frames_for_Analysis\586_C0017_R_0060.jpg</t>
  </si>
  <si>
    <t>E:\CAFNEC_GBRF\2022\BarronRiver\Frames_for_Analysis\587_C0017_R_0056.jpg</t>
  </si>
  <si>
    <t>E:\CAFNEC_GBRF\2022\BarronRiver\Frames_for_Analysis\588_C0017_R_0054.jpg</t>
  </si>
  <si>
    <t>E:\CAFNEC_GBRF\2022\BarronRiver\Frames_for_Analysis\589_C0005_L_0009.jpg</t>
  </si>
  <si>
    <t>E:\CAFNEC_GBRF\2022\BarronRiver\Frames_for_Analysis\590_C0005_L_0021.jpg</t>
  </si>
  <si>
    <t>E:\CAFNEC_GBRF\2022\BarronRiver\Frames_for_Analysis\591_C0017_R_0046.jpg</t>
  </si>
  <si>
    <t>E:\CAFNEC_GBRF\2022\BarronRiver\Frames_for_Analysis\592_C0017_R_0043.jpg</t>
  </si>
  <si>
    <t>E:\CAFNEC_GBRF\2022\BarronRiver\Frames_for_Analysis\593_C0005_L_0030.jpg</t>
  </si>
  <si>
    <t>E:\CAFNEC_GBRF\2022\BarronRiver\Frames_for_Analysis\594_C0017_R_0037.jpg</t>
  </si>
  <si>
    <t>E:\CAFNEC_GBRF\2022\BarronRiver\Frames_for_Analysis\595_C0005_L_0037.jpg</t>
  </si>
  <si>
    <t>E:\CAFNEC_GBRF\2022\BarronRiver\Frames_for_Analysis\596_C0005_L_0041.jpg</t>
  </si>
  <si>
    <t>E:\CAFNEC_GBRF\2022\BarronRiver\Frames_for_Analysis\597_C0005_L_0045.jpg</t>
  </si>
  <si>
    <t>E:\CAFNEC_GBRF\2022\BarronRiver\Frames_for_Analysis\598_C0005_L_0050.jpg</t>
  </si>
  <si>
    <t>E:\CAFNEC_GBRF\2022\BarronRiver\Frames_for_Analysis\599_C0005_L_0054.jpg</t>
  </si>
  <si>
    <t>E:\CAFNEC_GBRF\2022\BarronRiver\Frames_for_Analysis\600_C0017_R_0016.jpg</t>
  </si>
  <si>
    <t>E:\CAFNEC_GBRF\2022\BarronRiver\Frames_for_Analysis\601_C0017_R_0013.jpg</t>
  </si>
  <si>
    <t>E:\CAFNEC_GBRF\2022\BarronRiver\Frames_for_Analysis\602_C0005_L_0067.jpg</t>
  </si>
  <si>
    <t>E:\CAFNEC_GBRF\2022\BarronRiver\Frames_for_Analysis\603_C0005_L_0071.jpg</t>
  </si>
  <si>
    <t>E:\CAFNEC_GBRF\2022\BarronRiver\Frames_for_Analysis\604_C0005_L_0073.jpg</t>
  </si>
  <si>
    <t>E:\CAFNEC_GBRF\2022\BarronRiver\Frames_for_Analysis\605_C0005_L_0075.jpg</t>
  </si>
  <si>
    <t>E:\CAFNEC_GBRF\2022\BarronRiver\Frames_for_Analysis\606_C0005_L_0081.jpg</t>
  </si>
  <si>
    <t>E:\CAFNEC_GBRF\2022\BarronRiver\Frames_for_Analysis\607_C0005_L_0086.jpg</t>
  </si>
  <si>
    <t>E:\CAFNEC_GBRF\2022\BarronRiver\Frames_for_Analysis\608_C0005_L_0089.jpg</t>
  </si>
  <si>
    <t>E:\CAFNEC_GBRF\2022\BarronRiver\Frames_for_Analysis\609_C0005_L_0094.jpg</t>
  </si>
  <si>
    <t>E:\CAFNEC_GBRF\2022\BarronRiver\Frames_for_Analysis\610_C0005_L_0097.jpg</t>
  </si>
  <si>
    <t>E:\CAFNEC_GBRF\2022\BarronRiver\Frames_for_Analysis\611_C0005_L_0101.jpg</t>
  </si>
  <si>
    <t>E:\CAFNEC_GBRF\2022\BarronRiver\Frames_for_Analysis\612_C0005_L_0106.jpg</t>
  </si>
  <si>
    <t>E:\CAFNEC_GBRF\2022\BarronRiver\Frames_for_Analysis\613_C0005_L_0109.jpg</t>
  </si>
  <si>
    <t>E:\CAFNEC_GBRF\2022\BarronRiver\Frames_for_Analysis\614_C0005_L_0113.jpg</t>
  </si>
  <si>
    <t>E:\CAFNEC_GBRF\2022\BarronRiver\Frames_for_Analysis\615_C0005_L_0116.jpg</t>
  </si>
  <si>
    <t>E:\CAFNEC_GBRF\2022\BarronRiver\Frames_for_Analysis\616_C0005_L_0120.jpg</t>
  </si>
  <si>
    <t>E:\CAFNEC_GBRF\2022\BarronRiver\Frames_for_Analysis\617_C0005_L_0124.jpg</t>
  </si>
  <si>
    <t>E:\CAFNEC_GBRF\2022\BarronRiver\Frames_for_Analysis\618_C0005_L_0125.jpg</t>
  </si>
  <si>
    <t>E:\CAFNEC_GBRF\2022\BarronRiver\Frames_for_Analysis\619_C0005_L_0129.jpg</t>
  </si>
  <si>
    <t>E:\CAFNEC_GBRF\2022\BarronRiver\Frames_for_Analysis\620_C0005_L_0133.jpg</t>
  </si>
  <si>
    <t>E:\CAFNEC_GBRF\2022\BarronRiver\Frames_for_Analysis\621_C0005_L_0136.jpg</t>
  </si>
  <si>
    <t>E:\CAFNEC_GBRF\2022\BarronRiver\Frames_for_Analysis\622_C0005_L_0139.jpg</t>
  </si>
  <si>
    <t>E:\CAFNEC_GBRF\2022\BarronRiver\Frames_for_Analysis\623_C0005_L_0141.jpg</t>
  </si>
  <si>
    <t>E:\CAFNEC_GBRF\2022\BarronRiver\Frames_for_Analysis\624_C0005_L_0145.jpg</t>
  </si>
  <si>
    <t>E:\CAFNEC_GBRF\2022\BarronRiver\Frames_for_Analysis\625_C0005_L_0147.jpg</t>
  </si>
  <si>
    <t>E:\CAFNEC_GBRF\2022\BarronRiver\Frames_for_Analysis\626_C0005_L_0150.jpg</t>
  </si>
  <si>
    <t>E:\CAFNEC_GBRF\2022\BarronRiver\Frames_for_Analysis\627_C0005_L_0156.jpg</t>
  </si>
  <si>
    <t>E:\CAFNEC_GBRF\2022\BarronRiver\Frames_for_Analysis\628_C0005_L_0161.jpg</t>
  </si>
  <si>
    <t>E:\CAFNEC_GBRF\2022\BarronRiver\Frames_for_Analysis\629_C0005_L_0163.jpg</t>
  </si>
  <si>
    <t>E:\CAFNEC_GBRF\2022\BarronRiver\Frames_for_Analysis\630_C0005_L_0167.jpg</t>
  </si>
  <si>
    <t>E:\CAFNEC_GBRF\2022\BarronRiver\Frames_for_Analysis\631_C0005_L_0169.jpg</t>
  </si>
  <si>
    <t>E:\CAFNEC_GBRF\2022\BarronRiver\Frames_for_Analysis\632_C0005_L_0175.jpg</t>
  </si>
  <si>
    <t>E:\CAFNEC_GBRF\2022\BarronRiver\Frames_for_Analysis\633_C0005_L_0177.jpg</t>
  </si>
  <si>
    <t>E:\CAFNEC_GBRF\2022\BarronRiver\Frames_for_Analysis\634_C0005_L_0180.jpg</t>
  </si>
  <si>
    <t>E:\CAFNEC_GBRF\2022\BarronRiver\Frames_for_Analysis\635_C0005_L_0185.jpg</t>
  </si>
  <si>
    <t>E:\CAFNEC_GBRF\2022\BarronRiver\Frames_for_Analysis\636_C0005_L_0189.jpg</t>
  </si>
  <si>
    <t>E:\CAFNEC_GBRF\2022\BarronRiver\Frames_for_Analysis\637_C0005_L_0191.jpg</t>
  </si>
  <si>
    <t>E:\CAFNEC_GBRF\2022\BarronRiver\Frames_for_Analysis\638_C0005_L_0194.jpg</t>
  </si>
  <si>
    <t>E:\CAFNEC_GBRF\2022\BarronRiver\Frames_for_Analysis\639_C0005_L_0198.jpg</t>
  </si>
  <si>
    <t>E:\CAFNEC_GBRF\2022\BarronRiver\Frames_for_Analysis\640_C0005_L_0202.jpg</t>
  </si>
  <si>
    <t>E:\CAFNEC_GBRF\2022\BarronRiver\Frames_for_Analysis\641_C0005_L_0204.jpg</t>
  </si>
  <si>
    <t>E:\CAFNEC_GBRF\2022\BarronRiver\Frames_for_Analysis\642_C0005_L_0208.jpg</t>
  </si>
  <si>
    <t>E:\CAFNEC_GBRF\2022\BarronRiver\Frames_for_Analysis\643_C0005_L_0211.jpg</t>
  </si>
  <si>
    <t>E:\CAFNEC_GBRF\2022\BarronRiver\Frames_for_Analysis\644_C0005_L_0213.jpg</t>
  </si>
  <si>
    <t>E:\CAFNEC_GBRF\2022\BarronRiver\Frames_for_Analysis\645_C0005_L_0217.jpg</t>
  </si>
  <si>
    <t>E:\CAFNEC_GBRF\2022\BarronRiver\Frames_for_Analysis\646_C0005_L_0219.jpg</t>
  </si>
  <si>
    <t>E:\CAFNEC_GBRF\2022\BarronRiver\Frames_for_Analysis\647_C0005_L_0222.jpg</t>
  </si>
  <si>
    <t>E:\CAFNEC_GBRF\2022\BarronRiver\Frames_for_Analysis\648_C0005_L_0226.jpg</t>
  </si>
  <si>
    <t>E:\CAFNEC_GBRF\2022\BarronRiver\Frames_for_Analysis\649_C0005_L_0229.jpg</t>
  </si>
  <si>
    <t>E:\CAFNEC_GBRF\2022\BarronRiver\Frames_for_Analysis\650_C0005_L_0233.jpg</t>
  </si>
  <si>
    <t>E:\CAFNEC_GBRF\2022\BarronRiver\Frames_for_Analysis\651_C0005_L_0236.jpg</t>
  </si>
  <si>
    <t>E:\CAFNEC_GBRF\2022\BarronRiver\Frames_for_Analysis\652_C0005_L_0239.jpg</t>
  </si>
  <si>
    <t>E:\CAFNEC_GBRF\2022\BarronRiver\Frames_for_Analysis\653_C0005_L_0241.jpg</t>
  </si>
  <si>
    <t>E:\CAFNEC_GBRF\2022\BarronRiver\Frames_for_Analysis\654_C0005_L_0245.jpg</t>
  </si>
  <si>
    <t>E:\CAFNEC_GBRF\2022\BarronRiver\Frames_for_Analysis\655_C0005_L_0248.jpg</t>
  </si>
  <si>
    <t>E:\CAFNEC_GBRF\2022\BarronRiver\Frames_for_Analysis\656_C0005_L_0252.jpg</t>
  </si>
  <si>
    <t>E:\CAFNEC_GBRF\2022\BarronRiver\Frames_for_Analysis\657_C0005_L_0255.jpg</t>
  </si>
  <si>
    <t>E:\CAFNEC_GBRF\2022\BarronRiver\Frames_for_Analysis\658_C0005_L_0259.jpg</t>
  </si>
  <si>
    <t>E:\CAFNEC_GBRF\2022\BarronRiver\Frames_for_Analysis\659_C0005_L_0261.jpg</t>
  </si>
  <si>
    <t>E:\CAFNEC_GBRF\2022\BarronRiver\Frames_for_Analysis\660_C0005_L_0263.jpg</t>
  </si>
  <si>
    <t>E:\CAFNEC_GBRF\2022\BarronRiver\Frames_for_Analysis\661_C0005_L_0267.jpg</t>
  </si>
  <si>
    <t>E:\CAFNEC_GBRF\2022\BarronRiver\Frames_for_Analysis\662_C0005_L_0270.jpg</t>
  </si>
  <si>
    <t>E:\CAFNEC_GBRF\2022\BarronRiver\Frames_for_Analysis\663_C0005_L_0273.jpg</t>
  </si>
  <si>
    <t>E:\CAFNEC_GBRF\2022\BarronRiver\Frames_for_Analysis\664_C0005_L_0276.jpg</t>
  </si>
  <si>
    <t>E:\CAFNEC_GBRF\2022\BarronRiver\Frames_for_Analysis\665_C0005_L_0278.jpg</t>
  </si>
  <si>
    <t>E:\CAFNEC_GBRF\2022\BarronRiver\Frames_for_Analysis\666_C0005_L_0282.jpg</t>
  </si>
  <si>
    <t>E:\CAFNEC_GBRF\2022\BarronRiver\Frames_for_Analysis\667_C0005_L_0285.jpg</t>
  </si>
  <si>
    <t>E:\CAFNEC_GBRF\2022\BarronRiver\Frames_for_Analysis\668_C0005_L_0290.jpg</t>
  </si>
  <si>
    <t>E:\CAFNEC_GBRF\2022\BarronRiver\Frames_for_Analysis\669_C0005_L_0293.jpg</t>
  </si>
  <si>
    <t>E:\CAFNEC_GBRF\2022\BarronRiver\Frames_for_Analysis\670_C0005_L_0296.jpg</t>
  </si>
  <si>
    <t>E:\CAFNEC_GBRF\2022\BarronRiver\Frames_for_Analysis\671_C0005_L_0299.jpg</t>
  </si>
  <si>
    <t>E:\CAFNEC_GBRF\2022\BarronRiver\Frames_for_Analysis\672_C0005_L_0302.jpg</t>
  </si>
  <si>
    <t>E:\CAFNEC_GBRF\2022\BarronRiver\Frames_for_Analysis\673_C0005_L_0307.jpg</t>
  </si>
  <si>
    <t>E:\CAFNEC_GBRF\2022\BarronRiver\Frames_for_Analysis\674_C0005_L_0310.jpg</t>
  </si>
  <si>
    <t>E:\CAFNEC_GBRF\2022\BarronRiver\Frames_for_Analysis\675_C0005_L_0314.jpg</t>
  </si>
  <si>
    <t>E:\CAFNEC_GBRF\2022\BarronRiver\Frames_for_Analysis\676_C0005_L_0317.jpg</t>
  </si>
  <si>
    <t>E:\CAFNEC_GBRF\2022\BarronRiver\Frames_for_Analysis\677_C0005_L_0319.jpg</t>
  </si>
  <si>
    <t>E:\CAFNEC_GBRF\2022\BarronRiver\Frames_for_Analysis\678_C0005_L_0321.jpg</t>
  </si>
  <si>
    <t>E:\CAFNEC_GBRF\2022\BarronRiver\Frames_for_Analysis\679_C0005_L_0325.jpg</t>
  </si>
  <si>
    <t>E:\CAFNEC_GBRF\2022\BarronRiver\Frames_for_Analysis\680_C0005_L_0328.jpg</t>
  </si>
  <si>
    <t>E:\CAFNEC_GBRF\2022\BarronRiver\Frames_for_Analysis\681_C0005_L_0331.jpg</t>
  </si>
  <si>
    <t>E:\CAFNEC_GBRF\2022\BarronRiver\Frames_for_Analysis\682_C0005_L_0335.jpg</t>
  </si>
  <si>
    <t>E:\CAFNEC_GBRF\2022\BarronRiver\Frames_for_Analysis\683_C0005_L_0339.jpg</t>
  </si>
  <si>
    <t>E:\CAFNEC_GBRF\2022\BarronRiver\Frames_for_Analysis\684_C0005_L_0343.jpg</t>
  </si>
  <si>
    <t>E:\CAFNEC_GBRF\2022\BarronRiver\Frames_for_Analysis\685_C0005_L_0346.jpg</t>
  </si>
  <si>
    <t>E:\CAFNEC_GBRF\2022\BarronRiver\Frames_for_Analysis\686_C0005_L_0349.jpg</t>
  </si>
  <si>
    <t>E:\CAFNEC_GBRF\2022\BarronRiver\Frames_for_Analysis\687_C0005_L_0353.jpg</t>
  </si>
  <si>
    <t>E:\CAFNEC_GBRF\2022\BarronRiver\Frames_for_Analysis\688_C0005_L_0356.jpg</t>
  </si>
  <si>
    <t>E:\CAFNEC_GBRF\2022\BarronRiver\Frames_for_Analysis\689_C0005_L_0359.jpg</t>
  </si>
  <si>
    <t>E:\CAFNEC_GBRF\2022\BarronRiver\Frames_for_Analysis\690_C0005_L_0362.jpg</t>
  </si>
  <si>
    <t>E:\CAFNEC_GBRF\2022\BarronRiver\Frames_for_Analysis\691_C0005_L_0365.jpg</t>
  </si>
  <si>
    <t>E:\CAFNEC_GBRF\2022\BarronRiver\Frames_for_Analysis\692_C0005_L_0367.jpg</t>
  </si>
  <si>
    <t>E:\CAFNEC_GBRF\2022\BarronRiver\Frames_for_Analysis\693_C0005_L_0372.jpg</t>
  </si>
  <si>
    <t>E:\CAFNEC_GBRF\2022\BarronRiver\Frames_for_Analysis\694_C0005_L_0376.jpg</t>
  </si>
  <si>
    <t>E:\CAFNEC_GBRF\2022\BarronRiver\Frames_for_Analysis\695_C0005_L_0381.jpg</t>
  </si>
  <si>
    <t>E:\CAFNEC_GBRF\2022\BarronRiver\Frames_for_Analysis\696_C0005_L_0385.jpg</t>
  </si>
  <si>
    <t>E:\CAFNEC_GBRF\2022\BarronRiver\Frames_for_Analysis\697_C0005_L_0388.jpg</t>
  </si>
  <si>
    <t>E:\CAFNEC_GBRF\2022\BarronRiver\Frames_for_Analysis\698_C0005_L_0392.jpg</t>
  </si>
  <si>
    <t>E:\CAFNEC_GBRF\2022\BarronRiver\Frames_for_Analysis\699_C0005_L_0395.jpg</t>
  </si>
  <si>
    <t>E:\CAFNEC_GBRF\2022\BarronRiver\Frames_for_Analysis\700_C0005_L_0398.jpg</t>
  </si>
  <si>
    <t>E:\CAFNEC_GBRF\2022\BarronRiver\Frames_for_Analysis\701_C0005_L_0401.jpg</t>
  </si>
  <si>
    <t>E:\CAFNEC_GBRF\2022\BarronRiver\Frames_for_Analysis\702_C0005_L_0404.jpg</t>
  </si>
  <si>
    <t>E:\CAFNEC_GBRF\2022\BarronRiver\Frames_for_Analysis\703_C0005_L_0407.jpg</t>
  </si>
  <si>
    <t>E:\CAFNEC_GBRF\2022\BarronRiver\Frames_for_Analysis\704_C0005_L_0410.jpg</t>
  </si>
  <si>
    <t>E:\CAFNEC_GBRF\2022\BarronRiver\Frames_for_Analysis\705_C0005_L_0413.jpg</t>
  </si>
  <si>
    <t>E:\CAFNEC_GBRF\2022\BarronRiver\Frames_for_Analysis\706_C0005_L_0417.jpg</t>
  </si>
  <si>
    <t>E:\CAFNEC_GBRF\2022\BarronRiver\Frames_for_Analysis\707_C0005_L_0420.jpg</t>
  </si>
  <si>
    <t>E:\CAFNEC_GBRF\2022\BarronRiver\Frames_for_Analysis\708_C0005_L_0423.jpg</t>
  </si>
  <si>
    <t>E:\CAFNEC_GBRF\2022\BarronRiver\Frames_for_Analysis\709_C0005_L_0426.jpg</t>
  </si>
  <si>
    <t>E:\CAFNEC_GBRF\2022\BarronRiver\Frames_for_Analysis\710_C0005_L_0429.jpg</t>
  </si>
  <si>
    <t>E:\CAFNEC_GBRF\2022\BarronRiver\Frames_for_Analysis\711_C0005_L_0432.jpg</t>
  </si>
  <si>
    <t>E:\CAFNEC_GBRF\2022\BarronRiver\Frames_for_Analysis\712_C0005_L_0435.jpg</t>
  </si>
  <si>
    <t>E:\CAFNEC_GBRF\2022\BarronRiver\Frames_for_Analysis\713_C0005_L_0439.jpg</t>
  </si>
  <si>
    <t>E:\CAFNEC_GBRF\2022\BarronRiver\Frames_for_Analysis\714_C0005_L_0441.jpg</t>
  </si>
  <si>
    <t>E:\CAFNEC_GBRF\2022\BarronRiver\Frames_for_Analysis\715_C0005_L_0446.jpg</t>
  </si>
  <si>
    <t>E:\CAFNEC_GBRF\2022\BarronRiver\Frames_for_Analysis\716_C0005_L_0447.jpg</t>
  </si>
  <si>
    <t>E:\CAFNEC_GBRF\2022\BarronRiver\Frames_for_Analysis\717_C0005_L_0449.jpg</t>
  </si>
  <si>
    <t>E:\CAFNEC_GBRF\2022\BarronRiver\Frames_for_Analysis\718_C0005_L_0453.jpg</t>
  </si>
  <si>
    <t>E:\CAFNEC_GBRF\2022\BarronRiver\Frames_for_Analysis\719_C0005_L_0454.jpg</t>
  </si>
  <si>
    <t>E:\CAFNEC_GBRF\2022\BarronRiver\Frames_for_Analysis\720_C0005_L_0460.jpg</t>
  </si>
  <si>
    <t>E:\CAFNEC_GBRF\2022\BarronRiver\Frames_for_Analysis\721_C0005_L_0462.jpg</t>
  </si>
  <si>
    <t>E:\CAFNEC_GBRF\2022\BarronRiver\Frames_for_Analysis\722_C0005_L_0464.jpg</t>
  </si>
  <si>
    <t>E:\CAFNEC_GBRF\2022\BarronRiver\Frames_for_Analysis\723_C0005_L_0465.jpg</t>
  </si>
  <si>
    <t>E:\CAFNEC_GBRF\2022\BarronRiver\Frames_for_Analysis\724_C0005_L_0467.jpg</t>
  </si>
  <si>
    <t>E:\CAFNEC_GBRF\2022\BarronRiver\Frames_for_Analysis\725_C0005_L_0468.jpg</t>
  </si>
  <si>
    <t>E:\CAFNEC_GBRF\2022\BarronRiver\Frames_for_Analysis\726_C0005_L_0469.jpg</t>
  </si>
  <si>
    <t>E:\CAFNEC_GBRF\2022\BarronRiver\Frames_for_Analysis\727_C0005_L_0470.jpg</t>
  </si>
  <si>
    <t>E:\CAFNEC_GBRF\2022\BarronRiver\Frames_for_Analysis\728_C0005_L_0472.jpg</t>
  </si>
  <si>
    <t>E:\CAFNEC_GBRF\2022\BarronRiver\Frames_for_Analysis\729_C0005_L_0473.jpg</t>
  </si>
  <si>
    <t>E:\CAFNEC_GBRF\2022\BarronRiver\Frames_for_Analysis\730_C0005_L_0475.jpg</t>
  </si>
  <si>
    <t>E:\CAFNEC_GBRF\2022\BarronRiver\Frames_for_Analysis\731_C0005_L_0476.jpg</t>
  </si>
  <si>
    <t>E:\CAFNEC_GBRF\2022\BarronRiver\Frames_for_Analysis\732_C0005_L_0477.jpg</t>
  </si>
  <si>
    <t>E:\CAFNEC_GBRF\2022\BarronRiver\Frames_for_Analysis\733_C0005_L_0481.jpg</t>
  </si>
  <si>
    <t>E:\CAFNEC_GBRF\2022\BarronRiver\Frames_for_Analysis\734_C0005_L_0482.jpg</t>
  </si>
  <si>
    <t>E:\CAFNEC_GBRF\2022\BarronRiver\Frames_for_Analysis\735_C0005_L_0485.jpg</t>
  </si>
  <si>
    <t>E:\CAFNEC_GBRF\2022\BarronRiver\Frames_for_Analysis\736_C0005_L_0488.jpg</t>
  </si>
  <si>
    <t>E:\CAFNEC_GBRF\2022\BarronRiver\Frames_for_Analysis\737_C0005_L_0491.jpg</t>
  </si>
  <si>
    <t>E:\CAFNEC_GBRF\2022\BarronRiver\Frames_for_Analysis\738_C0005_L_0503.jpg</t>
  </si>
  <si>
    <t>E:\CAFNEC_GBRF\2022\BarronRiver\Frames_for_Analysis\739_C0005_L_0497.jpg</t>
  </si>
  <si>
    <t>E:\CAFNEC_GBRF\2022\BarronRiver\Frames_for_Analysis\740_C0005_L_0507.jpg</t>
  </si>
  <si>
    <t>E:\CAFNEC_GBRF\2022\BarronRiver\Frames_for_Analysis\741_C0005_L_0508.jpg</t>
  </si>
  <si>
    <t>E:\CAFNEC_GBRF\2022\BarronRiver\Frames_for_Analysis\742_C0005_L_0510.jpg</t>
  </si>
  <si>
    <t>E:\CAFNEC_GBRF\2022\BarronRiver\Frames_for_Analysis\743_C0005_L_0515.jpg</t>
  </si>
  <si>
    <t>E:\CAFNEC_GBRF\2022\BarronRiver\Frames_for_Analysis\744_C0005_L_0517.jpg</t>
  </si>
  <si>
    <t>E:\CAFNEC_GBRF\2022\BarronRiver\Frames_for_Analysis\745_C0005_L_0519.jpg</t>
  </si>
  <si>
    <t>E:\CAFNEC_GBRF\2022\BarronRiver\Frames_for_Analysis\746_C0005_L_0520.jpg</t>
  </si>
  <si>
    <t>E:\CAFNEC_GBRF\2022\BarronRiver\Frames_for_Analysis\747_C0005_L_0522.jpg</t>
  </si>
  <si>
    <t>E:\CAFNEC_GBRF\2022\BarronRiver\Frames_for_Analysis\748_C0005_L_0524.jpg</t>
  </si>
  <si>
    <t>E:\CAFNEC_GBRF\2022\BarronRiver\Frames_for_Analysis\749_C0005_L_0526.jpg</t>
  </si>
  <si>
    <t>E:\CAFNEC_GBRF\2022\BarronRiver\Frames_for_Analysis\750_C0005_L_0529.jpg</t>
  </si>
  <si>
    <t>E:\CAFNEC_GBRF\2022\BarronRiver\Frames_for_Analysis\751_C0005_L_0531.jpg</t>
  </si>
  <si>
    <t>E:\CAFNEC_GBRF\2022\BarronRiver\Frames_for_Analysis\752_C0005_L_0534.jpg</t>
  </si>
  <si>
    <t>E:\CAFNEC_GBRF\2022\BarronRiver\Frames_for_Analysis\753_C0005_L_0537.jpg</t>
  </si>
  <si>
    <t>E:\CAFNEC_GBRF\2022\BarronRiver\Frames_for_Analysis\754_C0005_L_0539.jpg</t>
  </si>
  <si>
    <t>E:\CAFNEC_GBRF\2022\BarronRiver\Frames_for_Analysis\755_C0005_L_0541.jpg</t>
  </si>
  <si>
    <t>E:\CAFNEC_GBRF\2022\BarronRiver\Frames_for_Analysis\756_C0005_L_0544.jpg</t>
  </si>
  <si>
    <t>E:\CAFNEC_GBRF\2022\BarronRiver\Frames_for_Analysis\757_C0005_L_0547.jpg</t>
  </si>
  <si>
    <t>E:\CAFNEC_GBRF\2022\BarronRiver\Frames_for_Analysis\758_C0005_L_0551.jpg</t>
  </si>
  <si>
    <t>E:\CAFNEC_GBRF\2022\BarronRiver\Frames_for_Analysis\759_C0005_L_0552.jpg</t>
  </si>
  <si>
    <t>E:\CAFNEC_GBRF\2022\BarronRiver\Frames_for_Analysis\760_C0005_L_0555.jpg</t>
  </si>
  <si>
    <t>E:\CAFNEC_GBRF\2022\BarronRiver\Frames_for_Analysis\761_C0005_L_0558.jpg</t>
  </si>
  <si>
    <t>E:\CAFNEC_GBRF\2022\BarronRiver\Frames_for_Analysis\762_C0005_L_0560.jpg</t>
  </si>
  <si>
    <t>E:\CAFNEC_GBRF\2022\BarronRiver\Frames_for_Analysis\763_C0005_L_0562.jpg</t>
  </si>
  <si>
    <t>E:\CAFNEC_GBRF\2022\BarronRiver\Frames_for_Analysis\764_C0005_L_0564.jpg</t>
  </si>
  <si>
    <t>E:\CAFNEC_GBRF\2022\BarronRiver\Frames_for_Analysis\765_C0006_L_0004.jpg</t>
  </si>
  <si>
    <t>E:\CAFNEC_GBRF\2022\BarronRiver\Frames_for_Analysis\766_C0006_L_0006.jpg</t>
  </si>
  <si>
    <t>E:\CAFNEC_GBRF\2022\BarronRiver\Frames_for_Analysis\767_C0006_L_0009.jpg</t>
  </si>
  <si>
    <t>E:\CAFNEC_GBRF\2022\BarronRiver\Frames_for_Analysis\768_C0006_L_0012.jpg</t>
  </si>
  <si>
    <t>E:\CAFNEC_GBRF\2022\BarronRiver\Frames_for_Analysis\769_C0006_L_0016.jpg</t>
  </si>
  <si>
    <t>E:\CAFNEC_GBRF\2022\BarronRiver\Frames_for_Analysis\770_C0006_L_0019.jpg</t>
  </si>
  <si>
    <t>E:\CAFNEC_GBRF\2022\BarronRiver\Frames_for_Analysis\771_C0006_L_0020.jpg</t>
  </si>
  <si>
    <t>E:\CAFNEC_GBRF\2022\BarronRiver\Frames_for_Analysis\772_C0006_L_0022.jpg</t>
  </si>
  <si>
    <t>E:\CAFNEC_GBRF\2022\BarronRiver\Frames_for_Analysis\773_C0006_L_0025.jpg</t>
  </si>
  <si>
    <t>E:\CAFNEC_GBRF\2022\BarronRiver\Frames_for_Analysis\774_C0006_L_0027.jpg</t>
  </si>
  <si>
    <t>E:\CAFNEC_GBRF\2022\BarronRiver\Frames_for_Analysis\775_C0006_L_0029.jpg</t>
  </si>
  <si>
    <t>E:\CAFNEC_GBRF\2022\BarronRiver\Frames_for_Analysis\776_C0006_L_0031.jpg</t>
  </si>
  <si>
    <t>E:\CAFNEC_GBRF\2022\BarronRiver\Frames_for_Analysis\777_C0006_L_0034.jpg</t>
  </si>
  <si>
    <t>E:\CAFNEC_GBRF\2022\BarronRiver\Frames_for_Analysis\778_C0006_L_0037.jpg</t>
  </si>
  <si>
    <t>E:\CAFNEC_GBRF\2022\BarronRiver\Frames_for_Analysis\779_C0006_L_0039.jpg</t>
  </si>
  <si>
    <t>E:\CAFNEC_GBRF\2022\BarronRiver\Frames_for_Analysis\780_C0006_L_0041.jpg</t>
  </si>
  <si>
    <t>E:\CAFNEC_GBRF\2022\BarronRiver\Frames_for_Analysis\781_C0006_L_0043.jpg</t>
  </si>
  <si>
    <t>E:\CAFNEC_GBRF\2022\BarronRiver\Frames_for_Analysis\782_C0006_L_0048.jpg</t>
  </si>
  <si>
    <t>E:\CAFNEC_GBRF\2022\BarronRiver\Frames_for_Analysis\783_C0006_L_0052.jpg</t>
  </si>
  <si>
    <t>E:\CAFNEC_GBRF\2022\BarronRiver\Frames_for_Analysis\784_C0006_L_0054.jpg</t>
  </si>
  <si>
    <t>E:\CAFNEC_GBRF\2022\BarronRiver\Frames_for_Analysis\785_C0006_L_0057.jpg</t>
  </si>
  <si>
    <t>E:\CAFNEC_GBRF\2022\BarronRiver\Frames_for_Analysis\786_C0006_L_0060.jpg</t>
  </si>
  <si>
    <t>E:\CAFNEC_GBRF\2022\BarronRiver\Frames_for_Analysis\787_C0006_L_0065.jpg</t>
  </si>
  <si>
    <t>E:\CAFNEC_GBRF\2022\BarronRiver\Frames_for_Analysis\788_C0006_L_0067.jpg</t>
  </si>
  <si>
    <t>E:\CAFNEC_GBRF\2022\BarronRiver\Frames_for_Analysis\789_C0006_L_0071.jpg</t>
  </si>
  <si>
    <t>E:\CAFNEC_GBRF\2022\BarronRiver\Frames_for_Analysis\790_C0006_L_0073.jpg</t>
  </si>
  <si>
    <t>E:\CAFNEC_GBRF\2022\BarronRiver\Frames_for_Analysis\791_C0006_L_0076.jpg</t>
  </si>
  <si>
    <t>E:\CAFNEC_GBRF\2022\BarronRiver\Frames_for_Analysis\792_C0006_L_0079.jpg</t>
  </si>
  <si>
    <t>E:\CAFNEC_GBRF\2022\BarronRiver\Frames_for_Analysis\793_C0006_L_0082.jpg</t>
  </si>
  <si>
    <t>E:\CAFNEC_GBRF\2022\BarronRiver\Frames_for_Analysis\794_C0006_L_0085.jpg</t>
  </si>
  <si>
    <t>E:\CAFNEC_GBRF\2022\BarronRiver\Frames_for_Analysis\795_C0006_L_0089.jpg</t>
  </si>
  <si>
    <t>E:\CAFNEC_GBRF\2022\BarronRiver\Frames_for_Analysis\796_C0006_L_0093.jpg</t>
  </si>
  <si>
    <t>E:\CAFNEC_GBRF\2022\BarronRiver\Frames_for_Analysis\797_C0006_L_0096.jpg</t>
  </si>
  <si>
    <t>E:\CAFNEC_GBRF\2022\BarronRiver\Frames_for_Analysis\798_C0006_L_0100.jpg</t>
  </si>
  <si>
    <t>E:\CAFNEC_GBRF\2022\BarronRiver\Frames_for_Analysis\799_C0006_L_0104.jpg</t>
  </si>
  <si>
    <t>E:\CAFNEC_GBRF\2022\BarronRiver\Frames_for_Analysis\800_C0006_L_0111.jpg</t>
  </si>
  <si>
    <t>E:\CAFNEC_GBRF\2022\BarronRiver\Frames_for_Analysis\801_C0006_L_0116.jpg</t>
  </si>
  <si>
    <t>E:\CAFNEC_GBRF\2022\BarronRiver\Frames_for_Analysis\802_C0006_L_0119.jpg</t>
  </si>
  <si>
    <t>E:\CAFNEC_GBRF\2022\BarronRiver\Frames_for_Analysis\803_C0006_L_0123.jpg</t>
  </si>
  <si>
    <t>E:\CAFNEC_GBRF\2022\BarronRiver\Frames_for_Analysis\804_C0006_L_0127.jpg</t>
  </si>
  <si>
    <t>E:\CAFNEC_GBRF\2022\BarronRiver\Frames_for_Analysis\805_C0006_L_0130.jpg</t>
  </si>
  <si>
    <t>E:\CAFNEC_GBRF\2022\BarronRiver\Frames_for_Analysis\806_C0006_L_0134.jpg</t>
  </si>
  <si>
    <t>E:\CAFNEC_GBRF\2022\BarronRiver\Frames_for_Analysis\807_C0006_L_0138.jpg</t>
  </si>
  <si>
    <t>E:\CAFNEC_GBRF\2022\BarronRiver\Frames_for_Analysis\808_C0006_L_0141.jpg</t>
  </si>
  <si>
    <t>E:\CAFNEC_GBRF\2022\BarronRiver\Frames_for_Analysis\809_C0006_L_0142.jpg</t>
  </si>
  <si>
    <t>E:\CAFNEC_GBRF\2022\BarronRiver\Frames_for_Analysis\810_C0006_L_0147.jpg</t>
  </si>
  <si>
    <t>E:\CAFNEC_GBRF\2022\BarronRiver\Frames_for_Analysis\811_C0006_L_0150.jpg</t>
  </si>
  <si>
    <t>E:\CAFNEC_GBRF\2022\BarronRiver\Frames_for_Analysis\812_C0006_L_0155.jpg</t>
  </si>
  <si>
    <t>E:\CAFNEC_GBRF\2022\BarronRiver\Frames_for_Analysis\813_C0006_L_0159.jpg</t>
  </si>
  <si>
    <t>E:\CAFNEC_GBRF\2022\BarronRiver\Frames_for_Analysis\814_C0006_L_0163.jpg</t>
  </si>
  <si>
    <t>E:\CAFNEC_GBRF\2022\BarronRiver\Frames_for_Analysis\815_C0006_L_0167.jpg</t>
  </si>
  <si>
    <t>E:\CAFNEC_GBRF\2022\BarronRiver\Frames_for_Analysis\816_C0006_L_0170.jpg</t>
  </si>
  <si>
    <t>E:\CAFNEC_GBRF\2022\BarronRiver\Frames_for_Analysis\817_C0006_L_0174.jpg</t>
  </si>
  <si>
    <t>E:\CAFNEC_GBRF\2022\BarronRiver\Frames_for_Analysis\818_C0006_L_0178.jpg</t>
  </si>
  <si>
    <t>E:\CAFNEC_GBRF\2022\BarronRiver\Frames_for_Analysis\819_C0006_L_0180.jpg</t>
  </si>
  <si>
    <t>E:\CAFNEC_GBRF\2022\BarronRiver\Frames_for_Analysis\820_C0006_L_0183.jpg</t>
  </si>
  <si>
    <t>E:\CAFNEC_GBRF\2022\BarronRiver\Frames_for_Analysis\821_C0006_L_0186.jpg</t>
  </si>
  <si>
    <t>E:\CAFNEC_GBRF\2022\BarronRiver\Frames_for_Analysis\822_C0006_L_0191.jpg</t>
  </si>
  <si>
    <t>E:\CAFNEC_GBRF\2022\BarronRiver\Frames_for_Analysis\823_C0006_L_0194.jpg</t>
  </si>
  <si>
    <t>E:\CAFNEC_GBRF\2022\BarronRiver\Frames_for_Analysis\824_C0006_L_0197.jpg</t>
  </si>
  <si>
    <t>E:\CAFNEC_GBRF\2022\BarronRiver\Frames_for_Analysis\825_C0006_L_0203.jpg</t>
  </si>
  <si>
    <t>E:\CAFNEC_GBRF\2022\BarronRiver\Frames_for_Analysis\826_C0006_L_0204.jpg</t>
  </si>
  <si>
    <t>E:\CAFNEC_GBRF\2022\BarronRiver\Frames_for_Analysis\827_C0006_L_0207.jpg</t>
  </si>
  <si>
    <t>E:\CAFNEC_GBRF\2022\BarronRiver\Frames_for_Analysis\828_C0006_L_0210.jpg</t>
  </si>
  <si>
    <t>E:\CAFNEC_GBRF\2022\BarronRiver\Frames_for_Analysis\829_C0006_L_0214.jpg</t>
  </si>
  <si>
    <t>E:\CAFNEC_GBRF\2022\BarronRiver\Frames_for_Analysis\830_C0006_L_0218.jpg</t>
  </si>
  <si>
    <t>E:\CAFNEC_GBRF\2022\BarronRiver\Frames_for_Analysis\831_C0006_L_0223.jpg</t>
  </si>
  <si>
    <t>E:\CAFNEC_GBRF\2022\BarronRiver\Frames_for_Analysis\832_C0006_L_0228.jpg</t>
  </si>
  <si>
    <t>E:\CAFNEC_GBRF\2022\BarronRiver\Frames_for_Analysis\833_C0006_L_0232.jpg</t>
  </si>
  <si>
    <t>E:\CAFNEC_GBRF\2022\BarronRiver\Frames_for_Analysis\834_C0006_L_0235.jpg</t>
  </si>
  <si>
    <t>E:\CAFNEC_GBRF\2022\BarronRiver\Frames_for_Analysis\835_C0006_L_0238.jpg</t>
  </si>
  <si>
    <t>E:\CAFNEC_GBRF\2022\BarronRiver\Frames_for_Analysis\836_C0006_L_0242.jpg</t>
  </si>
  <si>
    <t>E:\CAFNEC_GBRF\2022\BarronRiver\Frames_for_Analysis\837_C0006_L_0245.jpg</t>
  </si>
  <si>
    <t>E:\CAFNEC_GBRF\2022\BarronRiver\Frames_for_Analysis\838_C0006_L_0248.jpg</t>
  </si>
  <si>
    <t>E:\CAFNEC_GBRF\2022\BarronRiver\Frames_for_Analysis\839_C0006_L_0252.jpg</t>
  </si>
  <si>
    <t>E:\CAFNEC_GBRF\2022\BarronRiver\Frames_for_Analysis\840_C0006_L_0255.jpg</t>
  </si>
  <si>
    <t>E:\CAFNEC_GBRF\2022\BarronRiver\Frames_for_Analysis\841_C0006_L_0259.jpg</t>
  </si>
  <si>
    <t>E:\CAFNEC_GBRF\2022\BarronRiver\Frames_for_Analysis\842_C0006_L_0263.jpg</t>
  </si>
  <si>
    <t>E:\CAFNEC_GBRF\2022\BarronRiver\Frames_for_Analysis\843_C0006_L_0267.jpg</t>
  </si>
  <si>
    <t>E:\CAFNEC_GBRF\2022\BarronRiver\Frames_for_Analysis\844_C0006_L_0271.jpg</t>
  </si>
  <si>
    <t>E:\CAFNEC_GBRF\2022\BarronRiver\Frames_for_Analysis\845_C0006_L_0274.jpg</t>
  </si>
  <si>
    <t>E:\CAFNEC_GBRF\2022\BarronRiver\Frames_for_Analysis\846_C0006_L_0277.jpg</t>
  </si>
  <si>
    <t>E:\CAFNEC_GBRF\2022\BarronRiver\Frames_for_Analysis\847_C0006_L_0281.jpg</t>
  </si>
  <si>
    <t>E:\CAFNEC_GBRF\2022\BarronRiver\Frames_for_Analysis\848_C0006_L_0283.jpg</t>
  </si>
  <si>
    <t>E:\CAFNEC_GBRF\2022\BarronRiver\Frames_for_Analysis\849_C0006_L_0286.jpg</t>
  </si>
  <si>
    <t>E:\CAFNEC_GBRF\2022\BarronRiver\Frames_for_Analysis\850_C0006_L_0289.jpg</t>
  </si>
  <si>
    <t>E:\CAFNEC_GBRF\2022\BarronRiver\Frames_for_Analysis\851_C0006_L_0293.jpg</t>
  </si>
  <si>
    <t>E:\CAFNEC_GBRF\2022\BarronRiver\Frames_for_Analysis\852_C0006_L_0296.jpg</t>
  </si>
  <si>
    <t>E:\CAFNEC_GBRF\2022\BarronRiver\Frames_for_Analysis\853_C0006_L_0301.jpg</t>
  </si>
  <si>
    <t>E:\CAFNEC_GBRF\2022\BarronRiver\Frames_for_Analysis\854_C0006_L_0303.jpg</t>
  </si>
  <si>
    <t>E:\CAFNEC_GBRF\2022\BarronRiver\Frames_for_Analysis\855_C0006_L_0306.jpg</t>
  </si>
  <si>
    <t>E:\CAFNEC_GBRF\2022\BarronRiver\Frames_for_Analysis\856_C0006_L_0309.jpg</t>
  </si>
  <si>
    <t>E:\CAFNEC_GBRF\2022\BarronRiver\Frames_for_Analysis\857_C0006_L_0314.jpg</t>
  </si>
  <si>
    <t>E:\CAFNEC_GBRF\2022\BarronRiver\Frames_for_Analysis\858_C0006_L_0321.jpg</t>
  </si>
  <si>
    <t>E:\CAFNEC_GBRF\2022\BarronRiver\Frames_for_Analysis\859_C0006_L_0327.jpg</t>
  </si>
  <si>
    <t>E:\CAFNEC_GBRF\2022\BarronRiver\Frames_for_Analysis\860_C0006_L_0334.jpg</t>
  </si>
  <si>
    <t>E:\CAFNEC_GBRF\2022\BarronRiver\Frames_for_Analysis\861_C0006_L_0343.jpg</t>
  </si>
  <si>
    <t>E:\CAFNEC_GBRF\2022\BarronRiver\Frames_for_Analysis\862_C0006_L_0348.jpg</t>
  </si>
  <si>
    <t>E:\CAFNEC_GBRF\2022\BarronRiver\Frames_for_Analysis\863_C0006_L_0351.jpg</t>
  </si>
  <si>
    <t>E:\CAFNEC_GBRF\2022\BarronRiver\Frames_for_Analysis\864_C0006_L_0354.jpg</t>
  </si>
  <si>
    <t>E:\CAFNEC_GBRF\2022\BarronRiver\Frames_for_Analysis\865_C0006_L_0359.jpg</t>
  </si>
  <si>
    <t>E:\CAFNEC_GBRF\2022\BarronRiver\Frames_for_Analysis\866_C0006_L_0361.jpg</t>
  </si>
  <si>
    <t>E:\CAFNEC_GBRF\2022\BarronRiver\Frames_for_Analysis\867_C0006_L_0364.jpg</t>
  </si>
  <si>
    <t>E:\CAFNEC_GBRF\2022\BarronRiver\Frames_for_Analysis\868_C0006_L_0367.jpg</t>
  </si>
  <si>
    <t>E:\CAFNEC_GBRF\2022\BarronRiver\Frames_for_Analysis\869_C0006_L_0369.jpg</t>
  </si>
  <si>
    <t>E:\CAFNEC_GBRF\2022\BarronRiver\Frames_for_Analysis\870_C0006_L_0372.jpg</t>
  </si>
  <si>
    <t>E:\CAFNEC_GBRF\2022\BarronRiver\Frames_for_Analysis\871_C0006_L_0375.jpg</t>
  </si>
  <si>
    <t>E:\CAFNEC_GBRF\2022\BarronRiver\Frames_for_Analysis\872_C0006_L_0376.jpg</t>
  </si>
  <si>
    <t>E:\CAFNEC_GBRF\2022\BarronRiver\Frames_for_Analysis\873_C0006_L_0381.jpg</t>
  </si>
  <si>
    <t>E:\CAFNEC_GBRF\2022\BarronRiver\Frames_for_Analysis\874_C0006_L_0383.jpg</t>
  </si>
  <si>
    <t>E:\CAFNEC_GBRF\2022\BarronRiver\Frames_for_Analysis\875_C0006_L_0387.jpg</t>
  </si>
  <si>
    <t>E:\CAFNEC_GBRF\2022\BarronRiver\Frames_for_Analysis\876_C0006_L_0391.jpg</t>
  </si>
  <si>
    <t>E:\CAFNEC_GBRF\2022\BarronRiver\Frames_for_Analysis\877_C0006_L_0394.jpg</t>
  </si>
  <si>
    <t>E:\CAFNEC_GBRF\2022\BarronRiver\Frames_for_Analysis\878_C0006_L_0398.jpg</t>
  </si>
  <si>
    <t>E:\CAFNEC_GBRF\2022\BarronRiver\Frames_for_Analysis\879_C0006_L_0401.jpg</t>
  </si>
  <si>
    <t>E:\CAFNEC_GBRF\2022\BarronRiver\Frames_for_Analysis\880_C0006_L_0404.jpg</t>
  </si>
  <si>
    <t>E:\CAFNEC_GBRF\2022\BarronRiver\Frames_for_Analysis\881_C0006_L_0407.jpg</t>
  </si>
  <si>
    <t>E:\CAFNEC_GBRF\2022\BarronRiver\Frames_for_Analysis\882_C0006_L_0409.jpg</t>
  </si>
  <si>
    <t>E:\CAFNEC_GBRF\2022\BarronRiver\Frames_for_Analysis\883_C0006_L_0412.jpg</t>
  </si>
  <si>
    <t>E:\CAFNEC_GBRF\2022\BarronRiver\Frames_for_Analysis\884_C0006_L_0414.jpg</t>
  </si>
  <si>
    <t>E:\CAFNEC_GBRF\2022\BarronRiver\Frames_for_Analysis\885_C0006_L_0416.jpg</t>
  </si>
  <si>
    <t>E:\CAFNEC_GBRF\2022\BarronRiver\Frames_for_Analysis\886_C0006_L_0420.jpg</t>
  </si>
  <si>
    <t>E:\CAFNEC_GBRF\2022\BarronRiver\Frames_for_Analysis\887_C0006_L_0423.jpg</t>
  </si>
  <si>
    <t>E:\CAFNEC_GBRF\2022\BarronRiver\Frames_for_Analysis\888_C0006_L_0425.jpg</t>
  </si>
  <si>
    <t>E:\CAFNEC_GBRF\2022\BarronRiver\Frames_for_Analysis\889_C0006_L_0429.jpg</t>
  </si>
  <si>
    <t>E:\CAFNEC_GBRF\2022\BarronRiver\Frames_for_Analysis\890_C0006_L_0432.jpg</t>
  </si>
  <si>
    <t>E:\CAFNEC_GBRF\2022\BarronRiver\Frames_for_Analysis\891_C0006_L_0434.jpg</t>
  </si>
  <si>
    <t>E:\CAFNEC_GBRF\2022\BarronRiver\Frames_for_Analysis\892_C0006_L_0438.jpg</t>
  </si>
  <si>
    <t>E:\CAFNEC_GBRF\2022\BarronRiver\Frames_for_Analysis\893_C0006_L_0441.jpg</t>
  </si>
  <si>
    <t>E:\CAFNEC_GBRF\2022\BarronRiver\Frames_for_Analysis\894_C0006_L_0444.jpg</t>
  </si>
  <si>
    <t>E:\CAFNEC_GBRF\2022\BarronRiver\Frames_for_Analysis\895_C0006_L_0447.jpg</t>
  </si>
  <si>
    <t>E:\CAFNEC_GBRF\2022\BarronRiver\Frames_for_Analysis\896_C0006_L_0450.jpg</t>
  </si>
  <si>
    <t>E:\CAFNEC_GBRF\2022\BarronRiver\Frames_for_Analysis\897_C0006_L_0453.jpg</t>
  </si>
  <si>
    <t>E:\CAFNEC_GBRF\2022\BarronRiver\Frames_for_Analysis\898_C0006_L_0456.jpg</t>
  </si>
  <si>
    <t>E:\CAFNEC_GBRF\2022\BarronRiver\Frames_for_Analysis\899_C0006_L_0458.jpg</t>
  </si>
  <si>
    <t>E:\CAFNEC_GBRF\2022\BarronRiver\Frames_for_Analysis\900_C0006_L_0461.jpg</t>
  </si>
  <si>
    <t>E:\CAFNEC_GBRF\2022\BarronRiver\Frames_for_Analysis\901_C0006_L_0463.jpg</t>
  </si>
  <si>
    <t>E:\CAFNEC_GBRF\2022\BarronRiver\Frames_for_Analysis\902_C0006_L_0466.jpg</t>
  </si>
  <si>
    <t>E:\CAFNEC_GBRF\2022\BarronRiver\Frames_for_Analysis\903_C0006_L_0469.jpg</t>
  </si>
  <si>
    <t>E:\CAFNEC_GBRF\2022\BarronRiver\Frames_for_Analysis\904_C0006_L_0472.jpg</t>
  </si>
  <si>
    <t>E:\CAFNEC_GBRF\2022\BarronRiver\Frames_for_Analysis\905_C0006_L_0475.jpg</t>
  </si>
  <si>
    <t>E:\CAFNEC_GBRF\2022\BarronRiver\Frames_for_Analysis\906_C0006_L_0477.jpg</t>
  </si>
  <si>
    <t>E:\CAFNEC_GBRF\2022\BarronRiver\Frames_for_Analysis\907_C0006_L_0480.jpg</t>
  </si>
  <si>
    <t>E:\CAFNEC_GBRF\2022\BarronRiver\Frames_for_Analysis\908_C0006_L_0484.jpg</t>
  </si>
  <si>
    <t>E:\CAFNEC_GBRF\2022\BarronRiver\Frames_for_Analysis\909_C0006_L_0486.jpg</t>
  </si>
  <si>
    <t>E:\CAFNEC_GBRF\2022\BarronRiver\Frames_for_Analysis\910_C0006_L_0489.jpg</t>
  </si>
  <si>
    <t>E:\CAFNEC_GBRF\2022\BarronRiver\Frames_for_Analysis\911_C0006_L_0490.jpg</t>
  </si>
  <si>
    <t>E:\CAFNEC_GBRF\2022\BarronRiver\Frames_for_Analysis\912_C0006_L_0494.jpg</t>
  </si>
  <si>
    <t>E:\CAFNEC_GBRF\2022\BarronRiver\Frames_for_Analysis\913_C0006_L_0495.jpg</t>
  </si>
  <si>
    <t>E:\CAFNEC_GBRF\2022\BarronRiver\Frames_for_Analysis\914_C0006_L_0497.jpg</t>
  </si>
  <si>
    <t>E:\CAFNEC_GBRF\2022\BarronRiver\Frames_for_Analysis\915_C0006_L_0499.jpg</t>
  </si>
  <si>
    <t>E:\CAFNEC_GBRF\2022\BarronRiver\Frames_for_Analysis\916_C0006_L_0502.jpg</t>
  </si>
  <si>
    <t>E:\CAFNEC_GBRF\2022\BarronRiver\Frames_for_Analysis\917_C0006_L_0504.jpg</t>
  </si>
  <si>
    <t>E:\CAFNEC_GBRF\2022\BarronRiver\Frames_for_Analysis\918_C0006_L_0507.jpg</t>
  </si>
  <si>
    <t>E:\CAFNEC_GBRF\2022\BarronRiver\Frames_for_Analysis\919_C0006_L_0509.jpg</t>
  </si>
  <si>
    <t>E:\CAFNEC_GBRF\2022\BarronRiver\Frames_for_Analysis\920_C0006_L_0511.jpg</t>
  </si>
  <si>
    <t>E:\CAFNEC_GBRF\2022\BarronRiver\Frames_for_Analysis\921_C0006_L_0514.jpg</t>
  </si>
  <si>
    <t>E:\CAFNEC_GBRF\2022\BarronRiver\Frames_for_Analysis\922_C0006_L_0516.jpg</t>
  </si>
  <si>
    <t>E:\CAFNEC_GBRF\2022\BarronRiver\Frames_for_Analysis\923_C0006_L_0518.jpg</t>
  </si>
  <si>
    <t>E:\CAFNEC_GBRF\2022\BarronRiver\Frames_for_Analysis\924_C0006_L_0521.jpg</t>
  </si>
  <si>
    <t>E:\CAFNEC_GBRF\2022\BarronRiver\Frames_for_Analysis\925_C0006_L_0523.jpg</t>
  </si>
  <si>
    <t>E:\CAFNEC_GBRF\2022\BarronRiver\Frames_for_Analysis\926_C0006_L_0526.jpg</t>
  </si>
  <si>
    <t>E:\CAFNEC_GBRF\2022\BarronRiver\Frames_for_Analysis\927_C0006_L_0529.jpg</t>
  </si>
  <si>
    <t>E:\CAFNEC_GBRF\2022\BarronRiver\Frames_for_Analysis\928_C0006_L_0532.jpg</t>
  </si>
  <si>
    <t>E:\CAFNEC_GBRF\2022\BarronRiver\Frames_for_Analysis\929_C0006_L_0534.jpg</t>
  </si>
  <si>
    <t>E:\CAFNEC_GBRF\2022\BarronRiver\Frames_for_Analysis\930_C0006_L_0535.jpg</t>
  </si>
  <si>
    <t>E:\CAFNEC_GBRF\2022\BarronRiver\Frames_for_Analysis\931_C0006_L_0539.jpg</t>
  </si>
  <si>
    <t>E:\CAFNEC_GBRF\2022\BarronRiver\Frames_for_Analysis\932_C0006_L_0541.jpg</t>
  </si>
  <si>
    <t>E:\CAFNEC_GBRF\2022\BarronRiver\Frames_for_Analysis\933_C0006_L_0544.jpg</t>
  </si>
  <si>
    <t>E:\CAFNEC_GBRF\2022\BarronRiver\Frames_for_Analysis\934_C0006_L_0546.jpg</t>
  </si>
  <si>
    <t>E:\CAFNEC_GBRF\2022\BarronRiver\Frames_for_Analysis\935_C0006_L_0548.jpg</t>
  </si>
  <si>
    <t>E:\CAFNEC_GBRF\2022\BarronRiver\Frames_for_Analysis\936_C0006_L_0551.jpg</t>
  </si>
  <si>
    <t>E:\CAFNEC_GBRF\2022\BarronRiver\Frames_for_Analysis\937_C0006_L_0552.jpg</t>
  </si>
  <si>
    <t>E:\CAFNEC_GBRF\2022\BarronRiver\Frames_for_Analysis\938_C0006_L_0555.jpg</t>
  </si>
  <si>
    <t>E:\CAFNEC_GBRF\2022\BarronRiver\Frames_for_Analysis\939_C0006_L_0557.jpg</t>
  </si>
  <si>
    <t>E:\CAFNEC_GBRF\2022\BarronRiver\Frames_for_Analysis\940_C0007_L_0001.jpg</t>
  </si>
  <si>
    <t>E:\CAFNEC_GBRF\2022\BarronRiver\Frames_for_Analysis\941_C0007_L_0008.jpg</t>
  </si>
  <si>
    <t>E:\CAFNEC_GBRF\2022\BarronRiver\Frames_for_Analysis\942_C0007_L_0010.jpg</t>
  </si>
  <si>
    <t>E:\CAFNEC_GBRF\2022\BarronRiver\Frames_for_Analysis\943_C0007_L_0011.jpg</t>
  </si>
  <si>
    <t>E:\CAFNEC_GBRF\2022\BarronRiver\Frames_for_Analysis\944_C0007_L_0013.jpg</t>
  </si>
  <si>
    <t>E:\CAFNEC_GBRF\2022\BarronRiver\Frames_for_Analysis\945_C0007_L_0015.jpg</t>
  </si>
  <si>
    <t>E:\CAFNEC_GBRF\2022\BarronRiver\Frames_for_Analysis\946_C0007_L_0017.jpg</t>
  </si>
  <si>
    <t>E:\CAFNEC_GBRF\2022\BarronRiver\Frames_for_Analysis\947_C0007_L_0022.jpg</t>
  </si>
  <si>
    <t>E:\CAFNEC_GBRF\2022\BarronRiver\Frames_for_Analysis\948_C0007_L_0024.jpg</t>
  </si>
  <si>
    <t>E:\CAFNEC_GBRF\2022\BarronRiver\Frames_for_Analysis\949_C0007_L_0025.jpg</t>
  </si>
  <si>
    <t>E:\CAFNEC_GBRF\2022\BarronRiver\Frames_for_Analysis\950_C0007_L_0029.jpg</t>
  </si>
  <si>
    <t>E:\CAFNEC_GBRF\2022\BarronRiver\Frames_for_Analysis\951_C0007_L_0030.jpg</t>
  </si>
  <si>
    <t>E:\CAFNEC_GBRF\2022\BarronRiver\Frames_for_Analysis\952_C0007_L_0033.jpg</t>
  </si>
  <si>
    <t>E:\CAFNEC_GBRF\2022\BarronRiver\Frames_for_Analysis\953_C0007_L_0035.jpg</t>
  </si>
  <si>
    <t>E:\CAFNEC_GBRF\2022\BarronRiver\Frames_for_Analysis\954_C0007_L_0039.jpg</t>
  </si>
  <si>
    <t>E:\CAFNEC_GBRF\2022\BarronRiver\Frames_for_Analysis\955_C0007_L_0041.jpg</t>
  </si>
  <si>
    <t>E:\CAFNEC_GBRF\2022\BarronRiver\Frames_for_Analysis\956_C0007_L_0042.jpg</t>
  </si>
  <si>
    <t>E:\CAFNEC_GBRF\2022\BarronRiver\Frames_for_Analysis\957_C0007_L_0044.jpg</t>
  </si>
  <si>
    <t>E:\CAFNEC_GBRF\2022\BarronRiver\Frames_for_Analysis\958_C0007_L_0047.jpg</t>
  </si>
  <si>
    <t>E:\CAFNEC_GBRF\2022\BarronRiver\Frames_for_Analysis\959_C0007_L_0051.jpg</t>
  </si>
  <si>
    <t>E:\CAFNEC_GBRF\2022\BarronRiver\Frames_for_Analysis\960_C0007_L_0054.jpg</t>
  </si>
  <si>
    <t>E:\CAFNEC_GBRF\2022\BarronRiver\Frames_for_Analysis\961_C0007_L_0058.jpg</t>
  </si>
  <si>
    <t>E:\CAFNEC_GBRF\2022\BarronRiver\Frames_for_Analysis\962_C0007_L_0060.jpg</t>
  </si>
  <si>
    <t>E:\CAFNEC_GBRF\2022\BarronRiver\Frames_for_Analysis\963_C0007_L_0063.jpg</t>
  </si>
  <si>
    <t>E:\CAFNEC_GBRF\2022\BarronRiver\Frames_for_Analysis\965_C0007_L_0064.jpg</t>
  </si>
  <si>
    <t>E:\CAFNEC_GBRF\2022\BarronRiver\Frames_for_Analysis\966_C0007_L_0065.jpg</t>
  </si>
  <si>
    <t>E:\CAFNEC_GBRF\2022\BarronRiver\Frames_for_Analysis\967_C0007_L_0066.jpg</t>
  </si>
  <si>
    <t>E:\CAFNEC_GBRF\2022\BarronRiver\Frames_for_Analysis\968_C0007_L_0068.jpg</t>
  </si>
  <si>
    <t>E:\CAFNEC_GBRF\2022\BarronRiver\Frames_for_Analysis\969_C0007_L_0073.jpg</t>
  </si>
  <si>
    <t>E:\CAFNEC_GBRF\2022\BarronRiver\Frames_for_Analysis\970_C0007_L_0075.jpg</t>
  </si>
  <si>
    <t>E:\CAFNEC_GBRF\2022\BarronRiver\Frames_for_Analysis\971_C0007_L_0080.jpg</t>
  </si>
  <si>
    <t>E:\CAFNEC_GBRF\2022\BarronRiver\Frames_for_Analysis\972_C0007_L_0082.jpg</t>
  </si>
  <si>
    <t>E:\CAFNEC_GBRF\2022\BarronRiver\Frames_for_Analysis\973_C0007_L_0085.jpg</t>
  </si>
  <si>
    <t>E:\CAFNEC_GBRF\2022\BarronRiver\Frames_for_Analysis\974_C0007_L_0088.jpg</t>
  </si>
  <si>
    <t>E:\CAFNEC_GBRF\2022\BarronRiver\Frames_for_Analysis\975_C0007_L_0091.jpg</t>
  </si>
  <si>
    <t>E:\CAFNEC_GBRF\2022\BarronRiver\Frames_for_Analysis\976_C0007_L_0092.jpg</t>
  </si>
  <si>
    <t>E:\CAFNEC_GBRF\2022\BarronRiver\Frames_for_Analysis\977_C0007_L_0094.jpg</t>
  </si>
  <si>
    <t>E:\CAFNEC_GBRF\2022\BarronRiver\Frames_for_Analysis\978_C0007_L_0096.jpg</t>
  </si>
  <si>
    <t>E:\CAFNEC_GBRF\2022\BarronRiver\Frames_for_Analysis\979_C0007_L_0100.jpg</t>
  </si>
  <si>
    <t>E:\CAFNEC_GBRF\2022\BarronRiver\Frames_for_Analysis\980_C0007_L_0103.jpg</t>
  </si>
  <si>
    <t>E:\CAFNEC_GBRF\2022\BarronRiver\Frames_for_Analysis\981_C0007_L_0107.jpg</t>
  </si>
  <si>
    <t>E:\CAFNEC_GBRF\2022\BarronRiver\Frames_for_Analysis\982_C0007_L_0110.jpg</t>
  </si>
  <si>
    <t>E:\CAFNEC_GBRF\2022\BarronRiver\Frames_for_Analysis\983_C0007_L_0114.jpg</t>
  </si>
  <si>
    <t>E:\CAFNEC_GBRF\2022\BarronRiver\Frames_for_Analysis\984_C0007_L_0117.jpg</t>
  </si>
  <si>
    <t>E:\CAFNEC_GBRF\2022\BarronRiver\Frames_for_Analysis\985_C0007_L_0120.jpg</t>
  </si>
  <si>
    <t>E:\CAFNEC_GBRF\2022\BarronRiver\Frames_for_Analysis\986_C0007_L_0124.jpg</t>
  </si>
  <si>
    <t>E:\CAFNEC_GBRF\2022\BarronRiver\Frames_for_Analysis\987_C0007_L_0128.jpg</t>
  </si>
  <si>
    <t>E:\CAFNEC_GBRF\2022\BarronRiver\Frames_for_Analysis\988_C0007_L_0131.jpg</t>
  </si>
  <si>
    <t>E:\CAFNEC_GBRF\2022\BarronRiver\Frames_for_Analysis\989_C0007_L_0134.jpg</t>
  </si>
  <si>
    <t>E:\CAFNEC_GBRF\2022\BarronRiver\Frames_for_Analysis\990_C0007_L_0136.jpg</t>
  </si>
  <si>
    <t>E:\CAFNEC_GBRF\2022\BarronRiver\Frames_for_Analysis\991_C0007_L_0141.jpg</t>
  </si>
  <si>
    <t>E:\CAFNEC_GBRF\2022\BarronRiver\Frames_for_Analysis\992_C0007_L_0145.jpg</t>
  </si>
  <si>
    <t>E:\CAFNEC_GBRF\2022\BarronRiver\Frames_for_Analysis\993_C0007_L_0149.jpg</t>
  </si>
  <si>
    <t>E:\CAFNEC_GBRF\2022\BarronRiver\Frames_for_Analysis\994_C0007_L_0153.jpg</t>
  </si>
  <si>
    <t>E:\CAFNEC_GBRF\2022\BarronRiver\Frames_for_Analysis\995_C0007_L_0155.jpg</t>
  </si>
  <si>
    <t>E:\CAFNEC_GBRF\2022\BarronRiver\Frames_for_Analysis\996_C0007_L_0159.jpg</t>
  </si>
  <si>
    <t>E:\CAFNEC_GBRF\2022\BarronRiver\Frames_for_Analysis\997_C0007_L_0163.jpg</t>
  </si>
  <si>
    <t>E:\CAFNEC_GBRF\2022\BarronRiver\Frames_for_Analysis\998_C0007_L_0165.jpg</t>
  </si>
  <si>
    <t>E:\CAFNEC_GBRF\2022\BarronRiver\Frames_for_Analysis\999_C0007_L_0168.jpg</t>
  </si>
  <si>
    <t>E:\CAFNEC_GBRF\2022\BarronRiver\Frames_for_Analysis\1000_C0007_L_0173.jpg</t>
  </si>
  <si>
    <t>E:\CAFNEC_GBRF\2022\BarronRiver\Frames_for_Analysis\1001_C0007_L_0174.jpg</t>
  </si>
  <si>
    <t>E:\CAFNEC_GBRF\2022\BarronRiver\Frames_for_Analysis\1002_C0007_L_0180.jpg</t>
  </si>
  <si>
    <t>E:\CAFNEC_GBRF\2022\BarronRiver\Frames_for_Analysis\1003_C0007_L_0182.jpg</t>
  </si>
  <si>
    <t>E:\CAFNEC_GBRF\2022\BarronRiver\Frames_for_Analysis\1004_C0007_L_0184.jpg</t>
  </si>
  <si>
    <t>E:\CAFNEC_GBRF\2022\BarronRiver\Frames_for_Analysis\1005_C0007_L_0189.jpg</t>
  </si>
  <si>
    <t>E:\CAFNEC_GBRF\2022\BarronRiver\Frames_for_Analysis\1006_C0007_L_0192.jpg</t>
  </si>
  <si>
    <t>E:\CAFNEC_GBRF\2022\BarronRiver\Frames_for_Analysis\1007_C0007_L_0193.jpg</t>
  </si>
  <si>
    <t>E:\CAFNEC_GBRF\2022\BarronRiver\Frames_for_Analysis\1008_C0007_L_0197.jpg</t>
  </si>
  <si>
    <t>E:\CAFNEC_GBRF\2022\BarronRiver\Frames_for_Analysis\1009_C0007_L_0199.jpg</t>
  </si>
  <si>
    <t>E:\CAFNEC_GBRF\2022\BarronRiver\Frames_for_Analysis\1010_C0007_L_0202.jpg</t>
  </si>
  <si>
    <t>E:\CAFNEC_GBRF\2022\BarronRiver\Frames_for_Analysis\1011_C0007_L_0204.jpg</t>
  </si>
  <si>
    <t>E:\CAFNEC_GBRF\2022\BarronRiver\Frames_for_Analysis\1012_C0007_L_0208.jpg</t>
  </si>
  <si>
    <t>E:\CAFNEC_GBRF\2022\BarronRiver\Frames_for_Analysis\1013_C0007_L_0211.jpg</t>
  </si>
  <si>
    <t>E:\CAFNEC_GBRF\2022\BarronRiver\Frames_for_Analysis\1014_C0007_L_0214.jpg</t>
  </si>
  <si>
    <t>E:\CAFNEC_GBRF\2022\BarronRiver\Frames_for_Analysis\1015_C0007_L_0217.jpg</t>
  </si>
  <si>
    <t>E:\CAFNEC_GBRF\2022\BarronRiver\Frames_for_Analysis\1016_C0007_L_0221.jpg</t>
  </si>
  <si>
    <t>E:\CAFNEC_GBRF\2022\BarronRiver\Frames_for_Analysis\1017_C0007_L_0224.jpg</t>
  </si>
  <si>
    <t>E:\CAFNEC_GBRF\2022\BarronRiver\Frames_for_Analysis\1018_C0007_L_0229.jpg</t>
  </si>
  <si>
    <t>E:\CAFNEC_GBRF\2022\BarronRiver\Frames_for_Analysis\1019_C0007_L_0231.jpg</t>
  </si>
  <si>
    <t>E:\CAFNEC_GBRF\2022\BarronRiver\Frames_for_Analysis\1020_C0007_L_0234.jpg</t>
  </si>
  <si>
    <t>E:\CAFNEC_GBRF\2022\BarronRiver\Frames_for_Analysis\1021_C0007_L_0237.jpg</t>
  </si>
  <si>
    <t>E:\CAFNEC_GBRF\2022\BarronRiver\Frames_for_Analysis\1022_C0007_L_0240.jpg</t>
  </si>
  <si>
    <t>E:\CAFNEC_GBRF\2022\BarronRiver\Frames_for_Analysis\1023_C0007_L_0243.jpg</t>
  </si>
  <si>
    <t>E:\CAFNEC_GBRF\2022\BarronRiver\Frames_for_Analysis\1024_C0007_L_0247.jpg</t>
  </si>
  <si>
    <t>E:\CAFNEC_GBRF\2022\BarronRiver\Frames_for_Analysis\1025_C0007_L_0250.jpg</t>
  </si>
  <si>
    <t>E:\CAFNEC_GBRF\2022\BarronRiver\Frames_for_Analysis\1026_C0007_L_0254.jpg</t>
  </si>
  <si>
    <t>E:\CAFNEC_GBRF\2022\BarronRiver\Frames_for_Analysis\1027_C0007_L_0257.jpg</t>
  </si>
  <si>
    <t>E:\CAFNEC_GBRF\2022\BarronRiver\Frames_for_Analysis\1028_C0007_L_0259.jpg</t>
  </si>
  <si>
    <t>E:\CAFNEC_GBRF\2022\BarronRiver\Frames_for_Analysis\1029_C0007_L_0262.jpg</t>
  </si>
  <si>
    <t>E:\CAFNEC_GBRF\2022\BarronRiver\Frames_for_Analysis\1030_C0007_L_0266.jpg</t>
  </si>
  <si>
    <t>E:\CAFNEC_GBRF\2022\BarronRiver\Frames_for_Analysis\1031_C0007_L_0269.jpg</t>
  </si>
  <si>
    <t>E:\CAFNEC_GBRF\2022\BarronRiver\Frames_for_Analysis\1032_C0007_L_0271.jpg</t>
  </si>
  <si>
    <t>E:\CAFNEC_GBRF\2022\BarronRiver\Frames_for_Analysis\1033_C0007_L_0275.jpg</t>
  </si>
  <si>
    <t>E:\CAFNEC_GBRF\2022\BarronRiver\Frames_for_Analysis\1034_C0007_L_0278.jpg</t>
  </si>
  <si>
    <t>E:\CAFNEC_GBRF\2022\BarronRiver\Frames_for_Analysis\1035_C0007_L_0282.jpg</t>
  </si>
  <si>
    <t>E:\CAFNEC_GBRF\2022\BarronRiver\Frames_for_Analysis\1036_C0007_L_0284.jpg</t>
  </si>
  <si>
    <t>E:\CAFNEC_GBRF\2022\BarronRiver\Frames_for_Analysis\1037_C0007_L_0287.jpg</t>
  </si>
  <si>
    <t>E:\CAFNEC_GBRF\2022\BarronRiver\Frames_for_Analysis\1038_C0007_L_0290.jpg</t>
  </si>
  <si>
    <t>E:\CAFNEC_GBRF\2022\BarronRiver\Frames_for_Analysis\1039_C0007_L_0293.jpg</t>
  </si>
  <si>
    <t>E:\CAFNEC_GBRF\2022\BarronRiver\Frames_for_Analysis\1040_C0007_L_0297.jpg</t>
  </si>
  <si>
    <t>E:\CAFNEC_GBRF\2022\BarronRiver\Frames_for_Analysis\1041_C0007_L_0299.jpg</t>
  </si>
  <si>
    <t>E:\CAFNEC_GBRF\2022\BarronRiver\Frames_for_Analysis\1042_C0007_L_0304.jpg</t>
  </si>
  <si>
    <t>E:\CAFNEC_GBRF\2022\BarronRiver\Frames_for_Analysis\1043_C0007_L_0308.jpg</t>
  </si>
  <si>
    <t>E:\CAFNEC_GBRF\2022\BarronRiver\Frames_for_Analysis\1044_C0007_L_0312.jpg</t>
  </si>
  <si>
    <t>E:\CAFNEC_GBRF\2022\BarronRiver\Frames_for_Analysis\1045_C0007_L_0316.jpg</t>
  </si>
  <si>
    <t>E:\CAFNEC_GBRF\2022\BarronRiver\Frames_for_Analysis\1046_C0007_L_0321.jpg</t>
  </si>
  <si>
    <t>E:\CAFNEC_GBRF\2022\BarronRiver\Frames_for_Analysis\1047_C0007_L_0323.jpg</t>
  </si>
  <si>
    <t>E:\CAFNEC_GBRF\2022\BarronRiver\Frames_for_Analysis\1048_C0007_L_0329.jpg</t>
  </si>
  <si>
    <t>E:\CAFNEC_GBRF\2022\BarronRiver\Frames_for_Analysis\1049_C0007_L_0333.jpg</t>
  </si>
  <si>
    <t>E:\CAFNEC_GBRF\2022\BarronRiver\Frames_for_Analysis\1050_C0007_L_0337.jpg</t>
  </si>
  <si>
    <t>E:\CAFNEC_GBRF\2022\BarronRiver\Frames_for_Analysis\1051_C0007_L_0340.jpg</t>
  </si>
  <si>
    <t>E:\CAFNEC_GBRF\2022\BarronRiver\Frames_for_Analysis\1052_C0007_L_0343.jpg</t>
  </si>
  <si>
    <t>E:\CAFNEC_GBRF\2022\BarronRiver\Frames_for_Analysis\1053_C0007_L_0348.jpg</t>
  </si>
  <si>
    <t>E:\CAFNEC_GBRF\2022\BarronRiver\Frames_for_Analysis\1054_C0007_L_0352.jpg</t>
  </si>
  <si>
    <t>E:\CAFNEC_GBRF\2022\BarronRiver\Frames_for_Analysis\1055_C0007_L_0356.jpg</t>
  </si>
  <si>
    <t>E:\CAFNEC_GBRF\2022\BarronRiver\Frames_for_Analysis\1056_C0007_L_0361.jpg</t>
  </si>
  <si>
    <t>E:\CAFNEC_GBRF\2022\BarronRiver\Frames_for_Analysis\1057_C0007_L_0365.jpg</t>
  </si>
  <si>
    <t>E:\CAFNEC_GBRF\2022\BarronRiver\Frames_for_Analysis\1058_C0007_L_0368.jpg</t>
  </si>
  <si>
    <t>E:\CAFNEC_GBRF\2022\BarronRiver\Frames_for_Analysis\1059_C0007_L_0373.jpg</t>
  </si>
  <si>
    <t>E:\CAFNEC_GBRF\2022\BarronRiver\Frames_for_Analysis\1060_C0007_L_0376.jpg</t>
  </si>
  <si>
    <t>E:\CAFNEC_GBRF\2022\BarronRiver\Frames_for_Analysis\1061_C0007_L_0379.jpg</t>
  </si>
  <si>
    <t>E:\CAFNEC_GBRF\2022\BarronRiver\Frames_for_Analysis\1062_C0007_L_0383.jpg</t>
  </si>
  <si>
    <t>E:\CAFNEC_GBRF\2022\BarronRiver\Frames_for_Analysis\1063_C0007_L_0387.jpg</t>
  </si>
  <si>
    <t>E:\CAFNEC_GBRF\2022\BarronRiver\Frames_for_Analysis\1064_C0007_L_0389.jpg</t>
  </si>
  <si>
    <t>E:\CAFNEC_GBRF\2022\BarronRiver\Frames_for_Analysis\1065_C0007_L_0393.jpg</t>
  </si>
  <si>
    <t>E:\CAFNEC_GBRF\2022\BarronRiver\Frames_for_Analysis\1066_C0007_L_0397.jpg</t>
  </si>
  <si>
    <t>E:\CAFNEC_GBRF\2022\BarronRiver\Frames_for_Analysis\1067_C0007_L_0401.jpg</t>
  </si>
  <si>
    <t>E:\CAFNEC_GBRF\2022\BarronRiver\Frames_for_Analysis\1068_C0007_L_0404.jpg</t>
  </si>
  <si>
    <t>E:\CAFNEC_GBRF\2022\BarronRiver\Frames_for_Analysis\1069_C0007_L_0408.jpg</t>
  </si>
  <si>
    <t>E:\CAFNEC_GBRF\2022\BarronRiver\Frames_for_Analysis\1070_C0007_L_0411.jpg</t>
  </si>
  <si>
    <t>E:\CAFNEC_GBRF\2022\BarronRiver\Frames_for_Analysis\1071_C0007_L_0415.jpg</t>
  </si>
  <si>
    <t>E:\CAFNEC_GBRF\2022\BarronRiver\Frames_for_Analysis\1072_C0007_L_0418.jpg</t>
  </si>
  <si>
    <t>E:\CAFNEC_GBRF\2022\BarronRiver\Frames_for_Analysis\1073_C0007_L_0422.jpg</t>
  </si>
  <si>
    <t>E:\CAFNEC_GBRF\2022\BarronRiver\Frames_for_Analysis\1074_C0007_L_0426.jpg</t>
  </si>
  <si>
    <t>E:\CAFNEC_GBRF\2022\BarronRiver\Frames_for_Analysis\1075_C0007_L_0429.jpg</t>
  </si>
  <si>
    <t>E:\CAFNEC_GBRF\2022\BarronRiver\Frames_for_Analysis\1076_C0007_L_0432.jpg</t>
  </si>
  <si>
    <t>E:\CAFNEC_GBRF\2022\BarronRiver\Frames_for_Analysis\1077_C0007_L_0435.jpg</t>
  </si>
  <si>
    <t>E:\CAFNEC_GBRF\2022\BarronRiver\Frames_for_Analysis\1078_C0007_L_0438.jpg</t>
  </si>
  <si>
    <t>E:\CAFNEC_GBRF\2022\BarronRiver\Frames_for_Analysis\1079_C0007_L_0443.jpg</t>
  </si>
  <si>
    <t>E:\CAFNEC_GBRF\2022\BarronRiver\Frames_for_Analysis\1080_C0007_L_0447.jpg</t>
  </si>
  <si>
    <t>E:\CAFNEC_GBRF\2022\BarronRiver\Frames_for_Analysis\1081_C0007_L_0453.jpg</t>
  </si>
  <si>
    <t>E:\CAFNEC_GBRF\2022\BarronRiver\Frames_for_Analysis\1082_C0007_L_0455.jpg</t>
  </si>
  <si>
    <t>E:\CAFNEC_GBRF\2022\BarronRiver\Frames_for_Analysis\1083_C0007_L_0458.jpg</t>
  </si>
  <si>
    <t>E:\CAFNEC_GBRF\2022\BarronRiver\Frames_for_Analysis\1084_C0007_L_0462.jpg</t>
  </si>
  <si>
    <t>E:\CAFNEC_GBRF\2022\BarronRiver\Frames_for_Analysis\1085_C0007_L_0465.jpg</t>
  </si>
  <si>
    <t>E:\CAFNEC_GBRF\2022\BarronRiver\Frames_for_Analysis\1086_C0007_L_0470.jpg</t>
  </si>
  <si>
    <t>E:\CAFNEC_GBRF\2022\BarronRiver\Frames_for_Analysis\1087_C0007_L_0474.jpg</t>
  </si>
  <si>
    <t>E:\CAFNEC_GBRF\2022\BarronRiver\Frames_for_Analysis\1088_C0007_L_0477.jpg</t>
  </si>
  <si>
    <t>E:\CAFNEC_GBRF\2022\BarronRiver\Frames_for_Analysis\1089_C0007_L_0478.jpg</t>
  </si>
  <si>
    <t>E:\CAFNEC_GBRF\2022\BarronRiver\Frames_for_Analysis\1090_C0007_L_0482.jpg</t>
  </si>
  <si>
    <t>E:\CAFNEC_GBRF\2022\BarronRiver\Frames_for_Analysis\1091_C0007_L_0489.jpg</t>
  </si>
  <si>
    <t>E:\CAFNEC_GBRF\2022\BarronRiver\Frames_for_Analysis\1092_C0007_L_0493.jpg</t>
  </si>
  <si>
    <t>E:\CAFNEC_GBRF\2022\BarronRiver\Frames_for_Analysis\1093_C0007_L_0499.jpg</t>
  </si>
  <si>
    <t>E:\CAFNEC_GBRF\2022\BarronRiver\Frames_for_Analysis\1094_C0007_L_0501.jpg</t>
  </si>
  <si>
    <t>E:\CAFNEC_GBRF\2022\BarronRiver\Frames_for_Analysis\1095_C0007_L_0503.jpg</t>
  </si>
  <si>
    <t>E:\CAFNEC_GBRF\2022\BarronRiver\Frames_for_Analysis\1096_C0007_L_0506.jpg</t>
  </si>
  <si>
    <t>E:\CAFNEC_GBRF\2022\BarronRiver\Frames_for_Analysis\1097_C0007_L_0508.jpg</t>
  </si>
  <si>
    <t>E:\CAFNEC_GBRF\2022\BarronRiver\Frames_for_Analysis\1098_C0007_L_0511.jpg</t>
  </si>
  <si>
    <t>E:\CAFNEC_GBRF\2022\BarronRiver\Frames_for_Analysis\1099_C0007_L_0513.jpg</t>
  </si>
  <si>
    <t>E:\CAFNEC_GBRF\2022\BarronRiver\Frames_for_Analysis\1100_C0007_L_0517.jpg</t>
  </si>
  <si>
    <t>E:\CAFNEC_GBRF\2022\BarronRiver\Frames_for_Analysis\1101_C0007_L_0520.jpg</t>
  </si>
  <si>
    <t>E:\CAFNEC_GBRF\2022\BarronRiver\Frames_for_Analysis\1102_C0007_L_0522.jpg</t>
  </si>
  <si>
    <t>E:\CAFNEC_GBRF\2022\BarronRiver\Frames_for_Analysis\1103_C0007_L_0524.jpg</t>
  </si>
  <si>
    <t>E:\CAFNEC_GBRF\2022\BarronRiver\Frames_for_Analysis\1104_C0007_L_0530.jpg</t>
  </si>
  <si>
    <t>E:\CAFNEC_GBRF\2022\BarronRiver\Frames_for_Analysis\1105_C0007_L_0534.jpg</t>
  </si>
  <si>
    <t>E:\CAFNEC_GBRF\2022\BarronRiver\Frames_for_Analysis\1106_C0007_L_0537.jpg</t>
  </si>
  <si>
    <t>E:\CAFNEC_GBRF\2022\BarronRiver\Frames_for_Analysis\1107_C0007_L_0543.jpg</t>
  </si>
  <si>
    <t>E:\CAFNEC_GBRF\2022\BarronRiver\Frames_for_Analysis\1108_C0007_L_0544.jpg</t>
  </si>
  <si>
    <t>E:\CAFNEC_GBRF\2022\BarronRiver\Frames_for_Analysis\1109_C0007_L_0547.jpg</t>
  </si>
  <si>
    <t>E:\CAFNEC_GBRF\2022\BarronRiver\Frames_for_Analysis\1110_C0007_L_0551.jpg</t>
  </si>
  <si>
    <t>E:\CAFNEC_GBRF\2022\BarronRiver\Frames_for_Analysis\1111_C0007_L_0555.jpg</t>
  </si>
  <si>
    <t>E:\CAFNEC_GBRF\2022\BarronRiver\Frames_for_Analysis\1112_C0007_L_0556.jpg</t>
  </si>
  <si>
    <t>E:\CAFNEC_GBRF\2022\BarronRiver\Frames_for_Analysis\1113_C0007_L_0560.jpg</t>
  </si>
  <si>
    <t>E:\CAFNEC_GBRF\2022\BarronRiver\Frames_for_Analysis\1114_C0007_L_0567.jpg</t>
  </si>
  <si>
    <t>E:\CAFNEC_GBRF\2022\BarronRiver\Frames_for_Analysis\1115_C0007_L_0570.jpg</t>
  </si>
  <si>
    <t>E:\CAFNEC_GBRF\2022\BarronRiver\Frames_for_Analysis\1116_C0008_L_0005.jpg</t>
  </si>
  <si>
    <t>E:\CAFNEC_GBRF\2022\BarronRiver\Frames_for_Analysis\1117_C0008_L_0007.jpg</t>
  </si>
  <si>
    <t>E:\CAFNEC_GBRF\2022\BarronRiver\Frames_for_Analysis\1118_C0008_L_0010.jpg</t>
  </si>
  <si>
    <t>E:\CAFNEC_GBRF\2022\BarronRiver\Frames_for_Analysis\1119_C0008_L_0012.jpg</t>
  </si>
  <si>
    <t>E:\CAFNEC_GBRF\2022\BarronRiver\Frames_for_Analysis\1120_C0008_L_0014.jpg</t>
  </si>
  <si>
    <t>E:\CAFNEC_GBRF\2022\BarronRiver\Frames_for_Analysis\1121_C0008_L_0016.jpg</t>
  </si>
  <si>
    <t>E:\CAFNEC_GBRF\2022\BarronRiver\Frames_for_Analysis\1122_C0008_L_0021.jpg</t>
  </si>
  <si>
    <t>E:\CAFNEC_GBRF\2022\BarronRiver\Frames_for_Analysis\1123_C0008_L_0022.jpg</t>
  </si>
  <si>
    <t>E:\CAFNEC_GBRF\2022\BarronRiver\Frames_for_Analysis\1124_C0008_L_0027.jpg</t>
  </si>
  <si>
    <t>E:\CAFNEC_GBRF\2022\BarronRiver\Frames_for_Analysis\1125_C0008_L_0031.jpg</t>
  </si>
  <si>
    <t>E:\CAFNEC_GBRF\2022\BarronRiver\Frames_for_Analysis\1126_C0008_L_0033.jpg</t>
  </si>
  <si>
    <t>E:\CAFNEC_GBRF\2022\BarronRiver\Frames_for_Analysis\1127_C0008_L_0037.jpg</t>
  </si>
  <si>
    <t>E:\CAFNEC_GBRF\2022\BarronRiver\Frames_for_Analysis\1128_C0008_L_0039.jpg</t>
  </si>
  <si>
    <t>E:\CAFNEC_GBRF\2022\BarronRiver\Frames_for_Analysis\1129_C0008_L_0042.jpg</t>
  </si>
  <si>
    <t>E:\CAFNEC_GBRF\2022\BarronRiver\Frames_for_Analysis\1130_C0008_L_0044.jpg</t>
  </si>
  <si>
    <t>E:\CAFNEC_GBRF\2022\BarronRiver\Frames_for_Analysis\1131_C0008_L_0049.jpg</t>
  </si>
  <si>
    <t>E:\CAFNEC_GBRF\2022\BarronRiver\Frames_for_Analysis\1132_C0008_L_0052.jpg</t>
  </si>
  <si>
    <t>E:\CAFNEC_GBRF\2022\BarronRiver\Frames_for_Analysis\1133_C0008_L_0054.jpg</t>
  </si>
  <si>
    <t>E:\CAFNEC_GBRF\2022\BarronRiver\Frames_for_Analysis\1134_C0008_L_0058.jpg</t>
  </si>
  <si>
    <t>E:\CAFNEC_GBRF\2022\BarronRiver\Frames_for_Analysis\1135_C0069_L_0003.jpg</t>
  </si>
  <si>
    <t>E:\CAFNEC_GBRF\2022\BarronRiver\Frames_for_Analysis\1136_C0069_L_0012.jpg</t>
  </si>
  <si>
    <t>E:\CAFNEC_GBRF\2022\BarronRiver\Frames_for_Analysis\1137_C0008_L_0069.jpg</t>
  </si>
  <si>
    <t>E:\CAFNEC_GBRF\2022\BarronRiver\Frames_for_Analysis\1138_C0008_L_0071.jpg</t>
  </si>
  <si>
    <t>E:\CAFNEC_GBRF\2022\BarronRiver\Frames_for_Analysis\1139_C0069_L_0023.jpg</t>
  </si>
  <si>
    <t>E:\CAFNEC_GBRF\2022\BarronRiver\Frames_for_Analysis\1140_C0069_L_0028.jpg</t>
  </si>
  <si>
    <t>E:\CAFNEC_GBRF\2022\BarronRiver\Frames_for_Analysis\1141_C0069_L_0032.jpg</t>
  </si>
  <si>
    <t>E:\CAFNEC_GBRF\2022\BarronRiver\Frames_for_Analysis\1142_C0069_L_0036.jpg</t>
  </si>
  <si>
    <t>E:\CAFNEC_GBRF\2022\BarronRiver\Frames_for_Analysis\1143_C0069_L_0040.jpg</t>
  </si>
  <si>
    <t>E:\CAFNEC_GBRF\2022\BarronRiver\Frames_for_Analysis\1144_C0069_L_0044.jpg</t>
  </si>
  <si>
    <t>E:\CAFNEC_GBRF\2022\BarronRiver\Frames_for_Analysis\1145_C0069_L_0048.jpg</t>
  </si>
  <si>
    <t>E:\CAFNEC_GBRF\2022\BarronRiver\Frames_for_Analysis\1146_C0069_L_0052.jpg</t>
  </si>
  <si>
    <t>E:\CAFNEC_GBRF\2022\BarronRiver\Frames_for_Analysis\1147_C0069_L_0056.jpg</t>
  </si>
  <si>
    <t>E:\CAFNEC_GBRF\2022\BarronRiver\Frames_for_Analysis\1148_C0069_L_0060.jpg</t>
  </si>
  <si>
    <t>E:\CAFNEC_GBRF\2022\BarronRiver\Frames_for_Analysis\1149_C0069_L_0063.jpg</t>
  </si>
  <si>
    <t>E:\CAFNEC_GBRF\2022\BarronRiver\Frames_for_Analysis\1150_C0069_L_0067.jpg</t>
  </si>
  <si>
    <t>E:\CAFNEC_GBRF\2022\BarronRiver\Frames_for_Analysis\1151_C0069_L_0070.jpg</t>
  </si>
  <si>
    <t>E:\CAFNEC_GBRF\2022\BarronRiver\Frames_for_Analysis\1152_C0069_L_0074.jpg</t>
  </si>
  <si>
    <t>E:\CAFNEC_GBRF\2022\BarronRiver\Frames_for_Analysis\1153_C0069_L_0077.jpg</t>
  </si>
  <si>
    <t>E:\CAFNEC_GBRF\2022\BarronRiver\Frames_for_Analysis\1154_C0069_L_0081.jpg</t>
  </si>
  <si>
    <t>E:\CAFNEC_GBRF\2022\BarronRiver\Frames_for_Analysis\1155_C0069_L_0084.jpg</t>
  </si>
  <si>
    <t>E:\CAFNEC_GBRF\2022\BarronRiver\Frames_for_Analysis\1156_C0069_L_0086.jpg</t>
  </si>
  <si>
    <t>E:\CAFNEC_GBRF\2022\BarronRiver\Frames_for_Analysis\1157_C0069_L_0089.jpg</t>
  </si>
  <si>
    <t>E:\CAFNEC_GBRF\2022\BarronRiver\Frames_for_Analysis\1158_C0069_L_0093.jpg</t>
  </si>
  <si>
    <t>E:\CAFNEC_GBRF\2022\BarronRiver\Frames_for_Analysis\1159_C0069_L_0097.jpg</t>
  </si>
  <si>
    <t>E:\CAFNEC_GBRF\2022\BarronRiver\Frames_for_Analysis\1160_C0069_L_0101.jpg</t>
  </si>
  <si>
    <t>E:\CAFNEC_GBRF\2022\BarronRiver\Frames_for_Analysis\1161_C0069_L_0104.jpg</t>
  </si>
  <si>
    <t>E:\CAFNEC_GBRF\2022\BarronRiver\Frames_for_Analysis\1162_C0069_L_0107.jpg</t>
  </si>
  <si>
    <t>E:\CAFNEC_GBRF\2022\BarronRiver\Frames_for_Analysis\1163_C0069_L_0110.jpg</t>
  </si>
  <si>
    <t>E:\CAFNEC_GBRF\2022\BarronRiver\Frames_for_Analysis\1164_C0069_L_0114.jpg</t>
  </si>
  <si>
    <t>E:\CAFNEC_GBRF\2022\BarronRiver\Frames_for_Analysis\1165_C0069_L_0117.jpg</t>
  </si>
  <si>
    <t>E:\CAFNEC_GBRF\2022\BarronRiver\Frames_for_Analysis\1166_C0069_L_0121.jpg</t>
  </si>
  <si>
    <t>E:\CAFNEC_GBRF\2022\BarronRiver\Frames_for_Analysis\1167_C0069_L_0124.jpg</t>
  </si>
  <si>
    <t>E:\CAFNEC_GBRF\2022\BarronRiver\Frames_for_Analysis\1168_C0069_L_0126.jpg</t>
  </si>
  <si>
    <t>E:\CAFNEC_GBRF\2022\BarronRiver\Frames_for_Analysis\1169_C0069_L_0129.jpg</t>
  </si>
  <si>
    <t>E:\CAFNEC_GBRF\2022\BarronRiver\Frames_for_Analysis\1170_C0069_L_0132.jpg</t>
  </si>
  <si>
    <t>E:\CAFNEC_GBRF\2022\BarronRiver\Frames_for_Analysis\1171_C0069_L_0135.jpg</t>
  </si>
  <si>
    <t>E:\CAFNEC_GBRF\2022\BarronRiver\Frames_for_Analysis\1172_C0069_L_0138.jpg</t>
  </si>
  <si>
    <t>E:\CAFNEC_GBRF\2022\BarronRiver\Frames_for_Analysis\1173_C0069_L_0141.jpg</t>
  </si>
  <si>
    <t>E:\CAFNEC_GBRF\2022\BarronRiver\Frames_for_Analysis\1174_C0069_L_0144.jpg</t>
  </si>
  <si>
    <t>E:\CAFNEC_GBRF\2022\BarronRiver\Frames_for_Analysis\1175_C0069_L_0147.jpg</t>
  </si>
  <si>
    <t>E:\CAFNEC_GBRF\2022\BarronRiver\Frames_for_Analysis\1176_C0069_L_0151.jpg</t>
  </si>
  <si>
    <t>E:\CAFNEC_GBRF\2022\BarronRiver\Frames_for_Analysis\1177_C0069_L_0153.jpg</t>
  </si>
  <si>
    <t>E:\CAFNEC_GBRF\2022\BarronRiver\Frames_for_Analysis\1178_C0069_L_0157.jpg</t>
  </si>
  <si>
    <t>E:\CAFNEC_GBRF\2022\BarronRiver\Frames_for_Analysis\1179_C0069_L_0160.jpg</t>
  </si>
  <si>
    <t>E:\CAFNEC_GBRF\2022\BarronRiver\Frames_for_Analysis\1180_C0069_L_0163.jpg</t>
  </si>
  <si>
    <t>E:\CAFNEC_GBRF\2022\BarronRiver\Frames_for_Analysis\1181_C0069_L_0166.jpg</t>
  </si>
  <si>
    <t>E:\CAFNEC_GBRF\2022\BarronRiver\Frames_for_Analysis\1182_C0069_L_0169.jpg</t>
  </si>
  <si>
    <t>E:\CAFNEC_GBRF\2022\BarronRiver\Frames_for_Analysis\1183_C0069_L_0172.jpg</t>
  </si>
  <si>
    <t>E:\CAFNEC_GBRF\2022\BarronRiver\Frames_for_Analysis\1184_C0069_L_0175.jpg</t>
  </si>
  <si>
    <t>E:\CAFNEC_GBRF\2022\BarronRiver\Frames_for_Analysis\1185_C0069_L_0178.jpg</t>
  </si>
  <si>
    <t>E:\CAFNEC_GBRF\2022\BarronRiver\Frames_for_Analysis\1186_C0069_L_0184.jpg</t>
  </si>
  <si>
    <t>E:\CAFNEC_GBRF\2022\BarronRiver\Frames_for_Analysis\1187_C0069_L_0188.jpg</t>
  </si>
  <si>
    <t>E:\CAFNEC_GBRF\2022\BarronRiver\Frames_for_Analysis\1188_C0069_L_0192.jpg</t>
  </si>
  <si>
    <t>E:\CAFNEC_GBRF\2022\BarronRiver\Frames_for_Analysis\1189_C0069_L_0194.jpg</t>
  </si>
  <si>
    <t>E:\CAFNEC_GBRF\2022\BarronRiver\Frames_for_Analysis\1190_C0069_L_0198.jpg</t>
  </si>
  <si>
    <t>E:\CAFNEC_GBRF\2022\BarronRiver\Frames_for_Analysis\1191_C0069_L_0201.jpg</t>
  </si>
  <si>
    <t>E:\CAFNEC_GBRF\2022\BarronRiver\Frames_for_Analysis\1192_C0069_L_0205.jpg</t>
  </si>
  <si>
    <t>E:\CAFNEC_GBRF\2022\BarronRiver\Frames_for_Analysis\1193_C0069_L_0207.jpg</t>
  </si>
  <si>
    <t>E:\CAFNEC_GBRF\2022\BarronRiver\Frames_for_Analysis\1194_C0069_L_0213.jpg</t>
  </si>
  <si>
    <t>E:\CAFNEC_GBRF\2022\BarronRiver\Frames_for_Analysis\1195_C0069_L_0217.jpg</t>
  </si>
  <si>
    <t>E:\CAFNEC_GBRF\2022\BarronRiver\Frames_for_Analysis\1196_C0069_L_0224.jpg</t>
  </si>
  <si>
    <t>E:\CAFNEC_GBRF\2022\BarronRiver\Frames_for_Analysis\1197_C0069_L_0228.jpg</t>
  </si>
  <si>
    <t>E:\CAFNEC_GBRF\2022\BarronRiver\Frames_for_Analysis\1198_C0069_L_0238.jpg</t>
  </si>
  <si>
    <t>E:\CAFNEC_GBRF\2022\BarronRiver\Frames_for_Analysis\1199_C0069_L_0243.jpg</t>
  </si>
  <si>
    <t>E:\CAFNEC_GBRF\2022\BarronRiver\Frames_for_Analysis\1200_C0069_L_0247.jpg</t>
  </si>
  <si>
    <t>E:\CAFNEC_GBRF\2022\BarronRiver\Frames_for_Analysis\1201_C0069_L_0250.jpg</t>
  </si>
  <si>
    <t>E:\CAFNEC_GBRF\2022\BarronRiver\Frames_for_Analysis\1202_C0069_L_0253.jpg</t>
  </si>
  <si>
    <t>E:\CAFNEC_GBRF\2022\BarronRiver\Frames_for_Analysis\1203_C0069_L_0257.jpg</t>
  </si>
  <si>
    <t>E:\CAFNEC_GBRF\2022\BarronRiver\Frames_for_Analysis\1204_C0069_L_0260.jpg</t>
  </si>
  <si>
    <t>E:\CAFNEC_GBRF\2022\BarronRiver\Frames_for_Analysis\1205_C0069_L_0264.jpg</t>
  </si>
  <si>
    <t>E:\CAFNEC_GBRF\2022\BarronRiver\Frames_for_Analysis\1206_C0069_L_0268.jpg</t>
  </si>
  <si>
    <t>E:\CAFNEC_GBRF\2022\BarronRiver\Frames_for_Analysis\1207_C0069_L_0272.jpg</t>
  </si>
  <si>
    <t>E:\CAFNEC_GBRF\2022\BarronRiver\Frames_for_Analysis\1208_C0069_L_0276.jpg</t>
  </si>
  <si>
    <t>E:\CAFNEC_GBRF\2022\BarronRiver\Frames_for_Analysis\1209_C0069_L_0279.jpg</t>
  </si>
  <si>
    <t>E:\CAFNEC_GBRF\2022\BarronRiver\Frames_for_Analysis\1210_C0069_L_0284.jpg</t>
  </si>
  <si>
    <t>E:\CAFNEC_GBRF\2022\BarronRiver\Frames_for_Analysis\1211_C0069_L_0287.jpg</t>
  </si>
  <si>
    <t>E:\CAFNEC_GBRF\2022\BarronRiver\Frames_for_Analysis\1212_C0069_L_0292.jpg</t>
  </si>
  <si>
    <t>E:\CAFNEC_GBRF\2022\BarronRiver\Frames_for_Analysis\1213_C0069_L_0298.jpg</t>
  </si>
  <si>
    <t>E:\CAFNEC_GBRF\2022\BarronRiver\Frames_for_Analysis\1214_C0069_L_0305.jpg</t>
  </si>
  <si>
    <t>E:\CAFNEC_GBRF\2022\BarronRiver\Frames_for_Analysis\1215_C0069_L_0309.jpg</t>
  </si>
  <si>
    <t>E:\CAFNEC_GBRF\2022\BarronRiver\Frames_for_Analysis\1216_C0069_L_0313.jpg</t>
  </si>
  <si>
    <t>E:\CAFNEC_GBRF\2022\BarronRiver\Frames_for_Analysis\1217_C0069_L_0318.jpg</t>
  </si>
  <si>
    <t>E:\CAFNEC_GBRF\2022\BarronRiver\Frames_for_Analysis\1218_C0069_L_0321.jpg</t>
  </si>
  <si>
    <t>E:\CAFNEC_GBRF\2022\BarronRiver\Frames_for_Analysis\1219_C0069_L_0325.jpg</t>
  </si>
  <si>
    <t>E:\CAFNEC_GBRF\2022\BarronRiver\Frames_for_Analysis\1220_C0069_L_0329.jpg</t>
  </si>
  <si>
    <t>E:\CAFNEC_GBRF\2022\BarronRiver\Frames_for_Analysis\1221_C0069_L_0334.jpg</t>
  </si>
  <si>
    <t>E:\CAFNEC_GBRF\2022\BarronRiver\Frames_for_Analysis\1222_C0069_L_0338.jpg</t>
  </si>
  <si>
    <t>E:\CAFNEC_GBRF\2022\BarronRiver\Frames_for_Analysis\1223_C0069_L_0342.jpg</t>
  </si>
  <si>
    <t>E:\CAFNEC_GBRF\2022\BarronRiver\Frames_for_Analysis\1224_C0069_L_0345.jpg</t>
  </si>
  <si>
    <t>E:\CAFNEC_GBRF\2022\BarronRiver\Frames_for_Analysis\1225_C0069_L_0350.jpg</t>
  </si>
  <si>
    <t>E:\CAFNEC_GBRF\2022\BarronRiver\Frames_for_Analysis\1226_C0069_L_0354.jpg</t>
  </si>
  <si>
    <t>E:\CAFNEC_GBRF\2022\BarronRiver\Frames_for_Analysis\1227_C0069_L_0358.jpg</t>
  </si>
  <si>
    <t>E:\CAFNEC_GBRF\2022\BarronRiver\Frames_for_Analysis\1228_C0069_L_0363.jpg</t>
  </si>
  <si>
    <t>E:\CAFNEC_GBRF\2022\BarronRiver\Frames_for_Analysis\1229_C0069_L_0366.jpg</t>
  </si>
  <si>
    <t>E:\CAFNEC_GBRF\2022\BarronRiver\Frames_for_Analysis\1230_C0069_L_0370.jpg</t>
  </si>
  <si>
    <t>E:\CAFNEC_GBRF\2022\BarronRiver\Frames_for_Analysis\1231_C0069_L_0374.jpg</t>
  </si>
  <si>
    <t>E:\CAFNEC_GBRF\2022\BarronRiver\Frames_for_Analysis\1232_C0069_L_0378.jpg</t>
  </si>
  <si>
    <t>E:\CAFNEC_GBRF\2022\BarronRiver\Frames_for_Analysis\1233_C0069_L_0382.jpg</t>
  </si>
  <si>
    <t>E:\CAFNEC_GBRF\2022\BarronRiver\Frames_for_Analysis\1234_C0069_L_0386.jpg</t>
  </si>
  <si>
    <t>E:\CAFNEC_GBRF\2022\BarronRiver\Frames_for_Analysis\1235_C0069_L_0391.jpg</t>
  </si>
  <si>
    <t>E:\CAFNEC_GBRF\2022\BarronRiver\Frames_for_Analysis\1236_C0069_L_0394.jpg</t>
  </si>
  <si>
    <t>E:\CAFNEC_GBRF\2022\BarronRiver\Frames_for_Analysis\1237_C0069_L_0398.jpg</t>
  </si>
  <si>
    <t>E:\CAFNEC_GBRF\2022\BarronRiver\Frames_for_Analysis\1238_C0069_L_0401.jpg</t>
  </si>
  <si>
    <t>E:\CAFNEC_GBRF\2022\BarronRiver\Frames_for_Analysis\1239_C0069_L_0404.jpg</t>
  </si>
  <si>
    <t>E:\CAFNEC_GBRF\2022\BarronRiver\Frames_for_Analysis\1240_C0069_L_0407.jpg</t>
  </si>
  <si>
    <t>E:\CAFNEC_GBRF\2022\BarronRiver\Frames_for_Analysis\1241_C0069_L_0410.jpg</t>
  </si>
  <si>
    <t>E:\CAFNEC_GBRF\2022\BarronRiver\Frames_for_Analysis\1242_C0069_L_0414.jpg</t>
  </si>
  <si>
    <t>E:\CAFNEC_GBRF\2022\BarronRiver\Frames_for_Analysis\1243_C0069_L_0418.jpg</t>
  </si>
  <si>
    <t>E:\CAFNEC_GBRF\2022\BarronRiver\Frames_for_Analysis\1244_C0069_L_0422.jpg</t>
  </si>
  <si>
    <t>E:\CAFNEC_GBRF\2022\BarronRiver\Frames_for_Analysis\1245_C0069_L_0426.jpg</t>
  </si>
  <si>
    <t>E:\CAFNEC_GBRF\2022\BarronRiver\Frames_for_Analysis\1246_C0069_L_0431.jpg</t>
  </si>
  <si>
    <t>E:\CAFNEC_GBRF\2022\BarronRiver\Frames_for_Analysis\1247_C0069_L_0434.jpg</t>
  </si>
  <si>
    <t>E:\CAFNEC_GBRF\2022\BarronRiver\Frames_for_Analysis\1248_C0069_L_0438.jpg</t>
  </si>
  <si>
    <t>E:\CAFNEC_GBRF\2022\BarronRiver\Frames_for_Analysis\1249_C0069_L_0441.jpg</t>
  </si>
  <si>
    <t>E:\CAFNEC_GBRF\2022\BarronRiver\Frames_for_Analysis\1250_C0069_L_0444.jpg</t>
  </si>
  <si>
    <t>E:\CAFNEC_GBRF\2022\BarronRiver\Frames_for_Analysis\1251_C0069_L_0447.jpg</t>
  </si>
  <si>
    <t>E:\CAFNEC_GBRF\2022\BarronRiver\Frames_for_Analysis\1252_C0069_L_0450.jpg</t>
  </si>
  <si>
    <t>E:\CAFNEC_GBRF\2022\BarronRiver\Frames_for_Analysis\1253_C0069_L_0453.jpg</t>
  </si>
  <si>
    <t>E:\CAFNEC_GBRF\2022\BarronRiver\Frames_for_Analysis\1254_C0069_L_0456.jpg</t>
  </si>
  <si>
    <t>E:\CAFNEC_GBRF\2022\BarronRiver\Frames_for_Analysis\1255_C0069_L_0461.jpg</t>
  </si>
  <si>
    <t>E:\CAFNEC_GBRF\2022\BarronRiver\Frames_for_Analysis\1256_C0069_L_0463.jpg</t>
  </si>
  <si>
    <t>E:\CAFNEC_GBRF\2022\BarronRiver\Frames_for_Analysis\1257_C0069_L_0469.jpg</t>
  </si>
  <si>
    <t>E:\CAFNEC_GBRF\2022\BarronRiver\Frames_for_Analysis\1258_C0069_L_0474.jpg</t>
  </si>
  <si>
    <t>E:\CAFNEC_GBRF\2022\BarronRiver\Frames_for_Analysis\1259_C0069_L_0477.jpg</t>
  </si>
  <si>
    <t>E:\CAFNEC_GBRF\2022\BarronRiver\Frames_for_Analysis\1260_C0069_L_0481.jpg</t>
  </si>
  <si>
    <t>E:\CAFNEC_GBRF\2022\BarronRiver\Frames_for_Analysis\1261_C0069_L_0484.jpg</t>
  </si>
  <si>
    <t>E:\CAFNEC_GBRF\2022\BarronRiver\Frames_for_Analysis\1262_C0069_L_0486.jpg</t>
  </si>
  <si>
    <t>E:\CAFNEC_GBRF\2022\BarronRiver\Frames_for_Analysis\1263_C0069_L_0491.jpg</t>
  </si>
  <si>
    <t>E:\CAFNEC_GBRF\2022\BarronRiver\Frames_for_Analysis\1264_C0069_L_0494.jpg</t>
  </si>
  <si>
    <t>E:\CAFNEC_GBRF\2022\BarronRiver\Frames_for_Analysis\1265_C0069_L_0496.jpg</t>
  </si>
  <si>
    <t>E:\CAFNEC_GBRF\2022\BarronRiver\Frames_for_Analysis\1266_C0069_L_0499.jpg</t>
  </si>
  <si>
    <t>E:\CAFNEC_GBRF\2022\BarronRiver\Frames_for_Analysis\1267_C0069_L_0501.jpg</t>
  </si>
  <si>
    <t>E:\CAFNEC_GBRF\2022\BarronRiver\Frames_for_Analysis\1268_C0069_L_0504.jpg</t>
  </si>
  <si>
    <t>E:\CAFNEC_GBRF\2022\BarronRiver\Frames_for_Analysis\1269_C0069_L_0508.jpg</t>
  </si>
  <si>
    <t>E:\CAFNEC_GBRF\2022\BarronRiver\Frames_for_Analysis\1270_C0069_L_0512.jpg</t>
  </si>
  <si>
    <t>E:\CAFNEC_GBRF\2022\BarronRiver\Frames_for_Analysis\1271_C0069_L_0514.jpg</t>
  </si>
  <si>
    <t>E:\CAFNEC_GBRF\2022\BarronRiver\Frames_for_Analysis\1272_C0069_L_0518.jpg</t>
  </si>
  <si>
    <t>E:\CAFNEC_GBRF\2022\BarronRiver\Frames_for_Analysis\1273_C0069_L_0520.jpg</t>
  </si>
  <si>
    <t>E:\CAFNEC_GBRF\2022\BarronRiver\Frames_for_Analysis\1274_C0069_L_0524.jpg</t>
  </si>
  <si>
    <t>E:\CAFNEC_GBRF\2022\BarronRiver\Frames_for_Analysis\1275_C0069_L_0528.jpg</t>
  </si>
  <si>
    <t>E:\CAFNEC_GBRF\2022\BarronRiver\Frames_for_Analysis\1276_C0069_L_0531.jpg</t>
  </si>
  <si>
    <t>E:\CAFNEC_GBRF\2022\BarronRiver\Frames_for_Analysis\1277_C0069_L_0535.jpg</t>
  </si>
  <si>
    <t>E:\CAFNEC_GBRF\2022\BarronRiver\Frames_for_Analysis\1278_C0069_L_0537.jpg</t>
  </si>
  <si>
    <t>E:\CAFNEC_GBRF\2022\BarronRiver\Frames_for_Analysis\1279_C0069_L_0541.jpg</t>
  </si>
  <si>
    <t>E:\CAFNEC_GBRF\2022\BarronRiver\Frames_for_Analysis\1280_C0069_L_0543.jpg</t>
  </si>
  <si>
    <t>E:\CAFNEC_GBRF\2022\BarronRiver\Frames_for_Analysis\1282_C0069_L_0544.jpg</t>
  </si>
  <si>
    <t>E:\CAFNEC_GBRF\2022\BarronRiver\Frames_for_Analysis\1283_C0069_L_0547.jpg</t>
  </si>
  <si>
    <t>E:\CAFNEC_GBRF\2022\BarronRiver\Frames_for_Analysis\1284_C0069_L_0550.jpg</t>
  </si>
  <si>
    <t>E:\CAFNEC_GBRF\2022\BarronRiver\Frames_for_Analysis\1285_C0069_L_0552.jpg</t>
  </si>
  <si>
    <t>E:\CAFNEC_GBRF\2022\BarronRiver\Frames_for_Analysis\1286_C0069_L_0555.jpg</t>
  </si>
  <si>
    <t>E:\CAFNEC_GBRF\2022\BarronRiver\Frames_for_Analysis\1287_C0069_L_0558.jpg</t>
  </si>
  <si>
    <t>E:\CAFNEC_GBRF\2022\BarronRiver\Frames_for_Analysis\1288_C0070_L_0002.jpg</t>
  </si>
  <si>
    <t>E:\CAFNEC_GBRF\2022\BarronRiver\Frames_for_Analysis\1289_C0070_L_0006.jpg</t>
  </si>
  <si>
    <t>E:\CAFNEC_GBRF\2022\BarronRiver\Frames_for_Analysis\1290_C0070_L_0009.jpg</t>
  </si>
  <si>
    <t>E:\CAFNEC_GBRF\2022\BarronRiver\Frames_for_Analysis\1291_C0070_L_0012.jpg</t>
  </si>
  <si>
    <t>E:\CAFNEC_GBRF\2022\BarronRiver\Frames_for_Analysis\1292_C0070_L_0016.jpg</t>
  </si>
  <si>
    <t>E:\CAFNEC_GBRF\2022\BarronRiver\Frames_for_Analysis\1293_C0070_L_0019.jpg</t>
  </si>
  <si>
    <t>E:\CAFNEC_GBRF\2022\BarronRiver\Frames_for_Analysis\1294_C0070_L_0023.jpg</t>
  </si>
  <si>
    <t>E:\CAFNEC_GBRF\2022\BarronRiver\Frames_for_Analysis\1295_C0070_L_0025.jpg</t>
  </si>
  <si>
    <t>E:\CAFNEC_GBRF\2022\BarronRiver\Frames_for_Analysis\1296_C0070_L_0028.jpg</t>
  </si>
  <si>
    <t>E:\CAFNEC_GBRF\2022\BarronRiver\Frames_for_Analysis\1297_C0070_L_0031.jpg</t>
  </si>
  <si>
    <t>E:\CAFNEC_GBRF\2022\BarronRiver\Frames_for_Analysis\1298_C0070_L_0034.jpg</t>
  </si>
  <si>
    <t>E:\CAFNEC_GBRF\2022\BarronRiver\Frames_for_Analysis\1299_C0070_L_0036.jpg</t>
  </si>
  <si>
    <t>E:\CAFNEC_GBRF\2022\BarronRiver\Frames_for_Analysis\1300_C0070_L_0040.jpg</t>
  </si>
  <si>
    <t>E:\CAFNEC_GBRF\2022\BarronRiver\Frames_for_Analysis\1301_C0070_L_0043.jpg</t>
  </si>
  <si>
    <t>E:\CAFNEC_GBRF\2022\BarronRiver\Frames_for_Analysis\1302_C0070_L_0046.jpg</t>
  </si>
  <si>
    <t>E:\CAFNEC_GBRF\2022\BarronRiver\Frames_for_Analysis\1303_C0070_L_0049.jpg</t>
  </si>
  <si>
    <t>E:\CAFNEC_GBRF\2022\BarronRiver\Frames_for_Analysis\1304_C0070_L_0052.jpg</t>
  </si>
  <si>
    <t>E:\CAFNEC_GBRF\2022\BarronRiver\Frames_for_Analysis\1305_C0070_L_0056.jpg</t>
  </si>
  <si>
    <t>E:\CAFNEC_GBRF\2022\BarronRiver\Frames_for_Analysis\1306_C0070_L_0058.jpg</t>
  </si>
  <si>
    <t>E:\CAFNEC_GBRF\2022\BarronRiver\Frames_for_Analysis\1307_C0070_L_0061.jpg</t>
  </si>
  <si>
    <t>E:\CAFNEC_GBRF\2022\BarronRiver\Frames_for_Analysis\1308_C0070_L_0064.jpg</t>
  </si>
  <si>
    <t>E:\CAFNEC_GBRF\2022\BarronRiver\Frames_for_Analysis\1309_C0070_L_0067.jpg</t>
  </si>
  <si>
    <t>E:\CAFNEC_GBRF\2022\BarronRiver\Frames_for_Analysis\1310_C0070_L_0071.jpg</t>
  </si>
  <si>
    <t>E:\CAFNEC_GBRF\2022\BarronRiver\Frames_for_Analysis\1311_C0070_L_0074.jpg</t>
  </si>
  <si>
    <t>E:\CAFNEC_GBRF\2022\BarronRiver\Frames_for_Analysis\1312_C0070_L_0076.jpg</t>
  </si>
  <si>
    <t>E:\CAFNEC_GBRF\2022\BarronRiver\Frames_for_Analysis\1313_C0070_L_0079.jpg</t>
  </si>
  <si>
    <t>E:\CAFNEC_GBRF\2022\BarronRiver\Frames_for_Analysis\1314_C0070_L_0083.jpg</t>
  </si>
  <si>
    <t>E:\CAFNEC_GBRF\2022\BarronRiver\Frames_for_Analysis\1315_C0070_L_0086.jpg</t>
  </si>
  <si>
    <t>E:\CAFNEC_GBRF\2022\BarronRiver\Frames_for_Analysis\1316_C0070_L_0090.jpg</t>
  </si>
  <si>
    <t>E:\CAFNEC_GBRF\2022\BarronRiver\Frames_for_Analysis\1317_C0070_L_0093.jpg</t>
  </si>
  <si>
    <t>E:\CAFNEC_GBRF\2022\BarronRiver\Frames_for_Analysis\1318_C0070_L_0097.jpg</t>
  </si>
  <si>
    <t>E:\CAFNEC_GBRF\2022\BarronRiver\Frames_for_Analysis\1319_C0070_L_0100.jpg</t>
  </si>
  <si>
    <t>E:\CAFNEC_GBRF\2022\BarronRiver\Frames_for_Analysis\1320_C0070_L_0103.jpg</t>
  </si>
  <si>
    <t>E:\CAFNEC_GBRF\2022\BarronRiver\Frames_for_Analysis\1321_C0070_L_0107.jpg</t>
  </si>
  <si>
    <t>E:\CAFNEC_GBRF\2022\BarronRiver\Frames_for_Analysis\1322_C0070_L_0109.jpg</t>
  </si>
  <si>
    <t>E:\CAFNEC_GBRF\2022\BarronRiver\Frames_for_Analysis\1323_C0070_L_0113.jpg</t>
  </si>
  <si>
    <t>E:\CAFNEC_GBRF\2022\BarronRiver\Frames_for_Analysis\1324_C0070_L_0115.jpg</t>
  </si>
  <si>
    <t>E:\CAFNEC_GBRF\2022\BarronRiver\Frames_for_Analysis\1325_C0070_L_0118.jpg</t>
  </si>
  <si>
    <t>E:\CAFNEC_GBRF\2022\BarronRiver\Frames_for_Analysis\1326_C0070_L_0121.jpg</t>
  </si>
  <si>
    <t>E:\CAFNEC_GBRF\2022\BarronRiver\Frames_for_Analysis\1327_C0070_L_0123.jpg</t>
  </si>
  <si>
    <t>E:\CAFNEC_GBRF\2022\BarronRiver\Frames_for_Analysis\1328_C0070_L_0125.jpg</t>
  </si>
  <si>
    <t>E:\CAFNEC_GBRF\2022\BarronRiver\Frames_for_Analysis\1329_C0070_L_0129.jpg</t>
  </si>
  <si>
    <t>E:\CAFNEC_GBRF\2022\BarronRiver\Frames_for_Analysis\1330_C0070_L_0133.jpg</t>
  </si>
  <si>
    <t>E:\CAFNEC_GBRF\2022\BarronRiver\Frames_for_Analysis\1331_C0070_L_0136.jpg</t>
  </si>
  <si>
    <t>E:\CAFNEC_GBRF\2022\BarronRiver\Frames_for_Analysis\1332_C0070_L_0139.jpg</t>
  </si>
  <si>
    <t>E:\CAFNEC_GBRF\2022\BarronRiver\Frames_for_Analysis\1333_C0070_L_0142.jpg</t>
  </si>
  <si>
    <t>E:\CAFNEC_GBRF\2022\BarronRiver\Frames_for_Analysis\1334_C0070_L_0146.jpg</t>
  </si>
  <si>
    <t>E:\CAFNEC_GBRF\2022\BarronRiver\Frames_for_Analysis\1335_C0070_L_0148.jpg</t>
  </si>
  <si>
    <t>E:\CAFNEC_GBRF\2022\BarronRiver\Frames_for_Analysis\1336_C0070_L_0150.jpg</t>
  </si>
  <si>
    <t>E:\CAFNEC_GBRF\2022\BarronRiver\Frames_for_Analysis\1337_C0070_L_0153.jpg</t>
  </si>
  <si>
    <t>E:\CAFNEC_GBRF\2022\BarronRiver\Frames_for_Analysis\1338_C0070_L_0154.jpg</t>
  </si>
  <si>
    <t>E:\CAFNEC_GBRF\2022\BarronRiver\Frames_for_Analysis\1339_C0070_L_0158.jpg</t>
  </si>
  <si>
    <t>E:\CAFNEC_GBRF\2022\BarronRiver\Frames_for_Analysis\1340_C0070_L_0160.jpg</t>
  </si>
  <si>
    <t>E:\CAFNEC_GBRF\2022\BarronRiver\Frames_for_Analysis\1341_C0070_L_0164.jpg</t>
  </si>
  <si>
    <t>E:\CAFNEC_GBRF\2022\BarronRiver\Frames_for_Analysis\1342_C0070_L_0167.jpg</t>
  </si>
  <si>
    <t>E:\CAFNEC_GBRF\2022\BarronRiver\Frames_for_Analysis\1343_C0070_L_0170.jpg</t>
  </si>
  <si>
    <t>E:\CAFNEC_GBRF\2022\BarronRiver\Frames_for_Analysis\1344_C0070_L_0172.jpg</t>
  </si>
  <si>
    <t>E:\CAFNEC_GBRF\2022\BarronRiver\Frames_for_Analysis\1345_C0070_L_0175.jpg</t>
  </si>
  <si>
    <t>E:\CAFNEC_GBRF\2022\BarronRiver\Frames_for_Analysis\1346_C0070_L_0179.jpg</t>
  </si>
  <si>
    <t>E:\CAFNEC_GBRF\2022\BarronRiver\Frames_for_Analysis\1347_C0070_L_0181.jpg</t>
  </si>
  <si>
    <t>E:\CAFNEC_GBRF\2022\BarronRiver\Frames_for_Analysis\1348_C0070_L_0184.jpg</t>
  </si>
  <si>
    <t>E:\CAFNEC_GBRF\2022\BarronRiver\Frames_for_Analysis\1349_C0070_L_0186.jpg</t>
  </si>
  <si>
    <t>E:\CAFNEC_GBRF\2022\BarronRiver\Frames_for_Analysis\1350_C0070_L_0189.jpg</t>
  </si>
  <si>
    <t>E:\CAFNEC_GBRF\2022\BarronRiver\Frames_for_Analysis\1351_C0070_L_0192.jpg</t>
  </si>
  <si>
    <t>E:\CAFNEC_GBRF\2022\BarronRiver\Frames_for_Analysis\1352_C0070_L_0197.jpg</t>
  </si>
  <si>
    <t>E:\CAFNEC_GBRF\2022\BarronRiver\Frames_for_Analysis\1353_C0070_L_0221.jpg</t>
  </si>
  <si>
    <t>E:\CAFNEC_GBRF\2022\BarronRiver\Frames_for_Analysis\1354_C0070_L_0228.jpg</t>
  </si>
  <si>
    <t>E:\CAFNEC_GBRF\2022\BarronRiver\Frames_for_Analysis\1358_C0074_L_0002.jpg</t>
  </si>
  <si>
    <t>E:\CAFNEC_GBRF\2022\BarronRiver\Frames_for_Analysis\1365_C0074_L_0007.jpg</t>
  </si>
  <si>
    <t>E:\CAFNEC_GBRF\2022\BarronRiver\Frames_for_Analysis\1664_C0074_L_0004.jpg</t>
  </si>
  <si>
    <t>E:\CAFNEC_GBRF\2022\BarronRiver\Frames_for_Analysis\1667_C0074_L_0003.jpg</t>
  </si>
  <si>
    <t>E:\CAFNEC_GBRF\2022\BarronRiver\Frames_for_Analysis\1671_C0074_L_0010.jpg</t>
  </si>
  <si>
    <t>E:\CAFNEC_GBRF\2022\BarronRiver\Frames_for_Analysis\1673_C0074_L_0008.jpg</t>
  </si>
  <si>
    <t>E:\CAFNEC_GBRF\2022\BarronRiver\Frames_for_Analysis\1677_C0074_L_0009.jpg</t>
  </si>
  <si>
    <t>E:\CAFNEC_GBRF\2022\BarronRiver\Frames_for_Analysis\1678_C0074_L_0011.jpg</t>
  </si>
  <si>
    <t>E:\CAFNEC_GBRF\2022\BarronRiver\Frames_for_Analysis\1680_C0074_L_0013.jpg</t>
  </si>
  <si>
    <t>E:\CAFNEC_GBRF\2022\BarronRiver\Frames_for_Analysis\1681_C0074_L_0023.jpg</t>
  </si>
  <si>
    <t>E:\CAFNEC_GBRF\2022\BarronRiver\Frames_for_Analysis\1682_C0074_L_0029.jpg</t>
  </si>
  <si>
    <t>E:\CAFNEC_GBRF\2022\BarronRiver\Frames_for_Analysis\1683_C0074_L_0035.jpg</t>
  </si>
  <si>
    <t>E:\CAFNEC_GBRF\2022\BarronRiver\Frames_for_Analysis\1684_C0074_L_0039.jpg</t>
  </si>
  <si>
    <t>E:\CAFNEC_GBRF\2022\BarronRiver\Frames_for_Analysis\1685_C0074_L_0042.jpg</t>
  </si>
  <si>
    <t>E:\CAFNEC_GBRF\2022\BarronRiver\Frames_for_Analysis\1686_C0074_L_0045.jpg</t>
  </si>
  <si>
    <t>E:\CAFNEC_GBRF\2022\BarronRiver\Frames_for_Analysis\1687_C0074_L_0051.jpg</t>
  </si>
  <si>
    <t>E:\CAFNEC_GBRF\2022\BarronRiver\Frames_for_Analysis\1688_C0074_L_0055.jpg</t>
  </si>
  <si>
    <t>E:\CAFNEC_GBRF\2022\BarronRiver\Frames_for_Analysis\1689_C0074_L_0058.jpg</t>
  </si>
  <si>
    <t>E:\CAFNEC_GBRF\2022\BarronRiver\Frames_for_Analysis\1690_C0074_L_0062.jpg</t>
  </si>
  <si>
    <t>E:\CAFNEC_GBRF\2022\BarronRiver\Frames_for_Analysis\1691_C0074_L_0065.jpg</t>
  </si>
  <si>
    <t>E:\CAFNEC_GBRF\2022\BarronRiver\Frames_for_Analysis\1692_C0074_L_0069.jpg</t>
  </si>
  <si>
    <t>E:\CAFNEC_GBRF\2022\BarronRiver\Frames_for_Analysis\1693_C0074_L_0074.jpg</t>
  </si>
  <si>
    <t>E:\CAFNEC_GBRF\2022\BarronRiver\Frames_for_Analysis\1694_C0074_L_0078.jpg</t>
  </si>
  <si>
    <t>E:\CAFNEC_GBRF\2022\BarronRiver\Frames_for_Analysis\1695_C0074_L_0087.jpg</t>
  </si>
  <si>
    <t>E:\CAFNEC_GBRF\2022\BarronRiver\Frames_for_Analysis\1696_C0074_L_0092.jpg</t>
  </si>
  <si>
    <t>E:\CAFNEC_GBRF\2022\BarronRiver\Frames_for_Analysis\1697_C0074_L_0098.jpg</t>
  </si>
  <si>
    <t>E:\CAFNEC_GBRF\2022\BarronRiver\Frames_for_Analysis\1698_C0074_L_0105.jpg</t>
  </si>
  <si>
    <t>E:\CAFNEC_GBRF\2022\BarronRiver\Frames_for_Analysis\1699_C0074_L_0107.jpg</t>
  </si>
  <si>
    <t>E:\CAFNEC_GBRF\2022\BarronRiver\Frames_for_Analysis\1700_C0074_L_0110.jpg</t>
  </si>
  <si>
    <t>E:\CAFNEC_GBRF\2022\BarronRiver\Frames_for_Analysis\1701_C0074_L_0113.jpg</t>
  </si>
  <si>
    <t>E:\CAFNEC_GBRF\2022\BarronRiver\Frames_for_Analysis\1702_C0074_L_0117.jpg</t>
  </si>
  <si>
    <t>E:\CAFNEC_GBRF\2022\BarronRiver\Frames_for_Analysis\1703_C0074_L_0119.jpg</t>
  </si>
  <si>
    <t>E:\CAFNEC_GBRF\2022\BarronRiver\Frames_for_Analysis\1704_C0074_L_0127.jpg</t>
  </si>
  <si>
    <t>E:\CAFNEC_GBRF\2022\BarronRiver\Frames_for_Analysis\1705_C0074_L_0132.jpg</t>
  </si>
  <si>
    <t>E:\CAFNEC_GBRF\2022\BarronRiver\Frames_for_Analysis\1706_C0074_L_0135.jpg</t>
  </si>
  <si>
    <t>E:\CAFNEC_GBRF\2022\BarronRiver\Frames_for_Analysis\1707_C0074_L_0138.jpg</t>
  </si>
  <si>
    <t>E:\CAFNEC_GBRF\2022\BarronRiver\Frames_for_Analysis\1708_C0074_L_0141.jpg</t>
  </si>
  <si>
    <t>E:\CAFNEC_GBRF\2022\BarronRiver\Frames_for_Analysis\1709_C0074_L_0144.jpg</t>
  </si>
  <si>
    <t>E:\CAFNEC_GBRF\2022\BarronRiver\Frames_for_Analysis\1710_C0074_L_0149.jpg</t>
  </si>
  <si>
    <t>E:\CAFNEC_GBRF\2022\BarronRiver\Frames_for_Analysis\1711_C0074_L_0153.jpg</t>
  </si>
  <si>
    <t>E:\CAFNEC_GBRF\2022\BarronRiver\Frames_for_Analysis\1712_C0074_L_0158.jpg</t>
  </si>
  <si>
    <t>E:\CAFNEC_GBRF\2022\BarronRiver\Frames_for_Analysis\1713_C0074_L_0162.jpg</t>
  </si>
  <si>
    <t>E:\CAFNEC_GBRF\2022\BarronRiver\Frames_for_Analysis\1714_C0074_L_0165.jpg</t>
  </si>
  <si>
    <t>E:\CAFNEC_GBRF\2022\BarronRiver\Frames_for_Analysis\1715_C0074_L_0169.jpg</t>
  </si>
  <si>
    <t>E:\CAFNEC_GBRF\2022\BarronRiver\Frames_for_Analysis\1716_C0074_L_0173.jpg</t>
  </si>
  <si>
    <t>E:\CAFNEC_GBRF\2022\BarronRiver\Frames_for_Analysis\1717_C0074_L_0176.jpg</t>
  </si>
  <si>
    <t>E:\CAFNEC_GBRF\2022\BarronRiver\Frames_for_Analysis\1718_C0074_L_0181.jpg</t>
  </si>
  <si>
    <t>E:\CAFNEC_GBRF\2022\BarronRiver\Frames_for_Analysis\1719_C0074_L_0184.jpg</t>
  </si>
  <si>
    <t>E:\CAFNEC_GBRF\2022\BarronRiver\Frames_for_Analysis\1720_C0074_L_0187.jpg</t>
  </si>
  <si>
    <t>E:\CAFNEC_GBRF\2022\BarronRiver\Frames_for_Analysis\1721_C0074_L_0190.jpg</t>
  </si>
  <si>
    <t>E:\CAFNEC_GBRF\2022\BarronRiver\Frames_for_Analysis\1722_C0074_L_0194.jpg</t>
  </si>
  <si>
    <t>E:\CAFNEC_GBRF\2022\BarronRiver\Frames_for_Analysis\1723_C0074_L_0198.jpg</t>
  </si>
  <si>
    <t>E:\CAFNEC_GBRF\2022\BarronRiver\Frames_for_Analysis\1724_C0074_L_0201.jpg</t>
  </si>
  <si>
    <t>E:\CAFNEC_GBRF\2022\BarronRiver\Frames_for_Analysis\1725_C0074_L_0205.jpg</t>
  </si>
  <si>
    <t>E:\CAFNEC_GBRF\2022\BarronRiver\Frames_for_Analysis\1726_C0074_L_0209.jpg</t>
  </si>
  <si>
    <t>E:\CAFNEC_GBRF\2022\BarronRiver\Frames_for_Analysis\1727_C0074_L_0213.jpg</t>
  </si>
  <si>
    <t>E:\CAFNEC_GBRF\2022\BarronRiver\Frames_for_Analysis\1728_C0074_L_0217.jpg</t>
  </si>
  <si>
    <t>E:\CAFNEC_GBRF\2022\BarronRiver\Frames_for_Analysis\1729_C0074_L_0220.jpg</t>
  </si>
  <si>
    <t>E:\CAFNEC_GBRF\2022\BarronRiver\Frames_for_Analysis\1730_C0074_L_0224.jpg</t>
  </si>
  <si>
    <t>E:\CAFNEC_GBRF\2022\BarronRiver\Frames_for_Analysis\1731_C0074_L_0227.jpg</t>
  </si>
  <si>
    <t>E:\CAFNEC_GBRF\2022\BarronRiver\Frames_for_Analysis\1732_C0074_L_0231.jpg</t>
  </si>
  <si>
    <t>E:\CAFNEC_GBRF\2022\BarronRiver\Frames_for_Analysis\1733_C0074_L_0234.jpg</t>
  </si>
  <si>
    <t>E:\CAFNEC_GBRF\2022\BarronRiver\Frames_for_Analysis\1734_C0074_L_0238.jpg</t>
  </si>
  <si>
    <t>E:\CAFNEC_GBRF\2022\BarronRiver\Frames_for_Analysis\1735_C0074_L_0241.jpg</t>
  </si>
  <si>
    <t>E:\CAFNEC_GBRF\2022\BarronRiver\Frames_for_Analysis\1736_C0074_L_0244.jpg</t>
  </si>
  <si>
    <t>E:\CAFNEC_GBRF\2022\BarronRiver\Frames_for_Analysis\1737_C0074_L_0249.jpg</t>
  </si>
  <si>
    <t>E:\CAFNEC_GBRF\2022\BarronRiver\Frames_for_Analysis\1738_C0074_L_0252.jpg</t>
  </si>
  <si>
    <t>E:\CAFNEC_GBRF\2022\BarronRiver\Frames_for_Analysis\1739_C0074_L_0256.jpg</t>
  </si>
  <si>
    <t>E:\CAFNEC_GBRF\2022\BarronRiver\Frames_for_Analysis\1740_C0074_L_0260.jpg</t>
  </si>
  <si>
    <t>E:\CAFNEC_GBRF\2022\BarronRiver\Frames_for_Analysis\1741_C0074_L_0264.jpg</t>
  </si>
  <si>
    <t>E:\CAFNEC_GBRF\2022\BarronRiver\Frames_for_Analysis\1742_C0074_L_0268.jpg</t>
  </si>
  <si>
    <t>E:\CAFNEC_GBRF\2022\BarronRiver\Frames_for_Analysis\1743_C0074_L_0271.jpg</t>
  </si>
  <si>
    <t>E:\CAFNEC_GBRF\2022\BarronRiver\Frames_for_Analysis\1744_C0074_L_0274.jpg</t>
  </si>
  <si>
    <t>E:\CAFNEC_GBRF\2022\BarronRiver\Frames_for_Analysis\1745_C0074_L_0277.jpg</t>
  </si>
  <si>
    <t>E:\CAFNEC_GBRF\2022\BarronRiver\Frames_for_Analysis\1746_C0074_L_0281.jpg</t>
  </si>
  <si>
    <t>E:\CAFNEC_GBRF\2022\BarronRiver\Frames_for_Analysis\1747_C0074_L_0285.jpg</t>
  </si>
  <si>
    <t>E:\CAFNEC_GBRF\2022\BarronRiver\Frames_for_Analysis\1748_C0074_L_0289.jpg</t>
  </si>
  <si>
    <t>E:\CAFNEC_GBRF\2022\BarronRiver\Frames_for_Analysis\1749_C0074_L_0293.jpg</t>
  </si>
  <si>
    <t>E:\CAFNEC_GBRF\2022\BarronRiver\Frames_for_Analysis\1750_C0074_L_0296.jpg</t>
  </si>
  <si>
    <t>E:\CAFNEC_GBRF\2022\BarronRiver\Frames_for_Analysis\1751_C0074_L_0300.jpg</t>
  </si>
  <si>
    <t>E:\CAFNEC_GBRF\2022\BarronRiver\Frames_for_Analysis\1752_C0074_L_0303.jpg</t>
  </si>
  <si>
    <t>E:\CAFNEC_GBRF\2022\BarronRiver\Frames_for_Analysis\1753_C0074_L_0307.jpg</t>
  </si>
  <si>
    <t>E:\CAFNEC_GBRF\2022\BarronRiver\Frames_for_Analysis\1754_C0074_L_0310.jpg</t>
  </si>
  <si>
    <t>E:\CAFNEC_GBRF\2022\BarronRiver\Frames_for_Analysis\1755_C0074_L_0313.jpg</t>
  </si>
  <si>
    <t>E:\CAFNEC_GBRF\2022\BarronRiver\Frames_for_Analysis\1756_C0074_L_0316.jpg</t>
  </si>
  <si>
    <t>E:\CAFNEC_GBRF\2022\BarronRiver\Frames_for_Analysis\1757_C0074_L_0320.jpg</t>
  </si>
  <si>
    <t>E:\CAFNEC_GBRF\2022\BarronRiver\Frames_for_Analysis\1758_C0074_L_0324.jpg</t>
  </si>
  <si>
    <t>E:\CAFNEC_GBRF\2022\BarronRiver\Frames_for_Analysis\1759_C0074_L_0327.jpg</t>
  </si>
  <si>
    <t>E:\CAFNEC_GBRF\2022\BarronRiver\Frames_for_Analysis\1760_C0074_L_0330.jpg</t>
  </si>
  <si>
    <t>E:\CAFNEC_GBRF\2022\BarronRiver\Frames_for_Analysis\1761_C0074_L_0333.jpg</t>
  </si>
  <si>
    <t>E:\CAFNEC_GBRF\2022\BarronRiver\Frames_for_Analysis\1762_C0074_L_0335.jpg</t>
  </si>
  <si>
    <t>E:\CAFNEC_GBRF\2022\BarronRiver\Frames_for_Analysis\1763_C0074_L_0339.jpg</t>
  </si>
  <si>
    <t>E:\CAFNEC_GBRF\2022\BarronRiver\Frames_for_Analysis\1764_C0074_L_0343.jpg</t>
  </si>
  <si>
    <t>E:\CAFNEC_GBRF\2022\BarronRiver\Frames_for_Analysis\1765_C0074_L_0346.jpg</t>
  </si>
  <si>
    <t>E:\CAFNEC_GBRF\2022\BarronRiver\Frames_for_Analysis\1766_C0074_L_0350.jpg</t>
  </si>
  <si>
    <t>E:\CAFNEC_GBRF\2022\BarronRiver\Frames_for_Analysis\1767_C0074_L_0355.jpg</t>
  </si>
  <si>
    <t>E:\CAFNEC_GBRF\2022\BarronRiver\Frames_for_Analysis\1768_C0074_L_0356.jpg</t>
  </si>
  <si>
    <t>E:\CAFNEC_GBRF\2022\BarronRiver\Frames_for_Analysis\1769_C0074_L_0361.jpg</t>
  </si>
  <si>
    <t>E:\CAFNEC_GBRF\2022\BarronRiver\Frames_for_Analysis\1770_C0074_L_0364.jpg</t>
  </si>
  <si>
    <t>E:\CAFNEC_GBRF\2022\BarronRiver\Frames_for_Analysis\1771_C0074_L_0367.jpg</t>
  </si>
  <si>
    <t>E:\CAFNEC_GBRF\2022\BarronRiver\Frames_for_Analysis\1772_C0074_L_0370.jpg</t>
  </si>
  <si>
    <t>E:\CAFNEC_GBRF\2022\BarronRiver\Frames_for_Analysis\1773_C0074_L_0374.jpg</t>
  </si>
  <si>
    <t>E:\CAFNEC_GBRF\2022\BarronRiver\Frames_for_Analysis\1774_C0074_L_0378.jpg</t>
  </si>
  <si>
    <t>E:\CAFNEC_GBRF\2022\BarronRiver\Frames_for_Analysis\1775_C0074_L_0382.jpg</t>
  </si>
  <si>
    <t>E:\CAFNEC_GBRF\2022\BarronRiver\Frames_for_Analysis\1776_C0074_L_0386.jpg</t>
  </si>
  <si>
    <t>E:\CAFNEC_GBRF\2022\BarronRiver\Frames_for_Analysis\1777_C0074_L_0389.jpg</t>
  </si>
  <si>
    <t>E:\CAFNEC_GBRF\2022\BarronRiver\Frames_for_Analysis\1778_C0074_L_0392.jpg</t>
  </si>
  <si>
    <t>E:\CAFNEC_GBRF\2022\BarronRiver\Frames_for_Analysis\1779_C0074_L_0395.jpg</t>
  </si>
  <si>
    <t>E:\CAFNEC_GBRF\2022\BarronRiver\Frames_for_Analysis\1780_C0074_L_0398.jpg</t>
  </si>
  <si>
    <t>E:\CAFNEC_GBRF\2022\BarronRiver\Frames_for_Analysis\1781_C0074_L_0401.jpg</t>
  </si>
  <si>
    <t>E:\CAFNEC_GBRF\2022\BarronRiver\Frames_for_Analysis\1782_C0074_L_0404.jpg</t>
  </si>
  <si>
    <t>E:\CAFNEC_GBRF\2022\BarronRiver\Frames_for_Analysis\1783_C0074_L_0407.jpg</t>
  </si>
  <si>
    <t>E:\CAFNEC_GBRF\2022\BarronRiver\Frames_for_Analysis\1784_C0074_L_0409.jpg</t>
  </si>
  <si>
    <t>E:\CAFNEC_GBRF\2022\BarronRiver\Frames_for_Analysis\1785_C0074_L_0413.jpg</t>
  </si>
  <si>
    <t>E:\CAFNEC_GBRF\2022\BarronRiver\Frames_for_Analysis\1786_C0074_L_0416.jpg</t>
  </si>
  <si>
    <t>E:\CAFNEC_GBRF\2022\BarronRiver\Frames_for_Analysis\1787_C0074_L_0419.jpg</t>
  </si>
  <si>
    <t>E:\CAFNEC_GBRF\2022\BarronRiver\Frames_for_Analysis\1788_C0074_L_0422.jpg</t>
  </si>
  <si>
    <t>E:\CAFNEC_GBRF\2022\BarronRiver\Frames_for_Analysis\1789_C0074_L_0426.jpg</t>
  </si>
  <si>
    <t>E:\CAFNEC_GBRF\2022\BarronRiver\Frames_for_Analysis\1790_C0074_L_0429.jpg</t>
  </si>
  <si>
    <t>E:\CAFNEC_GBRF\2022\BarronRiver\Frames_for_Analysis\1791_C0074_L_0432.jpg</t>
  </si>
  <si>
    <t>E:\CAFNEC_GBRF\2022\BarronRiver\Frames_for_Analysis\1792_C0074_L_0435.jpg</t>
  </si>
  <si>
    <t>E:\CAFNEC_GBRF\2022\BarronRiver\Frames_for_Analysis\1793_C0074_L_0438.jpg</t>
  </si>
  <si>
    <t>E:\CAFNEC_GBRF\2022\BarronRiver\Frames_for_Analysis\1794_C0074_L_0442.jpg</t>
  </si>
  <si>
    <t>E:\CAFNEC_GBRF\2022\BarronRiver\Frames_for_Analysis\1795_C0074_L_0446.jpg</t>
  </si>
  <si>
    <t>E:\CAFNEC_GBRF\2022\BarronRiver\Frames_for_Analysis\1796_C0074_L_0449.jpg</t>
  </si>
  <si>
    <t>E:\CAFNEC_GBRF\2022\BarronRiver\Frames_for_Analysis\1797_C0074_L_0452.jpg</t>
  </si>
  <si>
    <t>E:\CAFNEC_GBRF\2022\BarronRiver\Frames_for_Analysis\1798_C0074_L_0454.jpg</t>
  </si>
  <si>
    <t>E:\CAFNEC_GBRF\2022\BarronRiver\Frames_for_Analysis\1799_C0074_L_0457.jpg</t>
  </si>
  <si>
    <t>E:\CAFNEC_GBRF\2022\BarronRiver\Frames_for_Analysis\1800_C0074_L_0460.jpg</t>
  </si>
  <si>
    <t>E:\CAFNEC_GBRF\2022\BarronRiver\Frames_for_Analysis\1801_C0074_L_0463.jpg</t>
  </si>
  <si>
    <t>E:\CAFNEC_GBRF\2022\BarronRiver\Frames_for_Analysis\1802_C0074_L_0465.jpg</t>
  </si>
  <si>
    <t>E:\CAFNEC_GBRF\2022\BarronRiver\Frames_for_Analysis\1803_C0074_L_0468.jpg</t>
  </si>
  <si>
    <t>E:\CAFNEC_GBRF\2022\BarronRiver\Frames_for_Analysis\1804_C0074_L_0474.jpg</t>
  </si>
  <si>
    <t>E:\CAFNEC_GBRF\2022\BarronRiver\Frames_for_Analysis\1805_C0074_L_0478.jpg</t>
  </si>
  <si>
    <t>E:\CAFNEC_GBRF\2022\BarronRiver\Frames_for_Analysis\1806_C0074_L_0480.jpg</t>
  </si>
  <si>
    <t>E:\CAFNEC_GBRF\2022\BarronRiver\Frames_for_Analysis\1807_C0074_L_0484.jpg</t>
  </si>
  <si>
    <t>E:\CAFNEC_GBRF\2022\BarronRiver\Frames_for_Analysis\1808_C0074_L_0487.jpg</t>
  </si>
  <si>
    <t>E:\CAFNEC_GBRF\2022\BarronRiver\Frames_for_Analysis\1809_C0074_L_0490.jpg</t>
  </si>
  <si>
    <t>E:\CAFNEC_GBRF\2022\BarronRiver\Frames_for_Analysis\1810_C0074_L_0493.jpg</t>
  </si>
  <si>
    <t>E:\CAFNEC_GBRF\2022\BarronRiver\Frames_for_Analysis\1811_C0074_L_0496.jpg</t>
  </si>
  <si>
    <t>E:\CAFNEC_GBRF\2022\BarronRiver\Frames_for_Analysis\1812_C0074_L_0499.jpg</t>
  </si>
  <si>
    <t>E:\CAFNEC_GBRF\2022\BarronRiver\Frames_for_Analysis\1813_C0074_L_0505.jpg</t>
  </si>
  <si>
    <t>E:\CAFNEC_GBRF\2022\BarronRiver\Frames_for_Analysis\1814_C0074_L_0509.jpg</t>
  </si>
  <si>
    <t>E:\CAFNEC_GBRF\2022\BarronRiver\Frames_for_Analysis\1815_C0074_L_0512.jpg</t>
  </si>
  <si>
    <t>E:\CAFNEC_GBRF\2022\BarronRiver\Frames_for_Analysis\1816_C0074_L_0515.jpg</t>
  </si>
  <si>
    <t>E:\CAFNEC_GBRF\2022\BarronRiver\Frames_for_Analysis\1817_C0074_L_0518.jpg</t>
  </si>
  <si>
    <t>E:\CAFNEC_GBRF\2022\BarronRiver\Frames_for_Analysis\1818_C0074_L_0521.jpg</t>
  </si>
  <si>
    <t>E:\CAFNEC_GBRF\2022\BarronRiver\Frames_for_Analysis\1819_C0074_L_0523.jpg</t>
  </si>
  <si>
    <t>E:\CAFNEC_GBRF\2022\BarronRiver\Frames_for_Analysis\1820_C0074_L_0526.jpg</t>
  </si>
  <si>
    <t>E:\CAFNEC_GBRF\2022\BarronRiver\Frames_for_Analysis\1821_C0074_L_0531.jpg</t>
  </si>
  <si>
    <t>E:\CAFNEC_GBRF\2022\BarronRiver\Frames_for_Analysis\1822_C0074_L_0535.jpg</t>
  </si>
  <si>
    <t>E:\CAFNEC_GBRF\2022\BarronRiver\Frames_for_Analysis\1823_C0074_L_0539.jpg</t>
  </si>
  <si>
    <t>E:\CAFNEC_GBRF\2022\BarronRiver\Frames_for_Analysis\1824_C0074_L_0542.jpg</t>
  </si>
  <si>
    <t>E:\CAFNEC_GBRF\2022\BarronRiver\Frames_for_Analysis\1825_C0074_L_0545.jpg</t>
  </si>
  <si>
    <t>E:\CAFNEC_GBRF\2022\BarronRiver\Frames_for_Analysis\1826_C0074_L_0548.jpg</t>
  </si>
  <si>
    <t>E:\CAFNEC_GBRF\2022\BarronRiver\Frames_for_Analysis\1827_C0074_L_0550.jpg</t>
  </si>
  <si>
    <t>E:\CAFNEC_GBRF\2022\BarronRiver\Frames_for_Analysis\1828_C0074_L_0553.jpg</t>
  </si>
  <si>
    <t>E:\CAFNEC_GBRF\2022\BarronRiver\Frames_for_Analysis\1829_C0074_L_0556.jpg</t>
  </si>
  <si>
    <t>E:\CAFNEC_GBRF\2022\BarronRiver\Frames_for_Analysis\1830_C0074_L_0559.jpg</t>
  </si>
  <si>
    <t>E:\CAFNEC_GBRF\2022\BarronRiver\Frames_for_Analysis\1831_C0074_L_0562.jpg</t>
  </si>
  <si>
    <t>E:\CAFNEC_GBRF\2022\BarronRiver\Frames_for_Analysis\1832_C0075_L_0002.jpg</t>
  </si>
  <si>
    <t>E:\CAFNEC_GBRF\2022\BarronRiver\Frames_for_Analysis\1833_C0075_L_0006.jpg</t>
  </si>
  <si>
    <t>E:\CAFNEC_GBRF\2022\BarronRiver\Frames_for_Analysis\1834_C0075_L_0010.jpg</t>
  </si>
  <si>
    <t>E:\CAFNEC_GBRF\2022\BarronRiver\Frames_for_Analysis\1835_C0075_L_0013.jpg</t>
  </si>
  <si>
    <t>E:\CAFNEC_GBRF\2022\BarronRiver\Frames_for_Analysis\1836_C0075_L_0017.jpg</t>
  </si>
  <si>
    <t>E:\CAFNEC_GBRF\2022\BarronRiver\Frames_for_Analysis\1837_C0075_L_0022.jpg</t>
  </si>
  <si>
    <t>E:\CAFNEC_GBRF\2022\BarronRiver\Frames_for_Analysis\1838_C0075_L_0024.jpg</t>
  </si>
  <si>
    <t>E:\CAFNEC_GBRF\2022\BarronRiver\Frames_for_Analysis\1839_C0075_L_0027.jpg</t>
  </si>
  <si>
    <t>E:\CAFNEC_GBRF\2022\BarronRiver\Frames_for_Analysis\1840_C0075_L_0030.jpg</t>
  </si>
  <si>
    <t>E:\CAFNEC_GBRF\2022\BarronRiver\Frames_for_Analysis\1841_C0075_L_0032.jpg</t>
  </si>
  <si>
    <t>E:\CAFNEC_GBRF\2022\BarronRiver\Frames_for_Analysis\1842_C0075_L_0035.jpg</t>
  </si>
  <si>
    <t>E:\CAFNEC_GBRF\2022\BarronRiver\Frames_for_Analysis\1843_C0075_L_0040.jpg</t>
  </si>
  <si>
    <t>E:\CAFNEC_GBRF\2022\BarronRiver\Frames_for_Analysis\1844_C0075_L_0044.jpg</t>
  </si>
  <si>
    <t>E:\CAFNEC_GBRF\2022\BarronRiver\Frames_for_Analysis\1845_C0075_L_0048.jpg</t>
  </si>
  <si>
    <t>E:\CAFNEC_GBRF\2022\BarronRiver\Frames_for_Analysis\1846_C0075_L_0052.jpg</t>
  </si>
  <si>
    <t>E:\CAFNEC_GBRF\2022\BarronRiver\Frames_for_Analysis\1847_C0075_L_0059.jpg</t>
  </si>
  <si>
    <t>E:\CAFNEC_GBRF\2022\BarronRiver\Frames_for_Analysis\1848_C0075_L_0063.jpg</t>
  </si>
  <si>
    <t>E:\CAFNEC_GBRF\2022\BarronRiver\Frames_for_Analysis\1849_C0075_L_0066.jpg</t>
  </si>
  <si>
    <t>E:\CAFNEC_GBRF\2022\BarronRiver\Frames_for_Analysis\1850_C0075_L_0070.jpg</t>
  </si>
  <si>
    <t>E:\CAFNEC_GBRF\2022\BarronRiver\Frames_for_Analysis\1851_C0075_L_0073.jpg</t>
  </si>
  <si>
    <t>E:\CAFNEC_GBRF\2022\BarronRiver\Frames_for_Analysis\1852_C0075_L_0076.jpg</t>
  </si>
  <si>
    <t>E:\CAFNEC_GBRF\2022\BarronRiver\Frames_for_Analysis\1853_C0075_L_0080.jpg</t>
  </si>
  <si>
    <t>E:\CAFNEC_GBRF\2022\BarronRiver\Frames_for_Analysis\1854_C0075_L_0083.jpg</t>
  </si>
  <si>
    <t>E:\CAFNEC_GBRF\2022\BarronRiver\Frames_for_Analysis\1855_C0075_L_0086.jpg</t>
  </si>
  <si>
    <t>E:\CAFNEC_GBRF\2022\BarronRiver\Frames_for_Analysis\1856_C0075_L_0090.jpg</t>
  </si>
  <si>
    <t>E:\CAFNEC_GBRF\2022\BarronRiver\Frames_for_Analysis\1857_C0075_L_0094.jpg</t>
  </si>
  <si>
    <t>E:\CAFNEC_GBRF\2022\BarronRiver\Frames_for_Analysis\1858_C0075_L_0098.jpg</t>
  </si>
  <si>
    <t>E:\CAFNEC_GBRF\2022\BarronRiver\Frames_for_Analysis\1859_C0075_L_0101.jpg</t>
  </si>
  <si>
    <t>E:\CAFNEC_GBRF\2022\BarronRiver\Frames_for_Analysis\1860_C0075_L_0105.jpg</t>
  </si>
  <si>
    <t>E:\CAFNEC_GBRF\2022\BarronRiver\Frames_for_Analysis\1861_C0075_L_0110.jpg</t>
  </si>
  <si>
    <t>E:\CAFNEC_GBRF\2022\BarronRiver\Frames_for_Analysis\1862_C0075_L_0113.jpg</t>
  </si>
  <si>
    <t>E:\CAFNEC_GBRF\2022\BarronRiver\Frames_for_Analysis\1863_C0075_L_0115.jpg</t>
  </si>
  <si>
    <t>E:\CAFNEC_GBRF\2022\BarronRiver\Frames_for_Analysis\1864_C0075_L_0118.jpg</t>
  </si>
  <si>
    <t>E:\CAFNEC_GBRF\2022\BarronRiver\Frames_for_Analysis\1865_C0075_L_0122.jpg</t>
  </si>
  <si>
    <t>E:\CAFNEC_GBRF\2022\BarronRiver\Frames_for_Analysis\1866_C0075_L_0126.jpg</t>
  </si>
  <si>
    <t>E:\CAFNEC_GBRF\2022\BarronRiver\Frames_for_Analysis\1867_C0075_L_0129.jpg</t>
  </si>
  <si>
    <t>E:\CAFNEC_GBRF\2022\BarronRiver\Frames_for_Analysis\1868_C0075_L_0133.jpg</t>
  </si>
  <si>
    <t>E:\CAFNEC_GBRF\2022\BarronRiver\Frames_for_Analysis\1869_C0075_L_0137.jpg</t>
  </si>
  <si>
    <t>E:\CAFNEC_GBRF\2022\BarronRiver\Frames_for_Analysis\1870_C0075_L_0140.jpg</t>
  </si>
  <si>
    <t>E:\CAFNEC_GBRF\2022\BarronRiver\Frames_for_Analysis\1871_C0075_L_0143.jpg</t>
  </si>
  <si>
    <t>E:\CAFNEC_GBRF\2022\BarronRiver\Frames_for_Analysis\1872_C0075_L_0150.jpg</t>
  </si>
  <si>
    <t>E:\CAFNEC_GBRF\2022\BarronRiver\Frames_for_Analysis\1873_C0075_L_0154.jpg</t>
  </si>
  <si>
    <t>E:\CAFNEC_GBRF\2022\BarronRiver\Frames_for_Analysis\1874_C0075_L_0160.jpg</t>
  </si>
  <si>
    <t>E:\CAFNEC_GBRF\2022\BarronRiver\Frames_for_Analysis\1875_C0075_L_0161.jpg</t>
  </si>
  <si>
    <t>E:\CAFNEC_GBRF\2022\BarronRiver\Frames_for_Analysis\1876_C0075_L_0162.jpg</t>
  </si>
  <si>
    <t>E:\CAFNEC_GBRF\2022\BarronRiver\Frames_for_Analysis\1877_C0075_L_0164.jpg</t>
  </si>
  <si>
    <t>E:\CAFNEC_GBRF\2022\BarronRiver\Frames_for_Analysis\1878_C0075_L_0165.jpg</t>
  </si>
  <si>
    <t>E:\CAFNEC_GBRF\2022\BarronRiver\Frames_for_Analysis\1880_C0075_L_0168.jpg</t>
  </si>
  <si>
    <t>E:\CAFNEC_GBRF\2022\BarronRiver\Frames_for_Analysis\1881_C0075_L_0205.jpg</t>
  </si>
  <si>
    <t>E:\CAFNEC_GBRF\2022\BarronRiver\Frames_for_Analysis\1882_C0075_L_0196.jpg</t>
  </si>
  <si>
    <t>E:\CAFNEC_GBRF\2022\BarronRiver\Frames_for_Analysis\1883_C0075_L_0212.jpg</t>
  </si>
  <si>
    <t>E:\CAFNEC_GBRF\2022\BarronRiver\Frames_for_Analysis\1884_C0075_L_0216.jpg</t>
  </si>
  <si>
    <t>E:\CAFNEC_GBRF\2022\BarronRiver\Frames_for_Analysis\1885_C0075_L_0219.jpg</t>
  </si>
  <si>
    <t>E:\CAFNEC_GBRF\2022\BarronRiver\Frames_for_Analysis\1886_C0075_L_0225.jpg</t>
  </si>
  <si>
    <t>E:\CAFNEC_GBRF\2022\BarronRiver\Frames_for_Analysis\1887_C0075_L_0233.jpg</t>
  </si>
  <si>
    <t>E:\CAFNEC_GBRF\2022\BarronRiver\Frames_for_Analysis\1888_C0075_L_0236.jpg</t>
  </si>
  <si>
    <t>E:\CAFNEC_GBRF\2022\BarronRiver\Frames_for_Analysis\1889_C0075_L_0242.jpg</t>
  </si>
  <si>
    <t>E:\CAFNEC_GBRF\2022\BarronRiver\Frames_for_Analysis\1890_C0075_L_0249.jpg</t>
  </si>
  <si>
    <t>E:\CAFNEC_GBRF\2022\BarronRiver\Frames_for_Analysis\1891_C0075_L_0251.jpg</t>
  </si>
  <si>
    <t>E:\CAFNEC_GBRF\2022\BarronRiver\Frames_for_Analysis\1892_C0075_L_0260.jpg</t>
  </si>
  <si>
    <t>E:\CAFNEC_GBRF\2022\BarronRiver\Frames_for_Analysis\1893_C0075_L_0256.jpg</t>
  </si>
  <si>
    <t>E:\CAFNEC_GBRF\2022\BarronRiver\Frames_for_Analysis\1894_C0075_L_0263.jpg</t>
  </si>
  <si>
    <t>E:\CAFNEC_GBRF\2022\BarronRiver\Frames_for_Analysis\1895_C0075_L_0185.jpg</t>
  </si>
  <si>
    <t>E:\CAFNEC_GBRF\2022\BarronRiver\Frames_for_Analysis\1896_C0075_L_0266.jpg</t>
  </si>
  <si>
    <t>E:\CAFNEC_GBRF\2022\BarronRiver\Frames_for_Analysis\1897_C0075_L_0267.jpg</t>
  </si>
  <si>
    <t>E:\CAFNEC_GBRF\2022\BarronRiver\Frames_for_Analysis\1898_C0075_L_0268.jpg</t>
  </si>
  <si>
    <t>E:\CAFNEC_GBRF\2022\BarronRiver\Frames_for_Analysis\1899_C0075_L_0269.jpg</t>
  </si>
  <si>
    <t>E:\CAFNEC_GBRF\2022\BarronRiver\Frames_for_Analysis\1900_C0075_L_0270.jpg</t>
  </si>
  <si>
    <t>E:\CAFNEC_GBRF\2022\BarronRiver\Frames_for_Analysis\1902_C0075_L_0271.jpg</t>
  </si>
  <si>
    <t>E:\CAFNEC_GBRF\2022\BarronRiver\Frames_for_Analysis\1903_C0075_L_0272.jpg</t>
  </si>
  <si>
    <t>E:\CAFNEC_GBRF\2022\BarronRiver\Frames_for_Analysis\1905_C0075_L_0273.jpg</t>
  </si>
  <si>
    <t>E:\CAFNEC_GBRF\2022\BarronRiver\Frames_for_Analysis\1906_C0075_L_0294.jpg</t>
  </si>
  <si>
    <t>E:\CAFNEC_GBRF\2022\BarronRiver\Frames_for_Analysis\1907_C0075_L_0292.jpg</t>
  </si>
  <si>
    <t>E:\CAFNEC_GBRF\2022\BarronRiver\Frames_for_Analysis\1908_C0075_L_0291.jpg</t>
  </si>
  <si>
    <t>E:\CAFNEC_GBRF\2022\BarronRiver\Frames_for_Analysis\1909_C0075_L_0327.jpg</t>
  </si>
  <si>
    <t>E:\CAFNEC_GBRF\2022\BarronRiver\Frames_for_Analysis\1910_C0027_R_1_0281.jpg</t>
  </si>
  <si>
    <t>E:\CAFNEC_GBRF\2022\BarronRiver\Frames_for_Analysis\1911_C0075_L_0275.jpg</t>
  </si>
  <si>
    <t>E:\CAFNEC_GBRF\2022\BarronRiver\Frames_for_Analysis\1912_C0027_R_1_0269.jpg</t>
  </si>
  <si>
    <t>E:\CAFNEC_GBRF\2022\BarronRiver\Frames_for_Analysis\1913_C0075_L_0341.jpg</t>
  </si>
  <si>
    <t>E:\CAFNEC_GBRF\2022\BarronRiver\Frames_for_Analysis\1914_C0027_R_1_0259.jpg</t>
  </si>
  <si>
    <t>E:\CAFNEC_GBRF\2022\BarronRiver\Frames_for_Analysis\1915_C0075_L_0352.jpg</t>
  </si>
  <si>
    <t>E:\CAFNEC_GBRF\2022\BarronRiver\Frames_for_Analysis\1916_C0027_R_1_0250.jpg</t>
  </si>
  <si>
    <t>E:\CAFNEC_GBRF\2022\BarronRiver\Frames_for_Analysis\1917_C0027_R_1_0245.jpg</t>
  </si>
  <si>
    <t>E:\CAFNEC_GBRF\2022\BarronRiver\Frames_for_Analysis\1918_C0027_R_1_0240.jpg</t>
  </si>
  <si>
    <t>E:\CAFNEC_GBRF\2022\BarronRiver\Frames_for_Analysis\1919_C0027_R_1_0236.jpg</t>
  </si>
  <si>
    <t>E:\CAFNEC_GBRF\2022\BarronRiver\Frames_for_Analysis\1920_C0027_R_1_0231.jpg</t>
  </si>
  <si>
    <t>E:\CAFNEC_GBRF\2022\BarronRiver\Frames_for_Analysis\1921_C0027_R_1_0227.jpg</t>
  </si>
  <si>
    <t>E:\CAFNEC_GBRF\2022\BarronRiver\Frames_for_Analysis\1922_C0075_L_0379.jpg</t>
  </si>
  <si>
    <t>E:\CAFNEC_GBRF\2022\BarronRiver\Frames_for_Analysis\1923_C0075_L_0384.jpg</t>
  </si>
  <si>
    <t>E:\CAFNEC_GBRF\2022\BarronRiver\Frames_for_Analysis\1924_C0075_L_0387.jpg</t>
  </si>
  <si>
    <t>E:\CAFNEC_GBRF\2022\BarronRiver\Frames_for_Analysis\1925_C0027_R_1_0207.jpg</t>
  </si>
  <si>
    <t>E:\CAFNEC_GBRF\2022\BarronRiver\Frames_for_Analysis\1926_C0027_R_1_0202.jpg</t>
  </si>
  <si>
    <t>E:\CAFNEC_GBRF\2022\BarronRiver\Frames_for_Analysis\1927_C0075_L_0412.jpg</t>
  </si>
  <si>
    <t>E:\CAFNEC_GBRF\2022\BarronRiver\Frames_for_Analysis\1928_C0027_R_1_0193.jpg</t>
  </si>
  <si>
    <t>E:\CAFNEC_GBRF\2022\BarronRiver\Frames_for_Analysis\1929_C0027_R_1_0190.jpg</t>
  </si>
  <si>
    <t>E:\CAFNEC_GBRF\2022\BarronRiver\Frames_for_Analysis\1930_C0027_R_1_0185.jpg</t>
  </si>
  <si>
    <t>E:\CAFNEC_GBRF\2022\BarronRiver\Frames_for_Analysis\1931_C0075_L_0423.jpg</t>
  </si>
  <si>
    <t>E:\CAFNEC_GBRF\2022\BarronRiver\Frames_for_Analysis\1932_C0027_R_1_0179.jpg</t>
  </si>
  <si>
    <t>E:\CAFNEC_GBRF\2022\BarronRiver\Frames_for_Analysis\1933_C0027_R_1_0174.jpg</t>
  </si>
  <si>
    <t>E:\CAFNEC_GBRF\2022\BarronRiver\Frames_for_Analysis\1934_C0027_R_1_0167.jpg</t>
  </si>
  <si>
    <t>E:\CAFNEC_GBRF\2022\BarronRiver\Frames_for_Analysis\1935_C0027_R_1_0164.jpg</t>
  </si>
  <si>
    <t>E:\CAFNEC_GBRF\2022\BarronRiver\Frames_for_Analysis\1936_C0027_R_1_0159.jpg</t>
  </si>
  <si>
    <t>E:\CAFNEC_GBRF\2022\BarronRiver\Frames_for_Analysis\1937_C0027_R_1_0155.jpg</t>
  </si>
  <si>
    <t>E:\CAFNEC_GBRF\2022\BarronRiver\Frames_for_Analysis\1938_C0075_L_0450.jpg</t>
  </si>
  <si>
    <t>E:\CAFNEC_GBRF\2022\BarronRiver\Frames_for_Analysis\1939_C0075_L_0452.jpg</t>
  </si>
  <si>
    <t>E:\CAFNEC_GBRF\2022\BarronRiver\Frames_for_Analysis\1940_C0075_L_0455.jpg</t>
  </si>
  <si>
    <t>E:\CAFNEC_GBRF\2022\BarronRiver\Frames_for_Analysis\1941_C0027_R_1_0136.jpg</t>
  </si>
  <si>
    <t>E:\CAFNEC_GBRF\2022\BarronRiver\Frames_for_Analysis\1942_C0075_L_0461.jpg</t>
  </si>
  <si>
    <t>E:\CAFNEC_GBRF\2022\BarronRiver\Frames_for_Analysis\1943_C0027_R_1_0127.jpg</t>
  </si>
  <si>
    <t>E:\CAFNEC_GBRF\2022\BarronRiver\Frames_for_Analysis\1944_C0027_R_1_0123.jpg</t>
  </si>
  <si>
    <t>E:\CAFNEC_GBRF\2022\BarronRiver\Frames_for_Analysis\1945_C0075_L_0468.jpg</t>
  </si>
  <si>
    <t>E:\CAFNEC_GBRF\2022\BarronRiver\Frames_for_Analysis\1946_C0027_R_1_0113.jpg</t>
  </si>
  <si>
    <t>E:\CAFNEC_GBRF\2022\BarronRiver\Frames_for_Analysis\1947_C0075_L_0474.jpg</t>
  </si>
  <si>
    <t>E:\CAFNEC_GBRF\2022\BarronRiver\Frames_for_Analysis\1948_C0027_R_1_0105.jpg</t>
  </si>
  <si>
    <t>E:\CAFNEC_GBRF\2022\BarronRiver\Frames_for_Analysis\1949_C0075_L_0479.jpg</t>
  </si>
  <si>
    <t>E:\CAFNEC_GBRF\2022\BarronRiver\Frames_for_Analysis\1950_C0075_L_0481.jpg</t>
  </si>
  <si>
    <t>E:\CAFNEC_GBRF\2022\BarronRiver\Frames_for_Analysis\1951_C0075_L_0483.jpg</t>
  </si>
  <si>
    <t>E:\CAFNEC_GBRF\2022\BarronRiver\Frames_for_Analysis\1952_C0027_R_1_0094.jpg</t>
  </si>
  <si>
    <t>E:\CAFNEC_GBRF\2022\BarronRiver\Frames_for_Analysis\1953_C0075_L_0490.jpg</t>
  </si>
  <si>
    <t>E:\CAFNEC_GBRF\2022\BarronRiver\Frames_for_Analysis\1954_C0075_L_0494.jpg</t>
  </si>
  <si>
    <t>E:\CAFNEC_GBRF\2022\BarronRiver\Frames_for_Analysis\1955_C0075_L_0496.jpg</t>
  </si>
  <si>
    <t>E:\CAFNEC_GBRF\2022\BarronRiver\Frames_for_Analysis\1956_C0075_L_0499.jpg</t>
  </si>
  <si>
    <t>E:\CAFNEC_GBRF\2022\BarronRiver\Frames_for_Analysis\1957_C0027_R_1_0078.jpg</t>
  </si>
  <si>
    <t>E:\CAFNEC_GBRF\2022\BarronRiver\Frames_for_Analysis\1958_C0027_R_1_0075.jpg</t>
  </si>
  <si>
    <t>E:\CAFNEC_GBRF\2022\BarronRiver\Frames_for_Analysis\1959_C0027_R_1_0072.jpg</t>
  </si>
  <si>
    <t>E:\CAFNEC_GBRF\2022\BarronRiver\Frames_for_Analysis\1960_C0075_L_0512.jpg</t>
  </si>
  <si>
    <t>E:\CAFNEC_GBRF\2022\BarronRiver\Frames_for_Analysis\1961_C0027_R_1_0066.jpg</t>
  </si>
  <si>
    <t>E:\CAFNEC_GBRF\2022\BarronRiver\Frames_for_Analysis\1962_C0027_R_1_0063.jpg</t>
  </si>
  <si>
    <t>E:\CAFNEC_GBRF\2022\BarronRiver\Frames_for_Analysis\1963_C0027_R_1_0061.jpg</t>
  </si>
  <si>
    <t>E:\CAFNEC_GBRF\2022\BarronRiver\Frames_for_Analysis\1964_C0027_R_1_0058.jpg</t>
  </si>
  <si>
    <t>E:\CAFNEC_GBRF\2022\BarronRiver\Frames_for_Analysis\1965_C0027_R_1_0055.jpg</t>
  </si>
  <si>
    <t>E:\CAFNEC_GBRF\2022\BarronRiver\Frames_for_Analysis\1966_C0027_R_1_0052.jpg</t>
  </si>
  <si>
    <t>E:\CAFNEC_GBRF\2022\BarronRiver\Frames_for_Analysis\1967_C0027_R_1_0048.jpg</t>
  </si>
  <si>
    <t>E:\CAFNEC_GBRF\2022\BarronRiver\Frames_for_Analysis\1968_C0027_R_1_0044.jpg</t>
  </si>
  <si>
    <t>E:\CAFNEC_GBRF\2022\BarronRiver\Frames_for_Analysis\1969_C0027_R_1_0041.jpg</t>
  </si>
  <si>
    <t>E:\CAFNEC_GBRF\2022\BarronRiver\Frames_for_Analysis\1970_C0027_R_1_0039.jpg</t>
  </si>
  <si>
    <t>E:\CAFNEC_GBRF\2022\BarronRiver\Frames_for_Analysis\1971_C0027_R_1_0036.jpg</t>
  </si>
  <si>
    <t>E:\CAFNEC_GBRF\2022\BarronRiver\Frames_for_Analysis\1972_C0027_R_1_0034.jpg</t>
  </si>
  <si>
    <t>E:\CAFNEC_GBRF\2022\BarronRiver\Frames_for_Analysis\1973_C0027_R_1_0031.jpg</t>
  </si>
  <si>
    <t>E:\CAFNEC_GBRF\2022\BarronRiver\Frames_for_Analysis\1974_C0027_R_1_0027.jpg</t>
  </si>
  <si>
    <t>E:\CAFNEC_GBRF\2022\BarronRiver\Frames_for_Analysis\1975_C0027_R_1_0025.jpg</t>
  </si>
  <si>
    <t>E:\CAFNEC_GBRF\2022\BarronRiver\Frames_for_Analysis\1976_C0027_R_1_0021.jpg</t>
  </si>
  <si>
    <t>E:\CAFNEC_GBRF\2022\BarronRiver\Frames_for_Analysis\1977_C0027_R_1_0019.jpg</t>
  </si>
  <si>
    <t>E:\CAFNEC_GBRF\2022\BarronRiver\Frames_for_Analysis\1978_C0027_R_1_0015.jpg</t>
  </si>
  <si>
    <t>E:\CAFNEC_GBRF\2022\BarronRiver\Frames_for_Analysis\1979_C0027_R_1_0013.jpg</t>
  </si>
  <si>
    <t>E:\CAFNEC_GBRF\2022\BarronRiver\Frames_for_Analysis\1980_C0027_R_1_0010.jpg</t>
  </si>
  <si>
    <t>E:\CAFNEC_GBRF\2022\BarronRiver\Frames_for_Analysis\1981_C0027_R_1_0007.jpg</t>
  </si>
  <si>
    <t>E:\CAFNEC_GBRF\2022\BarronRiver\Frames_for_Analysis\1982_C0027_R_1_0004.jpg</t>
  </si>
  <si>
    <t>E:\CAFNEC_GBRF\2022\BarronRiver\Frames_for_Analysis\1983_C0027_R_0055.jpg</t>
  </si>
  <si>
    <t>E:\CAFNEC_GBRF\2022\BarronRiver\Frames_for_Analysis\1984_C0027_R_0052.jpg</t>
  </si>
  <si>
    <t>E:\CAFNEC_GBRF\2022\BarronRiver\Frames_for_Analysis\1985_C0027_R_0048.jpg</t>
  </si>
  <si>
    <t>E:\CAFNEC_GBRF\2022\BarronRiver\Frames_for_Analysis\1986_C0027_R_0045.jpg</t>
  </si>
  <si>
    <t>E:\CAFNEC_GBRF\2022\BarronRiver\Frames_for_Analysis\1987_C0027_R_0042.jpg</t>
  </si>
  <si>
    <t>E:\CAFNEC_GBRF\2022\BarronRiver\Frames_for_Analysis\1988_C0027_R_0040.jpg</t>
  </si>
  <si>
    <t>E:\CAFNEC_GBRF\2022\BarronRiver\Frames_for_Analysis\1989_C0027_R_0037.jpg</t>
  </si>
  <si>
    <t>E:\CAFNEC_GBRF\2022\BarronRiver\Frames_for_Analysis\1990_C0027_R_0035.jpg</t>
  </si>
  <si>
    <t>E:\CAFNEC_GBRF\2022\BarronRiver\Frames_for_Analysis\1991_C0027_R_0034.jpg</t>
  </si>
  <si>
    <t>E:\CAFNEC_GBRF\2022\BarronRiver\Frames_for_Analysis\1992_C0027_R_0032.jpg</t>
  </si>
  <si>
    <t>E:\CAFNEC_GBRF\2022\BarronRiver\Frames_for_Analysis\1993_C0027_R_0029.jpg</t>
  </si>
  <si>
    <t>E:\CAFNEC_GBRF\2022\BarronRiver\Frames_for_Analysis\1994_C0027_R_0027.jpg</t>
  </si>
  <si>
    <t>E:\CAFNEC_GBRF\2022\BarronRiver\Frames_for_Analysis\1995_C0027_R_0025.jpg</t>
  </si>
  <si>
    <t>E:\CAFNEC_GBRF\2022\BarronRiver\Frames_for_Analysis\1996_C0027_R_0022.jpg</t>
  </si>
  <si>
    <t>E:\CAFNEC_GBRF\2022\BarronRiver\Frames_for_Analysis\1997_C0027_R_0020.jpg</t>
  </si>
  <si>
    <t>E:\CAFNEC_GBRF\2022\BarronRiver\Frames_for_Analysis\1998_C0022 (2)_R_0041.jpg</t>
  </si>
  <si>
    <t>E:\CAFNEC_GBRF\2022\BarronRiver\Frames_for_Analysis\1999_C0022 (2)_R_0037.jpg</t>
  </si>
  <si>
    <t>E:\CAFNEC_GBRF\2022\BarronRiver\Frames_for_Analysis\2000_C0022 (2)_R_0034.jpg</t>
  </si>
  <si>
    <t>E:\CAFNEC_GBRF\2022\BarronRiver\Frames_for_Analysis\2001_C0022 (2)_R_0031.jpg</t>
  </si>
  <si>
    <t>E:\CAFNEC_GBRF\2022\BarronRiver\Frames_for_Analysis\2002_C0022 (2)_R_0028.jpg</t>
  </si>
  <si>
    <t>E:\CAFNEC_GBRF\2022\BarronRiver\Frames_for_Analysis\2003_C0022 (2)_R_0023.jpg</t>
  </si>
  <si>
    <t>E:\CAFNEC_GBRF\2022\BarronRiver\Frames_for_Analysis\2004_C0022 (2)_R_0019.jpg</t>
  </si>
  <si>
    <t>E:\CAFNEC_GBRF\2022\BarronRiver\Frames_for_Analysis\2005_C0022 (2)_R_0014.jpg</t>
  </si>
  <si>
    <t>E:\CAFNEC_GBRF\2022\BarronRiver\Frames_for_Analysis\2006_C0022 (2)_R_0010.jpg</t>
  </si>
  <si>
    <t>E:\CAFNEC_GBRF\2022\BarronRiver\Frames_for_Analysis\2007_C0022 (2)_R_0007.jpg</t>
  </si>
  <si>
    <t>E:\CAFNEC_GBRF\2022\BarronRiver\Frames_for_Analysis\2008_C0022 (2)_R_0003.jpg</t>
  </si>
  <si>
    <t>E:\CAFNEC_GBRF\2022\BarronRiver\Frames_for_Analysis\2009_C0021 (2)_R_0574.jpg</t>
  </si>
  <si>
    <t>E:\CAFNEC_GBRF\2022\BarronRiver\Frames_for_Analysis\2010_C0021 (2)_R_0569.jpg</t>
  </si>
  <si>
    <t>E:\CAFNEC_GBRF\2022\BarronRiver\Frames_for_Analysis\2011_C0021 (2)_R_0566.jpg</t>
  </si>
  <si>
    <t>E:\CAFNEC_GBRF\2022\BarronRiver\Frames_for_Analysis\2012_C0021 (2)_R_0563.jpg</t>
  </si>
  <si>
    <t>E:\CAFNEC_GBRF\2022\BarronRiver\Frames_for_Analysis\2013_C0021 (2)_R_0561.jpg</t>
  </si>
  <si>
    <t>E:\CAFNEC_GBRF\2022\BarronRiver\Frames_for_Analysis\2014_C0021 (2)_R_0559.jpg</t>
  </si>
  <si>
    <t>E:\CAFNEC_GBRF\2022\BarronRiver\Frames_for_Analysis\2015_C0021 (2)_R_0558.jpg</t>
  </si>
  <si>
    <t>E:\CAFNEC_GBRF\2022\BarronRiver\Frames_for_Analysis\2016_C0021 (2)_R_0557.jpg</t>
  </si>
  <si>
    <t>E:\CAFNEC_GBRF\2022\BarronRiver\Frames_for_Analysis\2017_C0021 (2)_R_0555.jpg</t>
  </si>
  <si>
    <t>E:\CAFNEC_GBRF\2022\BarronRiver\Frames_for_Analysis\2018_C0021 (2)_R_0554.jpg</t>
  </si>
  <si>
    <t>E:\CAFNEC_GBRF\2022\BarronRiver\Frames_for_Analysis\2019_C0021 (2)_R_0552.jpg</t>
  </si>
  <si>
    <t>E:\CAFNEC_GBRF\2022\BarronRiver\Frames_for_Analysis\2020_C0021 (2)_R_0550.jpg</t>
  </si>
  <si>
    <t>E:\CAFNEC_GBRF\2022\BarronRiver\Frames_for_Analysis\2021_C0021 (2)_R_0548.jpg</t>
  </si>
  <si>
    <t>E:\CAFNEC_GBRF\2022\BarronRiver\Frames_for_Analysis\2022_C0021 (2)_R_0547.jpg</t>
  </si>
  <si>
    <t>E:\CAFNEC_GBRF\2022\BarronRiver\Frames_for_Analysis\2023_C0021 (2)_R_0546.jpg</t>
  </si>
  <si>
    <t>E:\CAFNEC_GBRF\2022\BarronRiver\Frames_for_Analysis\2024_C0021 (2)_R_0544.jpg</t>
  </si>
  <si>
    <t>E:\CAFNEC_GBRF\2022\BarronRiver\Frames_for_Analysis\2025_C0021 (2)_R_0543.jpg</t>
  </si>
  <si>
    <t>E:\CAFNEC_GBRF\2022\BarronRiver\Frames_for_Analysis\2026_C0021 (2)_R_0541.jpg</t>
  </si>
  <si>
    <t>E:\CAFNEC_GBRF\2022\BarronRiver\Frames_for_Analysis\2027_C0021 (2)_R_0540.jpg</t>
  </si>
  <si>
    <t>E:\CAFNEC_GBRF\2022\BarronRiver\Frames_for_Analysis\2028_C0021 (2)_R_0537.jpg</t>
  </si>
  <si>
    <t>E:\CAFNEC_GBRF\2022\BarronRiver\Frames_for_Analysis\2029_C0021 (2)_R_0534.jpg</t>
  </si>
  <si>
    <t>E:\CAFNEC_GBRF\2022\BarronRiver\Frames_for_Analysis\2030_C0021 (2)_R_0532.jpg</t>
  </si>
  <si>
    <t>E:\CAFNEC_GBRF\2022\BarronRiver\Frames_for_Analysis\2031_C0021 (2)_R_0529.jpg</t>
  </si>
  <si>
    <t>E:\CAFNEC_GBRF\2022\BarronRiver\Frames_for_Analysis\2032_C0021 (2)_R_0526.jpg</t>
  </si>
  <si>
    <t>E:\CAFNEC_GBRF\2022\BarronRiver\Frames_for_Analysis\2033_C0021 (2)_R_0524.jpg</t>
  </si>
  <si>
    <t>E:\CAFNEC_GBRF\2022\BarronRiver\Frames_for_Analysis\2034_C0021 (2)_R_0521.jpg</t>
  </si>
  <si>
    <t>E:\CAFNEC_GBRF\2022\BarronRiver\Frames_for_Analysis\2035_C0021 (2)_R_0518.jpg</t>
  </si>
  <si>
    <t>E:\CAFNEC_GBRF\2022\BarronRiver\Frames_for_Analysis\2036_C0021 (2)_R_0514.jpg</t>
  </si>
  <si>
    <t>E:\CAFNEC_GBRF\2022\BarronRiver\Frames_for_Analysis\2037_C0021 (2)_R_0509.jpg</t>
  </si>
  <si>
    <t>E:\CAFNEC_GBRF\2022\BarronRiver\Frames_for_Analysis\2038_C0021 (2)_R_0505.jpg</t>
  </si>
  <si>
    <t>E:\CAFNEC_GBRF\2022\BarronRiver\Frames_for_Analysis\2039_C0021 (2)_R_0501.jpg</t>
  </si>
  <si>
    <t>E:\CAFNEC_GBRF\2022\BarronRiver\Frames_for_Analysis\2040_C0021 (2)_R_0497.jpg</t>
  </si>
  <si>
    <t>E:\CAFNEC_GBRF\2022\BarronRiver\Frames_for_Analysis\2041_C0021 (2)_R_0494.jpg</t>
  </si>
  <si>
    <t>E:\CAFNEC_GBRF\2022\BarronRiver\Frames_for_Analysis\2042_C0021 (2)_R_0491.jpg</t>
  </si>
  <si>
    <t>E:\CAFNEC_GBRF\2022\BarronRiver\Frames_for_Analysis\2043_C0021 (2)_R_0487.jpg</t>
  </si>
  <si>
    <t>E:\CAFNEC_GBRF\2022\BarronRiver\Frames_for_Analysis\2044_C0021 (2)_R_0483.jpg</t>
  </si>
  <si>
    <t>E:\CAFNEC_GBRF\2022\BarronRiver\Frames_for_Analysis\2045_C0021 (2)_R_0479.jpg</t>
  </si>
  <si>
    <t>E:\CAFNEC_GBRF\2022\BarronRiver\Frames_for_Analysis\2046_C0021 (2)_R_0475.jpg</t>
  </si>
  <si>
    <t>E:\CAFNEC_GBRF\2022\BarronRiver\Frames_for_Analysis\2047_C0021 (2)_R_0472.jpg</t>
  </si>
  <si>
    <t>E:\CAFNEC_GBRF\2022\BarronRiver\Frames_for_Analysis\2048_C0021 (2)_R_0468.jpg</t>
  </si>
  <si>
    <t>E:\CAFNEC_GBRF\2022\BarronRiver\Frames_for_Analysis\2049_C0021 (2)_R_0465.jpg</t>
  </si>
  <si>
    <t>E:\CAFNEC_GBRF\2022\BarronRiver\Frames_for_Analysis\2050_C0021 (2)_R_0460.jpg</t>
  </si>
  <si>
    <t>E:\CAFNEC_GBRF\2022\BarronRiver\Frames_for_Analysis\2051_C0021 (2)_R_0455.jpg</t>
  </si>
  <si>
    <t>E:\CAFNEC_GBRF\2022\BarronRiver\Frames_for_Analysis\2052_C0021 (2)_R_0451.jpg</t>
  </si>
  <si>
    <t>E:\CAFNEC_GBRF\2022\BarronRiver\Frames_for_Analysis\2053_C0021 (2)_R_0448.jpg</t>
  </si>
  <si>
    <t>E:\CAFNEC_GBRF\2022\BarronRiver\Frames_for_Analysis\2054_C0021 (2)_R_0444.jpg</t>
  </si>
  <si>
    <t>E:\CAFNEC_GBRF\2022\BarronRiver\Frames_for_Analysis\2055_C0021 (2)_R_0441.jpg</t>
  </si>
  <si>
    <t>E:\CAFNEC_GBRF\2022\BarronRiver\Frames_for_Analysis\2056_C0021 (2)_R_0437.jpg</t>
  </si>
  <si>
    <t>E:\CAFNEC_GBRF\2022\BarronRiver\Frames_for_Analysis\2057_C0021 (2)_R_0435.jpg</t>
  </si>
  <si>
    <t>E:\CAFNEC_GBRF\2022\BarronRiver\Frames_for_Analysis\2058_C0021 (2)_R_0432.jpg</t>
  </si>
  <si>
    <t>E:\CAFNEC_GBRF\2022\BarronRiver\Frames_for_Analysis\2059_C0021 (2)_R_0428.jpg</t>
  </si>
  <si>
    <t>E:\CAFNEC_GBRF\2022\BarronRiver\Frames_for_Analysis\2060_C0021 (2)_R_0425.jpg</t>
  </si>
  <si>
    <t>E:\CAFNEC_GBRF\2022\BarronRiver\Frames_for_Analysis\2061_C0021 (2)_R_0421.jpg</t>
  </si>
  <si>
    <t>E:\CAFNEC_GBRF\2022\BarronRiver\Frames_for_Analysis\2062_C0021 (2)_R_0417.jpg</t>
  </si>
  <si>
    <t>E:\CAFNEC_GBRF\2022\BarronRiver\Frames_for_Analysis\2063_C0021 (2)_R_0413.jpg</t>
  </si>
  <si>
    <t>E:\CAFNEC_GBRF\2022\BarronRiver\Frames_for_Analysis\2064_C0021 (2)_R_0409.jpg</t>
  </si>
  <si>
    <t>E:\CAFNEC_GBRF\2022\BarronRiver\Frames_for_Analysis\2065_C0021 (2)_R_0406.jpg</t>
  </si>
  <si>
    <t>E:\CAFNEC_GBRF\2022\BarronRiver\Frames_for_Analysis\2066_C0021 (2)_R_0403.jpg</t>
  </si>
  <si>
    <t>E:\CAFNEC_GBRF\2022\BarronRiver\Frames_for_Analysis\2067_C0021 (2)_R_0400.jpg</t>
  </si>
  <si>
    <t>E:\CAFNEC_GBRF\2022\BarronRiver\Frames_for_Analysis\2068_C0021 (2)_R_0397.jpg</t>
  </si>
  <si>
    <t>E:\CAFNEC_GBRF\2022\BarronRiver\Frames_for_Analysis\2069_C0021 (2)_R_0392.jpg</t>
  </si>
  <si>
    <t>E:\CAFNEC_GBRF\2022\BarronRiver\Frames_for_Analysis\2070_C0021 (2)_R_0389.jpg</t>
  </si>
  <si>
    <t>E:\CAFNEC_GBRF\2022\BarronRiver\Frames_for_Analysis\2071_C0021 (2)_R_0386.jpg</t>
  </si>
  <si>
    <t>E:\CAFNEC_GBRF\2022\BarronRiver\Frames_for_Analysis\2072_C0021 (2)_R_0383.jpg</t>
  </si>
  <si>
    <t>E:\CAFNEC_GBRF\2022\BarronRiver\Frames_for_Analysis\2073_C0021 (2)_R_0380.jpg</t>
  </si>
  <si>
    <t>E:\CAFNEC_GBRF\2022\BarronRiver\Frames_for_Analysis\2074_C0021 (2)_R_0378.jpg</t>
  </si>
  <si>
    <t>E:\CAFNEC_GBRF\2022\BarronRiver\Frames_for_Analysis\2075_C0021 (2)_R_0375.jpg</t>
  </si>
  <si>
    <t>E:\CAFNEC_GBRF\2022\BarronRiver\Frames_for_Analysis\2076_C0021 (2)_R_0373.jpg</t>
  </si>
  <si>
    <t>E:\CAFNEC_GBRF\2022\BarronRiver\Frames_for_Analysis\2077_C0021 (2)_R_0370.jpg</t>
  </si>
  <si>
    <t>E:\CAFNEC_GBRF\2022\BarronRiver\Frames_for_Analysis\2078_C0021 (2)_R_0368.jpg</t>
  </si>
  <si>
    <t>E:\CAFNEC_GBRF\2022\BarronRiver\Frames_for_Analysis\2079_C0021 (2)_R_0365.jpg</t>
  </si>
  <si>
    <t>E:\CAFNEC_GBRF\2022\BarronRiver\Frames_for_Analysis\2080_C0021 (2)_R_0362.jpg</t>
  </si>
  <si>
    <t>E:\CAFNEC_GBRF\2022\BarronRiver\Frames_for_Analysis\2081_C0021 (2)_R_0359.jpg</t>
  </si>
  <si>
    <t>E:\CAFNEC_GBRF\2022\BarronRiver\Frames_for_Analysis\2082_C0021 (2)_R_0356.jpg</t>
  </si>
  <si>
    <t>E:\CAFNEC_GBRF\2022\BarronRiver\Frames_for_Analysis\2083_C0021 (2)_R_0354.jpg</t>
  </si>
  <si>
    <t>E:\CAFNEC_GBRF\2022\BarronRiver\Frames_for_Analysis\2084_C0021 (2)_R_0351.jpg</t>
  </si>
  <si>
    <t>E:\CAFNEC_GBRF\2022\BarronRiver\Frames_for_Analysis\2085_C0021 (2)_R_0348.jpg</t>
  </si>
  <si>
    <t>E:\CAFNEC_GBRF\2022\BarronRiver\Frames_for_Analysis\2086_C0021 (2)_R_0345.jpg</t>
  </si>
  <si>
    <t>E:\CAFNEC_GBRF\2022\BarronRiver\Frames_for_Analysis\2087_C0021 (2)_R_0343.jpg</t>
  </si>
  <si>
    <t>E:\CAFNEC_GBRF\2022\BarronRiver\Frames_for_Analysis\2088_C0021 (2)_R_0340.jpg</t>
  </si>
  <si>
    <t>E:\CAFNEC_GBRF\2022\BarronRiver\Frames_for_Analysis\2089_C0021 (2)_R_0337.jpg</t>
  </si>
  <si>
    <t>E:\CAFNEC_GBRF\2022\BarronRiver\Frames_for_Analysis\2090_C0021 (2)_R_0335.jpg</t>
  </si>
  <si>
    <t>E:\CAFNEC_GBRF\2022\BarronRiver\Frames_for_Analysis\2091_C0021 (2)_R_0333.jpg</t>
  </si>
  <si>
    <t>E:\CAFNEC_GBRF\2022\BarronRiver\Frames_for_Analysis\2092_C0021 (2)_R_0330.jpg</t>
  </si>
  <si>
    <t>E:\CAFNEC_GBRF\2022\BarronRiver\Frames_for_Analysis\2093_C0021 (2)_R_0328.jpg</t>
  </si>
  <si>
    <t>E:\CAFNEC_GBRF\2022\BarronRiver\Frames_for_Analysis\2094_C0021 (2)_R_0326.jpg</t>
  </si>
  <si>
    <t>E:\CAFNEC_GBRF\2022\BarronRiver\Frames_for_Analysis\2095_C0021 (2)_R_0324.jpg</t>
  </si>
  <si>
    <t>E:\CAFNEC_GBRF\2022\BarronRiver\Frames_for_Analysis\2096_C0021 (2)_R_0322.jpg</t>
  </si>
  <si>
    <t>E:\CAFNEC_GBRF\2022\BarronRiver\Frames_for_Analysis\2097_C0021 (2)_R_0320.jpg</t>
  </si>
  <si>
    <t>E:\CAFNEC_GBRF\2022\BarronRiver\Frames_for_Analysis\2098_C0021 (2)_R_0317.jpg</t>
  </si>
  <si>
    <t>E:\CAFNEC_GBRF\2022\BarronRiver\Frames_for_Analysis\2099_C0021 (2)_R_0315.jpg</t>
  </si>
  <si>
    <t>E:\CAFNEC_GBRF\2022\BarronRiver\Frames_for_Analysis\2100_C0021 (2)_R_0312.jpg</t>
  </si>
  <si>
    <t>E:\CAFNEC_GBRF\2022\BarronRiver\Frames_for_Analysis\2101_C0021 (2)_R_0310.jpg</t>
  </si>
  <si>
    <t>E:\CAFNEC_GBRF\2022\BarronRiver\Frames_for_Analysis\2102_C0021 (2)_R_0306.jpg</t>
  </si>
  <si>
    <t>E:\CAFNEC_GBRF\2022\BarronRiver\Frames_for_Analysis\2103_C0021 (2)_R_0302.jpg</t>
  </si>
  <si>
    <t>E:\CAFNEC_GBRF\2022\BarronRiver\Frames_for_Analysis\2104_C0021 (2)_R_0299.jpg</t>
  </si>
  <si>
    <t>E:\CAFNEC_GBRF\2022\BarronRiver\Frames_for_Analysis\2105_C0021 (2)_R_0296.jpg</t>
  </si>
  <si>
    <t>E:\CAFNEC_GBRF\2022\BarronRiver\Frames_for_Analysis\2106_C0021 (2)_R_0294.jpg</t>
  </si>
  <si>
    <t>E:\CAFNEC_GBRF\2022\BarronRiver\Frames_for_Analysis\2107_C0021 (2)_R_0291.jpg</t>
  </si>
  <si>
    <t>E:\CAFNEC_GBRF\2022\BarronRiver\Frames_for_Analysis\2108_C0021 (2)_R_0288.jpg</t>
  </si>
  <si>
    <t>E:\CAFNEC_GBRF\2022\BarronRiver\Frames_for_Analysis\2109_C0021 (2)_R_0286.jpg</t>
  </si>
  <si>
    <t>E:\CAFNEC_GBRF\2022\BarronRiver\Frames_for_Analysis\2110_C0021 (2)_R_0283.jpg</t>
  </si>
  <si>
    <t>E:\CAFNEC_GBRF\2022\BarronRiver\Frames_for_Analysis\2111_C0021 (2)_R_0280.jpg</t>
  </si>
  <si>
    <t>E:\CAFNEC_GBRF\2022\BarronRiver\Frames_for_Analysis\2112_C0021 (2)_R_0277.jpg</t>
  </si>
  <si>
    <t>E:\CAFNEC_GBRF\2022\BarronRiver\Frames_for_Analysis\2113_C0021 (2)_R_0273.jpg</t>
  </si>
  <si>
    <t>E:\CAFNEC_GBRF\2022\BarronRiver\Frames_for_Analysis\2114_C0021 (2)_R_0269.jpg</t>
  </si>
  <si>
    <t>E:\CAFNEC_GBRF\2022\BarronRiver\Frames_for_Analysis\2115_C0021 (2)_R_0265.jpg</t>
  </si>
  <si>
    <t>E:\CAFNEC_GBRF\2022\BarronRiver\Frames_for_Analysis\2116_C0021 (2)_R_0261.jpg</t>
  </si>
  <si>
    <t>E:\CAFNEC_GBRF\2022\BarronRiver\Frames_for_Analysis\2117_C0021 (2)_R_0257.jpg</t>
  </si>
  <si>
    <t>E:\CAFNEC_GBRF\2022\BarronRiver\Frames_for_Analysis\2118_C0021 (2)_R_0253.jpg</t>
  </si>
  <si>
    <t>E:\CAFNEC_GBRF\2022\BarronRiver\Frames_for_Analysis\2119_C0021 (2)_R_0250.jpg</t>
  </si>
  <si>
    <t>E:\CAFNEC_GBRF\2022\BarronRiver\Frames_for_Analysis\2120_C0021 (2)_R_0247.jpg</t>
  </si>
  <si>
    <t>E:\CAFNEC_GBRF\2022\BarronRiver\Frames_for_Analysis\2121_C0021 (2)_R_0243.jpg</t>
  </si>
  <si>
    <t>E:\CAFNEC_GBRF\2022\BarronRiver\Frames_for_Analysis\2122_C0021 (2)_R_0239.jpg</t>
  </si>
  <si>
    <t>E:\CAFNEC_GBRF\2022\BarronRiver\Frames_for_Analysis\2123_C0021 (2)_R_0237.jpg</t>
  </si>
  <si>
    <t>E:\CAFNEC_GBRF\2022\BarronRiver\Frames_for_Analysis\2124_C0021 (2)_R_0234.jpg</t>
  </si>
  <si>
    <t>E:\CAFNEC_GBRF\2022\BarronRiver\Frames_for_Analysis\2125_C0021 (2)_R_0231.jpg</t>
  </si>
  <si>
    <t>E:\CAFNEC_GBRF\2022\BarronRiver\Frames_for_Analysis\2126_C0021 (2)_R_0228.jpg</t>
  </si>
  <si>
    <t>E:\CAFNEC_GBRF\2022\BarronRiver\Frames_for_Analysis\2127_C0021 (2)_R_0226.jpg</t>
  </si>
  <si>
    <t>E:\CAFNEC_GBRF\2022\BarronRiver\Frames_for_Analysis\2128_C0021 (2)_R_0223.jpg</t>
  </si>
  <si>
    <t>E:\CAFNEC_GBRF\2022\BarronRiver\Frames_for_Analysis\2129_C0021 (2)_R_0221.jpg</t>
  </si>
  <si>
    <t>E:\CAFNEC_GBRF\2022\BarronRiver\Frames_for_Analysis\2130_C0021 (2)_R_0218.jpg</t>
  </si>
  <si>
    <t>E:\CAFNEC_GBRF\2022\BarronRiver\Frames_for_Analysis\2131_C0021 (2)_R_0215.jpg</t>
  </si>
  <si>
    <t>E:\CAFNEC_GBRF\2022\BarronRiver\Frames_for_Analysis\2132_C0021 (2)_R_0212.jpg</t>
  </si>
  <si>
    <t>E:\CAFNEC_GBRF\2022\BarronRiver\Frames_for_Analysis\2133_C0021 (2)_R_0209.jpg</t>
  </si>
  <si>
    <t>E:\CAFNEC_GBRF\2022\BarronRiver\Frames_for_Analysis\2134_C0021 (2)_R_0206.jpg</t>
  </si>
  <si>
    <t>E:\CAFNEC_GBRF\2022\BarronRiver\Frames_for_Analysis\2135_C0021 (2)_R_0203.jpg</t>
  </si>
  <si>
    <t>E:\CAFNEC_GBRF\2022\BarronRiver\Frames_for_Analysis\2136_C0021 (2)_R_0200.jpg</t>
  </si>
  <si>
    <t>E:\CAFNEC_GBRF\2022\BarronRiver\Frames_for_Analysis\2137_C0021 (2)_R_0197.jpg</t>
  </si>
  <si>
    <t>E:\CAFNEC_GBRF\2022\BarronRiver\Frames_for_Analysis\2138_C0021 (2)_R_0193.jpg</t>
  </si>
  <si>
    <t>E:\CAFNEC_GBRF\2022\BarronRiver\Frames_for_Analysis\2139_C0021 (2)_R_0191.jpg</t>
  </si>
  <si>
    <t>E:\CAFNEC_GBRF\2022\BarronRiver\Frames_for_Analysis\2140_C0021 (2)_R_0187.jpg</t>
  </si>
  <si>
    <t>E:\CAFNEC_GBRF\2022\BarronRiver\Frames_for_Analysis\2141_C0021 (2)_R_0183.jpg</t>
  </si>
  <si>
    <t>E:\CAFNEC_GBRF\2022\BarronRiver\Frames_for_Analysis\2142_C0021 (2)_R_0180.jpg</t>
  </si>
  <si>
    <t>E:\CAFNEC_GBRF\2022\BarronRiver\Frames_for_Analysis\2143_C0021 (2)_R_0178.jpg</t>
  </si>
  <si>
    <t>E:\CAFNEC_GBRF\2022\BarronRiver\Frames_for_Analysis\2144_C0021 (2)_R_0174.jpg</t>
  </si>
  <si>
    <t>E:\CAFNEC_GBRF\2022\BarronRiver\Frames_for_Analysis\2145_C0021 (2)_R_0170.jpg</t>
  </si>
  <si>
    <t>E:\CAFNEC_GBRF\2022\BarronRiver\Frames_for_Analysis\2146_C0021 (2)_R_0167.jpg</t>
  </si>
  <si>
    <t>E:\CAFNEC_GBRF\2022\BarronRiver\Frames_for_Analysis\2147_C0021 (2)_R_0164.jpg</t>
  </si>
  <si>
    <t>E:\CAFNEC_GBRF\2022\BarronRiver\Frames_for_Analysis\2148_C0021 (2)_R_0160.jpg</t>
  </si>
  <si>
    <t>E:\CAFNEC_GBRF\2022\BarronRiver\Frames_for_Analysis\2149_C0021 (2)_R_0158.jpg</t>
  </si>
  <si>
    <t>E:\CAFNEC_GBRF\2022\BarronRiver\Frames_for_Analysis\2150_C0021 (2)_R_0154.jpg</t>
  </si>
  <si>
    <t>E:\CAFNEC_GBRF\2022\BarronRiver\Frames_for_Analysis\2151_C0021 (2)_R_0151.jpg</t>
  </si>
  <si>
    <t>E:\CAFNEC_GBRF\2022\BarronRiver\Frames_for_Analysis\2152_C0021 (2)_R_0148.jpg</t>
  </si>
  <si>
    <t>E:\CAFNEC_GBRF\2022\BarronRiver\Frames_for_Analysis\2153_C0021 (2)_R_0143.jpg</t>
  </si>
  <si>
    <t>E:\CAFNEC_GBRF\2022\BarronRiver\Frames_for_Analysis\2154_C0021 (2)_R_0140.jpg</t>
  </si>
  <si>
    <t>E:\CAFNEC_GBRF\2022\BarronRiver\Frames_for_Analysis\2155_C0021 (2)_R_0136.jpg</t>
  </si>
  <si>
    <t>E:\CAFNEC_GBRF\2022\BarronRiver\Frames_for_Analysis\2156_C0021 (2)_R_0133.jpg</t>
  </si>
  <si>
    <t>E:\CAFNEC_GBRF\2022\BarronRiver\Frames_for_Analysis\2157_C0021 (2)_R_0129.jpg</t>
  </si>
  <si>
    <t>E:\CAFNEC_GBRF\2022\BarronRiver\Frames_for_Analysis\2158_C0021 (2)_R_0127.jpg</t>
  </si>
  <si>
    <t>E:\CAFNEC_GBRF\2022\BarronRiver\Frames_for_Analysis\2159_C0021 (2)_R_0124.jpg</t>
  </si>
  <si>
    <t>E:\CAFNEC_GBRF\2022\BarronRiver\Frames_for_Analysis\2160_C0021 (2)_R_0121.jpg</t>
  </si>
  <si>
    <t>E:\CAFNEC_GBRF\2022\BarronRiver\Frames_for_Analysis\2161_C0021 (2)_R_0119.jpg</t>
  </si>
  <si>
    <t>E:\CAFNEC_GBRF\2022\BarronRiver\Frames_for_Analysis\2162_C0021 (2)_R_0116.jpg</t>
  </si>
  <si>
    <t>E:\CAFNEC_GBRF\2022\BarronRiver\Frames_for_Analysis\2163_C0021 (2)_R_0114.jpg</t>
  </si>
  <si>
    <t>E:\CAFNEC_GBRF\2022\BarronRiver\Frames_for_Analysis\2164_C0021 (2)_R_0111.jpg</t>
  </si>
  <si>
    <t>E:\CAFNEC_GBRF\2022\BarronRiver\Frames_for_Analysis\2165_C0021 (2)_R_0109.jpg</t>
  </si>
  <si>
    <t>E:\CAFNEC_GBRF\2022\BarronRiver\Frames_for_Analysis\2166_C0021 (2)_R_0107.jpg</t>
  </si>
  <si>
    <t>E:\CAFNEC_GBRF\2022\BarronRiver\Frames_for_Analysis\2167_C0021 (2)_R_0105.jpg</t>
  </si>
  <si>
    <t>E:\CAFNEC_GBRF\2022\BarronRiver\Frames_for_Analysis\2168_C0021 (2)_R_0102.jpg</t>
  </si>
  <si>
    <t>E:\CAFNEC_GBRF\2022\BarronRiver\Frames_for_Analysis\2169_C0021 (2)_R_0099.jpg</t>
  </si>
  <si>
    <t>E:\CAFNEC_GBRF\2022\BarronRiver\Frames_for_Analysis\2170_C0021 (2)_R_0097.jpg</t>
  </si>
  <si>
    <t>E:\CAFNEC_GBRF\2022\BarronRiver\Frames_for_Analysis\2171_C0021 (2)_R_0094.jpg</t>
  </si>
  <si>
    <t>E:\CAFNEC_GBRF\2022\BarronRiver\Frames_for_Analysis\2172_C0021 (2)_R_0092.jpg</t>
  </si>
  <si>
    <t>E:\CAFNEC_GBRF\2022\BarronRiver\Frames_for_Analysis\2173_C0021 (2)_R_0089.jpg</t>
  </si>
  <si>
    <t>E:\CAFNEC_GBRF\2022\BarronRiver\Frames_for_Analysis\2174_C0021 (2)_R_0086.jpg</t>
  </si>
  <si>
    <t>E:\CAFNEC_GBRF\2022\BarronRiver\Frames_for_Analysis\2175_C0021 (2)_R_0083.jpg</t>
  </si>
  <si>
    <t>E:\CAFNEC_GBRF\2022\BarronRiver\Frames_for_Analysis\2176_C0021 (2)_R_0080.jpg</t>
  </si>
  <si>
    <t>E:\CAFNEC_GBRF\2022\BarronRiver\Frames_for_Analysis\2177_C0021 (2)_R_0077.jpg</t>
  </si>
  <si>
    <t>E:\CAFNEC_GBRF\2022\BarronRiver\Frames_for_Analysis\2178_C0021 (2)_R_0075.jpg</t>
  </si>
  <si>
    <t>E:\CAFNEC_GBRF\2022\BarronRiver\Frames_for_Analysis\2179_C0021 (2)_R_0072.jpg</t>
  </si>
  <si>
    <t>E:\CAFNEC_GBRF\2022\BarronRiver\Frames_for_Analysis\2180_C0021 (2)_R_0069.jpg</t>
  </si>
  <si>
    <t>E:\CAFNEC_GBRF\2022\BarronRiver\Frames_for_Analysis\2181_C0021 (2)_R_0067.jpg</t>
  </si>
  <si>
    <t>E:\CAFNEC_GBRF\2022\BarronRiver\Frames_for_Analysis\2182_C0021 (2)_R_0063.jpg</t>
  </si>
  <si>
    <t>E:\CAFNEC_GBRF\2022\BarronRiver\Frames_for_Analysis\2183_C0021 (2)_R_0059.jpg</t>
  </si>
  <si>
    <t>E:\CAFNEC_GBRF\2022\BarronRiver\Frames_for_Analysis\2184_C0021 (2)_R_0055.jpg</t>
  </si>
  <si>
    <t>E:\CAFNEC_GBRF\2022\BarronRiver\Frames_for_Analysis\2185_C0021 (2)_R_0051.jpg</t>
  </si>
  <si>
    <t>E:\CAFNEC_GBRF\2022\BarronRiver\Frames_for_Analysis\2186_C0021 (2)_R_0047.jpg</t>
  </si>
  <si>
    <t>E:\CAFNEC_GBRF\2022\BarronRiver\Frames_for_Analysis\2187_C0021 (2)_R_0043.jpg</t>
  </si>
  <si>
    <t>E:\CAFNEC_GBRF\2022\BarronRiver\Frames_for_Analysis\2188_C0021 (2)_R_0039.jpg</t>
  </si>
  <si>
    <t>E:\CAFNEC_GBRF\2022\BarronRiver\Frames_for_Analysis\2189_C0021 (2)_R_0037.jpg</t>
  </si>
  <si>
    <t>E:\CAFNEC_GBRF\2022\BarronRiver\Frames_for_Analysis\2190_C0021 (2)_R_0033.jpg</t>
  </si>
  <si>
    <t>E:\CAFNEC_GBRF\2022\BarronRiver\Frames_for_Analysis\2191_C0021 (2)_R_0029.jpg</t>
  </si>
  <si>
    <t>E:\CAFNEC_GBRF\2022\BarronRiver\Frames_for_Analysis\2192_C0021 (2)_R_0026.jpg</t>
  </si>
  <si>
    <t>E:\CAFNEC_GBRF\2022\BarronRiver\Frames_for_Analysis\2193_C0021 (2)_R_0023.jpg</t>
  </si>
  <si>
    <t>E:\CAFNEC_GBRF\2022\BarronRiver\Frames_for_Analysis\2194_C0021 (2)_R_0021.jpg</t>
  </si>
  <si>
    <t>E:\CAFNEC_GBRF\2022\BarronRiver\Frames_for_Analysis\2195_C0021 (2)_R_0018.jpg</t>
  </si>
  <si>
    <t>E:\CAFNEC_GBRF\2022\BarronRiver\Frames_for_Analysis\2196_C0021 (2)_R_0014.jpg</t>
  </si>
  <si>
    <t>E:\CAFNEC_GBRF\2022\BarronRiver\Frames_for_Analysis\2197_C0021 (2)_R_0011.jpg</t>
  </si>
  <si>
    <t>E:\CAFNEC_GBRF\2022\BarronRiver\Frames_for_Analysis\2198_C0021 (2)_R_0008.jpg</t>
  </si>
  <si>
    <t>E:\CAFNEC_GBRF\2022\BarronRiver\Frames_for_Analysis\2199_C0021 (2)_R_0005.jpg</t>
  </si>
  <si>
    <t>E:\CAFNEC_GBRF\2022\BarronRiver\Frames_for_Analysis\2200_C0020 (2)_R_1_0505.jpg</t>
  </si>
  <si>
    <t>E:\CAFNEC_GBRF\2022\BarronRiver\Frames_for_Analysis\2201_C0020 (2)_R_1_0502.jpg</t>
  </si>
  <si>
    <t>E:\CAFNEC_GBRF\2022\BarronRiver\Frames_for_Analysis\2202_C0020 (2)_R_1_0499.jpg</t>
  </si>
  <si>
    <t>E:\CAFNEC_GBRF\2022\BarronRiver\Frames_for_Analysis\2203_C0020 (2)_R_1_0496.jpg</t>
  </si>
  <si>
    <t>E:\CAFNEC_GBRF\2022\BarronRiver\Frames_for_Analysis\2204_C0020 (2)_R_1_0493.jpg</t>
  </si>
  <si>
    <t>E:\CAFNEC_GBRF\2022\BarronRiver\Frames_for_Analysis\2205_C0020 (2)_R_1_0490.jpg</t>
  </si>
  <si>
    <t>E:\CAFNEC_GBRF\2022\BarronRiver\Frames_for_Analysis\2206_C0020 (2)_R_1_0487.jpg</t>
  </si>
  <si>
    <t>E:\CAFNEC_GBRF\2022\BarronRiver\Frames_for_Analysis\2207_C0020 (2)_R_1_0483.jpg</t>
  </si>
  <si>
    <t>E:\CAFNEC_GBRF\2022\BarronRiver\Frames_for_Analysis\2208_C0020 (2)_R_1_0480.jpg</t>
  </si>
  <si>
    <t>E:\CAFNEC_GBRF\2022\BarronRiver\Frames_for_Analysis\2209_C0020 (2)_R_1_0476.jpg</t>
  </si>
  <si>
    <t>E:\CAFNEC_GBRF\2022\BarronRiver\Frames_for_Analysis\2210_C0020 (2)_R_1_0472.jpg</t>
  </si>
  <si>
    <t>E:\CAFNEC_GBRF\2022\BarronRiver\Frames_for_Analysis\2211_C0020 (2)_R_1_0467.jpg</t>
  </si>
  <si>
    <t>E:\CAFNEC_GBRF\2022\BarronRiver\Frames_for_Analysis\2212_C0020 (2)_R_1_0462.jpg</t>
  </si>
  <si>
    <t>E:\CAFNEC_GBRF\2022\BarronRiver\Frames_for_Analysis\2213_C0020 (2)_R_1_0457.jpg</t>
  </si>
  <si>
    <t>E:\CAFNEC_GBRF\2022\BarronRiver\Frames_for_Analysis\2214_C0020 (2)_R_1_0454.jpg</t>
  </si>
  <si>
    <t>E:\CAFNEC_GBRF\2022\BarronRiver\Frames_for_Analysis\2215_C0020 (2)_R_1_0451.jpg</t>
  </si>
  <si>
    <t>E:\CAFNEC_GBRF\2022\BarronRiver\Frames_for_Analysis\2216_C0020 (2)_R_1_0444.jpg</t>
  </si>
  <si>
    <t>E:\CAFNEC_GBRF\2022\BarronRiver\Frames_for_Analysis\2217_C0020 (2)_R_1_0441.jpg</t>
  </si>
  <si>
    <t>E:\CAFNEC_GBRF\2022\BarronRiver\Frames_for_Analysis\2218_C0020 (2)_R_1_0440.jpg</t>
  </si>
  <si>
    <t>E:\CAFNEC_GBRF\2022\BarronRiver\Frames_for_Analysis\2219_C0020 (2)_R_1_0436.jpg</t>
  </si>
  <si>
    <t>E:\CAFNEC_GBRF\2022\BarronRiver\Frames_for_Analysis\2220_C0020 (2)_R_1_0433.jpg</t>
  </si>
  <si>
    <t>E:\CAFNEC_GBRF\2022\BarronRiver\Frames_for_Analysis\2221_C0020 (2)_R_1_0430.jpg</t>
  </si>
  <si>
    <t>E:\CAFNEC_GBRF\2022\BarronRiver\Frames_for_Analysis\2222_C0020 (2)_R_1_0428.jpg</t>
  </si>
  <si>
    <t>E:\CAFNEC_GBRF\2022\BarronRiver\Frames_for_Analysis\2223_C0020 (2)_R_1_0425.jpg</t>
  </si>
  <si>
    <t>E:\CAFNEC_GBRF\2022\BarronRiver\Frames_for_Analysis\2224_C0020 (2)_R_1_0423.jpg</t>
  </si>
  <si>
    <t>E:\CAFNEC_GBRF\2022\BarronRiver\Frames_for_Analysis\2225_C0020 (2)_R_1_0420.jpg</t>
  </si>
  <si>
    <t>E:\CAFNEC_GBRF\2022\BarronRiver\Frames_for_Analysis\2226_C0020 (2)_R_1_0418.jpg</t>
  </si>
  <si>
    <t>E:\CAFNEC_GBRF\2022\BarronRiver\Frames_for_Analysis\2227_C0020 (2)_R_1_0416.jpg</t>
  </si>
  <si>
    <t>E:\CAFNEC_GBRF\2022\BarronRiver\Frames_for_Analysis\2228_C0020 (2)_R_1_0414.jpg</t>
  </si>
  <si>
    <t>E:\CAFNEC_GBRF\2022\BarronRiver\Frames_for_Analysis\2229_C0020 (2)_R_1_0412.jpg</t>
  </si>
  <si>
    <t>E:\CAFNEC_GBRF\2022\BarronRiver\Frames_for_Analysis\2230_C0020 (2)_R_1_0409.jpg</t>
  </si>
  <si>
    <t>E:\CAFNEC_GBRF\2022\BarronRiver\Frames_for_Analysis\2231_C0020 (2)_R_1_0407.jpg</t>
  </si>
  <si>
    <t>E:\CAFNEC_GBRF\2022\BarronRiver\Frames_for_Analysis\2232_C0020 (2)_R_1_0405.jpg</t>
  </si>
  <si>
    <t>E:\CAFNEC_GBRF\2022\BarronRiver\Frames_for_Analysis\2233_C0020 (2)_R_1_0402.jpg</t>
  </si>
  <si>
    <t>E:\CAFNEC_GBRF\2022\BarronRiver\Frames_for_Analysis\2234_C0020 (2)_R_1_0400.jpg</t>
  </si>
  <si>
    <t>E:\CAFNEC_GBRF\2022\BarronRiver\Frames_for_Analysis\2235_C0020 (2)_R_1_0397.jpg</t>
  </si>
  <si>
    <t>E:\CAFNEC_GBRF\2022\BarronRiver\Frames_for_Analysis\2236_C0020 (2)_R_1_0394.jpg</t>
  </si>
  <si>
    <t>E:\CAFNEC_GBRF\2022\BarronRiver\Frames_for_Analysis\2237_C0020 (2)_R_1_0391.jpg</t>
  </si>
  <si>
    <t>E:\CAFNEC_GBRF\2022\BarronRiver\Frames_for_Analysis\2238_C0020 (2)_R_1_0389.jpg</t>
  </si>
  <si>
    <t>E:\CAFNEC_GBRF\2022\BarronRiver\Frames_for_Analysis\2239_C0020 (2)_R_1_0386.jpg</t>
  </si>
  <si>
    <t>E:\CAFNEC_GBRF\2022\BarronRiver\Frames_for_Analysis\2240_C0020 (2)_R_1_0383.jpg</t>
  </si>
  <si>
    <t>E:\CAFNEC_GBRF\2022\BarronRiver\Frames_for_Analysis\2241_C0020 (2)_R_1_0380.jpg</t>
  </si>
  <si>
    <t>E:\CAFNEC_GBRF\2022\BarronRiver\Frames_for_Analysis\2242_C0020 (2)_R_1_0377.jpg</t>
  </si>
  <si>
    <t>E:\CAFNEC_GBRF\2022\BarronRiver\Frames_for_Analysis\2243_C0020 (2)_R_1_0375.jpg</t>
  </si>
  <si>
    <t>E:\CAFNEC_GBRF\2022\BarronRiver\Frames_for_Analysis\2244_C0020 (2)_R_1_0372.jpg</t>
  </si>
  <si>
    <t>E:\CAFNEC_GBRF\2022\BarronRiver\Frames_for_Analysis\2245_C0020 (2)_R_1_0369.jpg</t>
  </si>
  <si>
    <t>E:\CAFNEC_GBRF\2022\BarronRiver\Frames_for_Analysis\2246_C0020 (2)_R_1_0366.jpg</t>
  </si>
  <si>
    <t>E:\CAFNEC_GBRF\2022\BarronRiver\Frames_for_Analysis\2247_C0020 (2)_R_1_0363.jpg</t>
  </si>
  <si>
    <t>E:\CAFNEC_GBRF\2022\BarronRiver\Frames_for_Analysis\2248_C0020 (2)_R_1_0359.jpg</t>
  </si>
  <si>
    <t>E:\CAFNEC_GBRF\2022\BarronRiver\Frames_for_Analysis\2249_C0020 (2)_R_1_0356.jpg</t>
  </si>
  <si>
    <t>E:\CAFNEC_GBRF\2022\BarronRiver\Frames_for_Analysis\2250_C0020 (2)_R_1_0352.jpg</t>
  </si>
  <si>
    <t>E:\CAFNEC_GBRF\2022\BarronRiver\Frames_for_Analysis\2251_C0020 (2)_R_1_0349.jpg</t>
  </si>
  <si>
    <t>E:\CAFNEC_GBRF\2022\BarronRiver\Frames_for_Analysis\2252_C0020 (2)_R_1_0345.jpg</t>
  </si>
  <si>
    <t>E:\CAFNEC_GBRF\2022\BarronRiver\Frames_for_Analysis\2253_C0020 (2)_R_1_0342.jpg</t>
  </si>
  <si>
    <t>E:\CAFNEC_GBRF\2022\BarronRiver\Frames_for_Analysis\2254_C0020 (2)_R_1_0339.jpg</t>
  </si>
  <si>
    <t>E:\CAFNEC_GBRF\2022\BarronRiver\Frames_for_Analysis\2255_C0020 (2)_R_1_0335.jpg</t>
  </si>
  <si>
    <t>E:\CAFNEC_GBRF\2022\BarronRiver\Frames_for_Analysis\2256_C0020 (2)_R_1_0331.jpg</t>
  </si>
  <si>
    <t>E:\CAFNEC_GBRF\2022\BarronRiver\Frames_for_Analysis\2257_C0020 (2)_R_1_0327.jpg</t>
  </si>
  <si>
    <t>E:\CAFNEC_GBRF\2022\BarronRiver\Frames_for_Analysis\2258_C0020 (2)_R_1_0323.jpg</t>
  </si>
  <si>
    <t>E:\CAFNEC_GBRF\2022\BarronRiver\Frames_for_Analysis\2259_C0020 (2)_R_1_0319.jpg</t>
  </si>
  <si>
    <t>E:\CAFNEC_GBRF\2022\BarronRiver\Frames_for_Analysis\2260_C0020 (2)_R_1_0316.jpg</t>
  </si>
  <si>
    <t>E:\CAFNEC_GBRF\2022\BarronRiver\Frames_for_Analysis\2261_C0020 (2)_R_1_0313.jpg</t>
  </si>
  <si>
    <t>E:\CAFNEC_GBRF\2022\BarronRiver\Frames_for_Analysis\2262_C0020 (2)_R_1_0309.jpg</t>
  </si>
  <si>
    <t>E:\CAFNEC_GBRF\2022\BarronRiver\Frames_for_Analysis\2263_C0020 (2)_R_1_0306.jpg</t>
  </si>
  <si>
    <t>E:\CAFNEC_GBRF\2022\BarronRiver\Frames_for_Analysis\2264_C0020 (2)_R_1_0303.jpg</t>
  </si>
  <si>
    <t>E:\CAFNEC_GBRF\2022\BarronRiver\Frames_for_Analysis\2265_C0020 (2)_R_1_0301.jpg</t>
  </si>
  <si>
    <t>E:\CAFNEC_GBRF\2022\BarronRiver\Frames_for_Analysis\2266_C0020 (2)_R_1_0298.jpg</t>
  </si>
  <si>
    <t>E:\CAFNEC_GBRF\2022\BarronRiver\Frames_for_Analysis\2267_C0020 (2)_R_1_0295.jpg</t>
  </si>
  <si>
    <t>E:\CAFNEC_GBRF\2022\BarronRiver\Frames_for_Analysis\2268_C0020 (2)_R_1_0293.jpg</t>
  </si>
  <si>
    <t>E:\CAFNEC_GBRF\2022\BarronRiver\Frames_for_Analysis\2269_C0020 (2)_R_1_0290.jpg</t>
  </si>
  <si>
    <t>E:\CAFNEC_GBRF\2022\BarronRiver\Frames_for_Analysis\2270_C0020 (2)_R_1_0287.jpg</t>
  </si>
  <si>
    <t>E:\CAFNEC_GBRF\2022\BarronRiver\Frames_for_Analysis\2271_C0020 (2)_R_1_0284.jpg</t>
  </si>
  <si>
    <t>E:\CAFNEC_GBRF\2022\BarronRiver\Frames_for_Analysis\2272_C0020 (2)_R_1_0281.jpg</t>
  </si>
  <si>
    <t>E:\CAFNEC_GBRF\2022\BarronRiver\Frames_for_Analysis\2273_C0020 (2)_R_1_0278.jpg</t>
  </si>
  <si>
    <t>E:\CAFNEC_GBRF\2022\BarronRiver\Frames_for_Analysis\2274_C0020 (2)_R_1_0275.jpg</t>
  </si>
  <si>
    <t>E:\CAFNEC_GBRF\2022\BarronRiver\Frames_for_Analysis\2275_C0020 (2)_R_1_0271.jpg</t>
  </si>
  <si>
    <t>E:\CAFNEC_GBRF\2022\BarronRiver\Frames_for_Analysis\2276_C0020 (2)_R_1_0268.jpg</t>
  </si>
  <si>
    <t>E:\CAFNEC_GBRF\2022\BarronRiver\Frames_for_Analysis\2277_C0020 (2)_R_1_0265.jpg</t>
  </si>
  <si>
    <t>E:\CAFNEC_GBRF\2022\BarronRiver\Frames_for_Analysis\2278_C0020 (2)_R_1_0262.jpg</t>
  </si>
  <si>
    <t>E:\CAFNEC_GBRF\2022\BarronRiver\Frames_for_Analysis\2279_C0020 (2)_R_1_0259.jpg</t>
  </si>
  <si>
    <t>E:\CAFNEC_GBRF\2022\BarronRiver\Frames_for_Analysis\2280_C0020 (2)_R_1_0257.jpg</t>
  </si>
  <si>
    <t>E:\CAFNEC_GBRF\2022\BarronRiver\Frames_for_Analysis\2281_C0020 (2)_R_1_0254.jpg</t>
  </si>
  <si>
    <t>E:\CAFNEC_GBRF\2022\BarronRiver\Frames_for_Analysis\2282_C0020 (2)_R_1_0253.jpg</t>
  </si>
  <si>
    <t>E:\CAFNEC_GBRF\2022\BarronRiver\Frames_for_Analysis\2283_C0020 (2)_R_1_0251.jpg</t>
  </si>
  <si>
    <t>E:\CAFNEC_GBRF\2022\BarronRiver\Frames_for_Analysis\2284_C0020 (2)_R_1_0250.jpg</t>
  </si>
  <si>
    <t>E:\CAFNEC_GBRF\2022\BarronRiver\Frames_for_Analysis\2285_C0020 (2)_R_1_0249.jpg</t>
  </si>
  <si>
    <t>E:\CAFNEC_GBRF\2022\BarronRiver\Frames_for_Analysis\2286_C0020 (2)_R_1_0248.jpg</t>
  </si>
  <si>
    <t>E:\CAFNEC_GBRF\2022\BarronRiver\Frames_for_Analysis\2287_C0020 (2)_R_1_0247.jpg</t>
  </si>
  <si>
    <t>E:\CAFNEC_GBRF\2022\BarronRiver\Frames_for_Analysis\2288_C0020 (2)_R_1_0245.jpg</t>
  </si>
  <si>
    <t>E:\CAFNEC_GBRF\2022\BarronRiver\Frames_for_Analysis\2289_C0020 (2)_R_1_0243.jpg</t>
  </si>
  <si>
    <t>E:\CAFNEC_GBRF\2022\BarronRiver\Frames_for_Analysis\2290_C0020 (2)_R_1_0240.jpg</t>
  </si>
  <si>
    <t>E:\CAFNEC_GBRF\2022\BarronRiver\Frames_for_Analysis\2291_C0020 (2)_R_1_0238.jpg</t>
  </si>
  <si>
    <t>E:\CAFNEC_GBRF\2022\BarronRiver\Frames_for_Analysis\2292_C0020 (2)_R_1_0235.jpg</t>
  </si>
  <si>
    <t>E:\CAFNEC_GBRF\2022\BarronRiver\Frames_for_Analysis\2293_C0020 (2)_R_1_0232.jpg</t>
  </si>
  <si>
    <t>E:\CAFNEC_GBRF\2022\BarronRiver\Frames_for_Analysis\2294_C0020 (2)_R_1_0230.jpg</t>
  </si>
  <si>
    <t>E:\CAFNEC_GBRF\2022\BarronRiver\Frames_for_Analysis\2295_C0020 (2)_R_1_0227.jpg</t>
  </si>
  <si>
    <t>E:\CAFNEC_GBRF\2022\BarronRiver\Frames_for_Analysis\2296_C0020 (2)_R_1_0224.jpg</t>
  </si>
  <si>
    <t>E:\CAFNEC_GBRF\2022\BarronRiver\Frames_for_Analysis\2297_C0020 (2)_R_1_0221.jpg</t>
  </si>
  <si>
    <t>E:\CAFNEC_GBRF\2022\BarronRiver\Frames_for_Analysis\2298_C0020 (2)_R_1_0219.jpg</t>
  </si>
  <si>
    <t>E:\CAFNEC_GBRF\2022\BarronRiver\Frames_for_Analysis\2299_C0020 (2)_R_1_0216.jpg</t>
  </si>
  <si>
    <t>E:\CAFNEC_GBRF\2022\BarronRiver\Frames_for_Analysis\2300_C0020 (2)_R_1_0213.jpg</t>
  </si>
  <si>
    <t>E:\CAFNEC_GBRF\2022\BarronRiver\Frames_for_Analysis\2301_C0020 (2)_R_1_0210.jpg</t>
  </si>
  <si>
    <t>E:\CAFNEC_GBRF\2022\BarronRiver\Frames_for_Analysis\2302_C0020 (2)_R_1_0208.jpg</t>
  </si>
  <si>
    <t>E:\CAFNEC_GBRF\2022\BarronRiver\Frames_for_Analysis\2303_C0020 (2)_R_1_0205.jpg</t>
  </si>
  <si>
    <t>E:\CAFNEC_GBRF\2022\BarronRiver\Frames_for_Analysis\2304_C0020 (2)_R_1_0202.jpg</t>
  </si>
  <si>
    <t>E:\CAFNEC_GBRF\2022\BarronRiver\Frames_for_Analysis\2305_C0020 (2)_R_1_0199.jpg</t>
  </si>
  <si>
    <t>E:\CAFNEC_GBRF\2022\BarronRiver\Frames_for_Analysis\2306_C0020 (2)_R_1_0196.jpg</t>
  </si>
  <si>
    <t>E:\CAFNEC_GBRF\2022\BarronRiver\Frames_for_Analysis\2307_C0020 (2)_R_1_0193.jpg</t>
  </si>
  <si>
    <t>E:\CAFNEC_GBRF\2022\BarronRiver\Frames_for_Analysis\2308_C0020 (2)_R_1_0191.jpg</t>
  </si>
  <si>
    <t>E:\CAFNEC_GBRF\2022\BarronRiver\Frames_for_Analysis\2309_C0020 (2)_R_1_0188.jpg</t>
  </si>
  <si>
    <t>E:\CAFNEC_GBRF\2022\BarronRiver\Frames_for_Analysis\2310_C0020 (2)_R_1_0185.jpg</t>
  </si>
  <si>
    <t>E:\CAFNEC_GBRF\2022\BarronRiver\Frames_for_Analysis\2311_C0020 (2)_R_1_0182.jpg</t>
  </si>
  <si>
    <t>E:\CAFNEC_GBRF\2022\BarronRiver\Frames_for_Analysis\2312_C0020 (2)_R_1_0179.jpg</t>
  </si>
  <si>
    <t>E:\CAFNEC_GBRF\2022\BarronRiver\Frames_for_Analysis\2313_C0020 (2)_R_1_0177.jpg</t>
  </si>
  <si>
    <t>E:\CAFNEC_GBRF\2022\BarronRiver\Frames_for_Analysis\2314_C0020 (2)_R_1_0174.jpg</t>
  </si>
  <si>
    <t>E:\CAFNEC_GBRF\2022\BarronRiver\Frames_for_Analysis\2315_C0020 (2)_R_1_0171.jpg</t>
  </si>
  <si>
    <t>E:\CAFNEC_GBRF\2022\BarronRiver\Frames_for_Analysis\2316_C0020 (2)_R_1_0168.jpg</t>
  </si>
  <si>
    <t>E:\CAFNEC_GBRF\2022\BarronRiver\Frames_for_Analysis\2317_C0020 (2)_R_1_0165.jpg</t>
  </si>
  <si>
    <t>E:\CAFNEC_GBRF\2022\BarronRiver\Frames_for_Analysis\2318_C0020 (2)_R_1_0161.jpg</t>
  </si>
  <si>
    <t>E:\CAFNEC_GBRF\2022\BarronRiver\Frames_for_Analysis\2319_C0020 (2)_R_1_0158.jpg</t>
  </si>
  <si>
    <t>E:\CAFNEC_GBRF\2022\BarronRiver\Frames_for_Analysis\2320_C0020 (2)_R_1_0155.jpg</t>
  </si>
  <si>
    <t>E:\CAFNEC_GBRF\2022\BarronRiver\Frames_for_Analysis\2321_C0020 (2)_R_1_0152.jpg</t>
  </si>
  <si>
    <t>E:\CAFNEC_GBRF\2022\BarronRiver\Frames_for_Analysis\2322_C0020 (2)_R_1_0149.jpg</t>
  </si>
  <si>
    <t>E:\CAFNEC_GBRF\2022\BarronRiver\Frames_for_Analysis\2323_C0020 (2)_R_1_0145.jpg</t>
  </si>
  <si>
    <t>E:\CAFNEC_GBRF\2022\BarronRiver\Frames_for_Analysis\2324_C0020 (2)_R_1_0142.jpg</t>
  </si>
  <si>
    <t>E:\CAFNEC_GBRF\2022\BarronRiver\Frames_for_Analysis\2325_C0020 (2)_R_1_0138.jpg</t>
  </si>
  <si>
    <t>E:\CAFNEC_GBRF\2022\BarronRiver\Frames_for_Analysis\2326_C0020 (2)_R_1_0133.jpg</t>
  </si>
  <si>
    <t>E:\CAFNEC_GBRF\2022\BarronRiver\Frames_for_Analysis\2327_C0020 (2)_R_1_0128.jpg</t>
  </si>
  <si>
    <t>E:\CAFNEC_GBRF\2022\BarronRiver\Frames_for_Analysis\2328_C0020 (2)_R_1_0122.jpg</t>
  </si>
  <si>
    <t>E:\CAFNEC_GBRF\2022\BarronRiver\Frames_for_Analysis\2329_C0020 (2)_R_1_0112.jpg</t>
  </si>
  <si>
    <t>E:\CAFNEC_GBRF\2022\BarronRiver\Frames_for_Analysis\2330_C0020 (2)_R_1_0105.jpg</t>
  </si>
  <si>
    <t>E:\CAFNEC_GBRF\2022\BarronRiver\Frames_for_Analysis\2331_C0020 (2)_R_1_0099.jpg</t>
  </si>
  <si>
    <t>E:\CAFNEC_GBRF\2022\BarronRiver\Frames_for_Analysis\2332_C0020 (2)_R_1_0095.jpg</t>
  </si>
  <si>
    <t>E:\CAFNEC_GBRF\2022\BarronRiver\Frames_for_Analysis\2333_C0020 (2)_R_1_0090.jpg</t>
  </si>
  <si>
    <t>E:\CAFNEC_GBRF\2022\BarronRiver\Frames_for_Analysis\2334_C0020 (2)_R_1_0086.jpg</t>
  </si>
  <si>
    <t>E:\CAFNEC_GBRF\2022\BarronRiver\Frames_for_Analysis\2335_C0020 (2)_R_1_0083.jpg</t>
  </si>
  <si>
    <t>E:\CAFNEC_GBRF\2022\BarronRiver\Frames_for_Analysis\2336_C0020 (2)_R_1_0079.jpg</t>
  </si>
  <si>
    <t>E:\CAFNEC_GBRF\2022\BarronRiver\Frames_for_Analysis\2337_C0020 (2)_R_1_0076.jpg</t>
  </si>
  <si>
    <t>E:\CAFNEC_GBRF\2022\BarronRiver\Frames_for_Analysis\2338_C0020 (2)_R_1_0073.jpg</t>
  </si>
  <si>
    <t>E:\CAFNEC_GBRF\2022\BarronRiver\Frames_for_Analysis\2339_C0020 (2)_R_1_0069.jpg</t>
  </si>
  <si>
    <t>E:\CAFNEC_GBRF\2022\BarronRiver\Frames_for_Analysis\2340_C0020 (2)_R_1_0066.jpg</t>
  </si>
  <si>
    <t>E:\CAFNEC_GBRF\2022\BarronRiver\Frames_for_Analysis\2341_C0020 (2)_R_1_0063.jpg</t>
  </si>
  <si>
    <t>E:\CAFNEC_GBRF\2022\BarronRiver\Frames_for_Analysis\2342_C0020 (2)_R_1_0059.jpg</t>
  </si>
  <si>
    <t>E:\CAFNEC_GBRF\2022\BarronRiver\Frames_for_Analysis\2343_C0020 (2)_R_1_0056.jpg</t>
  </si>
  <si>
    <t>E:\CAFNEC_GBRF\2022\BarronRiver\Frames_for_Analysis\2344_C0020 (2)_R_1_0053.jpg</t>
  </si>
  <si>
    <t>E:\CAFNEC_GBRF\2022\BarronRiver\Frames_for_Analysis\2345_C0020 (2)_R_1_0050.jpg</t>
  </si>
  <si>
    <t>E:\CAFNEC_GBRF\2022\BarronRiver\Frames_for_Analysis\2346_C0020 (2)_R_1_0047.jpg</t>
  </si>
  <si>
    <t>E:\CAFNEC_GBRF\2022\BarronRiver\Frames_for_Analysis\2347_C0020 (2)_R_1_0044.jpg</t>
  </si>
  <si>
    <t>E:\CAFNEC_GBRF\2022\BarronRiver\Frames_for_Analysis\2348_C0020 (2)_R_1_0040.jpg</t>
  </si>
  <si>
    <t>E:\CAFNEC_GBRF\2022\BarronRiver\Frames_for_Analysis\2349_C0020 (2)_R_1_0037.jpg</t>
  </si>
  <si>
    <t>E:\CAFNEC_GBRF\2022\BarronRiver\Frames_for_Analysis\2350_C0020 (2)_R_1_0034.jpg</t>
  </si>
  <si>
    <t>E:\CAFNEC_GBRF\2022\BarronRiver\Frames_for_Analysis\2351_C0020 (2)_R_1_0031.jpg</t>
  </si>
  <si>
    <t>E:\CAFNEC_GBRF\2022\BarronRiver\Frames_for_Analysis\2352_C0020 (2)_R_1_0028.jpg</t>
  </si>
  <si>
    <t>E:\CAFNEC_GBRF\2022\BarronRiver\Frames_for_Analysis\2353_C0020 (2)_R_1_0025.jpg</t>
  </si>
  <si>
    <t>E:\CAFNEC_GBRF\2022\BarronRiver\Frames_for_Analysis\2354_C0020 (2)_R_1_0022.jpg</t>
  </si>
  <si>
    <t>E:\CAFNEC_GBRF\2022\BarronRiver\Frames_for_Analysis\2355_C0020 (2)_R_1_0019.jpg</t>
  </si>
  <si>
    <t>E:\CAFNEC_GBRF\2022\BarronRiver\Frames_for_Analysis\2356_C0020 (2)_R_1_0016.jpg</t>
  </si>
  <si>
    <t>E:\CAFNEC_GBRF\2022\BarronRiver\Frames_for_Analysis\2357_C0020 (2)_R_1_0013.jpg</t>
  </si>
  <si>
    <t>E:\CAFNEC_GBRF\2022\BarronRiver\Frames_for_Analysis\2358_C0020 (2)_R_1_0010.jpg</t>
  </si>
  <si>
    <t>E:\CAFNEC_GBRF\2022\BarronRiver\Frames_for_Analysis\2359_C0020 (2)_R_1_0007.jpg</t>
  </si>
  <si>
    <t>E:\CAFNEC_GBRF\2022\BarronRiver\Frames_for_Analysis\2360_C0020 (2)_R_1_0003.jpg</t>
  </si>
  <si>
    <t>E:\CAFNEC_GBRF\2022\BarronRiver\Frames_for_Analysis\2361_C0020 (2)_R_0060.jpg</t>
  </si>
  <si>
    <t>E:\CAFNEC_GBRF\2022\BarronRiver\Frames_for_Analysis\2362_C0020 (2)_R_0057.jpg</t>
  </si>
  <si>
    <t>E:\CAFNEC_GBRF\2022\BarronRiver\Frames_for_Analysis\2363_C0020 (2)_R_0054.jpg</t>
  </si>
  <si>
    <t>E:\CAFNEC_GBRF\2022\BarronRiver\Frames_for_Analysis\2364_C0048_L_0017.jpg</t>
  </si>
  <si>
    <t>E:\CAFNEC_GBRF\2022\BarronRiver\Frames_for_Analysis\2365_C0020 (2)_R_0048.jpg</t>
  </si>
  <si>
    <t>E:\CAFNEC_GBRF\2022\BarronRiver\Frames_for_Analysis\2366_C0020 (2)_R_0045.jpg</t>
  </si>
  <si>
    <t>E:\CAFNEC_GBRF\2022\BarronRiver\Frames_for_Analysis\2367_C0048_L_0028.jpg</t>
  </si>
  <si>
    <t>E:\CAFNEC_GBRF\2022\BarronRiver\Frames_for_Analysis\2368_C0048_L_0031.jpg</t>
  </si>
  <si>
    <t>E:\CAFNEC_GBRF\2022\BarronRiver\Frames_for_Analysis\2369_C0020 (2)_R_0035.jpg</t>
  </si>
  <si>
    <t>E:\CAFNEC_GBRF\2022\BarronRiver\Frames_for_Analysis\2370_C0048_L_0037.jpg</t>
  </si>
  <si>
    <t>E:\CAFNEC_GBRF\2022\BarronRiver\Frames_for_Analysis\2371_C0048_L_0040.jpg</t>
  </si>
  <si>
    <t>E:\CAFNEC_GBRF\2022\BarronRiver\Frames_for_Analysis\2372_C0020 (2)_R_0026.jpg</t>
  </si>
  <si>
    <t>E:\CAFNEC_GBRF\2022\BarronRiver\Frames_for_Analysis\2373_C0020 (2)_R_0022.jpg</t>
  </si>
  <si>
    <t>E:\CAFNEC_GBRF\2022\BarronRiver\Frames_for_Analysis\2374_C0020 (2)_R_0018.jpg</t>
  </si>
  <si>
    <t>E:\CAFNEC_GBRF\2022\BarronRiver\Frames_for_Analysis\2375_C0020 (2)_R_0015.jpg</t>
  </si>
  <si>
    <t>E:\CAFNEC_GBRF\2022\BarronRiver\Frames_for_Analysis\2376_C0020 (2)_R_0010.jpg</t>
  </si>
  <si>
    <t>E:\CAFNEC_GBRF\2022\BarronRiver\Frames_for_Analysis\2377_C0048_L_0057.jpg</t>
  </si>
  <si>
    <t>E:\CAFNEC_GBRF\2022\BarronRiver\Frames_for_Analysis\2378_C0048_L_0060.jpg</t>
  </si>
  <si>
    <t>E:\CAFNEC_GBRF\2022\BarronRiver\Frames_for_Analysis\2379_C0048_L_0064.jpg</t>
  </si>
  <si>
    <t>E:\CAFNEC_GBRF\2022\BarronRiver\Frames_for_Analysis\2380_C0048_L_0067.jpg</t>
  </si>
  <si>
    <t>E:\CAFNEC_GBRF\2022\BarronRiver\Frames_for_Analysis\2381_C0048_L_0069.jpg</t>
  </si>
  <si>
    <t>E:\CAFNEC_GBRF\2022\BarronRiver\Frames_for_Analysis\2382_C0048_L_0072.jpg</t>
  </si>
  <si>
    <t>E:\CAFNEC_GBRF\2022\BarronRiver\Frames_for_Analysis\2383_C0048_L_0073.jpg</t>
  </si>
  <si>
    <t>E:\CAFNEC_GBRF\2022\BarronRiver\Frames_for_Analysis\2384_C0048_L_0076.jpg</t>
  </si>
  <si>
    <t>E:\CAFNEC_GBRF\2022\BarronRiver\Frames_for_Analysis\2385_C0048_L_0078.jpg</t>
  </si>
  <si>
    <t>E:\CAFNEC_GBRF\2022\BarronRiver\Frames_for_Analysis\2386_C0048_L_0080.jpg</t>
  </si>
  <si>
    <t>E:\CAFNEC_GBRF\2022\BarronRiver\Frames_for_Analysis\2387_C0048_L_0082.jpg</t>
  </si>
  <si>
    <t>E:\CAFNEC_GBRF\2022\BarronRiver\Frames_for_Analysis\2388_C0048_L_0084.jpg</t>
  </si>
  <si>
    <t>E:\CAFNEC_GBRF\2022\BarronRiver\Frames_for_Analysis\2389_C0048_L_0087.jpg</t>
  </si>
  <si>
    <t>E:\CAFNEC_GBRF\2022\BarronRiver\Frames_for_Analysis\2390_C0048_L_0089.jpg</t>
  </si>
  <si>
    <t>E:\CAFNEC_GBRF\2022\BarronRiver\Frames_for_Analysis\2391_C0048_L_0091.jpg</t>
  </si>
  <si>
    <t>E:\CAFNEC_GBRF\2022\BarronRiver\Frames_for_Analysis\2392_C0048_L_0093.jpg</t>
  </si>
  <si>
    <t>E:\CAFNEC_GBRF\2022\BarronRiver\Frames_for_Analysis\2393_C0048_L_0096.jpg</t>
  </si>
  <si>
    <t>E:\CAFNEC_GBRF\2022\BarronRiver\Frames_for_Analysis\2394_C0048_L_0098.jpg</t>
  </si>
  <si>
    <t>E:\CAFNEC_GBRF\2022\BarronRiver\Frames_for_Analysis\2395_C0048_L_0100.jpg</t>
  </si>
  <si>
    <t>E:\CAFNEC_GBRF\2022\BarronRiver\Frames_for_Analysis\2396_C0048_L_0103.jpg</t>
  </si>
  <si>
    <t>E:\CAFNEC_GBRF\2022\BarronRiver\Frames_for_Analysis\2397_C0048_L_0107.jpg</t>
  </si>
  <si>
    <t>E:\CAFNEC_GBRF\2022\BarronRiver\Frames_for_Analysis\2398_C0048_L_0109.jpg</t>
  </si>
  <si>
    <t>E:\CAFNEC_GBRF\2022\BarronRiver\Frames_for_Analysis\2399_C0048_L_0112.jpg</t>
  </si>
  <si>
    <t>E:\CAFNEC_GBRF\2022\BarronRiver\Frames_for_Analysis\2400_C0048_L_0115.jpg</t>
  </si>
  <si>
    <t>E:\CAFNEC_GBRF\2022\BarronRiver\Frames_for_Analysis\2401_C0048_L_0119.jpg</t>
  </si>
  <si>
    <t>E:\CAFNEC_GBRF\2022\BarronRiver\Frames_for_Analysis\2402_C0048_L_0122.jpg</t>
  </si>
  <si>
    <t>E:\CAFNEC_GBRF\2022\BarronRiver\Frames_for_Analysis\2403_C0048_L_0125.jpg</t>
  </si>
  <si>
    <t>E:\CAFNEC_GBRF\2022\BarronRiver\Frames_for_Analysis\2404_C0048_L_0128.jpg</t>
  </si>
  <si>
    <t>E:\CAFNEC_GBRF\2022\BarronRiver\Frames_for_Analysis\2405_C0048_L_0132.jpg</t>
  </si>
  <si>
    <t>E:\CAFNEC_GBRF\2022\BarronRiver\Frames_for_Analysis\2406_C0048_L_0136.jpg</t>
  </si>
  <si>
    <t>E:\CAFNEC_GBRF\2022\BarronRiver\Frames_for_Analysis\2407_C0048_L_0140.jpg</t>
  </si>
  <si>
    <t>E:\CAFNEC_GBRF\2022\BarronRiver\Frames_for_Analysis\2408_C0048_L_0144.jpg</t>
  </si>
  <si>
    <t>E:\CAFNEC_GBRF\2022\BarronRiver\Frames_for_Analysis\2409_C0048_L_0148.jpg</t>
  </si>
  <si>
    <t>E:\CAFNEC_GBRF\2022\BarronRiver\Frames_for_Analysis\2410_C0048_L_0155.jpg</t>
  </si>
  <si>
    <t>E:\CAFNEC_GBRF\2022\BarronRiver\Frames_for_Analysis\2411_C0048_L_0161.jpg</t>
  </si>
  <si>
    <t>E:\CAFNEC_GBRF\2022\BarronRiver\Frames_for_Analysis\2412_C0048_L_0167.jpg</t>
  </si>
  <si>
    <t>E:\CAFNEC_GBRF\2022\BarronRiver\Frames_for_Analysis\2413_C0048_L_0175.jpg</t>
  </si>
  <si>
    <t>E:\CAFNEC_GBRF\2022\BarronRiver\Frames_for_Analysis\2414_C0048_L_0182.jpg</t>
  </si>
  <si>
    <t>E:\CAFNEC_GBRF\2022\BarronRiver\Frames_for_Analysis\2415_C0048_L_0187.jpg</t>
  </si>
  <si>
    <t>E:\CAFNEC_GBRF\2022\BarronRiver\Frames_for_Analysis\2416_C0048_L_0193.jpg</t>
  </si>
  <si>
    <t>E:\CAFNEC_GBRF\2022\BarronRiver\Frames_for_Analysis\2417_C0048_L_0200.jpg</t>
  </si>
  <si>
    <t>E:\CAFNEC_GBRF\2022\BarronRiver\Frames_for_Analysis\2418_C0048_L_0208.jpg</t>
  </si>
  <si>
    <t>E:\CAFNEC_GBRF\2022\BarronRiver\Frames_for_Analysis\2419_C0048_L_0216.jpg</t>
  </si>
  <si>
    <t>E:\CAFNEC_GBRF\2022\BarronRiver\Frames_for_Analysis\2420_C0048_L_0221.jpg</t>
  </si>
  <si>
    <t>E:\CAFNEC_GBRF\2022\BarronRiver\Frames_for_Analysis\2421_C0048_L_0225.jpg</t>
  </si>
  <si>
    <t>E:\CAFNEC_GBRF\2022\BarronRiver\Frames_for_Analysis\2422_C0048_L_0231.jpg</t>
  </si>
  <si>
    <t>E:\CAFNEC_GBRF\2022\BarronRiver\Frames_for_Analysis\2423_C0048_L_0238.jpg</t>
  </si>
  <si>
    <t>E:\CAFNEC_GBRF\2022\BarronRiver\Frames_for_Analysis\2424_C0048_L_0243.jpg</t>
  </si>
  <si>
    <t>E:\CAFNEC_GBRF\2022\BarronRiver\Frames_for_Analysis\2425_C0048_L_0251.jpg</t>
  </si>
  <si>
    <t>E:\CAFNEC_GBRF\2022\BarronRiver\Frames_for_Analysis\2426_C0048_L_0257.jpg</t>
  </si>
  <si>
    <t>E:\CAFNEC_GBRF\2022\BarronRiver\Frames_for_Analysis\2427_C0048_L_0262.jpg</t>
  </si>
  <si>
    <t>E:\CAFNEC_GBRF\2022\BarronRiver\Frames_for_Analysis\2428_C0048_L_0269.jpg</t>
  </si>
  <si>
    <t>E:\CAFNEC_GBRF\2022\BarronRiver\Frames_for_Analysis\2429_C0048_L_0272.jpg</t>
  </si>
  <si>
    <t>E:\CAFNEC_GBRF\2022\BarronRiver\Frames_for_Analysis\2430_C0048_L_0277.jpg</t>
  </si>
  <si>
    <t>E:\CAFNEC_GBRF\2022\BarronRiver\Frames_for_Analysis\2431_C0048_L_0283.jpg</t>
  </si>
  <si>
    <t>E:\CAFNEC_GBRF\2022\BarronRiver\Frames_for_Analysis\2432_C0048_L_0290.jpg</t>
  </si>
  <si>
    <t>E:\CAFNEC_GBRF\2022\BarronRiver\Frames_for_Analysis\2433_C0006 (2)_R_0109.jpg</t>
  </si>
  <si>
    <t>E:\CAFNEC_GBRF\2022\BarronRiver\Frames_for_Analysis\2434_C0048_L_0302.jpg</t>
  </si>
  <si>
    <t>E:\CAFNEC_GBRF\2022\BarronRiver\Frames_for_Analysis\2435_C0048_L_0308.jpg</t>
  </si>
  <si>
    <t>E:\CAFNEC_GBRF\2022\BarronRiver\Frames_for_Analysis\2436_C0006 (2)_R_0122.jpg</t>
  </si>
  <si>
    <t>E:\CAFNEC_GBRF\2022\BarronRiver\Frames_for_Analysis\2437_C0006 (2)_R_0096.jpg</t>
  </si>
  <si>
    <t>E:\CAFNEC_GBRF\2022\BarronRiver\Frames_for_Analysis\2438_C0048_L_0340.jpg</t>
  </si>
  <si>
    <t>E:\CAFNEC_GBRF\2022\BarronRiver\Frames_for_Analysis\2439_C0048_L_0345.jpg</t>
  </si>
  <si>
    <t>E:\CAFNEC_GBRF\2022\BarronRiver\Frames_for_Analysis\2440_C0048_L_0351.jpg</t>
  </si>
  <si>
    <t>E:\CAFNEC_GBRF\2022\BarronRiver\Frames_for_Analysis\2441_C0048_L_0355.jpg</t>
  </si>
  <si>
    <t>E:\CAFNEC_GBRF\2022\BarronRiver\Frames_for_Analysis\2442_C0048_L_0359.jpg</t>
  </si>
  <si>
    <t>E:\CAFNEC_GBRF\2022\BarronRiver\Frames_for_Analysis\2443_C0006 (2)_R_0073.jpg</t>
  </si>
  <si>
    <t>E:\CAFNEC_GBRF\2022\BarronRiver\Frames_for_Analysis\2444_C0006 (2)_R_0070.jpg</t>
  </si>
  <si>
    <t>E:\CAFNEC_GBRF\2022\BarronRiver\Frames_for_Analysis\2445_C0006 (2)_R_0066.jpg</t>
  </si>
  <si>
    <t>E:\CAFNEC_GBRF\2022\BarronRiver\Frames_for_Analysis\2446_C0006 (2)_R_0063.jpg</t>
  </si>
  <si>
    <t>E:\CAFNEC_GBRF\2022\BarronRiver\Frames_for_Analysis\2447_C0006 (2)_R_0060.jpg</t>
  </si>
  <si>
    <t>E:\CAFNEC_GBRF\2022\BarronRiver\Frames_for_Analysis\2448_C0006 (2)_R_0057.jpg</t>
  </si>
  <si>
    <t>E:\CAFNEC_GBRF\2022\BarronRiver\Frames_for_Analysis\2449_C0006 (2)_R_0054.jpg</t>
  </si>
  <si>
    <t>E:\CAFNEC_GBRF\2022\BarronRiver\Frames_for_Analysis\2450_C0006 (2)_R_0050.jpg</t>
  </si>
  <si>
    <t>E:\CAFNEC_GBRF\2022\BarronRiver\Frames_for_Analysis\2451_C0006 (2)_R_0047.jpg</t>
  </si>
  <si>
    <t>E:\CAFNEC_GBRF\2022\BarronRiver\Frames_for_Analysis\2452_C0006 (2)_R_0044.jpg</t>
  </si>
  <si>
    <t>E:\CAFNEC_GBRF\2022\BarronRiver\Frames_for_Analysis\2453_C0006 (2)_R_0040.jpg</t>
  </si>
  <si>
    <t>E:\CAFNEC_GBRF\2022\BarronRiver\Frames_for_Analysis\2454_C0006 (2)_R_0038.jpg</t>
  </si>
  <si>
    <t>E:\CAFNEC_GBRF\2022\BarronRiver\Frames_for_Analysis\2455_C0006 (2)_R_0035.jpg</t>
  </si>
  <si>
    <t>E:\CAFNEC_GBRF\2022\BarronRiver\Frames_for_Analysis\2456_C0006 (2)_R_0031.jpg</t>
  </si>
  <si>
    <t>E:\CAFNEC_GBRF\2022\BarronRiver\Frames_for_Analysis\2457_C0006 (2)_R_0028.jpg</t>
  </si>
  <si>
    <t>E:\CAFNEC_GBRF\2022\BarronRiver\Frames_for_Analysis\2458_C0006 (2)_R_0025.jpg</t>
  </si>
  <si>
    <t>E:\CAFNEC_GBRF\2022\BarronRiver\Frames_for_Analysis\2459_C0006 (2)_R_0022.jpg</t>
  </si>
  <si>
    <t>E:\CAFNEC_GBRF\2022\BarronRiver\Frames_for_Analysis\2460_C0006 (2)_R_0018.jpg</t>
  </si>
  <si>
    <t>E:\CAFNEC_GBRF\2022\BarronRiver\Frames_for_Analysis\2461_C0006 (2)_R_0015.jpg</t>
  </si>
  <si>
    <t>E:\CAFNEC_GBRF\2022\BarronRiver\Frames_for_Analysis\2462_C0006 (2)_R_0011.jpg</t>
  </si>
  <si>
    <t>E:\CAFNEC_GBRF\2022\BarronRiver\Frames_for_Analysis\2463_C0006 (2)_R_0008.jpg</t>
  </si>
  <si>
    <t>E:\CAFNEC_GBRF\2022\BarronRiver\Frames_for_Analysis\2464_C0006 (2)_R_0005.jpg</t>
  </si>
  <si>
    <t>E:\CAFNEC_GBRF\2022\BarronRiver\Frames_for_Analysis\2465_C0005 (2)_R_0557.jpg</t>
  </si>
  <si>
    <t>E:\CAFNEC_GBRF\2022\BarronRiver\Frames_for_Analysis\2466_C0005 (2)_R_0554.jpg</t>
  </si>
  <si>
    <t>E:\CAFNEC_GBRF\2022\BarronRiver\Frames_for_Analysis\2467_C0005 (2)_R_0551.jpg</t>
  </si>
  <si>
    <t>E:\CAFNEC_GBRF\2022\BarronRiver\Frames_for_Analysis\2468_C0005 (2)_R_0547.jpg</t>
  </si>
  <si>
    <t>E:\CAFNEC_GBRF\2022\BarronRiver\Frames_for_Analysis\2469_C0005 (2)_R_0544.jpg</t>
  </si>
  <si>
    <t>E:\CAFNEC_GBRF\2022\BarronRiver\Frames_for_Analysis\2470_C0005 (2)_R_0541.jpg</t>
  </si>
  <si>
    <t>E:\CAFNEC_GBRF\2022\BarronRiver\Frames_for_Analysis\2471_C0005 (2)_R_0538.jpg</t>
  </si>
  <si>
    <t>E:\CAFNEC_GBRF\2022\BarronRiver\Frames_for_Analysis\2472_C0005 (2)_R_0535.jpg</t>
  </si>
  <si>
    <t>E:\CAFNEC_GBRF\2022\BarronRiver\Frames_for_Analysis\2473_C0005 (2)_R_0531.jpg</t>
  </si>
  <si>
    <t>E:\CAFNEC_GBRF\2022\BarronRiver\Frames_for_Analysis\2474_C0005 (2)_R_0528.jpg</t>
  </si>
  <si>
    <t>E:\CAFNEC_GBRF\2022\BarronRiver\Frames_for_Analysis\2475_C0005 (2)_R_0524.jpg</t>
  </si>
  <si>
    <t>E:\CAFNEC_GBRF\2022\BarronRiver\Frames_for_Analysis\2476_C0005 (2)_R_0520.jpg</t>
  </si>
  <si>
    <t>E:\CAFNEC_GBRF\2022\BarronRiver\Frames_for_Analysis\2477_C0005 (2)_R_0517.jpg</t>
  </si>
  <si>
    <t>E:\CAFNEC_GBRF\2022\BarronRiver\Frames_for_Analysis\2478_C0005 (2)_R_0514.jpg</t>
  </si>
  <si>
    <t>E:\CAFNEC_GBRF\2022\BarronRiver\Frames_for_Analysis\2479_C0005 (2)_R_0511.jpg</t>
  </si>
  <si>
    <t>E:\CAFNEC_GBRF\2022\BarronRiver\Frames_for_Analysis\2480_C0005 (2)_R_0508.jpg</t>
  </si>
  <si>
    <t>E:\CAFNEC_GBRF\2022\BarronRiver\Frames_for_Analysis\2481_C0005 (2)_R_0505.jpg</t>
  </si>
  <si>
    <t>E:\CAFNEC_GBRF\2022\BarronRiver\Frames_for_Analysis\2482_C0005 (2)_R_0502.jpg</t>
  </si>
  <si>
    <t>E:\CAFNEC_GBRF\2022\BarronRiver\Frames_for_Analysis\2483_C0005 (2)_R_0498.jpg</t>
  </si>
  <si>
    <t>E:\CAFNEC_GBRF\2022\BarronRiver\Frames_for_Analysis\2484_C0005 (2)_R_0495.jpg</t>
  </si>
  <si>
    <t>E:\CAFNEC_GBRF\2022\BarronRiver\Frames_for_Analysis\2485_C0005 (2)_R_0492.jpg</t>
  </si>
  <si>
    <t>E:\CAFNEC_GBRF\2022\BarronRiver\Frames_for_Analysis\2486_C0005 (2)_R_0488.jpg</t>
  </si>
  <si>
    <t>E:\CAFNEC_GBRF\2022\BarronRiver\Frames_for_Analysis\2487_C0005 (2)_R_0485.jpg</t>
  </si>
  <si>
    <t>E:\CAFNEC_GBRF\2022\BarronRiver\Frames_for_Analysis\2488_C0005 (2)_R_0482.jpg</t>
  </si>
  <si>
    <t>E:\CAFNEC_GBRF\2022\BarronRiver\Frames_for_Analysis\2489_C0005 (2)_R_0479.jpg</t>
  </si>
  <si>
    <t>E:\CAFNEC_GBRF\2022\BarronRiver\Frames_for_Analysis\2490_C0005 (2)_R_0475.jpg</t>
  </si>
  <si>
    <t>E:\CAFNEC_GBRF\2022\BarronRiver\Frames_for_Analysis\2491_C0005 (2)_R_0472.jpg</t>
  </si>
  <si>
    <t>E:\CAFNEC_GBRF\2022\BarronRiver\Frames_for_Analysis\2492_C0005 (2)_R_0469.jpg</t>
  </si>
  <si>
    <t>E:\CAFNEC_GBRF\2022\BarronRiver\Frames_for_Analysis\2493_C0005 (2)_R_0466.jpg</t>
  </si>
  <si>
    <t>E:\CAFNEC_GBRF\2022\BarronRiver\Frames_for_Analysis\2494_C0005 (2)_R_0462.jpg</t>
  </si>
  <si>
    <t>E:\CAFNEC_GBRF\2022\BarronRiver\Frames_for_Analysis\2495_C0005 (2)_R_0459.jpg</t>
  </si>
  <si>
    <t>E:\CAFNEC_GBRF\2022\BarronRiver\Frames_for_Analysis\2496_C0005 (2)_R_0455.jpg</t>
  </si>
  <si>
    <t>E:\CAFNEC_GBRF\2022\BarronRiver\Frames_for_Analysis\2497_C0005 (2)_R_0452.jpg</t>
  </si>
  <si>
    <t>E:\CAFNEC_GBRF\2022\BarronRiver\Frames_for_Analysis\2498_C0005 (2)_R_0449.jpg</t>
  </si>
  <si>
    <t>E:\CAFNEC_GBRF\2022\BarronRiver\Frames_for_Analysis\2499_C0005 (2)_R_0445.jpg</t>
  </si>
  <si>
    <t>E:\CAFNEC_GBRF\2022\BarronRiver\Frames_for_Analysis\2500_C0005 (2)_R_0441.jpg</t>
  </si>
  <si>
    <t>E:\CAFNEC_GBRF\2022\BarronRiver\Frames_for_Analysis\2501_C0005 (2)_R_0438.jpg</t>
  </si>
  <si>
    <t>E:\CAFNEC_GBRF\2022\BarronRiver\Frames_for_Analysis\2502_C0005 (2)_R_0435.jpg</t>
  </si>
  <si>
    <t>E:\CAFNEC_GBRF\2022\BarronRiver\Frames_for_Analysis\2503_C0005 (2)_R_0431.jpg</t>
  </si>
  <si>
    <t>E:\CAFNEC_GBRF\2022\BarronRiver\Frames_for_Analysis\2504_C0005 (2)_R_0427.jpg</t>
  </si>
  <si>
    <t>E:\CAFNEC_GBRF\2022\BarronRiver\Frames_for_Analysis\2505_C0005 (2)_R_0424.jpg</t>
  </si>
  <si>
    <t>E:\CAFNEC_GBRF\2022\BarronRiver\Frames_for_Analysis\2506_C0005 (2)_R_0421.jpg</t>
  </si>
  <si>
    <t>E:\CAFNEC_GBRF\2022\BarronRiver\Frames_for_Analysis\2507_C0005 (2)_R_0417.jpg</t>
  </si>
  <si>
    <t>E:\CAFNEC_GBRF\2022\BarronRiver\Frames_for_Analysis\2508_C0005 (2)_R_0413.jpg</t>
  </si>
  <si>
    <t>E:\CAFNEC_GBRF\2022\BarronRiver\Frames_for_Analysis\2509_C0005 (2)_R_0409.jpg</t>
  </si>
  <si>
    <t>E:\CAFNEC_GBRF\2022\BarronRiver\Frames_for_Analysis\2510_C0005 (2)_R_0406.jpg</t>
  </si>
  <si>
    <t>E:\CAFNEC_GBRF\2022\BarronRiver\Frames_for_Analysis\2511_C0005 (2)_R_0402.jpg</t>
  </si>
  <si>
    <t>E:\CAFNEC_GBRF\2022\BarronRiver\Frames_for_Analysis\2512_C0005 (2)_R_0399.jpg</t>
  </si>
  <si>
    <t>E:\CAFNEC_GBRF\2022\BarronRiver\Frames_for_Analysis\2513_C0005 (2)_R_0395.jpg</t>
  </si>
  <si>
    <t>E:\CAFNEC_GBRF\2022\BarronRiver\Frames_for_Analysis\2514_C0005 (2)_R_0392.jpg</t>
  </si>
  <si>
    <t>E:\CAFNEC_GBRF\2022\BarronRiver\Frames_for_Analysis\2515_C0005 (2)_R_0389.jpg</t>
  </si>
  <si>
    <t>E:\CAFNEC_GBRF\2022\BarronRiver\Frames_for_Analysis\2516_C0005 (2)_R_0385.jpg</t>
  </si>
  <si>
    <t>E:\CAFNEC_GBRF\2022\BarronRiver\Frames_for_Analysis\2517_C0005 (2)_R_0381.jpg</t>
  </si>
  <si>
    <t>E:\CAFNEC_GBRF\2022\BarronRiver\Frames_for_Analysis\2518_C0005 (2)_R_0378.jpg</t>
  </si>
  <si>
    <t>E:\CAFNEC_GBRF\2022\BarronRiver\Frames_for_Analysis\2519_C0005 (2)_R_0374.jpg</t>
  </si>
  <si>
    <t>E:\CAFNEC_GBRF\2022\BarronRiver\Frames_for_Analysis\2520_C0005 (2)_R_0370.jpg</t>
  </si>
  <si>
    <t>E:\CAFNEC_GBRF\2022\BarronRiver\Frames_for_Analysis\2521_C0005 (2)_R_0367.jpg</t>
  </si>
  <si>
    <t>E:\CAFNEC_GBRF\2022\BarronRiver\Frames_for_Analysis\2522_C0005 (2)_R_0363.jpg</t>
  </si>
  <si>
    <t>E:\CAFNEC_GBRF\2022\BarronRiver\Frames_for_Analysis\2523_C0005 (2)_R_0360.jpg</t>
  </si>
  <si>
    <t>E:\CAFNEC_GBRF\2022\BarronRiver\Frames_for_Analysis\2524_C0005 (2)_R_0356.jpg</t>
  </si>
  <si>
    <t>E:\CAFNEC_GBRF\2022\BarronRiver\Frames_for_Analysis\2525_C0005 (2)_R_0352.jpg</t>
  </si>
  <si>
    <t>E:\CAFNEC_GBRF\2022\BarronRiver\Frames_for_Analysis\2526_C0005 (2)_R_0348.jpg</t>
  </si>
  <si>
    <t>E:\CAFNEC_GBRF\2022\BarronRiver\Frames_for_Analysis\2527_C0005 (2)_R_0344.jpg</t>
  </si>
  <si>
    <t>E:\CAFNEC_GBRF\2022\BarronRiver\Frames_for_Analysis\2528_C0005 (2)_R_0341.jpg</t>
  </si>
  <si>
    <t>E:\CAFNEC_GBRF\2022\BarronRiver\Frames_for_Analysis\2529_C0005 (2)_R_0337.jpg</t>
  </si>
  <si>
    <t>E:\CAFNEC_GBRF\2022\BarronRiver\Frames_for_Analysis\2530_C0005 (2)_R_0334.jpg</t>
  </si>
  <si>
    <t>E:\CAFNEC_GBRF\2022\BarronRiver\Frames_for_Analysis\2531_C0005 (2)_R_0331.jpg</t>
  </si>
  <si>
    <t>E:\CAFNEC_GBRF\2022\BarronRiver\Frames_for_Analysis\2532_C0005 (2)_R_0325.jpg</t>
  </si>
  <si>
    <t>E:\CAFNEC_GBRF\2022\BarronRiver\Frames_for_Analysis\2533_C0005 (2)_R_0317.jpg</t>
  </si>
  <si>
    <t>E:\CAFNEC_GBRF\2022\BarronRiver\Frames_for_Analysis\2534_C0005 (2)_R_0315.jpg</t>
  </si>
  <si>
    <t>E:\CAFNEC_GBRF\2022\BarronRiver\Frames_for_Analysis\2535_C0005 (2)_R_0311.jpg</t>
  </si>
  <si>
    <t>E:\CAFNEC_GBRF\2022\BarronRiver\Frames_for_Analysis\2536_C0005 (2)_R_0308.jpg</t>
  </si>
  <si>
    <t>E:\CAFNEC_GBRF\2022\BarronRiver\Frames_for_Analysis\2537_C0005 (2)_R_0300.jpg</t>
  </si>
  <si>
    <t>E:\CAFNEC_GBRF\2022\BarronRiver\Frames_for_Analysis\2538_C0005 (2)_R_0297.jpg</t>
  </si>
  <si>
    <t>E:\CAFNEC_GBRF\2022\BarronRiver\Frames_for_Analysis\2539_C0005 (2)_R_0292.jpg</t>
  </si>
  <si>
    <t>E:\CAFNEC_GBRF\2022\BarronRiver\Frames_for_Analysis\2540_C0005 (2)_R_0288.jpg</t>
  </si>
  <si>
    <t>E:\CAFNEC_GBRF\2022\BarronRiver\Frames_for_Analysis\2541_C0005 (2)_R_0284.jpg</t>
  </si>
  <si>
    <t>E:\CAFNEC_GBRF\2022\BarronRiver\Frames_for_Analysis\2542_C0005 (2)_R_0281.jpg</t>
  </si>
  <si>
    <t>E:\CAFNEC_GBRF\2022\BarronRiver\Frames_for_Analysis\2543_C0005 (2)_R_0277.jpg</t>
  </si>
  <si>
    <t>E:\CAFNEC_GBRF\2022\BarronRiver\Frames_for_Analysis\2544_C0005 (2)_R_0272.jpg</t>
  </si>
  <si>
    <t>E:\CAFNEC_GBRF\2022\BarronRiver\Frames_for_Analysis\2545_C0005 (2)_R_0268.jpg</t>
  </si>
  <si>
    <t>E:\CAFNEC_GBRF\2022\BarronRiver\Frames_for_Analysis\2546_C0005 (2)_R_0265.jpg</t>
  </si>
  <si>
    <t>E:\CAFNEC_GBRF\2022\BarronRiver\Frames_for_Analysis\2547_C0005 (2)_R_0260.jpg</t>
  </si>
  <si>
    <t>E:\CAFNEC_GBRF\2022\BarronRiver\Frames_for_Analysis\2548_C0005 (2)_R_0256.jpg</t>
  </si>
  <si>
    <t>E:\CAFNEC_GBRF\2022\BarronRiver\Frames_for_Analysis\2549_C0005 (2)_R_0253.jpg</t>
  </si>
  <si>
    <t>E:\CAFNEC_GBRF\2022\BarronRiver\Frames_for_Analysis\2550_C0005 (2)_R_0248.jpg</t>
  </si>
  <si>
    <t>E:\CAFNEC_GBRF\2022\BarronRiver\Frames_for_Analysis\2551_C0005 (2)_R_0243.jpg</t>
  </si>
  <si>
    <t>E:\CAFNEC_GBRF\2022\BarronRiver\Frames_for_Analysis\2552_C0005 (2)_R_0239.jpg</t>
  </si>
  <si>
    <t>E:\CAFNEC_GBRF\2022\BarronRiver\Frames_for_Analysis\2553_C0005 (2)_R_0236.jpg</t>
  </si>
  <si>
    <t>E:\CAFNEC_GBRF\2022\BarronRiver\Frames_for_Analysis\2554_C0005 (2)_R_0232.jpg</t>
  </si>
  <si>
    <t>E:\CAFNEC_GBRF\2022\BarronRiver\Frames_for_Analysis\2555_C0005 (2)_R_0227.jpg</t>
  </si>
  <si>
    <t>E:\CAFNEC_GBRF\2022\BarronRiver\Frames_for_Analysis\2556_C0005 (2)_R_0221.jpg</t>
  </si>
  <si>
    <t>E:\CAFNEC_GBRF\2022\BarronRiver\Frames_for_Analysis\2557_C0005 (2)_R_0218.jpg</t>
  </si>
  <si>
    <t>E:\CAFNEC_GBRF\2022\BarronRiver\Frames_for_Analysis\2558_C0005 (2)_R_0214.jpg</t>
  </si>
  <si>
    <t>E:\CAFNEC_GBRF\2022\BarronRiver\Frames_for_Analysis\2559_C0005 (2)_R_0210.jpg</t>
  </si>
  <si>
    <t>E:\CAFNEC_GBRF\2022\BarronRiver\Frames_for_Analysis\2560_C0005 (2)_R_0206.jpg</t>
  </si>
  <si>
    <t>E:\CAFNEC_GBRF\2022\BarronRiver\Frames_for_Analysis\2561_C0005 (2)_R_0201.jpg</t>
  </si>
  <si>
    <t>E:\CAFNEC_GBRF\2022\BarronRiver\Frames_for_Analysis\2562_C0005 (2)_R_0198.jpg</t>
  </si>
  <si>
    <t>E:\CAFNEC_GBRF\2022\BarronRiver\Frames_for_Analysis\2563_C0005 (2)_R_0194.jpg</t>
  </si>
  <si>
    <t>E:\CAFNEC_GBRF\2022\BarronRiver\Frames_for_Analysis\2564_C0005 (2)_R_0189.jpg</t>
  </si>
  <si>
    <t>E:\CAFNEC_GBRF\2022\BarronRiver\Frames_for_Analysis\2565_C0005 (2)_R_0185.jpg</t>
  </si>
  <si>
    <t>E:\CAFNEC_GBRF\2022\BarronRiver\Frames_for_Analysis\2566_C0005 (2)_R_0181.jpg</t>
  </si>
  <si>
    <t>E:\CAFNEC_GBRF\2022\BarronRiver\Frames_for_Analysis\2567_C0005 (2)_R_0176.jpg</t>
  </si>
  <si>
    <t>E:\CAFNEC_GBRF\2022\BarronRiver\Frames_for_Analysis\2568_C0005 (2)_R_0172.jpg</t>
  </si>
  <si>
    <t>E:\CAFNEC_GBRF\2022\BarronRiver\Frames_for_Analysis\2569_C0005 (2)_R_0168.jpg</t>
  </si>
  <si>
    <t>E:\CAFNEC_GBRF\2022\BarronRiver\Frames_for_Analysis\2570_C0005 (2)_R_0164.jpg</t>
  </si>
  <si>
    <t>E:\CAFNEC_GBRF\2022\BarronRiver\Frames_for_Analysis\2571_C0005 (2)_R_0160.jpg</t>
  </si>
  <si>
    <t>E:\CAFNEC_GBRF\2022\BarronRiver\Frames_for_Analysis\2572_C0005 (2)_R_0156.jpg</t>
  </si>
  <si>
    <t>E:\CAFNEC_GBRF\2022\BarronRiver\Frames_for_Analysis\2573_C0005 (2)_R_0151.jpg</t>
  </si>
  <si>
    <t>E:\CAFNEC_GBRF\2022\BarronRiver\Frames_for_Analysis\2574_C0005 (2)_R_0147.jpg</t>
  </si>
  <si>
    <t>E:\CAFNEC_GBRF\2022\BarronRiver\Frames_for_Analysis\2575_C0005 (2)_R_0143.jpg</t>
  </si>
  <si>
    <t>E:\CAFNEC_GBRF\2022\BarronRiver\Frames_for_Analysis\2576_C0005 (2)_R_0138.jpg</t>
  </si>
  <si>
    <t>E:\CAFNEC_GBRF\2022\BarronRiver\Frames_for_Analysis\2577_C0005 (2)_R_0133.jpg</t>
  </si>
  <si>
    <t>E:\CAFNEC_GBRF\2022\BarronRiver\Frames_for_Analysis\2578_C0005 (2)_R_0128.jpg</t>
  </si>
  <si>
    <t>E:\CAFNEC_GBRF\2022\BarronRiver\Frames_for_Analysis\2579_C0005 (2)_R_0122.jpg</t>
  </si>
  <si>
    <t>E:\CAFNEC_GBRF\2022\BarronRiver\Frames_for_Analysis\2580_C0005 (2)_R_0116.jpg</t>
  </si>
  <si>
    <t>E:\CAFNEC_GBRF\2022\BarronRiver\Frames_for_Analysis\2581_C0005 (2)_R_0112.jpg</t>
  </si>
  <si>
    <t>E:\CAFNEC_GBRF\2022\BarronRiver\Frames_for_Analysis\2582_C0005 (2)_R_0106.jpg</t>
  </si>
  <si>
    <t>E:\CAFNEC_GBRF\2022\BarronRiver\Frames_for_Analysis\2583_C0005 (2)_R_0101.jpg</t>
  </si>
  <si>
    <t>E:\CAFNEC_GBRF\2022\BarronRiver\Frames_for_Analysis\2584_C0005 (2)_R_0097.jpg</t>
  </si>
  <si>
    <t>E:\CAFNEC_GBRF\2022\BarronRiver\Frames_for_Analysis\2585_C0005 (2)_R_0092.jpg</t>
  </si>
  <si>
    <t>E:\CAFNEC_GBRF\2022\BarronRiver\Frames_for_Analysis\2586_C0005 (2)_R_0086.jpg</t>
  </si>
  <si>
    <t>E:\CAFNEC_GBRF\2022\BarronRiver\Frames_for_Analysis\2587_C0005 (2)_R_0081.jpg</t>
  </si>
  <si>
    <t>E:\CAFNEC_GBRF\2022\BarronRiver\Frames_for_Analysis\2588_C0005 (2)_R_0076.jpg</t>
  </si>
  <si>
    <t>E:\CAFNEC_GBRF\2022\BarronRiver\Frames_for_Analysis\2589_C0005 (2)_R_0070.jpg</t>
  </si>
  <si>
    <t>E:\CAFNEC_GBRF\2022\BarronRiver\Frames_for_Analysis\2590_C0005 (2)_R_0066.jpg</t>
  </si>
  <si>
    <t>E:\CAFNEC_GBRF\2022\BarronRiver\Frames_for_Analysis\2591_C0005 (2)_R_0061.jpg</t>
  </si>
  <si>
    <t>E:\CAFNEC_GBRF\2022\BarronRiver\Frames_for_Analysis\2592_C0005 (2)_R_0055.jpg</t>
  </si>
  <si>
    <t>E:\CAFNEC_GBRF\2022\BarronRiver\Frames_for_Analysis\2593_C0005 (2)_R_0047.jpg</t>
  </si>
  <si>
    <t>E:\CAFNEC_GBRF\2022\BarronRiver\Frames_for_Analysis\2594_C0005 (2)_R_0039.jpg</t>
  </si>
  <si>
    <t>E:\CAFNEC_GBRF\2022\BarronRiver\Frames_for_Analysis\2595_C0005 (2)_R_0033.jpg</t>
  </si>
  <si>
    <t>E:\CAFNEC_GBRF\2022\BarronRiver\Frames_for_Analysis\2596_C0005 (2)_R_0027.jpg</t>
  </si>
  <si>
    <t>E:\CAFNEC_GBRF\2022\BarronRiver\Frames_for_Analysis\2597_C0005 (2)_R_0018.jpg</t>
  </si>
  <si>
    <t>E:\CAFNEC_GBRF\2022\BarronRiver\Frames_for_Analysis\2598_C0005 (2)_R_0008.jpg</t>
  </si>
  <si>
    <t>E:\CAFNEC_GBRF\2022\BarronRiver\Frames_for_Analysis\2599_C0004 (2)_R_0006.jpg</t>
  </si>
  <si>
    <t>E:\CAFNEC_GBRF\2022\BarronRiver\Frames_for_Analysis\2600_C0004 (2)_R_0055.jpg</t>
  </si>
  <si>
    <t>E:\CAFNEC_GBRF\2022\BarronRiver\Frames_for_Analysis\2601_C0053_R_0429.jpg</t>
  </si>
  <si>
    <t>E:\CAFNEC_GBRF\2022\BarronRiver\Frames_for_Analysis\2602_C0004 (2)_R_0015.jpg</t>
  </si>
  <si>
    <t>E:\CAFNEC_GBRF\2022\BarronRiver\Frames_for_Analysis\2603_C0053_R_0415.jpg</t>
  </si>
  <si>
    <t>E:\CAFNEC_GBRF\2022\BarronRiver\Frames_for_Analysis\2604_C0053_R_0408.jpg</t>
  </si>
  <si>
    <t>E:\CAFNEC_GBRF\2022\BarronRiver\Frames_for_Analysis\2605_C0053_R_0403.jpg</t>
  </si>
  <si>
    <t>E:\CAFNEC_GBRF\2022\BarronRiver\Frames_for_Analysis\2606_C0053_R_0396.jpg</t>
  </si>
  <si>
    <t>E:\CAFNEC_GBRF\2022\BarronRiver\Frames_for_Analysis\2607_C0053_R_0388.jpg</t>
  </si>
  <si>
    <t>E:\CAFNEC_GBRF\2022\BarronRiver\Frames_for_Analysis\2608_C0053_R_0381.jpg</t>
  </si>
  <si>
    <t>E:\CAFNEC_GBRF\2022\BarronRiver\Frames_for_Analysis\2609_C0053_R_0374.jpg</t>
  </si>
  <si>
    <t>E:\CAFNEC_GBRF\2022\BarronRiver\Frames_for_Analysis\2610_C0053_R_0362.jpg</t>
  </si>
  <si>
    <t>E:\CAFNEC_GBRF\2022\BarronRiver\Frames_for_Analysis\2611_C0053_R_0353.jpg</t>
  </si>
  <si>
    <t>E:\CAFNEC_GBRF\2022\BarronRiver\Frames_for_Analysis\2612_C0053_R_0346.jpg</t>
  </si>
  <si>
    <t>E:\CAFNEC_GBRF\2022\BarronRiver\Frames_for_Analysis\2613_C0053_R_0336.jpg</t>
  </si>
  <si>
    <t>E:\CAFNEC_GBRF\2022\BarronRiver\Frames_for_Analysis\2614_C0053_R_0332.jpg</t>
  </si>
  <si>
    <t>E:\CAFNEC_GBRF\2022\BarronRiver\Frames_for_Analysis\2615_C0053_R_0327.jpg</t>
  </si>
  <si>
    <t>E:\CAFNEC_GBRF\2022\BarronRiver\Frames_for_Analysis\2616_C0053_R_0318.jpg</t>
  </si>
  <si>
    <t>E:\CAFNEC_GBRF\2022\BarronRiver\Frames_for_Analysis\2617_C0053_R_0302.jpg</t>
  </si>
  <si>
    <t>E:\CAFNEC_GBRF\2022\BarronRiver\Frames_for_Analysis\2618_C0053_R_0294.jpg</t>
  </si>
  <si>
    <t>E:\CAFNEC_GBRF\2022\BarronRiver\Frames_for_Analysis\2619_C0053_R_0280.jpg</t>
  </si>
  <si>
    <t>E:\CAFNEC_GBRF\2022\BarronRiver\Frames_for_Analysis\2620_C0053_R_0272.jpg</t>
  </si>
  <si>
    <t>E:\CAFNEC_GBRF\2022\BarronRiver\Frames_for_Analysis\2621_C0053_R_0261.jpg</t>
  </si>
  <si>
    <t>E:\CAFNEC_GBRF\2022\BarronRiver\Frames_for_Analysis\2622_C0053_R_0252.jpg</t>
  </si>
  <si>
    <t>E:\CAFNEC_GBRF\2022\BarronRiver\Frames_for_Analysis\2623_C0053_R_0248.jpg</t>
  </si>
  <si>
    <t>E:\CAFNEC_GBRF\2022\BarronRiver\Frames_for_Analysis\2624_C0053_R_0239.jpg</t>
  </si>
  <si>
    <t>E:\CAFNEC_GBRF\2022\BarronRiver\Frames_for_Analysis\2625_C0053_R_0231.jpg</t>
  </si>
  <si>
    <t>E:\CAFNEC_GBRF\2022\BarronRiver\Frames_for_Analysis\2626_C0053_R_0225.jpg</t>
  </si>
  <si>
    <t>E:\CAFNEC_GBRF\2022\BarronRiver\Frames_for_Analysis\2627_C0053_R_0219.jpg</t>
  </si>
  <si>
    <t>E:\CAFNEC_GBRF\2022\BarronRiver\Frames_for_Analysis\2628_C0053_R_0213.jpg</t>
  </si>
  <si>
    <t>E:\CAFNEC_GBRF\2022\BarronRiver\Frames_for_Analysis\2629_C0053_R_0206.jpg</t>
  </si>
  <si>
    <t>E:\CAFNEC_GBRF\2022\BarronRiver\Frames_for_Analysis\2630_C0053_R_0197.jpg</t>
  </si>
  <si>
    <t>E:\CAFNEC_GBRF\2022\BarronRiver\Frames_for_Analysis\2631_C0053_R_0191.jpg</t>
  </si>
  <si>
    <t>E:\CAFNEC_GBRF\2022\BarronRiver\Frames_for_Analysis\2632_C0053_R_0185.jpg</t>
  </si>
  <si>
    <t>E:\CAFNEC_GBRF\2022\BarronRiver\Frames_for_Analysis\2633_C0053_R_0178.jpg</t>
  </si>
  <si>
    <t>E:\CAFNEC_GBRF\2022\BarronRiver\Frames_for_Analysis\2634_C0053_R_0171.jpg</t>
  </si>
  <si>
    <t>E:\CAFNEC_GBRF\2022\BarronRiver\Frames_for_Analysis\2635_C0053_R_0166.jpg</t>
  </si>
  <si>
    <t>E:\CAFNEC_GBRF\2022\BarronRiver\Frames_for_Analysis\2636_C0053_R_0164.jpg</t>
  </si>
  <si>
    <t>E:\CAFNEC_GBRF\2022\BarronRiver\Frames_for_Analysis\2637_C0053_R_0062.jpg</t>
  </si>
  <si>
    <t>E:\CAFNEC_GBRF\2022\BarronRiver\Frames_for_Analysis\2638_C0053_R_0065.jpg</t>
  </si>
  <si>
    <t>E:\CAFNEC_GBRF\2022\BarronRiver\Frames_for_Analysis\2639_C0053_R_0070.jpg</t>
  </si>
  <si>
    <t>E:\CAFNEC_GBRF\2022\BarronRiver\Frames_for_Analysis\2640_C0053_R_0075.jpg</t>
  </si>
  <si>
    <t>E:\CAFNEC_GBRF\2022\BarronRiver\Frames_for_Analysis\2641_C0053_R_0080.jpg</t>
  </si>
  <si>
    <t>E:\CAFNEC_GBRF\2022\BarronRiver\Frames_for_Analysis\2642_C0053_R_0085.jpg</t>
  </si>
  <si>
    <t>E:\CAFNEC_GBRF\2022\BarronRiver\Frames_for_Analysis\2643_C0053_R_0089.jpg</t>
  </si>
  <si>
    <t>E:\CAFNEC_GBRF\2022\BarronRiver\Frames_for_Analysis\2644_C0053_R_0092.jpg</t>
  </si>
  <si>
    <t>E:\CAFNEC_GBRF\2022\BarronRiver\Frames_for_Analysis\2645_C0053_R_0094.jpg</t>
  </si>
  <si>
    <t>E:\CAFNEC_GBRF\2022\BarronRiver\Frames_for_Analysis\2646_C0053_R_0095.jpg</t>
  </si>
  <si>
    <t>E:\CAFNEC_GBRF\2022\BarronRiver\Frames_for_Analysis\2650_C0053_R_0035.jpg</t>
  </si>
  <si>
    <t>E:\CAFNEC_GBRF\2022\BarronRiver\Frames_for_Analysis\2651_C0053_R_0038.jpg</t>
  </si>
  <si>
    <t>E:\CAFNEC_GBRF\2022\BarronRiver\Frames_for_Analysis\2652_C0053_R_0044.jpg</t>
  </si>
  <si>
    <t>E:\CAFNEC_GBRF\2022\BarronRiver\Frames_for_Analysis\2658_C0053_R_0011.jpg</t>
  </si>
  <si>
    <t>E:\CAFNEC_GBRF\2022\BarronRiver\Frames_for_Analysis\2659_C0053_R_0008.jpg</t>
  </si>
  <si>
    <t>E:\CAFNEC_GBRF\2022\BarronRiver\Frames_for_Analysis\2660_C0053_R_0004.jpg</t>
  </si>
  <si>
    <t>E:\CAFNEC_GBRF\2022\BarronRiver\Frames_for_Analysis\2661_C0052_R_0564.jpg</t>
  </si>
  <si>
    <t>E:\CAFNEC_GBRF\2022\BarronRiver\Frames_for_Analysis\2662_C0052_R_0561.jpg</t>
  </si>
  <si>
    <t>E:\CAFNEC_GBRF\2022\BarronRiver\Frames_for_Analysis\2663_C0052_R_0559.jpg</t>
  </si>
  <si>
    <t>E:\CAFNEC_GBRF\2022\BarronRiver\Frames_for_Analysis\2664_C0052_R_0557.jpg</t>
  </si>
  <si>
    <t>E:\CAFNEC_GBRF\2022\BarronRiver\Frames_for_Analysis\2665_C0052_R_0555.jpg</t>
  </si>
  <si>
    <t>E:\CAFNEC_GBRF\2022\BarronRiver\Frames_for_Analysis\2666_C0052_R_0553.jpg</t>
  </si>
  <si>
    <t>E:\CAFNEC_GBRF\2022\BarronRiver\Frames_for_Analysis\2667_C0052_R_0551.jpg</t>
  </si>
  <si>
    <t>E:\CAFNEC_GBRF\2022\BarronRiver\Frames_for_Analysis\2668_C0052_R_0549.jpg</t>
  </si>
  <si>
    <t>E:\CAFNEC_GBRF\2022\BarronRiver\Frames_for_Analysis\2669_C0052_R_0546.jpg</t>
  </si>
  <si>
    <t>E:\CAFNEC_GBRF\2022\BarronRiver\Frames_for_Analysis\2670_C0052_R_0544.jpg</t>
  </si>
  <si>
    <t>E:\CAFNEC_GBRF\2022\BarronRiver\Frames_for_Analysis\2671_C0052_R_0541.jpg</t>
  </si>
  <si>
    <t>E:\CAFNEC_GBRF\2022\BarronRiver\Frames_for_Analysis\2672_C0052_R_0538.jpg</t>
  </si>
  <si>
    <t>E:\CAFNEC_GBRF\2022\BarronRiver\Frames_for_Analysis\2673_C0052_R_0537.jpg</t>
  </si>
  <si>
    <t>E:\CAFNEC_GBRF\2022\BarronRiver\Frames_for_Analysis\2674_C0052_R_0535.jpg</t>
  </si>
  <si>
    <t>E:\CAFNEC_GBRF\2022\BarronRiver\Frames_for_Analysis\2675_C0052_R_0534.jpg</t>
  </si>
  <si>
    <t>E:\CAFNEC_GBRF\2022\BarronRiver\Frames_for_Analysis\2676_C0052_R_0531.jpg</t>
  </si>
  <si>
    <t>E:\CAFNEC_GBRF\2022\BarronRiver\Frames_for_Analysis\2677_C0052_R_0527.jpg</t>
  </si>
  <si>
    <t>E:\CAFNEC_GBRF\2022\BarronRiver\Frames_for_Analysis\2678_C0052_R_0525.jpg</t>
  </si>
  <si>
    <t>E:\CAFNEC_GBRF\2022\BarronRiver\Frames_for_Analysis\2679_C0052_R_0522.jpg</t>
  </si>
  <si>
    <t>E:\CAFNEC_GBRF\2022\BarronRiver\Frames_for_Analysis\2680_C0052_R_0518.jpg</t>
  </si>
  <si>
    <t>E:\CAFNEC_GBRF\2022\BarronRiver\Frames_for_Analysis\2681_C0052_R_0516.jpg</t>
  </si>
  <si>
    <t>E:\CAFNEC_GBRF\2022\BarronRiver\Frames_for_Analysis\2682_C0052_R_0513.jpg</t>
  </si>
  <si>
    <t>E:\CAFNEC_GBRF\2022\BarronRiver\Frames_for_Analysis\2683_C0052_R_0509.jpg</t>
  </si>
  <si>
    <t>E:\CAFNEC_GBRF\2022\BarronRiver\Frames_for_Analysis\2684_C0052_R_0506.jpg</t>
  </si>
  <si>
    <t>E:\CAFNEC_GBRF\2022\BarronRiver\Frames_for_Analysis\2685_C0052_R_0503.jpg</t>
  </si>
  <si>
    <t>E:\CAFNEC_GBRF\2022\BarronRiver\Frames_for_Analysis\2686_C0052_R_0501.jpg</t>
  </si>
  <si>
    <t>E:\CAFNEC_GBRF\2022\BarronRiver\Frames_for_Analysis\2687_C0052_R_0499.jpg</t>
  </si>
  <si>
    <t>E:\CAFNEC_GBRF\2022\BarronRiver\Frames_for_Analysis\2688_C0052_R_0497.jpg</t>
  </si>
  <si>
    <t>E:\CAFNEC_GBRF\2022\BarronRiver\Frames_for_Analysis\2689_C0052_R_0494.jpg</t>
  </si>
  <si>
    <t>E:\CAFNEC_GBRF\2022\BarronRiver\Frames_for_Analysis\2690_C0052_R_0491.jpg</t>
  </si>
  <si>
    <t>E:\CAFNEC_GBRF\2022\BarronRiver\Frames_for_Analysis\2691_C0052_R_0489.jpg</t>
  </si>
  <si>
    <t>E:\CAFNEC_GBRF\2022\BarronRiver\Frames_for_Analysis\2692_C0052_R_0486.jpg</t>
  </si>
  <si>
    <t>E:\CAFNEC_GBRF\2022\BarronRiver\Frames_for_Analysis\2693_C0052_R_0483.jpg</t>
  </si>
  <si>
    <t>E:\CAFNEC_GBRF\2022\BarronRiver\Frames_for_Analysis\2694_C0052_R_0481.jpg</t>
  </si>
  <si>
    <t>E:\CAFNEC_GBRF\2022\BarronRiver\Frames_for_Analysis\2695_C0052_R_0479.jpg</t>
  </si>
  <si>
    <t>E:\CAFNEC_GBRF\2022\BarronRiver\Frames_for_Analysis\2696_C0052_R_0476.jpg</t>
  </si>
  <si>
    <t>E:\CAFNEC_GBRF\2022\BarronRiver\Frames_for_Analysis\2697_C0052_R_0474.jpg</t>
  </si>
  <si>
    <t>E:\CAFNEC_GBRF\2022\BarronRiver\Frames_for_Analysis\2698_C0052_R_0471.jpg</t>
  </si>
  <si>
    <t>E:\CAFNEC_GBRF\2022\BarronRiver\Frames_for_Analysis\2699_C0052_R_0469.jpg</t>
  </si>
  <si>
    <t>E:\CAFNEC_GBRF\2022\BarronRiver\Frames_for_Analysis\2700_C0052_R_0466.jpg</t>
  </si>
  <si>
    <t>E:\CAFNEC_GBRF\2022\BarronRiver\Frames_for_Analysis\2701_C0052_R_0463.jpg</t>
  </si>
  <si>
    <t>E:\CAFNEC_GBRF\2022\BarronRiver\Frames_for_Analysis\2702_C0052_R_0460.jpg</t>
  </si>
  <si>
    <t>E:\CAFNEC_GBRF\2022\BarronRiver\Frames_for_Analysis\2703_C0052_R_0458.jpg</t>
  </si>
  <si>
    <t>E:\CAFNEC_GBRF\2022\BarronRiver\Frames_for_Analysis\2704_C0052_R_0455.jpg</t>
  </si>
  <si>
    <t>E:\CAFNEC_GBRF\2022\BarronRiver\Frames_for_Analysis\2705_C0052_R_0452.jpg</t>
  </si>
  <si>
    <t>E:\CAFNEC_GBRF\2022\BarronRiver\Frames_for_Analysis\2706_C0052_R_0450.jpg</t>
  </si>
  <si>
    <t>E:\CAFNEC_GBRF\2022\BarronRiver\Frames_for_Analysis\2707_C0052_R_0447.jpg</t>
  </si>
  <si>
    <t>E:\CAFNEC_GBRF\2022\BarronRiver\Frames_for_Analysis\2708_C0052_R_0445.jpg</t>
  </si>
  <si>
    <t>E:\CAFNEC_GBRF\2022\BarronRiver\Frames_for_Analysis\2709_C0052_R_0442.jpg</t>
  </si>
  <si>
    <t>E:\CAFNEC_GBRF\2022\BarronRiver\Frames_for_Analysis\2710_C0052_R_0440.jpg</t>
  </si>
  <si>
    <t>E:\CAFNEC_GBRF\2022\BarronRiver\Frames_for_Analysis\2711_C0052_R_0437.jpg</t>
  </si>
  <si>
    <t>E:\CAFNEC_GBRF\2022\BarronRiver\Frames_for_Analysis\2712_C0052_R_0435.jpg</t>
  </si>
  <si>
    <t>E:\CAFNEC_GBRF\2022\BarronRiver\Frames_for_Analysis\2713_C0052_R_0432.jpg</t>
  </si>
  <si>
    <t>E:\CAFNEC_GBRF\2022\BarronRiver\Frames_for_Analysis\2714_C0052_R_0429.jpg</t>
  </si>
  <si>
    <t>E:\CAFNEC_GBRF\2022\BarronRiver\Frames_for_Analysis\2715_C0052_R_0426.jpg</t>
  </si>
  <si>
    <t>E:\CAFNEC_GBRF\2022\BarronRiver\Frames_for_Analysis\2716_C0052_R_0423.jpg</t>
  </si>
  <si>
    <t>E:\CAFNEC_GBRF\2022\BarronRiver\Frames_for_Analysis\2717_C0052_R_0421.jpg</t>
  </si>
  <si>
    <t>E:\CAFNEC_GBRF\2022\BarronRiver\Frames_for_Analysis\2718_C0052_R_0418.jpg</t>
  </si>
  <si>
    <t>E:\CAFNEC_GBRF\2022\BarronRiver\Frames_for_Analysis\2719_C0052_R_0415.jpg</t>
  </si>
  <si>
    <t>E:\CAFNEC_GBRF\2022\BarronRiver\Frames_for_Analysis\2720_C0052_R_0413.jpg</t>
  </si>
  <si>
    <t>E:\CAFNEC_GBRF\2022\BarronRiver\Frames_for_Analysis\2721_C0052_R_0410.jpg</t>
  </si>
  <si>
    <t>E:\CAFNEC_GBRF\2022\BarronRiver\Frames_for_Analysis\2722_C0052_R_0407.jpg</t>
  </si>
  <si>
    <t>E:\CAFNEC_GBRF\2022\BarronRiver\Frames_for_Analysis\2723_C0052_R_0405.jpg</t>
  </si>
  <si>
    <t>E:\CAFNEC_GBRF\2022\BarronRiver\Frames_for_Analysis\2724_C0052_R_0402.jpg</t>
  </si>
  <si>
    <t>E:\CAFNEC_GBRF\2022\BarronRiver\Frames_for_Analysis\2725_C0052_R_0400.jpg</t>
  </si>
  <si>
    <t>E:\CAFNEC_GBRF\2022\BarronRiver\Frames_for_Analysis\2726_C0052_R_0398.jpg</t>
  </si>
  <si>
    <t>E:\CAFNEC_GBRF\2022\BarronRiver\Frames_for_Analysis\2727_C0052_R_0395.jpg</t>
  </si>
  <si>
    <t>E:\CAFNEC_GBRF\2022\BarronRiver\Frames_for_Analysis\2728_C0052_R_0392.jpg</t>
  </si>
  <si>
    <t>E:\CAFNEC_GBRF\2022\BarronRiver\Frames_for_Analysis\2729_C0052_R_0389.jpg</t>
  </si>
  <si>
    <t>E:\CAFNEC_GBRF\2022\BarronRiver\Frames_for_Analysis\2730_C0052_R_0387.jpg</t>
  </si>
  <si>
    <t>E:\CAFNEC_GBRF\2022\BarronRiver\Frames_for_Analysis\2731_C0052_R_0384.jpg</t>
  </si>
  <si>
    <t>E:\CAFNEC_GBRF\2022\BarronRiver\Frames_for_Analysis\2732_C0052_R_0381.jpg</t>
  </si>
  <si>
    <t>E:\CAFNEC_GBRF\2022\BarronRiver\Frames_for_Analysis\2733_C0052_R_0379.jpg</t>
  </si>
  <si>
    <t>E:\CAFNEC_GBRF\2022\BarronRiver\Frames_for_Analysis\2734_C0052_R_0376.jpg</t>
  </si>
  <si>
    <t>E:\CAFNEC_GBRF\2022\BarronRiver\Frames_for_Analysis\2735_C0052_R_0372.jpg</t>
  </si>
  <si>
    <t>E:\CAFNEC_GBRF\2022\BarronRiver\Frames_for_Analysis\2736_C0052_R_0370.jpg</t>
  </si>
  <si>
    <t>E:\CAFNEC_GBRF\2022\BarronRiver\Frames_for_Analysis\2737_C0052_R_0367.jpg</t>
  </si>
  <si>
    <t>E:\CAFNEC_GBRF\2022\BarronRiver\Frames_for_Analysis\2738_C0052_R_0364.jpg</t>
  </si>
  <si>
    <t>E:\CAFNEC_GBRF\2022\BarronRiver\Frames_for_Analysis\2739_C0052_R_0362.jpg</t>
  </si>
  <si>
    <t>E:\CAFNEC_GBRF\2022\BarronRiver\Frames_for_Analysis\2740_C0052_R_0359.jpg</t>
  </si>
  <si>
    <t>E:\CAFNEC_GBRF\2022\BarronRiver\Frames_for_Analysis\2741_C0052_R_0357.jpg</t>
  </si>
  <si>
    <t>E:\CAFNEC_GBRF\2022\BarronRiver\Frames_for_Analysis\2742_C0052_R_0353.jpg</t>
  </si>
  <si>
    <t>E:\CAFNEC_GBRF\2022\BarronRiver\Frames_for_Analysis\2743_C0052_R_0351.jpg</t>
  </si>
  <si>
    <t>E:\CAFNEC_GBRF\2022\BarronRiver\Frames_for_Analysis\2744_C0052_R_0348.jpg</t>
  </si>
  <si>
    <t>E:\CAFNEC_GBRF\2022\BarronRiver\Frames_for_Analysis\2745_C0052_R_0345.jpg</t>
  </si>
  <si>
    <t>E:\CAFNEC_GBRF\2022\BarronRiver\Frames_for_Analysis\2746_C0052_R_0343.jpg</t>
  </si>
  <si>
    <t>E:\CAFNEC_GBRF\2022\BarronRiver\Frames_for_Analysis\2747_C0052_R_0340.jpg</t>
  </si>
  <si>
    <t>E:\CAFNEC_GBRF\2022\BarronRiver\Frames_for_Analysis\2748_C0052_R_0337.jpg</t>
  </si>
  <si>
    <t>E:\CAFNEC_GBRF\2022\BarronRiver\Frames_for_Analysis\2749_C0052_R_0334.jpg</t>
  </si>
  <si>
    <t>E:\CAFNEC_GBRF\2022\BarronRiver\Frames_for_Analysis\2750_C0052_R_0332.jpg</t>
  </si>
  <si>
    <t>E:\CAFNEC_GBRF\2022\BarronRiver\Frames_for_Analysis\2751_C0052_R_0329.jpg</t>
  </si>
  <si>
    <t>E:\CAFNEC_GBRF\2022\BarronRiver\Frames_for_Analysis\2752_C0052_R_0327.jpg</t>
  </si>
  <si>
    <t>E:\CAFNEC_GBRF\2022\BarronRiver\Frames_for_Analysis\2753_C0052_R_0324.jpg</t>
  </si>
  <si>
    <t>E:\CAFNEC_GBRF\2022\BarronRiver\Frames_for_Analysis\2754_C0052_R_0321.jpg</t>
  </si>
  <si>
    <t>E:\CAFNEC_GBRF\2022\BarronRiver\Frames_for_Analysis\2755_C0052_R_0319.jpg</t>
  </si>
  <si>
    <t>E:\CAFNEC_GBRF\2022\BarronRiver\Frames_for_Analysis\2756_C0052_R_0317.jpg</t>
  </si>
  <si>
    <t>E:\CAFNEC_GBRF\2022\BarronRiver\Frames_for_Analysis\2757_C0052_R_0314.jpg</t>
  </si>
  <si>
    <t>E:\CAFNEC_GBRF\2022\BarronRiver\Frames_for_Analysis\2758_C0052_R_0312.jpg</t>
  </si>
  <si>
    <t>E:\CAFNEC_GBRF\2022\BarronRiver\Frames_for_Analysis\2759_C0052_R_0310.jpg</t>
  </si>
  <si>
    <t>E:\CAFNEC_GBRF\2022\BarronRiver\Frames_for_Analysis\2760_C0052_R_0307.jpg</t>
  </si>
  <si>
    <t>E:\CAFNEC_GBRF\2022\BarronRiver\Frames_for_Analysis\2761_C0052_R_0305.jpg</t>
  </si>
  <si>
    <t>E:\CAFNEC_GBRF\2022\BarronRiver\Frames_for_Analysis\2762_C0052_R_0303.jpg</t>
  </si>
  <si>
    <t>E:\CAFNEC_GBRF\2022\BarronRiver\Frames_for_Analysis\2763_C0052_R_0300.jpg</t>
  </si>
  <si>
    <t>E:\CAFNEC_GBRF\2022\BarronRiver\Frames_for_Analysis\2764_C0052_R_0298.jpg</t>
  </si>
  <si>
    <t>E:\CAFNEC_GBRF\2022\BarronRiver\Frames_for_Analysis\2765_C0052_R_0296.jpg</t>
  </si>
  <si>
    <t>E:\CAFNEC_GBRF\2022\BarronRiver\Frames_for_Analysis\2766_C0052_R_0293.jpg</t>
  </si>
  <si>
    <t>E:\CAFNEC_GBRF\2022\BarronRiver\Frames_for_Analysis\2767_C0052_R_0291.jpg</t>
  </si>
  <si>
    <t>E:\CAFNEC_GBRF\2022\BarronRiver\Frames_for_Analysis\2768_C0052_R_0289.jpg</t>
  </si>
  <si>
    <t>E:\CAFNEC_GBRF\2022\BarronRiver\Frames_for_Analysis\2769_C0052_R_0286.jpg</t>
  </si>
  <si>
    <t>E:\CAFNEC_GBRF\2022\BarronRiver\Frames_for_Analysis\2770_C0052_R_0284.jpg</t>
  </si>
  <si>
    <t>E:\CAFNEC_GBRF\2022\BarronRiver\Frames_for_Analysis\2771_C0052_R_0281.jpg</t>
  </si>
  <si>
    <t>E:\CAFNEC_GBRF\2022\BarronRiver\Frames_for_Analysis\2772_C0052_R_0279.jpg</t>
  </si>
  <si>
    <t>E:\CAFNEC_GBRF\2022\BarronRiver\Frames_for_Analysis\2773_C0052_R_0276.jpg</t>
  </si>
  <si>
    <t>E:\CAFNEC_GBRF\2022\BarronRiver\Frames_for_Analysis\2774_C0052_R_0274.jpg</t>
  </si>
  <si>
    <t>E:\CAFNEC_GBRF\2022\BarronRiver\Frames_for_Analysis\2775_C0052_R_0271.jpg</t>
  </si>
  <si>
    <t>E:\CAFNEC_GBRF\2022\BarronRiver\Frames_for_Analysis\2776_C0052_R_0268.jpg</t>
  </si>
  <si>
    <t>E:\CAFNEC_GBRF\2022\BarronRiver\Frames_for_Analysis\2777_C0052_R_0266.jpg</t>
  </si>
  <si>
    <t>E:\CAFNEC_GBRF\2022\BarronRiver\Frames_for_Analysis\2778_C0052_R_0263.jpg</t>
  </si>
  <si>
    <t>E:\CAFNEC_GBRF\2022\BarronRiver\Frames_for_Analysis\2779_C0052_R_0261.jpg</t>
  </si>
  <si>
    <t>E:\CAFNEC_GBRF\2022\BarronRiver\Frames_for_Analysis\2780_C0052_R_0258.jpg</t>
  </si>
  <si>
    <t>E:\CAFNEC_GBRF\2022\BarronRiver\Frames_for_Analysis\2781_C0052_R_0256.jpg</t>
  </si>
  <si>
    <t>E:\CAFNEC_GBRF\2022\BarronRiver\Frames_for_Analysis\2782_C0052_R_0253.jpg</t>
  </si>
  <si>
    <t>E:\CAFNEC_GBRF\2022\BarronRiver\Frames_for_Analysis\2783_C0052_R_0251.jpg</t>
  </si>
  <si>
    <t>E:\CAFNEC_GBRF\2022\BarronRiver\Frames_for_Analysis\2784_C0052_R_0248.jpg</t>
  </si>
  <si>
    <t>E:\CAFNEC_GBRF\2022\BarronRiver\Frames_for_Analysis\2785_C0052_R_0246.jpg</t>
  </si>
  <si>
    <t>E:\CAFNEC_GBRF\2022\BarronRiver\Frames_for_Analysis\2786_C0052_R_0243.jpg</t>
  </si>
  <si>
    <t>E:\CAFNEC_GBRF\2022\BarronRiver\Frames_for_Analysis\2787_C0052_R_0241.jpg</t>
  </si>
  <si>
    <t>E:\CAFNEC_GBRF\2022\BarronRiver\Frames_for_Analysis\2788_C0052_R_0239.jpg</t>
  </si>
  <si>
    <t>E:\CAFNEC_GBRF\2022\BarronRiver\Frames_for_Analysis\2789_C0052_R_0236.jpg</t>
  </si>
  <si>
    <t>E:\CAFNEC_GBRF\2022\BarronRiver\Frames_for_Analysis\2790_C0052_R_0234.jpg</t>
  </si>
  <si>
    <t>E:\CAFNEC_GBRF\2022\BarronRiver\Frames_for_Analysis\2791_C0052_R_0231.jpg</t>
  </si>
  <si>
    <t>E:\CAFNEC_GBRF\2022\BarronRiver\Frames_for_Analysis\2792_C0052_R_0228.jpg</t>
  </si>
  <si>
    <t>E:\CAFNEC_GBRF\2022\BarronRiver\Frames_for_Analysis\2793_C0052_R_0226.jpg</t>
  </si>
  <si>
    <t>E:\CAFNEC_GBRF\2022\BarronRiver\Frames_for_Analysis\2794_C0052_R_0223.jpg</t>
  </si>
  <si>
    <t>E:\CAFNEC_GBRF\2022\BarronRiver\Frames_for_Analysis\2795_C0052_R_0220.jpg</t>
  </si>
  <si>
    <t>E:\CAFNEC_GBRF\2022\BarronRiver\Frames_for_Analysis\2796_C0052_R_0217.jpg</t>
  </si>
  <si>
    <t>E:\CAFNEC_GBRF\2022\BarronRiver\Frames_for_Analysis\2797_C0052_R_0214.jpg</t>
  </si>
  <si>
    <t>E:\CAFNEC_GBRF\2022\BarronRiver\Frames_for_Analysis\2798_C0052_R_0212.jpg</t>
  </si>
  <si>
    <t>E:\CAFNEC_GBRF\2022\BarronRiver\Frames_for_Analysis\2799_C0052_R_0209.jpg</t>
  </si>
  <si>
    <t>E:\CAFNEC_GBRF\2022\BarronRiver\Frames_for_Analysis\2800_C0052_R_0206.jpg</t>
  </si>
  <si>
    <t>E:\CAFNEC_GBRF\2022\BarronRiver\Frames_for_Analysis\2801_C0052_R_0203.jpg</t>
  </si>
  <si>
    <t>E:\CAFNEC_GBRF\2022\BarronRiver\Frames_for_Analysis\2802_C0052_R_0200.jpg</t>
  </si>
  <si>
    <t>E:\CAFNEC_GBRF\2022\BarronRiver\Frames_for_Analysis\2803_C0052_R_0197.jpg</t>
  </si>
  <si>
    <t>E:\CAFNEC_GBRF\2022\BarronRiver\Frames_for_Analysis\2804_C0052_R_0193.jpg</t>
  </si>
  <si>
    <t>E:\CAFNEC_GBRF\2022\BarronRiver\Frames_for_Analysis\2805_C0052_R_0190.jpg</t>
  </si>
  <si>
    <t>E:\CAFNEC_GBRF\2022\BarronRiver\Frames_for_Analysis\2806_C0052_R_0187.jpg</t>
  </si>
  <si>
    <t>E:\CAFNEC_GBRF\2022\BarronRiver\Frames_for_Analysis\2807_C0052_R_0184.jpg</t>
  </si>
  <si>
    <t>E:\CAFNEC_GBRF\2022\BarronRiver\Frames_for_Analysis\2808_C0052_R_0181.jpg</t>
  </si>
  <si>
    <t>E:\CAFNEC_GBRF\2022\BarronRiver\Frames_for_Analysis\2809_C0052_R_0179.jpg</t>
  </si>
  <si>
    <t>E:\CAFNEC_GBRF\2022\BarronRiver\Frames_for_Analysis\2810_C0052_R_0175.jpg</t>
  </si>
  <si>
    <t>E:\CAFNEC_GBRF\2022\BarronRiver\Frames_for_Analysis\2811_C0052_R_0172.jpg</t>
  </si>
  <si>
    <t>E:\CAFNEC_GBRF\2022\BarronRiver\Frames_for_Analysis\2812_C0052_R_0170.jpg</t>
  </si>
  <si>
    <t>E:\CAFNEC_GBRF\2022\BarronRiver\Frames_for_Analysis\2813_C0052_R_0167.jpg</t>
  </si>
  <si>
    <t>E:\CAFNEC_GBRF\2022\BarronRiver\Frames_for_Analysis\2814_C0052_R_0164.jpg</t>
  </si>
  <si>
    <t>E:\CAFNEC_GBRF\2022\BarronRiver\Frames_for_Analysis\2815_C0052_R_0161.jpg</t>
  </si>
  <si>
    <t>E:\CAFNEC_GBRF\2022\BarronRiver\Frames_for_Analysis\2816_C0052_R_0159.jpg</t>
  </si>
  <si>
    <t>E:\CAFNEC_GBRF\2022\BarronRiver\Frames_for_Analysis\2817_C0052_R_0155.jpg</t>
  </si>
  <si>
    <t>E:\CAFNEC_GBRF\2022\BarronRiver\Frames_for_Analysis\2818_C0052_R_0153.jpg</t>
  </si>
  <si>
    <t>E:\CAFNEC_GBRF\2022\BarronRiver\Frames_for_Analysis\2819_C0052_R_0151.jpg</t>
  </si>
  <si>
    <t>E:\CAFNEC_GBRF\2022\BarronRiver\Frames_for_Analysis\2820_C0052_R_0147.jpg</t>
  </si>
  <si>
    <t>E:\CAFNEC_GBRF\2022\BarronRiver\Frames_for_Analysis\2821_C0052_R_0145.jpg</t>
  </si>
  <si>
    <t>E:\CAFNEC_GBRF\2022\BarronRiver\Frames_for_Analysis\2822_C0052_R_0142.jpg</t>
  </si>
  <si>
    <t>E:\CAFNEC_GBRF\2022\BarronRiver\Frames_for_Analysis\2823_C0052_R_0139.jpg</t>
  </si>
  <si>
    <t>E:\CAFNEC_GBRF\2022\BarronRiver\Frames_for_Analysis\2824_C0052_R_0136.jpg</t>
  </si>
  <si>
    <t>E:\CAFNEC_GBRF\2022\BarronRiver\Frames_for_Analysis\2825_C0052_R_0133.jpg</t>
  </si>
  <si>
    <t>E:\CAFNEC_GBRF\2022\BarronRiver\Frames_for_Analysis\2826_C0052_R_0130.jpg</t>
  </si>
  <si>
    <t>E:\CAFNEC_GBRF\2022\BarronRiver\Frames_for_Analysis\2827_C0052_R_0126.jpg</t>
  </si>
  <si>
    <t>E:\CAFNEC_GBRF\2022\BarronRiver\Frames_for_Analysis\2828_C0052_R_0124.jpg</t>
  </si>
  <si>
    <t>E:\CAFNEC_GBRF\2022\BarronRiver\Frames_for_Analysis\2829_C0052_R_0120.jpg</t>
  </si>
  <si>
    <t>E:\CAFNEC_GBRF\2022\BarronRiver\Frames_for_Analysis\2830_C0052_R_0117.jpg</t>
  </si>
  <si>
    <t>E:\CAFNEC_GBRF\2022\BarronRiver\Frames_for_Analysis\2831_C0052_R_0114.jpg</t>
  </si>
  <si>
    <t>E:\CAFNEC_GBRF\2022\BarronRiver\Frames_for_Analysis\2832_C0052_R_0111.jpg</t>
  </si>
  <si>
    <t>E:\CAFNEC_GBRF\2022\BarronRiver\Frames_for_Analysis\2833_C0052_R_0108.jpg</t>
  </si>
  <si>
    <t>E:\CAFNEC_GBRF\2022\BarronRiver\Frames_for_Analysis\2834_C0052_R_0105.jpg</t>
  </si>
  <si>
    <t>E:\CAFNEC_GBRF\2022\BarronRiver\Frames_for_Analysis\2835_C0052_R_0102.jpg</t>
  </si>
  <si>
    <t>E:\CAFNEC_GBRF\2022\BarronRiver\Frames_for_Analysis\2836_C0052_R_0098.jpg</t>
  </si>
  <si>
    <t>E:\CAFNEC_GBRF\2022\BarronRiver\Frames_for_Analysis\2837_C0052_R_0095.jpg</t>
  </si>
  <si>
    <t>E:\CAFNEC_GBRF\2022\BarronRiver\Frames_for_Analysis\2838_C0052_R_0092.jpg</t>
  </si>
  <si>
    <t>E:\CAFNEC_GBRF\2022\BarronRiver\Frames_for_Analysis\2839_C0052_R_0089.jpg</t>
  </si>
  <si>
    <t>E:\CAFNEC_GBRF\2022\BarronRiver\Frames_for_Analysis\2840_C0052_R_0085.jpg</t>
  </si>
  <si>
    <t>E:\CAFNEC_GBRF\2022\BarronRiver\Frames_for_Analysis\2841_C0052_R_0082.jpg</t>
  </si>
  <si>
    <t>E:\CAFNEC_GBRF\2022\BarronRiver\Frames_for_Analysis\2842_C0052_R_0079.jpg</t>
  </si>
  <si>
    <t>E:\CAFNEC_GBRF\2022\BarronRiver\Frames_for_Analysis\2843_C0052_R_0075.jpg</t>
  </si>
  <si>
    <t>E:\CAFNEC_GBRF\2022\BarronRiver\Frames_for_Analysis\2844_C0052_R_0072.jpg</t>
  </si>
  <si>
    <t>E:\CAFNEC_GBRF\2022\BarronRiver\Frames_for_Analysis\2845_C0052_R_0068.jpg</t>
  </si>
  <si>
    <t>E:\CAFNEC_GBRF\2022\BarronRiver\Frames_for_Analysis\2846_C0052_R_0065.jpg</t>
  </si>
  <si>
    <t>E:\CAFNEC_GBRF\2022\BarronRiver\Frames_for_Analysis\2847_C0052_R_0062.jpg</t>
  </si>
  <si>
    <t>E:\CAFNEC_GBRF\2022\BarronRiver\Frames_for_Analysis\2848_C0052_R_0058.jpg</t>
  </si>
  <si>
    <t>E:\CAFNEC_GBRF\2022\BarronRiver\Frames_for_Analysis\2849_C0052_R_0055.jpg</t>
  </si>
  <si>
    <t>E:\CAFNEC_GBRF\2022\BarronRiver\Frames_for_Analysis\2850_C0052_R_0052.jpg</t>
  </si>
  <si>
    <t>E:\CAFNEC_GBRF\2022\BarronRiver\Frames_for_Analysis\2851_C0052_R_0049.jpg</t>
  </si>
  <si>
    <t>E:\CAFNEC_GBRF\2022\BarronRiver\Frames_for_Analysis\2852_C0052_R_0046.jpg</t>
  </si>
  <si>
    <t>E:\CAFNEC_GBRF\2022\BarronRiver\Frames_for_Analysis\2853_C0011 (2)_L_0010.jpg</t>
  </si>
  <si>
    <t>E:\CAFNEC_GBRF\2022\BarronRiver\Frames_for_Analysis\2854_C0052_R_0040.jpg</t>
  </si>
  <si>
    <t>E:\CAFNEC_GBRF\2022\BarronRiver\Frames_for_Analysis\2855_C0052_R_0036.jpg</t>
  </si>
  <si>
    <t>E:\CAFNEC_GBRF\2022\BarronRiver\Frames_for_Analysis\2856_C0052_R_0033.jpg</t>
  </si>
  <si>
    <t>E:\CAFNEC_GBRF\2022\BarronRiver\Frames_for_Analysis\2857_C0052_R_0030.jpg</t>
  </si>
  <si>
    <t>E:\CAFNEC_GBRF\2022\BarronRiver\Frames_for_Analysis\2858_C0052_R_0026.jpg</t>
  </si>
  <si>
    <t>E:\CAFNEC_GBRF\2022\BarronRiver\Frames_for_Analysis\2859_C0052_R_0023.jpg</t>
  </si>
  <si>
    <t>E:\CAFNEC_GBRF\2022\BarronRiver\Frames_for_Analysis\2860_C0052_R_0019.jpg</t>
  </si>
  <si>
    <t>E:\CAFNEC_GBRF\2022\BarronRiver\Frames_for_Analysis\2861_C0052_R_0015.jpg</t>
  </si>
  <si>
    <t>E:\CAFNEC_GBRF\2022\BarronRiver\Frames_for_Analysis\2862_C0052_R_0012.jpg</t>
  </si>
  <si>
    <t>E:\CAFNEC_GBRF\2022\BarronRiver\Frames_for_Analysis\2863_C0052_R_0008.jpg</t>
  </si>
  <si>
    <t>E:\CAFNEC_GBRF\2022\BarronRiver\Frames_for_Analysis\2864_C0012 (2)_L_0012.jpg</t>
  </si>
  <si>
    <t>E:\CAFNEC_GBRF\2022\BarronRiver\Frames_for_Analysis\2865_C0012 (2)_L_0016.jpg</t>
  </si>
  <si>
    <t>E:\CAFNEC_GBRF\2022\BarronRiver\Frames_for_Analysis\2866_C0012 (2)_L_0019.jpg</t>
  </si>
  <si>
    <t>E:\CAFNEC_GBRF\2022\BarronRiver\Frames_for_Analysis\2867_C0012 (2)_L_0023.jpg</t>
  </si>
  <si>
    <t>E:\CAFNEC_GBRF\2022\BarronRiver\Frames_for_Analysis\2868_C0012 (2)_L_0025.jpg</t>
  </si>
  <si>
    <t>E:\CAFNEC_GBRF\2022\BarronRiver\Frames_for_Analysis\2869_C0012 (2)_L_0028.jpg</t>
  </si>
  <si>
    <t>E:\CAFNEC_GBRF\2022\BarronRiver\Frames_for_Analysis\2870_C0012 (2)_L_0031.jpg</t>
  </si>
  <si>
    <t>E:\CAFNEC_GBRF\2022\BarronRiver\Frames_for_Analysis\2871_C0012 (2)_L_0034.jpg</t>
  </si>
  <si>
    <t>E:\CAFNEC_GBRF\2022\BarronRiver\Frames_for_Analysis\2872_C0012 (2)_L_0037.jpg</t>
  </si>
  <si>
    <t>E:\CAFNEC_GBRF\2022\BarronRiver\Frames_for_Analysis\2873_C0012 (2)_L_0040.jpg</t>
  </si>
  <si>
    <t>E:\CAFNEC_GBRF\2022\BarronRiver\Frames_for_Analysis\2874_C0012 (2)_L_0044.jpg</t>
  </si>
  <si>
    <t>E:\CAFNEC_GBRF\2022\BarronRiver\Frames_for_Analysis\2875_C0012 (2)_L_0047.jpg</t>
  </si>
  <si>
    <t>E:\CAFNEC_GBRF\2022\BarronRiver\Frames_for_Analysis\2876_C0012 (2)_L_0050.jpg</t>
  </si>
  <si>
    <t>E:\CAFNEC_GBRF\2022\BarronRiver\Frames_for_Analysis\2877_C0012 (2)_L_0053.jpg</t>
  </si>
  <si>
    <t>E:\CAFNEC_GBRF\2022\BarronRiver\Frames_for_Analysis\2878_C0012 (2)_L_0055.jpg</t>
  </si>
  <si>
    <t>E:\CAFNEC_GBRF\2022\BarronRiver\Frames_for_Analysis\2879_C0012 (2)_L_0058.jpg</t>
  </si>
  <si>
    <t>E:\CAFNEC_GBRF\2022\BarronRiver\Frames_for_Analysis\2880_C0012 (2)_L_0060.jpg</t>
  </si>
  <si>
    <t>E:\CAFNEC_GBRF\2022\BarronRiver\Frames_for_Analysis\2881_C0012 (2)_L_0063.jpg</t>
  </si>
  <si>
    <t>E:\CAFNEC_GBRF\2022\BarronRiver\Frames_for_Analysis\2882_C0012 (2)_L_0065.jpg</t>
  </si>
  <si>
    <t>E:\CAFNEC_GBRF\2022\BarronRiver\Frames_for_Analysis\2883_C0012 (2)_L_0068.jpg</t>
  </si>
  <si>
    <t>E:\CAFNEC_GBRF\2022\BarronRiver\Frames_for_Analysis\2884_C0012 (2)_L_0070.jpg</t>
  </si>
  <si>
    <t>E:\CAFNEC_GBRF\2022\BarronRiver\Frames_for_Analysis\2885_C0012 (2)_L_0073.jpg</t>
  </si>
  <si>
    <t>E:\CAFNEC_GBRF\2022\BarronRiver\Frames_for_Analysis\2886_C0012 (2)_L_0076.jpg</t>
  </si>
  <si>
    <t>E:\CAFNEC_GBRF\2022\BarronRiver\Frames_for_Analysis\2887_C0012 (2)_L_0079.jpg</t>
  </si>
  <si>
    <t>E:\CAFNEC_GBRF\2022\BarronRiver\Frames_for_Analysis\2888_C0012 (2)_L_0083.jpg</t>
  </si>
  <si>
    <t>E:\CAFNEC_GBRF\2022\BarronRiver\Frames_for_Analysis\2889_C0012 (2)_L_0085.jpg</t>
  </si>
  <si>
    <t>E:\CAFNEC_GBRF\2022\BarronRiver\Frames_for_Analysis\2890_C0012 (2)_L_0088.jpg</t>
  </si>
  <si>
    <t>E:\CAFNEC_GBRF\2022\BarronRiver\Frames_for_Analysis\2891_C0012 (2)_L_0091.jpg</t>
  </si>
  <si>
    <t>E:\CAFNEC_GBRF\2022\BarronRiver\Frames_for_Analysis\2892_C0012 (2)_L_0093.jpg</t>
  </si>
  <si>
    <t>E:\CAFNEC_GBRF\2022\BarronRiver\Frames_for_Analysis\2893_C0012 (2)_L_0096.jpg</t>
  </si>
  <si>
    <t>E:\CAFNEC_GBRF\2022\BarronRiver\Frames_for_Analysis\2894_C0012 (2)_L_0098.jpg</t>
  </si>
  <si>
    <t>E:\CAFNEC_GBRF\2022\BarronRiver\Frames_for_Analysis\2895_C0012 (2)_L_0101.jpg</t>
  </si>
  <si>
    <t>E:\CAFNEC_GBRF\2022\BarronRiver\Frames_for_Analysis\2896_C0012 (2)_L_0104.jpg</t>
  </si>
  <si>
    <t>E:\CAFNEC_GBRF\2022\BarronRiver\Frames_for_Analysis\2897_C0012 (2)_L_0106.jpg</t>
  </si>
  <si>
    <t>E:\CAFNEC_GBRF\2022\BarronRiver\Frames_for_Analysis\2898_C0012 (2)_L_0109.jpg</t>
  </si>
  <si>
    <t>E:\CAFNEC_GBRF\2022\BarronRiver\Frames_for_Analysis\2899_C0012 (2)_L_0112.jpg</t>
  </si>
  <si>
    <t>E:\CAFNEC_GBRF\2022\BarronRiver\Frames_for_Analysis\2900_C0012 (2)_L_0115.jpg</t>
  </si>
  <si>
    <t>E:\CAFNEC_GBRF\2022\BarronRiver\Frames_for_Analysis\2901_C0012 (2)_L_0118.jpg</t>
  </si>
  <si>
    <t>E:\CAFNEC_GBRF\2022\BarronRiver\Frames_for_Analysis\2902_C0012 (2)_L_0121.jpg</t>
  </si>
  <si>
    <t>E:\CAFNEC_GBRF\2022\BarronRiver\Frames_for_Analysis\2903_C0012 (2)_L_0123.jpg</t>
  </si>
  <si>
    <t>E:\CAFNEC_GBRF\2022\BarronRiver\Frames_for_Analysis\2904_C0012 (2)_L_0126.jpg</t>
  </si>
  <si>
    <t>E:\CAFNEC_GBRF\2022\BarronRiver\Frames_for_Analysis\2905_C0012 (2)_L_0129.jpg</t>
  </si>
  <si>
    <t>E:\CAFNEC_GBRF\2022\BarronRiver\Frames_for_Analysis\2906_C0012 (2)_L_0131.jpg</t>
  </si>
  <si>
    <t>E:\CAFNEC_GBRF\2022\BarronRiver\Frames_for_Analysis\2907_C0012 (2)_L_0134.jpg</t>
  </si>
  <si>
    <t>E:\CAFNEC_GBRF\2022\BarronRiver\Frames_for_Analysis\2908_C0012 (2)_L_0137.jpg</t>
  </si>
  <si>
    <t>E:\CAFNEC_GBRF\2022\BarronRiver\Frames_for_Analysis\2909_C0012 (2)_L_0140.jpg</t>
  </si>
  <si>
    <t>E:\CAFNEC_GBRF\2022\BarronRiver\Frames_for_Analysis\2910_C0012 (2)_L_0142.jpg</t>
  </si>
  <si>
    <t>E:\CAFNEC_GBRF\2022\BarronRiver\Frames_for_Analysis\2911_C0012 (2)_L_0145.jpg</t>
  </si>
  <si>
    <t>E:\CAFNEC_GBRF\2022\BarronRiver\Frames_for_Analysis\2912_C0012 (2)_L_0147.jpg</t>
  </si>
  <si>
    <t>E:\CAFNEC_GBRF\2022\BarronRiver\Frames_for_Analysis\2913_C0012 (2)_L_0150.jpg</t>
  </si>
  <si>
    <t>E:\CAFNEC_GBRF\2022\BarronRiver\Frames_for_Analysis\2914_C0012 (2)_L_0153.jpg</t>
  </si>
  <si>
    <t>E:\CAFNEC_GBRF\2022\BarronRiver\Frames_for_Analysis\2915_C0012 (2)_L_0156.jpg</t>
  </si>
  <si>
    <t>E:\CAFNEC_GBRF\2022\BarronRiver\Frames_for_Analysis\2916_C0012 (2)_L_0159.jpg</t>
  </si>
  <si>
    <t>E:\CAFNEC_GBRF\2022\BarronRiver\Frames_for_Analysis\2917_C0012 (2)_L_0162.jpg</t>
  </si>
  <si>
    <t>E:\CAFNEC_GBRF\2022\BarronRiver\Frames_for_Analysis\2918_C0012 (2)_L_0166.jpg</t>
  </si>
  <si>
    <t>E:\CAFNEC_GBRF\2022\BarronRiver\Frames_for_Analysis\2919_C0012 (2)_L_0168.jpg</t>
  </si>
  <si>
    <t>E:\CAFNEC_GBRF\2022\BarronRiver\Frames_for_Analysis\2920_C0012 (2)_L_0172.jpg</t>
  </si>
  <si>
    <t>E:\CAFNEC_GBRF\2022\BarronRiver\Frames_for_Analysis\2921_C0012 (2)_L_0177.jpg</t>
  </si>
  <si>
    <t>E:\CAFNEC_GBRF\2022\BarronRiver\Frames_for_Analysis\2922_C0012 (2)_L_0185.jpg</t>
  </si>
  <si>
    <t>E:\CAFNEC_GBRF\2022\BarronRiver\Frames_for_Analysis\2923_C0012 (2)_L_0188.jpg</t>
  </si>
  <si>
    <t>E:\CAFNEC_GBRF\2022\BarronRiver\Frames_for_Analysis\2924_C0012 (2)_L_0192.jpg</t>
  </si>
  <si>
    <t>E:\CAFNEC_GBRF\2022\BarronRiver\Frames_for_Analysis\2925_C0012 (2)_L_0198.jpg</t>
  </si>
  <si>
    <t>E:\CAFNEC_GBRF\2022\BarronRiver\Frames_for_Analysis\2926_C0012 (2)_L_0205.jpg</t>
  </si>
  <si>
    <t>E:\CAFNEC_GBRF\2022\BarronRiver\Frames_for_Analysis\2927_C0012 (2)_L_0210.jpg</t>
  </si>
  <si>
    <t>E:\CAFNEC_GBRF\2022\BarronRiver\Frames_for_Analysis\2928_C0012 (2)_L_0215.jpg</t>
  </si>
  <si>
    <t>E:\CAFNEC_GBRF\2022\BarronRiver\Frames_for_Analysis\2929_C0012 (2)_L_0219.jpg</t>
  </si>
  <si>
    <t>E:\CAFNEC_GBRF\2022\BarronRiver\Frames_for_Analysis\2930_C0045_R_0543.jpg</t>
  </si>
  <si>
    <t>E:\CAFNEC_GBRF\2022\BarronRiver\Frames_for_Analysis\2931_C0012 (2)_L_0226.jpg</t>
  </si>
  <si>
    <t>E:\CAFNEC_GBRF\2022\BarronRiver\Frames_for_Analysis\2932_C0045_R_0536.jpg</t>
  </si>
  <si>
    <t>E:\CAFNEC_GBRF\2022\BarronRiver\Frames_for_Analysis\2933_C0045_R_0532.jpg</t>
  </si>
  <si>
    <t>E:\CAFNEC_GBRF\2022\BarronRiver\Frames_for_Analysis\2934_C0012 (2)_L_0238.jpg</t>
  </si>
  <si>
    <t>E:\CAFNEC_GBRF\2022\BarronRiver\Frames_for_Analysis\2935_C0045_R_0523.jpg</t>
  </si>
  <si>
    <t>E:\CAFNEC_GBRF\2022\BarronRiver\Frames_for_Analysis\2936_C0045_R_0519.jpg</t>
  </si>
  <si>
    <t>E:\CAFNEC_GBRF\2022\BarronRiver\Frames_for_Analysis\2937_C0045_R_0515.jpg</t>
  </si>
  <si>
    <t>E:\CAFNEC_GBRF\2022\BarronRiver\Frames_for_Analysis\2938_C0045_R_0512.jpg</t>
  </si>
  <si>
    <t>E:\CAFNEC_GBRF\2022\BarronRiver\Frames_for_Analysis\2939_C0045_R_0508.jpg</t>
  </si>
  <si>
    <t>E:\CAFNEC_GBRF\2022\BarronRiver\Frames_for_Analysis\2940_C0045_R_0504.jpg</t>
  </si>
  <si>
    <t>E:\CAFNEC_GBRF\2022\BarronRiver\Frames_for_Analysis\2941_C0012 (2)_L_0262.jpg</t>
  </si>
  <si>
    <t>E:\CAFNEC_GBRF\2022\BarronRiver\Frames_for_Analysis\2942_C0012 (2)_L_0265.jpg</t>
  </si>
  <si>
    <t>E:\CAFNEC_GBRF\2022\BarronRiver\Frames_for_Analysis\2943_C0045_R_0494.jpg</t>
  </si>
  <si>
    <t>E:\CAFNEC_GBRF\2022\BarronRiver\Frames_for_Analysis\2944_C0045_R_0490.jpg</t>
  </si>
  <si>
    <t>E:\CAFNEC_GBRF\2022\BarronRiver\Frames_for_Analysis\2945_C0045_R_0487.jpg</t>
  </si>
  <si>
    <t>E:\CAFNEC_GBRF\2022\BarronRiver\Frames_for_Analysis\2946_C0045_R_0484.jpg</t>
  </si>
  <si>
    <t>E:\CAFNEC_GBRF\2022\BarronRiver\Frames_for_Analysis\2947_C0045_R_0481.jpg</t>
  </si>
  <si>
    <t>E:\CAFNEC_GBRF\2022\BarronRiver\Frames_for_Analysis\2948_C0045_R_0477.jpg</t>
  </si>
  <si>
    <t>E:\CAFNEC_GBRF\2022\BarronRiver\Frames_for_Analysis\2949_C0045_R_0474.jpg</t>
  </si>
  <si>
    <t>E:\CAFNEC_GBRF\2022\BarronRiver\Frames_for_Analysis\2950_C0045_R_0471.jpg</t>
  </si>
  <si>
    <t>E:\CAFNEC_GBRF\2022\BarronRiver\Frames_for_Analysis\2951_C0045_R_0468.jpg</t>
  </si>
  <si>
    <t>E:\CAFNEC_GBRF\2022\BarronRiver\Frames_for_Analysis\2952_C0045_R_0465.jpg</t>
  </si>
  <si>
    <t>E:\CAFNEC_GBRF\2022\BarronRiver\Frames_for_Analysis\2953_C0045_R_0462.jpg</t>
  </si>
  <si>
    <t>E:\CAFNEC_GBRF\2022\BarronRiver\Frames_for_Analysis\2954_C0045_R_0459.jpg</t>
  </si>
  <si>
    <t>E:\CAFNEC_GBRF\2022\BarronRiver\Frames_for_Analysis\2955_C0045_R_0456.jpg</t>
  </si>
  <si>
    <t>E:\CAFNEC_GBRF\2022\BarronRiver\Frames_for_Analysis\2956_C0045_R_0453.jpg</t>
  </si>
  <si>
    <t>E:\CAFNEC_GBRF\2022\BarronRiver\Frames_for_Analysis\2957_C0045_R_0449.jpg</t>
  </si>
  <si>
    <t>E:\CAFNEC_GBRF\2022\BarronRiver\Frames_for_Analysis\2958_C0045_R_0446.jpg</t>
  </si>
  <si>
    <t>E:\CAFNEC_GBRF\2022\BarronRiver\Frames_for_Analysis\2959_C0045_R_0444.jpg</t>
  </si>
  <si>
    <t>E:\CAFNEC_GBRF\2022\BarronRiver\Frames_for_Analysis\2960_C0045_R_0441.jpg</t>
  </si>
  <si>
    <t>E:\CAFNEC_GBRF\2022\BarronRiver\Frames_for_Analysis\2961_C0045_R_0437.jpg</t>
  </si>
  <si>
    <t>E:\CAFNEC_GBRF\2022\BarronRiver\Frames_for_Analysis\2962_C0045_R_0434.jpg</t>
  </si>
  <si>
    <t>E:\CAFNEC_GBRF\2022\BarronRiver\Frames_for_Analysis\2963_C0045_R_0431.jpg</t>
  </si>
  <si>
    <t>E:\CAFNEC_GBRF\2022\BarronRiver\Frames_for_Analysis\2964_C0045_R_0429.jpg</t>
  </si>
  <si>
    <t>E:\CAFNEC_GBRF\2022\BarronRiver\Frames_for_Analysis\2965_C0045_R_0425.jpg</t>
  </si>
  <si>
    <t>E:\CAFNEC_GBRF\2022\BarronRiver\Frames_for_Analysis\2966_C0045_R_0422.jpg</t>
  </si>
  <si>
    <t>E:\CAFNEC_GBRF\2022\BarronRiver\Frames_for_Analysis\2967_C0045_R_0419.jpg</t>
  </si>
  <si>
    <t>E:\CAFNEC_GBRF\2022\BarronRiver\Frames_for_Analysis\2968_C0045_R_0415.jpg</t>
  </si>
  <si>
    <t>E:\CAFNEC_GBRF\2022\BarronRiver\Frames_for_Analysis\2969_C0045_R_0411.jpg</t>
  </si>
  <si>
    <t>E:\CAFNEC_GBRF\2022\BarronRiver\Frames_for_Analysis\2970_C0045_R_0405.jpg</t>
  </si>
  <si>
    <t>E:\CAFNEC_GBRF\2022\BarronRiver\Frames_for_Analysis\2971_C0045_R_0401.jpg</t>
  </si>
  <si>
    <t>E:\CAFNEC_GBRF\2022\BarronRiver\Frames_for_Analysis\2972_C0045_R_0397.jpg</t>
  </si>
  <si>
    <t>E:\CAFNEC_GBRF\2022\BarronRiver\Frames_for_Analysis\2973_C0045_R_0393.jpg</t>
  </si>
  <si>
    <t>E:\CAFNEC_GBRF\2022\BarronRiver\Frames_for_Analysis\2974_C0045_R_0390.jpg</t>
  </si>
  <si>
    <t>E:\CAFNEC_GBRF\2022\BarronRiver\Frames_for_Analysis\2975_C0045_R_0387.jpg</t>
  </si>
  <si>
    <t>E:\CAFNEC_GBRF\2022\BarronRiver\Frames_for_Analysis\2976_C0045_R_0385.jpg</t>
  </si>
  <si>
    <t>E:\CAFNEC_GBRF\2022\BarronRiver\Frames_for_Analysis\2977_C0045_R_0383.jpg</t>
  </si>
  <si>
    <t>E:\CAFNEC_GBRF\2022\BarronRiver\Frames_for_Analysis\2978_C0045_R_0380.jpg</t>
  </si>
  <si>
    <t>E:\CAFNEC_GBRF\2022\BarronRiver\Frames_for_Analysis\2979_C0045_R_0378.jpg</t>
  </si>
  <si>
    <t>E:\CAFNEC_GBRF\2022\BarronRiver\Frames_for_Analysis\2980_C0045_R_0376.jpg</t>
  </si>
  <si>
    <t>E:\CAFNEC_GBRF\2022\BarronRiver\Frames_for_Analysis\2981_C0045_R_0374.jpg</t>
  </si>
  <si>
    <t>E:\CAFNEC_GBRF\2022\BarronRiver\Frames_for_Analysis\2982_C0045_R_0371.jpg</t>
  </si>
  <si>
    <t>E:\CAFNEC_GBRF\2022\BarronRiver\Frames_for_Analysis\2983_C0045_R_0369.jpg</t>
  </si>
  <si>
    <t>E:\CAFNEC_GBRF\2022\BarronRiver\Frames_for_Analysis\2984_C0045_R_0366.jpg</t>
  </si>
  <si>
    <t>E:\CAFNEC_GBRF\2022\BarronRiver\Frames_for_Analysis\2985_C0045_R_0363.jpg</t>
  </si>
  <si>
    <t>E:\CAFNEC_GBRF\2022\BarronRiver\Frames_for_Analysis\2986_C0045_R_0361.jpg</t>
  </si>
  <si>
    <t>E:\CAFNEC_GBRF\2022\BarronRiver\Frames_for_Analysis\2987_C0045_R_0357.jpg</t>
  </si>
  <si>
    <t>E:\CAFNEC_GBRF\2022\BarronRiver\Frames_for_Analysis\2988_C0045_R_0354.jpg</t>
  </si>
  <si>
    <t>E:\CAFNEC_GBRF\2022\BarronRiver\Frames_for_Analysis\2989_C0045_R_0352.jpg</t>
  </si>
  <si>
    <t>E:\CAFNEC_GBRF\2022\BarronRiver\Frames_for_Analysis\2990_C0045_R_0349.jpg</t>
  </si>
  <si>
    <t>E:\CAFNEC_GBRF\2022\BarronRiver\Frames_for_Analysis\2991_C0045_R_0346.jpg</t>
  </si>
  <si>
    <t>E:\CAFNEC_GBRF\2022\BarronRiver\Frames_for_Analysis\2992_C0045_R_0344.jpg</t>
  </si>
  <si>
    <t>E:\CAFNEC_GBRF\2022\BarronRiver\Frames_for_Analysis\2993_C0045_R_0341.jpg</t>
  </si>
  <si>
    <t>E:\CAFNEC_GBRF\2022\BarronRiver\Frames_for_Analysis\2994_C0045_R_0339.jpg</t>
  </si>
  <si>
    <t>E:\CAFNEC_GBRF\2022\BarronRiver\Frames_for_Analysis\2995_C0045_R_0336.jpg</t>
  </si>
  <si>
    <t>E:\CAFNEC_GBRF\2022\BarronRiver\Frames_for_Analysis\2996_C0045_R_0332.jpg</t>
  </si>
  <si>
    <t>E:\CAFNEC_GBRF\2022\BarronRiver\Frames_for_Analysis\2997_C0045_R_0329.jpg</t>
  </si>
  <si>
    <t>E:\CAFNEC_GBRF\2022\BarronRiver\Frames_for_Analysis\2998_C0045_R_0326.jpg</t>
  </si>
  <si>
    <t>E:\CAFNEC_GBRF\2022\BarronRiver\Frames_for_Analysis\2999_C0045_R_0323.jpg</t>
  </si>
  <si>
    <t>E:\CAFNEC_GBRF\2022\BarronRiver\Frames_for_Analysis\3000_C0045_R_0320.jpg</t>
  </si>
  <si>
    <t>E:\CAFNEC_GBRF\2022\BarronRiver\Frames_for_Analysis\3001_C0045_R_0316.jpg</t>
  </si>
  <si>
    <t>E:\CAFNEC_GBRF\2022\BarronRiver\Frames_for_Analysis\3002_C0045_R_0313.jpg</t>
  </si>
  <si>
    <t>E:\CAFNEC_GBRF\2022\BarronRiver\Frames_for_Analysis\3003_C0045_R_0309.jpg</t>
  </si>
  <si>
    <t>E:\CAFNEC_GBRF\2022\BarronRiver\Frames_for_Analysis\3004_C0045_R_0307.jpg</t>
  </si>
  <si>
    <t>E:\CAFNEC_GBRF\2022\BarronRiver\Frames_for_Analysis\3005_C0045_R_0303.jpg</t>
  </si>
  <si>
    <t>E:\CAFNEC_GBRF\2022\BarronRiver\Frames_for_Analysis\3006_C0045_R_0299.jpg</t>
  </si>
  <si>
    <t>E:\CAFNEC_GBRF\2022\BarronRiver\Frames_for_Analysis\3007_C0045_R_0295.jpg</t>
  </si>
  <si>
    <t>E:\CAFNEC_GBRF\2022\BarronRiver\Frames_for_Analysis\3008_C0045_R_0289.jpg</t>
  </si>
  <si>
    <t>E:\CAFNEC_GBRF\2022\BarronRiver\Frames_for_Analysis\3009_C0045_R_0284.jpg</t>
  </si>
  <si>
    <t>E:\CAFNEC_GBRF\2022\BarronRiver\Frames_for_Analysis\3010_C0045_R_0278.jpg</t>
  </si>
  <si>
    <t>E:\CAFNEC_GBRF\2022\BarronRiver\Frames_for_Analysis\3011_C0045_R_0275.jpg</t>
  </si>
  <si>
    <t>E:\CAFNEC_GBRF\2022\BarronRiver\Frames_for_Analysis\3012_C0045_R_0272.jpg</t>
  </si>
  <si>
    <t>E:\CAFNEC_GBRF\2022\BarronRiver\Frames_for_Analysis\3013_C0045_R_0270.jpg</t>
  </si>
  <si>
    <t>E:\CAFNEC_GBRF\2022\BarronRiver\Frames_for_Analysis\3014_C0045_R_0267.jpg</t>
  </si>
  <si>
    <t>E:\CAFNEC_GBRF\2022\BarronRiver\Frames_for_Analysis\3015_C0045_R_0265.jpg</t>
  </si>
  <si>
    <t>E:\CAFNEC_GBRF\2022\BarronRiver\Frames_for_Analysis\3016_C0045_R_0262.jpg</t>
  </si>
  <si>
    <t>E:\CAFNEC_GBRF\2022\BarronRiver\Frames_for_Analysis\3017_C0045_R_0260.jpg</t>
  </si>
  <si>
    <t>E:\CAFNEC_GBRF\2022\BarronRiver\Frames_for_Analysis\3018_C0045_R_0257.jpg</t>
  </si>
  <si>
    <t>E:\CAFNEC_GBRF\2022\BarronRiver\Frames_for_Analysis\3019_C0045_R_0255.jpg</t>
  </si>
  <si>
    <t>E:\CAFNEC_GBRF\2022\BarronRiver\Frames_for_Analysis\3020_C0045_R_0252.jpg</t>
  </si>
  <si>
    <t>E:\CAFNEC_GBRF\2022\BarronRiver\Frames_for_Analysis\3021_C0045_R_0249.jpg</t>
  </si>
  <si>
    <t>E:\CAFNEC_GBRF\2022\BarronRiver\Frames_for_Analysis\3022_C0045_R_0247.jpg</t>
  </si>
  <si>
    <t>E:\CAFNEC_GBRF\2022\BarronRiver\Frames_for_Analysis\3023_C0045_R_0244.jpg</t>
  </si>
  <si>
    <t>E:\CAFNEC_GBRF\2022\BarronRiver\Frames_for_Analysis\3024_C0045_R_0241.jpg</t>
  </si>
  <si>
    <t>E:\CAFNEC_GBRF\2022\BarronRiver\Frames_for_Analysis\3025_C0045_R_0238.jpg</t>
  </si>
  <si>
    <t>E:\CAFNEC_GBRF\2022\BarronRiver\Frames_for_Analysis\3026_C0045_R_0235.jpg</t>
  </si>
  <si>
    <t>E:\CAFNEC_GBRF\2022\BarronRiver\Frames_for_Analysis\3027_C0045_R_0233.jpg</t>
  </si>
  <si>
    <t>E:\CAFNEC_GBRF\2022\BarronRiver\Frames_for_Analysis\3028_C0045_R_0230.jpg</t>
  </si>
  <si>
    <t>E:\CAFNEC_GBRF\2022\BarronRiver\Frames_for_Analysis\3029_C0045_R_0227.jpg</t>
  </si>
  <si>
    <t>E:\CAFNEC_GBRF\2022\BarronRiver\Frames_for_Analysis\3030_C0045_R_0225.jpg</t>
  </si>
  <si>
    <t>E:\CAFNEC_GBRF\2022\BarronRiver\Frames_for_Analysis\3031_C0045_R_0223.jpg</t>
  </si>
  <si>
    <t>E:\CAFNEC_GBRF\2022\BarronRiver\Frames_for_Analysis\3032_C0045_R_0220.jpg</t>
  </si>
  <si>
    <t>E:\CAFNEC_GBRF\2022\BarronRiver\Frames_for_Analysis\3033_C0045_R_0218.jpg</t>
  </si>
  <si>
    <t>E:\CAFNEC_GBRF\2022\BarronRiver\Frames_for_Analysis\3034_C0045_R_0216.jpg</t>
  </si>
  <si>
    <t>E:\CAFNEC_GBRF\2022\BarronRiver\Frames_for_Analysis\3035_C0045_R_0214.jpg</t>
  </si>
  <si>
    <t>E:\CAFNEC_GBRF\2022\BarronRiver\Frames_for_Analysis\3036_C0045_R_0212.jpg</t>
  </si>
  <si>
    <t>E:\CAFNEC_GBRF\2022\BarronRiver\Frames_for_Analysis\3037_C0045_R_0210.jpg</t>
  </si>
  <si>
    <t>E:\CAFNEC_GBRF\2022\BarronRiver\Frames_for_Analysis\3038_C0045_R_0208.jpg</t>
  </si>
  <si>
    <t>E:\CAFNEC_GBRF\2022\BarronRiver\Frames_for_Analysis\3039_C0045_R_0206.jpg</t>
  </si>
  <si>
    <t>E:\CAFNEC_GBRF\2022\BarronRiver\Frames_for_Analysis\3040_C0045_R_0203.jpg</t>
  </si>
  <si>
    <t>E:\CAFNEC_GBRF\2022\BarronRiver\Frames_for_Analysis\3041_C0045_R_0201.jpg</t>
  </si>
  <si>
    <t>E:\CAFNEC_GBRF\2022\BarronRiver\Frames_for_Analysis\3042_C0045_R_0199.jpg</t>
  </si>
  <si>
    <t>E:\CAFNEC_GBRF\2022\BarronRiver\Frames_for_Analysis\3043_C0045_R_0197.jpg</t>
  </si>
  <si>
    <t>E:\CAFNEC_GBRF\2022\BarronRiver\Frames_for_Analysis\3044_C0045_R_0195.jpg</t>
  </si>
  <si>
    <t>E:\CAFNEC_GBRF\2022\BarronRiver\Frames_for_Analysis\3045_C0045_R_0193.jpg</t>
  </si>
  <si>
    <t>E:\CAFNEC_GBRF\2022\BarronRiver\Frames_for_Analysis\3046_C0045_R_0191.jpg</t>
  </si>
  <si>
    <t>E:\CAFNEC_GBRF\2022\BarronRiver\Frames_for_Analysis\3047_C0045_R_0189.jpg</t>
  </si>
  <si>
    <t>E:\CAFNEC_GBRF\2022\BarronRiver\Frames_for_Analysis\3048_C0045_R_0187.jpg</t>
  </si>
  <si>
    <t>E:\CAFNEC_GBRF\2022\BarronRiver\Frames_for_Analysis\3049_C0045_R_0185.jpg</t>
  </si>
  <si>
    <t>E:\CAFNEC_GBRF\2022\BarronRiver\Frames_for_Analysis\3050_C0045_R_0182.jpg</t>
  </si>
  <si>
    <t>E:\CAFNEC_GBRF\2022\BarronRiver\Frames_for_Analysis\3051_C0045_R_0180.jpg</t>
  </si>
  <si>
    <t>E:\CAFNEC_GBRF\2022\BarronRiver\Frames_for_Analysis\3052_C0045_R_0176.jpg</t>
  </si>
  <si>
    <t>E:\CAFNEC_GBRF\2022\BarronRiver\Frames_for_Analysis\3053_C0045_R_0174.jpg</t>
  </si>
  <si>
    <t>E:\CAFNEC_GBRF\2022\BarronRiver\Frames_for_Analysis\3054_C0045_R_0172.jpg</t>
  </si>
  <si>
    <t>E:\CAFNEC_GBRF\2022\BarronRiver\Frames_for_Analysis\3055_C0045_R_0169.jpg</t>
  </si>
  <si>
    <t>E:\CAFNEC_GBRF\2022\BarronRiver\Frames_for_Analysis\3056_C0045_R_0167.jpg</t>
  </si>
  <si>
    <t>E:\CAFNEC_GBRF\2022\BarronRiver\Frames_for_Analysis\3057_C0045_R_0165.jpg</t>
  </si>
  <si>
    <t>E:\CAFNEC_GBRF\2022\BarronRiver\Frames_for_Analysis\3058_C0045_R_0163.jpg</t>
  </si>
  <si>
    <t>E:\CAFNEC_GBRF\2022\BarronRiver\Frames_for_Analysis\3059_C0045_R_0161.jpg</t>
  </si>
  <si>
    <t>E:\CAFNEC_GBRF\2022\BarronRiver\Frames_for_Analysis\3060_C0045_R_0158.jpg</t>
  </si>
  <si>
    <t>E:\CAFNEC_GBRF\2022\BarronRiver\Frames_for_Analysis\3061_C0045_R_0155.jpg</t>
  </si>
  <si>
    <t>E:\CAFNEC_GBRF\2022\BarronRiver\Frames_for_Analysis\3062_C0045_R_0152.jpg</t>
  </si>
  <si>
    <t>E:\CAFNEC_GBRF\2022\BarronRiver\Frames_for_Analysis\3063_C0045_R_0147.jpg</t>
  </si>
  <si>
    <t>E:\CAFNEC_GBRF\2022\BarronRiver\Frames_for_Analysis\3064_C0045_R_0144.jpg</t>
  </si>
  <si>
    <t>E:\CAFNEC_GBRF\2022\BarronRiver\Frames_for_Analysis\3065_C0045_R_0139.jpg</t>
  </si>
  <si>
    <t>E:\CAFNEC_GBRF\2022\BarronRiver\Frames_for_Analysis\3066_C0045_R_0135.jpg</t>
  </si>
  <si>
    <t>E:\CAFNEC_GBRF\2022\BarronRiver\Frames_for_Analysis\3067_C0045_R_0130.jpg</t>
  </si>
  <si>
    <t>E:\CAFNEC_GBRF\2022\BarronRiver\Frames_for_Analysis\3068_C0045_R_0123.jpg</t>
  </si>
  <si>
    <t>E:\CAFNEC_GBRF\2022\BarronRiver\Frames_for_Analysis\3069_C0045_R_0119.jpg</t>
  </si>
  <si>
    <t>E:\CAFNEC_GBRF\2022\BarronRiver\Frames_for_Analysis\3070_C0045_R_0117.jpg</t>
  </si>
  <si>
    <t>E:\CAFNEC_GBRF\2022\BarronRiver\Frames_for_Analysis\3071_C0045_R_0114.jpg</t>
  </si>
  <si>
    <t>E:\CAFNEC_GBRF\2022\BarronRiver\Frames_for_Analysis\3072_C0045_R_0111.jpg</t>
  </si>
  <si>
    <t>E:\CAFNEC_GBRF\2022\BarronRiver\Frames_for_Analysis\3073_C0045_R_0109.jpg</t>
  </si>
  <si>
    <t>E:\CAFNEC_GBRF\2022\BarronRiver\Frames_for_Analysis\3074_C0045_R_0106.jpg</t>
  </si>
  <si>
    <t>E:\CAFNEC_GBRF\2022\BarronRiver\Frames_for_Analysis\3075_C0045_R_0104.jpg</t>
  </si>
  <si>
    <t>E:\CAFNEC_GBRF\2022\BarronRiver\Frames_for_Analysis\3076_C0045_R_0102.jpg</t>
  </si>
  <si>
    <t>E:\CAFNEC_GBRF\2022\BarronRiver\Frames_for_Analysis\3077_C0045_R_0100.jpg</t>
  </si>
  <si>
    <t>E:\CAFNEC_GBRF\2022\BarronRiver\Frames_for_Analysis\3078_C0045_R_0098.jpg</t>
  </si>
  <si>
    <t>E:\CAFNEC_GBRF\2022\BarronRiver\Frames_for_Analysis\3079_C0045_R_0096.jpg</t>
  </si>
  <si>
    <t>E:\CAFNEC_GBRF\2022\BarronRiver\Frames_for_Analysis\3080_C0045_R_0095.jpg</t>
  </si>
  <si>
    <t>E:\CAFNEC_GBRF\2022\BarronRiver\Frames_for_Analysis\3081_C0045_R_0093.jpg</t>
  </si>
  <si>
    <t>E:\CAFNEC_GBRF\2022\BarronRiver\Frames_for_Analysis\3082_C0045_R_0091.jpg</t>
  </si>
  <si>
    <t>E:\CAFNEC_GBRF\2022\BarronRiver\Frames_for_Analysis\3083_C0045_R_0089.jpg</t>
  </si>
  <si>
    <t>E:\CAFNEC_GBRF\2022\BarronRiver\Frames_for_Analysis\3084_C0045_R_0087.jpg</t>
  </si>
  <si>
    <t>E:\CAFNEC_GBRF\2022\BarronRiver\Frames_for_Analysis\3085_C0045_R_0085.jpg</t>
  </si>
  <si>
    <t>E:\CAFNEC_GBRF\2022\BarronRiver\Frames_for_Analysis\3086_C0045_R_0083.jpg</t>
  </si>
  <si>
    <t>E:\CAFNEC_GBRF\2022\BarronRiver\Frames_for_Analysis\3087_C0045_R_0081.jpg</t>
  </si>
  <si>
    <t>E:\CAFNEC_GBRF\2022\BarronRiver\Frames_for_Analysis\3088_C0045_R_0079.jpg</t>
  </si>
  <si>
    <t>E:\CAFNEC_GBRF\2022\BarronRiver\Frames_for_Analysis\3089_C0045_R_0077.jpg</t>
  </si>
  <si>
    <t>E:\CAFNEC_GBRF\2022\BarronRiver\Frames_for_Analysis\3090_C0045_R_0075.jpg</t>
  </si>
  <si>
    <t>E:\CAFNEC_GBRF\2022\BarronRiver\Frames_for_Analysis\3091_C0045_R_0072.jpg</t>
  </si>
  <si>
    <t>E:\CAFNEC_GBRF\2022\BarronRiver\Frames_for_Analysis\3092_C0045_R_0069.jpg</t>
  </si>
  <si>
    <t>E:\CAFNEC_GBRF\2022\BarronRiver\Frames_for_Analysis\3093_C0045_R_0067.jpg</t>
  </si>
  <si>
    <t>E:\CAFNEC_GBRF\2022\BarronRiver\Frames_for_Analysis\3094_C0045_R_0065.jpg</t>
  </si>
  <si>
    <t>E:\CAFNEC_GBRF\2022\BarronRiver\Frames_for_Analysis\3095_C0045_R_0062.jpg</t>
  </si>
  <si>
    <t>E:\CAFNEC_GBRF\2022\BarronRiver\Frames_for_Analysis\3096_C0045_R_0060.jpg</t>
  </si>
  <si>
    <t>E:\CAFNEC_GBRF\2022\BarronRiver\Frames_for_Analysis\3097_C0045_R_0058.jpg</t>
  </si>
  <si>
    <t>E:\CAFNEC_GBRF\2022\BarronRiver\Frames_for_Analysis\3098_C0045_R_0055.jpg</t>
  </si>
  <si>
    <t>E:\CAFNEC_GBRF\2022\BarronRiver\Frames_for_Analysis\3099_C0045_R_0053.jpg</t>
  </si>
  <si>
    <t>E:\CAFNEC_GBRF\2022\BarronRiver\Frames_for_Analysis\3100_C0045_R_0050.jpg</t>
  </si>
  <si>
    <t>E:\CAFNEC_GBRF\2022\BarronRiver\Frames_for_Analysis\3101_C0045_R_0047.jpg</t>
  </si>
  <si>
    <t>E:\CAFNEC_GBRF\2022\BarronRiver\Frames_for_Analysis\3102_C0045_R_0045.jpg</t>
  </si>
  <si>
    <t>E:\CAFNEC_GBRF\2022\BarronRiver\Frames_for_Analysis\3103_C0045_R_0043.jpg</t>
  </si>
  <si>
    <t>E:\CAFNEC_GBRF\2022\BarronRiver\Frames_for_Analysis\3104_C0045_R_0040.jpg</t>
  </si>
  <si>
    <t>E:\CAFNEC_GBRF\2022\BarronRiver\Frames_for_Analysis\3105_C0045_R_0037.jpg</t>
  </si>
  <si>
    <t>E:\CAFNEC_GBRF\2022\BarronRiver\Frames_for_Analysis\3106_C0045_R_0034.jpg</t>
  </si>
  <si>
    <t>E:\CAFNEC_GBRF\2022\BarronRiver\Frames_for_Analysis\3107_C0045_R_0032.jpg</t>
  </si>
  <si>
    <t>E:\CAFNEC_GBRF\2022\BarronRiver\Frames_for_Analysis\3108_C0045_R_0030.jpg</t>
  </si>
  <si>
    <t>E:\CAFNEC_GBRF\2022\BarronRiver\Frames_for_Analysis\3109_C0045_R_0027.jpg</t>
  </si>
  <si>
    <t>E:\CAFNEC_GBRF\2022\BarronRiver\Frames_for_Analysis\3110_C0045_R_0025.jpg</t>
  </si>
  <si>
    <t>E:\CAFNEC_GBRF\2022\BarronRiver\Frames_for_Analysis\3111_C0045_R_0022.jpg</t>
  </si>
  <si>
    <t>E:\CAFNEC_GBRF\2022\BarronRiver\Frames_for_Analysis\3112_C0045_R_0020.jpg</t>
  </si>
  <si>
    <t>E:\CAFNEC_GBRF\2022\BarronRiver\Frames_for_Analysis\3113_C0045_R_0018.jpg</t>
  </si>
  <si>
    <t>E:\CAFNEC_GBRF\2022\BarronRiver\Frames_for_Analysis\3114_C0045_R_0016.jpg</t>
  </si>
  <si>
    <t>E:\CAFNEC_GBRF\2022\BarronRiver\Frames_for_Analysis\3115_C0045_R_0014.jpg</t>
  </si>
  <si>
    <t>E:\CAFNEC_GBRF\2022\BarronRiver\Frames_for_Analysis\3116_C0045_R_0012.jpg</t>
  </si>
  <si>
    <t>E:\CAFNEC_GBRF\2022\BarronRiver\Frames_for_Analysis\3117_C0045_R_0010.jpg</t>
  </si>
  <si>
    <t>E:\CAFNEC_GBRF\2022\BarronRiver\Frames_for_Analysis\3118_C0045_R_0009.jpg</t>
  </si>
  <si>
    <t>E:\CAFNEC_GBRF\2022\BarronRiver\Frames_for_Analysis\3119_C0045_R_0007.jpg</t>
  </si>
  <si>
    <t>E:\CAFNEC_GBRF\2022\BarronRiver\Frames_for_Analysis\3120_C0045_R_0004.jpg</t>
  </si>
  <si>
    <t>E:\CAFNEC_GBRF\2022\BarronRiver\Frames_for_Analysis\3121_C0045_R_0002.jpg</t>
  </si>
  <si>
    <t>E:\CAFNEC_GBRF\2022\BarronRiver\Frames_for_Analysis\3122_C0044_R_0564.jpg</t>
  </si>
  <si>
    <t>E:\CAFNEC_GBRF\2022\BarronRiver\Frames_for_Analysis\3123_C0044_R_0562.jpg</t>
  </si>
  <si>
    <t>E:\CAFNEC_GBRF\2022\BarronRiver\Frames_for_Analysis\3124_C0044_R_0559.jpg</t>
  </si>
  <si>
    <t>E:\CAFNEC_GBRF\2022\BarronRiver\Frames_for_Analysis\3125_C0044_R_0556.jpg</t>
  </si>
  <si>
    <t>E:\CAFNEC_GBRF\2022\BarronRiver\Frames_for_Analysis\3126_C0044_R_0553.jpg</t>
  </si>
  <si>
    <t>E:\CAFNEC_GBRF\2022\BarronRiver\Frames_for_Analysis\3127_C0044_R_0550.jpg</t>
  </si>
  <si>
    <t>E:\CAFNEC_GBRF\2022\BarronRiver\Frames_for_Analysis\3128_C0044_R_0548.jpg</t>
  </si>
  <si>
    <t>E:\CAFNEC_GBRF\2022\BarronRiver\Frames_for_Analysis\3129_C0044_R_0545.jpg</t>
  </si>
  <si>
    <t>E:\CAFNEC_GBRF\2022\BarronRiver\Frames_for_Analysis\3130_C0044_R_0542.jpg</t>
  </si>
  <si>
    <t>E:\CAFNEC_GBRF\2022\BarronRiver\Frames_for_Analysis\3131_C0044_R_0540.jpg</t>
  </si>
  <si>
    <t>E:\CAFNEC_GBRF\2022\BarronRiver\Frames_for_Analysis\3132_C0044_R_0537.jpg</t>
  </si>
  <si>
    <t>E:\CAFNEC_GBRF\2022\BarronRiver\Frames_for_Analysis\3133_C0044_R_0533.jpg</t>
  </si>
  <si>
    <t>E:\CAFNEC_GBRF\2022\BarronRiver\Frames_for_Analysis\3134_C0044_R_0528.jpg</t>
  </si>
  <si>
    <t>E:\CAFNEC_GBRF\2022\BarronRiver\Frames_for_Analysis\3135_C0044_R_0523.jpg</t>
  </si>
  <si>
    <t>E:\CAFNEC_GBRF\2022\BarronRiver\Frames_for_Analysis\3136_C0044_R_0519.jpg</t>
  </si>
  <si>
    <t>E:\CAFNEC_GBRF\2022\BarronRiver\Frames_for_Analysis\3137_C0044_R_0516.jpg</t>
  </si>
  <si>
    <t>E:\CAFNEC_GBRF\2022\BarronRiver\Frames_for_Analysis\3138_C0044_R_0512.jpg</t>
  </si>
  <si>
    <t>E:\CAFNEC_GBRF\2022\BarronRiver\Frames_for_Analysis\3139_C0044_R_0509.jpg</t>
  </si>
  <si>
    <t>E:\CAFNEC_GBRF\2022\BarronRiver\Frames_for_Analysis\3140_C0044_R_0506.jpg</t>
  </si>
  <si>
    <t>E:\CAFNEC_GBRF\2022\BarronRiver\Frames_for_Analysis\3141_C0044_R_0504.jpg</t>
  </si>
  <si>
    <t>E:\CAFNEC_GBRF\2022\BarronRiver\Frames_for_Analysis\3142_C0044_R_0501.jpg</t>
  </si>
  <si>
    <t>E:\CAFNEC_GBRF\2022\BarronRiver\Frames_for_Analysis\3143_C0044_R_0499.jpg</t>
  </si>
  <si>
    <t>E:\CAFNEC_GBRF\2022\BarronRiver\Frames_for_Analysis\3144_C0044_R_0497.jpg</t>
  </si>
  <si>
    <t>E:\CAFNEC_GBRF\2022\BarronRiver\Frames_for_Analysis\3145_C0044_R_0495.jpg</t>
  </si>
  <si>
    <t>E:\CAFNEC_GBRF\2022\BarronRiver\Frames_for_Analysis\3146_C0044_R_0493.jpg</t>
  </si>
  <si>
    <t>E:\CAFNEC_GBRF\2022\BarronRiver\Frames_for_Analysis\3147_C0044_R_0491.jpg</t>
  </si>
  <si>
    <t>E:\CAFNEC_GBRF\2022\BarronRiver\Frames_for_Analysis\3148_C0044_R_0489.jpg</t>
  </si>
  <si>
    <t>E:\CAFNEC_GBRF\2022\BarronRiver\Frames_for_Analysis\3149_C0044_R_0488.jpg</t>
  </si>
  <si>
    <t>E:\CAFNEC_GBRF\2022\BarronRiver\Frames_for_Analysis\3150_C0044_R_0486.jpg</t>
  </si>
  <si>
    <t>E:\CAFNEC_GBRF\2022\BarronRiver\Frames_for_Analysis\3151_C0044_R_0484.jpg</t>
  </si>
  <si>
    <t>E:\CAFNEC_GBRF\2022\BarronRiver\Frames_for_Analysis\3152_C0044_R_0482.jpg</t>
  </si>
  <si>
    <t>E:\CAFNEC_GBRF\2022\BarronRiver\Frames_for_Analysis\3153_C0044_R_0480.jpg</t>
  </si>
  <si>
    <t>E:\CAFNEC_GBRF\2022\BarronRiver\Frames_for_Analysis\3154_C0044_R_0479.jpg</t>
  </si>
  <si>
    <t>E:\CAFNEC_GBRF\2022\BarronRiver\Frames_for_Analysis\3155_C0044_R_0477.jpg</t>
  </si>
  <si>
    <t>E:\CAFNEC_GBRF\2022\BarronRiver\Frames_for_Analysis\3156_C0044_R_0475.jpg</t>
  </si>
  <si>
    <t>E:\CAFNEC_GBRF\2022\BarronRiver\Frames_for_Analysis\3157_C0044_R_0473.jpg</t>
  </si>
  <si>
    <t>E:\CAFNEC_GBRF\2022\BarronRiver\Frames_for_Analysis\3158_C0044_R_0471.jpg</t>
  </si>
  <si>
    <t>E:\CAFNEC_GBRF\2022\BarronRiver\Frames_for_Analysis\3159_C0044_R_0469.jpg</t>
  </si>
  <si>
    <t>E:\CAFNEC_GBRF\2022\BarronRiver\Frames_for_Analysis\3160_C0044_R_0467.jpg</t>
  </si>
  <si>
    <t>E:\CAFNEC_GBRF\2022\BarronRiver\Frames_for_Analysis\3161_C0044_R_0465.jpg</t>
  </si>
  <si>
    <t>E:\CAFNEC_GBRF\2022\BarronRiver\Frames_for_Analysis\3162_C0044_R_0463.jpg</t>
  </si>
  <si>
    <t>E:\CAFNEC_GBRF\2022\BarronRiver\Frames_for_Analysis\3163_C0044_R_0460.jpg</t>
  </si>
  <si>
    <t>E:\CAFNEC_GBRF\2022\BarronRiver\Frames_for_Analysis\3164_C0044_R_0458.jpg</t>
  </si>
  <si>
    <t>E:\CAFNEC_GBRF\2022\BarronRiver\Frames_for_Analysis\3165_C0044_R_0456.jpg</t>
  </si>
  <si>
    <t>E:\CAFNEC_GBRF\2022\BarronRiver\Frames_for_Analysis\3166_C0044_R_0454.jpg</t>
  </si>
  <si>
    <t>E:\CAFNEC_GBRF\2022\BarronRiver\Frames_for_Analysis\3167_C0044_R_0452.jpg</t>
  </si>
  <si>
    <t>E:\CAFNEC_GBRF\2022\BarronRiver\Frames_for_Analysis\3168_C0044_R_0450.jpg</t>
  </si>
  <si>
    <t>E:\CAFNEC_GBRF\2022\BarronRiver\Frames_for_Analysis\3169_C0044_R_0447.jpg</t>
  </si>
  <si>
    <t>E:\CAFNEC_GBRF\2022\BarronRiver\Frames_for_Analysis\3170_C0044_R_0444.jpg</t>
  </si>
  <si>
    <t>E:\CAFNEC_GBRF\2022\BarronRiver\Frames_for_Analysis\3171_C0044_R_0441.jpg</t>
  </si>
  <si>
    <t>E:\CAFNEC_GBRF\2022\BarronRiver\Frames_for_Analysis\3172_C0044_R_0439.jpg</t>
  </si>
  <si>
    <t>E:\CAFNEC_GBRF\2022\BarronRiver\Frames_for_Analysis\3173_C0044_R_0435.jpg</t>
  </si>
  <si>
    <t>E:\CAFNEC_GBRF\2022\BarronRiver\Frames_for_Analysis\3174_C0044_R_0432.jpg</t>
  </si>
  <si>
    <t>E:\CAFNEC_GBRF\2022\BarronRiver\Frames_for_Analysis\3175_C0044_R_0429.jpg</t>
  </si>
  <si>
    <t>E:\CAFNEC_GBRF\2022\BarronRiver\Frames_for_Analysis\3176_C0044_R_0426.jpg</t>
  </si>
  <si>
    <t>E:\CAFNEC_GBRF\2022\BarronRiver\Frames_for_Analysis\3177_C0044_R_0424.jpg</t>
  </si>
  <si>
    <t>E:\CAFNEC_GBRF\2022\BarronRiver\Frames_for_Analysis\3178_C0044_R_0421.jpg</t>
  </si>
  <si>
    <t>E:\CAFNEC_GBRF\2022\BarronRiver\Frames_for_Analysis\3179_C0044_R_0418.jpg</t>
  </si>
  <si>
    <t>E:\CAFNEC_GBRF\2022\BarronRiver\Frames_for_Analysis\3180_C0044_R_0415.jpg</t>
  </si>
  <si>
    <t>E:\CAFNEC_GBRF\2022\BarronRiver\Frames_for_Analysis\3181_C0044_R_0412.jpg</t>
  </si>
  <si>
    <t>E:\CAFNEC_GBRF\2022\BarronRiver\Frames_for_Analysis\3182_C0044_R_0410.jpg</t>
  </si>
  <si>
    <t>E:\CAFNEC_GBRF\2022\BarronRiver\Frames_for_Analysis\3183_C0044_R_0407.jpg</t>
  </si>
  <si>
    <t>E:\CAFNEC_GBRF\2022\BarronRiver\Frames_for_Analysis\3184_C0044_R_0405.jpg</t>
  </si>
  <si>
    <t>E:\CAFNEC_GBRF\2022\BarronRiver\Frames_for_Analysis\3185_C0044_R_0402.jpg</t>
  </si>
  <si>
    <t>E:\CAFNEC_GBRF\2022\BarronRiver\Frames_for_Analysis\3186_C0044_R_0400.jpg</t>
  </si>
  <si>
    <t>E:\CAFNEC_GBRF\2022\BarronRiver\Frames_for_Analysis\3187_C0044_R_0397.jpg</t>
  </si>
  <si>
    <t>E:\CAFNEC_GBRF\2022\BarronRiver\Frames_for_Analysis\3188_C0044_R_0394.jpg</t>
  </si>
  <si>
    <t>E:\CAFNEC_GBRF\2022\BarronRiver\Frames_for_Analysis\3189_C0044_R_0392.jpg</t>
  </si>
  <si>
    <t>E:\CAFNEC_GBRF\2022\BarronRiver\Frames_for_Analysis\3190_C0044_R_0390.jpg</t>
  </si>
  <si>
    <t>E:\CAFNEC_GBRF\2022\BarronRiver\Frames_for_Analysis\3191_C0044_R_0387.jpg</t>
  </si>
  <si>
    <t>E:\CAFNEC_GBRF\2022\BarronRiver\Frames_for_Analysis\3192_C0044_R_0385.jpg</t>
  </si>
  <si>
    <t>E:\CAFNEC_GBRF\2022\BarronRiver\Frames_for_Analysis\3193_C0044_R_0382.jpg</t>
  </si>
  <si>
    <t>E:\CAFNEC_GBRF\2022\BarronRiver\Frames_for_Analysis\3194_C0044_R_0380.jpg</t>
  </si>
  <si>
    <t>E:\CAFNEC_GBRF\2022\BarronRiver\Frames_for_Analysis\3195_C0044_R_0377.jpg</t>
  </si>
  <si>
    <t>E:\CAFNEC_GBRF\2022\BarronRiver\Frames_for_Analysis\3196_C0044_R_0374.jpg</t>
  </si>
  <si>
    <t>E:\CAFNEC_GBRF\2022\BarronRiver\Frames_for_Analysis\3197_C0044_R_0372.jpg</t>
  </si>
  <si>
    <t>E:\CAFNEC_GBRF\2022\BarronRiver\Frames_for_Analysis\3198_C0044_R_0369.jpg</t>
  </si>
  <si>
    <t>E:\CAFNEC_GBRF\2022\BarronRiver\Frames_for_Analysis\3199_C0044_R_0367.jpg</t>
  </si>
  <si>
    <t>E:\CAFNEC_GBRF\2022\BarronRiver\Frames_for_Analysis\3200_C0044_R_0363.jpg</t>
  </si>
  <si>
    <t>E:\CAFNEC_GBRF\2022\BarronRiver\Frames_for_Analysis\3201_C0044_R_0356.jpg</t>
  </si>
  <si>
    <t>E:\CAFNEC_GBRF\2022\BarronRiver\Frames_for_Analysis\3202_C0044_R_0351.jpg</t>
  </si>
  <si>
    <t>E:\CAFNEC_GBRF\2022\BarronRiver\Frames_for_Analysis\3203_C0044_R_0348.jpg</t>
  </si>
  <si>
    <t>E:\CAFNEC_GBRF\2022\BarronRiver\Frames_for_Analysis\3204_C0044_R_0344.jpg</t>
  </si>
  <si>
    <t>E:\CAFNEC_GBRF\2022\BarronRiver\Frames_for_Analysis\3205_C0044_R_0339.jpg</t>
  </si>
  <si>
    <t>E:\CAFNEC_GBRF\2022\BarronRiver\Frames_for_Analysis\3206_C0044_R_0336.jpg</t>
  </si>
  <si>
    <t>E:\CAFNEC_GBRF\2022\BarronRiver\Frames_for_Analysis\3207_C0044_R_0333.jpg</t>
  </si>
  <si>
    <t>E:\CAFNEC_GBRF\2022\BarronRiver\Frames_for_Analysis\3208_C0044_R_0330.jpg</t>
  </si>
  <si>
    <t>E:\CAFNEC_GBRF\2022\BarronRiver\Frames_for_Analysis\3209_C0044_R_0328.jpg</t>
  </si>
  <si>
    <t>E:\CAFNEC_GBRF\2022\BarronRiver\Frames_for_Analysis\3210_C0044_R_0324.jpg</t>
  </si>
  <si>
    <t>E:\CAFNEC_GBRF\2022\BarronRiver\Frames_for_Analysis\3211_C0044_R_0322.jpg</t>
  </si>
  <si>
    <t>E:\CAFNEC_GBRF\2022\BarronRiver\Frames_for_Analysis\3212_C0044_R_0319.jpg</t>
  </si>
  <si>
    <t>E:\CAFNEC_GBRF\2022\BarronRiver\Frames_for_Analysis\3213_C0044_R_0316.jpg</t>
  </si>
  <si>
    <t>E:\CAFNEC_GBRF\2022\BarronRiver\Frames_for_Analysis\3214_C0044_R_0313.jpg</t>
  </si>
  <si>
    <t>E:\CAFNEC_GBRF\2022\BarronRiver\Frames_for_Analysis\3215_C0044_R_0311.jpg</t>
  </si>
  <si>
    <t>E:\CAFNEC_GBRF\2022\BarronRiver\Frames_for_Analysis\3216_C0044_R_0308.jpg</t>
  </si>
  <si>
    <t>E:\CAFNEC_GBRF\2022\BarronRiver\Frames_for_Analysis\3217_C0044_R_0304.jpg</t>
  </si>
  <si>
    <t>E:\CAFNEC_GBRF\2022\BarronRiver\Frames_for_Analysis\3218_C0044_R_0301.jpg</t>
  </si>
  <si>
    <t>E:\CAFNEC_GBRF\2022\BarronRiver\Frames_for_Analysis\3219_C0044_R_0298.jpg</t>
  </si>
  <si>
    <t>E:\CAFNEC_GBRF\2022\BarronRiver\Frames_for_Analysis\3220_C0044_R_0296.jpg</t>
  </si>
  <si>
    <t>E:\CAFNEC_GBRF\2022\BarronRiver\Frames_for_Analysis\3221_C0044_R_0294.jpg</t>
  </si>
  <si>
    <t>E:\CAFNEC_GBRF\2022\BarronRiver\Frames_for_Analysis\3222_C0044_R_0291.jpg</t>
  </si>
  <si>
    <t>E:\CAFNEC_GBRF\2022\BarronRiver\Frames_for_Analysis\3223_C0044_R_0289.jpg</t>
  </si>
  <si>
    <t>E:\CAFNEC_GBRF\2022\BarronRiver\Frames_for_Analysis\3224_C0044_R_0287.jpg</t>
  </si>
  <si>
    <t>E:\CAFNEC_GBRF\2022\BarronRiver\Frames_for_Analysis\3225_C0044_R_0284.jpg</t>
  </si>
  <si>
    <t>E:\CAFNEC_GBRF\2022\BarronRiver\Frames_for_Analysis\3226_C0044_R_0282.jpg</t>
  </si>
  <si>
    <t>E:\CAFNEC_GBRF\2022\BarronRiver\Frames_for_Analysis\3227_C0044_R_0279.jpg</t>
  </si>
  <si>
    <t>E:\CAFNEC_GBRF\2022\BarronRiver\Frames_for_Analysis\3228_C0044_R_0277.jpg</t>
  </si>
  <si>
    <t>E:\CAFNEC_GBRF\2022\BarronRiver\Frames_for_Analysis\3229_C0044_R_0275.jpg</t>
  </si>
  <si>
    <t>E:\CAFNEC_GBRF\2022\BarronRiver\Frames_for_Analysis\3230_C0044_R_0273.jpg</t>
  </si>
  <si>
    <t>E:\CAFNEC_GBRF\2022\BarronRiver\Frames_for_Analysis\3231_C0044_R_0272.jpg</t>
  </si>
  <si>
    <t>E:\CAFNEC_GBRF\2022\BarronRiver\Frames_for_Analysis\3232_C0044_R_0270.jpg</t>
  </si>
  <si>
    <t>E:\CAFNEC_GBRF\2022\BarronRiver\Frames_for_Analysis\3233_C0044_R_0267.jpg</t>
  </si>
  <si>
    <t>E:\CAFNEC_GBRF\2022\BarronRiver\Frames_for_Analysis\3234_C0044_R_0265.jpg</t>
  </si>
  <si>
    <t>E:\CAFNEC_GBRF\2022\BarronRiver\Frames_for_Analysis\3235_C0044_R_0263.jpg</t>
  </si>
  <si>
    <t>E:\CAFNEC_GBRF\2022\BarronRiver\Frames_for_Analysis\3236_C0044_R_0260.jpg</t>
  </si>
  <si>
    <t>E:\CAFNEC_GBRF\2022\BarronRiver\Frames_for_Analysis\3237_C0044_R_0258.jpg</t>
  </si>
  <si>
    <t>E:\CAFNEC_GBRF\2022\BarronRiver\Frames_for_Analysis\3238_C0044_R_0255.jpg</t>
  </si>
  <si>
    <t>E:\CAFNEC_GBRF\2022\BarronRiver\Frames_for_Analysis\3239_C0044_R_0253.jpg</t>
  </si>
  <si>
    <t>E:\CAFNEC_GBRF\2022\BarronRiver\Frames_for_Analysis\3240_C0044_R_0250.jpg</t>
  </si>
  <si>
    <t>E:\CAFNEC_GBRF\2022\BarronRiver\Frames_for_Analysis\3241_C0044_R_0248.jpg</t>
  </si>
  <si>
    <t>E:\CAFNEC_GBRF\2022\BarronRiver\Frames_for_Analysis\3242_C0044_R_0245.jpg</t>
  </si>
  <si>
    <t>E:\CAFNEC_GBRF\2022\BarronRiver\Frames_for_Analysis\3243_C0044_R_0243.jpg</t>
  </si>
  <si>
    <t>E:\CAFNEC_GBRF\2022\BarronRiver\Frames_for_Analysis\3244_C0044_R_0241.jpg</t>
  </si>
  <si>
    <t>E:\CAFNEC_GBRF\2022\BarronRiver\Frames_for_Analysis\3245_C0044_R_0238.jpg</t>
  </si>
  <si>
    <t>E:\CAFNEC_GBRF\2022\BarronRiver\Frames_for_Analysis\3246_C0044_R_0236.jpg</t>
  </si>
  <si>
    <t>E:\CAFNEC_GBRF\2022\BarronRiver\Frames_for_Analysis\3247_C0044_R_0233.jpg</t>
  </si>
  <si>
    <t>E:\CAFNEC_GBRF\2022\BarronRiver\Frames_for_Analysis\3248_C0044_R_0231.jpg</t>
  </si>
  <si>
    <t>E:\CAFNEC_GBRF\2022\BarronRiver\Frames_for_Analysis\3249_C0044_R_0228.jpg</t>
  </si>
  <si>
    <t>E:\CAFNEC_GBRF\2022\BarronRiver\Frames_for_Analysis\3250_C0044_R_0225.jpg</t>
  </si>
  <si>
    <t>E:\CAFNEC_GBRF\2022\BarronRiver\Frames_for_Analysis\3251_C0044_R_0221.jpg</t>
  </si>
  <si>
    <t>E:\CAFNEC_GBRF\2022\BarronRiver\Frames_for_Analysis\3252_C0044_R_0217.jpg</t>
  </si>
  <si>
    <t>E:\CAFNEC_GBRF\2022\BarronRiver\Frames_for_Analysis\3253_C0044_R_0213.jpg</t>
  </si>
  <si>
    <t>E:\CAFNEC_GBRF\2022\BarronRiver\Frames_for_Analysis\3254_C0044_R_0209.jpg</t>
  </si>
  <si>
    <t>E:\CAFNEC_GBRF\2022\BarronRiver\Frames_for_Analysis\3255_C0044_R_0204.jpg</t>
  </si>
  <si>
    <t>E:\CAFNEC_GBRF\2022\BarronRiver\Frames_for_Analysis\3256_C0044_R_0200.jpg</t>
  </si>
  <si>
    <t>E:\CAFNEC_GBRF\2022\BarronRiver\Frames_for_Analysis\3257_C0044_R_0193.jpg</t>
  </si>
  <si>
    <t>E:\CAFNEC_GBRF\2022\BarronRiver\Frames_for_Analysis\3258_C0044_R_0186.jpg</t>
  </si>
  <si>
    <t>E:\CAFNEC_GBRF\2022\BarronRiver\Frames_for_Analysis\3259_C0044_R_0181.jpg</t>
  </si>
  <si>
    <t>E:\CAFNEC_GBRF\2022\BarronRiver\Frames_for_Analysis\3260_C0044_R_0175.jpg</t>
  </si>
  <si>
    <t>E:\CAFNEC_GBRF\2022\BarronRiver\Frames_for_Analysis\3261_C0044_R_0170.jpg</t>
  </si>
  <si>
    <t>E:\CAFNEC_GBRF\2022\BarronRiver\Frames_for_Analysis\3262_C0044_R_0164.jpg</t>
  </si>
  <si>
    <t>E:\CAFNEC_GBRF\2022\BarronRiver\Frames_for_Analysis\3263_C0044_R_0160.jpg</t>
  </si>
  <si>
    <t>E:\CAFNEC_GBRF\2022\BarronRiver\Frames_for_Analysis\3264_C0044_R_0154.jpg</t>
  </si>
  <si>
    <t>E:\CAFNEC_GBRF\2022\BarronRiver\Frames_for_Analysis\3265_C0044_R_0149.jpg</t>
  </si>
  <si>
    <t>E:\CAFNEC_GBRF\2022\BarronRiver\Frames_for_Analysis\3266_C0044_R_0144.jpg</t>
  </si>
  <si>
    <t>E:\CAFNEC_GBRF\2022\BarronRiver\Frames_for_Analysis\3267_C0044_R_0140.jpg</t>
  </si>
  <si>
    <t>E:\CAFNEC_GBRF\2022\BarronRiver\Frames_for_Analysis\3268_C0044_R_0135.jpg</t>
  </si>
  <si>
    <t>E:\CAFNEC_GBRF\2022\BarronRiver\Frames_for_Analysis\3269_C0044_R_0130.jpg</t>
  </si>
  <si>
    <t>E:\CAFNEC_GBRF\2022\BarronRiver\Frames_for_Analysis\3270_C0044_R_0125.jpg</t>
  </si>
  <si>
    <t>E:\CAFNEC_GBRF\2022\BarronRiver\Frames_for_Analysis\3271_C0044_R_0121.jpg</t>
  </si>
  <si>
    <t>E:\CAFNEC_GBRF\2022\BarronRiver\Frames_for_Analysis\3272_C0044_R_0115.jpg</t>
  </si>
  <si>
    <t>E:\CAFNEC_GBRF\2022\BarronRiver\Frames_for_Analysis\3273_C0044_R_0110.jpg</t>
  </si>
  <si>
    <t>E:\CAFNEC_GBRF\2022\BarronRiver\Frames_for_Analysis\3274_C0044_R_0104.jpg</t>
  </si>
  <si>
    <t>E:\CAFNEC_GBRF\2022\BarronRiver\Frames_for_Analysis\3275_C0044_R_0099.jpg</t>
  </si>
  <si>
    <t>E:\CAFNEC_GBRF\2022\BarronRiver\Frames_for_Analysis\3276_C0044_R_0095.jpg</t>
  </si>
  <si>
    <t>E:\CAFNEC_GBRF\2022\BarronRiver\Frames_for_Analysis\3277_C0044_R_0092.jpg</t>
  </si>
  <si>
    <t>E:\CAFNEC_GBRF\2022\BarronRiver\Frames_for_Analysis\3278_C0044_R_0089.jpg</t>
  </si>
  <si>
    <t>E:\CAFNEC_GBRF\2022\BarronRiver\Frames_for_Analysis\3279_C0044_R_0086.jpg</t>
  </si>
  <si>
    <t>E:\CAFNEC_GBRF\2022\BarronRiver\Frames_for_Analysis\3280_C0044_R_0084.jpg</t>
  </si>
  <si>
    <t>E:\CAFNEC_GBRF\2022\BarronRiver\Frames_for_Analysis\3281_C0044_R_0081.jpg</t>
  </si>
  <si>
    <t>E:\CAFNEC_GBRF\2022\BarronRiver\Frames_for_Analysis\3282_C0044_R_0078.jpg</t>
  </si>
  <si>
    <t>E:\CAFNEC_GBRF\2022\BarronRiver\Frames_for_Analysis\3283_C0044_R_0075.jpg</t>
  </si>
  <si>
    <t>E:\CAFNEC_GBRF\2022\BarronRiver\Frames_for_Analysis\3284_C0044_R_0072.jpg</t>
  </si>
  <si>
    <t>E:\CAFNEC_GBRF\2022\BarronRiver\Frames_for_Analysis\3285_C0044_R_0070.jpg</t>
  </si>
  <si>
    <t>E:\CAFNEC_GBRF\2022\BarronRiver\Frames_for_Analysis\3286_C0044_R_0067.jpg</t>
  </si>
  <si>
    <t>E:\CAFNEC_GBRF\2022\BarronRiver\Frames_for_Analysis\3287_C0027_R_0016.jpg</t>
  </si>
  <si>
    <t>E:\CAFNEC_GBRF\2022\BarronRiver\Frames_for_Analysis\3288_C0044_R_0061.jpg</t>
  </si>
  <si>
    <t>E:\CAFNEC_GBRF\2022\BarronRiver\Frames_for_Analysis\3289_C0044_R_0058.jpg</t>
  </si>
  <si>
    <t>E:\CAFNEC_GBRF\2022\BarronRiver\Frames_for_Analysis\3290_C0027_R_0013.jpg</t>
  </si>
  <si>
    <t>E:\CAFNEC_GBRF\2022\BarronRiver\Frames_for_Analysis\3291_C0027_R_0012.jpg</t>
  </si>
  <si>
    <t>E:\CAFNEC_GBRF\2022\BarronRiver\Frames_for_Analysis\3292_C0044_R_0048.jpg</t>
  </si>
  <si>
    <t>E:\CAFNEC_GBRF\2022\BarronRiver\Frames_for_Analysis\3293_C0044_R_0045.jpg</t>
  </si>
  <si>
    <t>E:\CAFNEC_GBRF\2022\BarronRiver\Frames_for_Analysis\3294_C0044_R_0042.jpg</t>
  </si>
  <si>
    <t>E:\CAFNEC_GBRF\2022\BarronRiver\Frames_for_Analysis\3295_C0044_R_0039.jpg</t>
  </si>
  <si>
    <t>E:\CAFNEC_GBRF\2022\BarronRiver\Frames_for_Analysis\3296_C0027_R_0009.jpg</t>
  </si>
  <si>
    <t>E:\CAFNEC_GBRF\2022\BarronRiver\Frames_for_Analysis\3297_C0044_R_0031.jpg</t>
  </si>
  <si>
    <t>E:\CAFNEC_GBRF\2022\BarronRiver\Frames_for_Analysis\3298_C0044_R_0027.jpg</t>
  </si>
  <si>
    <t>E:\CAFNEC_GBRF\2022\BarronRiver\Frames_for_Analysis\3299_C0012_L_0009.jpg</t>
  </si>
  <si>
    <t>E:\CAFNEC_GBRF\2022\BarronRiver\Frames_for_Analysis\3300_C0044_R_0018.jpg</t>
  </si>
  <si>
    <t>E:\CAFNEC_GBRF\2022\BarronRiver\Frames_for_Analysis\3301_C0012_L_0015.jpg</t>
  </si>
  <si>
    <t>E:\CAFNEC_GBRF\2022\BarronRiver\Frames_for_Analysis\3302_C0044_R_0009.jpg</t>
  </si>
  <si>
    <t>E:\CAFNEC_GBRF\2022\BarronRiver\Frames_for_Analysis\3303_C0044_R_0003.jpg</t>
  </si>
  <si>
    <t>E:\CAFNEC_GBRF\2022\BarronRiver\Frames_for_Analysis\3304_C0012_L_0024.jpg</t>
  </si>
  <si>
    <t>E:\CAFNEC_GBRF\2022\BarronRiver\Frames_for_Analysis\3305_C0012_L_0026.jpg</t>
  </si>
  <si>
    <t>E:\CAFNEC_GBRF\2022\BarronRiver\Frames_for_Analysis\3306_C0012_L_0029.jpg</t>
  </si>
  <si>
    <t>E:\CAFNEC_GBRF\2022\BarronRiver\Frames_for_Analysis\3307_C0012_L_0032.jpg</t>
  </si>
  <si>
    <t>E:\CAFNEC_GBRF\2022\BarronRiver\Frames_for_Analysis\3308_C0012_L_0034.jpg</t>
  </si>
  <si>
    <t>E:\CAFNEC_GBRF\2022\BarronRiver\Frames_for_Analysis\3309_C0012_L_0037.jpg</t>
  </si>
  <si>
    <t>E:\CAFNEC_GBRF\2022\BarronRiver\Frames_for_Analysis\3310_C0012_L_0040.jpg</t>
  </si>
  <si>
    <t>E:\CAFNEC_GBRF\2022\BarronRiver\Frames_for_Analysis\3311_C0012_L_0043.jpg</t>
  </si>
  <si>
    <t>E:\CAFNEC_GBRF\2022\BarronRiver\Frames_for_Analysis\3312_C0012_L_0045.jpg</t>
  </si>
  <si>
    <t>E:\CAFNEC_GBRF\2022\BarronRiver\Frames_for_Analysis\3313_C0012_L_0049.jpg</t>
  </si>
  <si>
    <t>E:\CAFNEC_GBRF\2022\BarronRiver\Frames_for_Analysis\3314_C0012_L_0052.jpg</t>
  </si>
  <si>
    <t>E:\CAFNEC_GBRF\2022\BarronRiver\Frames_for_Analysis\3315_C0012_L_0055.jpg</t>
  </si>
  <si>
    <t>E:\CAFNEC_GBRF\2022\BarronRiver\Frames_for_Analysis\3316_C0012_L_0058.jpg</t>
  </si>
  <si>
    <t>E:\CAFNEC_GBRF\2022\BarronRiver\Frames_for_Analysis\3317_C0012_L_0060.jpg</t>
  </si>
  <si>
    <t>E:\CAFNEC_GBRF\2022\BarronRiver\Frames_for_Analysis\3318_C0012_L_0063.jpg</t>
  </si>
  <si>
    <t>E:\CAFNEC_GBRF\2022\BarronRiver\Frames_for_Analysis\3319_C0012_L_0066.jpg</t>
  </si>
  <si>
    <t>E:\CAFNEC_GBRF\2022\BarronRiver\Frames_for_Analysis\3320_C0012_L_0069.jpg</t>
  </si>
  <si>
    <t>E:\CAFNEC_GBRF\2022\BarronRiver\Frames_for_Analysis\3321_C0012_L_0073.jpg</t>
  </si>
  <si>
    <t>E:\CAFNEC_GBRF\2022\BarronRiver\Frames_for_Analysis\3322_C0012_L_0076.jpg</t>
  </si>
  <si>
    <t>E:\CAFNEC_GBRF\2022\BarronRiver\Frames_for_Analysis\3323_C0012_L_0078.jpg</t>
  </si>
  <si>
    <t>E:\CAFNEC_GBRF\2022\BarronRiver\Frames_for_Analysis\3324_C0012_L_0080.jpg</t>
  </si>
  <si>
    <t>E:\CAFNEC_GBRF\2022\BarronRiver\Frames_for_Analysis\3325_C0012_L_0083.jpg</t>
  </si>
  <si>
    <t>E:\CAFNEC_GBRF\2022\BarronRiver\Frames_for_Analysis\3326_C0012_L_0086.jpg</t>
  </si>
  <si>
    <t>E:\CAFNEC_GBRF\2022\BarronRiver\Frames_for_Analysis\3327_C0012_L_0089.jpg</t>
  </si>
  <si>
    <t>E:\CAFNEC_GBRF\2022\BarronRiver\Frames_for_Analysis\3328_C0012_L_0092.jpg</t>
  </si>
  <si>
    <t>E:\CAFNEC_GBRF\2022\BarronRiver\Frames_for_Analysis\3329_C0012_L_0094.jpg</t>
  </si>
  <si>
    <t>E:\CAFNEC_GBRF\2022\BarronRiver\Frames_for_Analysis\3330_C0012_L_0098.jpg</t>
  </si>
  <si>
    <t>E:\CAFNEC_GBRF\2022\BarronRiver\Frames_for_Analysis\3331_C0012_L_0100.jpg</t>
  </si>
  <si>
    <t>E:\CAFNEC_GBRF\2022\BarronRiver\Frames_for_Analysis\3332_C0012_L_0103.jpg</t>
  </si>
  <si>
    <t>E:\CAFNEC_GBRF\2022\BarronRiver\Frames_for_Analysis\3333_C0012_L_0105.jpg</t>
  </si>
  <si>
    <t>E:\CAFNEC_GBRF\2022\BarronRiver\Frames_for_Analysis\3334_C0012_L_0108.jpg</t>
  </si>
  <si>
    <t>E:\CAFNEC_GBRF\2022\BarronRiver\Frames_for_Analysis\3335_C0012_L_0111.jpg</t>
  </si>
  <si>
    <t>E:\CAFNEC_GBRF\2022\BarronRiver\Frames_for_Analysis\3336_C0012_L_0114.jpg</t>
  </si>
  <si>
    <t>E:\CAFNEC_GBRF\2022\BarronRiver\Frames_for_Analysis\3337_C0012_L_0117.jpg</t>
  </si>
  <si>
    <t>E:\CAFNEC_GBRF\2022\BarronRiver\Frames_for_Analysis\3338_C0012_L_0121.jpg</t>
  </si>
  <si>
    <t>E:\CAFNEC_GBRF\2022\BarronRiver\Frames_for_Analysis\3339_C0012_L_0123.jpg</t>
  </si>
  <si>
    <t>E:\CAFNEC_GBRF\2022\BarronRiver\Frames_for_Analysis\3340_C0012_L_0127.jpg</t>
  </si>
  <si>
    <t>E:\CAFNEC_GBRF\2022\BarronRiver\Frames_for_Analysis\3341_C0012_L_0129.jpg</t>
  </si>
  <si>
    <t>E:\CAFNEC_GBRF\2022\BarronRiver\Frames_for_Analysis\3342_C0012_L_0133.jpg</t>
  </si>
  <si>
    <t>E:\CAFNEC_GBRF\2022\BarronRiver\Frames_for_Analysis\3343_C0012_L_0135.jpg</t>
  </si>
  <si>
    <t>E:\CAFNEC_GBRF\2022\BarronRiver\Frames_for_Analysis\3344_C0012_L_0139.jpg</t>
  </si>
  <si>
    <t>E:\CAFNEC_GBRF\2022\BarronRiver\Frames_for_Analysis\3345_C0012_L_0142.jpg</t>
  </si>
  <si>
    <t>E:\CAFNEC_GBRF\2022\BarronRiver\Frames_for_Analysis\3346_C0012_L_0145.jpg</t>
  </si>
  <si>
    <t>E:\CAFNEC_GBRF\2022\BarronRiver\Frames_for_Analysis\3347_C0012_L_0148.jpg</t>
  </si>
  <si>
    <t>E:\CAFNEC_GBRF\2022\BarronRiver\Frames_for_Analysis\3348_C0012_L_0150.jpg</t>
  </si>
  <si>
    <t>E:\CAFNEC_GBRF\2022\BarronRiver\Frames_for_Analysis\3349_C0012_L_0153.jpg</t>
  </si>
  <si>
    <t>E:\CAFNEC_GBRF\2022\BarronRiver\Frames_for_Analysis\3350_C0012_L_0156.jpg</t>
  </si>
  <si>
    <t>E:\CAFNEC_GBRF\2022\BarronRiver\Frames_for_Analysis\3351_C0012_L_0159.jpg</t>
  </si>
  <si>
    <t>E:\CAFNEC_GBRF\2022\BarronRiver\Frames_for_Analysis\3352_C0012_L_0162.jpg</t>
  </si>
  <si>
    <t>E:\CAFNEC_GBRF\2022\BarronRiver\Frames_for_Analysis\3353_C0012_L_0165.jpg</t>
  </si>
  <si>
    <t>E:\CAFNEC_GBRF\2022\BarronRiver\Frames_for_Analysis\3354_C0012_L_0168.jpg</t>
  </si>
  <si>
    <t>E:\CAFNEC_GBRF\2022\BarronRiver\Frames_for_Analysis\3355_C0012_L_0171.jpg</t>
  </si>
  <si>
    <t>E:\CAFNEC_GBRF\2022\BarronRiver\Frames_for_Analysis\3356_C0012_L_0175.jpg</t>
  </si>
  <si>
    <t>E:\CAFNEC_GBRF\2022\BarronRiver\Frames_for_Analysis\3357_C0012_L_0178.jpg</t>
  </si>
  <si>
    <t>E:\CAFNEC_GBRF\2022\BarronRiver\Frames_for_Analysis\3358_C0012_L_0181.jpg</t>
  </si>
  <si>
    <t>E:\CAFNEC_GBRF\2022\BarronRiver\Frames_for_Analysis\3359_C0012_L_0184.jpg</t>
  </si>
  <si>
    <t>E:\CAFNEC_GBRF\2022\BarronRiver\Frames_for_Analysis\3360_C0012_L_0187.jpg</t>
  </si>
  <si>
    <t>E:\CAFNEC_GBRF\2022\BarronRiver\Frames_for_Analysis\3361_C0012_L_0189.jpg</t>
  </si>
  <si>
    <t>E:\CAFNEC_GBRF\2022\BarronRiver\Frames_for_Analysis\3362_C0012_L_0192.jpg</t>
  </si>
  <si>
    <t>E:\CAFNEC_GBRF\2022\BarronRiver\Frames_for_Analysis\3363_C0012_L_0195.jpg</t>
  </si>
  <si>
    <t>E:\CAFNEC_GBRF\2022\BarronRiver\Frames_for_Analysis\3364_C0012_L_0199.jpg</t>
  </si>
  <si>
    <t>E:\CAFNEC_GBRF\2022\BarronRiver\Frames_for_Analysis\3365_C0012_L_0202.jpg</t>
  </si>
  <si>
    <t>E:\CAFNEC_GBRF\2022\BarronRiver\Frames_for_Analysis\3366_C0012_L_0206.jpg</t>
  </si>
  <si>
    <t>E:\CAFNEC_GBRF\2022\BarronRiver\Frames_for_Analysis\3367_C0012_L_0208.jpg</t>
  </si>
  <si>
    <t>E:\CAFNEC_GBRF\2022\BarronRiver\Frames_for_Analysis\3368_C0012_L_0211.jpg</t>
  </si>
  <si>
    <t>E:\CAFNEC_GBRF\2022\BarronRiver\Frames_for_Analysis\3369_C0012_L_0215.jpg</t>
  </si>
  <si>
    <t>E:\CAFNEC_GBRF\2022\BarronRiver\Frames_for_Analysis\3370_C0012_L_0220.jpg</t>
  </si>
  <si>
    <t>E:\CAFNEC_GBRF\2022\BarronRiver\Frames_for_Analysis\3371_C0012_L_0224.jpg</t>
  </si>
  <si>
    <t>E:\CAFNEC_GBRF\2022\BarronRiver\Frames_for_Analysis\3372_C0012_L_0227.jpg</t>
  </si>
  <si>
    <t>E:\CAFNEC_GBRF\2022\BarronRiver\Frames_for_Analysis\3373_C0012_L_0229.jpg</t>
  </si>
  <si>
    <t>E:\CAFNEC_GBRF\2022\BarronRiver\Frames_for_Analysis\3374_C0012_L_0232.jpg</t>
  </si>
  <si>
    <t>E:\CAFNEC_GBRF\2022\BarronRiver\Frames_for_Analysis\3375_C0012_L_0235.jpg</t>
  </si>
  <si>
    <t>E:\CAFNEC_GBRF\2022\BarronRiver\Frames_for_Analysis\3376_C0012_L_0239.jpg</t>
  </si>
  <si>
    <t>E:\CAFNEC_GBRF\2022\BarronRiver\Frames_for_Analysis\3377_C0012_L_0242.jpg</t>
  </si>
  <si>
    <t>E:\CAFNEC_GBRF\2022\BarronRiver\Frames_for_Analysis\3378_C0012_L_0245.jpg</t>
  </si>
  <si>
    <t>E:\CAFNEC_GBRF\2022\BarronRiver\Frames_for_Analysis\3379_C0012_L_0248.jpg</t>
  </si>
  <si>
    <t>E:\CAFNEC_GBRF\2022\BarronRiver\Frames_for_Analysis\3380_C0012_L_0252.jpg</t>
  </si>
  <si>
    <t>E:\CAFNEC_GBRF\2022\BarronRiver\Frames_for_Analysis\3381_C0012_L_0255.jpg</t>
  </si>
  <si>
    <t>E:\CAFNEC_GBRF\2022\BarronRiver\Frames_for_Analysis\3382_C0012_L_0258.jpg</t>
  </si>
  <si>
    <t>E:\CAFNEC_GBRF\2022\BarronRiver\Frames_for_Analysis\3383_C0012_L_0261.jpg</t>
  </si>
  <si>
    <t>E:\CAFNEC_GBRF\2022\BarronRiver\Frames_for_Analysis\3384_C0012_L_0264.jpg</t>
  </si>
  <si>
    <t>E:\CAFNEC_GBRF\2022\BarronRiver\Frames_for_Analysis\3385_C0012_L_0267.jpg</t>
  </si>
  <si>
    <t>E:\CAFNEC_GBRF\2022\BarronRiver\Frames_for_Analysis\3386_C0012_L_0272.jpg</t>
  </si>
  <si>
    <t>E:\CAFNEC_GBRF\2022\BarronRiver\Frames_for_Analysis\3387_C0012_L_0276.jpg</t>
  </si>
  <si>
    <t>E:\CAFNEC_GBRF\2022\BarronRiver\Frames_for_Analysis\3388_C0012_L_0281.jpg</t>
  </si>
  <si>
    <t>E:\CAFNEC_GBRF\2022\BarronRiver\Frames_for_Analysis\3389_C0012_L_0284.jpg</t>
  </si>
  <si>
    <t>E:\CAFNEC_GBRF\2022\BarronRiver\Frames_for_Analysis\3390_C0012_L_0288.jpg</t>
  </si>
  <si>
    <t>E:\CAFNEC_GBRF\2022\BarronRiver\Frames_for_Analysis\3391_C0012_L_0290.jpg</t>
  </si>
  <si>
    <t>E:\CAFNEC_GBRF\2022\BarronRiver\Frames_for_Analysis\3392_C0012_L_0298.jpg</t>
  </si>
  <si>
    <t>E:\CAFNEC_GBRF\2022\BarronRiver\Frames_for_Analysis\3393_C0012_L_0302.jpg</t>
  </si>
  <si>
    <t>E:\CAFNEC_GBRF\2022\BarronRiver\Frames_for_Analysis\3394_C0012_L_0306.jpg</t>
  </si>
  <si>
    <t>E:\CAFNEC_GBRF\2022\BarronRiver\Frames_for_Analysis\3395_C0012_L_0309.jpg</t>
  </si>
  <si>
    <t>E:\CAFNEC_GBRF\2022\BarronRiver\Frames_for_Analysis\3396_C0012_L_0313.jpg</t>
  </si>
  <si>
    <t>E:\CAFNEC_GBRF\2022\BarronRiver\Frames_for_Analysis\3397_C0012_L_0316.jpg</t>
  </si>
  <si>
    <t>E:\CAFNEC_GBRF\2022\BarronRiver\Frames_for_Analysis\3398_C0012_L_0322.jpg</t>
  </si>
  <si>
    <t>E:\CAFNEC_GBRF\2022\BarronRiver\Frames_for_Analysis\3399_C0012_L_0324.jpg</t>
  </si>
  <si>
    <t>E:\CAFNEC_GBRF\2022\BarronRiver\Frames_for_Analysis\3400_C0012_L_0330.jpg</t>
  </si>
  <si>
    <t>E:\CAFNEC_GBRF\2022\BarronRiver\Frames_for_Analysis\3401_C0012_L_0334.jpg</t>
  </si>
  <si>
    <t>E:\CAFNEC_GBRF\2022\BarronRiver\Frames_for_Analysis\3402_C0012_L_0336.jpg</t>
  </si>
  <si>
    <t>E:\CAFNEC_GBRF\2022\BarronRiver\Frames_for_Analysis\3403_C0012_L_0339.jpg</t>
  </si>
  <si>
    <t>E:\CAFNEC_GBRF\2022\BarronRiver\Frames_for_Analysis\3404_C0012_L_0345.jpg</t>
  </si>
  <si>
    <t>E:\CAFNEC_GBRF\2022\BarronRiver\Frames_for_Analysis\3405_C0012_L_0351.jpg</t>
  </si>
  <si>
    <t>E:\CAFNEC_GBRF\2022\BarronRiver\Frames_for_Analysis\3406_C0012_L_0354.jpg</t>
  </si>
  <si>
    <t>E:\CAFNEC_GBRF\2022\BarronRiver\Frames_for_Analysis\3407_C0012_L_0357.jpg</t>
  </si>
  <si>
    <t>E:\CAFNEC_GBRF\2022\BarronRiver\Frames_for_Analysis\3408_C0012_L_0361.jpg</t>
  </si>
  <si>
    <t>E:\CAFNEC_GBRF\2022\BarronRiver\Frames_for_Analysis\3409_C0012_L_0364.jpg</t>
  </si>
  <si>
    <t>E:\CAFNEC_GBRF\2022\BarronRiver\Frames_for_Analysis\3410_C0012_L_0367.jpg</t>
  </si>
  <si>
    <t>E:\CAFNEC_GBRF\2022\BarronRiver\Frames_for_Analysis\3411_C0012_L_0370.jpg</t>
  </si>
  <si>
    <t>E:\CAFNEC_GBRF\2022\BarronRiver\Frames_for_Analysis\3412_C0012_L_0373.jpg</t>
  </si>
  <si>
    <t>E:\CAFNEC_GBRF\2022\BarronRiver\Frames_for_Analysis\3413_C0012_L_0377.jpg</t>
  </si>
  <si>
    <t>E:\CAFNEC_GBRF\2022\BarronRiver\Frames_for_Analysis\3414_C0012_L_0380.jpg</t>
  </si>
  <si>
    <t>E:\CAFNEC_GBRF\2022\BarronRiver\Frames_for_Analysis\3415_C0012_L_0383.jpg</t>
  </si>
  <si>
    <t>E:\CAFNEC_GBRF\2022\BarronRiver\Frames_for_Analysis\3416_C0012_L_0388.jpg</t>
  </si>
  <si>
    <t>E:\CAFNEC_GBRF\2022\BarronRiver\Frames_for_Analysis\3417_C0012_L_0392.jpg</t>
  </si>
  <si>
    <t>E:\CAFNEC_GBRF\2022\BarronRiver\Frames_for_Analysis\3418_C0012_L_0394.jpg</t>
  </si>
  <si>
    <t>E:\CAFNEC_GBRF\2022\BarronRiver\Frames_for_Analysis\3419_C0012_L_0399.jpg</t>
  </si>
  <si>
    <t>E:\CAFNEC_GBRF\2022\BarronRiver\Frames_for_Analysis\3420_C0012_L_0403.jpg</t>
  </si>
  <si>
    <t>E:\CAFNEC_GBRF\2022\BarronRiver\Frames_for_Analysis\3421_C0012_L_0406.jpg</t>
  </si>
  <si>
    <t>E:\CAFNEC_GBRF\2022\BarronRiver\Frames_for_Analysis\3422_C0012_L_0409.jpg</t>
  </si>
  <si>
    <t>E:\CAFNEC_GBRF\2022\BarronRiver\Frames_for_Analysis\3423_C0012_L_0413.jpg</t>
  </si>
  <si>
    <t>E:\CAFNEC_GBRF\2022\BarronRiver\Frames_for_Analysis\3424_C0012_L_0416.jpg</t>
  </si>
  <si>
    <t>E:\CAFNEC_GBRF\2022\BarronRiver\Frames_for_Analysis\3425_C0012_L_0420.jpg</t>
  </si>
  <si>
    <t>E:\CAFNEC_GBRF\2022\BarronRiver\Frames_for_Analysis\3426_C0012_L_0424.jpg</t>
  </si>
  <si>
    <t>E:\CAFNEC_GBRF\2022\BarronRiver\Frames_for_Analysis\3427_C0012_L_0427.jpg</t>
  </si>
  <si>
    <t>E:\CAFNEC_GBRF\2022\BarronRiver\Frames_for_Analysis\3428_C0012_L_0431.jpg</t>
  </si>
  <si>
    <t>E:\CAFNEC_GBRF\2022\BarronRiver\Frames_for_Analysis\3429_C0012_L_0436.jpg</t>
  </si>
  <si>
    <t>E:\CAFNEC_GBRF\2022\BarronRiver\Frames_for_Analysis\3430_C0012_L_0438.jpg</t>
  </si>
  <si>
    <t>E:\CAFNEC_GBRF\2022\BarronRiver\Frames_for_Analysis\3431_C0012_L_0442.jpg</t>
  </si>
  <si>
    <t>E:\CAFNEC_GBRF\2022\BarronRiver\Frames_for_Analysis\3432_C0012_L_0444.jpg</t>
  </si>
  <si>
    <t>E:\CAFNEC_GBRF\2022\BarronRiver\Frames_for_Analysis\3433_C0012_L_0447.jpg</t>
  </si>
  <si>
    <t>E:\CAFNEC_GBRF\2022\BarronRiver\Frames_for_Analysis\3434_C0012_L_0451.jpg</t>
  </si>
  <si>
    <t>E:\CAFNEC_GBRF\2022\BarronRiver\Frames_for_Analysis\3435_C0012_L_0453.jpg</t>
  </si>
  <si>
    <t>E:\CAFNEC_GBRF\2022\BarronRiver\Frames_for_Analysis\3436_C0012_L_0457.jpg</t>
  </si>
  <si>
    <t>E:\CAFNEC_GBRF\2022\BarronRiver\Frames_for_Analysis\3437_C0012_L_0459.jpg</t>
  </si>
  <si>
    <t>E:\CAFNEC_GBRF\2022\BarronRiver\Frames_for_Analysis\3438_C0012_L_0463.jpg</t>
  </si>
  <si>
    <t>E:\CAFNEC_GBRF\2022\BarronRiver\Frames_for_Analysis\3439_C0012_L_0466.jpg</t>
  </si>
  <si>
    <t>E:\CAFNEC_GBRF\2022\BarronRiver\Frames_for_Analysis\3440_C0012_L_0468.jpg</t>
  </si>
  <si>
    <t>E:\CAFNEC_GBRF\2022\BarronRiver\Frames_for_Analysis\3441_C0012_L_0472.jpg</t>
  </si>
  <si>
    <t>E:\CAFNEC_GBRF\2022\BarronRiver\Frames_for_Analysis\3442_C0012_L_0474.jpg</t>
  </si>
  <si>
    <t>E:\CAFNEC_GBRF\2022\BarronRiver\Frames_for_Analysis\3443_C0012_L_0477.jpg</t>
  </si>
  <si>
    <t>E:\CAFNEC_GBRF\2022\BarronRiver\Frames_for_Analysis\3444_C0012_L_0480.jpg</t>
  </si>
  <si>
    <t>E:\CAFNEC_GBRF\2022\BarronRiver\Frames_for_Analysis\3445_C0012_L_0483.jpg</t>
  </si>
  <si>
    <t>E:\CAFNEC_GBRF\2022\BarronRiver\Frames_for_Analysis\3446_C0012_L_0489.jpg</t>
  </si>
  <si>
    <t>E:\CAFNEC_GBRF\2022\BarronRiver\Frames_for_Analysis\3447_C0012_L_0496.jpg</t>
  </si>
  <si>
    <t>E:\CAFNEC_GBRF\2022\BarronRiver\Frames_for_Analysis\3448_C0012_L_0498.jpg</t>
  </si>
  <si>
    <t>E:\CAFNEC_GBRF\2022\BarronRiver\Frames_for_Analysis\3449_C0012_L_0501.jpg</t>
  </si>
  <si>
    <t>E:\CAFNEC_GBRF\2022\BarronRiver\Frames_for_Analysis\3450_C0012_L_0504.jpg</t>
  </si>
  <si>
    <t>E:\CAFNEC_GBRF\2022\BarronRiver\Frames_for_Analysis\3451_C0012_L_0507.jpg</t>
  </si>
  <si>
    <t>E:\CAFNEC_GBRF\2022\BarronRiver\Frames_for_Analysis\3452_C0012_L_0510.jpg</t>
  </si>
  <si>
    <t>E:\CAFNEC_GBRF\2022\BarronRiver\Frames_for_Analysis\3453_C0012_L_0512.jpg</t>
  </si>
  <si>
    <t>E:\CAFNEC_GBRF\2022\BarronRiver\Frames_for_Analysis\3454_C0012_L_0515.jpg</t>
  </si>
  <si>
    <t>E:\CAFNEC_GBRF\2022\BarronRiver\Frames_for_Analysis\3455_C0012_L_0518.jpg</t>
  </si>
  <si>
    <t>E:\CAFNEC_GBRF\2022\BarronRiver\Frames_for_Analysis\3456_C0012_L_0520.jpg</t>
  </si>
  <si>
    <t>E:\CAFNEC_GBRF\2022\BarronRiver\Frames_for_Analysis\3457_C0012_L_0523.jpg</t>
  </si>
  <si>
    <t>E:\CAFNEC_GBRF\2022\BarronRiver\Frames_for_Analysis\3458_C0012_L_0528.jpg</t>
  </si>
  <si>
    <t>E:\CAFNEC_GBRF\2022\BarronRiver\Frames_for_Analysis\3459_C0012_L_0533.jpg</t>
  </si>
  <si>
    <t>E:\CAFNEC_GBRF\2022\BarronRiver\Frames_for_Analysis\3460_C0012_L_0536.jpg</t>
  </si>
  <si>
    <t>E:\CAFNEC_GBRF\2022\BarronRiver\Frames_for_Analysis\3461_C0012_L_0551.jpg</t>
  </si>
  <si>
    <t>E:\CAFNEC_GBRF\2022\BarronRiver\Frames_for_Analysis\3462_C0013_L_0005.jpg</t>
  </si>
  <si>
    <t>E:\CAFNEC_GBRF\2022\BarronRiver\Frames_for_Analysis\3463_C0013_L_0007.jpg</t>
  </si>
  <si>
    <t>E:\CAFNEC_GBRF\2022\BarronRiver\Frames_for_Analysis\3464_C0013_L_0010.jpg</t>
  </si>
  <si>
    <t>E:\CAFNEC_GBRF\2022\BarronRiver\Frames_for_Analysis\3465_C0013_L_0013.jpg</t>
  </si>
  <si>
    <t>E:\CAFNEC_GBRF\2022\BarronRiver\Frames_for_Analysis\3466_C0013_L_0014.jpg</t>
  </si>
  <si>
    <t>E:\CAFNEC_GBRF\2022\BarronRiver\Frames_for_Analysis\3467_C0013_L_0017.jpg</t>
  </si>
  <si>
    <t>E:\CAFNEC_GBRF\2022\BarronRiver\Frames_for_Analysis\3468_C0013_L_0021.jpg</t>
  </si>
  <si>
    <t>E:\CAFNEC_GBRF\2022\BarronRiver\Frames_for_Analysis\3469_C0013_L_0023.jpg</t>
  </si>
  <si>
    <t>E:\CAFNEC_GBRF\2022\BarronRiver\Frames_for_Analysis\3470_C0013_L_0026.jpg</t>
  </si>
  <si>
    <t>E:\CAFNEC_GBRF\2022\BarronRiver\Frames_for_Analysis\3471_C0013_L_0028.jpg</t>
  </si>
  <si>
    <t>E:\CAFNEC_GBRF\2022\BarronRiver\Frames_for_Analysis\3472_C0013_L_0033.jpg</t>
  </si>
  <si>
    <t>E:\CAFNEC_GBRF\2022\BarronRiver\Frames_for_Analysis\3473_C0013_L_0037.jpg</t>
  </si>
  <si>
    <t>E:\CAFNEC_GBRF\2022\BarronRiver\Frames_for_Analysis\3474_C0013_L_0039.jpg</t>
  </si>
  <si>
    <t>E:\CAFNEC_GBRF\2022\BarronRiver\Frames_for_Analysis\3475_C0013_L_0042.jpg</t>
  </si>
  <si>
    <t>E:\CAFNEC_GBRF\2022\BarronRiver\Frames_for_Analysis\3476_C0013_L_0057.jpg</t>
  </si>
  <si>
    <t>E:\CAFNEC_GBRF\2022\BarronRiver\Frames_for_Analysis\3477_C0013_L_0059.jpg</t>
  </si>
  <si>
    <t>E:\CAFNEC_GBRF\2022\BarronRiver\Frames_for_Analysis\3478_C0013_L_0061.jpg</t>
  </si>
  <si>
    <t>E:\CAFNEC_GBRF\2022\BarronRiver\Frames_for_Analysis\3479_C0013_L_0063.jpg</t>
  </si>
  <si>
    <t>E:\CAFNEC_GBRF\2022\BarronRiver\Frames_for_Analysis\3480_C0013_L_0067.jpg</t>
  </si>
  <si>
    <t>E:\CAFNEC_GBRF\2022\BarronRiver\Frames_for_Analysis\3481_C0013_L_0069.jpg</t>
  </si>
  <si>
    <t>E:\CAFNEC_GBRF\2022\BarronRiver\Frames_for_Analysis\3482_C0013_L_0072.jpg</t>
  </si>
  <si>
    <t>E:\CAFNEC_GBRF\2022\BarronRiver\Frames_for_Analysis\3483_C0013_L_0074.jpg</t>
  </si>
  <si>
    <t>E:\CAFNEC_GBRF\2022\BarronRiver\Frames_for_Analysis\3484_C0013_L_0077.jpg</t>
  </si>
  <si>
    <t>E:\CAFNEC_GBRF\2022\BarronRiver\Frames_for_Analysis\3485_C0013_L_0079.jpg</t>
  </si>
  <si>
    <t>E:\CAFNEC_GBRF\2022\BarronRiver\Frames_for_Analysis\3486_C0013_L_0082.jpg</t>
  </si>
  <si>
    <t>E:\CAFNEC_GBRF\2022\BarronRiver\Frames_for_Analysis\3487_C0013_L_0085.jpg</t>
  </si>
  <si>
    <t>E:\CAFNEC_GBRF\2022\BarronRiver\Frames_for_Analysis\3488_C0013_L_0087.jpg</t>
  </si>
  <si>
    <t>E:\CAFNEC_GBRF\2022\BarronRiver\Frames_for_Analysis\3489_C0013_L_0090.jpg</t>
  </si>
  <si>
    <t>E:\CAFNEC_GBRF\2022\BarronRiver\Frames_for_Analysis\3490_C0013_L_0092.jpg</t>
  </si>
  <si>
    <t>E:\CAFNEC_GBRF\2022\BarronRiver\Frames_for_Analysis\3491_C0013_L_0096.jpg</t>
  </si>
  <si>
    <t>E:\CAFNEC_GBRF\2022\BarronRiver\Frames_for_Analysis\3492_C0013_L_0098.jpg</t>
  </si>
  <si>
    <t>E:\CAFNEC_GBRF\2022\BarronRiver\Frames_for_Analysis\3493_C0013_L_0101.jpg</t>
  </si>
  <si>
    <t>E:\CAFNEC_GBRF\2022\BarronRiver\Frames_for_Analysis\3494_C0013_L_0103.jpg</t>
  </si>
  <si>
    <t>E:\CAFNEC_GBRF\2022\BarronRiver\Frames_for_Analysis\3495_C0013_L_0106.jpg</t>
  </si>
  <si>
    <t>E:\CAFNEC_GBRF\2022\BarronRiver\Frames_for_Analysis\3496_C0013_L_0109.jpg</t>
  </si>
  <si>
    <t>E:\CAFNEC_GBRF\2022\BarronRiver\Frames_for_Analysis\3497_C0013_L_0111.jpg</t>
  </si>
  <si>
    <t>E:\CAFNEC_GBRF\2022\BarronRiver\Frames_for_Analysis\3498_C0013_L_0114.jpg</t>
  </si>
  <si>
    <t>E:\CAFNEC_GBRF\2022\BarronRiver\Frames_for_Analysis\3499_C0013_L_0117.jpg</t>
  </si>
  <si>
    <t>E:\CAFNEC_GBRF\2022\BarronRiver\Frames_for_Analysis\3500_C0013_L_0120.jpg</t>
  </si>
  <si>
    <t>E:\CAFNEC_GBRF\2022\BarronRiver\Frames_for_Analysis\3501_C0013_L_0122.jpg</t>
  </si>
  <si>
    <t>E:\CAFNEC_GBRF\2022\BarronRiver\Frames_for_Analysis\3502_C0013_L_0125.jpg</t>
  </si>
  <si>
    <t>E:\CAFNEC_GBRF\2022\BarronRiver\Frames_for_Analysis\3503_C0013_L_0128.jpg</t>
  </si>
  <si>
    <t>E:\CAFNEC_GBRF\2022\BarronRiver\Frames_for_Analysis\3504_C0013_L_0132.jpg</t>
  </si>
  <si>
    <t>E:\CAFNEC_GBRF\2022\BarronRiver\Frames_for_Analysis\3505_C0013_L_0135.jpg</t>
  </si>
  <si>
    <t>E:\CAFNEC_GBRF\2022\BarronRiver\Frames_for_Analysis\3506_C0013_L_0139.jpg</t>
  </si>
  <si>
    <t>E:\CAFNEC_GBRF\2022\BarronRiver\Frames_for_Analysis\3507_C0013_L_0142.jpg</t>
  </si>
  <si>
    <t>E:\CAFNEC_GBRF\2022\BarronRiver\Frames_for_Analysis\3508_C0013_L_0144.jpg</t>
  </si>
  <si>
    <t>E:\CAFNEC_GBRF\2022\BarronRiver\Frames_for_Analysis\3509_C0013_L_0146.jpg</t>
  </si>
  <si>
    <t>E:\CAFNEC_GBRF\2022\BarronRiver\Frames_for_Analysis\3510_C0013_L_0148.jpg</t>
  </si>
  <si>
    <t>E:\CAFNEC_GBRF\2022\BarronRiver\Frames_for_Analysis\3511_C0013_L_0151.jpg</t>
  </si>
  <si>
    <t>E:\CAFNEC_GBRF\2022\BarronRiver\Frames_for_Analysis\3512_C0013_L_0153.jpg</t>
  </si>
  <si>
    <t>E:\CAFNEC_GBRF\2022\BarronRiver\Frames_for_Analysis\3513_C0013_L_0156.jpg</t>
  </si>
  <si>
    <t>E:\CAFNEC_GBRF\2022\BarronRiver\Frames_for_Analysis\3514_C0013_L_0158.jpg</t>
  </si>
  <si>
    <t>E:\CAFNEC_GBRF\2022\BarronRiver\Frames_for_Analysis\3515_C0013_L_0160.jpg</t>
  </si>
  <si>
    <t>E:\CAFNEC_GBRF\2022\BarronRiver\Frames_for_Analysis\3516_C0013_L_0163.jpg</t>
  </si>
  <si>
    <t>E:\CAFNEC_GBRF\2022\BarronRiver\Frames_for_Analysis\3517_C0013_L_0166.jpg</t>
  </si>
  <si>
    <t>E:\CAFNEC_GBRF\2022\BarronRiver\Frames_for_Analysis\3518_C0013_L_0169.jpg</t>
  </si>
  <si>
    <t>E:\CAFNEC_GBRF\2022\BarronRiver\Frames_for_Analysis\3519_C0013_L_0173.jpg</t>
  </si>
  <si>
    <t>E:\CAFNEC_GBRF\2022\BarronRiver\Frames_for_Analysis\3520_C0013_L_0175.jpg</t>
  </si>
  <si>
    <t>E:\CAFNEC_GBRF\2022\BarronRiver\Frames_for_Analysis\3521_C0013_L_0179.jpg</t>
  </si>
  <si>
    <t>E:\CAFNEC_GBRF\2022\BarronRiver\Frames_for_Analysis\3522_C0013_L_0182.jpg</t>
  </si>
  <si>
    <t>E:\CAFNEC_GBRF\2022\BarronRiver\Frames_for_Analysis\3523_C0013_L_0184.jpg</t>
  </si>
  <si>
    <t>E:\CAFNEC_GBRF\2022\BarronRiver\Frames_for_Analysis\3524_C0013_L_0187.jpg</t>
  </si>
  <si>
    <t>E:\CAFNEC_GBRF\2022\BarronRiver\Frames_for_Analysis\3525_C0013_L_0189.jpg</t>
  </si>
  <si>
    <t>E:\CAFNEC_GBRF\2022\BarronRiver\Frames_for_Analysis\3526_C0013_L_0191.jpg</t>
  </si>
  <si>
    <t>E:\CAFNEC_GBRF\2022\BarronRiver\Frames_for_Analysis\3527_C0013_L_0193.jpg</t>
  </si>
  <si>
    <t>E:\CAFNEC_GBRF\2022\BarronRiver\Frames_for_Analysis\3528_C0013_L_0196.jpg</t>
  </si>
  <si>
    <t>E:\CAFNEC_GBRF\2022\BarronRiver\Frames_for_Analysis\3529_C0013_L_0199.jpg</t>
  </si>
  <si>
    <t>E:\CAFNEC_GBRF\2022\BarronRiver\Frames_for_Analysis\3530_C0013_L_0201.jpg</t>
  </si>
  <si>
    <t>E:\CAFNEC_GBRF\2022\BarronRiver\Frames_for_Analysis\3531_C0013_L_0203.jpg</t>
  </si>
  <si>
    <t>E:\CAFNEC_GBRF\2022\BarronRiver\Frames_for_Analysis\3532_C0013_L_0205.jpg</t>
  </si>
  <si>
    <t>E:\CAFNEC_GBRF\2022\BarronRiver\Frames_for_Analysis\3533_C0013_L_0208.jpg</t>
  </si>
  <si>
    <t>E:\CAFNEC_GBRF\2022\BarronRiver\Frames_for_Analysis\3534_C0013_L_0211.jpg</t>
  </si>
  <si>
    <t>E:\CAFNEC_GBRF\2022\BarronRiver\Frames_for_Analysis\3535_C0013_L_0214.jpg</t>
  </si>
  <si>
    <t>E:\CAFNEC_GBRF\2022\BarronRiver\Frames_for_Analysis\3536_C0013_L_0216.jpg</t>
  </si>
  <si>
    <t>E:\CAFNEC_GBRF\2022\BarronRiver\Frames_for_Analysis\3537_C0013_L_0219.jpg</t>
  </si>
  <si>
    <t>E:\CAFNEC_GBRF\2022\BarronRiver\Frames_for_Analysis\3538_C0013_L_0221.jpg</t>
  </si>
  <si>
    <t>E:\CAFNEC_GBRF\2022\BarronRiver\Frames_for_Analysis\3539_C0013_L_0223.jpg</t>
  </si>
  <si>
    <t>E:\CAFNEC_GBRF\2022\BarronRiver\Frames_for_Analysis\3540_C0013_L_0227.jpg</t>
  </si>
  <si>
    <t>E:\CAFNEC_GBRF\2022\BarronRiver\Frames_for_Analysis\3541_C0013_L_0229.jpg</t>
  </si>
  <si>
    <t>E:\CAFNEC_GBRF\2022\BarronRiver\Frames_for_Analysis\3542_C0013_L_0231.jpg</t>
  </si>
  <si>
    <t>E:\CAFNEC_GBRF\2022\BarronRiver\Frames_for_Analysis\3543_C0013_L_0234.jpg</t>
  </si>
  <si>
    <t>E:\CAFNEC_GBRF\2022\BarronRiver\Frames_for_Analysis\3544_C0013_L_0236.jpg</t>
  </si>
  <si>
    <t>E:\CAFNEC_GBRF\2022\BarronRiver\Frames_for_Analysis\3545_C0013_L_0239.jpg</t>
  </si>
  <si>
    <t>E:\CAFNEC_GBRF\2022\BarronRiver\Frames_for_Analysis\3546_C0013_L_0242.jpg</t>
  </si>
  <si>
    <t>E:\CAFNEC_GBRF\2022\BarronRiver\Frames_for_Analysis\3547_C0013_L_0245.jpg</t>
  </si>
  <si>
    <t>E:\CAFNEC_GBRF\2022\BarronRiver\Frames_for_Analysis\3548_C0013_L_0247.jpg</t>
  </si>
  <si>
    <t>E:\CAFNEC_GBRF\2022\BarronRiver\Frames_for_Analysis\3549_C0013_L_0249.jpg</t>
  </si>
  <si>
    <t>E:\CAFNEC_GBRF\2022\BarronRiver\Frames_for_Analysis\3550_C0013_L_0252.jpg</t>
  </si>
  <si>
    <t>E:\CAFNEC_GBRF\2022\BarronRiver\Frames_for_Analysis\3551_C0013_L_0255.jpg</t>
  </si>
  <si>
    <t>E:\CAFNEC_GBRF\2022\BarronRiver\Frames_for_Analysis\3552_C0013_L_0257.jpg</t>
  </si>
  <si>
    <t>E:\CAFNEC_GBRF\2022\BarronRiver\Frames_for_Analysis\3553_C0013_L_0259.jpg</t>
  </si>
  <si>
    <t>E:\CAFNEC_GBRF\2022\BarronRiver\Frames_for_Analysis\3554_C0013_L_0262.jpg</t>
  </si>
  <si>
    <t>E:\CAFNEC_GBRF\2022\BarronRiver\Frames_for_Analysis\3555_C0013_L_0263.jpg</t>
  </si>
  <si>
    <t>E:\CAFNEC_GBRF\2022\BarronRiver\Frames_for_Analysis\3556_C0013_L_0267.jpg</t>
  </si>
  <si>
    <t>E:\CAFNEC_GBRF\2022\BarronRiver\Frames_for_Analysis\3557_C0013_L_0272.jpg</t>
  </si>
  <si>
    <t>E:\CAFNEC_GBRF\2022\BarronRiver\Frames_for_Analysis\3558_C0013_L_0275.jpg</t>
  </si>
  <si>
    <t>E:\CAFNEC_GBRF\2022\BarronRiver\Frames_for_Analysis\3559_C0013_L_0278.jpg</t>
  </si>
  <si>
    <t>E:\CAFNEC_GBRF\2022\BarronRiver\Frames_for_Analysis\3560_C0013_L_0281.jpg</t>
  </si>
  <si>
    <t>E:\CAFNEC_GBRF\2022\BarronRiver\Frames_for_Analysis\3561_C0040_R_0505.jpg</t>
  </si>
  <si>
    <t>E:\CAFNEC_GBRF\2022\BarronRiver\Frames_for_Analysis\3562_C0040_R_0503.jpg</t>
  </si>
  <si>
    <t>E:\CAFNEC_GBRF\2022\BarronRiver\Frames_for_Analysis\3563_C0040_R_0500.jpg</t>
  </si>
  <si>
    <t>E:\CAFNEC_GBRF\2022\BarronRiver\Frames_for_Analysis\3564_C0040_R_0497.jpg</t>
  </si>
  <si>
    <t>E:\CAFNEC_GBRF\2022\BarronRiver\Frames_for_Analysis\3565_C0040_R_0494.jpg</t>
  </si>
  <si>
    <t>E:\CAFNEC_GBRF\2022\BarronRiver\Frames_for_Analysis\3566_C0013_L_0300.jpg</t>
  </si>
  <si>
    <t>E:\CAFNEC_GBRF\2022\BarronRiver\Frames_for_Analysis\3567_C0040_R_0489.jpg</t>
  </si>
  <si>
    <t>E:\CAFNEC_GBRF\2022\BarronRiver\Frames_for_Analysis\3568_C0013_L_0305.jpg</t>
  </si>
  <si>
    <t>E:\CAFNEC_GBRF\2022\BarronRiver\Frames_for_Analysis\3569_C0040_R_0484.jpg</t>
  </si>
  <si>
    <t>E:\CAFNEC_GBRF\2022\BarronRiver\Frames_for_Analysis\3570_C0013_L_0309.jpg</t>
  </si>
  <si>
    <t>E:\CAFNEC_GBRF\2022\BarronRiver\Frames_for_Analysis\3571_C0040_R_0479.jpg</t>
  </si>
  <si>
    <t>E:\CAFNEC_GBRF\2022\BarronRiver\Frames_for_Analysis\3572_C0013_L_0315.jpg</t>
  </si>
  <si>
    <t>E:\CAFNEC_GBRF\2022\BarronRiver\Frames_for_Analysis\3573_C0013_L_0319.jpg</t>
  </si>
  <si>
    <t>E:\CAFNEC_GBRF\2022\BarronRiver\Frames_for_Analysis\3574_C0040_R_0469.jpg</t>
  </si>
  <si>
    <t>E:\CAFNEC_GBRF\2022\BarronRiver\Frames_for_Analysis\3575_C0013_L_0325.jpg</t>
  </si>
  <si>
    <t>E:\CAFNEC_GBRF\2022\BarronRiver\Frames_for_Analysis\3576_C0013_L_0329.jpg</t>
  </si>
  <si>
    <t>E:\CAFNEC_GBRF\2022\BarronRiver\Frames_for_Analysis\3577_C0013_L_0332.jpg</t>
  </si>
  <si>
    <t>E:\CAFNEC_GBRF\2022\BarronRiver\Frames_for_Analysis\3578_C0013_L_0336.jpg</t>
  </si>
  <si>
    <t>E:\CAFNEC_GBRF\2022\BarronRiver\Frames_for_Analysis\3579_C0040_R_0454.jpg</t>
  </si>
  <si>
    <t>E:\CAFNEC_GBRF\2022\BarronRiver\Frames_for_Analysis\3580_C0040_R_0451.jpg</t>
  </si>
  <si>
    <t>E:\CAFNEC_GBRF\2022\BarronRiver\Frames_for_Analysis\3581_C0040_R_0448.jpg</t>
  </si>
  <si>
    <t>E:\CAFNEC_GBRF\2022\BarronRiver\Frames_for_Analysis\3582_C0013_L_0346.jpg</t>
  </si>
  <si>
    <t>E:\CAFNEC_GBRF\2022\BarronRiver\Frames_for_Analysis\3583_C0013_L_0350.jpg</t>
  </si>
  <si>
    <t>E:\CAFNEC_GBRF\2022\BarronRiver\Frames_for_Analysis\3584_C0013_L_0352.jpg</t>
  </si>
  <si>
    <t>E:\CAFNEC_GBRF\2022\BarronRiver\Frames_for_Analysis\3585_C0040_R_0436.jpg</t>
  </si>
  <si>
    <t>E:\CAFNEC_GBRF\2022\BarronRiver\Frames_for_Analysis\3586_C0013_L_0359.jpg</t>
  </si>
  <si>
    <t>E:\CAFNEC_GBRF\2022\BarronRiver\Frames_for_Analysis\3587_C0040_R_0428.jpg</t>
  </si>
  <si>
    <t>E:\CAFNEC_GBRF\2022\BarronRiver\Frames_for_Analysis\3588_C0013_L_0368.jpg</t>
  </si>
  <si>
    <t>E:\CAFNEC_GBRF\2022\BarronRiver\Frames_for_Analysis\3589_C0013_L_0372.jpg</t>
  </si>
  <si>
    <t>E:\CAFNEC_GBRF\2022\BarronRiver\Frames_for_Analysis\3590_C0040_R_0419.jpg</t>
  </si>
  <si>
    <t>E:\CAFNEC_GBRF\2022\BarronRiver\Frames_for_Analysis\3591_C0013_L_0377.jpg</t>
  </si>
  <si>
    <t>E:\CAFNEC_GBRF\2022\BarronRiver\Frames_for_Analysis\3592_C0040_R_0413.jpg</t>
  </si>
  <si>
    <t>E:\CAFNEC_GBRF\2022\BarronRiver\Frames_for_Analysis\3593_C0040_R_0409.jpg</t>
  </si>
  <si>
    <t>E:\CAFNEC_GBRF\2022\BarronRiver\Frames_for_Analysis\3594_C0040_R_0406.jpg</t>
  </si>
  <si>
    <t>E:\CAFNEC_GBRF\2022\BarronRiver\Frames_for_Analysis\3595_C0040_R_0402.jpg</t>
  </si>
  <si>
    <t>E:\CAFNEC_GBRF\2022\BarronRiver\Frames_for_Analysis\3596_C0013_L_0400.jpg</t>
  </si>
  <si>
    <t>E:\CAFNEC_GBRF\2022\BarronRiver\Frames_for_Analysis\3597_C0040_R_0396.jpg</t>
  </si>
  <si>
    <t>E:\CAFNEC_GBRF\2022\BarronRiver\Frames_for_Analysis\3598_C0013_L_0408.jpg</t>
  </si>
  <si>
    <t>E:\CAFNEC_GBRF\2022\BarronRiver\Frames_for_Analysis\3599_C0013_L_0411.jpg</t>
  </si>
  <si>
    <t>E:\CAFNEC_GBRF\2022\BarronRiver\Frames_for_Analysis\3600_C0013_L_0414.jpg</t>
  </si>
  <si>
    <t>E:\CAFNEC_GBRF\2022\BarronRiver\Frames_for_Analysis\3601_C0040_R_0382.jpg</t>
  </si>
  <si>
    <t>E:\CAFNEC_GBRF\2022\BarronRiver\Frames_for_Analysis\3602_C0013_L_0418.jpg</t>
  </si>
  <si>
    <t>E:\CAFNEC_GBRF\2022\BarronRiver\Frames_for_Analysis\3603_C0040_R_0377.jpg</t>
  </si>
  <si>
    <t>E:\CAFNEC_GBRF\2022\BarronRiver\Frames_for_Analysis\3604_C0013_L_0427.jpg</t>
  </si>
  <si>
    <t>E:\CAFNEC_GBRF\2022\BarronRiver\Frames_for_Analysis\3605_C0040_R_0368.jpg</t>
  </si>
  <si>
    <t>E:\CAFNEC_GBRF\2022\BarronRiver\Frames_for_Analysis\3606_C0040_R_0363.jpg</t>
  </si>
  <si>
    <t>E:\CAFNEC_GBRF\2022\BarronRiver\Frames_for_Analysis\3607_C0040_R_0360.jpg</t>
  </si>
  <si>
    <t>E:\CAFNEC_GBRF\2022\BarronRiver\Frames_for_Analysis\3608_C0013_L_0445.jpg</t>
  </si>
  <si>
    <t>E:\CAFNEC_GBRF\2022\BarronRiver\Frames_for_Analysis\3609_C0040_R_0354.jpg</t>
  </si>
  <si>
    <t>E:\CAFNEC_GBRF\2022\BarronRiver\Frames_for_Analysis\3610_C0040_R_0351.jpg</t>
  </si>
  <si>
    <t>E:\CAFNEC_GBRF\2022\BarronRiver\Frames_for_Analysis\3611_C0013_L_0455.jpg</t>
  </si>
  <si>
    <t>E:\CAFNEC_GBRF\2022\BarronRiver\Frames_for_Analysis\3612_C0040_R_0345.jpg</t>
  </si>
  <si>
    <t>E:\CAFNEC_GBRF\2022\BarronRiver\Frames_for_Analysis\3613_C0040_R_0342.jpg</t>
  </si>
  <si>
    <t>E:\CAFNEC_GBRF\2022\BarronRiver\Frames_for_Analysis\3614_C0013_L_0463.jpg</t>
  </si>
  <si>
    <t>E:\CAFNEC_GBRF\2022\BarronRiver\Frames_for_Analysis\3615_C0013_L_0467.jpg</t>
  </si>
  <si>
    <t>E:\CAFNEC_GBRF\2022\BarronRiver\Frames_for_Analysis\3616_C0040_R_0334.jpg</t>
  </si>
  <si>
    <t>E:\CAFNEC_GBRF\2022\BarronRiver\Frames_for_Analysis\3617_C0013_L_0472.jpg</t>
  </si>
  <si>
    <t>E:\CAFNEC_GBRF\2022\BarronRiver\Frames_for_Analysis\3618_C0040_R_0328.jpg</t>
  </si>
  <si>
    <t>E:\CAFNEC_GBRF\2022\BarronRiver\Frames_for_Analysis\3619_C0040_R_0326.jpg</t>
  </si>
  <si>
    <t>E:\CAFNEC_GBRF\2022\BarronRiver\Frames_for_Analysis\3620_C0013_L_0481.jpg</t>
  </si>
  <si>
    <t>E:\CAFNEC_GBRF\2022\BarronRiver\Frames_for_Analysis\3621_C0040_R_0321.jpg</t>
  </si>
  <si>
    <t>E:\CAFNEC_GBRF\2022\BarronRiver\Frames_for_Analysis\3622_C0013_L_0486.jpg</t>
  </si>
  <si>
    <t>E:\CAFNEC_GBRF\2022\BarronRiver\Frames_for_Analysis\3623_C0040_R_0316.jpg</t>
  </si>
  <si>
    <t>E:\CAFNEC_GBRF\2022\BarronRiver\Frames_for_Analysis\3624_C0040_R_0314.jpg</t>
  </si>
  <si>
    <t>E:\CAFNEC_GBRF\2022\BarronRiver\Frames_for_Analysis\3625_C0013_L_0495.jpg</t>
  </si>
  <si>
    <t>E:\CAFNEC_GBRF\2022\BarronRiver\Frames_for_Analysis\3626_C0013_L_0497.jpg</t>
  </si>
  <si>
    <t>E:\CAFNEC_GBRF\2022\BarronRiver\Frames_for_Analysis\3627_C0040_R_0306.jpg</t>
  </si>
  <si>
    <t>E:\CAFNEC_GBRF\2022\BarronRiver\Frames_for_Analysis\3628_C0040_R_0303.jpg</t>
  </si>
  <si>
    <t>E:\CAFNEC_GBRF\2022\BarronRiver\Frames_for_Analysis\3629_C0040_R_0301.jpg</t>
  </si>
  <si>
    <t>E:\CAFNEC_GBRF\2022\BarronRiver\Frames_for_Analysis\3630_C0040_R_0298.jpg</t>
  </si>
  <si>
    <t>E:\CAFNEC_GBRF\2022\BarronRiver\Frames_for_Analysis\3631_C0040_R_0296.jpg</t>
  </si>
  <si>
    <t>E:\CAFNEC_GBRF\2022\BarronRiver\Frames_for_Analysis\3632_C0040_R_0293.jpg</t>
  </si>
  <si>
    <t>E:\CAFNEC_GBRF\2022\BarronRiver\Frames_for_Analysis\3633_C0040_R_0291.jpg</t>
  </si>
  <si>
    <t>E:\CAFNEC_GBRF\2022\BarronRiver\Frames_for_Analysis\3634_C0040_R_0288.jpg</t>
  </si>
  <si>
    <t>E:\CAFNEC_GBRF\2022\BarronRiver\Frames_for_Analysis\3635_C0040_R_0286.jpg</t>
  </si>
  <si>
    <t>E:\CAFNEC_GBRF\2022\BarronRiver\Frames_for_Analysis\3636_C0040_R_0284.jpg</t>
  </si>
  <si>
    <t>E:\CAFNEC_GBRF\2022\BarronRiver\Frames_for_Analysis\3637_C0040_R_0281.jpg</t>
  </si>
  <si>
    <t>E:\CAFNEC_GBRF\2022\BarronRiver\Frames_for_Analysis\3638_C0040_R_0279.jpg</t>
  </si>
  <si>
    <t>E:\CAFNEC_GBRF\2022\BarronRiver\Frames_for_Analysis\3639_C0040_R_0276.jpg</t>
  </si>
  <si>
    <t>E:\CAFNEC_GBRF\2022\BarronRiver\Frames_for_Analysis\3640_C0040_R_0273.jpg</t>
  </si>
  <si>
    <t>E:\CAFNEC_GBRF\2022\BarronRiver\Frames_for_Analysis\3641_C0040_R_0271.jpg</t>
  </si>
  <si>
    <t>E:\CAFNEC_GBRF\2022\BarronRiver\Frames_for_Analysis\3642_C0040_R_0268.jpg</t>
  </si>
  <si>
    <t>E:\CAFNEC_GBRF\2022\BarronRiver\Frames_for_Analysis\3643_C0040_R_0266.jpg</t>
  </si>
  <si>
    <t>E:\CAFNEC_GBRF\2022\BarronRiver\Frames_for_Analysis\3644_C0040_R_0263.jpg</t>
  </si>
  <si>
    <t>E:\CAFNEC_GBRF\2022\BarronRiver\Frames_for_Analysis\3645_C0040_R_0261.jpg</t>
  </si>
  <si>
    <t>E:\CAFNEC_GBRF\2022\BarronRiver\Frames_for_Analysis\3646_C0040_R_0258.jpg</t>
  </si>
  <si>
    <t>E:\CAFNEC_GBRF\2022\BarronRiver\Frames_for_Analysis\3647_C0040_R_0256.jpg</t>
  </si>
  <si>
    <t>E:\CAFNEC_GBRF\2022\BarronRiver\Frames_for_Analysis\3648_C0040_R_0254.jpg</t>
  </si>
  <si>
    <t>E:\CAFNEC_GBRF\2022\BarronRiver\Frames_for_Analysis\3649_C0040_R_0251.jpg</t>
  </si>
  <si>
    <t>E:\CAFNEC_GBRF\2022\BarronRiver\Frames_for_Analysis\3650_C0040_R_0248.jpg</t>
  </si>
  <si>
    <t>E:\CAFNEC_GBRF\2022\BarronRiver\Frames_for_Analysis\3651_C0040_R_0246.jpg</t>
  </si>
  <si>
    <t>E:\CAFNEC_GBRF\2022\BarronRiver\Frames_for_Analysis\3652_C0040_R_0243.jpg</t>
  </si>
  <si>
    <t>E:\CAFNEC_GBRF\2022\BarronRiver\Frames_for_Analysis\3653_C0040_R_0240.jpg</t>
  </si>
  <si>
    <t>E:\CAFNEC_GBRF\2022\BarronRiver\Frames_for_Analysis\3654_C0040_R_0238.jpg</t>
  </si>
  <si>
    <t>E:\CAFNEC_GBRF\2022\BarronRiver\Frames_for_Analysis\3655_C0040_R_0235.jpg</t>
  </si>
  <si>
    <t>E:\CAFNEC_GBRF\2022\BarronRiver\Frames_for_Analysis\3656_C0040_R_0232.jpg</t>
  </si>
  <si>
    <t>E:\CAFNEC_GBRF\2022\BarronRiver\Frames_for_Analysis\3657_C0040_R_0230.jpg</t>
  </si>
  <si>
    <t>E:\CAFNEC_GBRF\2022\BarronRiver\Frames_for_Analysis\3658_C0040_R_0227.jpg</t>
  </si>
  <si>
    <t>E:\CAFNEC_GBRF\2022\BarronRiver\Frames_for_Analysis\3659_C0040_R_0224.jpg</t>
  </si>
  <si>
    <t>E:\CAFNEC_GBRF\2022\BarronRiver\Frames_for_Analysis\3660_C0040_R_0221.jpg</t>
  </si>
  <si>
    <t>E:\CAFNEC_GBRF\2022\BarronRiver\Frames_for_Analysis\3661_C0040_R_0219.jpg</t>
  </si>
  <si>
    <t>E:\CAFNEC_GBRF\2022\BarronRiver\Frames_for_Analysis\3662_C0040_R_0216.jpg</t>
  </si>
  <si>
    <t>E:\CAFNEC_GBRF\2022\BarronRiver\Frames_for_Analysis\3663_C0040_R_0213.jpg</t>
  </si>
  <si>
    <t>E:\CAFNEC_GBRF\2022\BarronRiver\Frames_for_Analysis\3664_C0040_R_0211.jpg</t>
  </si>
  <si>
    <t>E:\CAFNEC_GBRF\2022\BarronRiver\Frames_for_Analysis\3665_C0040_R_0208.jpg</t>
  </si>
  <si>
    <t>E:\CAFNEC_GBRF\2022\BarronRiver\Frames_for_Analysis\3666_C0040_R_0204.jpg</t>
  </si>
  <si>
    <t>E:\CAFNEC_GBRF\2022\BarronRiver\Frames_for_Analysis\3667_C0040_R_0202.jpg</t>
  </si>
  <si>
    <t>E:\CAFNEC_GBRF\2022\BarronRiver\Frames_for_Analysis\3668_C0040_R_0199.jpg</t>
  </si>
  <si>
    <t>E:\CAFNEC_GBRF\2022\BarronRiver\Frames_for_Analysis\3669_C0040_R_0197.jpg</t>
  </si>
  <si>
    <t>E:\CAFNEC_GBRF\2022\BarronRiver\Frames_for_Analysis\3670_C0040_R_0194.jpg</t>
  </si>
  <si>
    <t>E:\CAFNEC_GBRF\2022\BarronRiver\Frames_for_Analysis\3671_C0040_R_0192.jpg</t>
  </si>
  <si>
    <t>E:\CAFNEC_GBRF\2022\BarronRiver\Frames_for_Analysis\3672_C0040_R_0189.jpg</t>
  </si>
  <si>
    <t>E:\CAFNEC_GBRF\2022\BarronRiver\Frames_for_Analysis\3673_C0040_R_0186.jpg</t>
  </si>
  <si>
    <t>E:\CAFNEC_GBRF\2022\BarronRiver\Frames_for_Analysis\3674_C0040_R_0182.jpg</t>
  </si>
  <si>
    <t>E:\CAFNEC_GBRF\2022\BarronRiver\Frames_for_Analysis\3675_C0040_R_0179.jpg</t>
  </si>
  <si>
    <t>E:\CAFNEC_GBRF\2022\BarronRiver\Frames_for_Analysis\3676_C0040_R_0176.jpg</t>
  </si>
  <si>
    <t>E:\CAFNEC_GBRF\2022\BarronRiver\Frames_for_Analysis\3677_C0040_R_0173.jpg</t>
  </si>
  <si>
    <t>E:\CAFNEC_GBRF\2022\BarronRiver\Frames_for_Analysis\3678_C0040_R_0170.jpg</t>
  </si>
  <si>
    <t>E:\CAFNEC_GBRF\2022\BarronRiver\Frames_for_Analysis\3679_C0040_R_0168.jpg</t>
  </si>
  <si>
    <t>E:\CAFNEC_GBRF\2022\BarronRiver\Frames_for_Analysis\3680_C0040_R_0165.jpg</t>
  </si>
  <si>
    <t>E:\CAFNEC_GBRF\2022\BarronRiver\Frames_for_Analysis\3681_C0040_R_0162.jpg</t>
  </si>
  <si>
    <t>E:\CAFNEC_GBRF\2022\BarronRiver\Frames_for_Analysis\3682_C0040_R_0160.jpg</t>
  </si>
  <si>
    <t>E:\CAFNEC_GBRF\2022\BarronRiver\Frames_for_Analysis\3683_C0040_R_0157.jpg</t>
  </si>
  <si>
    <t>E:\CAFNEC_GBRF\2022\BarronRiver\Frames_for_Analysis\3684_C0040_R_0154.jpg</t>
  </si>
  <si>
    <t>E:\CAFNEC_GBRF\2022\BarronRiver\Frames_for_Analysis\3685_C0040_R_0151.jpg</t>
  </si>
  <si>
    <t>E:\CAFNEC_GBRF\2022\BarronRiver\Frames_for_Analysis\3686_C0040_R_0148.jpg</t>
  </si>
  <si>
    <t>E:\CAFNEC_GBRF\2022\BarronRiver\Frames_for_Analysis\3687_C0040_R_0146.jpg</t>
  </si>
  <si>
    <t>E:\CAFNEC_GBRF\2022\BarronRiver\Frames_for_Analysis\3688_C0040_R_0143.jpg</t>
  </si>
  <si>
    <t>E:\CAFNEC_GBRF\2022\BarronRiver\Frames_for_Analysis\3689_C0040_R_0139.jpg</t>
  </si>
  <si>
    <t>E:\CAFNEC_GBRF\2022\BarronRiver\Frames_for_Analysis\3690_C0040_R_0136.jpg</t>
  </si>
  <si>
    <t>E:\CAFNEC_GBRF\2022\BarronRiver\Frames_for_Analysis\3691_C0040_R_0133.jpg</t>
  </si>
  <si>
    <t>E:\CAFNEC_GBRF\2022\BarronRiver\Frames_for_Analysis\3692_C0040_R_0130.jpg</t>
  </si>
  <si>
    <t>E:\CAFNEC_GBRF\2022\BarronRiver\Frames_for_Analysis\3693_C0040_R_0128.jpg</t>
  </si>
  <si>
    <t>E:\CAFNEC_GBRF\2022\BarronRiver\Frames_for_Analysis\3694_C0040_R_0125.jpg</t>
  </si>
  <si>
    <t>E:\CAFNEC_GBRF\2022\BarronRiver\Frames_for_Analysis\3695_C0040_R_0122.jpg</t>
  </si>
  <si>
    <t>E:\CAFNEC_GBRF\2022\BarronRiver\Frames_for_Analysis\3696_C0040_R_0120.jpg</t>
  </si>
  <si>
    <t>E:\CAFNEC_GBRF\2022\BarronRiver\Frames_for_Analysis\3697_C0040_R_0117.jpg</t>
  </si>
  <si>
    <t>E:\CAFNEC_GBRF\2022\BarronRiver\Frames_for_Analysis\3698_C0040_R_0113.jpg</t>
  </si>
  <si>
    <t>E:\CAFNEC_GBRF\2022\BarronRiver\Frames_for_Analysis\3699_C0040_R_0110.jpg</t>
  </si>
  <si>
    <t>E:\CAFNEC_GBRF\2022\BarronRiver\Frames_for_Analysis\3700_C0040_R_0107.jpg</t>
  </si>
  <si>
    <t>E:\CAFNEC_GBRF\2022\BarronRiver\Frames_for_Analysis\3701_C0040_R_0104.jpg</t>
  </si>
  <si>
    <t>E:\CAFNEC_GBRF\2022\BarronRiver\Frames_for_Analysis\3702_C0040_R_0102.jpg</t>
  </si>
  <si>
    <t>E:\CAFNEC_GBRF\2022\BarronRiver\Frames_for_Analysis\3703_C0040_R_0099.jpg</t>
  </si>
  <si>
    <t>E:\CAFNEC_GBRF\2022\BarronRiver\Frames_for_Analysis\3704_C0040_R_0096.jpg</t>
  </si>
  <si>
    <t>E:\CAFNEC_GBRF\2022\BarronRiver\Frames_for_Analysis\3705_C0040_R_0093.jpg</t>
  </si>
  <si>
    <t>E:\CAFNEC_GBRF\2022\BarronRiver\Frames_for_Analysis\3706_C0040_R_0090.jpg</t>
  </si>
  <si>
    <t>E:\CAFNEC_GBRF\2022\BarronRiver\Frames_for_Analysis\3707_C0040_R_0087.jpg</t>
  </si>
  <si>
    <t>E:\CAFNEC_GBRF\2022\BarronRiver\Frames_for_Analysis\3708_C0040_R_0084.jpg</t>
  </si>
  <si>
    <t>E:\CAFNEC_GBRF\2022\BarronRiver\Frames_for_Analysis\3709_C0040_R_0081.jpg</t>
  </si>
  <si>
    <t>E:\CAFNEC_GBRF\2022\BarronRiver\Frames_for_Analysis\3710_C0040_R_0078.jpg</t>
  </si>
  <si>
    <t>E:\CAFNEC_GBRF\2022\BarronRiver\Frames_for_Analysis\3711_C0040_R_0075.jpg</t>
  </si>
  <si>
    <t>E:\CAFNEC_GBRF\2022\BarronRiver\Frames_for_Analysis\3712_C0040_R_0072.jpg</t>
  </si>
  <si>
    <t>E:\CAFNEC_GBRF\2022\BarronRiver\Frames_for_Analysis\3713_C0040_R_0069.jpg</t>
  </si>
  <si>
    <t>E:\CAFNEC_GBRF\2022\BarronRiver\Frames_for_Analysis\3714_C0040_R_0065.jpg</t>
  </si>
  <si>
    <t>E:\CAFNEC_GBRF\2022\BarronRiver\Frames_for_Analysis\3715_C0040_R_0063.jpg</t>
  </si>
  <si>
    <t>E:\CAFNEC_GBRF\2022\BarronRiver\Frames_for_Analysis\3716_C0040_R_0059.jpg</t>
  </si>
  <si>
    <t>E:\CAFNEC_GBRF\2022\BarronRiver\Frames_for_Analysis\3717_C0040_R_0056.jpg</t>
  </si>
  <si>
    <t>E:\CAFNEC_GBRF\2022\BarronRiver\Frames_for_Analysis\3718_C0040_R_0053.jpg</t>
  </si>
  <si>
    <t>E:\CAFNEC_GBRF\2022\BarronRiver\Frames_for_Analysis\3719_C0040_R_0049.jpg</t>
  </si>
  <si>
    <t>E:\CAFNEC_GBRF\2022\BarronRiver\Frames_for_Analysis\3720_C0040_R_0044.jpg</t>
  </si>
  <si>
    <t>E:\CAFNEC_GBRF\2022\BarronRiver\Frames_for_Analysis\3721_C0040_R_0040.jpg</t>
  </si>
  <si>
    <t>E:\CAFNEC_GBRF\2022\BarronRiver\Frames_for_Analysis\3722_C0040_R_0036.jpg</t>
  </si>
  <si>
    <t>E:\CAFNEC_GBRF\2022\BarronRiver\Frames_for_Analysis\3723_C0040_R_0032.jpg</t>
  </si>
  <si>
    <t>E:\CAFNEC_GBRF\2022\BarronRiver\Frames_for_Analysis\3724_C0040_R_0028.jpg</t>
  </si>
  <si>
    <t>E:\CAFNEC_GBRF\2022\BarronRiver\Frames_for_Analysis\3725_C0040_R_0022.jpg</t>
  </si>
  <si>
    <t>E:\CAFNEC_GBRF\2022\BarronRiver\Frames_for_Analysis\3726_C0040_R_0016.jpg</t>
  </si>
  <si>
    <t>E:\CAFNEC_GBRF\2022\BarronRiver\Frames_for_Analysis\3731_C0036_R_1_0345.jpg</t>
  </si>
  <si>
    <t>E:\CAFNEC_GBRF\2022\BarronRiver\Frames_for_Analysis\3732_C0036_R_1_0341.jpg</t>
  </si>
  <si>
    <t>E:\CAFNEC_GBRF\2022\BarronRiver\Frames_for_Analysis\3733_C0036_R_1_0334.jpg</t>
  </si>
  <si>
    <t>E:\CAFNEC_GBRF\2022\BarronRiver\Frames_for_Analysis\3734_C0036_R_1_0333.jpg</t>
  </si>
  <si>
    <t>E:\CAFNEC_GBRF\2022\BarronRiver\Frames_for_Analysis\3735_C0036_R_1_0330.jpg</t>
  </si>
  <si>
    <t>E:\CAFNEC_GBRF\2022\BarronRiver\Frames_for_Analysis\3736_C0036_R_1_0322.jpg</t>
  </si>
  <si>
    <t>E:\CAFNEC_GBRF\2022\BarronRiver\Frames_for_Analysis\3737_C0036_R_1_0316.jpg</t>
  </si>
  <si>
    <t>E:\CAFNEC_GBRF\2022\BarronRiver\Frames_for_Analysis\3738_C0036_R_1_0311.jpg</t>
  </si>
  <si>
    <t>E:\CAFNEC_GBRF\2022\BarronRiver\Frames_for_Analysis\3739_C0036_R_1_0308.jpg</t>
  </si>
  <si>
    <t>E:\CAFNEC_GBRF\2022\BarronRiver\Frames_for_Analysis\3740_C0036_R_1_0305.jpg</t>
  </si>
  <si>
    <t>E:\CAFNEC_GBRF\2022\BarronRiver\Frames_for_Analysis\3741_C0036_R_1_0300.jpg</t>
  </si>
  <si>
    <t>E:\CAFNEC_GBRF\2022\BarronRiver\Frames_for_Analysis\3742_C0036_R_1_0297.jpg</t>
  </si>
  <si>
    <t>E:\CAFNEC_GBRF\2022\BarronRiver\Frames_for_Analysis\3743_C0036_R_1_0293.jpg</t>
  </si>
  <si>
    <t>E:\CAFNEC_GBRF\2022\BarronRiver\Frames_for_Analysis\3744_C0036_R_1_0289.jpg</t>
  </si>
  <si>
    <t>E:\CAFNEC_GBRF\2022\BarronRiver\Frames_for_Analysis\3745_C0036_R_1_0287.jpg</t>
  </si>
  <si>
    <t>E:\CAFNEC_GBRF\2022\BarronRiver\Frames_for_Analysis\3746_C0036_R_1_0284.jpg</t>
  </si>
  <si>
    <t>E:\CAFNEC_GBRF\2022\BarronRiver\Frames_for_Analysis\3747_C0036_R_1_0281.jpg</t>
  </si>
  <si>
    <t>E:\CAFNEC_GBRF\2022\BarronRiver\Frames_for_Analysis\3748_C0036_R_1_0278.jpg</t>
  </si>
  <si>
    <t>E:\CAFNEC_GBRF\2022\BarronRiver\Frames_for_Analysis\3749_C0036_R_1_0275.jpg</t>
  </si>
  <si>
    <t>E:\CAFNEC_GBRF\2022\BarronRiver\Frames_for_Analysis\3750_C0036_R_1_0271.jpg</t>
  </si>
  <si>
    <t>E:\CAFNEC_GBRF\2022\BarronRiver\Frames_for_Analysis\3751_C0036_R_1_0268.jpg</t>
  </si>
  <si>
    <t>E:\CAFNEC_GBRF\2022\BarronRiver\Frames_for_Analysis\3752_C0036_R_1_0265.jpg</t>
  </si>
  <si>
    <t>E:\CAFNEC_GBRF\2022\BarronRiver\Frames_for_Analysis\3753_C0036_R_1_0262.jpg</t>
  </si>
  <si>
    <t>E:\CAFNEC_GBRF\2022\BarronRiver\Frames_for_Analysis\3754_C0036_R_1_0259.jpg</t>
  </si>
  <si>
    <t>E:\CAFNEC_GBRF\2022\BarronRiver\Frames_for_Analysis\3755_C0036_R_1_0256.jpg</t>
  </si>
  <si>
    <t>E:\CAFNEC_GBRF\2022\BarronRiver\Frames_for_Analysis\3756_C0036_R_1_0254.jpg</t>
  </si>
  <si>
    <t>E:\CAFNEC_GBRF\2022\BarronRiver\Frames_for_Analysis\3757_C0036_R_1_0250.jpg</t>
  </si>
  <si>
    <t>E:\CAFNEC_GBRF\2022\BarronRiver\Frames_for_Analysis\3758_C0036_R_1_0247.jpg</t>
  </si>
  <si>
    <t>E:\CAFNEC_GBRF\2022\BarronRiver\Frames_for_Analysis\3759_C0036_R_1_0244.jpg</t>
  </si>
  <si>
    <t>E:\CAFNEC_GBRF\2022\BarronRiver\Frames_for_Analysis\3760_C0036_R_1_0241.jpg</t>
  </si>
  <si>
    <t>E:\CAFNEC_GBRF\2022\BarronRiver\Frames_for_Analysis\3761_C0036_R_1_0239.jpg</t>
  </si>
  <si>
    <t>E:\CAFNEC_GBRF\2022\BarronRiver\Frames_for_Analysis\3762_C0036_R_1_0236.jpg</t>
  </si>
  <si>
    <t>E:\CAFNEC_GBRF\2022\BarronRiver\Frames_for_Analysis\3763_C0036_R_1_0233.jpg</t>
  </si>
  <si>
    <t>E:\CAFNEC_GBRF\2022\BarronRiver\Frames_for_Analysis\3764_C0036_R_1_0229.jpg</t>
  </si>
  <si>
    <t>E:\CAFNEC_GBRF\2022\BarronRiver\Frames_for_Analysis\3765_C0036_R_1_0226.jpg</t>
  </si>
  <si>
    <t>E:\CAFNEC_GBRF\2022\BarronRiver\Frames_for_Analysis\3766_C0036_R_1_0223.jpg</t>
  </si>
  <si>
    <t>E:\CAFNEC_GBRF\2022\BarronRiver\Frames_for_Analysis\3767_C0036_R_1_0220.jpg</t>
  </si>
  <si>
    <t>E:\CAFNEC_GBRF\2022\BarronRiver\Frames_for_Analysis\3768_C0036_R_1_0217.jpg</t>
  </si>
  <si>
    <t>E:\CAFNEC_GBRF\2022\BarronRiver\Frames_for_Analysis\3769_C0036_R_1_0214.jpg</t>
  </si>
  <si>
    <t>E:\CAFNEC_GBRF\2022\BarronRiver\Frames_for_Analysis\3770_C0036_R_1_0211.jpg</t>
  </si>
  <si>
    <t>E:\CAFNEC_GBRF\2022\BarronRiver\Frames_for_Analysis\3771_C0036_R_1_0208.jpg</t>
  </si>
  <si>
    <t>E:\CAFNEC_GBRF\2022\BarronRiver\Frames_for_Analysis\3772_C0036_R_1_0205.jpg</t>
  </si>
  <si>
    <t>E:\CAFNEC_GBRF\2022\BarronRiver\Frames_for_Analysis\3773_C0036_R_1_0202.jpg</t>
  </si>
  <si>
    <t>E:\CAFNEC_GBRF\2022\BarronRiver\Frames_for_Analysis\3774_C0036_R_1_0198.jpg</t>
  </si>
  <si>
    <t>E:\CAFNEC_GBRF\2022\BarronRiver\Frames_for_Analysis\3775_C0036_R_1_0195.jpg</t>
  </si>
  <si>
    <t>E:\CAFNEC_GBRF\2022\BarronRiver\Frames_for_Analysis\3776_C0036_R_1_0192.jpg</t>
  </si>
  <si>
    <t>E:\CAFNEC_GBRF\2022\BarronRiver\Frames_for_Analysis\3777_C0036_R_1_0189.jpg</t>
  </si>
  <si>
    <t>E:\CAFNEC_GBRF\2022\BarronRiver\Frames_for_Analysis\3778_C0036_R_1_0186.jpg</t>
  </si>
  <si>
    <t>E:\CAFNEC_GBRF\2022\BarronRiver\Frames_for_Analysis\3779_C0036_R_1_0183.jpg</t>
  </si>
  <si>
    <t>E:\CAFNEC_GBRF\2022\BarronRiver\Frames_for_Analysis\3780_C0036_R_1_0179.jpg</t>
  </si>
  <si>
    <t>E:\CAFNEC_GBRF\2022\BarronRiver\Frames_for_Analysis\3781_C0036_R_1_0176.jpg</t>
  </si>
  <si>
    <t>E:\CAFNEC_GBRF\2022\BarronRiver\Frames_for_Analysis\3782_C0036_R_1_0173.jpg</t>
  </si>
  <si>
    <t>E:\CAFNEC_GBRF\2022\BarronRiver\Frames_for_Analysis\3783_C0036_R_1_0169.jpg</t>
  </si>
  <si>
    <t>E:\CAFNEC_GBRF\2022\BarronRiver\Frames_for_Analysis\3784_C0036_R_1_0166.jpg</t>
  </si>
  <si>
    <t>E:\CAFNEC_GBRF\2022\BarronRiver\Frames_for_Analysis\3785_C0036_R_1_0163.jpg</t>
  </si>
  <si>
    <t>E:\CAFNEC_GBRF\2022\BarronRiver\Frames_for_Analysis\3786_C0036_R_1_0160.jpg</t>
  </si>
  <si>
    <t>E:\CAFNEC_GBRF\2022\BarronRiver\Frames_for_Analysis\3787_C0036_R_1_0157.jpg</t>
  </si>
  <si>
    <t>E:\CAFNEC_GBRF\2022\BarronRiver\Frames_for_Analysis\3788_C0036_R_1_0154.jpg</t>
  </si>
  <si>
    <t>E:\CAFNEC_GBRF\2022\BarronRiver\Frames_for_Analysis\3789_C0036_R_1_0151.jpg</t>
  </si>
  <si>
    <t>E:\CAFNEC_GBRF\2022\BarronRiver\Frames_for_Analysis\3790_C0036_R_1_0147.jpg</t>
  </si>
  <si>
    <t>E:\CAFNEC_GBRF\2022\BarronRiver\Frames_for_Analysis\3791_C0036_R_1_0144.jpg</t>
  </si>
  <si>
    <t>E:\CAFNEC_GBRF\2022\BarronRiver\Frames_for_Analysis\3792_C0036_R_1_0140.jpg</t>
  </si>
  <si>
    <t>E:\CAFNEC_GBRF\2022\BarronRiver\Frames_for_Analysis\3793_C0036_R_1_0137.jpg</t>
  </si>
  <si>
    <t>E:\CAFNEC_GBRF\2022\BarronRiver\Frames_for_Analysis\3794_C0036_R_1_0134.jpg</t>
  </si>
  <si>
    <t>E:\CAFNEC_GBRF\2022\BarronRiver\Frames_for_Analysis\3795_C0036_R_1_0130.jpg</t>
  </si>
  <si>
    <t>E:\CAFNEC_GBRF\2022\BarronRiver\Frames_for_Analysis\3796_C0036_R_1_0126.jpg</t>
  </si>
  <si>
    <t>E:\CAFNEC_GBRF\2022\BarronRiver\Frames_for_Analysis\3797_C0036_R_1_0123.jpg</t>
  </si>
  <si>
    <t>E:\CAFNEC_GBRF\2022\BarronRiver\Frames_for_Analysis\3798_C0036_R_1_0120.jpg</t>
  </si>
  <si>
    <t>E:\CAFNEC_GBRF\2022\BarronRiver\Frames_for_Analysis\3799_C0036_R_1_0117.jpg</t>
  </si>
  <si>
    <t>E:\CAFNEC_GBRF\2022\BarronRiver\Frames_for_Analysis\3800_C0036_R_1_0113.jpg</t>
  </si>
  <si>
    <t>E:\CAFNEC_GBRF\2022\BarronRiver\Frames_for_Analysis\3801_C0036_R_1_0109.jpg</t>
  </si>
  <si>
    <t>E:\CAFNEC_GBRF\2022\BarronRiver\Frames_for_Analysis\3802_C0036_R_1_0106.jpg</t>
  </si>
  <si>
    <t>E:\CAFNEC_GBRF\2022\BarronRiver\Frames_for_Analysis\3803_C0036_R_1_0102.jpg</t>
  </si>
  <si>
    <t>E:\CAFNEC_GBRF\2022\BarronRiver\Frames_for_Analysis\3804_C0036_R_1_0099.jpg</t>
  </si>
  <si>
    <t>E:\CAFNEC_GBRF\2022\BarronRiver\Frames_for_Analysis\3805_C0036_R_1_0096.jpg</t>
  </si>
  <si>
    <t>E:\CAFNEC_GBRF\2022\BarronRiver\Frames_for_Analysis\3806_C0036_R_1_0093.jpg</t>
  </si>
  <si>
    <t>E:\CAFNEC_GBRF\2022\BarronRiver\Frames_for_Analysis\3807_C0036_R_1_0090.jpg</t>
  </si>
  <si>
    <t>E:\CAFNEC_GBRF\2022\BarronRiver\Frames_for_Analysis\3808_C0036_R_1_0087.jpg</t>
  </si>
  <si>
    <t>E:\CAFNEC_GBRF\2022\BarronRiver\Frames_for_Analysis\3809_C0036_R_1_0084.jpg</t>
  </si>
  <si>
    <t>E:\CAFNEC_GBRF\2022\BarronRiver\Frames_for_Analysis\3810_C0036_R_1_0081.jpg</t>
  </si>
  <si>
    <t>E:\CAFNEC_GBRF\2022\BarronRiver\Frames_for_Analysis\3811_C0036_R_1_0079.jpg</t>
  </si>
  <si>
    <t>E:\CAFNEC_GBRF\2022\BarronRiver\Frames_for_Analysis\3812_C0036_R_1_0076.jpg</t>
  </si>
  <si>
    <t>E:\CAFNEC_GBRF\2022\BarronRiver\Frames_for_Analysis\3813_C0036_R_1_0073.jpg</t>
  </si>
  <si>
    <t>E:\CAFNEC_GBRF\2022\BarronRiver\Frames_for_Analysis\3814_C0036_R_1_0070.jpg</t>
  </si>
  <si>
    <t>E:\CAFNEC_GBRF\2022\BarronRiver\Frames_for_Analysis\3815_C0036_R_1_0067.jpg</t>
  </si>
  <si>
    <t>E:\CAFNEC_GBRF\2022\BarronRiver\Frames_for_Analysis\3816_C0036_R_1_0064.jpg</t>
  </si>
  <si>
    <t>E:\CAFNEC_GBRF\2022\BarronRiver\Frames_for_Analysis\3817_C0036_R_1_0061.jpg</t>
  </si>
  <si>
    <t>E:\CAFNEC_GBRF\2022\BarronRiver\Frames_for_Analysis\3818_C0036_R_1_0058.jpg</t>
  </si>
  <si>
    <t>E:\CAFNEC_GBRF\2022\BarronRiver\Frames_for_Analysis\3819_C0036_R_1_0056.jpg</t>
  </si>
  <si>
    <t>E:\CAFNEC_GBRF\2022\BarronRiver\Frames_for_Analysis\3820_C0036_R_1_0053.jpg</t>
  </si>
  <si>
    <t>E:\CAFNEC_GBRF\2022\BarronRiver\Frames_for_Analysis\3821_C0036_R_1_0050.jpg</t>
  </si>
  <si>
    <t>E:\CAFNEC_GBRF\2022\BarronRiver\Frames_for_Analysis\3822_C0036_R_1_0047.jpg</t>
  </si>
  <si>
    <t>E:\CAFNEC_GBRF\2022\BarronRiver\Frames_for_Analysis\3823_C0036_R_1_0044.jpg</t>
  </si>
  <si>
    <t>E:\CAFNEC_GBRF\2022\BarronRiver\Frames_for_Analysis\3824_C0036_R_1_0041.jpg</t>
  </si>
  <si>
    <t>E:\CAFNEC_GBRF\2022\BarronRiver\Frames_for_Analysis\3825_C0036_R_1_0039.jpg</t>
  </si>
  <si>
    <t>E:\CAFNEC_GBRF\2022\BarronRiver\Frames_for_Analysis\3826_C0036_R_1_0036.jpg</t>
  </si>
  <si>
    <t>E:\CAFNEC_GBRF\2022\BarronRiver\Frames_for_Analysis\3827_C0036_R_1_0033.jpg</t>
  </si>
  <si>
    <t>E:\CAFNEC_GBRF\2022\BarronRiver\Frames_for_Analysis\3828_C0036_R_1_0031.jpg</t>
  </si>
  <si>
    <t>E:\CAFNEC_GBRF\2022\BarronRiver\Frames_for_Analysis\3829_C0036_R_1_0028.jpg</t>
  </si>
  <si>
    <t>E:\CAFNEC_GBRF\2022\BarronRiver\Frames_for_Analysis\3830_C0036_R_1_0025.jpg</t>
  </si>
  <si>
    <t>E:\CAFNEC_GBRF\2022\BarronRiver\Frames_for_Analysis\3831_C0036_R_1_0022.jpg</t>
  </si>
  <si>
    <t>E:\CAFNEC_GBRF\2022\BarronRiver\Frames_for_Analysis\3832_C0036_R_1_0019.jpg</t>
  </si>
  <si>
    <t>E:\CAFNEC_GBRF\2022\BarronRiver\Frames_for_Analysis\3833_C0036_R_1_0017.jpg</t>
  </si>
  <si>
    <t>E:\CAFNEC_GBRF\2022\BarronRiver\Frames_for_Analysis\3834_C0036_R_1_0014.jpg</t>
  </si>
  <si>
    <t>E:\CAFNEC_GBRF\2022\BarronRiver\Frames_for_Analysis\3835_C0036_R_1_0011.jpg</t>
  </si>
  <si>
    <t>E:\CAFNEC_GBRF\2022\BarronRiver\Frames_for_Analysis\3836_C0036_R_1_0008.jpg</t>
  </si>
  <si>
    <t>E:\CAFNEC_GBRF\2022\BarronRiver\Frames_for_Analysis\3837_C0036_R_1_0005.jpg</t>
  </si>
  <si>
    <t>E:\CAFNEC_GBRF\2022\BarronRiver\Frames_for_Analysis\3838_C0036_R_1_0002.jpg</t>
  </si>
  <si>
    <t>E:\CAFNEC_GBRF\2022\BarronRiver\Frames_for_Analysis\3839_C0036_R_0026.jpg</t>
  </si>
  <si>
    <t>E:\CAFNEC_GBRF\2022\BarronRiver\Frames_for_Analysis\3840_C0036_R_0024.jpg</t>
  </si>
  <si>
    <t>E:\CAFNEC_GBRF\2022\BarronRiver\Frames_for_Analysis\3841_C0036_R_0022.jpg</t>
  </si>
  <si>
    <t>E:\CAFNEC_GBRF\2022\BarronRiver\Frames_for_Analysis\3842_C0036_R_0020.jpg</t>
  </si>
  <si>
    <t>E:\CAFNEC_GBRF\2022\BarronRiver\Frames_for_Analysis\3843_C0036_R_0017.jpg</t>
  </si>
  <si>
    <t>E:\CAFNEC_GBRF\2022\BarronRiver\Frames_for_Analysis\3844_C0036_R_0014.jpg</t>
  </si>
  <si>
    <t>E:\CAFNEC_GBRF\2022\BarronRiver\Frames_for_Analysis\3845_C0036_R_0011.jpg</t>
  </si>
  <si>
    <t>E:\CAFNEC_GBRF\2022\BarronRiver\Frames_for_Analysis\3846_C0036_R_0009.jpg</t>
  </si>
  <si>
    <t>E:\CAFNEC_GBRF\2022\BarronRiver\Frames_for_Analysis\3847_C0036_R_0006.jpg</t>
  </si>
  <si>
    <t>E:\CAFNEC_GBRF\2022\BarronRiver\Frames_for_Analysis\3848_C0036_R_0003.jpg</t>
  </si>
  <si>
    <t>E:\CAFNEC_GBRF\2022\BarronRiver\Frames_for_Analysis\3849_C0035_R_0573.jpg</t>
  </si>
  <si>
    <t>E:\CAFNEC_GBRF\2022\BarronRiver\Frames_for_Analysis\3850_C0035_R_0570.jpg</t>
  </si>
  <si>
    <t>E:\CAFNEC_GBRF\2022\BarronRiver\Frames_for_Analysis\3851_C0035_R_0567.jpg</t>
  </si>
  <si>
    <t>E:\CAFNEC_GBRF\2022\BarronRiver\Frames_for_Analysis\3852_C0035_R_0564.jpg</t>
  </si>
  <si>
    <t>E:\CAFNEC_GBRF\2022\BarronRiver\Frames_for_Analysis\3853_C0035_R_0562.jpg</t>
  </si>
  <si>
    <t>E:\CAFNEC_GBRF\2022\BarronRiver\Frames_for_Analysis\3854_C0035_R_0559.jpg</t>
  </si>
  <si>
    <t>E:\CAFNEC_GBRF\2022\BarronRiver\Frames_for_Analysis\3855_C0035_R_0556.jpg</t>
  </si>
  <si>
    <t>E:\CAFNEC_GBRF\2022\BarronRiver\Frames_for_Analysis\3856_C0035_R_0554.jpg</t>
  </si>
  <si>
    <t>E:\CAFNEC_GBRF\2022\BarronRiver\Frames_for_Analysis\3857_C0035_R_0551.jpg</t>
  </si>
  <si>
    <t>E:\CAFNEC_GBRF\2022\BarronRiver\Frames_for_Analysis\3858_C0035_R_0548.jpg</t>
  </si>
  <si>
    <t>E:\CAFNEC_GBRF\2022\BarronRiver\Frames_for_Analysis\3859_C0035_R_0546.jpg</t>
  </si>
  <si>
    <t>E:\CAFNEC_GBRF\2022\BarronRiver\Frames_for_Analysis\3860_C0035_R_0543.jpg</t>
  </si>
  <si>
    <t>E:\CAFNEC_GBRF\2022\BarronRiver\Frames_for_Analysis\3861_C0035_R_0541.jpg</t>
  </si>
  <si>
    <t>E:\CAFNEC_GBRF\2022\BarronRiver\Frames_for_Analysis\3862_C0035_R_0538.jpg</t>
  </si>
  <si>
    <t>E:\CAFNEC_GBRF\2022\BarronRiver\Frames_for_Analysis\3863_C0035_R_0536.jpg</t>
  </si>
  <si>
    <t>E:\CAFNEC_GBRF\2022\BarronRiver\Frames_for_Analysis\3864_C0035_R_0533.jpg</t>
  </si>
  <si>
    <t>E:\CAFNEC_GBRF\2022\BarronRiver\Frames_for_Analysis\3865_C0035_R_0530.jpg</t>
  </si>
  <si>
    <t>E:\CAFNEC_GBRF\2022\BarronRiver\Frames_for_Analysis\3866_C0035_R_0528.jpg</t>
  </si>
  <si>
    <t>E:\CAFNEC_GBRF\2022\BarronRiver\Frames_for_Analysis\3867_C0035_R_0525.jpg</t>
  </si>
  <si>
    <t>E:\CAFNEC_GBRF\2022\BarronRiver\Frames_for_Analysis\3868_C0035_R_0523.jpg</t>
  </si>
  <si>
    <t>E:\CAFNEC_GBRF\2022\BarronRiver\Frames_for_Analysis\3869_C0035_R_0520.jpg</t>
  </si>
  <si>
    <t>E:\CAFNEC_GBRF\2022\BarronRiver\Frames_for_Analysis\3870_C0035_R_0518.jpg</t>
  </si>
  <si>
    <t>E:\CAFNEC_GBRF\2022\BarronRiver\Frames_for_Analysis\3871_C0035_R_0515.jpg</t>
  </si>
  <si>
    <t>E:\CAFNEC_GBRF\2022\BarronRiver\Frames_for_Analysis\3872_C0035_R_0513.jpg</t>
  </si>
  <si>
    <t>E:\CAFNEC_GBRF\2022\BarronRiver\Frames_for_Analysis\3873_C0035_R_0511.jpg</t>
  </si>
  <si>
    <t>E:\CAFNEC_GBRF\2022\BarronRiver\Frames_for_Analysis\3874_C0035_R_0508.jpg</t>
  </si>
  <si>
    <t>E:\CAFNEC_GBRF\2022\BarronRiver\Frames_for_Analysis\3875_C0035_R_0506.jpg</t>
  </si>
  <si>
    <t>E:\CAFNEC_GBRF\2022\BarronRiver\Frames_for_Analysis\3876_C0035_R_0504.jpg</t>
  </si>
  <si>
    <t>E:\CAFNEC_GBRF\2022\BarronRiver\Frames_for_Analysis\3877_C0035_R_0501.jpg</t>
  </si>
  <si>
    <t>E:\CAFNEC_GBRF\2022\BarronRiver\Frames_for_Analysis\3878_C0035_R_0499.jpg</t>
  </si>
  <si>
    <t>E:\CAFNEC_GBRF\2022\BarronRiver\Frames_for_Analysis\3879_C0035_R_0497.jpg</t>
  </si>
  <si>
    <t>E:\CAFNEC_GBRF\2022\BarronRiver\Frames_for_Analysis\3880_C0035_R_0494.jpg</t>
  </si>
  <si>
    <t>E:\CAFNEC_GBRF\2022\BarronRiver\Frames_for_Analysis\3881_C0035_R_0492.jpg</t>
  </si>
  <si>
    <t>E:\CAFNEC_GBRF\2022\BarronRiver\Frames_for_Analysis\3882_C0035_R_0489.jpg</t>
  </si>
  <si>
    <t>E:\CAFNEC_GBRF\2022\BarronRiver\Frames_for_Analysis\3883_C0035_R_0487.jpg</t>
  </si>
  <si>
    <t>E:\CAFNEC_GBRF\2022\BarronRiver\Frames_for_Analysis\3884_C0035_R_0484.jpg</t>
  </si>
  <si>
    <t>E:\CAFNEC_GBRF\2022\BarronRiver\Frames_for_Analysis\3885_C0035_R_0481.jpg</t>
  </si>
  <si>
    <t>E:\CAFNEC_GBRF\2022\BarronRiver\Frames_for_Analysis\3886_C0035_R_0479.jpg</t>
  </si>
  <si>
    <t>E:\CAFNEC_GBRF\2022\BarronRiver\Frames_for_Analysis\3887_C0035_R_0477.jpg</t>
  </si>
  <si>
    <t>E:\CAFNEC_GBRF\2022\BarronRiver\Frames_for_Analysis\3888_C0035_R_0475.jpg</t>
  </si>
  <si>
    <t>E:\CAFNEC_GBRF\2022\BarronRiver\Frames_for_Analysis\3889_C0035_R_0472.jpg</t>
  </si>
  <si>
    <t>E:\CAFNEC_GBRF\2022\BarronRiver\Frames_for_Analysis\3890_C0035_R_0470.jpg</t>
  </si>
  <si>
    <t>E:\CAFNEC_GBRF\2022\BarronRiver\Frames_for_Analysis\3891_C0035_R_0468.jpg</t>
  </si>
  <si>
    <t>E:\CAFNEC_GBRF\2022\BarronRiver\Frames_for_Analysis\3892_C0035_R_0466.jpg</t>
  </si>
  <si>
    <t>E:\CAFNEC_GBRF\2022\BarronRiver\Frames_for_Analysis\3893_C0035_R_0464.jpg</t>
  </si>
  <si>
    <t>E:\CAFNEC_GBRF\2022\BarronRiver\Frames_for_Analysis\3894_C0035_R_0461.jpg</t>
  </si>
  <si>
    <t>E:\CAFNEC_GBRF\2022\BarronRiver\Frames_for_Analysis\3895_C0035_R_0459.jpg</t>
  </si>
  <si>
    <t>E:\CAFNEC_GBRF\2022\BarronRiver\Frames_for_Analysis\3896_C0035_R_0456.jpg</t>
  </si>
  <si>
    <t>E:\CAFNEC_GBRF\2022\BarronRiver\Frames_for_Analysis\3897_C0035_R_0453.jpg</t>
  </si>
  <si>
    <t>E:\CAFNEC_GBRF\2022\BarronRiver\Frames_for_Analysis\3898_C0035_R_0451.jpg</t>
  </si>
  <si>
    <t>E:\CAFNEC_GBRF\2022\BarronRiver\Frames_for_Analysis\3899_C0035_R_0448.jpg</t>
  </si>
  <si>
    <t>E:\CAFNEC_GBRF\2022\BarronRiver\Frames_for_Analysis\3900_C0035_R_0445.jpg</t>
  </si>
  <si>
    <t>E:\CAFNEC_GBRF\2022\BarronRiver\Frames_for_Analysis\3901_C0035_R_0443.jpg</t>
  </si>
  <si>
    <t>E:\CAFNEC_GBRF\2022\BarronRiver\Frames_for_Analysis\3902_C0035_R_0440.jpg</t>
  </si>
  <si>
    <t>E:\CAFNEC_GBRF\2022\BarronRiver\Frames_for_Analysis\3903_C0035_R_0438.jpg</t>
  </si>
  <si>
    <t>E:\CAFNEC_GBRF\2022\BarronRiver\Frames_for_Analysis\3904_C0035_R_0435.jpg</t>
  </si>
  <si>
    <t>E:\CAFNEC_GBRF\2022\BarronRiver\Frames_for_Analysis\3905_C0035_R_0433.jpg</t>
  </si>
  <si>
    <t>E:\CAFNEC_GBRF\2022\BarronRiver\Frames_for_Analysis\3906_C0035_R_0430.jpg</t>
  </si>
  <si>
    <t>E:\CAFNEC_GBRF\2022\BarronRiver\Frames_for_Analysis\3907_C0035_R_0427.jpg</t>
  </si>
  <si>
    <t>E:\CAFNEC_GBRF\2022\BarronRiver\Frames_for_Analysis\3908_C0035_R_0425.jpg</t>
  </si>
  <si>
    <t>E:\CAFNEC_GBRF\2022\BarronRiver\Frames_for_Analysis\3909_C0035_R_0423.jpg</t>
  </si>
  <si>
    <t>E:\CAFNEC_GBRF\2022\BarronRiver\Frames_for_Analysis\3910_C0035_R_0420.jpg</t>
  </si>
  <si>
    <t>E:\CAFNEC_GBRF\2022\BarronRiver\Frames_for_Analysis\3911_C0035_R_0418.jpg</t>
  </si>
  <si>
    <t>E:\CAFNEC_GBRF\2022\BarronRiver\Frames_for_Analysis\3912_C0035_R_0415.jpg</t>
  </si>
  <si>
    <t>E:\CAFNEC_GBRF\2022\BarronRiver\Frames_for_Analysis\3913_C0035_R_0412.jpg</t>
  </si>
  <si>
    <t>E:\CAFNEC_GBRF\2022\BarronRiver\Frames_for_Analysis\3914_C0035_R_0409.jpg</t>
  </si>
  <si>
    <t>E:\CAFNEC_GBRF\2022\BarronRiver\Frames_for_Analysis\3915_C0035_R_0406.jpg</t>
  </si>
  <si>
    <t>E:\CAFNEC_GBRF\2022\BarronRiver\Frames_for_Analysis\3916_C0035_R_0404.jpg</t>
  </si>
  <si>
    <t>E:\CAFNEC_GBRF\2022\BarronRiver\Frames_for_Analysis\3917_C0035_R_0401.jpg</t>
  </si>
  <si>
    <t>E:\CAFNEC_GBRF\2022\BarronRiver\Frames_for_Analysis\3918_C0035_R_0399.jpg</t>
  </si>
  <si>
    <t>E:\CAFNEC_GBRF\2022\BarronRiver\Frames_for_Analysis\3919_C0035_R_0396.jpg</t>
  </si>
  <si>
    <t>E:\CAFNEC_GBRF\2022\BarronRiver\Frames_for_Analysis\3920_C0035_R_0394.jpg</t>
  </si>
  <si>
    <t>E:\CAFNEC_GBRF\2022\BarronRiver\Frames_for_Analysis\3921_C0035_R_0392.jpg</t>
  </si>
  <si>
    <t>E:\CAFNEC_GBRF\2022\BarronRiver\Frames_for_Analysis\3922_C0035_R_0389.jpg</t>
  </si>
  <si>
    <t>E:\CAFNEC_GBRF\2022\BarronRiver\Frames_for_Analysis\3923_C0035_R_0387.jpg</t>
  </si>
  <si>
    <t>E:\CAFNEC_GBRF\2022\BarronRiver\Frames_for_Analysis\3924_C0035_R_0384.jpg</t>
  </si>
  <si>
    <t>E:\CAFNEC_GBRF\2022\BarronRiver\Frames_for_Analysis\3925_C0035_R_0382.jpg</t>
  </si>
  <si>
    <t>E:\CAFNEC_GBRF\2022\BarronRiver\Frames_for_Analysis\3926_C0035_R_0379.jpg</t>
  </si>
  <si>
    <t>E:\CAFNEC_GBRF\2022\BarronRiver\Frames_for_Analysis\3927_C0035_R_0377.jpg</t>
  </si>
  <si>
    <t>E:\CAFNEC_GBRF\2022\BarronRiver\Frames_for_Analysis\3928_C0035_R_0375.jpg</t>
  </si>
  <si>
    <t>E:\CAFNEC_GBRF\2022\BarronRiver\Frames_for_Analysis\3929_C0035_R_0372.jpg</t>
  </si>
  <si>
    <t>E:\CAFNEC_GBRF\2022\BarronRiver\Frames_for_Analysis\3930_C0035_R_0370.jpg</t>
  </si>
  <si>
    <t>E:\CAFNEC_GBRF\2022\BarronRiver\Frames_for_Analysis\3931_C0035_R_0367.jpg</t>
  </si>
  <si>
    <t>E:\CAFNEC_GBRF\2022\BarronRiver\Frames_for_Analysis\3932_C0035_R_0364.jpg</t>
  </si>
  <si>
    <t>E:\CAFNEC_GBRF\2022\BarronRiver\Frames_for_Analysis\3933_C0035_R_0361.jpg</t>
  </si>
  <si>
    <t>E:\CAFNEC_GBRF\2022\BarronRiver\Frames_for_Analysis\3934_C0035_R_0359.jpg</t>
  </si>
  <si>
    <t>E:\CAFNEC_GBRF\2022\BarronRiver\Frames_for_Analysis\3935_C0035_R_0357.jpg</t>
  </si>
  <si>
    <t>E:\CAFNEC_GBRF\2022\BarronRiver\Frames_for_Analysis\3936_C0035_R_0356.jpg</t>
  </si>
  <si>
    <t>E:\CAFNEC_GBRF\2022\BarronRiver\Frames_for_Analysis\3937_C0035_R_0354.jpg</t>
  </si>
  <si>
    <t>E:\CAFNEC_GBRF\2022\BarronRiver\Frames_for_Analysis\3938_C0035_R_0352.jpg</t>
  </si>
  <si>
    <t>E:\CAFNEC_GBRF\2022\BarronRiver\Frames_for_Analysis\3939_C0035_R_0349.jpg</t>
  </si>
  <si>
    <t>E:\CAFNEC_GBRF\2022\BarronRiver\Frames_for_Analysis\3940_C0035_R_0347.jpg</t>
  </si>
  <si>
    <t>E:\CAFNEC_GBRF\2022\BarronRiver\Frames_for_Analysis\3941_C0035_R_0341.jpg</t>
  </si>
  <si>
    <t>E:\CAFNEC_GBRF\2022\BarronRiver\Frames_for_Analysis\3942_C0035_R_0340.jpg</t>
  </si>
  <si>
    <t>E:\CAFNEC_GBRF\2022\BarronRiver\Frames_for_Analysis\3943_C0035_R_0339.jpg</t>
  </si>
  <si>
    <t>E:\CAFNEC_GBRF\2022\BarronRiver\Frames_for_Analysis\3944_C0035_R_0337.jpg</t>
  </si>
  <si>
    <t>E:\CAFNEC_GBRF\2022\BarronRiver\Frames_for_Analysis\3945_C0035_R_0335.jpg</t>
  </si>
  <si>
    <t>E:\CAFNEC_GBRF\2022\BarronRiver\Frames_for_Analysis\3946_C0035_R_0333.jpg</t>
  </si>
  <si>
    <t>E:\CAFNEC_GBRF\2022\BarronRiver\Frames_for_Analysis\3947_C0035_R_0331.jpg</t>
  </si>
  <si>
    <t>E:\CAFNEC_GBRF\2022\BarronRiver\Frames_for_Analysis\3948_C0035_R_0330.jpg</t>
  </si>
  <si>
    <t>E:\CAFNEC_GBRF\2022\BarronRiver\Frames_for_Analysis\3949_C0035_R_0327.jpg</t>
  </si>
  <si>
    <t>E:\CAFNEC_GBRF\2022\BarronRiver\Frames_for_Analysis\3950_C0035_R_0325.jpg</t>
  </si>
  <si>
    <t>E:\CAFNEC_GBRF\2022\BarronRiver\Frames_for_Analysis\3951_C0035_R_0323.jpg</t>
  </si>
  <si>
    <t>E:\CAFNEC_GBRF\2022\BarronRiver\Frames_for_Analysis\3952_C0035_R_0320.jpg</t>
  </si>
  <si>
    <t>E:\CAFNEC_GBRF\2022\BarronRiver\Frames_for_Analysis\3953_C0035_R_0318.jpg</t>
  </si>
  <si>
    <t>E:\CAFNEC_GBRF\2022\BarronRiver\Frames_for_Analysis\3954_C0035_R_0316.jpg</t>
  </si>
  <si>
    <t>E:\CAFNEC_GBRF\2022\BarronRiver\Frames_for_Analysis\3955_C0035_R_0313.jpg</t>
  </si>
  <si>
    <t>E:\CAFNEC_GBRF\2022\BarronRiver\Frames_for_Analysis\3956_C0035_R_0311.jpg</t>
  </si>
  <si>
    <t>E:\CAFNEC_GBRF\2022\BarronRiver\Frames_for_Analysis\3957_C0035_R_0308.jpg</t>
  </si>
  <si>
    <t>E:\CAFNEC_GBRF\2022\BarronRiver\Frames_for_Analysis\3958_C0035_R_0306.jpg</t>
  </si>
  <si>
    <t>E:\CAFNEC_GBRF\2022\BarronRiver\Frames_for_Analysis\3959_C0035_R_0304.jpg</t>
  </si>
  <si>
    <t>E:\CAFNEC_GBRF\2022\BarronRiver\Frames_for_Analysis\3960_C0035_R_0301.jpg</t>
  </si>
  <si>
    <t>E:\CAFNEC_GBRF\2022\BarronRiver\Frames_for_Analysis\3961_C0035_R_0299.jpg</t>
  </si>
  <si>
    <t>E:\CAFNEC_GBRF\2022\BarronRiver\Frames_for_Analysis\3962_C0035_R_0297.jpg</t>
  </si>
  <si>
    <t>E:\CAFNEC_GBRF\2022\BarronRiver\Frames_for_Analysis\3963_C0035_R_0294.jpg</t>
  </si>
  <si>
    <t>E:\CAFNEC_GBRF\2022\BarronRiver\Frames_for_Analysis\3964_C0035_R_0292.jpg</t>
  </si>
  <si>
    <t>E:\CAFNEC_GBRF\2022\BarronRiver\Frames_for_Analysis\3965_C0035_R_0289.jpg</t>
  </si>
  <si>
    <t>E:\CAFNEC_GBRF\2022\BarronRiver\Frames_for_Analysis\3966_C0035_R_0287.jpg</t>
  </si>
  <si>
    <t>E:\CAFNEC_GBRF\2022\BarronRiver\Frames_for_Analysis\3967_C0035_R_0284.jpg</t>
  </si>
  <si>
    <t>E:\CAFNEC_GBRF\2022\BarronRiver\Frames_for_Analysis\3968_C0035_R_0282.jpg</t>
  </si>
  <si>
    <t>E:\CAFNEC_GBRF\2022\BarronRiver\Frames_for_Analysis\3969_C0035_R_0279.jpg</t>
  </si>
  <si>
    <t>E:\CAFNEC_GBRF\2022\BarronRiver\Frames_for_Analysis\3970_C0035_R_0277.jpg</t>
  </si>
  <si>
    <t>E:\CAFNEC_GBRF\2022\BarronRiver\Frames_for_Analysis\3971_C0035_R_0274.jpg</t>
  </si>
  <si>
    <t>E:\CAFNEC_GBRF\2022\BarronRiver\Frames_for_Analysis\3972_C0035_R_0271.jpg</t>
  </si>
  <si>
    <t>E:\CAFNEC_GBRF\2022\BarronRiver\Frames_for_Analysis\3973_C0035_R_0269.jpg</t>
  </si>
  <si>
    <t>E:\CAFNEC_GBRF\2022\BarronRiver\Frames_for_Analysis\3974_C0035_R_0267.jpg</t>
  </si>
  <si>
    <t>E:\CAFNEC_GBRF\2022\BarronRiver\Frames_for_Analysis\3975_C0035_R_0264.jpg</t>
  </si>
  <si>
    <t>E:\CAFNEC_GBRF\2022\BarronRiver\Frames_for_Analysis\3976_C0035_R_0262.jpg</t>
  </si>
  <si>
    <t>E:\CAFNEC_GBRF\2022\BarronRiver\Frames_for_Analysis\3977_C0035_R_0259.jpg</t>
  </si>
  <si>
    <t>E:\CAFNEC_GBRF\2022\BarronRiver\Frames_for_Analysis\3978_C0035_R_0256.jpg</t>
  </si>
  <si>
    <t>E:\CAFNEC_GBRF\2022\BarronRiver\Frames_for_Analysis\3979_C0035_R_0253.jpg</t>
  </si>
  <si>
    <t>E:\CAFNEC_GBRF\2022\BarronRiver\Frames_for_Analysis\3980_C0035_R_0251.jpg</t>
  </si>
  <si>
    <t>E:\CAFNEC_GBRF\2022\BarronRiver\Frames_for_Analysis\3981_C0035_R_0248.jpg</t>
  </si>
  <si>
    <t>E:\CAFNEC_GBRF\2022\BarronRiver\Frames_for_Analysis\3982_C0035_R_0246.jpg</t>
  </si>
  <si>
    <t>E:\CAFNEC_GBRF\2022\BarronRiver\Frames_for_Analysis\3983_C0035_R_0243.jpg</t>
  </si>
  <si>
    <t>E:\CAFNEC_GBRF\2022\BarronRiver\Frames_for_Analysis\3984_C0035_R_0240.jpg</t>
  </si>
  <si>
    <t>E:\CAFNEC_GBRF\2022\BarronRiver\Frames_for_Analysis\3985_C0035_R_0238.jpg</t>
  </si>
  <si>
    <t>E:\CAFNEC_GBRF\2022\BarronRiver\Frames_for_Analysis\3986_C0035_R_0236.jpg</t>
  </si>
  <si>
    <t>E:\CAFNEC_GBRF\2022\BarronRiver\Frames_for_Analysis\3987_C0035_R_0233.jpg</t>
  </si>
  <si>
    <t>E:\CAFNEC_GBRF\2022\BarronRiver\Frames_for_Analysis\3988_C0035_R_0231.jpg</t>
  </si>
  <si>
    <t>E:\CAFNEC_GBRF\2022\BarronRiver\Frames_for_Analysis\3989_C0035_R_0228.jpg</t>
  </si>
  <si>
    <t>E:\CAFNEC_GBRF\2022\BarronRiver\Frames_for_Analysis\3990_C0035_R_0225.jpg</t>
  </si>
  <si>
    <t>E:\CAFNEC_GBRF\2022\BarronRiver\Frames_for_Analysis\3991_C0035_R_0221.jpg</t>
  </si>
  <si>
    <t>E:\CAFNEC_GBRF\2022\BarronRiver\Frames_for_Analysis\3992_C0035_R_0218.jpg</t>
  </si>
  <si>
    <t>E:\CAFNEC_GBRF\2022\BarronRiver\Frames_for_Analysis\3993_C0035_R_0215.jpg</t>
  </si>
  <si>
    <t>E:\CAFNEC_GBRF\2022\BarronRiver\Frames_for_Analysis\3994_C0035_R_0212.jpg</t>
  </si>
  <si>
    <t>E:\CAFNEC_GBRF\2022\BarronRiver\Frames_for_Analysis\3995_C0035_R_0209.jpg</t>
  </si>
  <si>
    <t>E:\CAFNEC_GBRF\2022\BarronRiver\Frames_for_Analysis\3996_C0035_R_0206.jpg</t>
  </si>
  <si>
    <t>E:\CAFNEC_GBRF\2022\BarronRiver\Frames_for_Analysis\3997_C0035_R_0203.jpg</t>
  </si>
  <si>
    <t>E:\CAFNEC_GBRF\2022\BarronRiver\Frames_for_Analysis\3998_C0035_R_0200.jpg</t>
  </si>
  <si>
    <t>E:\CAFNEC_GBRF\2022\BarronRiver\Frames_for_Analysis\3999_C0035_R_0197.jpg</t>
  </si>
  <si>
    <t>E:\CAFNEC_GBRF\2022\BarronRiver\Frames_for_Analysis\4000_C0035_R_0194.jpg</t>
  </si>
  <si>
    <t>E:\CAFNEC_GBRF\2022\BarronRiver\Frames_for_Analysis\4001_C0035_R_0191.jpg</t>
  </si>
  <si>
    <t>E:\CAFNEC_GBRF\2022\BarronRiver\Frames_for_Analysis\4002_C0035_R_0188.jpg</t>
  </si>
  <si>
    <t>E:\CAFNEC_GBRF\2022\BarronRiver\Frames_for_Analysis\4003_C0035_R_0186.jpg</t>
  </si>
  <si>
    <t>E:\CAFNEC_GBRF\2022\BarronRiver\Frames_for_Analysis\4004_C0035_R_0183.jpg</t>
  </si>
  <si>
    <t>E:\CAFNEC_GBRF\2022\BarronRiver\Frames_for_Analysis\4005_C0035_R_0180.jpg</t>
  </si>
  <si>
    <t>E:\CAFNEC_GBRF\2022\BarronRiver\Frames_for_Analysis\4006_C0035_R_0178.jpg</t>
  </si>
  <si>
    <t>E:\CAFNEC_GBRF\2022\BarronRiver\Frames_for_Analysis\4007_C0035_R_0175.jpg</t>
  </si>
  <si>
    <t>E:\CAFNEC_GBRF\2022\BarronRiver\Frames_for_Analysis\4008_C0035_R_0172.jpg</t>
  </si>
  <si>
    <t>E:\CAFNEC_GBRF\2022\BarronRiver\Frames_for_Analysis\4009_C0035_R_0169.jpg</t>
  </si>
  <si>
    <t>E:\CAFNEC_GBRF\2022\BarronRiver\Frames_for_Analysis\4010_C0035_R_0167.jpg</t>
  </si>
  <si>
    <t>E:\CAFNEC_GBRF\2022\BarronRiver\Frames_for_Analysis\4011_C0035_R_0164.jpg</t>
  </si>
  <si>
    <t>E:\CAFNEC_GBRF\2022\BarronRiver\Frames_for_Analysis\4012_C0035_R_0161.jpg</t>
  </si>
  <si>
    <t>E:\CAFNEC_GBRF\2022\BarronRiver\Frames_for_Analysis\4013_C0035_R_0158.jpg</t>
  </si>
  <si>
    <t>E:\CAFNEC_GBRF\2022\BarronRiver\Frames_for_Analysis\4014_C0035_R_0155.jpg</t>
  </si>
  <si>
    <t>E:\CAFNEC_GBRF\2022\BarronRiver\Frames_for_Analysis\4015_C0035_R_0151.jpg</t>
  </si>
  <si>
    <t>E:\CAFNEC_GBRF\2022\BarronRiver\Frames_for_Analysis\4016_C0035_R_0147.jpg</t>
  </si>
  <si>
    <t>E:\CAFNEC_GBRF\2022\BarronRiver\Frames_for_Analysis\4017_C0035_R_0144.jpg</t>
  </si>
  <si>
    <t>E:\CAFNEC_GBRF\2022\BarronRiver\Frames_for_Analysis\4018_C0035_R_0141.jpg</t>
  </si>
  <si>
    <t>E:\CAFNEC_GBRF\2022\BarronRiver\Frames_for_Analysis\4019_C0035_R_0138.jpg</t>
  </si>
  <si>
    <t>E:\CAFNEC_GBRF\2022\BarronRiver\Frames_for_Analysis\4020_C0035_R_0135.jpg</t>
  </si>
  <si>
    <t>E:\CAFNEC_GBRF\2022\BarronRiver\Frames_for_Analysis\4021_C0035_R_0131.jpg</t>
  </si>
  <si>
    <t>E:\CAFNEC_GBRF\2022\BarronRiver\Frames_for_Analysis\4022_C0035_R_0128.jpg</t>
  </si>
  <si>
    <t>E:\CAFNEC_GBRF\2022\BarronRiver\Frames_for_Analysis\4023_C0035_R_0125.jpg</t>
  </si>
  <si>
    <t>E:\CAFNEC_GBRF\2022\BarronRiver\Frames_for_Analysis\4024_C0035_R_0122.jpg</t>
  </si>
  <si>
    <t>E:\CAFNEC_GBRF\2022\BarronRiver\Frames_for_Analysis\4025_C0035_R_0119.jpg</t>
  </si>
  <si>
    <t>E:\CAFNEC_GBRF\2022\BarronRiver\Frames_for_Analysis\4026_C0035_R_0116.jpg</t>
  </si>
  <si>
    <t>E:\CAFNEC_GBRF\2022\BarronRiver\Frames_for_Analysis\4027_C0035_R_0114.jpg</t>
  </si>
  <si>
    <t>E:\CAFNEC_GBRF\2022\BarronRiver\Frames_for_Analysis\4028_C0035_R_0111.jpg</t>
  </si>
  <si>
    <t>E:\CAFNEC_GBRF\2022\BarronRiver\Frames_for_Analysis\4029_C0035_R_0107.jpg</t>
  </si>
  <si>
    <t>E:\CAFNEC_GBRF\2022\BarronRiver\Frames_for_Analysis\4030_C0035_R_0104.jpg</t>
  </si>
  <si>
    <t>E:\CAFNEC_GBRF\2022\BarronRiver\Frames_for_Analysis\4031_C0035_R_0101.jpg</t>
  </si>
  <si>
    <t>E:\CAFNEC_GBRF\2022\BarronRiver\Frames_for_Analysis\4032_C0035_R_0098.jpg</t>
  </si>
  <si>
    <t>E:\CAFNEC_GBRF\2022\BarronRiver\Frames_for_Analysis\4033_C0035_R_0094.jpg</t>
  </si>
  <si>
    <t>E:\CAFNEC_GBRF\2022\BarronRiver\Frames_for_Analysis\4034_C0035_R_0091.jpg</t>
  </si>
  <si>
    <t>E:\CAFNEC_GBRF\2022\BarronRiver\Frames_for_Analysis\4035_C0035_R_0088.jpg</t>
  </si>
  <si>
    <t>E:\CAFNEC_GBRF\2022\BarronRiver\Frames_for_Analysis\4036_C0035_R_0085.jpg</t>
  </si>
  <si>
    <t>E:\CAFNEC_GBRF\2022\BarronRiver\Frames_for_Analysis\4037_C0035_R_0083.jpg</t>
  </si>
  <si>
    <t>E:\CAFNEC_GBRF\2022\BarronRiver\Frames_for_Analysis\4038_C0035_R_0081.jpg</t>
  </si>
  <si>
    <t>E:\CAFNEC_GBRF\2022\BarronRiver\Frames_for_Analysis\4039_C0035_R_0078.jpg</t>
  </si>
  <si>
    <t>E:\CAFNEC_GBRF\2022\BarronRiver\Frames_for_Analysis\4040_C0035_R_0075.jpg</t>
  </si>
  <si>
    <t>E:\CAFNEC_GBRF\2022\BarronRiver\Frames_for_Analysis\4041_C0035_R_0072.jpg</t>
  </si>
  <si>
    <t>E:\CAFNEC_GBRF\2022\BarronRiver\Frames_for_Analysis\4042_C0035_R_0069.jpg</t>
  </si>
  <si>
    <t>E:\CAFNEC_GBRF\2022\BarronRiver\Frames_for_Analysis\4043_C0035_R_0066.jpg</t>
  </si>
  <si>
    <t>E:\CAFNEC_GBRF\2022\BarronRiver\Frames_for_Analysis\4044_C0035_R_0063.jpg</t>
  </si>
  <si>
    <t>E:\CAFNEC_GBRF\2022\BarronRiver\Frames_for_Analysis\4045_C0035_R_0060.jpg</t>
  </si>
  <si>
    <t>E:\CAFNEC_GBRF\2022\BarronRiver\Frames_for_Analysis\4046_C0035_R_0057.jpg</t>
  </si>
  <si>
    <t>E:\CAFNEC_GBRF\2022\BarronRiver\Frames_for_Analysis\4047_C0035_R_0054.jpg</t>
  </si>
  <si>
    <t>E:\CAFNEC_GBRF\2022\BarronRiver\Frames_for_Analysis\4048_C0035_R_0051.jpg</t>
  </si>
  <si>
    <t>E:\CAFNEC_GBRF\2022\BarronRiver\Frames_for_Analysis\4049_C0035_R_0047.jpg</t>
  </si>
  <si>
    <t>E:\CAFNEC_GBRF\2022\BarronRiver\Frames_for_Analysis\4050_C0035_R_0044.jpg</t>
  </si>
  <si>
    <t>E:\CAFNEC_GBRF\2022\BarronRiver\Frames_for_Analysis\4051_C0035_R_0041.jpg</t>
  </si>
  <si>
    <t>E:\CAFNEC_GBRF\2022\BarronRiver\Frames_for_Analysis\4052_C0035_R_0038.jpg</t>
  </si>
  <si>
    <t>E:\CAFNEC_GBRF\2022\BarronRiver\Frames_for_Analysis\4053_C0035_R_0035.jpg</t>
  </si>
  <si>
    <t>E:\CAFNEC_GBRF\2022\BarronRiver\Frames_for_Analysis\4054_C0035_R_0032.jpg</t>
  </si>
  <si>
    <t>E:\CAFNEC_GBRF\2022\BarronRiver\Frames_for_Analysis\4055_C0035_R_0029.jpg</t>
  </si>
  <si>
    <t>E:\CAFNEC_GBRF\2022\BarronRiver\Frames_for_Analysis\4056_C0035_R_0026.jpg</t>
  </si>
  <si>
    <t>E:\CAFNEC_GBRF\2022\BarronRiver\Frames_for_Analysis\4057_C0035_R_0023.jpg</t>
  </si>
  <si>
    <t>E:\CAFNEC_GBRF\2022\BarronRiver\Frames_for_Analysis\4058_C0035_R_0020.jpg</t>
  </si>
  <si>
    <t>E:\CAFNEC_GBRF\2022\BarronRiver\Frames_for_Analysis\4059_C0035_R_0014.jpg</t>
  </si>
  <si>
    <t>E:\CAFNEC_GBRF\2022\BarronRiver\Frames_for_Analysis\4060_C0035_R_0011.jpg</t>
  </si>
  <si>
    <t>E:\CAFNEC_GBRF\2022\BarronRiver\Frames_for_Analysis\4061_C0035_R_0008.jpg</t>
  </si>
  <si>
    <t>E:\CAFNEC_GBRF\2022\BarronRiver\Frames_for_Analysis\4062_C0035_R_0005.jpg</t>
  </si>
  <si>
    <t>E:\CAFNEC_GBRF\2022\BarronRiver\Frames_for_Analysis\4063_C0035_R_0002.jpg</t>
  </si>
  <si>
    <t>E:\CAFNEC_GBRF\2022\BarronRiver\Frames_for_Analysis\4064_C0034_R_0557.jpg</t>
  </si>
  <si>
    <t>E:\CAFNEC_GBRF\2022\BarronRiver\Frames_for_Analysis\4065_C0034_R_0554.jpg</t>
  </si>
  <si>
    <t>E:\CAFNEC_GBRF\2022\BarronRiver\Frames_for_Analysis\4066_C0034_R_0550.jpg</t>
  </si>
  <si>
    <t>E:\CAFNEC_GBRF\2022\BarronRiver\Frames_for_Analysis\4067_C0034_R_0546.jpg</t>
  </si>
  <si>
    <t>E:\CAFNEC_GBRF\2022\BarronRiver\Frames_for_Analysis\4068_C0034_R_0542.jpg</t>
  </si>
  <si>
    <t>E:\CAFNEC_GBRF\2022\BarronRiver\Frames_for_Analysis\4069_C0034_R_0538.jpg</t>
  </si>
  <si>
    <t>E:\CAFNEC_GBRF\2022\BarronRiver\Frames_for_Analysis\4070_C0034_R_0534.jpg</t>
  </si>
  <si>
    <t>E:\CAFNEC_GBRF\2022\BarronRiver\Frames_for_Analysis\4071_C0034_R_0531.jpg</t>
  </si>
  <si>
    <t>E:\CAFNEC_GBRF\2022\BarronRiver\Frames_for_Analysis\4072_C0034_R_0526.jpg</t>
  </si>
  <si>
    <t>E:\CAFNEC_GBRF\2022\BarronRiver\Frames_for_Analysis\4073_C0034_R_0524.jpg</t>
  </si>
  <si>
    <t>E:\CAFNEC_GBRF\2022\BarronRiver\Frames_for_Analysis\4074_C0034_R_0521.jpg</t>
  </si>
  <si>
    <t>E:\CAFNEC_GBRF\2022\BarronRiver\Frames_for_Analysis\4075_C0034_R_0517.jpg</t>
  </si>
  <si>
    <t>E:\CAFNEC_GBRF\2022\BarronRiver\Frames_for_Analysis\4076_C0034_R_0514.jpg</t>
  </si>
  <si>
    <t>E:\CAFNEC_GBRF\2022\BarronRiver\Frames_for_Analysis\4077_C0034_R_0510.jpg</t>
  </si>
  <si>
    <t>E:\CAFNEC_GBRF\2022\BarronRiver\Frames_for_Analysis\4078_C0034_R_0506.jpg</t>
  </si>
  <si>
    <t>E:\CAFNEC_GBRF\2022\BarronRiver\Frames_for_Analysis\4079_C0034_R_0502.jpg</t>
  </si>
  <si>
    <t>E:\CAFNEC_GBRF\2022\BarronRiver\Frames_for_Analysis\4080_C0034_R_0499.jpg</t>
  </si>
  <si>
    <t>E:\CAFNEC_GBRF\2022\BarronRiver\Frames_for_Analysis\4081_C0034_R_0495.jpg</t>
  </si>
  <si>
    <t>E:\CAFNEC_GBRF\2022\BarronRiver\Frames_for_Analysis\4082_C0034_R_0492.jpg</t>
  </si>
  <si>
    <t>E:\CAFNEC_GBRF\2022\BarronRiver\Frames_for_Analysis\4083_C0034_R_0488.jpg</t>
  </si>
  <si>
    <t>E:\CAFNEC_GBRF\2022\BarronRiver\Frames_for_Analysis\4084_C0034_R_0485.jpg</t>
  </si>
  <si>
    <t>E:\CAFNEC_GBRF\2022\BarronRiver\Frames_for_Analysis\4085_C0034_R_0482.jpg</t>
  </si>
  <si>
    <t>E:\CAFNEC_GBRF\2022\BarronRiver\Frames_for_Analysis\4086_C0034_R_0479.jpg</t>
  </si>
  <si>
    <t>E:\CAFNEC_GBRF\2022\BarronRiver\Frames_for_Analysis\4087_C0034_R_0476.jpg</t>
  </si>
  <si>
    <t>E:\CAFNEC_GBRF\2022\BarronRiver\Frames_for_Analysis\4088_C0034_R_0472.jpg</t>
  </si>
  <si>
    <t>E:\CAFNEC_GBRF\2022\BarronRiver\Frames_for_Analysis\4089_C0034_R_0469.jpg</t>
  </si>
  <si>
    <t>E:\CAFNEC_GBRF\2022\BarronRiver\Frames_for_Analysis\4090_C0034_R_0466.jpg</t>
  </si>
  <si>
    <t>E:\CAFNEC_GBRF\2022\BarronRiver\Frames_for_Analysis\4091_C0034_R_0464.jpg</t>
  </si>
  <si>
    <t>E:\CAFNEC_GBRF\2022\BarronRiver\Frames_for_Analysis\4092_C0034_R_0461.jpg</t>
  </si>
  <si>
    <t>E:\CAFNEC_GBRF\2022\BarronRiver\Frames_for_Analysis\4093_C0034_R_0457.jpg</t>
  </si>
  <si>
    <t>E:\CAFNEC_GBRF\2022\BarronRiver\Frames_for_Analysis\4094_C0034_R_0454.jpg</t>
  </si>
  <si>
    <t>E:\CAFNEC_GBRF\2022\BarronRiver\Frames_for_Analysis\4095_C0034_R_0452.jpg</t>
  </si>
  <si>
    <t>E:\CAFNEC_GBRF\2022\BarronRiver\Frames_for_Analysis\4096_C0034_R_0450.jpg</t>
  </si>
  <si>
    <t>E:\CAFNEC_GBRF\2022\BarronRiver\Frames_for_Analysis\4097_C0034_R_0447.jpg</t>
  </si>
  <si>
    <t>E:\CAFNEC_GBRF\2022\BarronRiver\Frames_for_Analysis\4098_C0034_R_0444.jpg</t>
  </si>
  <si>
    <t>E:\CAFNEC_GBRF\2022\BarronRiver\Frames_for_Analysis\4099_C0034_R_0442.jpg</t>
  </si>
  <si>
    <t>E:\CAFNEC_GBRF\2022\BarronRiver\Frames_for_Analysis\4100_C0034_R_0439.jpg</t>
  </si>
  <si>
    <t>E:\CAFNEC_GBRF\2022\BarronRiver\Frames_for_Analysis\4101_C0034_R_0436.jpg</t>
  </si>
  <si>
    <t>E:\CAFNEC_GBRF\2022\BarronRiver\Frames_for_Analysis\4102_C0034_R_0434.jpg</t>
  </si>
  <si>
    <t>E:\CAFNEC_GBRF\2022\BarronRiver\Frames_for_Analysis\4103_C0034_R_0431.jpg</t>
  </si>
  <si>
    <t>E:\CAFNEC_GBRF\2022\BarronRiver\Frames_for_Analysis\4104_C0034_R_0428.jpg</t>
  </si>
  <si>
    <t>E:\CAFNEC_GBRF\2022\BarronRiver\Frames_for_Analysis\4105_C0034_R_0425.jpg</t>
  </si>
  <si>
    <t>E:\CAFNEC_GBRF\2022\BarronRiver\Frames_for_Analysis\4106_C0034_R_0423.jpg</t>
  </si>
  <si>
    <t>E:\CAFNEC_GBRF\2022\BarronRiver\Frames_for_Analysis\4107_C0034_R_0420.jpg</t>
  </si>
  <si>
    <t>E:\CAFNEC_GBRF\2022\BarronRiver\Frames_for_Analysis\4108_C0034_R_0418.jpg</t>
  </si>
  <si>
    <t>E:\CAFNEC_GBRF\2022\BarronRiver\Frames_for_Analysis\4109_C0034_R_0415.jpg</t>
  </si>
  <si>
    <t>E:\CAFNEC_GBRF\2022\BarronRiver\Frames_for_Analysis\4110_C0034_R_0412.jpg</t>
  </si>
  <si>
    <t>E:\CAFNEC_GBRF\2022\BarronRiver\Frames_for_Analysis\4111_C0034_R_0410.jpg</t>
  </si>
  <si>
    <t>E:\CAFNEC_GBRF\2022\BarronRiver\Frames_for_Analysis\4112_C0034_R_0408.jpg</t>
  </si>
  <si>
    <t>E:\CAFNEC_GBRF\2022\BarronRiver\Frames_for_Analysis\4113_C0034_R_0405.jpg</t>
  </si>
  <si>
    <t>E:\CAFNEC_GBRF\2022\BarronRiver\Frames_for_Analysis\4114_C0034_R_0402.jpg</t>
  </si>
  <si>
    <t>E:\CAFNEC_GBRF\2022\BarronRiver\Frames_for_Analysis\4115_C0034_R_0399.jpg</t>
  </si>
  <si>
    <t>E:\CAFNEC_GBRF\2022\BarronRiver\Frames_for_Analysis\4116_C0034_R_0396.jpg</t>
  </si>
  <si>
    <t>E:\CAFNEC_GBRF\2022\BarronRiver\Frames_for_Analysis\4117_C0034_R_0394.jpg</t>
  </si>
  <si>
    <t>E:\CAFNEC_GBRF\2022\BarronRiver\Frames_for_Analysis\4118_C0034_R_0390.jpg</t>
  </si>
  <si>
    <t>E:\CAFNEC_GBRF\2022\BarronRiver\Frames_for_Analysis\4119_C0034_R_0387.jpg</t>
  </si>
  <si>
    <t>E:\CAFNEC_GBRF\2022\BarronRiver\Frames_for_Analysis\4120_C0034_R_0384.jpg</t>
  </si>
  <si>
    <t>E:\CAFNEC_GBRF\2022\BarronRiver\Frames_for_Analysis\4121_C0034_R_0381.jpg</t>
  </si>
  <si>
    <t>E:\CAFNEC_GBRF\2022\BarronRiver\Frames_for_Analysis\4122_C0034_R_0377.jpg</t>
  </si>
  <si>
    <t>E:\CAFNEC_GBRF\2022\BarronRiver\Frames_for_Analysis\4123_C0034_R_0374.jpg</t>
  </si>
  <si>
    <t>E:\CAFNEC_GBRF\2022\BarronRiver\Frames_for_Analysis\4124_C0034_R_0372.jpg</t>
  </si>
  <si>
    <t>E:\CAFNEC_GBRF\2022\BarronRiver\Frames_for_Analysis\4125_C0034_R_0370.jpg</t>
  </si>
  <si>
    <t>E:\CAFNEC_GBRF\2022\BarronRiver\Frames_for_Analysis\4126_C0034_R_0367.jpg</t>
  </si>
  <si>
    <t>E:\CAFNEC_GBRF\2022\BarronRiver\Frames_for_Analysis\4127_C0034_R_0365.jpg</t>
  </si>
  <si>
    <t>E:\CAFNEC_GBRF\2022\BarronRiver\Frames_for_Analysis\4128_C0034_R_0362.jpg</t>
  </si>
  <si>
    <t>E:\CAFNEC_GBRF\2022\BarronRiver\Frames_for_Analysis\4129_C0034_R_0359.jpg</t>
  </si>
  <si>
    <t>E:\CAFNEC_GBRF\2022\BarronRiver\Frames_for_Analysis\4130_C0034_R_0356.jpg</t>
  </si>
  <si>
    <t>E:\CAFNEC_GBRF\2022\BarronRiver\Frames_for_Analysis\4131_C0034_R_0354.jpg</t>
  </si>
  <si>
    <t>E:\CAFNEC_GBRF\2022\BarronRiver\Frames_for_Analysis\4132_C0034_R_0351.jpg</t>
  </si>
  <si>
    <t>E:\CAFNEC_GBRF\2022\BarronRiver\Frames_for_Analysis\4133_C0034_R_0347.jpg</t>
  </si>
  <si>
    <t>E:\CAFNEC_GBRF\2022\BarronRiver\Frames_for_Analysis\4134_C0034_R_0345.jpg</t>
  </si>
  <si>
    <t>E:\CAFNEC_GBRF\2022\BarronRiver\Frames_for_Analysis\4135_C0034_R_0343.jpg</t>
  </si>
  <si>
    <t>E:\CAFNEC_GBRF\2022\BarronRiver\Frames_for_Analysis\4136_C0034_R_0339.jpg</t>
  </si>
  <si>
    <t>E:\CAFNEC_GBRF\2022\BarronRiver\Frames_for_Analysis\4137_C0034_R_0337.jpg</t>
  </si>
  <si>
    <t>E:\CAFNEC_GBRF\2022\BarronRiver\Frames_for_Analysis\4138_C0034_R_0334.jpg</t>
  </si>
  <si>
    <t>E:\CAFNEC_GBRF\2022\BarronRiver\Frames_for_Analysis\4139_C0034_R_0331.jpg</t>
  </si>
  <si>
    <t>E:\CAFNEC_GBRF\2022\BarronRiver\Frames_for_Analysis\4140_C0034_R_0328.jpg</t>
  </si>
  <si>
    <t>E:\CAFNEC_GBRF\2022\BarronRiver\Frames_for_Analysis\4141_C0034_R_0325.jpg</t>
  </si>
  <si>
    <t>E:\CAFNEC_GBRF\2022\BarronRiver\Frames_for_Analysis\4142_C0034_R_0322.jpg</t>
  </si>
  <si>
    <t>E:\CAFNEC_GBRF\2022\BarronRiver\Frames_for_Analysis\4143_C0034_R_0319.jpg</t>
  </si>
  <si>
    <t>E:\CAFNEC_GBRF\2022\BarronRiver\Frames_for_Analysis\4144_C0034_R_0315.jpg</t>
  </si>
  <si>
    <t>E:\CAFNEC_GBRF\2022\BarronRiver\Frames_for_Analysis\4145_C0034_R_0312.jpg</t>
  </si>
  <si>
    <t>E:\CAFNEC_GBRF\2022\BarronRiver\Frames_for_Analysis\4146_C0034_R_0309.jpg</t>
  </si>
  <si>
    <t>E:\CAFNEC_GBRF\2022\BarronRiver\Frames_for_Analysis\4147_C0034_R_0305.jpg</t>
  </si>
  <si>
    <t>E:\CAFNEC_GBRF\2022\BarronRiver\Frames_for_Analysis\4148_C0034_R_0302.jpg</t>
  </si>
  <si>
    <t>E:\CAFNEC_GBRF\2022\BarronRiver\Frames_for_Analysis\4149_C0034_R_0298.jpg</t>
  </si>
  <si>
    <t>E:\CAFNEC_GBRF\2022\BarronRiver\Frames_for_Analysis\4150_C0034_R_0295.jpg</t>
  </si>
  <si>
    <t>E:\CAFNEC_GBRF\2022\BarronRiver\Frames_for_Analysis\4151_C0034_R_0292.jpg</t>
  </si>
  <si>
    <t>E:\CAFNEC_GBRF\2022\BarronRiver\Frames_for_Analysis\4152_C0034_R_0289.jpg</t>
  </si>
  <si>
    <t>E:\CAFNEC_GBRF\2022\BarronRiver\Frames_for_Analysis\4153_C0034_R_0285.jpg</t>
  </si>
  <si>
    <t>E:\CAFNEC_GBRF\2022\BarronRiver\Frames_for_Analysis\4154_C0034_R_0282.jpg</t>
  </si>
  <si>
    <t>E:\CAFNEC_GBRF\2022\BarronRiver\Frames_for_Analysis\4155_C0034_R_0279.jpg</t>
  </si>
  <si>
    <t>E:\CAFNEC_GBRF\2022\BarronRiver\Frames_for_Analysis\4156_C0034_R_0275.jpg</t>
  </si>
  <si>
    <t>E:\CAFNEC_GBRF\2022\BarronRiver\Frames_for_Analysis\4157_C0034_R_0271.jpg</t>
  </si>
  <si>
    <t>E:\CAFNEC_GBRF\2022\BarronRiver\Frames_for_Analysis\4158_C0034_R_0267.jpg</t>
  </si>
  <si>
    <t>E:\CAFNEC_GBRF\2022\BarronRiver\Frames_for_Analysis\4159_C0034_R_0264.jpg</t>
  </si>
  <si>
    <t>E:\CAFNEC_GBRF\2022\BarronRiver\Frames_for_Analysis\4160_C0034_R_0259.jpg</t>
  </si>
  <si>
    <t>E:\CAFNEC_GBRF\2022\BarronRiver\Frames_for_Analysis\4161_C0034_R_0254.jpg</t>
  </si>
  <si>
    <t>E:\CAFNEC_GBRF\2022\BarronRiver\Frames_for_Analysis\4162_C0034_R_0250.jpg</t>
  </si>
  <si>
    <t>E:\CAFNEC_GBRF\2022\BarronRiver\Frames_for_Analysis\4163_C0034_R_0246.jpg</t>
  </si>
  <si>
    <t>E:\CAFNEC_GBRF\2022\BarronRiver\Frames_for_Analysis\4164_C0034_R_0241.jpg</t>
  </si>
  <si>
    <t>E:\CAFNEC_GBRF\2022\BarronRiver\Frames_for_Analysis\4165_C0034_R_0236.jpg</t>
  </si>
  <si>
    <t>E:\CAFNEC_GBRF\2022\BarronRiver\Frames_for_Analysis\4166_C0034_R_0231.jpg</t>
  </si>
  <si>
    <t>E:\CAFNEC_GBRF\2022\BarronRiver\Frames_for_Analysis\4167_C0034_R_0226.jpg</t>
  </si>
  <si>
    <t>E:\CAFNEC_GBRF\2022\BarronRiver\Frames_for_Analysis\4168_C0034_R_0221.jpg</t>
  </si>
  <si>
    <t>E:\CAFNEC_GBRF\2022\BarronRiver\Frames_for_Analysis\4169_C0034_R_0217.jpg</t>
  </si>
  <si>
    <t>E:\CAFNEC_GBRF\2022\BarronRiver\Frames_for_Analysis\4170_C0034_R_0213.jpg</t>
  </si>
  <si>
    <t>E:\CAFNEC_GBRF\2022\BarronRiver\Frames_for_Analysis\4171_C0034_R_0209.jpg</t>
  </si>
  <si>
    <t>E:\CAFNEC_GBRF\2022\BarronRiver\Frames_for_Analysis\4172_C0034_R_0207.jpg</t>
  </si>
  <si>
    <t>E:\CAFNEC_GBRF\2022\BarronRiver\Frames_for_Analysis\4173_C0034_R_0205.jpg</t>
  </si>
  <si>
    <t>E:\CAFNEC_GBRF\2022\BarronRiver\Frames_for_Analysis\4174_C0034_R_0202.jpg</t>
  </si>
  <si>
    <t>E:\CAFNEC_GBRF\2022\BarronRiver\Frames_for_Analysis\4175_C0034_R_0200.jpg</t>
  </si>
  <si>
    <t>E:\CAFNEC_GBRF\2022\BarronRiver\Frames_for_Analysis\4176_C0034_R_0197.jpg</t>
  </si>
  <si>
    <t>E:\CAFNEC_GBRF\2022\BarronRiver\Frames_for_Analysis\4177_C0034_R_0195.jpg</t>
  </si>
  <si>
    <t>E:\CAFNEC_GBRF\2022\BarronRiver\Frames_for_Analysis\4178_C0034_R_0192.jpg</t>
  </si>
  <si>
    <t>E:\CAFNEC_GBRF\2022\BarronRiver\Frames_for_Analysis\4179_C0034_R_0190.jpg</t>
  </si>
  <si>
    <t>E:\CAFNEC_GBRF\2022\BarronRiver\Frames_for_Analysis\4180_C0034_R_0187.jpg</t>
  </si>
  <si>
    <t>E:\CAFNEC_GBRF\2022\BarronRiver\Frames_for_Analysis\4181_C0034_R_0184.jpg</t>
  </si>
  <si>
    <t>E:\CAFNEC_GBRF\2022\BarronRiver\Frames_for_Analysis\4182_C0034_R_0181.jpg</t>
  </si>
  <si>
    <t>E:\CAFNEC_GBRF\2022\BarronRiver\Frames_for_Analysis\4183_C0034_R_0178.jpg</t>
  </si>
  <si>
    <t>E:\CAFNEC_GBRF\2022\BarronRiver\Frames_for_Analysis\4184_C0034_R_0176.jpg</t>
  </si>
  <si>
    <t>E:\CAFNEC_GBRF\2022\BarronRiver\Frames_for_Analysis\4185_C0034_R_0173.jpg</t>
  </si>
  <si>
    <t>E:\CAFNEC_GBRF\2022\BarronRiver\Frames_for_Analysis\4186_C0034_R_0171.jpg</t>
  </si>
  <si>
    <t>E:\CAFNEC_GBRF\2022\BarronRiver\Frames_for_Analysis\4187_C0034_R_0168.jpg</t>
  </si>
  <si>
    <t>E:\CAFNEC_GBRF\2022\BarronRiver\Frames_for_Analysis\4188_C0034_R_0166.jpg</t>
  </si>
  <si>
    <t>E:\CAFNEC_GBRF\2022\BarronRiver\Frames_for_Analysis\4189_C0034_R_0163.jpg</t>
  </si>
  <si>
    <t>E:\CAFNEC_GBRF\2022\BarronRiver\Frames_for_Analysis\4190_C0034_R_0160.jpg</t>
  </si>
  <si>
    <t>E:\CAFNEC_GBRF\2022\BarronRiver\Frames_for_Analysis\4191_C0034_R_0157.jpg</t>
  </si>
  <si>
    <t>E:\CAFNEC_GBRF\2022\BarronRiver\Frames_for_Analysis\4192_C0034_R_0154.jpg</t>
  </si>
  <si>
    <t>E:\CAFNEC_GBRF\2022\BarronRiver\Frames_for_Analysis\4193_C0034_R_0152.jpg</t>
  </si>
  <si>
    <t>E:\CAFNEC_GBRF\2022\BarronRiver\Frames_for_Analysis\4194_C0034_R_0150.jpg</t>
  </si>
  <si>
    <t>E:\CAFNEC_GBRF\2022\BarronRiver\Frames_for_Analysis\4195_C0034_R_0146.jpg</t>
  </si>
  <si>
    <t>E:\CAFNEC_GBRF\2022\BarronRiver\Frames_for_Analysis\4196_C0034_R_0144.jpg</t>
  </si>
  <si>
    <t>E:\CAFNEC_GBRF\2022\BarronRiver\Frames_for_Analysis\4197_C0034_R_0141.jpg</t>
  </si>
  <si>
    <t>E:\CAFNEC_GBRF\2022\BarronRiver\Frames_for_Analysis\4198_C0034_R_0138.jpg</t>
  </si>
  <si>
    <t>E:\CAFNEC_GBRF\2022\BarronRiver\Frames_for_Analysis\4199_C0034_R_0135.jpg</t>
  </si>
  <si>
    <t>E:\CAFNEC_GBRF\2022\BarronRiver\Frames_for_Analysis\4200_C0034_R_0133.jpg</t>
  </si>
  <si>
    <t>E:\CAFNEC_GBRF\2022\BarronRiver\Frames_for_Analysis\4201_C0034_R_0130.jpg</t>
  </si>
  <si>
    <t>E:\CAFNEC_GBRF\2022\BarronRiver\Frames_for_Analysis\4202_C0034_R_0128.jpg</t>
  </si>
  <si>
    <t>E:\CAFNEC_GBRF\2022\BarronRiver\Frames_for_Analysis\4203_C0034_R_0125.jpg</t>
  </si>
  <si>
    <t>E:\CAFNEC_GBRF\2022\BarronRiver\Frames_for_Analysis\4204_C0034_R_0122.jpg</t>
  </si>
  <si>
    <t>E:\CAFNEC_GBRF\2022\BarronRiver\Frames_for_Analysis\4205_C0034_R_0119.jpg</t>
  </si>
  <si>
    <t>E:\CAFNEC_GBRF\2022\BarronRiver\Frames_for_Analysis\4206_C0034_R_0116.jpg</t>
  </si>
  <si>
    <t>E:\CAFNEC_GBRF\2022\BarronRiver\Frames_for_Analysis\4207_C0034_R_0113.jpg</t>
  </si>
  <si>
    <t>E:\CAFNEC_GBRF\2022\BarronRiver\Frames_for_Analysis\4208_C0034_R_0111.jpg</t>
  </si>
  <si>
    <t>E:\CAFNEC_GBRF\2022\BarronRiver\Frames_for_Analysis\4209_C0034_R_0108.jpg</t>
  </si>
  <si>
    <t>E:\CAFNEC_GBRF\2022\BarronRiver\Frames_for_Analysis\4210_C0034_R_0106.jpg</t>
  </si>
  <si>
    <t>E:\CAFNEC_GBRF\2022\BarronRiver\Frames_for_Analysis\4211_C0034_R_0103.jpg</t>
  </si>
  <si>
    <t>E:\CAFNEC_GBRF\2022\BarronRiver\Frames_for_Analysis\4212_C0034_R_0100.jpg</t>
  </si>
  <si>
    <t>E:\CAFNEC_GBRF\2022\BarronRiver\Frames_for_Analysis\4213_C0034_R_0098.jpg</t>
  </si>
  <si>
    <t>E:\CAFNEC_GBRF\2022\BarronRiver\Frames_for_Analysis\4214_C0034_R_0096.jpg</t>
  </si>
  <si>
    <t>E:\CAFNEC_GBRF\2022\BarronRiver\Frames_for_Analysis\4215_C0034_R_0093.jpg</t>
  </si>
  <si>
    <t>E:\CAFNEC_GBRF\2022\BarronRiver\Frames_for_Analysis\4216_C0034_R_0091.jpg</t>
  </si>
  <si>
    <t>E:\CAFNEC_GBRF\2022\BarronRiver\Frames_for_Analysis\4217_C0034_R_0088.jpg</t>
  </si>
  <si>
    <t>E:\CAFNEC_GBRF\2022\BarronRiver\Frames_for_Analysis\4218_C0034_R_0085.jpg</t>
  </si>
  <si>
    <t>E:\CAFNEC_GBRF\2022\BarronRiver\Frames_for_Analysis\4219_C0034_R_0083.jpg</t>
  </si>
  <si>
    <t>E:\CAFNEC_GBRF\2022\BarronRiver\Frames_for_Analysis\4220_C0034_R_0081.jpg</t>
  </si>
  <si>
    <t>E:\CAFNEC_GBRF\2022\BarronRiver\Frames_for_Analysis\4221_C0034_R_0079.jpg</t>
  </si>
  <si>
    <t>E:\CAFNEC_GBRF\2022\BarronRiver\Frames_for_Analysis\4222_C0034_R_0077.jpg</t>
  </si>
  <si>
    <t>E:\CAFNEC_GBRF\2022\BarronRiver\Frames_for_Analysis\4223_C0034_R_0075.jpg</t>
  </si>
  <si>
    <t>E:\CAFNEC_GBRF\2022\BarronRiver\Frames_for_Analysis\4224_C0034_R_0073.jpg</t>
  </si>
  <si>
    <t>E:\CAFNEC_GBRF\2022\BarronRiver\Frames_for_Analysis\4225_C0034_R_0071.jpg</t>
  </si>
  <si>
    <t>E:\CAFNEC_GBRF\2022\BarronRiver\Frames_for_Analysis\4226_C0034_R_0068.jpg</t>
  </si>
  <si>
    <t>E:\CAFNEC_GBRF\2022\BarronRiver\Frames_for_Analysis\4227_C0034_R_0065.jpg</t>
  </si>
  <si>
    <t>E:\CAFNEC_GBRF\2022\BarronRiver\Frames_for_Analysis\4228_C0064_R_0148.jpg</t>
  </si>
  <si>
    <t>E:\CAFNEC_GBRF\2022\BarronRiver\Frames_for_Analysis\4229_C0034_R_0057.jpg</t>
  </si>
  <si>
    <t>E:\CAFNEC_GBRF\2022\BarronRiver\Frames_for_Analysis\4230_C0034_R_0048.jpg</t>
  </si>
  <si>
    <t>E:\CAFNEC_GBRF\2022\BarronRiver\Frames_for_Analysis\4231_C0034_R_0044.jpg</t>
  </si>
  <si>
    <t>E:\CAFNEC_GBRF\2022\BarronRiver\Frames_for_Analysis\4232_C0034_R_0040.jpg</t>
  </si>
  <si>
    <t>E:\CAFNEC_GBRF\2022\BarronRiver\Frames_for_Analysis\4233_C0034_R_0038.jpg</t>
  </si>
  <si>
    <t>E:\CAFNEC_GBRF\2022\BarronRiver\Frames_for_Analysis\4234_C0034_R_0035.jpg</t>
  </si>
  <si>
    <t>E:\CAFNEC_GBRF\2022\BarronRiver\Frames_for_Analysis\4235_C0034_R_0032.jpg</t>
  </si>
  <si>
    <t>E:\CAFNEC_GBRF\2022\BarronRiver\Frames_for_Analysis\4236_C0034_R_0029.jpg</t>
  </si>
  <si>
    <t>E:\CAFNEC_GBRF\2022\BarronRiver\Frames_for_Analysis\4237_C0034_R_0024.jpg</t>
  </si>
  <si>
    <t>E:\CAFNEC_GBRF\2022\BarronRiver\Frames_for_Analysis\4238_C0034_R_0022.jpg</t>
  </si>
  <si>
    <t>E:\CAFNEC_GBRF\2022\BarronRiver\Frames_for_Analysis\4239_C0064_R_0149.jpg</t>
  </si>
  <si>
    <t>E:\CAFNEC_GBRF\2022\BarronRiver\Frames_for_Analysis\4240_C0034_R_0019.jpg</t>
  </si>
  <si>
    <t>E:\CAFNEC_GBRF\2022\BarronRiver\Frames_for_Analysis\4241_C0034_R_0018.jpg</t>
  </si>
  <si>
    <t>E:\CAFNEC_GBRF\2022\BarronRiver\Frames_for_Analysis\4242_C0034_R_0017.jpg</t>
  </si>
  <si>
    <t>E:\CAFNEC_GBRF\2022\BarronRiver\Frames_for_Analysis\4243_C0034_R_0015.jpg</t>
  </si>
  <si>
    <t>E:\CAFNEC_GBRF\2022\BarronRiver\Frames_for_Analysis\4244_C0034_R_0014.jpg</t>
  </si>
  <si>
    <t>E:\CAFNEC_GBRF\2022\BarronRiver\Frames_for_Analysis\4245_C0034_R_0012.jpg</t>
  </si>
  <si>
    <t>E:\CAFNEC_GBRF\2022\BarronRiver\Frames_for_Analysis\4246_C0034_R_0010.jpg</t>
  </si>
  <si>
    <t>Mangrove_Presence</t>
  </si>
  <si>
    <t>NA</t>
  </si>
  <si>
    <t>Density</t>
  </si>
  <si>
    <t>Maturity</t>
  </si>
  <si>
    <t>Sparse</t>
  </si>
  <si>
    <t>Isolated patch</t>
  </si>
  <si>
    <t>Open continuous</t>
  </si>
  <si>
    <t>Closed continuous</t>
  </si>
  <si>
    <t>Seedling</t>
  </si>
  <si>
    <t>Saplings</t>
  </si>
  <si>
    <t>Young mature</t>
  </si>
  <si>
    <t>Mature established</t>
  </si>
  <si>
    <t>Dead</t>
  </si>
  <si>
    <t>Very poor (30-60% cover)</t>
  </si>
  <si>
    <t>Moderate (60-90% cover)</t>
  </si>
  <si>
    <t>Healthy (&gt;90% cover)</t>
  </si>
  <si>
    <t>Mangrove Damage Score (D)</t>
  </si>
  <si>
    <t>Shoreline Modification Score (SM)</t>
  </si>
  <si>
    <t>Shoreline Habitat Impact Score</t>
  </si>
  <si>
    <t>Shoreline Mangrove Habitat Indicator Score</t>
  </si>
  <si>
    <t>Shoreline Mangrove Habitat Structure Score</t>
  </si>
  <si>
    <t>Average Density (MD)</t>
  </si>
  <si>
    <t>Average Maturity (MM)</t>
  </si>
  <si>
    <t>Standardised Score</t>
  </si>
  <si>
    <t>Shoreline_Modification</t>
  </si>
  <si>
    <t>Canopy Cover (C)</t>
  </si>
  <si>
    <t>Fringe Mangrove Cover (%C)</t>
  </si>
  <si>
    <t>47_20240611_0012_R_1919.jpg</t>
  </si>
  <si>
    <t>48_20240611_0012_R_1917.jpg</t>
  </si>
  <si>
    <t>49_20240611_0012_R_1914.jpg</t>
  </si>
  <si>
    <t>50_20240611_0012_R_1911.jpg</t>
  </si>
  <si>
    <t>51_20240611_0012_R_1908.jpg</t>
  </si>
  <si>
    <t>52_20240611_0012_R_1905.jpg</t>
  </si>
  <si>
    <t>53_20240611_0012_R_1901.jpg</t>
  </si>
  <si>
    <t>54_20240611_0012_R_1899.jpg</t>
  </si>
  <si>
    <t>55_20240611_0012_R_1896.jpg</t>
  </si>
  <si>
    <t>56_20240611_0012_R_1893.jpg</t>
  </si>
  <si>
    <t>57_20240611_0012_R_1890.jpg</t>
  </si>
  <si>
    <t>58_20240611_0012_R_1887.jpg</t>
  </si>
  <si>
    <t>59_20240611_0012_R_1885.jpg</t>
  </si>
  <si>
    <t>60_20240611_0012_R_1882.jpg</t>
  </si>
  <si>
    <t>61_20240611_0012_R_1879.jpg</t>
  </si>
  <si>
    <t>62_20240611_0012_R_1876.jpg</t>
  </si>
  <si>
    <t>63_20240611_0012_R_1874.jpg</t>
  </si>
  <si>
    <t>64_20240611_0012_R_1871.jpg</t>
  </si>
  <si>
    <t>65_20240611_0012_R_1868.jpg</t>
  </si>
  <si>
    <t>66_20240611_0012_R_1866.jpg</t>
  </si>
  <si>
    <t>67_20240611_0012_R_1863.jpg</t>
  </si>
  <si>
    <t>68_20240611_0012_R_1861.jpg</t>
  </si>
  <si>
    <t>69_20240611_0012_R_1858.jpg</t>
  </si>
  <si>
    <t>70_20240611_0012_R_1855.jpg</t>
  </si>
  <si>
    <t>71_20240611_0012_R_1852.jpg</t>
  </si>
  <si>
    <t>72_20240611_0012_R_1850.jpg</t>
  </si>
  <si>
    <t>73_20240611_0012_R_1848.jpg</t>
  </si>
  <si>
    <t>74_20240611_0012_R_1847.jpg</t>
  </si>
  <si>
    <t>75_20240611_0012_R_1845.jpg</t>
  </si>
  <si>
    <t>76_20240611_0012_R_1827.jpg</t>
  </si>
  <si>
    <t>77_20240611_0012_R_1828.jpg</t>
  </si>
  <si>
    <t>78_20240611_0012_R_1811.jpg</t>
  </si>
  <si>
    <t>79_20240611_0012_R_1829.jpg</t>
  </si>
  <si>
    <t>80_20240611_0012_R_1843.jpg</t>
  </si>
  <si>
    <t>81_20240611_0012_R_1838.jpg</t>
  </si>
  <si>
    <t>82_20240611_0012_R_1832.jpg</t>
  </si>
  <si>
    <t>83_20240611_0012_R_1801.jpg</t>
  </si>
  <si>
    <t>84_20240611_0012_R_1798.jpg</t>
  </si>
  <si>
    <t>85_20240611_0012_R_1796.jpg</t>
  </si>
  <si>
    <t>86_20240611_0012_R_1794.jpg</t>
  </si>
  <si>
    <t>87_20240611_0012_R_1791.jpg</t>
  </si>
  <si>
    <t>88_20240611_0012_R_1787.jpg</t>
  </si>
  <si>
    <t>89_20240611_0012_R_1784.jpg</t>
  </si>
  <si>
    <t>90_20240611_0012_R_1782.jpg</t>
  </si>
  <si>
    <t>91_20240611_0012_R_1780.jpg</t>
  </si>
  <si>
    <t>92_20240611_0012_R_1777.jpg</t>
  </si>
  <si>
    <t>93_20240611_0012_R_1774.jpg</t>
  </si>
  <si>
    <t>94_20240611_0012_R_1770.jpg</t>
  </si>
  <si>
    <t>95_20240611_0012_R_1765.jpg</t>
  </si>
  <si>
    <t>96_20240611_0012_R_1761.jpg</t>
  </si>
  <si>
    <t>97_20240611_0012_R_1756.jpg</t>
  </si>
  <si>
    <t>98_20240611_0012_R_1752.jpg</t>
  </si>
  <si>
    <t>99_20240611_0012_R_1748.jpg</t>
  </si>
  <si>
    <t>100_20240611_0012_R_1744.jpg</t>
  </si>
  <si>
    <t>101_20240611_0012_R_1739.jpg</t>
  </si>
  <si>
    <t>102_20240611_0012_R_1736.jpg</t>
  </si>
  <si>
    <t>103_20240611_0012_R_1732.jpg</t>
  </si>
  <si>
    <t>104_20240611_0012_R_1728.jpg</t>
  </si>
  <si>
    <t>105_20240611_0012_R_1724.jpg</t>
  </si>
  <si>
    <t>106_20240611_0012_R_1720.jpg</t>
  </si>
  <si>
    <t>107_20240611_0012_R_1716.jpg</t>
  </si>
  <si>
    <t>108_20240611_0012_R_1712.jpg</t>
  </si>
  <si>
    <t>109_20240611_0012_R_1707.jpg</t>
  </si>
  <si>
    <t>110_20240611_0012_R_1703.jpg</t>
  </si>
  <si>
    <t>111_20240611_0012_R_1699.jpg</t>
  </si>
  <si>
    <t>112_20240611_0012_R_1695.jpg</t>
  </si>
  <si>
    <t>113_20240611_0012_R_1690.jpg</t>
  </si>
  <si>
    <t>114_20240611_0012_R_1687.jpg</t>
  </si>
  <si>
    <t>115_20240611_0012_R_1681.jpg</t>
  </si>
  <si>
    <t>116_20240611_0012_R_1678.jpg</t>
  </si>
  <si>
    <t>117_20240611_0012_R_1674.jpg</t>
  </si>
  <si>
    <t>118_20240611_0012_R_1669.jpg</t>
  </si>
  <si>
    <t>119_20240611_0012_R_1662.jpg</t>
  </si>
  <si>
    <t>120_20240611_0012_R_1658.jpg</t>
  </si>
  <si>
    <t>121_20240611_0012_R_1655.jpg</t>
  </si>
  <si>
    <t>122_20240611_0012_R_1650.jpg</t>
  </si>
  <si>
    <t>123_20240611_0012_R_1646.jpg</t>
  </si>
  <si>
    <t>124_20240611_0012_R_1641.jpg</t>
  </si>
  <si>
    <t>125_20240611_0012_R_1639.jpg</t>
  </si>
  <si>
    <t>126_20240611_0012_R_1635.jpg</t>
  </si>
  <si>
    <t>127_20240611_0012_R_1632.jpg</t>
  </si>
  <si>
    <t>128_20240611_0012_R_1629.jpg</t>
  </si>
  <si>
    <t>129_20240611_0012_R_1623.jpg</t>
  </si>
  <si>
    <t>130_20240611_0012_R_1614.jpg</t>
  </si>
  <si>
    <t>131_20240611_0012_R_1609.jpg</t>
  </si>
  <si>
    <t>132_20240611_0012_R_1603.jpg</t>
  </si>
  <si>
    <t>133_20240611_0012_R_1598.jpg</t>
  </si>
  <si>
    <t>134_20240611_0012_R_1594.jpg</t>
  </si>
  <si>
    <t>135_20240611_0012_R_1591.jpg</t>
  </si>
  <si>
    <t>136_20240611_0012_R_1585.jpg</t>
  </si>
  <si>
    <t>137_20240611_0012_R_1583.jpg</t>
  </si>
  <si>
    <t>138_20240611_0012_R_1577.jpg</t>
  </si>
  <si>
    <t>139_20240611_0012_R_1572.jpg</t>
  </si>
  <si>
    <t>140_20240611_0012_R_1567.jpg</t>
  </si>
  <si>
    <t>141_20240611_0012_R_1563.jpg</t>
  </si>
  <si>
    <t>142_20240611_0012_R_1558.jpg</t>
  </si>
  <si>
    <t>143_20240611_0012_R_1554.jpg</t>
  </si>
  <si>
    <t>144_20240611_0012_R_1551.jpg</t>
  </si>
  <si>
    <t>145_20240611_0012_R_1547.jpg</t>
  </si>
  <si>
    <t>146_20240611_0012_R_1543.jpg</t>
  </si>
  <si>
    <t>147_20240611_0012_R_1539.jpg</t>
  </si>
  <si>
    <t>148_20240611_0012_R_1536.jpg</t>
  </si>
  <si>
    <t>149_20240611_0012_R_1533.jpg</t>
  </si>
  <si>
    <t>150_20240611_0012_R_1531.jpg</t>
  </si>
  <si>
    <t>151_20240611_0012_R_1528.jpg</t>
  </si>
  <si>
    <t>152_20240611_0012_R_1526.jpg</t>
  </si>
  <si>
    <t>153_20240611_0012_R_1524.jpg</t>
  </si>
  <si>
    <t>154_20240611_0012_R_1523.jpg</t>
  </si>
  <si>
    <t>155_20240611_0012_R_1521.jpg</t>
  </si>
  <si>
    <t>156_20240611_0012_R_1519.jpg</t>
  </si>
  <si>
    <t>157_20240611_0012_R_1518.jpg</t>
  </si>
  <si>
    <t>158_20240611_0012_R_1516.jpg</t>
  </si>
  <si>
    <t>159_20240611_0012_R_1513.jpg</t>
  </si>
  <si>
    <t>160_20240611_0012_R_1509.jpg</t>
  </si>
  <si>
    <t>161_20240611_0012_R_1506.jpg</t>
  </si>
  <si>
    <t>162_20240611_0012_R_1498.jpg</t>
  </si>
  <si>
    <t>163_20240611_0012_R_1488.jpg</t>
  </si>
  <si>
    <t>164_20240611_0012_R_1492.jpg</t>
  </si>
  <si>
    <t>165_20240611_0012_R_1494.jpg</t>
  </si>
  <si>
    <t>166_20240611_0012_R_1479.jpg</t>
  </si>
  <si>
    <t>167_20240611_0012_R_1477.jpg</t>
  </si>
  <si>
    <t>168_20240611_0012_R_1476.jpg</t>
  </si>
  <si>
    <t>169_20240611_0012_R_1472.jpg</t>
  </si>
  <si>
    <t>170_20240611_0012_R_1471.jpg</t>
  </si>
  <si>
    <t>171_20240611_0012_R_1467.jpg</t>
  </si>
  <si>
    <t>172_20240611_0012_R_1468.jpg</t>
  </si>
  <si>
    <t>175_20240611_0012_R_1460.jpg</t>
  </si>
  <si>
    <t>176_20240611_0012_R_1446.jpg</t>
  </si>
  <si>
    <t>177_20240611_0012_R_1458.jpg</t>
  </si>
  <si>
    <t>178_20240611_0012_R_1457.jpg</t>
  </si>
  <si>
    <t>179_20240611_0012_R_1456.jpg</t>
  </si>
  <si>
    <t>180_20240611_0012_R_1453.jpg</t>
  </si>
  <si>
    <t>181_20240611_0012_R_1445.jpg</t>
  </si>
  <si>
    <t>182_20240611_0012_R_1416.jpg</t>
  </si>
  <si>
    <t>184_20240611_0012_R_1415.jpg</t>
  </si>
  <si>
    <t>185_20240611_0012_R_1389.jpg</t>
  </si>
  <si>
    <t>186_20240611_0012_R_1393.jpg</t>
  </si>
  <si>
    <t>187_20240611_0012_R_1419.jpg</t>
  </si>
  <si>
    <t>188_20240611_0012_R_1394.jpg</t>
  </si>
  <si>
    <t>189_20240611_0012_R_1384.jpg</t>
  </si>
  <si>
    <t>190_20240611_0012_R_1408.jpg</t>
  </si>
  <si>
    <t>191_20240611_0012_R_1354.jpg</t>
  </si>
  <si>
    <t>192_20240611_0012_R_1372.jpg</t>
  </si>
  <si>
    <t>193_20240611_0012_R_1379.jpg</t>
  </si>
  <si>
    <t>194_20240611_0012_R_1356.jpg</t>
  </si>
  <si>
    <t>195_20240611_0012_R_1402.jpg</t>
  </si>
  <si>
    <t>196_20240611_0012_R_1359.jpg</t>
  </si>
  <si>
    <t>197_20240611_0012_R_1345.jpg</t>
  </si>
  <si>
    <t>198_20240611_0012_R_1404.jpg</t>
  </si>
  <si>
    <t>200_20240611_0012_R_1405.jpg</t>
  </si>
  <si>
    <t>201_20240611_0012_R_1344.jpg</t>
  </si>
  <si>
    <t>203_20240611_0012_R_1343.jpg</t>
  </si>
  <si>
    <t>206_20240611_0012_R_1342.jpg</t>
  </si>
  <si>
    <t>207_20240611_0012_R_1341.jpg</t>
  </si>
  <si>
    <t>209_20240611_0012_R_1340.jpg</t>
  </si>
  <si>
    <t>212_20240611_0012_R_1189.jpg</t>
  </si>
  <si>
    <t>213_20240611_0012_R_1190.jpg</t>
  </si>
  <si>
    <t>214_20240611_0012_R_1194.jpg</t>
  </si>
  <si>
    <t>215_20240611_0012_R_1191.jpg</t>
  </si>
  <si>
    <t>216_20240611_0012_R_1338.jpg</t>
  </si>
  <si>
    <t>217_20240611_0012_R_1196.jpg</t>
  </si>
  <si>
    <t>218_20240611_0012_R_1184.jpg</t>
  </si>
  <si>
    <t>219_20240611_0012_R_1299.jpg</t>
  </si>
  <si>
    <t>220_20240611_0012_R_1178.jpg</t>
  </si>
  <si>
    <t>221_20240611_0012_R_1171.jpg</t>
  </si>
  <si>
    <t>222_20240611_0012_R_1294.jpg</t>
  </si>
  <si>
    <t>223_20240611_0012_R_1289.jpg</t>
  </si>
  <si>
    <t>224_20240611_0012_R_1286.jpg</t>
  </si>
  <si>
    <t>225_20240611_0012_R_1166.jpg</t>
  </si>
  <si>
    <t>226_20240611_0012_R_1155.jpg</t>
  </si>
  <si>
    <t>227_20240611_0012_R_1281.jpg</t>
  </si>
  <si>
    <t>228_20240611_0012_R_1146.jpg</t>
  </si>
  <si>
    <t>229_20240611_0012_R_1278.jpg</t>
  </si>
  <si>
    <t>230_20240611_0012_R_1212.jpg</t>
  </si>
  <si>
    <t>231_20240611_0012_R_1273.jpg</t>
  </si>
  <si>
    <t>232_20240611_0012_R_1244.jpg</t>
  </si>
  <si>
    <t>233_20240611_0012_R_1249.jpg</t>
  </si>
  <si>
    <t>234_20240611_0012_R_1252.jpg</t>
  </si>
  <si>
    <t>235_20240611_0012_R_1219.jpg</t>
  </si>
  <si>
    <t>236_20240611_0012_R_1130.jpg</t>
  </si>
  <si>
    <t>237_20240611_0012_R_1232.jpg</t>
  </si>
  <si>
    <t>238_20240611_0012_R_1229.jpg</t>
  </si>
  <si>
    <t>239_20240611_0012_R_1119.jpg</t>
  </si>
  <si>
    <t>240_20240611_0012_R_1113.jpg</t>
  </si>
  <si>
    <t>241_20240611_0012_R_1104.jpg</t>
  </si>
  <si>
    <t>242_20240611_0012_R_1105.jpg</t>
  </si>
  <si>
    <t>243_20240611_0012_R_1106.jpg</t>
  </si>
  <si>
    <t>244_20240611_0012_R_1110.jpg</t>
  </si>
  <si>
    <t>246_20240611_0012_R_1006.jpg</t>
  </si>
  <si>
    <t>249_20240611_0012_R_1007.jpg</t>
  </si>
  <si>
    <t>251_20240611_0012_R_1008.jpg</t>
  </si>
  <si>
    <t>253_20240611_0012_R_1027.jpg</t>
  </si>
  <si>
    <t>254_20240611_0012_R_1015.jpg</t>
  </si>
  <si>
    <t>255_20240611_0012_R_1023.jpg</t>
  </si>
  <si>
    <t>256_20240611_0012_R_1029.jpg</t>
  </si>
  <si>
    <t>257_20240611_0012_R_1020.jpg</t>
  </si>
  <si>
    <t>258_20240611_0012_R_1013.jpg</t>
  </si>
  <si>
    <t>259_20240611_0012_R_1098.jpg</t>
  </si>
  <si>
    <t>260_20240611_0012_R_0972.jpg</t>
  </si>
  <si>
    <t>261_20240611_0012_R_1097.jpg</t>
  </si>
  <si>
    <t>263_20240611_0012_R_1030.jpg</t>
  </si>
  <si>
    <t>264_20240611_0012_R_1011.jpg</t>
  </si>
  <si>
    <t>265_20240611_0012_R_1095.jpg</t>
  </si>
  <si>
    <t>266_20240611_0012_R_1031.jpg</t>
  </si>
  <si>
    <t>267_20240611_0012_R_0970.jpg</t>
  </si>
  <si>
    <t>268_20240611_0012_R_1093.jpg</t>
  </si>
  <si>
    <t>269_20240611_0012_R_1091.jpg</t>
  </si>
  <si>
    <t>270_20240611_0012_R_1078.jpg</t>
  </si>
  <si>
    <t>271_20240611_0012_R_1073.jpg</t>
  </si>
  <si>
    <t>272_20240611_0012_R_1072.jpg</t>
  </si>
  <si>
    <t>273_20240611_0012_R_1070.jpg</t>
  </si>
  <si>
    <t>274_20240611_0012_R_1033.jpg</t>
  </si>
  <si>
    <t>275_20240611_0012_R_0916.jpg</t>
  </si>
  <si>
    <t>276_20240611_0012_R_0902.jpg</t>
  </si>
  <si>
    <t>277_20240611_0012_R_1066.jpg</t>
  </si>
  <si>
    <t>278_20240611_0012_R_0907.jpg</t>
  </si>
  <si>
    <t>279_20240611_0012_R_0901.jpg</t>
  </si>
  <si>
    <t>280_20240611_0012_R_1035.jpg</t>
  </si>
  <si>
    <t>281_20240611_0012_R_0906.jpg</t>
  </si>
  <si>
    <t>282_20240611_0012_R_1061.jpg</t>
  </si>
  <si>
    <t>283_20240611_0012_R_0918.jpg</t>
  </si>
  <si>
    <t>284_20240611_0012_R_1059.jpg</t>
  </si>
  <si>
    <t>285_20240611_0012_R_0967.jpg</t>
  </si>
  <si>
    <t>286_20240611_0012_R_1042.jpg</t>
  </si>
  <si>
    <t>287_20240611_0012_R_1056.jpg</t>
  </si>
  <si>
    <t>288_20240611_0012_R_1047.jpg</t>
  </si>
  <si>
    <t>289_20240611_0012_R_1046.jpg</t>
  </si>
  <si>
    <t>290_20240611_0012_R_1053.jpg</t>
  </si>
  <si>
    <t>291_20240611_0012_R_1051.jpg</t>
  </si>
  <si>
    <t>293_20240611_0012_R_0965.jpg</t>
  </si>
  <si>
    <t>295_20240611_0012_R_0921.jpg</t>
  </si>
  <si>
    <t>297_20240611_0012_R_0964.jpg</t>
  </si>
  <si>
    <t>336_20240611_0012_R_0922.jpg</t>
  </si>
  <si>
    <t>337_20240611_0012_R_0962.jpg</t>
  </si>
  <si>
    <t>338_20240611_0012_R_0895.jpg</t>
  </si>
  <si>
    <t>339_20240611_0012_R_0923.jpg</t>
  </si>
  <si>
    <t>340_20240611_0012_R_0924.jpg</t>
  </si>
  <si>
    <t>341_20240611_0012_R_0892.jpg</t>
  </si>
  <si>
    <t>342_20240611_0012_R_0926.jpg</t>
  </si>
  <si>
    <t>343_20240611_0012_R_0887.jpg</t>
  </si>
  <si>
    <t>344_20240611_0012_R_0886.jpg</t>
  </si>
  <si>
    <t>345_20240611_0012_R_0929.jpg</t>
  </si>
  <si>
    <t>346_20240611_0012_R_0883.jpg</t>
  </si>
  <si>
    <t>347_20240611_0012_R_0881.jpg</t>
  </si>
  <si>
    <t>348_20240611_0012_R_0958.jpg</t>
  </si>
  <si>
    <t>349_20240611_0012_R_0875.jpg</t>
  </si>
  <si>
    <t>350_20240611_0012_R_0871.jpg</t>
  </si>
  <si>
    <t>351_20240611_0012_R_0868.jpg</t>
  </si>
  <si>
    <t>352_20240611_0012_R_0956.jpg</t>
  </si>
  <si>
    <t>353_20240611_0012_R_0862.jpg</t>
  </si>
  <si>
    <t>354_20240611_0012_R_0853.jpg</t>
  </si>
  <si>
    <t>355_20240611_0012_R_0849.jpg</t>
  </si>
  <si>
    <t>356_20240611_0012_R_0812.jpg</t>
  </si>
  <si>
    <t>357_20240611_0012_R_0836.jpg</t>
  </si>
  <si>
    <t>358_20240611_0012_R_0831.jpg</t>
  </si>
  <si>
    <t>359_20240611_0012_R_0805.jpg</t>
  </si>
  <si>
    <t>360_20240611_0012_R_0802.jpg</t>
  </si>
  <si>
    <t>361_20240611_0012_R_0798.jpg</t>
  </si>
  <si>
    <t>363_20240611_0012_R_0794.jpg</t>
  </si>
  <si>
    <t>364_20240611_0012_R_0796.jpg</t>
  </si>
  <si>
    <t>365_20240611_0012_R_0791.jpg</t>
  </si>
  <si>
    <t>366_20240611_0012_R_0787.jpg</t>
  </si>
  <si>
    <t>367_20240611_0012_R_0786.jpg</t>
  </si>
  <si>
    <t>368_20240611_0012_R_0784.jpg</t>
  </si>
  <si>
    <t>369_20240611_0012_R_0783.jpg</t>
  </si>
  <si>
    <t>370_20240611_0012_R_0782.jpg</t>
  </si>
  <si>
    <t>371_20240611_0012_R_0780.jpg</t>
  </si>
  <si>
    <t>372_20240611_0012_R_0775.jpg</t>
  </si>
  <si>
    <t>373_20240611_0012_R_0773.jpg</t>
  </si>
  <si>
    <t>374_20240611_0012_R_0771.jpg</t>
  </si>
  <si>
    <t>375_20240611_0012_R_0768.jpg</t>
  </si>
  <si>
    <t>376_20240611_0012_R_0766.jpg</t>
  </si>
  <si>
    <t>377_20240611_0012_R_0764.jpg</t>
  </si>
  <si>
    <t>378_20240611_0012_R_0761.jpg</t>
  </si>
  <si>
    <t>379_20240611_0012_R_0758.jpg</t>
  </si>
  <si>
    <t>380_20240611_0012_R_0756.jpg</t>
  </si>
  <si>
    <t>381_20240611_0012_R_0752.jpg</t>
  </si>
  <si>
    <t>382_20240611_0012_R_0749.jpg</t>
  </si>
  <si>
    <t>383_20240611_0012_R_0746.jpg</t>
  </si>
  <si>
    <t>384_20240611_0012_R_0728.jpg</t>
  </si>
  <si>
    <t>385_20240611_0012_R_0734.jpg</t>
  </si>
  <si>
    <t>386_20240611_0012_R_0723.jpg</t>
  </si>
  <si>
    <t>387_20240611_0012_R_0721.jpg</t>
  </si>
  <si>
    <t>388_20240611_0012_R_0719.jpg</t>
  </si>
  <si>
    <t>389_20240611_0012_R_0716.jpg</t>
  </si>
  <si>
    <t>390_20240611_0012_R_0715.jpg</t>
  </si>
  <si>
    <t>391_20240611_0012_R_0713.jpg</t>
  </si>
  <si>
    <t>392_20240611_0012_R_0709.jpg</t>
  </si>
  <si>
    <t>393_20240611_0012_R_0705.jpg</t>
  </si>
  <si>
    <t>394_20240611_0012_R_0702.jpg</t>
  </si>
  <si>
    <t>395_20240611_0012_R_0699.jpg</t>
  </si>
  <si>
    <t>396_20240611_0012_R_0695.jpg</t>
  </si>
  <si>
    <t>397_20240611_0012_R_0691.jpg</t>
  </si>
  <si>
    <t>398_20240611_0012_R_0687.jpg</t>
  </si>
  <si>
    <t>399_20240611_0012_R_0683.jpg</t>
  </si>
  <si>
    <t>400_20240611_0012_R_0680.jpg</t>
  </si>
  <si>
    <t>401_20240611_0012_R_0676.jpg</t>
  </si>
  <si>
    <t>402_20240611_0012_R_0673.jpg</t>
  </si>
  <si>
    <t>403_20240611_0012_R_0670.jpg</t>
  </si>
  <si>
    <t>404_20240611_0012_R_0667.jpg</t>
  </si>
  <si>
    <t>405_20240611_0012_R_0664.jpg</t>
  </si>
  <si>
    <t>406_20240611_0012_R_0661.jpg</t>
  </si>
  <si>
    <t>407_20240611_0012_R_0658.jpg</t>
  </si>
  <si>
    <t>408_20240611_0012_R_0656.jpg</t>
  </si>
  <si>
    <t>409_20240611_0012_R_0653.jpg</t>
  </si>
  <si>
    <t>410_20240611_0012_R_0650.jpg</t>
  </si>
  <si>
    <t>411_20240611_0012_R_0647.jpg</t>
  </si>
  <si>
    <t>412_20240611_0012_R_0645.jpg</t>
  </si>
  <si>
    <t>413_20240611_0012_R_0642.jpg</t>
  </si>
  <si>
    <t>414_20240611_0012_R_0639.jpg</t>
  </si>
  <si>
    <t>415_20240611_0012_R_0636.jpg</t>
  </si>
  <si>
    <t>416_20240611_0012_R_0633.jpg</t>
  </si>
  <si>
    <t>417_20240611_0012_R_0630.jpg</t>
  </si>
  <si>
    <t>418_20240611_0012_R_0627.jpg</t>
  </si>
  <si>
    <t>419_20240611_0012_R_0624.jpg</t>
  </si>
  <si>
    <t>420_20240611_0012_R_0622.jpg</t>
  </si>
  <si>
    <t>421_20240611_0012_R_0619.jpg</t>
  </si>
  <si>
    <t>422_20240611_0012_R_0616.jpg</t>
  </si>
  <si>
    <t>423_20240611_0012_R_0614.jpg</t>
  </si>
  <si>
    <t>424_20240611_0012_R_0611.jpg</t>
  </si>
  <si>
    <t>425_20240611_0012_R_0608.jpg</t>
  </si>
  <si>
    <t>426_20240611_0012_R_0606.jpg</t>
  </si>
  <si>
    <t>427_20240611_0012_R_0603.jpg</t>
  </si>
  <si>
    <t>428_20240611_0012_R_0600.jpg</t>
  </si>
  <si>
    <t>429_20240611_0012_R_0598.jpg</t>
  </si>
  <si>
    <t>430_20240611_0012_R_0595.jpg</t>
  </si>
  <si>
    <t>431_20240611_0012_R_0592.jpg</t>
  </si>
  <si>
    <t>432_20240611_0012_R_0590.jpg</t>
  </si>
  <si>
    <t>433_20240611_0012_R_0587.jpg</t>
  </si>
  <si>
    <t>434_20240611_0012_R_0585.jpg</t>
  </si>
  <si>
    <t>435_20240611_0012_R_0582.jpg</t>
  </si>
  <si>
    <t>436_20240611_0012_R_0579.jpg</t>
  </si>
  <si>
    <t>437_20240611_0012_R_0577.jpg</t>
  </si>
  <si>
    <t>438_20240611_0012_R_0574.jpg</t>
  </si>
  <si>
    <t>439_20240611_0012_R_0571.jpg</t>
  </si>
  <si>
    <t>440_20240611_0012_R_0569.jpg</t>
  </si>
  <si>
    <t>441_20240611_0012_R_0566.jpg</t>
  </si>
  <si>
    <t>442_20240611_0012_R_0563.jpg</t>
  </si>
  <si>
    <t>443_20240611_0012_R_0561.jpg</t>
  </si>
  <si>
    <t>444_20240611_0012_R_0558.jpg</t>
  </si>
  <si>
    <t>445_20240611_0012_R_0555.jpg</t>
  </si>
  <si>
    <t>446_20240611_0012_R_0553.jpg</t>
  </si>
  <si>
    <t>447_20240611_0012_R_0550.jpg</t>
  </si>
  <si>
    <t>448_20240611_0012_R_0548.jpg</t>
  </si>
  <si>
    <t>449_20240611_0012_R_0545.jpg</t>
  </si>
  <si>
    <t>450_20240611_0012_R_0543.jpg</t>
  </si>
  <si>
    <t>451_20240611_0012_R_0540.jpg</t>
  </si>
  <si>
    <t>452_20240611_0012_R_0537.jpg</t>
  </si>
  <si>
    <t>453_20240611_0012_R_0535.jpg</t>
  </si>
  <si>
    <t>454_20240611_0012_R_0532.jpg</t>
  </si>
  <si>
    <t>455_20240611_0012_R_0530.jpg</t>
  </si>
  <si>
    <t>456_20240611_0012_R_0527.jpg</t>
  </si>
  <si>
    <t>457_20240611_0012_R_0524.jpg</t>
  </si>
  <si>
    <t>458_20240611_0012_R_0521.jpg</t>
  </si>
  <si>
    <t>459_20240611_0012_R_0518.jpg</t>
  </si>
  <si>
    <t>460_20240611_0012_R_0516.jpg</t>
  </si>
  <si>
    <t>461_20240611_0012_R_0513.jpg</t>
  </si>
  <si>
    <t>462_20240611_0012_R_0510.jpg</t>
  </si>
  <si>
    <t>463_20240611_0012_R_0508.jpg</t>
  </si>
  <si>
    <t>464_20240611_0012_R_0505.jpg</t>
  </si>
  <si>
    <t>465_20240611_0012_R_0502.jpg</t>
  </si>
  <si>
    <t>466_20240611_0012_R_0500.jpg</t>
  </si>
  <si>
    <t>467_20240611_0012_R_0497.jpg</t>
  </si>
  <si>
    <t>468_20240611_0012_R_0495.jpg</t>
  </si>
  <si>
    <t>469_20240611_0012_R_0492.jpg</t>
  </si>
  <si>
    <t>470_20240611_0012_R_0490.jpg</t>
  </si>
  <si>
    <t>471_20240611_0012_R_0488.jpg</t>
  </si>
  <si>
    <t>472_20240611_0012_R_0485.jpg</t>
  </si>
  <si>
    <t>473_20240611_0012_R_0483.jpg</t>
  </si>
  <si>
    <t>474_20240611_0012_R_0480.jpg</t>
  </si>
  <si>
    <t>475_20240611_0012_R_0478.jpg</t>
  </si>
  <si>
    <t>476_20240611_0012_R_0476.jpg</t>
  </si>
  <si>
    <t>477_20240611_0012_R_0473.jpg</t>
  </si>
  <si>
    <t>478_20240611_0012_R_0471.jpg</t>
  </si>
  <si>
    <t>479_20240611_0012_R_0468.jpg</t>
  </si>
  <si>
    <t>480_20240611_0012_R_0466.jpg</t>
  </si>
  <si>
    <t>481_20240611_0012_R_0464.jpg</t>
  </si>
  <si>
    <t>482_20240611_0012_R_0461.jpg</t>
  </si>
  <si>
    <t>483_20240611_0012_R_0459.jpg</t>
  </si>
  <si>
    <t>484_20240611_0012_R_0457.jpg</t>
  </si>
  <si>
    <t>485_20240611_0012_R_0454.jpg</t>
  </si>
  <si>
    <t>486_20240611_0012_R_0452.jpg</t>
  </si>
  <si>
    <t>487_20240611_0012_R_0450.jpg</t>
  </si>
  <si>
    <t>488_20240611_0012_R_0447.jpg</t>
  </si>
  <si>
    <t>489_20240611_0012_R_0445.jpg</t>
  </si>
  <si>
    <t>490_20240611_0012_R_0442.jpg</t>
  </si>
  <si>
    <t>491_20240611_0012_R_0440.jpg</t>
  </si>
  <si>
    <t>492_20240611_0012_R_0437.jpg</t>
  </si>
  <si>
    <t>493_20240611_0012_R_0435.jpg</t>
  </si>
  <si>
    <t>494_20240611_0012_R_0432.jpg</t>
  </si>
  <si>
    <t>495_20240611_0012_R_0430.jpg</t>
  </si>
  <si>
    <t>496_20240611_0012_R_0427.jpg</t>
  </si>
  <si>
    <t>497_20240611_0012_R_0425.jpg</t>
  </si>
  <si>
    <t>498_20240611_0012_R_0422.jpg</t>
  </si>
  <si>
    <t>499_20240611_0012_R_0419.jpg</t>
  </si>
  <si>
    <t>500_20240611_0012_R_0417.jpg</t>
  </si>
  <si>
    <t>501_20240611_0012_R_0414.jpg</t>
  </si>
  <si>
    <t>502_20240611_0012_R_0411.jpg</t>
  </si>
  <si>
    <t>503_20240611_0012_R_0408.jpg</t>
  </si>
  <si>
    <t>504_20240611_0012_R_0405.jpg</t>
  </si>
  <si>
    <t>505_20240611_0012_R_0403.jpg</t>
  </si>
  <si>
    <t>506_20240611_0012_R_0400.jpg</t>
  </si>
  <si>
    <t>507_20240611_0012_R_0397.jpg</t>
  </si>
  <si>
    <t>508_20240611_0012_R_0394.jpg</t>
  </si>
  <si>
    <t>509_20240611_0012_R_0392.jpg</t>
  </si>
  <si>
    <t>510_20240611_0012_R_0389.jpg</t>
  </si>
  <si>
    <t>511_20240611_0012_R_0386.jpg</t>
  </si>
  <si>
    <t>512_20240611_0012_R_0383.jpg</t>
  </si>
  <si>
    <t>513_20240611_0012_R_0380.jpg</t>
  </si>
  <si>
    <t>514_20240611_0012_R_0377.jpg</t>
  </si>
  <si>
    <t>515_20240611_0012_R_0374.jpg</t>
  </si>
  <si>
    <t>516_20240611_0012_R_0371.jpg</t>
  </si>
  <si>
    <t>517_20240611_0012_R_0368.jpg</t>
  </si>
  <si>
    <t>518_20240611_0012_R_0366.jpg</t>
  </si>
  <si>
    <t>519_20240611_0012_R_0363.jpg</t>
  </si>
  <si>
    <t>520_20240611_0012_R_0361.jpg</t>
  </si>
  <si>
    <t>521_20240611_0012_R_0358.jpg</t>
  </si>
  <si>
    <t>522_20240611_0012_R_0356.jpg</t>
  </si>
  <si>
    <t>523_20240611_0012_R_0353.jpg</t>
  </si>
  <si>
    <t>524_20240611_0012_R_0351.jpg</t>
  </si>
  <si>
    <t>525_20240611_0012_R_0348.jpg</t>
  </si>
  <si>
    <t>526_20240611_0012_R_0346.jpg</t>
  </si>
  <si>
    <t>527_20240611_0012_R_0343.jpg</t>
  </si>
  <si>
    <t>528_20240611_0012_R_0340.jpg</t>
  </si>
  <si>
    <t>529_20240611_0012_R_0338.jpg</t>
  </si>
  <si>
    <t>530_20240611_0012_R_0335.jpg</t>
  </si>
  <si>
    <t>531_20240611_0012_R_0332.jpg</t>
  </si>
  <si>
    <t>532_20240611_0012_R_0330.jpg</t>
  </si>
  <si>
    <t>533_20240611_0012_R_0328.jpg</t>
  </si>
  <si>
    <t>534_20240611_0012_R_0325.jpg</t>
  </si>
  <si>
    <t>535_20240611_0012_R_0323.jpg</t>
  </si>
  <si>
    <t>536_20240611_0012_R_0320.jpg</t>
  </si>
  <si>
    <t>537_20240611_0012_R_0318.jpg</t>
  </si>
  <si>
    <t>538_20240611_0012_R_0316.jpg</t>
  </si>
  <si>
    <t>539_20240611_0012_R_0313.jpg</t>
  </si>
  <si>
    <t>540_20240611_0012_R_0311.jpg</t>
  </si>
  <si>
    <t>541_20240611_0012_R_0309.jpg</t>
  </si>
  <si>
    <t>542_20240611_0012_R_0306.jpg</t>
  </si>
  <si>
    <t>543_20240611_0012_R_0304.jpg</t>
  </si>
  <si>
    <t>544_20240611_0012_R_0301.jpg</t>
  </si>
  <si>
    <t>545_20240611_0012_R_0299.jpg</t>
  </si>
  <si>
    <t>546_20240611_0012_R_0296.jpg</t>
  </si>
  <si>
    <t>547_20240611_0012_R_0294.jpg</t>
  </si>
  <si>
    <t>548_20240611_0012_R_0292.jpg</t>
  </si>
  <si>
    <t>549_20240611_0012_R_0289.jpg</t>
  </si>
  <si>
    <t>550_20240611_0012_R_0287.jpg</t>
  </si>
  <si>
    <t>551_20240611_0012_R_0284.jpg</t>
  </si>
  <si>
    <t>552_20240611_0012_R_0282.jpg</t>
  </si>
  <si>
    <t>553_20240611_0012_R_0280.jpg</t>
  </si>
  <si>
    <t>554_20240611_0012_R_0277.jpg</t>
  </si>
  <si>
    <t>555_20240611_0012_R_0275.jpg</t>
  </si>
  <si>
    <t>556_20240611_0012_R_0273.jpg</t>
  </si>
  <si>
    <t>557_20240611_0012_R_0271.jpg</t>
  </si>
  <si>
    <t>558_20240611_0012_R_0268.jpg</t>
  </si>
  <si>
    <t>559_20240611_0012_R_0266.jpg</t>
  </si>
  <si>
    <t>560_20240611_0012_R_0264.jpg</t>
  </si>
  <si>
    <t>561_20240611_0012_R_0261.jpg</t>
  </si>
  <si>
    <t>562_20240611_0012_R_0259.jpg</t>
  </si>
  <si>
    <t>563_20240611_0012_R_0256.jpg</t>
  </si>
  <si>
    <t>564_20240611_0012_R_0254.jpg</t>
  </si>
  <si>
    <t>565_20240611_0012_R_0252.jpg</t>
  </si>
  <si>
    <t>566_20240611_0012_R_0249.jpg</t>
  </si>
  <si>
    <t>567_20240611_0012_R_0247.jpg</t>
  </si>
  <si>
    <t>568_20240611_0012_R_0245.jpg</t>
  </si>
  <si>
    <t>569_20240611_0012_R_0242.jpg</t>
  </si>
  <si>
    <t>570_20240611_0012_R_0240.jpg</t>
  </si>
  <si>
    <t>571_20240611_0012_R_0237.jpg</t>
  </si>
  <si>
    <t>572_20240611_0012_R_0235.jpg</t>
  </si>
  <si>
    <t>573_20240611_0012_R_0232.jpg</t>
  </si>
  <si>
    <t>574_20240611_0012_R_0230.jpg</t>
  </si>
  <si>
    <t>575_20240611_0012_R_0228.jpg</t>
  </si>
  <si>
    <t>576_20240611_0012_R_0225.jpg</t>
  </si>
  <si>
    <t>577_20240611_0012_R_0223.jpg</t>
  </si>
  <si>
    <t>578_20240611_0012_R_0221.jpg</t>
  </si>
  <si>
    <t>579_20240611_0012_R_0219.jpg</t>
  </si>
  <si>
    <t>580_20240611_0012_R_0217.jpg</t>
  </si>
  <si>
    <t>581_20240611_0012_R_0214.jpg</t>
  </si>
  <si>
    <t>582_20240611_0012_R_0212.jpg</t>
  </si>
  <si>
    <t>583_20240611_0012_R_0210.jpg</t>
  </si>
  <si>
    <t>584_20240611_0012_R_0207.jpg</t>
  </si>
  <si>
    <t>585_20240611_0012_R_0205.jpg</t>
  </si>
  <si>
    <t>586_20240611_0012_R_0203.jpg</t>
  </si>
  <si>
    <t>587_20240611_0012_R_0200.jpg</t>
  </si>
  <si>
    <t>588_20240611_0012_R_0198.jpg</t>
  </si>
  <si>
    <t>589_20240611_0012_R_0196.jpg</t>
  </si>
  <si>
    <t>590_20240611_0012_R_0193.jpg</t>
  </si>
  <si>
    <t>591_20240611_0012_R_0191.jpg</t>
  </si>
  <si>
    <t>592_20240611_0012_R_0188.jpg</t>
  </si>
  <si>
    <t>593_20240611_0012_R_0186.jpg</t>
  </si>
  <si>
    <t>594_20240611_0012_R_0184.jpg</t>
  </si>
  <si>
    <t>595_20240611_0012_R_0181.jpg</t>
  </si>
  <si>
    <t>596_20240611_0012_R_0179.jpg</t>
  </si>
  <si>
    <t>597_20240611_0012_R_0177.jpg</t>
  </si>
  <si>
    <t>598_20240611_0012_R_0174.jpg</t>
  </si>
  <si>
    <t>599_20240611_0012_R_0172.jpg</t>
  </si>
  <si>
    <t>600_20240611_0012_R_0169.jpg</t>
  </si>
  <si>
    <t>601_20240611_0012_R_0167.jpg</t>
  </si>
  <si>
    <t>602_20240611_0012_R_0165.jpg</t>
  </si>
  <si>
    <t>603_20240611_0012_R_0162.jpg</t>
  </si>
  <si>
    <t>604_20240611_0012_R_0160.jpg</t>
  </si>
  <si>
    <t>605_20240611_0012_R_0158.jpg</t>
  </si>
  <si>
    <t>606_20240611_0012_R_0155.jpg</t>
  </si>
  <si>
    <t>607_20240611_0012_R_0153.jpg</t>
  </si>
  <si>
    <t>608_20240611_0012_R_0151.jpg</t>
  </si>
  <si>
    <t>609_20240611_0012_R_0148.jpg</t>
  </si>
  <si>
    <t>610_20240611_0012_R_0146.jpg</t>
  </si>
  <si>
    <t>611_20240611_0012_R_0143.jpg</t>
  </si>
  <si>
    <t>612_20240611_0012_R_0141.jpg</t>
  </si>
  <si>
    <t>613_20240611_0012_R_0138.jpg</t>
  </si>
  <si>
    <t>614_20240611_0012_R_0136.jpg</t>
  </si>
  <si>
    <t>615_20240611_0012_R_0134.jpg</t>
  </si>
  <si>
    <t>616_20240611_0012_R_0131.jpg</t>
  </si>
  <si>
    <t>617_20240611_0012_R_0129.jpg</t>
  </si>
  <si>
    <t>618_20240611_0012_R_0127.jpg</t>
  </si>
  <si>
    <t>619_20240611_0012_R_0124.jpg</t>
  </si>
  <si>
    <t>620_20240611_0012_R_0122.jpg</t>
  </si>
  <si>
    <t>621_20240611_0012_R_0119.jpg</t>
  </si>
  <si>
    <t>622_20240611_0012_R_0117.jpg</t>
  </si>
  <si>
    <t>623_20240611_0012_R_0115.jpg</t>
  </si>
  <si>
    <t>624_20240611_0012_R_0112.jpg</t>
  </si>
  <si>
    <t>625_20240611_0012_R_0110.jpg</t>
  </si>
  <si>
    <t>626_20240611_0012_R_0107.jpg</t>
  </si>
  <si>
    <t>627_20240611_0012_R_0105.jpg</t>
  </si>
  <si>
    <t>628_20240611_0012_R_0103.jpg</t>
  </si>
  <si>
    <t>629_20240611_0012_R_0100.jpg</t>
  </si>
  <si>
    <t>630_20240611_0012_R_0098.jpg</t>
  </si>
  <si>
    <t>631_20240611_0012_R_0095.jpg</t>
  </si>
  <si>
    <t>632_20240611_0012_R_0093.jpg</t>
  </si>
  <si>
    <t>633_20240611_0012_R_0091.jpg</t>
  </si>
  <si>
    <t>634_20240611_0012_R_0088.jpg</t>
  </si>
  <si>
    <t>635_20240611_0012_R_0086.jpg</t>
  </si>
  <si>
    <t>636_20240611_0012_R_0083.jpg</t>
  </si>
  <si>
    <t>637_20240611_0012_R_0081.jpg</t>
  </si>
  <si>
    <t>638_20240611_0012_R_0078.jpg</t>
  </si>
  <si>
    <t>639_20240611_0012_R_0076.jpg</t>
  </si>
  <si>
    <t>640_20240611_0012_R_0073.jpg</t>
  </si>
  <si>
    <t>641_20240611_0012_R_0071.jpg</t>
  </si>
  <si>
    <t>642_20240611_0012_R_0069.jpg</t>
  </si>
  <si>
    <t>643_20240611_0012_R_0066.jpg</t>
  </si>
  <si>
    <t>644_20240611_0012_R_0064.jpg</t>
  </si>
  <si>
    <t>645_20240611_0012_R_0061.jpg</t>
  </si>
  <si>
    <t>646_20240611_0012_R_0059.jpg</t>
  </si>
  <si>
    <t>647_20240611_0012_R_0057.jpg</t>
  </si>
  <si>
    <t>648_20240611_0012_R_0055.jpg</t>
  </si>
  <si>
    <t>649_20240611_0012_R_0052.jpg</t>
  </si>
  <si>
    <t>650_20240611_0012_R_0050.jpg</t>
  </si>
  <si>
    <t>651_20240611_0012_R_0047.jpg</t>
  </si>
  <si>
    <t>652_20240611_0012_R_0045.jpg</t>
  </si>
  <si>
    <t>653_20240611_0012_R_0042.jpg</t>
  </si>
  <si>
    <t>654_20240611_0012_R_0039.jpg</t>
  </si>
  <si>
    <t>655_20240611_0012_R_0037.jpg</t>
  </si>
  <si>
    <t>656_20240611_0003_L_0006.jpg</t>
  </si>
  <si>
    <t>657_20240611_0012_R_0032.jpg</t>
  </si>
  <si>
    <t>658_20240611_0003_L_0013.jpg</t>
  </si>
  <si>
    <t>659_20240611_0012_R_0027.jpg</t>
  </si>
  <si>
    <t>660_20240611_0012_R_0024.jpg</t>
  </si>
  <si>
    <t>661_20240611_0012_R_0021.jpg</t>
  </si>
  <si>
    <t>662_20240611_0003_L_0023.jpg</t>
  </si>
  <si>
    <t>663_20240611_0012_R_0015.jpg</t>
  </si>
  <si>
    <t>664_20240611_0012_R_0011.jpg</t>
  </si>
  <si>
    <t>665_20240611_0003_L_0034.jpg</t>
  </si>
  <si>
    <t>666_20240611_0003_L_0037.jpg</t>
  </si>
  <si>
    <t>667_20240611_0003_L_0040.jpg</t>
  </si>
  <si>
    <t>668_20240611_0003_L_0043.jpg</t>
  </si>
  <si>
    <t>669_20240611_0003_L_0047.jpg</t>
  </si>
  <si>
    <t>670_20240611_0003_L_0049.jpg</t>
  </si>
  <si>
    <t>671_20240611_0003_L_0053.jpg</t>
  </si>
  <si>
    <t>672_20240611_0003_L_0057.jpg</t>
  </si>
  <si>
    <t>673_20240611_0003_L_0060.jpg</t>
  </si>
  <si>
    <t>674_20240611_0003_L_0063.jpg</t>
  </si>
  <si>
    <t>675_20240611_0003_L_0066.jpg</t>
  </si>
  <si>
    <t>676_20240611_0003_L_0070.jpg</t>
  </si>
  <si>
    <t>677_20240611_0003_L_0073.jpg</t>
  </si>
  <si>
    <t>678_20240611_0003_L_0076.jpg</t>
  </si>
  <si>
    <t>679_20240611_0003_L_0079.jpg</t>
  </si>
  <si>
    <t>680_20240611_0003_L_0081.jpg</t>
  </si>
  <si>
    <t>681_20240611_0003_L_0084.jpg</t>
  </si>
  <si>
    <t>682_20240611_0003_L_0087.jpg</t>
  </si>
  <si>
    <t>683_20240611_0003_L_0090.jpg</t>
  </si>
  <si>
    <t>684_20240611_0003_L_0093.jpg</t>
  </si>
  <si>
    <t>685_20240611_0003_L_0096.jpg</t>
  </si>
  <si>
    <t>686_20240611_0003_L_0099.jpg</t>
  </si>
  <si>
    <t>687_20240611_0003_L_0102.jpg</t>
  </si>
  <si>
    <t>688_20240611_0003_L_0105.jpg</t>
  </si>
  <si>
    <t>689_20240611_0003_L_0108.jpg</t>
  </si>
  <si>
    <t>690_20240611_0003_L_0111.jpg</t>
  </si>
  <si>
    <t>691_20240611_0003_L_0113.jpg</t>
  </si>
  <si>
    <t>692_20240611_0003_L_0117.jpg</t>
  </si>
  <si>
    <t>693_20240611_0003_L_0119.jpg</t>
  </si>
  <si>
    <t>694_20240611_0003_L_0122.jpg</t>
  </si>
  <si>
    <t>695_20240611_0003_L_0125.jpg</t>
  </si>
  <si>
    <t>696_20240611_0003_L_0129.jpg</t>
  </si>
  <si>
    <t>697_20240611_0003_L_0131.jpg</t>
  </si>
  <si>
    <t>698_20240611_0003_L_0135.jpg</t>
  </si>
  <si>
    <t>699_20240611_0003_L_0138.jpg</t>
  </si>
  <si>
    <t>700_20240611_0003_L_0141.jpg</t>
  </si>
  <si>
    <t>701_20240611_0003_L_0145.jpg</t>
  </si>
  <si>
    <t>702_20240611_0003_L_0149.jpg</t>
  </si>
  <si>
    <t>703_20240611_0003_L_0152.jpg</t>
  </si>
  <si>
    <t>704_20240611_0003_L_0155.jpg</t>
  </si>
  <si>
    <t>705_20240611_0003_L_0159.jpg</t>
  </si>
  <si>
    <t>706_20240611_0003_L_0162.jpg</t>
  </si>
  <si>
    <t>707_20240611_0003_L_0165.jpg</t>
  </si>
  <si>
    <t>708_20240611_0003_L_0168.jpg</t>
  </si>
  <si>
    <t>709_20240611_0003_L_0170.jpg</t>
  </si>
  <si>
    <t>710_20240611_0003_L_0173.jpg</t>
  </si>
  <si>
    <t>711_20240611_0003_L_0177.jpg</t>
  </si>
  <si>
    <t>712_20240611_0003_L_0180.jpg</t>
  </si>
  <si>
    <t>713_20240611_0003_L_0184.jpg</t>
  </si>
  <si>
    <t>714_20240611_0003_L_0187.jpg</t>
  </si>
  <si>
    <t>715_20240611_0003_L_0189.jpg</t>
  </si>
  <si>
    <t>716_20240611_0003_L_0190.jpg</t>
  </si>
  <si>
    <t>717_20240611_0003_L_0192.jpg</t>
  </si>
  <si>
    <t>718_20240611_0003_L_0193.jpg</t>
  </si>
  <si>
    <t>721_20240611_0003_L_0194.jpg</t>
  </si>
  <si>
    <t>722_20240611_0003_L_0195.jpg</t>
  </si>
  <si>
    <t>2989_20240611_0003_L_0196.jpg</t>
  </si>
  <si>
    <t>2990_20240611_0003_L_0199.jpg</t>
  </si>
  <si>
    <t>2991_20240611_0003_L_0200.jpg</t>
  </si>
  <si>
    <t>2992_20240611_0003_L_0202.jpg</t>
  </si>
  <si>
    <t>2993_20240611_0003_L_0203.jpg</t>
  </si>
  <si>
    <t>2995_20240611_0003_L_0205.jpg</t>
  </si>
  <si>
    <t>2996_20240611_0003_L_0207.jpg</t>
  </si>
  <si>
    <t>3021_20240611_0003_L_0208.jpg</t>
  </si>
  <si>
    <t>3023_20240611_0003_L_0209.jpg</t>
  </si>
  <si>
    <t>3026_20240611_0003_L_0210.jpg</t>
  </si>
  <si>
    <t>3034_20240611_0003_L_0212.jpg</t>
  </si>
  <si>
    <t>3035_20240611_0003_L_0214.jpg</t>
  </si>
  <si>
    <t>3036_20240611_0003_L_0216.jpg</t>
  </si>
  <si>
    <t>3037_20240611_0003_L_0218.jpg</t>
  </si>
  <si>
    <t>3038_20240611_0003_L_0221.jpg</t>
  </si>
  <si>
    <t>3039_20240611_0003_L_0224.jpg</t>
  </si>
  <si>
    <t>3040_20240611_0003_L_0226.jpg</t>
  </si>
  <si>
    <t>3041_20240611_0003_L_0229.jpg</t>
  </si>
  <si>
    <t>3042_20240611_0003_L_0231.jpg</t>
  </si>
  <si>
    <t>3043_20240611_0003_L_0233.jpg</t>
  </si>
  <si>
    <t>3044_20240611_0003_L_0236.jpg</t>
  </si>
  <si>
    <t>3045_20240611_0003_L_0240.jpg</t>
  </si>
  <si>
    <t>3046_20240611_0003_L_0243.jpg</t>
  </si>
  <si>
    <t>3047_20240611_0003_L_0246.jpg</t>
  </si>
  <si>
    <t>3048_20240611_0003_L_0250.jpg</t>
  </si>
  <si>
    <t>3049_20240611_0003_L_0253.jpg</t>
  </si>
  <si>
    <t>3050_20240611_0003_L_0257.jpg</t>
  </si>
  <si>
    <t>3051_20240611_0003_L_0260.jpg</t>
  </si>
  <si>
    <t>3052_20240611_0003_L_0263.jpg</t>
  </si>
  <si>
    <t>3053_20240611_0003_L_0266.jpg</t>
  </si>
  <si>
    <t>3054_20240611_0003_L_0269.jpg</t>
  </si>
  <si>
    <t>3055_20240611_0003_L_0272.jpg</t>
  </si>
  <si>
    <t>3056_20240611_0003_L_0274.jpg</t>
  </si>
  <si>
    <t>3057_20240611_0003_L_0279.jpg</t>
  </si>
  <si>
    <t>3058_20240611_0003_L_0281.jpg</t>
  </si>
  <si>
    <t>3059_20240611_0003_L_0284.jpg</t>
  </si>
  <si>
    <t>3060_20240611_0003_L_0287.jpg</t>
  </si>
  <si>
    <t>3061_20240611_0003_L_0290.jpg</t>
  </si>
  <si>
    <t>3062_20240611_0003_L_0293.jpg</t>
  </si>
  <si>
    <t>3063_20240611_0003_L_0296.jpg</t>
  </si>
  <si>
    <t>3064_20240611_0003_L_0299.jpg</t>
  </si>
  <si>
    <t>3065_20240611_0003_L_0302.jpg</t>
  </si>
  <si>
    <t>3066_20240611_0003_L_0305.jpg</t>
  </si>
  <si>
    <t>3067_20240611_0003_L_0308.jpg</t>
  </si>
  <si>
    <t>3068_20240611_0003_L_0312.jpg</t>
  </si>
  <si>
    <t>3069_20240611_0003_L_0315.jpg</t>
  </si>
  <si>
    <t>3070_20240611_0003_L_0319.jpg</t>
  </si>
  <si>
    <t>3071_20240611_0003_L_0322.jpg</t>
  </si>
  <si>
    <t>3072_20240611_0003_L_0325.jpg</t>
  </si>
  <si>
    <t>3073_20240611_0003_L_0328.jpg</t>
  </si>
  <si>
    <t>3074_20240611_0003_L_0332.jpg</t>
  </si>
  <si>
    <t>3075_20240611_0003_L_0335.jpg</t>
  </si>
  <si>
    <t>3076_20240611_0003_L_0340.jpg</t>
  </si>
  <si>
    <t>3077_20240611_0003_L_0344.jpg</t>
  </si>
  <si>
    <t>3078_20240611_0003_L_0347.jpg</t>
  </si>
  <si>
    <t>3079_20240611_0003_L_0351.jpg</t>
  </si>
  <si>
    <t>3080_20240611_0003_L_0354.jpg</t>
  </si>
  <si>
    <t>3081_20240611_0003_L_0358.jpg</t>
  </si>
  <si>
    <t>3082_20240611_0003_L_0363.jpg</t>
  </si>
  <si>
    <t>3083_20240611_0003_L_0367.jpg</t>
  </si>
  <si>
    <t>3084_20240611_0003_L_0371.jpg</t>
  </si>
  <si>
    <t>3085_20240611_0003_L_0375.jpg</t>
  </si>
  <si>
    <t>3086_20240611_0003_L_0379.jpg</t>
  </si>
  <si>
    <t>3087_20240611_0003_L_0383.jpg</t>
  </si>
  <si>
    <t>3088_20240611_0003_L_0390.jpg</t>
  </si>
  <si>
    <t>3089_20240611_0003_L_0395.jpg</t>
  </si>
  <si>
    <t>3090_20240611_0003_L_0403.jpg</t>
  </si>
  <si>
    <t>3091_20240611_0003_L_0409.jpg</t>
  </si>
  <si>
    <t>3092_20240611_0003_L_0414.jpg</t>
  </si>
  <si>
    <t>3093_20240611_0003_L_0419.jpg</t>
  </si>
  <si>
    <t>3094_20240611_0003_L_0426.jpg</t>
  </si>
  <si>
    <t>3095_20240611_0003_L_0433.jpg</t>
  </si>
  <si>
    <t>3096_20240611_0003_L_0436.jpg</t>
  </si>
  <si>
    <t>3097_20240611_0003_L_0441.jpg</t>
  </si>
  <si>
    <t>3098_20240611_0003_L_0444.jpg</t>
  </si>
  <si>
    <t>3099_20240611_0003_L_0448.jpg</t>
  </si>
  <si>
    <t>3100_20240611_0003_L_0451.jpg</t>
  </si>
  <si>
    <t>3101_20240611_0003_L_0455.jpg</t>
  </si>
  <si>
    <t>3102_20240611_0003_L_0459.jpg</t>
  </si>
  <si>
    <t>3103_20240611_0003_L_0462.jpg</t>
  </si>
  <si>
    <t>3104_20240611_0003_L_0467.jpg</t>
  </si>
  <si>
    <t>3105_20240611_0003_L_0470.jpg</t>
  </si>
  <si>
    <t>3106_20240611_0003_L_0476.jpg</t>
  </si>
  <si>
    <t>3107_20240611_0003_L_0482.jpg</t>
  </si>
  <si>
    <t>3108_20240611_0003_L_0487.jpg</t>
  </si>
  <si>
    <t>3109_20240611_0003_L_0494.jpg</t>
  </si>
  <si>
    <t>3110_20240611_0003_L_0498.jpg</t>
  </si>
  <si>
    <t>3111_20240611_0003_L_0500.jpg</t>
  </si>
  <si>
    <t>3112_20240611_0003_L_0504.jpg</t>
  </si>
  <si>
    <t>3113_20240611_0003_L_0507.jpg</t>
  </si>
  <si>
    <t>3114_20240611_0003_L_0509.jpg</t>
  </si>
  <si>
    <t>3115_20240611_0003_L_0513.jpg</t>
  </si>
  <si>
    <t>3116_20240611_0003_L_0516.jpg</t>
  </si>
  <si>
    <t>3117_20240611_0003_L_0519.jpg</t>
  </si>
  <si>
    <t>3118_20240611_0003_L_0523.jpg</t>
  </si>
  <si>
    <t>3119_20240611_0003_L_0526.jpg</t>
  </si>
  <si>
    <t>3120_20240611_0003_L_0529.jpg</t>
  </si>
  <si>
    <t>3121_20240611_0010_R_1222.jpg</t>
  </si>
  <si>
    <t>3122_20240611_0003_L_0536.jpg</t>
  </si>
  <si>
    <t>3123_20240611_0010_R_1217.jpg</t>
  </si>
  <si>
    <t>3124_20240611_0010_R_1214.jpg</t>
  </si>
  <si>
    <t>3125_20240611_0003_L_0545.jpg</t>
  </si>
  <si>
    <t>3126_20240611_0010_R_1209.jpg</t>
  </si>
  <si>
    <t>3127_20240611_0010_R_1207.jpg</t>
  </si>
  <si>
    <t>3128_20240611_0010_R_1204.jpg</t>
  </si>
  <si>
    <t>3129_20240611_0010_R_1202.jpg</t>
  </si>
  <si>
    <t>3130_20240611_0010_R_1199.jpg</t>
  </si>
  <si>
    <t>3131_20240611_0010_R_1197.jpg</t>
  </si>
  <si>
    <t>3132_20240611_0010_R_1194.jpg</t>
  </si>
  <si>
    <t>3133_20240611_0010_R_1192.jpg</t>
  </si>
  <si>
    <t>3134_20240611_0010_R_1189.jpg</t>
  </si>
  <si>
    <t>3135_20240611_0010_R_1186.jpg</t>
  </si>
  <si>
    <t>3136_20240611_0010_R_1184.jpg</t>
  </si>
  <si>
    <t>3137_20240611_0010_R_1181.jpg</t>
  </si>
  <si>
    <t>3138_20240611_0010_R_1179.jpg</t>
  </si>
  <si>
    <t>3139_20240611_0010_R_1176.jpg</t>
  </si>
  <si>
    <t>3140_20240611_0010_R_1173.jpg</t>
  </si>
  <si>
    <t>3141_20240611_0010_R_1171.jpg</t>
  </si>
  <si>
    <t>3142_20240611_0010_R_1168.jpg</t>
  </si>
  <si>
    <t>3143_20240611_0010_R_1165.jpg</t>
  </si>
  <si>
    <t>3144_20240611_0010_R_1163.jpg</t>
  </si>
  <si>
    <t>3145_20240611_0010_R_1160.jpg</t>
  </si>
  <si>
    <t>3146_20240611_0010_R_1157.jpg</t>
  </si>
  <si>
    <t>3147_20240611_0010_R_1155.jpg</t>
  </si>
  <si>
    <t>3148_20240611_0010_R_1152.jpg</t>
  </si>
  <si>
    <t>3149_20240611_0010_R_1150.jpg</t>
  </si>
  <si>
    <t>3150_20240611_0010_R_1147.jpg</t>
  </si>
  <si>
    <t>3151_20240611_0010_R_1144.jpg</t>
  </si>
  <si>
    <t>3152_20240611_0010_R_1141.jpg</t>
  </si>
  <si>
    <t>3153_20240611_0010_R_1138.jpg</t>
  </si>
  <si>
    <t>3154_20240611_0010_R_1136.jpg</t>
  </si>
  <si>
    <t>3155_20240611_0010_R_1132.jpg</t>
  </si>
  <si>
    <t>3156_20240611_0010_R_1130.jpg</t>
  </si>
  <si>
    <t>3157_20240611_0010_R_1127.jpg</t>
  </si>
  <si>
    <t>3158_20240611_0010_R_1125.jpg</t>
  </si>
  <si>
    <t>3159_20240611_0010_R_1122.jpg</t>
  </si>
  <si>
    <t>3160_20240611_0010_R_1120.jpg</t>
  </si>
  <si>
    <t>3161_20240611_0010_R_1118.jpg</t>
  </si>
  <si>
    <t>3162_20240611_0010_R_1115.jpg</t>
  </si>
  <si>
    <t>3163_20240611_0010_R_1112.jpg</t>
  </si>
  <si>
    <t>3164_20240611_0010_R_1110.jpg</t>
  </si>
  <si>
    <t>3165_20240611_0010_R_1107.jpg</t>
  </si>
  <si>
    <t>3166_20240611_0010_R_1104.jpg</t>
  </si>
  <si>
    <t>3167_20240611_0010_R_1102.jpg</t>
  </si>
  <si>
    <t>3168_20240611_0010_R_1099.jpg</t>
  </si>
  <si>
    <t>3169_20240611_0010_R_1097.jpg</t>
  </si>
  <si>
    <t>3170_20240611_0010_R_1094.jpg</t>
  </si>
  <si>
    <t>3171_20240611_0010_R_1091.jpg</t>
  </si>
  <si>
    <t>3172_20240611_0010_R_1088.jpg</t>
  </si>
  <si>
    <t>3173_20240611_0010_R_1086.jpg</t>
  </si>
  <si>
    <t>3174_20240611_0010_R_1083.jpg</t>
  </si>
  <si>
    <t>3175_20240611_0010_R_1080.jpg</t>
  </si>
  <si>
    <t>3176_20240611_0010_R_1077.jpg</t>
  </si>
  <si>
    <t>3177_20240611_0010_R_1075.jpg</t>
  </si>
  <si>
    <t>3178_20240611_0010_R_1072.jpg</t>
  </si>
  <si>
    <t>3179_20240611_0010_R_1070.jpg</t>
  </si>
  <si>
    <t>3180_20240611_0010_R_1067.jpg</t>
  </si>
  <si>
    <t>3181_20240611_0010_R_1065.jpg</t>
  </si>
  <si>
    <t>3182_20240611_0010_R_1062.jpg</t>
  </si>
  <si>
    <t>3183_20240611_0010_R_1060.jpg</t>
  </si>
  <si>
    <t>3184_20240611_0010_R_1057.jpg</t>
  </si>
  <si>
    <t>3185_20240611_0010_R_1055.jpg</t>
  </si>
  <si>
    <t>3186_20240611_0010_R_1052.jpg</t>
  </si>
  <si>
    <t>3187_20240611_0010_R_1050.jpg</t>
  </si>
  <si>
    <t>3188_20240611_0010_R_1047.jpg</t>
  </si>
  <si>
    <t>3189_20240611_0010_R_1044.jpg</t>
  </si>
  <si>
    <t>3190_20240611_0010_R_1042.jpg</t>
  </si>
  <si>
    <t>3191_20240611_0010_R_1039.jpg</t>
  </si>
  <si>
    <t>3192_20240611_0010_R_1036.jpg</t>
  </si>
  <si>
    <t>3193_20240611_0010_R_1034.jpg</t>
  </si>
  <si>
    <t>3194_20240611_0010_R_1031.jpg</t>
  </si>
  <si>
    <t>3195_20240611_0010_R_1029.jpg</t>
  </si>
  <si>
    <t>3196_20240611_0010_R_1026.jpg</t>
  </si>
  <si>
    <t>3197_20240611_0010_R_1023.jpg</t>
  </si>
  <si>
    <t>3198_20240611_0010_R_1021.jpg</t>
  </si>
  <si>
    <t>3199_20240611_0010_R_1018.jpg</t>
  </si>
  <si>
    <t>3200_20240611_0010_R_1016.jpg</t>
  </si>
  <si>
    <t>3201_20240611_0010_R_1013.jpg</t>
  </si>
  <si>
    <t>3202_20240611_0010_R_1010.jpg</t>
  </si>
  <si>
    <t>3203_20240611_0010_R_1008.jpg</t>
  </si>
  <si>
    <t>3204_20240611_0010_R_1005.jpg</t>
  </si>
  <si>
    <t>3205_20240611_0010_R_1003.jpg</t>
  </si>
  <si>
    <t>3206_20240611_0010_R_1000.jpg</t>
  </si>
  <si>
    <t>3207_20240611_0010_R_0997.jpg</t>
  </si>
  <si>
    <t>3208_20240611_0010_R_0995.jpg</t>
  </si>
  <si>
    <t>3209_20240611_0010_R_0992.jpg</t>
  </si>
  <si>
    <t>3210_20240611_0010_R_0990.jpg</t>
  </si>
  <si>
    <t>3211_20240611_0010_R_0987.jpg</t>
  </si>
  <si>
    <t>3212_20240611_0010_R_0984.jpg</t>
  </si>
  <si>
    <t>3213_20240611_0010_R_0982.jpg</t>
  </si>
  <si>
    <t>3214_20240611_0010_R_0979.jpg</t>
  </si>
  <si>
    <t>3215_20240611_0010_R_0976.jpg</t>
  </si>
  <si>
    <t>3216_20240611_0010_R_0973.jpg</t>
  </si>
  <si>
    <t>3217_20240611_0010_R_0971.jpg</t>
  </si>
  <si>
    <t>3218_20240611_0010_R_0968.jpg</t>
  </si>
  <si>
    <t>3219_20240611_0010_R_0965.jpg</t>
  </si>
  <si>
    <t>3220_20240611_0010_R_0963.jpg</t>
  </si>
  <si>
    <t>3221_20240611_0010_R_0960.jpg</t>
  </si>
  <si>
    <t>3222_20240611_0010_R_0957.jpg</t>
  </si>
  <si>
    <t>3223_20240611_0010_R_0955.jpg</t>
  </si>
  <si>
    <t>3224_20240611_0010_R_0952.jpg</t>
  </si>
  <si>
    <t>3225_20240611_0010_R_0950.jpg</t>
  </si>
  <si>
    <t>3226_20240611_0010_R_0947.jpg</t>
  </si>
  <si>
    <t>3227_20240611_0010_R_0945.jpg</t>
  </si>
  <si>
    <t>3228_20240611_0010_R_0942.jpg</t>
  </si>
  <si>
    <t>3229_20240611_0010_R_0940.jpg</t>
  </si>
  <si>
    <t>3230_20240611_0010_R_0938.jpg</t>
  </si>
  <si>
    <t>3231_20240611_0010_R_0935.jpg</t>
  </si>
  <si>
    <t>3232_20240611_0010_R_0932.jpg</t>
  </si>
  <si>
    <t>3233_20240611_0010_R_0930.jpg</t>
  </si>
  <si>
    <t>3234_20240611_0010_R_0927.jpg</t>
  </si>
  <si>
    <t>3235_20240611_0010_R_0925.jpg</t>
  </si>
  <si>
    <t>3236_20240611_0010_R_0922.jpg</t>
  </si>
  <si>
    <t>3237_20240611_0010_R_0919.jpg</t>
  </si>
  <si>
    <t>3238_20240611_0010_R_0917.jpg</t>
  </si>
  <si>
    <t>3239_20240611_0010_R_0914.jpg</t>
  </si>
  <si>
    <t>3240_20240611_0010_R_0911.jpg</t>
  </si>
  <si>
    <t>3241_20240611_0010_R_0909.jpg</t>
  </si>
  <si>
    <t>3242_20240611_0010_R_0906.jpg</t>
  </si>
  <si>
    <t>3243_20240611_0010_R_0903.jpg</t>
  </si>
  <si>
    <t>3244_20240611_0010_R_0901.jpg</t>
  </si>
  <si>
    <t>3245_20240611_0010_R_0898.jpg</t>
  </si>
  <si>
    <t>3246_20240611_0010_R_0896.jpg</t>
  </si>
  <si>
    <t>3247_20240611_0010_R_0893.jpg</t>
  </si>
  <si>
    <t>3248_20240611_0010_R_0891.jpg</t>
  </si>
  <si>
    <t>3249_20240611_0010_R_0888.jpg</t>
  </si>
  <si>
    <t>3250_20240611_0010_R_0886.jpg</t>
  </si>
  <si>
    <t>3251_20240611_0010_R_0883.jpg</t>
  </si>
  <si>
    <t>3252_20240611_0010_R_0881.jpg</t>
  </si>
  <si>
    <t>3253_20240611_0010_R_0879.jpg</t>
  </si>
  <si>
    <t>3254_20240611_0010_R_0876.jpg</t>
  </si>
  <si>
    <t>3255_20240611_0010_R_0874.jpg</t>
  </si>
  <si>
    <t>3256_20240611_0010_R_0871.jpg</t>
  </si>
  <si>
    <t>3257_20240611_0010_R_0869.jpg</t>
  </si>
  <si>
    <t>3258_20240611_0010_R_0866.jpg</t>
  </si>
  <si>
    <t>3259_20240611_0010_R_0864.jpg</t>
  </si>
  <si>
    <t>3260_20240611_0010_R_0861.jpg</t>
  </si>
  <si>
    <t>3261_20240611_0010_R_0859.jpg</t>
  </si>
  <si>
    <t>3262_20240611_0010_R_0856.jpg</t>
  </si>
  <si>
    <t>3263_20240611_0010_R_0854.jpg</t>
  </si>
  <si>
    <t>3264_20240611_0010_R_0851.jpg</t>
  </si>
  <si>
    <t>3265_20240611_0010_R_0849.jpg</t>
  </si>
  <si>
    <t>3266_20240611_0010_R_0846.jpg</t>
  </si>
  <si>
    <t>3267_20240611_0010_R_0844.jpg</t>
  </si>
  <si>
    <t>3268_20240611_0010_R_0841.jpg</t>
  </si>
  <si>
    <t>3269_20240611_0010_R_0839.jpg</t>
  </si>
  <si>
    <t>3270_20240611_0010_R_0836.jpg</t>
  </si>
  <si>
    <t>3271_20240611_0010_R_0833.jpg</t>
  </si>
  <si>
    <t>3272_20240611_0010_R_0831.jpg</t>
  </si>
  <si>
    <t>3273_20240611_0010_R_0828.jpg</t>
  </si>
  <si>
    <t>3274_20240611_0010_R_0826.jpg</t>
  </si>
  <si>
    <t>3275_20240611_0010_R_0823.jpg</t>
  </si>
  <si>
    <t>3276_20240611_0010_R_0821.jpg</t>
  </si>
  <si>
    <t>3277_20240611_0010_R_0818.jpg</t>
  </si>
  <si>
    <t>3278_20240611_0010_R_0816.jpg</t>
  </si>
  <si>
    <t>3279_20240611_0010_R_0813.jpg</t>
  </si>
  <si>
    <t>3280_20240611_0010_R_0811.jpg</t>
  </si>
  <si>
    <t>3281_20240611_0010_R_0808.jpg</t>
  </si>
  <si>
    <t>3282_20240611_0010_R_0806.jpg</t>
  </si>
  <si>
    <t>3283_20240611_0010_R_0803.jpg</t>
  </si>
  <si>
    <t>3284_20240611_0010_R_0800.jpg</t>
  </si>
  <si>
    <t>3285_20240611_0010_R_0797.jpg</t>
  </si>
  <si>
    <t>3286_20240611_0010_R_0793.jpg</t>
  </si>
  <si>
    <t>3287_20240611_0010_R_0786.jpg</t>
  </si>
  <si>
    <t>3288_20240611_0010_R_0783.jpg</t>
  </si>
  <si>
    <t>3289_20240611_0010_R_0780.jpg</t>
  </si>
  <si>
    <t>3290_20240611_0010_R_0778.jpg</t>
  </si>
  <si>
    <t>3291_20240611_0010_R_0775.jpg</t>
  </si>
  <si>
    <t>3292_20240611_0010_R_0773.jpg</t>
  </si>
  <si>
    <t>3293_20240611_0010_R_0770.jpg</t>
  </si>
  <si>
    <t>3294_20240611_0010_R_0768.jpg</t>
  </si>
  <si>
    <t>3295_20240611_0010_R_0765.jpg</t>
  </si>
  <si>
    <t>3296_20240611_0010_R_0762.jpg</t>
  </si>
  <si>
    <t>3297_20240611_0010_R_0760.jpg</t>
  </si>
  <si>
    <t>3298_20240611_0010_R_0757.jpg</t>
  </si>
  <si>
    <t>3299_20240611_0010_R_0754.jpg</t>
  </si>
  <si>
    <t>3300_20240611_0010_R_0752.jpg</t>
  </si>
  <si>
    <t>3301_20240611_0010_R_0749.jpg</t>
  </si>
  <si>
    <t>3302_20240611_0010_R_0747.jpg</t>
  </si>
  <si>
    <t>3303_20240611_0010_R_0744.jpg</t>
  </si>
  <si>
    <t>3304_20240611_0010_R_0742.jpg</t>
  </si>
  <si>
    <t>3305_20240611_0010_R_0739.jpg</t>
  </si>
  <si>
    <t>3306_20240611_0010_R_0737.jpg</t>
  </si>
  <si>
    <t>3307_20240611_0010_R_0734.jpg</t>
  </si>
  <si>
    <t>3308_20240611_0010_R_0732.jpg</t>
  </si>
  <si>
    <t>3309_20240611_0010_R_0730.jpg</t>
  </si>
  <si>
    <t>3310_20240611_0010_R_0727.jpg</t>
  </si>
  <si>
    <t>3311_20240611_0010_R_0724.jpg</t>
  </si>
  <si>
    <t>3312_20240611_0010_R_0722.jpg</t>
  </si>
  <si>
    <t>3313_20240611_0010_R_0719.jpg</t>
  </si>
  <si>
    <t>3314_20240611_0010_R_0717.jpg</t>
  </si>
  <si>
    <t>3315_20240611_0010_R_0714.jpg</t>
  </si>
  <si>
    <t>3316_20240611_0010_R_0712.jpg</t>
  </si>
  <si>
    <t>3317_20240611_0010_R_0709.jpg</t>
  </si>
  <si>
    <t>3318_20240611_0010_R_0707.jpg</t>
  </si>
  <si>
    <t>3319_20240611_0010_R_0704.jpg</t>
  </si>
  <si>
    <t>3320_20240611_0010_R_0702.jpg</t>
  </si>
  <si>
    <t>3321_20240611_0010_R_0699.jpg</t>
  </si>
  <si>
    <t>3322_20240611_0010_R_0697.jpg</t>
  </si>
  <si>
    <t>3323_20240611_0010_R_0694.jpg</t>
  </si>
  <si>
    <t>3324_20240611_0010_R_0692.jpg</t>
  </si>
  <si>
    <t>3325_20240611_0010_R_0690.jpg</t>
  </si>
  <si>
    <t>3326_20240611_0010_R_0687.jpg</t>
  </si>
  <si>
    <t>3327_20240611_0010_R_0685.jpg</t>
  </si>
  <si>
    <t>3328_20240611_0010_R_0682.jpg</t>
  </si>
  <si>
    <t>3329_20240611_0010_R_0680.jpg</t>
  </si>
  <si>
    <t>3330_20240611_0010_R_0678.jpg</t>
  </si>
  <si>
    <t>3331_20240611_0010_R_0675.jpg</t>
  </si>
  <si>
    <t>3332_20240611_0010_R_0672.jpg</t>
  </si>
  <si>
    <t>3333_20240611_0010_R_0670.jpg</t>
  </si>
  <si>
    <t>3334_20240611_0010_R_0667.jpg</t>
  </si>
  <si>
    <t>3335_20240611_0010_R_0663.jpg</t>
  </si>
  <si>
    <t>3336_20240611_0010_R_0660.jpg</t>
  </si>
  <si>
    <t>3337_20240611_0010_R_0656.jpg</t>
  </si>
  <si>
    <t>3338_20240611_0010_R_0652.jpg</t>
  </si>
  <si>
    <t>3339_20240611_0010_R_0650.jpg</t>
  </si>
  <si>
    <t>3340_20240611_0010_R_0647.jpg</t>
  </si>
  <si>
    <t>3341_20240611_0010_R_0644.jpg</t>
  </si>
  <si>
    <t>3342_20240611_0010_R_0641.jpg</t>
  </si>
  <si>
    <t>3343_20240611_0010_R_0639.jpg</t>
  </si>
  <si>
    <t>3344_20240611_0010_R_0636.jpg</t>
  </si>
  <si>
    <t>3345_20240611_0010_R_0633.jpg</t>
  </si>
  <si>
    <t>3346_20240611_0010_R_0630.jpg</t>
  </si>
  <si>
    <t>3347_20240611_0010_R_0627.jpg</t>
  </si>
  <si>
    <t>3348_20240611_0010_R_0625.jpg</t>
  </si>
  <si>
    <t>3349_20240611_0010_R_0623.jpg</t>
  </si>
  <si>
    <t>3350_20240611_0010_R_0620.jpg</t>
  </si>
  <si>
    <t>3351_20240611_0010_R_0618.jpg</t>
  </si>
  <si>
    <t>3352_20240611_0010_R_0615.jpg</t>
  </si>
  <si>
    <t>3353_20240611_0010_R_0613.jpg</t>
  </si>
  <si>
    <t>3354_20240611_0010_R_0610.jpg</t>
  </si>
  <si>
    <t>3355_20240611_0010_R_0608.jpg</t>
  </si>
  <si>
    <t>3356_20240611_0010_R_0605.jpg</t>
  </si>
  <si>
    <t>3357_20240611_0010_R_0601.jpg</t>
  </si>
  <si>
    <t>3358_20240611_0010_R_0598.jpg</t>
  </si>
  <si>
    <t>3359_20240611_0010_R_0595.jpg</t>
  </si>
  <si>
    <t>3360_20240611_0010_R_0592.jpg</t>
  </si>
  <si>
    <t>3361_20240611_0010_R_0589.jpg</t>
  </si>
  <si>
    <t>3362_20240611_0010_R_0586.jpg</t>
  </si>
  <si>
    <t>3363_20240611_0010_R_0583.jpg</t>
  </si>
  <si>
    <t>3364_20240611_0010_R_0580.jpg</t>
  </si>
  <si>
    <t>3365_20240611_0010_R_0578.jpg</t>
  </si>
  <si>
    <t>3366_20240611_0010_R_0575.jpg</t>
  </si>
  <si>
    <t>3367_20240611_0010_R_0572.jpg</t>
  </si>
  <si>
    <t>3368_20240611_0010_R_0570.jpg</t>
  </si>
  <si>
    <t>3369_20240611_0010_R_0568.jpg</t>
  </si>
  <si>
    <t>3370_20240611_0010_R_0565.jpg</t>
  </si>
  <si>
    <t>3371_20240611_0010_R_0562.jpg</t>
  </si>
  <si>
    <t>3372_20240611_0010_R_0559.jpg</t>
  </si>
  <si>
    <t>3373_20240611_0010_R_0557.jpg</t>
  </si>
  <si>
    <t>3374_20240611_0010_R_0554.jpg</t>
  </si>
  <si>
    <t>3375_20240611_0010_R_0551.jpg</t>
  </si>
  <si>
    <t>3376_20240611_0010_R_0548.jpg</t>
  </si>
  <si>
    <t>3377_20240611_0010_R_0546.jpg</t>
  </si>
  <si>
    <t>3378_20240611_0010_R_0543.jpg</t>
  </si>
  <si>
    <t>3379_20240611_0010_R_0540.jpg</t>
  </si>
  <si>
    <t>3380_20240611_0010_R_0537.jpg</t>
  </si>
  <si>
    <t>3381_20240611_0010_R_0535.jpg</t>
  </si>
  <si>
    <t>3382_20240611_0010_R_0532.jpg</t>
  </si>
  <si>
    <t>3383_20240611_0010_R_0530.jpg</t>
  </si>
  <si>
    <t>3384_20240611_0010_R_0527.jpg</t>
  </si>
  <si>
    <t>3385_20240611_0010_R_0525.jpg</t>
  </si>
  <si>
    <t>3386_20240611_0010_R_0522.jpg</t>
  </si>
  <si>
    <t>3387_20240611_0010_R_0520.jpg</t>
  </si>
  <si>
    <t>3388_20240611_0010_R_0517.jpg</t>
  </si>
  <si>
    <t>3389_20240611_0010_R_0515.jpg</t>
  </si>
  <si>
    <t>3390_20240611_0010_R_0512.jpg</t>
  </si>
  <si>
    <t>3391_20240611_0010_R_0510.jpg</t>
  </si>
  <si>
    <t>3392_20240611_0010_R_0507.jpg</t>
  </si>
  <si>
    <t>3393_20240611_0010_R_0505.jpg</t>
  </si>
  <si>
    <t>3394_20240611_0010_R_0502.jpg</t>
  </si>
  <si>
    <t>3395_20240611_0010_R_0500.jpg</t>
  </si>
  <si>
    <t>3396_20240611_0010_R_0497.jpg</t>
  </si>
  <si>
    <t>3397_20240611_0010_R_0494.jpg</t>
  </si>
  <si>
    <t>3398_20240611_0010_R_0492.jpg</t>
  </si>
  <si>
    <t>3399_20240611_0010_R_0489.jpg</t>
  </si>
  <si>
    <t>3400_20240611_0010_R_0487.jpg</t>
  </si>
  <si>
    <t>3401_20240611_0010_R_0484.jpg</t>
  </si>
  <si>
    <t>3402_20240611_0010_R_0482.jpg</t>
  </si>
  <si>
    <t>3403_20240611_0010_R_0479.jpg</t>
  </si>
  <si>
    <t>3404_20240611_0010_R_0477.jpg</t>
  </si>
  <si>
    <t>3405_20240611_0010_R_0474.jpg</t>
  </si>
  <si>
    <t>3406_20240611_0010_R_0471.jpg</t>
  </si>
  <si>
    <t>3407_20240611_0010_R_0469.jpg</t>
  </si>
  <si>
    <t>3408_20240611_0010_R_0467.jpg</t>
  </si>
  <si>
    <t>3409_20240611_0010_R_0464.jpg</t>
  </si>
  <si>
    <t>3410_20240611_0010_R_0462.jpg</t>
  </si>
  <si>
    <t>3411_20240611_0010_R_0460.jpg</t>
  </si>
  <si>
    <t>3412_20240611_0010_R_0457.jpg</t>
  </si>
  <si>
    <t>3413_20240611_0010_R_0455.jpg</t>
  </si>
  <si>
    <t>3414_20240611_0010_R_0452.jpg</t>
  </si>
  <si>
    <t>3415_20240611_0010_R_0450.jpg</t>
  </si>
  <si>
    <t>3416_20240611_0010_R_0447.jpg</t>
  </si>
  <si>
    <t>3417_20240611_0010_R_0445.jpg</t>
  </si>
  <si>
    <t>3418_20240611_0010_R_0443.jpg</t>
  </si>
  <si>
    <t>3419_20240611_0010_R_0440.jpg</t>
  </si>
  <si>
    <t>3420_20240611_0010_R_0438.jpg</t>
  </si>
  <si>
    <t>3421_20240611_0010_R_0436.jpg</t>
  </si>
  <si>
    <t>3422_20240611_0010_R_0433.jpg</t>
  </si>
  <si>
    <t>3423_20240611_0010_R_0431.jpg</t>
  </si>
  <si>
    <t>3424_20240611_0010_R_0428.jpg</t>
  </si>
  <si>
    <t>3425_20240611_0010_R_0426.jpg</t>
  </si>
  <si>
    <t>3426_20240611_0010_R_0423.jpg</t>
  </si>
  <si>
    <t>3427_20240611_0010_R_0421.jpg</t>
  </si>
  <si>
    <t>3428_20240611_0010_R_0419.jpg</t>
  </si>
  <si>
    <t>3429_20240611_0010_R_0416.jpg</t>
  </si>
  <si>
    <t>3430_20240611_0010_R_0414.jpg</t>
  </si>
  <si>
    <t>3431_20240611_0010_R_0411.jpg</t>
  </si>
  <si>
    <t>3432_20240611_0010_R_0409.jpg</t>
  </si>
  <si>
    <t>3433_20240611_0010_R_0406.jpg</t>
  </si>
  <si>
    <t>3434_20240611_0010_R_0404.jpg</t>
  </si>
  <si>
    <t>3435_20240611_0010_R_0402.jpg</t>
  </si>
  <si>
    <t>3436_20240611_0010_R_0399.jpg</t>
  </si>
  <si>
    <t>3437_20240611_0010_R_0397.jpg</t>
  </si>
  <si>
    <t>3438_20240611_0010_R_0395.jpg</t>
  </si>
  <si>
    <t>3439_20240611_0010_R_0392.jpg</t>
  </si>
  <si>
    <t>3440_20240611_0010_R_0390.jpg</t>
  </si>
  <si>
    <t>3441_20240611_0010_R_0387.jpg</t>
  </si>
  <si>
    <t>3442_20240611_0010_R_0385.jpg</t>
  </si>
  <si>
    <t>3443_20240611_0010_R_0382.jpg</t>
  </si>
  <si>
    <t>3444_20240611_0010_R_0380.jpg</t>
  </si>
  <si>
    <t>3445_20240611_0010_R_0377.jpg</t>
  </si>
  <si>
    <t>3446_20240611_0010_R_0375.jpg</t>
  </si>
  <si>
    <t>3447_20240611_0010_R_0372.jpg</t>
  </si>
  <si>
    <t>3448_20240611_0010_R_0370.jpg</t>
  </si>
  <si>
    <t>3449_20240611_0010_R_0367.jpg</t>
  </si>
  <si>
    <t>3450_20240611_0010_R_0365.jpg</t>
  </si>
  <si>
    <t>3451_20240611_0010_R_0362.jpg</t>
  </si>
  <si>
    <t>3452_20240611_0010_R_0360.jpg</t>
  </si>
  <si>
    <t>3453_20240611_0010_R_0357.jpg</t>
  </si>
  <si>
    <t>3454_20240611_0010_R_0355.jpg</t>
  </si>
  <si>
    <t>3455_20240611_0010_R_0352.jpg</t>
  </si>
  <si>
    <t>3456_20240611_0010_R_0349.jpg</t>
  </si>
  <si>
    <t>3457_20240611_0010_R_0347.jpg</t>
  </si>
  <si>
    <t>3458_20240611_0010_R_0344.jpg</t>
  </si>
  <si>
    <t>3459_20240611_0010_R_0341.jpg</t>
  </si>
  <si>
    <t>3460_20240611_0010_R_0338.jpg</t>
  </si>
  <si>
    <t>3461_20240611_0010_R_0335.jpg</t>
  </si>
  <si>
    <t>3462_20240611_0010_R_0332.jpg</t>
  </si>
  <si>
    <t>3463_20240611_0010_R_0330.jpg</t>
  </si>
  <si>
    <t>3464_20240611_0010_R_0327.jpg</t>
  </si>
  <si>
    <t>3465_20240611_0010_R_0324.jpg</t>
  </si>
  <si>
    <t>3466_20240611_0010_R_0321.jpg</t>
  </si>
  <si>
    <t>3467_20240611_0010_R_0318.jpg</t>
  </si>
  <si>
    <t>3468_20240611_0010_R_0315.jpg</t>
  </si>
  <si>
    <t>3469_20240611_0010_R_0311.jpg</t>
  </si>
  <si>
    <t>3470_20240611_0010_R_0308.jpg</t>
  </si>
  <si>
    <t>3471_20240611_0010_R_0304.jpg</t>
  </si>
  <si>
    <t>3472_20240611_0010_R_0301.jpg</t>
  </si>
  <si>
    <t>3473_20240611_0010_R_0298.jpg</t>
  </si>
  <si>
    <t>3474_20240611_0010_R_0295.jpg</t>
  </si>
  <si>
    <t>3475_20240611_0010_R_0293.jpg</t>
  </si>
  <si>
    <t>3476_20240611_0010_R_0290.jpg</t>
  </si>
  <si>
    <t>3477_20240611_0010_R_0287.jpg</t>
  </si>
  <si>
    <t>3478_20240611_0010_R_0284.jpg</t>
  </si>
  <si>
    <t>3479_20240611_0010_R_0282.jpg</t>
  </si>
  <si>
    <t>3480_20240611_0010_R_0279.jpg</t>
  </si>
  <si>
    <t>3481_20240611_0010_R_0277.jpg</t>
  </si>
  <si>
    <t>3482_20240611_0010_R_0274.jpg</t>
  </si>
  <si>
    <t>3483_20240611_0010_R_0271.jpg</t>
  </si>
  <si>
    <t>3484_20240611_0010_R_0268.jpg</t>
  </si>
  <si>
    <t>3485_20240611_0010_R_0266.jpg</t>
  </si>
  <si>
    <t>3486_20240611_0010_R_0263.jpg</t>
  </si>
  <si>
    <t>3487_20240611_0010_R_0260.jpg</t>
  </si>
  <si>
    <t>3488_20240611_0010_R_0257.jpg</t>
  </si>
  <si>
    <t>3489_20240611_0010_R_0253.jpg</t>
  </si>
  <si>
    <t>3490_20240611_0010_R_0250.jpg</t>
  </si>
  <si>
    <t>3491_20240611_0010_R_0247.jpg</t>
  </si>
  <si>
    <t>3492_20240611_0010_R_0244.jpg</t>
  </si>
  <si>
    <t>3493_20240611_0010_R_0242.jpg</t>
  </si>
  <si>
    <t>3494_20240611_0010_R_0239.jpg</t>
  </si>
  <si>
    <t>3495_20240611_0010_R_0236.jpg</t>
  </si>
  <si>
    <t>3496_20240611_0010_R_0233.jpg</t>
  </si>
  <si>
    <t>3497_20240611_0010_R_0230.jpg</t>
  </si>
  <si>
    <t>3498_20240611_0010_R_0227.jpg</t>
  </si>
  <si>
    <t>3499_20240611_0010_R_0224.jpg</t>
  </si>
  <si>
    <t>3500_20240611_0010_R_0221.jpg</t>
  </si>
  <si>
    <t>3501_20240611_0010_R_0218.jpg</t>
  </si>
  <si>
    <t>3502_20240611_0010_R_0215.jpg</t>
  </si>
  <si>
    <t>3503_20240611_0010_R_0212.jpg</t>
  </si>
  <si>
    <t>3504_20240611_0010_R_0209.jpg</t>
  </si>
  <si>
    <t>3505_20240611_0010_R_0206.jpg</t>
  </si>
  <si>
    <t>3506_20240611_0010_R_0203.jpg</t>
  </si>
  <si>
    <t>3507_20240611_0010_R_0200.jpg</t>
  </si>
  <si>
    <t>3508_20240611_0010_R_0197.jpg</t>
  </si>
  <si>
    <t>3509_20240611_0010_R_0194.jpg</t>
  </si>
  <si>
    <t>3510_20240611_0010_R_0191.jpg</t>
  </si>
  <si>
    <t>3511_20240611_0010_R_0188.jpg</t>
  </si>
  <si>
    <t>3512_20240611_0010_R_0185.jpg</t>
  </si>
  <si>
    <t>3513_20240611_0010_R_0182.jpg</t>
  </si>
  <si>
    <t>3514_20240611_0010_R_0179.jpg</t>
  </si>
  <si>
    <t>3515_20240611_0010_R_0176.jpg</t>
  </si>
  <si>
    <t>3516_20240611_0010_R_0173.jpg</t>
  </si>
  <si>
    <t>3517_20240611_0010_R_0171.jpg</t>
  </si>
  <si>
    <t>3518_20240611_0010_R_0168.jpg</t>
  </si>
  <si>
    <t>3519_20240611_0010_R_0165.jpg</t>
  </si>
  <si>
    <t>3520_20240611_0010_R_0162.jpg</t>
  </si>
  <si>
    <t>3521_20240611_0010_R_0159.jpg</t>
  </si>
  <si>
    <t>3522_20240611_0010_R_0156.jpg</t>
  </si>
  <si>
    <t>3523_20240611_0010_R_0153.jpg</t>
  </si>
  <si>
    <t>3524_20240611_0010_R_0149.jpg</t>
  </si>
  <si>
    <t>3525_20240611_0010_R_0146.jpg</t>
  </si>
  <si>
    <t>3526_20240611_0010_R_0143.jpg</t>
  </si>
  <si>
    <t>3527_20240611_0005_L_0003.jpg</t>
  </si>
  <si>
    <t>3528_20240611_0010_R_0137.jpg</t>
  </si>
  <si>
    <t>3529_20240611_0010_R_0134.jpg</t>
  </si>
  <si>
    <t>3530_20240611_0010_R_0131.jpg</t>
  </si>
  <si>
    <t>3531_20240611_0010_R_0128.jpg</t>
  </si>
  <si>
    <t>3532_20240611_0005_L_0020.jpg</t>
  </si>
  <si>
    <t>3533_20240611_0010_R_0122.jpg</t>
  </si>
  <si>
    <t>3534_20240611_0010_R_0119.jpg</t>
  </si>
  <si>
    <t>3535_20240611_0010_R_0116.jpg</t>
  </si>
  <si>
    <t>3536_20240611_0010_R_0113.jpg</t>
  </si>
  <si>
    <t>3537_20240611_0010_R_0110.jpg</t>
  </si>
  <si>
    <t>3538_20240611_0010_R_0107.jpg</t>
  </si>
  <si>
    <t>3539_20240611_0010_R_0104.jpg</t>
  </si>
  <si>
    <t>3540_20240611_0005_L_0054.jpg</t>
  </si>
  <si>
    <t>3541_20240611_0005_L_0057.jpg</t>
  </si>
  <si>
    <t>3542_20240611_0010_R_0094.jpg</t>
  </si>
  <si>
    <t>3543_20240611_0005_L_0062.jpg</t>
  </si>
  <si>
    <t>3544_20240611_0010_R_0085.jpg</t>
  </si>
  <si>
    <t>3545_20240611_0010_R_0082.jpg</t>
  </si>
  <si>
    <t>3546_20240611_0010_R_0079.jpg</t>
  </si>
  <si>
    <t>3547_20240611_0005_L_0073.jpg</t>
  </si>
  <si>
    <t>3548_20240611_0010_R_0073.jpg</t>
  </si>
  <si>
    <t>3549_20240611_0005_L_0078.jpg</t>
  </si>
  <si>
    <t>3550_20240611_0010_R_0067.jpg</t>
  </si>
  <si>
    <t>3551_20240611_0005_L_0083.jpg</t>
  </si>
  <si>
    <t>3552_20240611_0005_L_0086.jpg</t>
  </si>
  <si>
    <t>3553_20240611_0010_R_0058.jpg</t>
  </si>
  <si>
    <t>3554_20240611_0010_R_0055.jpg</t>
  </si>
  <si>
    <t>3555_20240611_0005_L_0093.jpg</t>
  </si>
  <si>
    <t>3556_20240611_0005_L_0096.jpg</t>
  </si>
  <si>
    <t>3557_20240611_0010_R_0047.jpg</t>
  </si>
  <si>
    <t>3558_20240611_0010_R_0044.jpg</t>
  </si>
  <si>
    <t>3559_20240611_0010_R_0040.jpg</t>
  </si>
  <si>
    <t>3560_20240611_0005_L_0107.jpg</t>
  </si>
  <si>
    <t>3561_20240611_0010_R_0034.jpg</t>
  </si>
  <si>
    <t>3562_20240611_0010_R_0031.jpg</t>
  </si>
  <si>
    <t>3563_20240611_0010_R_0027.jpg</t>
  </si>
  <si>
    <t>3564_20240611_0010_R_0023.jpg</t>
  </si>
  <si>
    <t>3565_20240611_0010_R_0019.jpg</t>
  </si>
  <si>
    <t>3566_20240611_0005_L_0124.jpg</t>
  </si>
  <si>
    <t>3567_20240611_0005_L_0127.jpg</t>
  </si>
  <si>
    <t>3568_20240611_0010_R_0006.jpg</t>
  </si>
  <si>
    <t>3569_20240611_0005_L_0132.jpg</t>
  </si>
  <si>
    <t>3570_20240611_0005_L_0134.jpg</t>
  </si>
  <si>
    <t>3571_20240611_0005_L_0137.jpg</t>
  </si>
  <si>
    <t>3572_20240611_0005_L_0139.jpg</t>
  </si>
  <si>
    <t>3573_20240611_0005_L_0141.jpg</t>
  </si>
  <si>
    <t>3574_20240611_0005_L_0144.jpg</t>
  </si>
  <si>
    <t>3575_20240611_0005_L_0147.jpg</t>
  </si>
  <si>
    <t>3576_20240611_0005_L_0149.jpg</t>
  </si>
  <si>
    <t>3577_20240611_0005_L_0151.jpg</t>
  </si>
  <si>
    <t>3578_20240611_0005_L_0154.jpg</t>
  </si>
  <si>
    <t>3579_20240611_0005_L_0158.jpg</t>
  </si>
  <si>
    <t>3580_20240611_0005_L_0161.jpg</t>
  </si>
  <si>
    <t>3581_20240611_0005_L_0164.jpg</t>
  </si>
  <si>
    <t>3582_20240611_0005_L_0167.jpg</t>
  </si>
  <si>
    <t>3583_20240611_0005_L_0170.jpg</t>
  </si>
  <si>
    <t>3584_20240611_0005_L_0172.jpg</t>
  </si>
  <si>
    <t>3585_20240611_0005_L_0175.jpg</t>
  </si>
  <si>
    <t>3586_20240611_0005_L_0178.jpg</t>
  </si>
  <si>
    <t>3587_20240611_0005_L_0181.jpg</t>
  </si>
  <si>
    <t>3588_20240611_0005_L_0184.jpg</t>
  </si>
  <si>
    <t>3589_20240611_0005_L_0187.jpg</t>
  </si>
  <si>
    <t>3590_20240611_0005_L_0191.jpg</t>
  </si>
  <si>
    <t>3591_20240611_0005_L_0193.jpg</t>
  </si>
  <si>
    <t>3592_20240611_0005_L_0195.jpg</t>
  </si>
  <si>
    <t>3593_20240611_0005_L_0198.jpg</t>
  </si>
  <si>
    <t>3594_20240611_0005_L_0201.jpg</t>
  </si>
  <si>
    <t>3595_20240611_0005_L_0203.jpg</t>
  </si>
  <si>
    <t>3596_20240611_0005_L_0206.jpg</t>
  </si>
  <si>
    <t>3597_20240611_0005_L_0209.jpg</t>
  </si>
  <si>
    <t>3598_20240611_0005_L_0211.jpg</t>
  </si>
  <si>
    <t>3599_20240611_0005_L_0215.jpg</t>
  </si>
  <si>
    <t>3600_20240611_0005_L_0222.jpg</t>
  </si>
  <si>
    <t>3601_20240611_0005_L_0225.jpg</t>
  </si>
  <si>
    <t>3602_20240611_0005_L_0229.jpg</t>
  </si>
  <si>
    <t>3603_20240611_0005_L_0232.jpg</t>
  </si>
  <si>
    <t>3604_20240611_0005_L_0237.jpg</t>
  </si>
  <si>
    <t>3605_20240611_0005_L_0241.jpg</t>
  </si>
  <si>
    <t>3606_20240611_0005_L_0247.jpg</t>
  </si>
  <si>
    <t>3607_20240611_0005_L_0251.jpg</t>
  </si>
  <si>
    <t>3608_20240611_0005_L_0255.jpg</t>
  </si>
  <si>
    <t>3609_20240611_0005_L_0258.jpg</t>
  </si>
  <si>
    <t>3610_20240611_0005_L_0261.jpg</t>
  </si>
  <si>
    <t>3611_20240611_0005_L_0263.jpg</t>
  </si>
  <si>
    <t>3612_20240611_0005_L_0266.jpg</t>
  </si>
  <si>
    <t>3613_20240611_0005_L_0269.jpg</t>
  </si>
  <si>
    <t>3614_20240611_0005_L_0272.jpg</t>
  </si>
  <si>
    <t>3615_20240611_0005_L_0275.jpg</t>
  </si>
  <si>
    <t>3616_20240611_0005_L_0278.jpg</t>
  </si>
  <si>
    <t>3617_20240611_0005_L_0281.jpg</t>
  </si>
  <si>
    <t>3618_20240611_0005_L_0284.jpg</t>
  </si>
  <si>
    <t>3619_20240611_0005_L_0287.jpg</t>
  </si>
  <si>
    <t>3620_20240611_0005_L_0290.jpg</t>
  </si>
  <si>
    <t>3621_20240611_0005_L_0294.jpg</t>
  </si>
  <si>
    <t>3622_20240611_0005_L_0297.jpg</t>
  </si>
  <si>
    <t>3623_20240611_0005_L_0299.jpg</t>
  </si>
  <si>
    <t>3624_20240611_0005_L_0303.jpg</t>
  </si>
  <si>
    <t>3625_20240611_0005_L_0308.jpg</t>
  </si>
  <si>
    <t>3626_20240611_0005_L_0312.jpg</t>
  </si>
  <si>
    <t>3627_20240611_0005_L_0316.jpg</t>
  </si>
  <si>
    <t>3628_20240611_0005_L_0321.jpg</t>
  </si>
  <si>
    <t>3629_20240611_0005_L_0325.jpg</t>
  </si>
  <si>
    <t>3630_20240611_0005_L_0329.jpg</t>
  </si>
  <si>
    <t>3631_20240611_0005_L_0332.jpg</t>
  </si>
  <si>
    <t>3632_20240611_0005_L_0336.jpg</t>
  </si>
  <si>
    <t>3633_20240611_0005_L_0340.jpg</t>
  </si>
  <si>
    <t>3634_20240611_0005_L_0343.jpg</t>
  </si>
  <si>
    <t>3635_20240611_0005_L_0346.jpg</t>
  </si>
  <si>
    <t>3636_20240611_0005_L_0350.jpg</t>
  </si>
  <si>
    <t>3637_20240611_0005_L_0353.jpg</t>
  </si>
  <si>
    <t>3638_20240611_0005_L_0356.jpg</t>
  </si>
  <si>
    <t>3639_20240611_0005_L_0360.jpg</t>
  </si>
  <si>
    <t>3640_20240611_0005_L_0368.jpg</t>
  </si>
  <si>
    <t>3641_20240611_0005_L_0374.jpg</t>
  </si>
  <si>
    <t>3642_20240611_0005_L_0377.jpg</t>
  </si>
  <si>
    <t>3643_20240611_0005_L_0381.jpg</t>
  </si>
  <si>
    <t>3644_20240611_0005_L_0383.jpg</t>
  </si>
  <si>
    <t>3645_20240611_0005_L_0385.jpg</t>
  </si>
  <si>
    <t>3646_20240611_0005_L_0389.jpg</t>
  </si>
  <si>
    <t>3647_20240611_0005_L_0391.jpg</t>
  </si>
  <si>
    <t>3648_20240611_0005_L_0392.jpg</t>
  </si>
  <si>
    <t>3649_20240611_0005_L_0394.jpg</t>
  </si>
  <si>
    <t>3650_20240611_0005_L_0398.jpg</t>
  </si>
  <si>
    <t>3651_20240611_0005_L_0401.jpg</t>
  </si>
  <si>
    <t>3652_20240611_0005_L_0407.jpg</t>
  </si>
  <si>
    <t>3653_20240611_0005_L_0408.jpg</t>
  </si>
  <si>
    <t>4384_20240611_0005_L_0409.jpg</t>
  </si>
  <si>
    <t>4385_20240611_0005_L_0410.jpg</t>
  </si>
  <si>
    <t>4386_20240611_0005_L_0413.jpg</t>
  </si>
  <si>
    <t>4387_20240611_0005_L_0416.jpg</t>
  </si>
  <si>
    <t>4388_20240611_0005_L_0420.jpg</t>
  </si>
  <si>
    <t>4389_20240611_0005_L_0425.jpg</t>
  </si>
  <si>
    <t>4390_20240611_0005_L_0429.jpg</t>
  </si>
  <si>
    <t>4391_20240611_0005_L_0432.jpg</t>
  </si>
  <si>
    <t>4392_20240611_0005_L_0436.jpg</t>
  </si>
  <si>
    <t>4393_20240611_0005_L_0438.jpg</t>
  </si>
  <si>
    <t>4394_20240611_0005_L_0441.jpg</t>
  </si>
  <si>
    <t>4395_20240611_0005_L_0444.jpg</t>
  </si>
  <si>
    <t>4396_20240611_0005_L_0447.jpg</t>
  </si>
  <si>
    <t>4397_20240611_0005_L_0449.jpg</t>
  </si>
  <si>
    <t>4398_20240611_0005_L_0452.jpg</t>
  </si>
  <si>
    <t>4399_20240611_0005_L_0455.jpg</t>
  </si>
  <si>
    <t>4400_20240611_0005_L_0458.jpg</t>
  </si>
  <si>
    <t>4401_20240611_0005_L_0461.jpg</t>
  </si>
  <si>
    <t>4402_20240611_0005_L_0464.jpg</t>
  </si>
  <si>
    <t>4403_20240611_0005_L_0468.jpg</t>
  </si>
  <si>
    <t>4404_20240611_0005_L_0471.jpg</t>
  </si>
  <si>
    <t>4405_20240611_0005_L_0473.jpg</t>
  </si>
  <si>
    <t>4406_20240611_0005_L_0476.jpg</t>
  </si>
  <si>
    <t>4407_20240611_0005_L_0480.jpg</t>
  </si>
  <si>
    <t>4408_20240611_0005_L_0482.jpg</t>
  </si>
  <si>
    <t>4409_20240611_0005_L_0485.jpg</t>
  </si>
  <si>
    <t>4410_20240611_0005_L_0488.jpg</t>
  </si>
  <si>
    <t>4411_20240611_0005_L_0491.jpg</t>
  </si>
  <si>
    <t>4412_20240611_0005_L_0494.jpg</t>
  </si>
  <si>
    <t>4413_20240611_0005_L_0497.jpg</t>
  </si>
  <si>
    <t>4414_20240611_0005_L_0500.jpg</t>
  </si>
  <si>
    <t>4415_20240611_0005_L_0503.jpg</t>
  </si>
  <si>
    <t>4416_20240611_0005_L_0506.jpg</t>
  </si>
  <si>
    <t>4417_20240611_0005_L_0508.jpg</t>
  </si>
  <si>
    <t>4418_20240611_0005_L_0512.jpg</t>
  </si>
  <si>
    <t>4419_20240611_0005_L_0515.jpg</t>
  </si>
  <si>
    <t>4420_20240611_0005_L_0517.jpg</t>
  </si>
  <si>
    <t>4421_20240611_0005_L_0519.jpg</t>
  </si>
  <si>
    <t>4422_20240611_0005_L_0522.jpg</t>
  </si>
  <si>
    <t>4423_20240611_0005_L_0524.jpg</t>
  </si>
  <si>
    <t>4424_20240611_0005_L_0527.jpg</t>
  </si>
  <si>
    <t>4425_20240611_0005_L_0529.jpg</t>
  </si>
  <si>
    <t>4426_20240611_0005_L_0532.jpg</t>
  </si>
  <si>
    <t>4427_20240611_0005_L_0534.jpg</t>
  </si>
  <si>
    <t>4428_20240611_0005_L_0536.jpg</t>
  </si>
  <si>
    <t>4429_20240611_0005_L_0538.jpg</t>
  </si>
  <si>
    <t>4430_20240611_0005_L_0541.jpg</t>
  </si>
  <si>
    <t>4431_20240611_0005_L_0543.jpg</t>
  </si>
  <si>
    <t>4432_20240611_0005_L_0545.jpg</t>
  </si>
  <si>
    <t>4433_20240611_0005_L_0547.jpg</t>
  </si>
  <si>
    <t>4434_20240611_0005_L_0549.jpg</t>
  </si>
  <si>
    <t>4435_20240611_0005_L_0551.jpg</t>
  </si>
  <si>
    <t>4436_20240611_0005_L_0554.jpg</t>
  </si>
  <si>
    <t>4437_20240611_0005_L_0556.jpg</t>
  </si>
  <si>
    <t>4438_20240611_0005_L_0559.jpg</t>
  </si>
  <si>
    <t>4439_20240611_0005_L_0561.jpg</t>
  </si>
  <si>
    <t>4440_20240611_0005_L_0567.jpg</t>
  </si>
  <si>
    <t>4441_20240611_0005_L_0571.jpg</t>
  </si>
  <si>
    <t>4442_20240611_0005_L_0573.jpg</t>
  </si>
  <si>
    <t>4443_20240611_0005_L_0575.jpg</t>
  </si>
  <si>
    <t>4444_20240611_0005_L_0578.jpg</t>
  </si>
  <si>
    <t>4445_20240611_0005_L_0580.jpg</t>
  </si>
  <si>
    <t>4446_20240611_0005_L_0582.jpg</t>
  </si>
  <si>
    <t>4447_20240611_0005_L_0585.jpg</t>
  </si>
  <si>
    <t>4448_20240611_0005_L_0587.jpg</t>
  </si>
  <si>
    <t>4449_20240611_0005_L_0591.jpg</t>
  </si>
  <si>
    <t>4450_20240611_0005_L_0593.jpg</t>
  </si>
  <si>
    <t>4451_20240611_0005_L_0596.jpg</t>
  </si>
  <si>
    <t>4452_20240611_0005_L_0600.jpg</t>
  </si>
  <si>
    <t>4453_20240611_0005_L_0603.jpg</t>
  </si>
  <si>
    <t>4454_20240611_0005_L_0606.jpg</t>
  </si>
  <si>
    <t>4455_20240611_0005_L_0609.jpg</t>
  </si>
  <si>
    <t>4456_20240611_0005_L_0612.jpg</t>
  </si>
  <si>
    <t>4457_20240611_0005_L_0615.jpg</t>
  </si>
  <si>
    <t>4458_20240611_0005_L_0618.jpg</t>
  </si>
  <si>
    <t>4459_20240611_0005_L_0621.jpg</t>
  </si>
  <si>
    <t>4460_20240611_0005_L_0624.jpg</t>
  </si>
  <si>
    <t>4461_20240611_0005_L_0627.jpg</t>
  </si>
  <si>
    <t>4462_20240611_0005_L_0630.jpg</t>
  </si>
  <si>
    <t>4463_20240611_0005_L_0635.jpg</t>
  </si>
  <si>
    <t>4464_20240611_0005_L_0637.jpg</t>
  </si>
  <si>
    <t>4465_20240611_0005_L_0640.jpg</t>
  </si>
  <si>
    <t>4466_20240611_0005_L_0643.jpg</t>
  </si>
  <si>
    <t>4467_20240611_0005_L_0646.jpg</t>
  </si>
  <si>
    <t>4468_20240611_0005_L_0649.jpg</t>
  </si>
  <si>
    <t>4469_20240611_0005_L_0652.jpg</t>
  </si>
  <si>
    <t>4470_20240611_0005_L_0655.jpg</t>
  </si>
  <si>
    <t>4471_20240611_0006_L_0003.jpg</t>
  </si>
  <si>
    <t>4472_20240611_0005_L_0661.jpg</t>
  </si>
  <si>
    <t>4473_20240611_0006_L_0012.jpg</t>
  </si>
  <si>
    <t>4474_20240611_0006_L_0018.jpg</t>
  </si>
  <si>
    <t>4475_20240611_0006_L_0022.jpg</t>
  </si>
  <si>
    <t>4476_20240611_0006_L_0027.jpg</t>
  </si>
  <si>
    <t>4477_20240611_0006_L_0032.jpg</t>
  </si>
  <si>
    <t>4478_20240611_0006_L_0035.jpg</t>
  </si>
  <si>
    <t>4479_20240611_0006_L_0038.jpg</t>
  </si>
  <si>
    <t>4480_20240611_0006_L_0043.jpg</t>
  </si>
  <si>
    <t>4481_20240611_0006_L_0048.jpg</t>
  </si>
  <si>
    <t>4482_20240611_0006_L_0052.jpg</t>
  </si>
  <si>
    <t>4483_20240611_0006_L_0055.jpg</t>
  </si>
  <si>
    <t>4484_20240611_0006_L_0061.jpg</t>
  </si>
  <si>
    <t>4485_20240611_0006_L_0065.jpg</t>
  </si>
  <si>
    <t>4486_20240611_0006_L_0070.jpg</t>
  </si>
  <si>
    <t>4487_20240611_0006_L_0074.jpg</t>
  </si>
  <si>
    <t>4488_20240611_0006_L_0077.jpg</t>
  </si>
  <si>
    <t>4489_20240611_0006_L_0082.jpg</t>
  </si>
  <si>
    <t>4490_20240611_0006_L_0085.jpg</t>
  </si>
  <si>
    <t>4491_20240611_0006_L_0090.jpg</t>
  </si>
  <si>
    <t>4492_20240611_0006_L_0094.jpg</t>
  </si>
  <si>
    <t>4493_20240611_0006_L_0098.jpg</t>
  </si>
  <si>
    <t>4494_20240611_0006_L_0102.jpg</t>
  </si>
  <si>
    <t>4495_20240611_0006_L_0106.jpg</t>
  </si>
  <si>
    <t>4496_20240611_0006_L_0111.jpg</t>
  </si>
  <si>
    <t>4497_20240611_0006_L_0115.jpg</t>
  </si>
  <si>
    <t>4498_20240611_0006_L_0119.jpg</t>
  </si>
  <si>
    <t>4499_20240611_0006_L_0124.jpg</t>
  </si>
  <si>
    <t>4500_20240611_0006_L_0128.jpg</t>
  </si>
  <si>
    <t>4501_20240611_0006_L_0133.jpg</t>
  </si>
  <si>
    <t>4502_20240611_0006_L_0137.jpg</t>
  </si>
  <si>
    <t>4503_20240611_0006_L_0142.jpg</t>
  </si>
  <si>
    <t>4504_20240611_0006_L_0146.jpg</t>
  </si>
  <si>
    <t>4505_20240611_0006_L_0151.jpg</t>
  </si>
  <si>
    <t>4506_20240611_0006_L_0155.jpg</t>
  </si>
  <si>
    <t>4507_20240611_0006_L_0159.jpg</t>
  </si>
  <si>
    <t>4508_20240611_0006_L_0164.jpg</t>
  </si>
  <si>
    <t>4509_20240611_0006_L_0168.jpg</t>
  </si>
  <si>
    <t>4510_20240611_0006_L_0172.jpg</t>
  </si>
  <si>
    <t>4511_20240611_0006_L_0177.jpg</t>
  </si>
  <si>
    <t>4512_20240611_0006_L_0181.jpg</t>
  </si>
  <si>
    <t>4513_20240611_0006_L_0185.jpg</t>
  </si>
  <si>
    <t>4514_20240611_0006_L_0189.jpg</t>
  </si>
  <si>
    <t>4515_20240611_0006_L_0193.jpg</t>
  </si>
  <si>
    <t>4516_20240611_0006_L_0197.jpg</t>
  </si>
  <si>
    <t>4517_20240611_0006_L_0201.jpg</t>
  </si>
  <si>
    <t>4518_20240611_0006_L_0205.jpg</t>
  </si>
  <si>
    <t>4519_20240611_0006_L_0209.jpg</t>
  </si>
  <si>
    <t>4520_20240611_0006_L_0212.jpg</t>
  </si>
  <si>
    <t>4521_20240611_0006_L_0216.jpg</t>
  </si>
  <si>
    <t>4522_20240611_0006_L_0219.jpg</t>
  </si>
  <si>
    <t>4523_20240611_0006_L_0223.jpg</t>
  </si>
  <si>
    <t>4524_20240611_0006_L_0228.jpg</t>
  </si>
  <si>
    <t>4525_20240611_0006_L_0231.jpg</t>
  </si>
  <si>
    <t>4526_20240611_0006_L_0234.jpg</t>
  </si>
  <si>
    <t>4527_20240611_0006_L_0237.jpg</t>
  </si>
  <si>
    <t>4528_20240611_0006_L_0241.jpg</t>
  </si>
  <si>
    <t>4529_20240611_0006_L_0246.jpg</t>
  </si>
  <si>
    <t>4530_20240611_0006_L_0249.jpg</t>
  </si>
  <si>
    <t>4531_20240611_0006_L_0253.jpg</t>
  </si>
  <si>
    <t>4532_20240611_0006_L_0257.jpg</t>
  </si>
  <si>
    <t>4533_20240611_0006_L_0261.jpg</t>
  </si>
  <si>
    <t>4534_20240611_0006_L_0264.jpg</t>
  </si>
  <si>
    <t>4535_20240611_0006_L_0267.jpg</t>
  </si>
  <si>
    <t>4536_20240611_0006_L_0269.jpg</t>
  </si>
  <si>
    <t>4537_20240611_0006_L_0273.jpg</t>
  </si>
  <si>
    <t>4538_20240611_0006_L_0276.jpg</t>
  </si>
  <si>
    <t>4539_20240611_0006_L_0280.jpg</t>
  </si>
  <si>
    <t>4540_20240611_0006_L_0283.jpg</t>
  </si>
  <si>
    <t>4541_20240611_0006_L_0287.jpg</t>
  </si>
  <si>
    <t>4542_20240611_0006_L_0290.jpg</t>
  </si>
  <si>
    <t>4543_20240611_0006_L_0294.jpg</t>
  </si>
  <si>
    <t>4544_20240611_0006_L_0298.jpg</t>
  </si>
  <si>
    <t>4545_20240611_0006_L_0301.jpg</t>
  </si>
  <si>
    <t>4546_20240611_0006_L_0304.jpg</t>
  </si>
  <si>
    <t>4547_20240611_0006_L_0308.jpg</t>
  </si>
  <si>
    <t>4548_20240611_0006_L_0312.jpg</t>
  </si>
  <si>
    <t>4549_20240611_0006_L_0317.jpg</t>
  </si>
  <si>
    <t>4550_20240611_0006_L_0321.jpg</t>
  </si>
  <si>
    <t>4551_20240611_0006_L_0324.jpg</t>
  </si>
  <si>
    <t>4552_20240611_0006_L_0329.jpg</t>
  </si>
  <si>
    <t>4553_20240611_0006_L_0332.jpg</t>
  </si>
  <si>
    <t>4554_20240611_0006_L_0337.jpg</t>
  </si>
  <si>
    <t>4555_20240611_0006_L_0342.jpg</t>
  </si>
  <si>
    <t>4556_20240611_0006_L_0346.jpg</t>
  </si>
  <si>
    <t>4557_20240611_0006_L_0350.jpg</t>
  </si>
  <si>
    <t>4558_20240611_0006_L_0353.jpg</t>
  </si>
  <si>
    <t>4559_20240611_0006_L_0357.jpg</t>
  </si>
  <si>
    <t>4560_20240611_0006_L_0361.jpg</t>
  </si>
  <si>
    <t>4561_20240611_0006_L_0365.jpg</t>
  </si>
  <si>
    <t>4562_20240611_0006_L_0368.jpg</t>
  </si>
  <si>
    <t>4563_20240611_0006_L_0372.jpg</t>
  </si>
  <si>
    <t>4564_20240611_0006_L_0375.jpg</t>
  </si>
  <si>
    <t>4565_20240611_0006_L_0377.jpg</t>
  </si>
  <si>
    <t>4566_20240611_0006_L_0380.jpg</t>
  </si>
  <si>
    <t>4567_20240611_0006_L_0383.jpg</t>
  </si>
  <si>
    <t>4568_20240611_0006_L_0385.jpg</t>
  </si>
  <si>
    <t>4569_20240611_0006_L_0388.jpg</t>
  </si>
  <si>
    <t>4570_20240611_0006_L_0391.jpg</t>
  </si>
  <si>
    <t>4571_20240611_0006_L_0394.jpg</t>
  </si>
  <si>
    <t>4572_20240611_0006_L_0396.jpg</t>
  </si>
  <si>
    <t>4573_20240611_0006_L_0399.jpg</t>
  </si>
  <si>
    <t>4574_20240611_0006_L_0402.jpg</t>
  </si>
  <si>
    <t>4575_20240611_0006_L_0404.jpg</t>
  </si>
  <si>
    <t>4576_20240611_0006_L_0407.jpg</t>
  </si>
  <si>
    <t>4577_20240611_0006_L_0410.jpg</t>
  </si>
  <si>
    <t>4578_20240611_0006_L_0413.jpg</t>
  </si>
  <si>
    <t>4579_20240611_0006_L_0415.jpg</t>
  </si>
  <si>
    <t>4580_20240611_0006_L_0418.jpg</t>
  </si>
  <si>
    <t>4581_20240611_0006_L_0421.jpg</t>
  </si>
  <si>
    <t>4582_20240611_0006_L_0424.jpg</t>
  </si>
  <si>
    <t>4583_20240611_0006_L_0427.jpg</t>
  </si>
  <si>
    <t>4584_20240611_0006_L_0429.jpg</t>
  </si>
  <si>
    <t>4585_20240611_0006_L_0432.jpg</t>
  </si>
  <si>
    <t>4586_20240611_0006_L_0436.jpg</t>
  </si>
  <si>
    <t>4587_20240611_0006_L_0438.jpg</t>
  </si>
  <si>
    <t>4588_20240611_0006_L_0441.jpg</t>
  </si>
  <si>
    <t>4589_20240611_0006_L_0444.jpg</t>
  </si>
  <si>
    <t>4590_20240611_0006_L_0447.jpg</t>
  </si>
  <si>
    <t>4591_20240611_0006_L_0449.jpg</t>
  </si>
  <si>
    <t>4592_20240611_0006_L_0452.jpg</t>
  </si>
  <si>
    <t>4593_20240611_0006_L_0455.jpg</t>
  </si>
  <si>
    <t>4594_20240611_0006_L_0458.jpg</t>
  </si>
  <si>
    <t>4595_20240611_0006_L_0461.jpg</t>
  </si>
  <si>
    <t>4596_20240611_0006_L_0463.jpg</t>
  </si>
  <si>
    <t>4597_20240611_0006_L_0466.jpg</t>
  </si>
  <si>
    <t>4598_20240611_0006_L_0468.jpg</t>
  </si>
  <si>
    <t>4599_20240611_0006_L_0471.jpg</t>
  </si>
  <si>
    <t>4600_20240611_0006_L_0474.jpg</t>
  </si>
  <si>
    <t>4601_20240611_0006_L_0477.jpg</t>
  </si>
  <si>
    <t>4602_20240611_0006_L_0480.jpg</t>
  </si>
  <si>
    <t>4603_20240611_0006_L_0483.jpg</t>
  </si>
  <si>
    <t>4604_20240611_0006_L_0487.jpg</t>
  </si>
  <si>
    <t>4605_20240611_0006_L_0490.jpg</t>
  </si>
  <si>
    <t>4606_20240611_0006_L_0494.jpg</t>
  </si>
  <si>
    <t>4607_20240611_0006_L_0497.jpg</t>
  </si>
  <si>
    <t>4608_20240611_0006_L_0499.jpg</t>
  </si>
  <si>
    <t>4609_20240611_0006_L_0502.jpg</t>
  </si>
  <si>
    <t>4610_20240611_0006_L_0505.jpg</t>
  </si>
  <si>
    <t>4611_20240611_0006_L_0508.jpg</t>
  </si>
  <si>
    <t>4612_20240611_0006_L_0511.jpg</t>
  </si>
  <si>
    <t>4613_20240611_0006_L_0514.jpg</t>
  </si>
  <si>
    <t>4614_20240611_0006_L_0516.jpg</t>
  </si>
  <si>
    <t>4615_20240611_0006_L_0520.jpg</t>
  </si>
  <si>
    <t>4616_20240611_0006_L_0522.jpg</t>
  </si>
  <si>
    <t>4617_20240611_0006_L_0525.jpg</t>
  </si>
  <si>
    <t>4618_20240611_0006_L_0530.jpg</t>
  </si>
  <si>
    <t>4619_20240611_0006_L_0536.jpg</t>
  </si>
  <si>
    <t>4620_20240611_0006_L_0541.jpg</t>
  </si>
  <si>
    <t>4621_20240611_0006_L_0545.jpg</t>
  </si>
  <si>
    <t>4622_20240611_0006_L_0549.jpg</t>
  </si>
  <si>
    <t>4623_20240611_0006_L_0552.jpg</t>
  </si>
  <si>
    <t>4624_20240611_0006_L_0554.jpg</t>
  </si>
  <si>
    <t>5091_20240611_0006_L_0557.jpg</t>
  </si>
  <si>
    <t>5092_20240611_0006_L_0559.jpg</t>
  </si>
  <si>
    <t>5093_20240611_0006_L_0561.jpg</t>
  </si>
  <si>
    <t>5094_20240611_0006_L_0563.jpg</t>
  </si>
  <si>
    <t>5095_20240611_0006_L_0564.jpg</t>
  </si>
  <si>
    <t>5096_20240611_0006_L_0565.jpg</t>
  </si>
  <si>
    <t>5097_20240611_0006_L_0567.jpg</t>
  </si>
  <si>
    <t>5098_20240611_0006_L_0568.jpg</t>
  </si>
  <si>
    <t>5099_20240611_0006_L_0571.jpg</t>
  </si>
  <si>
    <t>5100_20240611_0006_L_0573.jpg</t>
  </si>
  <si>
    <t>5101_20240611_0006_L_0575.jpg</t>
  </si>
  <si>
    <t>5102_20240611_0006_L_0578.jpg</t>
  </si>
  <si>
    <t>5103_20240611_0006_L_0581.jpg</t>
  </si>
  <si>
    <t>5104_20240611_0006_L_0583.jpg</t>
  </si>
  <si>
    <t>5105_20240611_0006_L_0585.jpg</t>
  </si>
  <si>
    <t>5106_20240611_0006_L_0588.jpg</t>
  </si>
  <si>
    <t>5107_20240611_0006_L_0590.jpg</t>
  </si>
  <si>
    <t>5108_20240611_0006_L_0593.jpg</t>
  </si>
  <si>
    <t>5109_20240611_0006_L_0596.jpg</t>
  </si>
  <si>
    <t>5110_20240611_0006_L_0599.jpg</t>
  </si>
  <si>
    <t>5111_20240611_0006_L_0602.jpg</t>
  </si>
  <si>
    <t>5112_20240611_0006_L_0605.jpg</t>
  </si>
  <si>
    <t>5113_20240611_0006_L_0608.jpg</t>
  </si>
  <si>
    <t>5114_20240611_0006_L_0611.jpg</t>
  </si>
  <si>
    <t>5115_20240611_0006_L_0614.jpg</t>
  </si>
  <si>
    <t>5116_20240611_0006_L_0616.jpg</t>
  </si>
  <si>
    <t>5117_20240611_0006_L_0619.jpg</t>
  </si>
  <si>
    <t>5118_20240611_0006_L_0622.jpg</t>
  </si>
  <si>
    <t>5119_20240611_0006_L_0624.jpg</t>
  </si>
  <si>
    <t>5120_20240611_0006_L_0627.jpg</t>
  </si>
  <si>
    <t>5121_20240611_0006_L_0630.jpg</t>
  </si>
  <si>
    <t>5122_20240611_0006_L_0632.jpg</t>
  </si>
  <si>
    <t>5123_20240611_0006_L_0635.jpg</t>
  </si>
  <si>
    <t>5124_20240611_0006_L_0638.jpg</t>
  </si>
  <si>
    <t>5125_20240611_0006_L_0641.jpg</t>
  </si>
  <si>
    <t>5126_20240611_0006_L_0643.jpg</t>
  </si>
  <si>
    <t>5127_20240611_0006_L_0646.jpg</t>
  </si>
  <si>
    <t>5128_20240611_0006_L_0649.jpg</t>
  </si>
  <si>
    <t>5129_20240611_0006_L_0652.jpg</t>
  </si>
  <si>
    <t>5130_20240611_0006_L_0655.jpg</t>
  </si>
  <si>
    <t>5131_20240611_0006_L_0658.jpg</t>
  </si>
  <si>
    <t>5132_20240611_0006_L_0660.jpg</t>
  </si>
  <si>
    <t>5133_20240611_0006_L_0664.jpg</t>
  </si>
  <si>
    <t>5134_20240611_0006_L_0667.jpg</t>
  </si>
  <si>
    <t>5135_20240611_0006_L_0670.jpg</t>
  </si>
  <si>
    <t>5136_20240611_0006_L_0673.jpg</t>
  </si>
  <si>
    <t>5137_20240611_0006_L_0675.jpg</t>
  </si>
  <si>
    <t>5138_20240611_0006_L_0678.jpg</t>
  </si>
  <si>
    <t>5139_20240611_0006_L_0681.jpg</t>
  </si>
  <si>
    <t>5140_20240611_0006_L_0684.jpg</t>
  </si>
  <si>
    <t>5141_20240611_0006_L_0686.jpg</t>
  </si>
  <si>
    <t>5142_20240611_0006_L_0689.jpg</t>
  </si>
  <si>
    <t>5143_20240611_0006_L_0692.jpg</t>
  </si>
  <si>
    <t>5144_20240611_0006_L_0696.jpg</t>
  </si>
  <si>
    <t>5145_20240611_0006_L_0704.jpg</t>
  </si>
  <si>
    <t>5146_20240611_0006_L_0708.jpg</t>
  </si>
  <si>
    <t>5147_20240611_0006_L_0714.jpg</t>
  </si>
  <si>
    <t>5148_20240611_0006_L_0725.jpg</t>
  </si>
  <si>
    <t>5149_20240611_0006_L_0733.jpg</t>
  </si>
  <si>
    <t>5150_20240611_0006_L_0745.jpg</t>
  </si>
  <si>
    <t>5151_20240611_0006_L_0750.jpg</t>
  </si>
  <si>
    <t>5152_20240611_0006_L_0754.jpg</t>
  </si>
  <si>
    <t>5153_20240611_0006_L_0758.jpg</t>
  </si>
  <si>
    <t>5154_20240611_0006_L_0761.jpg</t>
  </si>
  <si>
    <t>5155_20240611_0006_L_0765.jpg</t>
  </si>
  <si>
    <t>5156_20240611_0006_L_0768.jpg</t>
  </si>
  <si>
    <t>5157_20240611_0006_L_0771.jpg</t>
  </si>
  <si>
    <t>5158_20240611_0006_L_0775.jpg</t>
  </si>
  <si>
    <t>5159_20240611_0006_L_0778.jpg</t>
  </si>
  <si>
    <t>5160_20240611_0006_L_0781.jpg</t>
  </si>
  <si>
    <t>5161_20240611_0006_L_0784.jpg</t>
  </si>
  <si>
    <t>5162_20240611_0006_L_0787.jpg</t>
  </si>
  <si>
    <t>5163_20240611_0006_L_0790.jpg</t>
  </si>
  <si>
    <t>5164_20240611_0006_L_0793.jpg</t>
  </si>
  <si>
    <t>5165_20240611_0006_L_0795.jpg</t>
  </si>
  <si>
    <t>5166_20240611_0006_L_0798.jpg</t>
  </si>
  <si>
    <t>5167_20240611_0006_L_0800.jpg</t>
  </si>
  <si>
    <t>5168_20240611_0006_L_0803.jpg</t>
  </si>
  <si>
    <t>5169_20240611_0006_L_0805.jpg</t>
  </si>
  <si>
    <t>5170_20240611_0006_L_0808.jpg</t>
  </si>
  <si>
    <t>5171_20240611_0006_L_0810.jpg</t>
  </si>
  <si>
    <t>5172_20240611_0006_L_0813.jpg</t>
  </si>
  <si>
    <t>5173_20240611_0006_L_0816.jpg</t>
  </si>
  <si>
    <t>5174_20240611_0006_L_0819.jpg</t>
  </si>
  <si>
    <t>5175_20240611_0006_L_0821.jpg</t>
  </si>
  <si>
    <t>5176_20240611_0006_L_0824.jpg</t>
  </si>
  <si>
    <t>5177_20240611_0006_L_0827.jpg</t>
  </si>
  <si>
    <t>5178_20240611_0006_L_0829.jpg</t>
  </si>
  <si>
    <t>5179_20240611_0006_L_0832.jpg</t>
  </si>
  <si>
    <t>5180_20240611_0006_L_0835.jpg</t>
  </si>
  <si>
    <t>5181_20240611_0006_L_0838.jpg</t>
  </si>
  <si>
    <t>5182_20240611_0006_L_0841.jpg</t>
  </si>
  <si>
    <t>5183_20240611_0006_L_0844.jpg</t>
  </si>
  <si>
    <t>5184_20240611_0006_L_0846.jpg</t>
  </si>
  <si>
    <t>5185_20240611_0006_L_0849.jpg</t>
  </si>
  <si>
    <t>5186_20240611_0006_L_0852.jpg</t>
  </si>
  <si>
    <t>5187_20240611_0006_L_0855.jpg</t>
  </si>
  <si>
    <t>5188_20240611_0006_L_0857.jpg</t>
  </si>
  <si>
    <t>5189_20240611_0006_L_0862.jpg</t>
  </si>
  <si>
    <t>5190_20240611_0006_L_0865.jpg</t>
  </si>
  <si>
    <t>5191_20240611_0006_L_0868.jpg</t>
  </si>
  <si>
    <t>5192_20240611_0006_L_0872.jpg</t>
  </si>
  <si>
    <t>5193_20240611_0006_L_0874.jpg</t>
  </si>
  <si>
    <t>5194_20240611_0006_L_0876.jpg</t>
  </si>
  <si>
    <t>5195_20240611_0006_L_0879.jpg</t>
  </si>
  <si>
    <t>5196_20240611_0006_L_0883.jpg</t>
  </si>
  <si>
    <t>5197_20240611_0006_L_0886.jpg</t>
  </si>
  <si>
    <t>5198_20240611_0006_L_0888.jpg</t>
  </si>
  <si>
    <t>5199_20240611_0006_L_0891.jpg</t>
  </si>
  <si>
    <t>5200_20240611_0006_L_0894.jpg</t>
  </si>
  <si>
    <t>5201_20240611_0006_L_0897.jpg</t>
  </si>
  <si>
    <t>5202_20240611_0006_L_0899.jpg</t>
  </si>
  <si>
    <t>5203_20240611_0006_L_0902.jpg</t>
  </si>
  <si>
    <t>5204_20240611_0006_L_0905.jpg</t>
  </si>
  <si>
    <t>5205_20240611_0006_L_0908.jpg</t>
  </si>
  <si>
    <t>5206_20240611_0006_L_0911.jpg</t>
  </si>
  <si>
    <t>5207_20240611_0006_L_0914.jpg</t>
  </si>
  <si>
    <t>5208_20240611_0006_L_0916.jpg</t>
  </si>
  <si>
    <t>5209_20240611_0006_L_0919.jpg</t>
  </si>
  <si>
    <t>5210_20240611_0006_L_0922.jpg</t>
  </si>
  <si>
    <t>5211_20240611_0006_L_0925.jpg</t>
  </si>
  <si>
    <t>5212_20240611_0006_L_0928.jpg</t>
  </si>
  <si>
    <t>5213_20240611_0006_L_0931.jpg</t>
  </si>
  <si>
    <t>5214_20240611_0006_L_0933.jpg</t>
  </si>
  <si>
    <t>5215_20240611_0006_L_0936.jpg</t>
  </si>
  <si>
    <t>5216_20240611_0006_L_0939.jpg</t>
  </si>
  <si>
    <t>5217_20240611_0006_L_0942.jpg</t>
  </si>
  <si>
    <t>5218_20240611_0006_L_0944.jpg</t>
  </si>
  <si>
    <t>5219_20240611_0006_L_0947.jpg</t>
  </si>
  <si>
    <t>5220_20240611_0006_L_0950.jpg</t>
  </si>
  <si>
    <t>5221_20240611_0006_L_0953.jpg</t>
  </si>
  <si>
    <t>5222_20240611_0006_L_0955.jpg</t>
  </si>
  <si>
    <t>5223_20240611_0006_L_0958.jpg</t>
  </si>
  <si>
    <t>5224_20240611_0006_L_0960.jpg</t>
  </si>
  <si>
    <t>5225_20240611_0006_L_0963.jpg</t>
  </si>
  <si>
    <t>5226_20240611_0006_L_0965.jpg</t>
  </si>
  <si>
    <t>5227_20240611_0006_L_0967.jpg</t>
  </si>
  <si>
    <t>5228_20240611_0006_L_0970.jpg</t>
  </si>
  <si>
    <t>5229_20240611_0006_L_0973.jpg</t>
  </si>
  <si>
    <t>5230_20240611_0006_L_0976.jpg</t>
  </si>
  <si>
    <t>5231_20240611_0006_L_0978.jpg</t>
  </si>
  <si>
    <t>5232_20240611_0006_L_0981.jpg</t>
  </si>
  <si>
    <t>5233_20240611_0006_L_0984.jpg</t>
  </si>
  <si>
    <t>5234_20240611_0006_L_0986.jpg</t>
  </si>
  <si>
    <t>5235_20240611_0006_L_0989.jpg</t>
  </si>
  <si>
    <t>5236_20240611_0006_L_0992.jpg</t>
  </si>
  <si>
    <t>5237_20240611_0006_L_0995.jpg</t>
  </si>
  <si>
    <t>5238_20240611_0006_L_0998.jpg</t>
  </si>
  <si>
    <t>5239_20240611_0006_L_1000.jpg</t>
  </si>
  <si>
    <t>5240_20240611_0006_L_1003.jpg</t>
  </si>
  <si>
    <t>5241_20240611_0006_L_1005.jpg</t>
  </si>
  <si>
    <t>5242_20240611_0006_L_1008.jpg</t>
  </si>
  <si>
    <t>5243_20240611_0006_L_1010.jpg</t>
  </si>
  <si>
    <t>5244_20240611_0006_L_1012.jpg</t>
  </si>
  <si>
    <t>5245_20240611_0006_L_1014.jpg</t>
  </si>
  <si>
    <t>5246_20240611_0006_L_1016.jpg</t>
  </si>
  <si>
    <t>5247_20240611_0006_L_1018.jpg</t>
  </si>
  <si>
    <t>5248_20240611_0006_L_1021.jpg</t>
  </si>
  <si>
    <t>5249_20240611_0006_L_1023.jpg</t>
  </si>
  <si>
    <t>5250_20240611_0006_L_1026.jpg</t>
  </si>
  <si>
    <t>5251_20240611_0006_L_1028.jpg</t>
  </si>
  <si>
    <t>5252_20240611_0006_L_1031.jpg</t>
  </si>
  <si>
    <t>5253_20240611_0006_L_1034.jpg</t>
  </si>
  <si>
    <t>5254_20240611_0006_L_1036.jpg</t>
  </si>
  <si>
    <t>5255_20240611_0006_L_1039.jpg</t>
  </si>
  <si>
    <t>5256_20240611_0006_L_1041.jpg</t>
  </si>
  <si>
    <t>5257_20240611_0006_L_1045.jpg</t>
  </si>
  <si>
    <t>5258_20240611_0006_L_1047.jpg</t>
  </si>
  <si>
    <t>5259_20240611_0006_L_1049.jpg</t>
  </si>
  <si>
    <t>5260_20240611_0006_L_1052.jpg</t>
  </si>
  <si>
    <t>5261_20240611_0006_L_1055.jpg</t>
  </si>
  <si>
    <t>5262_20240611_0006_L_1057.jpg</t>
  </si>
  <si>
    <t>5263_20240611_0006_L_1060.jpg</t>
  </si>
  <si>
    <t>5264_20240611_0006_L_1062.jpg</t>
  </si>
  <si>
    <t>5265_20240611_0006_L_1065.jpg</t>
  </si>
  <si>
    <t>5266_20240611_0006_L_1067.jpg</t>
  </si>
  <si>
    <t>5267_20240611_0006_L_1071.jpg</t>
  </si>
  <si>
    <t>5268_20240611_0006_L_1075.jpg</t>
  </si>
  <si>
    <t>5269_20240611_0006_L_1077.jpg</t>
  </si>
  <si>
    <t>5442_20240611_0007_L_0006.jpg</t>
  </si>
  <si>
    <t>5443_20240611_0007_L_0011.jpg</t>
  </si>
  <si>
    <t>5444_20240611_0007_L_0019.jpg</t>
  </si>
  <si>
    <t>5445_20240611_0007_L_0023.jpg</t>
  </si>
  <si>
    <t>5446_20240611_0007_L_0027.jpg</t>
  </si>
  <si>
    <t>5447_20240611_0007_L_0031.jpg</t>
  </si>
  <si>
    <t>5448_20240611_0007_L_0035.jpg</t>
  </si>
  <si>
    <t>5449_20240611_0007_L_0038.jpg</t>
  </si>
  <si>
    <t>5450_20240611_0007_L_0041.jpg</t>
  </si>
  <si>
    <t>5451_20240611_0007_L_0044.jpg</t>
  </si>
  <si>
    <t>5452_20240611_0007_L_0048.jpg</t>
  </si>
  <si>
    <t>5453_20240611_0007_L_0051.jpg</t>
  </si>
  <si>
    <t>5454_20240611_0007_L_0054.jpg</t>
  </si>
  <si>
    <t>5455_20240611_0007_L_0057.jpg</t>
  </si>
  <si>
    <t>5456_20240611_0007_L_0061.jpg</t>
  </si>
  <si>
    <t>5457_20240611_0007_L_0064.jpg</t>
  </si>
  <si>
    <t>5458_20240611_0007_L_0067.jpg</t>
  </si>
  <si>
    <t>5459_20240611_0007_L_0071.jpg</t>
  </si>
  <si>
    <t>5460_20240611_0007_L_0074.jpg</t>
  </si>
  <si>
    <t>5461_20240611_0007_L_0077.jpg</t>
  </si>
  <si>
    <t>5462_20240611_0007_L_0080.jpg</t>
  </si>
  <si>
    <t>5463_20240611_0007_L_0083.jpg</t>
  </si>
  <si>
    <t>5464_20240611_0007_L_0085.jpg</t>
  </si>
  <si>
    <t>5465_20240611_0007_L_0090.jpg</t>
  </si>
  <si>
    <t>5466_20240611_0007_L_0095.jpg</t>
  </si>
  <si>
    <t>5467_20240611_0007_L_0098.jpg</t>
  </si>
  <si>
    <t>5468_20240611_0007_L_0101.jpg</t>
  </si>
  <si>
    <t>5469_20240611_0007_L_0104.jpg</t>
  </si>
  <si>
    <t>5470_20240611_0007_L_0107.jpg</t>
  </si>
  <si>
    <t>5471_20240611_0007_L_0110.jpg</t>
  </si>
  <si>
    <t>5472_20240611_0007_L_0112.jpg</t>
  </si>
  <si>
    <t>5473_20240611_0007_L_0115.jpg</t>
  </si>
  <si>
    <t>5474_20240611_0007_L_0118.jpg</t>
  </si>
  <si>
    <t>5475_20240611_0007_L_0121.jpg</t>
  </si>
  <si>
    <t>5476_20240611_0007_L_0124.jpg</t>
  </si>
  <si>
    <t>5477_20240611_0007_L_0127.jpg</t>
  </si>
  <si>
    <t>5478_20240611_0007_L_0130.jpg</t>
  </si>
  <si>
    <t>5479_20240611_0007_L_0133.jpg</t>
  </si>
  <si>
    <t>5480_20240611_0007_L_0136.jpg</t>
  </si>
  <si>
    <t>5481_20240611_0007_L_0140.jpg</t>
  </si>
  <si>
    <t>5482_20240611_0007_L_0143.jpg</t>
  </si>
  <si>
    <t>5483_20240611_0007_L_0147.jpg</t>
  </si>
  <si>
    <t>5484_20240611_0007_L_0151.jpg</t>
  </si>
  <si>
    <t>5485_20240611_0007_L_0153.jpg</t>
  </si>
  <si>
    <t>5486_20240611_0007_L_0157.jpg</t>
  </si>
  <si>
    <t>5487_20240611_0007_L_0159.jpg</t>
  </si>
  <si>
    <t>5488_20240611_0007_L_0162.jpg</t>
  </si>
  <si>
    <t>5489_20240611_0007_L_0165.jpg</t>
  </si>
  <si>
    <t>5490_20240611_0007_L_0168.jpg</t>
  </si>
  <si>
    <t>5491_20240611_0007_L_0171.jpg</t>
  </si>
  <si>
    <t>5492_20240611_0007_L_0173.jpg</t>
  </si>
  <si>
    <t>5493_20240611_0007_L_0176.jpg</t>
  </si>
  <si>
    <t>5494_20240611_0007_L_0179.jpg</t>
  </si>
  <si>
    <t>5495_20240611_0007_L_0182.jpg</t>
  </si>
  <si>
    <t>5496_20240611_0007_L_0185.jpg</t>
  </si>
  <si>
    <t>5497_20240611_0007_L_0187.jpg</t>
  </si>
  <si>
    <t>5498_20240611_0007_L_0190.jpg</t>
  </si>
  <si>
    <t>5499_20240611_0007_L_0193.jpg</t>
  </si>
  <si>
    <t>5500_20240611_0007_L_0196.jpg</t>
  </si>
  <si>
    <t>5501_20240611_0007_L_0199.jpg</t>
  </si>
  <si>
    <t>5502_20240611_0007_L_0202.jpg</t>
  </si>
  <si>
    <t>5503_20240611_0007_L_0205.jpg</t>
  </si>
  <si>
    <t>5504_20240611_0007_L_0208.jpg</t>
  </si>
  <si>
    <t>5505_20240611_0007_L_0211.jpg</t>
  </si>
  <si>
    <t>5506_20240611_0007_L_0214.jpg</t>
  </si>
  <si>
    <t>5507_20240611_0007_L_0218.jpg</t>
  </si>
  <si>
    <t>5508_20240611_0007_L_0221.jpg</t>
  </si>
  <si>
    <t>5509_20240611_0007_L_0223.jpg</t>
  </si>
  <si>
    <t>5510_20240611_0007_L_0226.jpg</t>
  </si>
  <si>
    <t>5511_20240611_0007_L_0229.jpg</t>
  </si>
  <si>
    <t>5512_20240611_0007_L_0232.jpg</t>
  </si>
  <si>
    <t>5513_20240611_0007_L_0235.jpg</t>
  </si>
  <si>
    <t>5514_20240611_0007_L_0238.jpg</t>
  </si>
  <si>
    <t>5515_20240611_0007_L_0240.jpg</t>
  </si>
  <si>
    <t>5516_20240611_0007_L_0244.jpg</t>
  </si>
  <si>
    <t>5517_20240611_0007_L_0247.jpg</t>
  </si>
  <si>
    <t>5518_20240611_0007_L_0249.jpg</t>
  </si>
  <si>
    <t>5519_20240611_0007_L_0252.jpg</t>
  </si>
  <si>
    <t>5520_20240611_0007_L_0254.jpg</t>
  </si>
  <si>
    <t>5521_20240611_0007_L_0256.jpg</t>
  </si>
  <si>
    <t>5522_20240611_0007_L_0259.jpg</t>
  </si>
  <si>
    <t>5523_20240611_0007_L_0261.jpg</t>
  </si>
  <si>
    <t>5524_20240611_0007_L_0264.jpg</t>
  </si>
  <si>
    <t>5525_20240611_0007_L_0266.jpg</t>
  </si>
  <si>
    <t>5526_20240611_0007_L_0269.jpg</t>
  </si>
  <si>
    <t>5527_20240611_0007_L_0272.jpg</t>
  </si>
  <si>
    <t>5528_20240611_0007_L_0274.jpg</t>
  </si>
  <si>
    <t>5529_20240611_0007_L_0278.jpg</t>
  </si>
  <si>
    <t>5530_20240611_0007_L_0281.jpg</t>
  </si>
  <si>
    <t>5531_20240611_0007_L_0283.jpg</t>
  </si>
  <si>
    <t>5532_20240611_0007_L_0286.jpg</t>
  </si>
  <si>
    <t>5533_20240611_0007_L_0289.jpg</t>
  </si>
  <si>
    <t>5534_20240611_0007_L_0292.jpg</t>
  </si>
  <si>
    <t>5535_20240611_0007_L_0295.jpg</t>
  </si>
  <si>
    <t>5536_20240611_0007_L_0297.jpg</t>
  </si>
  <si>
    <t>5537_20240611_0007_L_0301.jpg</t>
  </si>
  <si>
    <t>5538_20240611_0007_L_0303.jpg</t>
  </si>
  <si>
    <t>5539_20240611_0007_L_0307.jpg</t>
  </si>
  <si>
    <t>5540_20240611_0007_L_0310.jpg</t>
  </si>
  <si>
    <t>5541_20240611_0007_L_0314.jpg</t>
  </si>
  <si>
    <t>5542_20240611_0007_L_0317.jpg</t>
  </si>
  <si>
    <t>5543_20240611_0007_L_0319.jpg</t>
  </si>
  <si>
    <t>5544_20240611_0007_L_0322.jpg</t>
  </si>
  <si>
    <t>5545_20240611_0007_L_0324.jpg</t>
  </si>
  <si>
    <t>5546_20240611_0007_L_0326.jpg</t>
  </si>
  <si>
    <t>5547_20240611_0007_L_0329.jpg</t>
  </si>
  <si>
    <t>5548_20240611_0007_L_0331.jpg</t>
  </si>
  <si>
    <t>5549_20240611_0007_L_0334.jpg</t>
  </si>
  <si>
    <t>5550_20240611_0007_L_0337.jpg</t>
  </si>
  <si>
    <t>5551_20240611_0007_L_0339.jpg</t>
  </si>
  <si>
    <t>5552_20240611_0007_L_0343.jpg</t>
  </si>
  <si>
    <t>5553_20240611_0007_L_0345.jpg</t>
  </si>
  <si>
    <t>5554_20240611_0007_L_0347.jpg</t>
  </si>
  <si>
    <t>5555_20240611_0007_L_0349.jpg</t>
  </si>
  <si>
    <t>5556_20240611_0007_L_0352.jpg</t>
  </si>
  <si>
    <t>5557_20240611_0007_L_0354.jpg</t>
  </si>
  <si>
    <t>5558_20240611_0007_L_0357.jpg</t>
  </si>
  <si>
    <t>5559_20240611_0007_L_0361.jpg</t>
  </si>
  <si>
    <t>5560_20240611_0007_L_0364.jpg</t>
  </si>
  <si>
    <t>5561_20240611_0007_L_0368.jpg</t>
  </si>
  <si>
    <t>5562_20240611_0007_L_0370.jpg</t>
  </si>
  <si>
    <t>5563_20240611_0007_L_0372.jpg</t>
  </si>
  <si>
    <t>5564_20240611_0007_L_0374.jpg</t>
  </si>
  <si>
    <t>5565_20240611_0007_L_0376.jpg</t>
  </si>
  <si>
    <t>5566_20240611_0007_L_0378.jpg</t>
  </si>
  <si>
    <t>5567_20240611_0007_L_0379.jpg</t>
  </si>
  <si>
    <t>5568_20240611_0007_L_0382.jpg</t>
  </si>
  <si>
    <t>5569_20240611_0007_L_0383.jpg</t>
  </si>
  <si>
    <t>5570_20240611_0007_L_0387.jpg</t>
  </si>
  <si>
    <t>5571_20240611_0007_L_0389.jpg</t>
  </si>
  <si>
    <t>5572_20240611_0007_L_0392.jpg</t>
  </si>
  <si>
    <t>5573_20240611_0007_L_0394.jpg</t>
  </si>
  <si>
    <t>5574_20240611_0007_L_0397.jpg</t>
  </si>
  <si>
    <t>5575_20240611_0007_L_0399.jpg</t>
  </si>
  <si>
    <t>5576_20240611_0007_L_0402.jpg</t>
  </si>
  <si>
    <t>5577_20240611_0007_L_0406.jpg</t>
  </si>
  <si>
    <t>5578_20240611_0007_L_0408.jpg</t>
  </si>
  <si>
    <t>5579_20240611_0007_L_0411.jpg</t>
  </si>
  <si>
    <t>5580_20240611_0007_L_0413.jpg</t>
  </si>
  <si>
    <t>5581_20240611_0007_L_0415.jpg</t>
  </si>
  <si>
    <t>5582_20240611_0007_L_0418.jpg</t>
  </si>
  <si>
    <t>5583_20240611_0007_L_0422.jpg</t>
  </si>
  <si>
    <t>5584_20240611_0007_L_0426.jpg</t>
  </si>
  <si>
    <t>5585_20240611_0007_L_0429.jpg</t>
  </si>
  <si>
    <t>5586_20240611_0007_L_0432.jpg</t>
  </si>
  <si>
    <t>5587_20240611_0007_L_0436.jpg</t>
  </si>
  <si>
    <t>5588_20240611_0007_L_0439.jpg</t>
  </si>
  <si>
    <t>5589_20240611_0007_L_0442.jpg</t>
  </si>
  <si>
    <t>5590_20240611_0007_L_0445.jpg</t>
  </si>
  <si>
    <t>5591_20240611_0007_L_0448.jpg</t>
  </si>
  <si>
    <t>5592_20240611_0007_L_0451.jpg</t>
  </si>
  <si>
    <t>5593_20240611_0007_L_0454.jpg</t>
  </si>
  <si>
    <t>5594_20240611_0007_L_0458.jpg</t>
  </si>
  <si>
    <t>5595_20240611_0007_L_0461.jpg</t>
  </si>
  <si>
    <t>5596_20240611_0007_L_0465.jpg</t>
  </si>
  <si>
    <t>5597_20240611_0007_L_0467.jpg</t>
  </si>
  <si>
    <t>5598_20240611_0007_L_0470.jpg</t>
  </si>
  <si>
    <t>5599_20240611_0007_L_0473.jpg</t>
  </si>
  <si>
    <t>5600_20240611_0007_L_0476.jpg</t>
  </si>
  <si>
    <t>5601_20240611_0007_L_0479.jpg</t>
  </si>
  <si>
    <t>5602_20240611_0007_L_0482.jpg</t>
  </si>
  <si>
    <t>5603_20240611_0007_L_0485.jpg</t>
  </si>
  <si>
    <t>5604_20240611_0007_L_0488.jpg</t>
  </si>
  <si>
    <t>5605_20240611_0007_L_0491.jpg</t>
  </si>
  <si>
    <t>5606_20240611_0007_L_0494.jpg</t>
  </si>
  <si>
    <t>5607_20240611_0007_L_0497.jpg</t>
  </si>
  <si>
    <t>5608_20240611_0007_L_0500.jpg</t>
  </si>
  <si>
    <t>5609_20240611_0007_L_0503.jpg</t>
  </si>
  <si>
    <t>5610_20240611_0007_L_0506.jpg</t>
  </si>
  <si>
    <t>5611_20240611_0007_L_0509.jpg</t>
  </si>
  <si>
    <t>5612_20240611_0007_L_0512.jpg</t>
  </si>
  <si>
    <t>5613_20240611_0007_L_0515.jpg</t>
  </si>
  <si>
    <t>5614_20240611_0007_L_0518.jpg</t>
  </si>
  <si>
    <t>5615_20240611_0007_L_0522.jpg</t>
  </si>
  <si>
    <t>5616_20240611_0007_L_0524.jpg</t>
  </si>
  <si>
    <t>5617_20240611_0007_L_0527.jpg</t>
  </si>
  <si>
    <t>5618_20240611_0007_L_0530.jpg</t>
  </si>
  <si>
    <t>5619_20240611_0007_L_0532.jpg</t>
  </si>
  <si>
    <t>5620_20240611_0007_L_0535.jpg</t>
  </si>
  <si>
    <t>5621_20240611_0007_L_0538.jpg</t>
  </si>
  <si>
    <t>5622_20240611_0007_L_0540.jpg</t>
  </si>
  <si>
    <t>5623_20240611_0007_L_0543.jpg</t>
  </si>
  <si>
    <t>5624_20240611_0007_L_0545.jpg</t>
  </si>
  <si>
    <t>5625_20240611_0007_L_0548.jpg</t>
  </si>
  <si>
    <t>5626_20240611_0007_L_0550.jpg</t>
  </si>
  <si>
    <t>5627_20240611_0007_L_0553.jpg</t>
  </si>
  <si>
    <t>5628_20240611_0007_L_0556.jpg</t>
  </si>
  <si>
    <t>5629_20240611_0007_L_0560.jpg</t>
  </si>
  <si>
    <t>5630_20240611_0007_L_0563.jpg</t>
  </si>
  <si>
    <t>5631_20240611_0007_L_0565.jpg</t>
  </si>
  <si>
    <t>5632_20240611_0007_L_0568.jpg</t>
  </si>
  <si>
    <t>5633_20240611_0007_L_0571.jpg</t>
  </si>
  <si>
    <t>5634_20240611_0007_L_0575.jpg</t>
  </si>
  <si>
    <t>5635_20240611_0007_L_0578.jpg</t>
  </si>
  <si>
    <t>5636_20240611_0007_L_0581.jpg</t>
  </si>
  <si>
    <t>5637_20240611_0007_L_0584.jpg</t>
  </si>
  <si>
    <t>5638_20240611_0007_L_0587.jpg</t>
  </si>
  <si>
    <t>5639_20240611_0007_L_0589.jpg</t>
  </si>
  <si>
    <t>5640_20240611_0008_L_0003.jpg</t>
  </si>
  <si>
    <t>5641_20240611_0008_L_0005.jpg</t>
  </si>
  <si>
    <t>5642_20240611_0008_L_0009.jpg</t>
  </si>
  <si>
    <t>5643_20240611_0008_L_0011.jpg</t>
  </si>
  <si>
    <t>5644_20240611_0008_L_0014.jpg</t>
  </si>
  <si>
    <t>5645_20240611_0008_L_0016.jpg</t>
  </si>
  <si>
    <t>5646_20240611_0008_L_0019.jpg</t>
  </si>
  <si>
    <t>5647_20240611_0008_L_0022.jpg</t>
  </si>
  <si>
    <t>5648_20240611_0008_L_0025.jpg</t>
  </si>
  <si>
    <t>5649_20240611_0008_L_0029.jpg</t>
  </si>
  <si>
    <t>5650_20240611_0008_L_0032.jpg</t>
  </si>
  <si>
    <t>5651_20240611_0008_L_0036.jpg</t>
  </si>
  <si>
    <t>5652_20240611_0008_L_0039.jpg</t>
  </si>
  <si>
    <t>5653_20240611_0008_L_0042.jpg</t>
  </si>
  <si>
    <t>5654_20240611_0008_L_0045.jpg</t>
  </si>
  <si>
    <t>5655_20240611_0008_L_0048.jpg</t>
  </si>
  <si>
    <t>5656_20240611_0008_L_0051.jpg</t>
  </si>
  <si>
    <t>5657_20240611_0008_L_0054.jpg</t>
  </si>
  <si>
    <t>5658_20240611_0008_L_0057.jpg</t>
  </si>
  <si>
    <t>5659_20240611_0008_L_0061.jpg</t>
  </si>
  <si>
    <t>5660_20240611_0008_L_0064.jpg</t>
  </si>
  <si>
    <t>5661_20240611_0008_L_0067.jpg</t>
  </si>
  <si>
    <t>5662_20240611_0008_L_0070.jpg</t>
  </si>
  <si>
    <t>5663_20240611_0008_L_0073.jpg</t>
  </si>
  <si>
    <t>5664_20240611_0008_L_0076.jpg</t>
  </si>
  <si>
    <t>5665_20240611_0008_L_0078.jpg</t>
  </si>
  <si>
    <t>5666_20240611_0008_L_0081.jpg</t>
  </si>
  <si>
    <t>5667_20240611_0008_L_0084.jpg</t>
  </si>
  <si>
    <t>5668_20240611_0008_L_0087.jpg</t>
  </si>
  <si>
    <t>5669_20240611_0008_L_0091.jpg</t>
  </si>
  <si>
    <t>5670_20240611_0008_L_0095.jpg</t>
  </si>
  <si>
    <t>5671_20240611_0008_L_0098.jpg</t>
  </si>
  <si>
    <t>5672_20240611_0008_L_0101.jpg</t>
  </si>
  <si>
    <t>5673_20240611_0008_L_0104.jpg</t>
  </si>
  <si>
    <t>5674_20240611_0008_L_0107.jpg</t>
  </si>
  <si>
    <t>5675_20240611_0008_L_0111.jpg</t>
  </si>
  <si>
    <t>5676_20240611_0008_L_0114.jpg</t>
  </si>
  <si>
    <t>5677_20240611_0008_L_0117.jpg</t>
  </si>
  <si>
    <t>5678_20240611_0008_L_0120.jpg</t>
  </si>
  <si>
    <t>5679_20240611_0008_L_0123.jpg</t>
  </si>
  <si>
    <t>5680_20240611_0008_L_0126.jpg</t>
  </si>
  <si>
    <t>5681_20240611_0008_L_0129.jpg</t>
  </si>
  <si>
    <t>5682_20240611_0008_L_0132.jpg</t>
  </si>
  <si>
    <t>5683_20240611_0008_L_0135.jpg</t>
  </si>
  <si>
    <t>5684_20240611_0008_L_0138.jpg</t>
  </si>
  <si>
    <t>5685_20240611_0008_L_0141.jpg</t>
  </si>
  <si>
    <t>5686_20240611_0008_L_0143.jpg</t>
  </si>
  <si>
    <t>5687_20240611_0008_L_0147.jpg</t>
  </si>
  <si>
    <t>5688_20240611_0008_L_0149.jpg</t>
  </si>
  <si>
    <t>5689_20240611_0008_L_0152.jpg</t>
  </si>
  <si>
    <t>5690_20240611_0008_L_0155.jpg</t>
  </si>
  <si>
    <t>5691_20240611_0008_L_0159.jpg</t>
  </si>
  <si>
    <t>5692_20240611_0008_L_0163.jpg</t>
  </si>
  <si>
    <t>5693_20240611_0008_L_0166.jpg</t>
  </si>
  <si>
    <t>5694_20240611_0008_L_0168.jpg</t>
  </si>
  <si>
    <t>5695_20240611_0008_L_0170.jpg</t>
  </si>
  <si>
    <t>5696_20240611_0008_L_0173.jpg</t>
  </si>
  <si>
    <t>5697_20240611_0008_L_0176.jpg</t>
  </si>
  <si>
    <t>5698_20240611_0008_L_0178.jpg</t>
  </si>
  <si>
    <t>5699_20240611_0008_L_0181.jpg</t>
  </si>
  <si>
    <t>5700_20240611_0008_L_0184.jpg</t>
  </si>
  <si>
    <t>5701_20240611_0008_L_0187.jpg</t>
  </si>
  <si>
    <t>5702_20240611_0008_L_0189.jpg</t>
  </si>
  <si>
    <t>5703_20240611_0008_L_0192.jpg</t>
  </si>
  <si>
    <t>5704_20240611_0008_L_0195.jpg</t>
  </si>
  <si>
    <t>5705_20240611_0008_L_0198.jpg</t>
  </si>
  <si>
    <t>5706_20240611_0008_L_0201.jpg</t>
  </si>
  <si>
    <t>5707_20240611_0008_L_0204.jpg</t>
  </si>
  <si>
    <t>5708_20240611_0008_L_0207.jpg</t>
  </si>
  <si>
    <t>5709_20240611_0008_L_0210.jpg</t>
  </si>
  <si>
    <t>5710_20240611_0008_L_0213.jpg</t>
  </si>
  <si>
    <t>5711_20240611_0008_L_0216.jpg</t>
  </si>
  <si>
    <t>5712_20240611_0008_L_0219.jpg</t>
  </si>
  <si>
    <t>5713_20240611_0008_L_0222.jpg</t>
  </si>
  <si>
    <t>5714_20240611_0008_L_0226.jpg</t>
  </si>
  <si>
    <t>5715_20240611_0008_L_0229.jpg</t>
  </si>
  <si>
    <t>5716_20240611_0008_L_0232.jpg</t>
  </si>
  <si>
    <t>5717_20240611_0008_L_0236.jpg</t>
  </si>
  <si>
    <t>5718_20240611_0008_L_0238.jpg</t>
  </si>
  <si>
    <t>5719_20240611_0008_L_0241.jpg</t>
  </si>
  <si>
    <t>5720_20240611_0008_L_0244.jpg</t>
  </si>
  <si>
    <t>5721_20240611_0008_L_0247.jpg</t>
  </si>
  <si>
    <t>5722_20240611_0008_L_0249.jpg</t>
  </si>
  <si>
    <t>5723_20240611_0008_L_0252.jpg</t>
  </si>
  <si>
    <t>5724_20240611_0008_L_0255.jpg</t>
  </si>
  <si>
    <t>5725_20240611_0008_L_0258.jpg</t>
  </si>
  <si>
    <t>5726_20240611_0008_L_0260.jpg</t>
  </si>
  <si>
    <t>5727_20240611_0008_L_0263.jpg</t>
  </si>
  <si>
    <t>5728_20240611_0008_L_0265.jpg</t>
  </si>
  <si>
    <t>5729_20240611_0008_L_0268.jpg</t>
  </si>
  <si>
    <t>5730_20240611_0008_L_0270.jpg</t>
  </si>
  <si>
    <t>5731_20240611_0008_L_0272.jpg</t>
  </si>
  <si>
    <t>5732_20240611_0008_L_0275.jpg</t>
  </si>
  <si>
    <t>5733_20240611_0008_L_0277.jpg</t>
  </si>
  <si>
    <t>5734_20240611_0008_L_0280.jpg</t>
  </si>
  <si>
    <t>5735_20240611_0008_L_0282.jpg</t>
  </si>
  <si>
    <t>5736_20240611_0008_L_0285.jpg</t>
  </si>
  <si>
    <t>5737_20240611_0008_L_0286.jpg</t>
  </si>
  <si>
    <t>5738_20240611_0008_L_0288.jpg</t>
  </si>
  <si>
    <t>5739_20240611_0008_L_0290.jpg</t>
  </si>
  <si>
    <t>5740_20240611_0008_L_0291.jpg</t>
  </si>
  <si>
    <t>5741_20240611_0008_L_0293.jpg</t>
  </si>
  <si>
    <t>5742_20240611_0008_L_0294.jpg</t>
  </si>
  <si>
    <t>5743_20240611_0008_L_0296.jpg</t>
  </si>
  <si>
    <t>5744_20240611_0008_L_0298.jpg</t>
  </si>
  <si>
    <t>5745_20240611_0008_L_0301.jpg</t>
  </si>
  <si>
    <t>5753_20240611_0008_L_0302.jpg</t>
  </si>
  <si>
    <t>5754_20240611_0008_L_0303.jpg</t>
  </si>
  <si>
    <t>5755_20240611_0008_L_0306.jpg</t>
  </si>
  <si>
    <t>5756_20240611_0008_L_0308.jpg</t>
  </si>
  <si>
    <t>5757_20240611_0008_L_0311.jpg</t>
  </si>
  <si>
    <t>5758_20240611_0008_L_0314.jpg</t>
  </si>
  <si>
    <t>5759_20240611_0008_L_0316.jpg</t>
  </si>
  <si>
    <t>5760_20240611_0008_L_0319.jpg</t>
  </si>
  <si>
    <t>5761_20240611_0008_L_0322.jpg</t>
  </si>
  <si>
    <t>5762_20240611_0008_L_0325.jpg</t>
  </si>
  <si>
    <t>5763_20240611_0008_L_0328.jpg</t>
  </si>
  <si>
    <t>5764_20240611_0008_L_0331.jpg</t>
  </si>
  <si>
    <t>5765_20240611_0008_L_0334.jpg</t>
  </si>
  <si>
    <t>5766_20240611_0008_L_0336.jpg</t>
  </si>
  <si>
    <t>5767_20240611_0008_L_0339.jpg</t>
  </si>
  <si>
    <t>5768_20240611_0008_L_0342.jpg</t>
  </si>
  <si>
    <t>5769_20240611_0008_L_0344.jpg</t>
  </si>
  <si>
    <t>5770_20240611_0008_L_0347.jpg</t>
  </si>
  <si>
    <t>5771_20240611_0008_L_0349.jpg</t>
  </si>
  <si>
    <t>5772_20240611_0008_L_0352.jpg</t>
  </si>
  <si>
    <t>5773_20240611_0008_L_0355.jpg</t>
  </si>
  <si>
    <t>5774_20240611_0008_L_0358.jpg</t>
  </si>
  <si>
    <t>5775_20240611_0008_L_0360.jpg</t>
  </si>
  <si>
    <t>5776_20240611_0008_L_0363.jpg</t>
  </si>
  <si>
    <t>5777_20240611_0008_L_0366.jpg</t>
  </si>
  <si>
    <t>5778_20240611_0008_L_0368.jpg</t>
  </si>
  <si>
    <t>5779_20240611_0008_L_0372.jpg</t>
  </si>
  <si>
    <t>5780_20240611_0008_L_0374.jpg</t>
  </si>
  <si>
    <t>5781_20240611_0008_L_0377.jpg</t>
  </si>
  <si>
    <t>5782_20240611_0008_L_0380.jpg</t>
  </si>
  <si>
    <t>5783_20240611_0008_L_0383.jpg</t>
  </si>
  <si>
    <t>5784_20240611_0008_L_0385.jpg</t>
  </si>
  <si>
    <t>5785_20240611_0008_L_0388.jpg</t>
  </si>
  <si>
    <t>5786_20240611_0008_L_0390.jpg</t>
  </si>
  <si>
    <t>5787_20240611_0008_L_0393.jpg</t>
  </si>
  <si>
    <t>5788_20240611_0008_L_0396.jpg</t>
  </si>
  <si>
    <t>5789_20240611_0008_L_0398.jpg</t>
  </si>
  <si>
    <t>5790_20240611_0008_L_0401.jpg</t>
  </si>
  <si>
    <t>5791_20240611_0008_L_0403.jpg</t>
  </si>
  <si>
    <t>5792_20240611_0008_L_0405.jpg</t>
  </si>
  <si>
    <t>5793_20240611_0008_L_0408.jpg</t>
  </si>
  <si>
    <t>5794_20240611_0008_L_0411.jpg</t>
  </si>
  <si>
    <t>5795_20240611_0008_L_0413.jpg</t>
  </si>
  <si>
    <t>5796_20240611_0008_L_0416.jpg</t>
  </si>
  <si>
    <t>5797_20240611_0008_L_0418.jpg</t>
  </si>
  <si>
    <t>5798_20240611_0008_L_0421.jpg</t>
  </si>
  <si>
    <t>5799_20240611_0008_L_0424.jpg</t>
  </si>
  <si>
    <t>5800_20240611_0008_L_0426.jpg</t>
  </si>
  <si>
    <t>5801_20240611_0008_L_0429.jpg</t>
  </si>
  <si>
    <t>5802_20240611_0008_L_0431.jpg</t>
  </si>
  <si>
    <t>5803_20240611_0008_L_0435.jpg</t>
  </si>
  <si>
    <t>5804_20240611_0008_L_0438.jpg</t>
  </si>
  <si>
    <t>5805_20240611_0008_L_0440.jpg</t>
  </si>
  <si>
    <t>5806_20240611_0008_L_0443.jpg</t>
  </si>
  <si>
    <t>5807_20240611_0008_L_0446.jpg</t>
  </si>
  <si>
    <t>5808_20240611_0008_L_0449.jpg</t>
  </si>
  <si>
    <t>5809_20240611_0008_L_0451.jpg</t>
  </si>
  <si>
    <t>5810_20240611_0008_L_0454.jpg</t>
  </si>
  <si>
    <t>5811_20240611_0008_L_0457.jpg</t>
  </si>
  <si>
    <t>5812_20240611_0008_L_0459.jpg</t>
  </si>
  <si>
    <t>5813_20240611_0008_L_0463.jpg</t>
  </si>
  <si>
    <t>5814_20240611_0008_L_0465.jpg</t>
  </si>
  <si>
    <t>5815_20240611_0008_L_0468.jpg</t>
  </si>
  <si>
    <t>5816_20240611_0008_L_0470.jpg</t>
  </si>
  <si>
    <t>5817_20240611_0008_L_0473.jpg</t>
  </si>
  <si>
    <t>5818_20240611_0008_L_0476.jpg</t>
  </si>
  <si>
    <t>5819_20240611_0008_L_0479.jpg</t>
  </si>
  <si>
    <t>5820_20240611_0008_L_0482.jpg</t>
  </si>
  <si>
    <t>5821_20240611_0008_L_0485.jpg</t>
  </si>
  <si>
    <t>5822_20240611_0008_L_0488.jpg</t>
  </si>
  <si>
    <t>5823_20240611_0008_L_0491.jpg</t>
  </si>
  <si>
    <t>5824_20240611_0008_L_0494.jpg</t>
  </si>
  <si>
    <t>5825_20240611_0008_L_0497.jpg</t>
  </si>
  <si>
    <t>5826_20240611_0008_L_0501.jpg</t>
  </si>
  <si>
    <t>5827_20240611_0008_L_0504.jpg</t>
  </si>
  <si>
    <t>5828_20240611_0008_L_0507.jpg</t>
  </si>
  <si>
    <t>5829_20240611_0008_L_0510.jpg</t>
  </si>
  <si>
    <t>5830_20240611_0008_L_0513.jpg</t>
  </si>
  <si>
    <t>5831_20240611_0008_L_0516.jpg</t>
  </si>
  <si>
    <t>5832_20240611_0008_L_0519.jpg</t>
  </si>
  <si>
    <t>5833_20240611_0008_L_0522.jpg</t>
  </si>
  <si>
    <t>5834_20240611_0008_L_0525.jpg</t>
  </si>
  <si>
    <t>5835_20240611_0008_L_0528.jpg</t>
  </si>
  <si>
    <t>5836_20240611_0008_L_0531.jpg</t>
  </si>
  <si>
    <t>5837_20240611_0008_L_0535.jpg</t>
  </si>
  <si>
    <t>5838_20240611_0008_L_0538.jpg</t>
  </si>
  <si>
    <t>5839_20240611_0008_L_0542.jpg</t>
  </si>
  <si>
    <t>5840_20240611_0008_L_0547.jpg</t>
  </si>
  <si>
    <t>5841_20240611_0008_L_0551.jpg</t>
  </si>
  <si>
    <t>5842_20240611_0008_L_0555.jpg</t>
  </si>
  <si>
    <t>5843_20240611_0008_L_0566.jpg</t>
  </si>
  <si>
    <t>5844_20240611_0008_L_0571.jpg</t>
  </si>
  <si>
    <t>5845_20240611_0008_L_0574.jpg</t>
  </si>
  <si>
    <t>5846_20240611_0008_L_0583.jpg</t>
  </si>
  <si>
    <t>5847_20240611_0008_L_0588.jpg</t>
  </si>
  <si>
    <t>5848_20240611_0008_L_0593.jpg</t>
  </si>
  <si>
    <t>5849_20240611_0008_L_0599.jpg</t>
  </si>
  <si>
    <t>5850_20240611_0008_L_0603.jpg</t>
  </si>
  <si>
    <t>5851_20240611_0008_L_0609.jpg</t>
  </si>
  <si>
    <t>5852_20240611_0008_L_0613.jpg</t>
  </si>
  <si>
    <t>5853_20240611_0008_L_0617.jpg</t>
  </si>
  <si>
    <t>5854_20240611_0008_L_0621.jpg</t>
  </si>
  <si>
    <t>5855_20240611_0008_L_0624.jpg</t>
  </si>
  <si>
    <t>5856_20240611_0008_L_0628.jpg</t>
  </si>
  <si>
    <t>5857_20240611_0008_L_0631.jpg</t>
  </si>
  <si>
    <t>5858_20240611_0008_L_0635.jpg</t>
  </si>
  <si>
    <t>5859_20240611_0008_L_0639.jpg</t>
  </si>
  <si>
    <t>5860_20240611_0008_L_0643.jpg</t>
  </si>
  <si>
    <t>5861_20240611_0008_L_0646.jpg</t>
  </si>
  <si>
    <t>5862_20240611_0008_L_0651.jpg</t>
  </si>
  <si>
    <t>5863_20240611_0008_L_0655.jpg</t>
  </si>
  <si>
    <t>5864_20240611_0008_L_0659.jpg</t>
  </si>
  <si>
    <t>5865_20240611_0008_L_0663.jpg</t>
  </si>
  <si>
    <t>5866_20240611_0008_L_0667.jpg</t>
  </si>
  <si>
    <t>5867_20240611_0008_L_0670.jpg</t>
  </si>
  <si>
    <t>5868_20240611_0008_L_0674.jpg</t>
  </si>
  <si>
    <t>5869_20240611_0008_L_0678.jpg</t>
  </si>
  <si>
    <t>5870_20240611_0008_L_0681.jpg</t>
  </si>
  <si>
    <t>5871_20240611_0008_L_0685.jpg</t>
  </si>
  <si>
    <t>5872_20240611_0008_L_0689.jpg</t>
  </si>
  <si>
    <t>5873_20240611_0008_L_0693.jpg</t>
  </si>
  <si>
    <t>5874_20240611_0008_L_0696.jpg</t>
  </si>
  <si>
    <t>5875_20240611_0008_L_0700.jpg</t>
  </si>
  <si>
    <t>5876_20240611_0008_L_0703.jpg</t>
  </si>
  <si>
    <t>5877_20240611_0008_L_0707.jpg</t>
  </si>
  <si>
    <t>5878_20240611_0008_L_0711.jpg</t>
  </si>
  <si>
    <t>5879_20240611_0008_L_0714.jpg</t>
  </si>
  <si>
    <t>5880_20240611_0008_L_0718.jpg</t>
  </si>
  <si>
    <t>5881_20240611_0008_L_0721.jpg</t>
  </si>
  <si>
    <t>5882_20240611_0008_L_0725.jpg</t>
  </si>
  <si>
    <t>5883_20240611_0008_L_0729.jpg</t>
  </si>
  <si>
    <t>5884_20240611_0008_L_0733.jpg</t>
  </si>
  <si>
    <t>5885_20240611_0008_L_0737.jpg</t>
  </si>
  <si>
    <t>5886_20240611_0008_L_0743.jpg</t>
  </si>
  <si>
    <t>5887_20240611_0008_L_0747.jpg</t>
  </si>
  <si>
    <t>5888_20240611_0008_L_0752.jpg</t>
  </si>
  <si>
    <t>5889_20240611_0008_L_0755.jpg</t>
  </si>
  <si>
    <t>5890_20240611_0009_L_0018.jpg</t>
  </si>
  <si>
    <t>5891_20240611_0009_L_0019.jpg</t>
  </si>
  <si>
    <t>5892_20240611_0009_L_0021.jpg</t>
  </si>
  <si>
    <t>5893_20240611_0009_L_0025.jpg</t>
  </si>
  <si>
    <t>5894_20240611_0009_L_0028.jpg</t>
  </si>
  <si>
    <t>5895_20240611_0009_L_0032.jpg</t>
  </si>
  <si>
    <t>5896_20240611_0009_L_0035.jpg</t>
  </si>
  <si>
    <t>5897_20240611_0009_L_0039.jpg</t>
  </si>
  <si>
    <t>5898_20240611_0009_L_0043.jpg</t>
  </si>
  <si>
    <t>5899_20240611_0009_L_0047.jpg</t>
  </si>
  <si>
    <t>5900_20240611_0009_L_0050.jpg</t>
  </si>
  <si>
    <t>5901_20240611_0009_L_0054.jpg</t>
  </si>
  <si>
    <t>5902_20240611_0009_L_0058.jpg</t>
  </si>
  <si>
    <t>5903_20240611_0009_L_0062.jpg</t>
  </si>
  <si>
    <t>5904_20240611_0009_L_0065.jpg</t>
  </si>
  <si>
    <t>5905_20240611_0009_L_0069.jpg</t>
  </si>
  <si>
    <t>5906_20240611_0009_L_0072.jpg</t>
  </si>
  <si>
    <t>5907_20240611_0009_L_0075.jpg</t>
  </si>
  <si>
    <t>5908_20240611_0009_L_0078.jpg</t>
  </si>
  <si>
    <t>5909_20240611_0009_L_0081.jpg</t>
  </si>
  <si>
    <t>5910_20240611_0009_L_0084.jpg</t>
  </si>
  <si>
    <t>5911_20240611_0009_L_0088.jpg</t>
  </si>
  <si>
    <t>5912_20240611_0009_L_0091.jpg</t>
  </si>
  <si>
    <t>5913_20240611_0009_L_0094.jpg</t>
  </si>
  <si>
    <t>5914_20240611_0009_L_0097.jpg</t>
  </si>
  <si>
    <t>5915_20240611_0009_L_0100.jpg</t>
  </si>
  <si>
    <t>5916_20240611_0009_L_0103.jpg</t>
  </si>
  <si>
    <t>5917_20240611_0009_L_0106.jpg</t>
  </si>
  <si>
    <t>5918_20240611_0009_L_0109.jpg</t>
  </si>
  <si>
    <t>5919_20240611_0009_L_0112.jpg</t>
  </si>
  <si>
    <t>5920_20240611_0009_L_0115.jpg</t>
  </si>
  <si>
    <t>5921_20240611_0009_L_0118.jpg</t>
  </si>
  <si>
    <t>5922_20240611_0009_L_0121.jpg</t>
  </si>
  <si>
    <t>5923_20240611_0009_L_0124.jpg</t>
  </si>
  <si>
    <t>5924_20240611_0009_L_0126.jpg</t>
  </si>
  <si>
    <t>5925_20240611_0009_L_0129.jpg</t>
  </si>
  <si>
    <t>5926_20240611_0009_L_0132.jpg</t>
  </si>
  <si>
    <t>5927_20240611_0009_L_0136.jpg</t>
  </si>
  <si>
    <t>5928_20240611_0009_L_0139.jpg</t>
  </si>
  <si>
    <t>5929_20240611_0009_L_0141.jpg</t>
  </si>
  <si>
    <t>5930_20240611_0009_L_0144.jpg</t>
  </si>
  <si>
    <t>5931_20240611_0009_L_0147.jpg</t>
  </si>
  <si>
    <t>5932_20240611_0009_L_0150.jpg</t>
  </si>
  <si>
    <t>5933_20240611_0009_L_0153.jpg</t>
  </si>
  <si>
    <t>5934_20240611_0009_L_0156.jpg</t>
  </si>
  <si>
    <t>5935_20240611_0009_L_0160.jpg</t>
  </si>
  <si>
    <t>5936_20240611_0009_L_0163.jpg</t>
  </si>
  <si>
    <t>5937_20240611_0009_L_0166.jpg</t>
  </si>
  <si>
    <t>5938_20240611_0009_L_0170.jpg</t>
  </si>
  <si>
    <t>5939_20240611_0009_L_0173.jpg</t>
  </si>
  <si>
    <t>5940_20240611_0009_L_0176.jpg</t>
  </si>
  <si>
    <t>5941_20240611_0009_L_0179.jpg</t>
  </si>
  <si>
    <t>5942_20240611_0009_L_0183.jpg</t>
  </si>
  <si>
    <t>5943_20240611_0009_L_0187.jpg</t>
  </si>
  <si>
    <t>5944_20240611_0009_L_0192.jpg</t>
  </si>
  <si>
    <t>5945_20240611_0009_L_0198.jpg</t>
  </si>
  <si>
    <t>5946_20240611_0009_L_0204.jpg</t>
  </si>
  <si>
    <t>5947_20240611_0009_L_0209.jpg</t>
  </si>
  <si>
    <t>5948_20240611_0009_L_0217.jpg</t>
  </si>
  <si>
    <t>5949_20240611_0009_L_0226.jpg</t>
  </si>
  <si>
    <t>5950_20240611_0009_L_0232.jpg</t>
  </si>
  <si>
    <t>5951_20240611_0009_L_0236.jpg</t>
  </si>
  <si>
    <t>5952_20240611_0009_L_0240.jpg</t>
  </si>
  <si>
    <t>5953_20240611_0009_L_0243.jpg</t>
  </si>
  <si>
    <t>5954_20240611_0009_L_0247.jpg</t>
  </si>
  <si>
    <t>5955_20240611_0009_L_0251.jpg</t>
  </si>
  <si>
    <t>5956_20240611_0009_L_0254.jpg</t>
  </si>
  <si>
    <t>5957_20240611_0009_L_0258.jpg</t>
  </si>
  <si>
    <t>5958_20240611_0009_L_0261.jpg</t>
  </si>
  <si>
    <t>5959_20240611_0009_L_0265.jpg</t>
  </si>
  <si>
    <t>5960_20240611_0009_L_0268.jpg</t>
  </si>
  <si>
    <t>5961_20240611_0009_L_0272.jpg</t>
  </si>
  <si>
    <t>5962_20240611_0009_L_0275.jpg</t>
  </si>
  <si>
    <t>5963_20240611_0009_L_0279.jpg</t>
  </si>
  <si>
    <t>5964_20240611_0009_L_0283.jpg</t>
  </si>
  <si>
    <t>5965_20240611_0009_L_0286.jpg</t>
  </si>
  <si>
    <t>5966_20240611_0009_L_0290.jpg</t>
  </si>
  <si>
    <t>5967_20240611_0009_L_0293.jpg</t>
  </si>
  <si>
    <t>5968_20240611_0009_L_0297.jpg</t>
  </si>
  <si>
    <t>5969_20240611_0009_L_0300.jpg</t>
  </si>
  <si>
    <t>5970_20240611_0009_L_0304.jpg</t>
  </si>
  <si>
    <t>5971_20240611_0009_L_0307.jpg</t>
  </si>
  <si>
    <t>5972_20240611_0009_L_0310.jpg</t>
  </si>
  <si>
    <t>5973_20240611_0009_L_0314.jpg</t>
  </si>
  <si>
    <t>5974_20240611_0009_L_0317.jpg</t>
  </si>
  <si>
    <t>5975_20240611_0009_L_0320.jpg</t>
  </si>
  <si>
    <t>5976_20240611_0009_L_0325.jpg</t>
  </si>
  <si>
    <t>5977_20240611_0009_L_0329.jpg</t>
  </si>
  <si>
    <t>5978_20240611_0009_L_0333.jpg</t>
  </si>
  <si>
    <t>5979_20240611_0009_L_0342.jpg</t>
  </si>
  <si>
    <t>5980_20240611_0009_L_0350.jpg</t>
  </si>
  <si>
    <t>5981_20240611_0009_L_0357.jpg</t>
  </si>
  <si>
    <t>5982_20240611_0009_L_0362.jpg</t>
  </si>
  <si>
    <t>5983_20240611_0004_R_1180.jpg</t>
  </si>
  <si>
    <t>5984_20240611_0009_L_0370.jpg</t>
  </si>
  <si>
    <t>5985_20240611_0009_L_0374.jpg</t>
  </si>
  <si>
    <t>5986_20240611_0004_R_1171.jpg</t>
  </si>
  <si>
    <t>5987_20240611_0004_R_1167.jpg</t>
  </si>
  <si>
    <t>5988_20240611_0004_R_1164.jpg</t>
  </si>
  <si>
    <t>5989_20240611_0004_R_1160.jpg</t>
  </si>
  <si>
    <t>5990_20240611_0004_R_1157.jpg</t>
  </si>
  <si>
    <t>5991_20240611_0004_R_1154.jpg</t>
  </si>
  <si>
    <t>5992_20240611_0004_R_1150.jpg</t>
  </si>
  <si>
    <t>5993_20240611_0004_R_1146.jpg</t>
  </si>
  <si>
    <t>5994_20240611_0004_R_1143.jpg</t>
  </si>
  <si>
    <t>5995_20240611_0004_R_1140.jpg</t>
  </si>
  <si>
    <t>5996_20240611_0004_R_1135.jpg</t>
  </si>
  <si>
    <t>5997_20240611_0004_R_1133.jpg</t>
  </si>
  <si>
    <t>5998_20240611_0004_R_1131.jpg</t>
  </si>
  <si>
    <t>5999_20240611_0004_R_1128.jpg</t>
  </si>
  <si>
    <t>6000_20240611_0004_R_1126.jpg</t>
  </si>
  <si>
    <t>6001_20240611_0004_R_1123.jpg</t>
  </si>
  <si>
    <t>6002_20240611_0004_R_1121.jpg</t>
  </si>
  <si>
    <t>6003_20240611_0004_R_1118.jpg</t>
  </si>
  <si>
    <t>6004_20240611_0004_R_1113.jpg</t>
  </si>
  <si>
    <t>6005_20240611_0004_R_1111.jpg</t>
  </si>
  <si>
    <t>6006_20240611_0004_R_1109.jpg</t>
  </si>
  <si>
    <t>6007_20240611_0004_R_1106.jpg</t>
  </si>
  <si>
    <t>6008_20240611_0004_R_1103.jpg</t>
  </si>
  <si>
    <t>6009_20240611_0004_R_1100.jpg</t>
  </si>
  <si>
    <t>6010_20240611_0004_R_1097.jpg</t>
  </si>
  <si>
    <t>6011_20240611_0004_R_1095.jpg</t>
  </si>
  <si>
    <t>6012_20240611_0004_R_1092.jpg</t>
  </si>
  <si>
    <t>6013_20240611_0004_R_1089.jpg</t>
  </si>
  <si>
    <t>6014_20240611_0004_R_1086.jpg</t>
  </si>
  <si>
    <t>6015_20240611_0004_R_1083.jpg</t>
  </si>
  <si>
    <t>6016_20240611_0004_R_1080.jpg</t>
  </si>
  <si>
    <t>6017_20240611_0004_R_1077.jpg</t>
  </si>
  <si>
    <t>6018_20240611_0004_R_1074.jpg</t>
  </si>
  <si>
    <t>6019_20240611_0004_R_1071.jpg</t>
  </si>
  <si>
    <t>6020_20240611_0004_R_1069.jpg</t>
  </si>
  <si>
    <t>6021_20240611_0004_R_1066.jpg</t>
  </si>
  <si>
    <t>6022_20240611_0004_R_1063.jpg</t>
  </si>
  <si>
    <t>6023_20240611_0004_R_1060.jpg</t>
  </si>
  <si>
    <t>6024_20240611_0004_R_1057.jpg</t>
  </si>
  <si>
    <t>6025_20240611_0004_R_1054.jpg</t>
  </si>
  <si>
    <t>6026_20240611_0004_R_1051.jpg</t>
  </si>
  <si>
    <t>6027_20240611_0004_R_1048.jpg</t>
  </si>
  <si>
    <t>6028_20240611_0004_R_1045.jpg</t>
  </si>
  <si>
    <t>6029_20240611_0004_R_1042.jpg</t>
  </si>
  <si>
    <t>6030_20240611_0004_R_1039.jpg</t>
  </si>
  <si>
    <t>6031_20240611_0004_R_1036.jpg</t>
  </si>
  <si>
    <t>6032_20240611_0004_R_1033.jpg</t>
  </si>
  <si>
    <t>6033_20240611_0004_R_1031.jpg</t>
  </si>
  <si>
    <t>6034_20240611_0004_R_1026.jpg</t>
  </si>
  <si>
    <t>6035_20240611_0004_R_1023.jpg</t>
  </si>
  <si>
    <t>6036_20240611_0004_R_1021.jpg</t>
  </si>
  <si>
    <t>6037_20240611_0004_R_1018.jpg</t>
  </si>
  <si>
    <t>6038_20240611_0004_R_1015.jpg</t>
  </si>
  <si>
    <t>6039_20240611_0004_R_1011.jpg</t>
  </si>
  <si>
    <t>6040_20240611_0004_R_1008.jpg</t>
  </si>
  <si>
    <t>6041_20240611_0004_R_1004.jpg</t>
  </si>
  <si>
    <t>6042_20240611_0004_R_1001.jpg</t>
  </si>
  <si>
    <t>6043_20240611_0004_R_0998.jpg</t>
  </si>
  <si>
    <t>6044_20240611_0004_R_0996.jpg</t>
  </si>
  <si>
    <t>6045_20240611_0004_R_0993.jpg</t>
  </si>
  <si>
    <t>6046_20240611_0004_R_0990.jpg</t>
  </si>
  <si>
    <t>6047_20240611_0004_R_0987.jpg</t>
  </si>
  <si>
    <t>6048_20240611_0004_R_0983.jpg</t>
  </si>
  <si>
    <t>6049_20240611_0004_R_0980.jpg</t>
  </si>
  <si>
    <t>6050_20240611_0004_R_0975.jpg</t>
  </si>
  <si>
    <t>6051_20240611_0004_R_0972.jpg</t>
  </si>
  <si>
    <t>6052_20240611_0004_R_0968.jpg</t>
  </si>
  <si>
    <t>6053_20240611_0004_R_0964.jpg</t>
  </si>
  <si>
    <t>6054_20240611_0004_R_0958.jpg</t>
  </si>
  <si>
    <t>6055_20240611_0004_R_0954.jpg</t>
  </si>
  <si>
    <t>6056_20240611_0004_R_0951.jpg</t>
  </si>
  <si>
    <t>6057_20240611_0004_R_0948.jpg</t>
  </si>
  <si>
    <t>6058_20240611_0004_R_0945.jpg</t>
  </si>
  <si>
    <t>6059_20240611_0004_R_0941.jpg</t>
  </si>
  <si>
    <t>6060_20240611_0004_R_0938.jpg</t>
  </si>
  <si>
    <t>6061_20240611_0004_R_0935.jpg</t>
  </si>
  <si>
    <t>6062_20240611_0004_R_0932.jpg</t>
  </si>
  <si>
    <t>6063_20240611_0004_R_0928.jpg</t>
  </si>
  <si>
    <t>6064_20240611_0004_R_0925.jpg</t>
  </si>
  <si>
    <t>6065_20240611_0004_R_0922.jpg</t>
  </si>
  <si>
    <t>6066_20240611_0004_R_0918.jpg</t>
  </si>
  <si>
    <t>6067_20240611_0004_R_0915.jpg</t>
  </si>
  <si>
    <t>6068_20240611_0004_R_0912.jpg</t>
  </si>
  <si>
    <t>6069_20240611_0004_R_0908.jpg</t>
  </si>
  <si>
    <t>6070_20240611_0004_R_0905.jpg</t>
  </si>
  <si>
    <t>6071_20240611_0004_R_0902.jpg</t>
  </si>
  <si>
    <t>6072_20240611_0004_R_0899.jpg</t>
  </si>
  <si>
    <t>6073_20240611_0004_R_0897.jpg</t>
  </si>
  <si>
    <t>6074_20240611_0004_R_0894.jpg</t>
  </si>
  <si>
    <t>6075_20240611_0004_R_0890.jpg</t>
  </si>
  <si>
    <t>6076_20240611_0004_R_0888.jpg</t>
  </si>
  <si>
    <t>6077_20240611_0004_R_0885.jpg</t>
  </si>
  <si>
    <t>6078_20240611_0004_R_0882.jpg</t>
  </si>
  <si>
    <t>6079_20240611_0004_R_0879.jpg</t>
  </si>
  <si>
    <t>6080_20240611_0004_R_0876.jpg</t>
  </si>
  <si>
    <t>6081_20240611_0004_R_0874.jpg</t>
  </si>
  <si>
    <t>6082_20240611_0004_R_0871.jpg</t>
  </si>
  <si>
    <t>6083_20240611_0004_R_0868.jpg</t>
  </si>
  <si>
    <t>6084_20240611_0004_R_0864.jpg</t>
  </si>
  <si>
    <t>6085_20240611_0004_R_0862.jpg</t>
  </si>
  <si>
    <t>6086_20240611_0004_R_0859.jpg</t>
  </si>
  <si>
    <t>6087_20240611_0004_R_0856.jpg</t>
  </si>
  <si>
    <t>6088_20240611_0004_R_0854.jpg</t>
  </si>
  <si>
    <t>6089_20240611_0004_R_0851.jpg</t>
  </si>
  <si>
    <t>6090_20240611_0004_R_0849.jpg</t>
  </si>
  <si>
    <t>6091_20240611_0004_R_0846.jpg</t>
  </si>
  <si>
    <t>6092_20240611_0004_R_0843.jpg</t>
  </si>
  <si>
    <t>6093_20240611_0004_R_0840.jpg</t>
  </si>
  <si>
    <t>6094_20240611_0004_R_0837.jpg</t>
  </si>
  <si>
    <t>6095_20240611_0004_R_0834.jpg</t>
  </si>
  <si>
    <t>6096_20240611_0004_R_0831.jpg</t>
  </si>
  <si>
    <t>6097_20240611_0004_R_0828.jpg</t>
  </si>
  <si>
    <t>6098_20240611_0004_R_0826.jpg</t>
  </si>
  <si>
    <t>6099_20240611_0004_R_0823.jpg</t>
  </si>
  <si>
    <t>6100_20240611_0004_R_0821.jpg</t>
  </si>
  <si>
    <t>6101_20240611_0004_R_0819.jpg</t>
  </si>
  <si>
    <t>6102_20240611_0004_R_0816.jpg</t>
  </si>
  <si>
    <t>6103_20240611_0004_R_0813.jpg</t>
  </si>
  <si>
    <t>6104_20240611_0004_R_0812.jpg</t>
  </si>
  <si>
    <t>6105_20240611_0004_R_0810.jpg</t>
  </si>
  <si>
    <t>6106_20240611_0004_R_0808.jpg</t>
  </si>
  <si>
    <t>6107_20240611_0004_R_0806.jpg</t>
  </si>
  <si>
    <t>6108_20240611_0004_R_0803.jpg</t>
  </si>
  <si>
    <t>6109_20240611_0004_R_0798.jpg</t>
  </si>
  <si>
    <t>6110_20240611_0004_R_0795.jpg</t>
  </si>
  <si>
    <t>6111_20240611_0004_R_0793.jpg</t>
  </si>
  <si>
    <t>6112_20240611_0004_R_0790.jpg</t>
  </si>
  <si>
    <t>6113_20240611_0004_R_0787.jpg</t>
  </si>
  <si>
    <t>6114_20240611_0004_R_0784.jpg</t>
  </si>
  <si>
    <t>6115_20240611_0004_R_0782.jpg</t>
  </si>
  <si>
    <t>6116_20240611_0004_R_0780.jpg</t>
  </si>
  <si>
    <t>6117_20240611_0004_R_0778.jpg</t>
  </si>
  <si>
    <t>6118_20240611_0004_R_0776.jpg</t>
  </si>
  <si>
    <t>6119_20240611_0004_R_0774.jpg</t>
  </si>
  <si>
    <t>6120_20240611_0004_R_0772.jpg</t>
  </si>
  <si>
    <t>6121_20240611_0004_R_0770.jpg</t>
  </si>
  <si>
    <t>6122_20240611_0004_R_0767.jpg</t>
  </si>
  <si>
    <t>6123_20240611_0004_R_0764.jpg</t>
  </si>
  <si>
    <t>6124_20240611_0004_R_0762.jpg</t>
  </si>
  <si>
    <t>6125_20240611_0004_R_0760.jpg</t>
  </si>
  <si>
    <t>6128_20240611_0004_R_0758.jpg</t>
  </si>
  <si>
    <t>6129_20240611_0004_R_0756.jpg</t>
  </si>
  <si>
    <t>6130_20240611_0004_R_0753.jpg</t>
  </si>
  <si>
    <t>6131_20240611_0004_R_0751.jpg</t>
  </si>
  <si>
    <t>6132_20240611_0004_R_0748.jpg</t>
  </si>
  <si>
    <t>6133_20240611_0004_R_0746.jpg</t>
  </si>
  <si>
    <t>6134_20240611_0004_R_0743.jpg</t>
  </si>
  <si>
    <t>6135_20240611_0004_R_0741.jpg</t>
  </si>
  <si>
    <t>6136_20240611_0004_R_0739.jpg</t>
  </si>
  <si>
    <t>6137_20240611_0004_R_0736.jpg</t>
  </si>
  <si>
    <t>6138_20240611_0004_R_0732.jpg</t>
  </si>
  <si>
    <t>6139_20240611_0004_R_0730.jpg</t>
  </si>
  <si>
    <t>6140_20240611_0004_R_0728.jpg</t>
  </si>
  <si>
    <t>6141_20240611_0004_R_0725.jpg</t>
  </si>
  <si>
    <t>6142_20240611_0004_R_0722.jpg</t>
  </si>
  <si>
    <t>6143_20240611_0004_R_0719.jpg</t>
  </si>
  <si>
    <t>6144_20240611_0004_R_0717.jpg</t>
  </si>
  <si>
    <t>6145_20240611_0004_R_0715.jpg</t>
  </si>
  <si>
    <t>6146_20240611_0004_R_0712.jpg</t>
  </si>
  <si>
    <t>6147_20240611_0004_R_0710.jpg</t>
  </si>
  <si>
    <t>6148_20240611_0004_R_0708.jpg</t>
  </si>
  <si>
    <t>6149_20240611_0004_R_0706.jpg</t>
  </si>
  <si>
    <t>6150_20240611_0004_R_0703.jpg</t>
  </si>
  <si>
    <t>6151_20240611_0004_R_0701.jpg</t>
  </si>
  <si>
    <t>6152_20240611_0004_R_0699.jpg</t>
  </si>
  <si>
    <t>6153_20240611_0004_R_0696.jpg</t>
  </si>
  <si>
    <t>6154_20240611_0004_R_0693.jpg</t>
  </si>
  <si>
    <t>6155_20240611_0004_R_0690.jpg</t>
  </si>
  <si>
    <t>6156_20240611_0004_R_0687.jpg</t>
  </si>
  <si>
    <t>6157_20240611_0004_R_0684.jpg</t>
  </si>
  <si>
    <t>6158_20240611_0004_R_0681.jpg</t>
  </si>
  <si>
    <t>6159_20240611_0004_R_0678.jpg</t>
  </si>
  <si>
    <t>6160_20240611_0004_R_0676.jpg</t>
  </si>
  <si>
    <t>6161_20240611_0004_R_0674.jpg</t>
  </si>
  <si>
    <t>6162_20240611_0004_R_0672.jpg</t>
  </si>
  <si>
    <t>6163_20240611_0004_R_0669.jpg</t>
  </si>
  <si>
    <t>6164_20240611_0004_R_0667.jpg</t>
  </si>
  <si>
    <t>6165_20240611_0004_R_0665.jpg</t>
  </si>
  <si>
    <t>6166_20240611_0004_R_0663.jpg</t>
  </si>
  <si>
    <t>6167_20240611_0004_R_0660.jpg</t>
  </si>
  <si>
    <t>6168_20240611_0004_R_0657.jpg</t>
  </si>
  <si>
    <t>6169_20240611_0004_R_0655.jpg</t>
  </si>
  <si>
    <t>6170_20240611_0004_R_0652.jpg</t>
  </si>
  <si>
    <t>6171_20240611_0004_R_0649.jpg</t>
  </si>
  <si>
    <t>6172_20240611_0004_R_0647.jpg</t>
  </si>
  <si>
    <t>6173_20240611_0004_R_0645.jpg</t>
  </si>
  <si>
    <t>6174_20240611_0004_R_0642.jpg</t>
  </si>
  <si>
    <t>6175_20240611_0004_R_0639.jpg</t>
  </si>
  <si>
    <t>6176_20240611_0004_R_0637.jpg</t>
  </si>
  <si>
    <t>6177_20240611_0004_R_0635.jpg</t>
  </si>
  <si>
    <t>6178_20240611_0004_R_0633.jpg</t>
  </si>
  <si>
    <t>6179_20240611_0004_R_0629.jpg</t>
  </si>
  <si>
    <t>6180_20240611_0004_R_0627.jpg</t>
  </si>
  <si>
    <t>6181_20240611_0004_R_0624.jpg</t>
  </si>
  <si>
    <t>6182_20240611_0004_R_0622.jpg</t>
  </si>
  <si>
    <t>6183_20240611_0004_R_0619.jpg</t>
  </si>
  <si>
    <t>6184_20240611_0004_R_0616.jpg</t>
  </si>
  <si>
    <t>6185_20240611_0004_R_0614.jpg</t>
  </si>
  <si>
    <t>6186_20240611_0004_R_0611.jpg</t>
  </si>
  <si>
    <t>6187_20240611_0004_R_0608.jpg</t>
  </si>
  <si>
    <t>6188_20240611_0004_R_0605.jpg</t>
  </si>
  <si>
    <t>6189_20240611_0004_R_0602.jpg</t>
  </si>
  <si>
    <t>6190_20240611_0004_R_0599.jpg</t>
  </si>
  <si>
    <t>6191_20240611_0004_R_0596.jpg</t>
  </si>
  <si>
    <t>6192_20240611_0004_R_0593.jpg</t>
  </si>
  <si>
    <t>6193_20240611_0004_R_0591.jpg</t>
  </si>
  <si>
    <t>6194_20240611_0004_R_0588.jpg</t>
  </si>
  <si>
    <t>6195_20240611_0004_R_0586.jpg</t>
  </si>
  <si>
    <t>6196_20240611_0004_R_0584.jpg</t>
  </si>
  <si>
    <t>6197_20240611_0004_R_0581.jpg</t>
  </si>
  <si>
    <t>6198_20240611_0004_R_0579.jpg</t>
  </si>
  <si>
    <t>6199_20240611_0004_R_0576.jpg</t>
  </si>
  <si>
    <t>6200_20240611_0004_R_0573.jpg</t>
  </si>
  <si>
    <t>6201_20240611_0004_R_0571.jpg</t>
  </si>
  <si>
    <t>6202_20240611_0004_R_0568.jpg</t>
  </si>
  <si>
    <t>6203_20240611_0004_R_0565.jpg</t>
  </si>
  <si>
    <t>6204_20240611_0004_R_0562.jpg</t>
  </si>
  <si>
    <t>6205_20240611_0004_R_0558.jpg</t>
  </si>
  <si>
    <t>6206_20240611_0004_R_0556.jpg</t>
  </si>
  <si>
    <t>6207_20240611_0004_R_0554.jpg</t>
  </si>
  <si>
    <t>6208_20240611_0004_R_0551.jpg</t>
  </si>
  <si>
    <t>6209_20240611_0004_R_0549.jpg</t>
  </si>
  <si>
    <t>6210_20240611_0004_R_0546.jpg</t>
  </si>
  <si>
    <t>6211_20240611_0004_R_0543.jpg</t>
  </si>
  <si>
    <t>6212_20240611_0004_R_0540.jpg</t>
  </si>
  <si>
    <t>6213_20240611_0004_R_0537.jpg</t>
  </si>
  <si>
    <t>6214_20240611_0004_R_0535.jpg</t>
  </si>
  <si>
    <t>6215_20240611_0004_R_0532.jpg</t>
  </si>
  <si>
    <t>6216_20240611_0004_R_0529.jpg</t>
  </si>
  <si>
    <t>6217_20240611_0004_R_0527.jpg</t>
  </si>
  <si>
    <t>6218_20240611_0004_R_0524.jpg</t>
  </si>
  <si>
    <t>6219_20240611_0004_R_0521.jpg</t>
  </si>
  <si>
    <t>6220_20240611_0004_R_0518.jpg</t>
  </si>
  <si>
    <t>6221_20240611_0004_R_0516.jpg</t>
  </si>
  <si>
    <t>6222_20240611_0004_R_0514.jpg</t>
  </si>
  <si>
    <t>6223_20240611_0004_R_0511.jpg</t>
  </si>
  <si>
    <t>6224_20240611_0004_R_0509.jpg</t>
  </si>
  <si>
    <t>6225_20240611_0004_R_0506.jpg</t>
  </si>
  <si>
    <t>6226_20240611_0004_R_0504.jpg</t>
  </si>
  <si>
    <t>6227_20240611_0004_R_0501.jpg</t>
  </si>
  <si>
    <t>6228_20240611_0004_R_0499.jpg</t>
  </si>
  <si>
    <t>6229_20240611_0004_R_0496.jpg</t>
  </si>
  <si>
    <t>6230_20240611_0004_R_0493.jpg</t>
  </si>
  <si>
    <t>6231_20240611_0004_R_0491.jpg</t>
  </si>
  <si>
    <t>6232_20240611_0004_R_0488.jpg</t>
  </si>
  <si>
    <t>6233_20240611_0004_R_0485.jpg</t>
  </si>
  <si>
    <t>6234_20240611_0004_R_0483.jpg</t>
  </si>
  <si>
    <t>6235_20240611_0004_R_0480.jpg</t>
  </si>
  <si>
    <t>6236_20240611_0004_R_0478.jpg</t>
  </si>
  <si>
    <t>6237_20240611_0004_R_0476.jpg</t>
  </si>
  <si>
    <t>6238_20240611_0004_R_0473.jpg</t>
  </si>
  <si>
    <t>6239_20240611_0004_R_0471.jpg</t>
  </si>
  <si>
    <t>6240_20240611_0004_R_0469.jpg</t>
  </si>
  <si>
    <t>6241_20240611_0004_R_0466.jpg</t>
  </si>
  <si>
    <t>6242_20240611_0004_R_0463.jpg</t>
  </si>
  <si>
    <t>6243_20240611_0004_R_0460.jpg</t>
  </si>
  <si>
    <t>6244_20240611_0004_R_0457.jpg</t>
  </si>
  <si>
    <t>6245_20240611_0004_R_0455.jpg</t>
  </si>
  <si>
    <t>6246_20240611_0004_R_0452.jpg</t>
  </si>
  <si>
    <t>6247_20240611_0004_R_0449.jpg</t>
  </si>
  <si>
    <t>6248_20240611_0004_R_0446.jpg</t>
  </si>
  <si>
    <t>6249_20240611_0004_R_0444.jpg</t>
  </si>
  <si>
    <t>6250_20240611_0004_R_0441.jpg</t>
  </si>
  <si>
    <t>6251_20240611_0004_R_0438.jpg</t>
  </si>
  <si>
    <t>6252_20240611_0004_R_0436.jpg</t>
  </si>
  <si>
    <t>6253_20240611_0004_R_0433.jpg</t>
  </si>
  <si>
    <t>6254_20240611_0004_R_0430.jpg</t>
  </si>
  <si>
    <t>6255_20240611_0004_R_0427.jpg</t>
  </si>
  <si>
    <t>6256_20240611_0004_R_0425.jpg</t>
  </si>
  <si>
    <t>6257_20240611_0004_R_0422.jpg</t>
  </si>
  <si>
    <t>6258_20240611_0004_R_0419.jpg</t>
  </si>
  <si>
    <t>6259_20240611_0004_R_0416.jpg</t>
  </si>
  <si>
    <t>6260_20240611_0004_R_0413.jpg</t>
  </si>
  <si>
    <t>6261_20240611_0004_R_0410.jpg</t>
  </si>
  <si>
    <t>6262_20240611_0004_R_0408.jpg</t>
  </si>
  <si>
    <t>6263_20240611_0004_R_0405.jpg</t>
  </si>
  <si>
    <t>6264_20240611_0004_R_0402.jpg</t>
  </si>
  <si>
    <t>6265_20240611_0004_R_0399.jpg</t>
  </si>
  <si>
    <t>6266_20240611_0004_R_0397.jpg</t>
  </si>
  <si>
    <t>6267_20240611_0004_R_0394.jpg</t>
  </si>
  <si>
    <t>6268_20240611_0004_R_0391.jpg</t>
  </si>
  <si>
    <t>6269_20240611_0004_R_0388.jpg</t>
  </si>
  <si>
    <t>6270_20240611_0004_R_0385.jpg</t>
  </si>
  <si>
    <t>6271_20240611_0004_R_0382.jpg</t>
  </si>
  <si>
    <t>6272_20240611_0004_R_0379.jpg</t>
  </si>
  <si>
    <t>6273_20240611_0004_R_0376.jpg</t>
  </si>
  <si>
    <t>6274_20240611_0004_R_0373.jpg</t>
  </si>
  <si>
    <t>6275_20240611_0004_R_0370.jpg</t>
  </si>
  <si>
    <t>6276_20240611_0004_R_0368.jpg</t>
  </si>
  <si>
    <t>6277_20240611_0004_R_0365.jpg</t>
  </si>
  <si>
    <t>6278_20240611_0004_R_0362.jpg</t>
  </si>
  <si>
    <t>6279_20240611_0004_R_0359.jpg</t>
  </si>
  <si>
    <t>6280_20240611_0004_R_0356.jpg</t>
  </si>
  <si>
    <t>6281_20240611_0004_R_0354.jpg</t>
  </si>
  <si>
    <t>6282_20240611_0004_R_0351.jpg</t>
  </si>
  <si>
    <t>6283_20240611_0004_R_0348.jpg</t>
  </si>
  <si>
    <t>6284_20240611_0004_R_0345.jpg</t>
  </si>
  <si>
    <t>6285_20240611_0004_R_0343.jpg</t>
  </si>
  <si>
    <t>6286_20240611_0004_R_0340.jpg</t>
  </si>
  <si>
    <t>6287_20240611_0004_R_0337.jpg</t>
  </si>
  <si>
    <t>6288_20240611_0004_R_0335.jpg</t>
  </si>
  <si>
    <t>6289_20240611_0004_R_0332.jpg</t>
  </si>
  <si>
    <t>6290_20240611_0004_R_0329.jpg</t>
  </si>
  <si>
    <t>6291_20240611_0004_R_0325.jpg</t>
  </si>
  <si>
    <t>6292_20240611_0004_R_0323.jpg</t>
  </si>
  <si>
    <t>6293_20240611_0004_R_0320.jpg</t>
  </si>
  <si>
    <t>6294_20240611_0004_R_0318.jpg</t>
  </si>
  <si>
    <t>6295_20240611_0004_R_0315.jpg</t>
  </si>
  <si>
    <t>6296_20240611_0004_R_0312.jpg</t>
  </si>
  <si>
    <t>6297_20240611_0004_R_0309.jpg</t>
  </si>
  <si>
    <t>6298_20240611_0004_R_0307.jpg</t>
  </si>
  <si>
    <t>6299_20240611_0004_R_0304.jpg</t>
  </si>
  <si>
    <t>6300_20240611_0004_R_0301.jpg</t>
  </si>
  <si>
    <t>6301_20240611_0004_R_0298.jpg</t>
  </si>
  <si>
    <t>6302_20240611_0004_R_0296.jpg</t>
  </si>
  <si>
    <t>6303_20240611_0004_R_0293.jpg</t>
  </si>
  <si>
    <t>6304_20240611_0004_R_0290.jpg</t>
  </si>
  <si>
    <t>6305_20240611_0004_R_0287.jpg</t>
  </si>
  <si>
    <t>6306_20240611_0004_R_0284.jpg</t>
  </si>
  <si>
    <t>6307_20240611_0004_R_0282.jpg</t>
  </si>
  <si>
    <t>6308_20240611_0004_R_0279.jpg</t>
  </si>
  <si>
    <t>6309_20240611_0004_R_0275.jpg</t>
  </si>
  <si>
    <t>6310_20240611_0004_R_0273.jpg</t>
  </si>
  <si>
    <t>6311_20240611_0004_R_0272.jpg</t>
  </si>
  <si>
    <t>6312_20240611_0004_R_0267.jpg</t>
  </si>
  <si>
    <t>6313_20240611_0004_R_0265.jpg</t>
  </si>
  <si>
    <t>6314_20240611_0004_R_0261.jpg</t>
  </si>
  <si>
    <t>6315_20240611_0004_R_0259.jpg</t>
  </si>
  <si>
    <t>6316_20240611_0004_R_0256.jpg</t>
  </si>
  <si>
    <t>6317_20240611_0004_R_0254.jpg</t>
  </si>
  <si>
    <t>6318_20240611_0004_R_0251.jpg</t>
  </si>
  <si>
    <t>6319_20240611_0004_R_0247.jpg</t>
  </si>
  <si>
    <t>6320_20240611_0004_R_0244.jpg</t>
  </si>
  <si>
    <t>6321_20240611_0004_R_0242.jpg</t>
  </si>
  <si>
    <t>6322_20240611_0004_R_0239.jpg</t>
  </si>
  <si>
    <t>6323_20240611_0004_R_0236.jpg</t>
  </si>
  <si>
    <t>6324_20240611_0004_R_0233.jpg</t>
  </si>
  <si>
    <t>6325_20240611_0004_R_0231.jpg</t>
  </si>
  <si>
    <t>6326_20240611_0004_R_0228.jpg</t>
  </si>
  <si>
    <t>6327_20240611_0004_R_0225.jpg</t>
  </si>
  <si>
    <t>6328_20240611_0004_R_0222.jpg</t>
  </si>
  <si>
    <t>6329_20240611_0004_R_0220.jpg</t>
  </si>
  <si>
    <t>6330_20240611_0004_R_0217.jpg</t>
  </si>
  <si>
    <t>6331_20240611_0004_R_0214.jpg</t>
  </si>
  <si>
    <t>6332_20240611_0004_R_0211.jpg</t>
  </si>
  <si>
    <t>6333_20240611_0004_R_0208.jpg</t>
  </si>
  <si>
    <t>6334_20240611_0004_R_0205.jpg</t>
  </si>
  <si>
    <t>6335_20240611_0004_R_0202.jpg</t>
  </si>
  <si>
    <t>6336_20240611_0004_R_0199.jpg</t>
  </si>
  <si>
    <t>6337_20240611_0004_R_0196.jpg</t>
  </si>
  <si>
    <t>6338_20240611_0004_R_0193.jpg</t>
  </si>
  <si>
    <t>6339_20240611_0004_R_0190.jpg</t>
  </si>
  <si>
    <t>6340_20240611_0004_R_0187.jpg</t>
  </si>
  <si>
    <t>6341_20240611_0004_R_0184.jpg</t>
  </si>
  <si>
    <t>6342_20240611_0004_R_0181.jpg</t>
  </si>
  <si>
    <t>6343_20240611_0004_R_0178.jpg</t>
  </si>
  <si>
    <t>6344_20240611_0004_R_0174.jpg</t>
  </si>
  <si>
    <t>6345_20240611_0004_R_0171.jpg</t>
  </si>
  <si>
    <t>6346_20240611_0004_R_0168.jpg</t>
  </si>
  <si>
    <t>6347_20240611_0004_R_0165.jpg</t>
  </si>
  <si>
    <t>6348_20240611_0004_R_0161.jpg</t>
  </si>
  <si>
    <t>6349_20240611_0004_R_0158.jpg</t>
  </si>
  <si>
    <t>6350_20240611_0004_R_0155.jpg</t>
  </si>
  <si>
    <t>6351_20240611_0004_R_0152.jpg</t>
  </si>
  <si>
    <t>6352_20240611_0004_R_0148.jpg</t>
  </si>
  <si>
    <t>6353_20240611_0004_R_0146.jpg</t>
  </si>
  <si>
    <t>6354_20240611_0004_R_0142.jpg</t>
  </si>
  <si>
    <t>6355_20240611_0004_R_0139.jpg</t>
  </si>
  <si>
    <t>6356_20240611_0004_R_0136.jpg</t>
  </si>
  <si>
    <t>6357_20240611_0004_R_0134.jpg</t>
  </si>
  <si>
    <t>6358_20240611_0004_R_0131.jpg</t>
  </si>
  <si>
    <t>6359_20240611_0004_R_0127.jpg</t>
  </si>
  <si>
    <t>6360_20240611_0004_R_0125.jpg</t>
  </si>
  <si>
    <t>6361_20240611_0004_R_0122.jpg</t>
  </si>
  <si>
    <t>6362_20240611_0004_R_0118.jpg</t>
  </si>
  <si>
    <t>6363_20240611_0004_R_0115.jpg</t>
  </si>
  <si>
    <t>6364_20240611_0004_R_0112.jpg</t>
  </si>
  <si>
    <t>6365_20240611_0004_R_0107.jpg</t>
  </si>
  <si>
    <t>6366_20240611_0004_R_0104.jpg</t>
  </si>
  <si>
    <t>6367_20240611_0004_R_0101.jpg</t>
  </si>
  <si>
    <t>6368_20240611_0004_R_0097.jpg</t>
  </si>
  <si>
    <t>6369_20240611_0004_R_0094.jpg</t>
  </si>
  <si>
    <t>6370_20240611_0004_R_0091.jpg</t>
  </si>
  <si>
    <t>6371_20240611_0004_R_0087.jpg</t>
  </si>
  <si>
    <t>6372_20240611_0004_R_0084.jpg</t>
  </si>
  <si>
    <t>6373_20240611_0004_R_0081.jpg</t>
  </si>
  <si>
    <t>6374_20240611_0004_R_0078.jpg</t>
  </si>
  <si>
    <t>6375_20240611_0004_R_0075.jpg</t>
  </si>
  <si>
    <t>6376_20240611_0004_R_0072.jpg</t>
  </si>
  <si>
    <t>6377_20240611_0004_R_0068.jpg</t>
  </si>
  <si>
    <t>6378_20240611_0004_R_0065.jpg</t>
  </si>
  <si>
    <t>6379_20240611_0004_R_0060.jpg</t>
  </si>
  <si>
    <t>6380_20240611_0004_R_0058.jpg</t>
  </si>
  <si>
    <t>6381_20240611_0004_R_0054.jpg</t>
  </si>
  <si>
    <t>6382_20240611_0004_R_0049.jpg</t>
  </si>
  <si>
    <t>6383_20240611_0004_R_0046.jpg</t>
  </si>
  <si>
    <t>6384_20240611_0004_R_0041.jpg</t>
  </si>
  <si>
    <t>6385_20240611_0004_R_0035.jpg</t>
  </si>
  <si>
    <t>6386_20240611_0004_R_0030.jpg</t>
  </si>
  <si>
    <t>6387_20240611_0004_R_0026.jpg</t>
  </si>
  <si>
    <t>6388_20240611_0004_R_0019.jpg</t>
  </si>
  <si>
    <t>6389_20240611_0004_R_0015.jpg</t>
  </si>
  <si>
    <t>6390_20240611_0004_R_0009.jpg</t>
  </si>
  <si>
    <t>6391_20240611_0004_R_0006.jpg</t>
  </si>
  <si>
    <t>6392_20240611_0004_R_0004.jpg</t>
  </si>
  <si>
    <t>6393_20240611_0004_R_0003.jpg</t>
  </si>
  <si>
    <t>6406_20240611_0011_L_0003.jpg</t>
  </si>
  <si>
    <t>6407_20240611_0011_L_0007.jpg</t>
  </si>
  <si>
    <t>6408_20240611_0011_L_0010.jpg</t>
  </si>
  <si>
    <t>6409_20240611_0011_L_0013.jpg</t>
  </si>
  <si>
    <t>6410_20240611_0011_L_0015.jpg</t>
  </si>
  <si>
    <t>6411_20240611_0011_L_0018.jpg</t>
  </si>
  <si>
    <t>6412_20240611_0011_L_0020.jpg</t>
  </si>
  <si>
    <t>6413_20240611_0011_L_0023.jpg</t>
  </si>
  <si>
    <t>6414_20240611_0011_L_0025.jpg</t>
  </si>
  <si>
    <t>6415_20240611_0011_L_0031.jpg</t>
  </si>
  <si>
    <t>6416_20240611_0011_L_0035.jpg</t>
  </si>
  <si>
    <t>6417_20240611_0011_L_0038.jpg</t>
  </si>
  <si>
    <t>6418_20240611_0011_L_0041.jpg</t>
  </si>
  <si>
    <t>6419_20240611_0011_L_0044.jpg</t>
  </si>
  <si>
    <t>6420_20240611_0011_L_0046.jpg</t>
  </si>
  <si>
    <t>6421_20240611_0011_L_0049.jpg</t>
  </si>
  <si>
    <t>6422_20240611_0011_L_0052.jpg</t>
  </si>
  <si>
    <t>6423_20240611_0011_L_0054.jpg</t>
  </si>
  <si>
    <t>6424_20240611_0011_L_0057.jpg</t>
  </si>
  <si>
    <t>6425_20240611_0011_L_0060.jpg</t>
  </si>
  <si>
    <t>6426_20240611_0011_L_0063.jpg</t>
  </si>
  <si>
    <t>6427_20240611_0011_L_0066.jpg</t>
  </si>
  <si>
    <t>6428_20240611_0011_L_0069.jpg</t>
  </si>
  <si>
    <t>6429_20240611_0011_L_0071.jpg</t>
  </si>
  <si>
    <t>6430_20240611_0011_L_0075.jpg</t>
  </si>
  <si>
    <t>6431_20240611_0011_L_0078.jpg</t>
  </si>
  <si>
    <t>6432_20240611_0011_L_0080.jpg</t>
  </si>
  <si>
    <t>6433_20240611_0011_L_0083.jpg</t>
  </si>
  <si>
    <t>6434_20240611_0011_L_0086.jpg</t>
  </si>
  <si>
    <t>6435_20240611_0011_L_0088.jpg</t>
  </si>
  <si>
    <t>6436_20240611_0011_L_0091.jpg</t>
  </si>
  <si>
    <t>6437_20240611_0011_L_0094.jpg</t>
  </si>
  <si>
    <t>6438_20240611_0011_L_0097.jpg</t>
  </si>
  <si>
    <t>6439_20240611_0011_L_0100.jpg</t>
  </si>
  <si>
    <t>6440_20240611_0011_L_0103.jpg</t>
  </si>
  <si>
    <t>6441_20240611_0011_L_0105.jpg</t>
  </si>
  <si>
    <t>6442_20240611_0011_L_0108.jpg</t>
  </si>
  <si>
    <t>6443_20240611_0011_L_0111.jpg</t>
  </si>
  <si>
    <t>6444_20240611_0011_L_0114.jpg</t>
  </si>
  <si>
    <t>6445_20240611_0011_L_0116.jpg</t>
  </si>
  <si>
    <t>6446_20240611_0011_L_0119.jpg</t>
  </si>
  <si>
    <t>6447_20240611_0011_L_0122.jpg</t>
  </si>
  <si>
    <t>6448_20240611_0011_L_0124.jpg</t>
  </si>
  <si>
    <t>6449_20240611_0011_L_0127.jpg</t>
  </si>
  <si>
    <t>6450_20240611_0011_L_0130.jpg</t>
  </si>
  <si>
    <t>6451_20240611_0011_L_0133.jpg</t>
  </si>
  <si>
    <t>6452_20240611_0011_L_0136.jpg</t>
  </si>
  <si>
    <t>6453_20240611_0011_L_0139.jpg</t>
  </si>
  <si>
    <t>6454_20240611_0011_L_0142.jpg</t>
  </si>
  <si>
    <t>6455_20240611_0011_L_0145.jpg</t>
  </si>
  <si>
    <t>6456_20240611_0011_L_0147.jpg</t>
  </si>
  <si>
    <t>6457_20240611_0011_L_0150.jpg</t>
  </si>
  <si>
    <t>6458_20240611_0011_L_0153.jpg</t>
  </si>
  <si>
    <t>6459_20240611_0011_L_0156.jpg</t>
  </si>
  <si>
    <t>6460_20240611_0011_L_0159.jpg</t>
  </si>
  <si>
    <t>6461_20240611_0011_L_0162.jpg</t>
  </si>
  <si>
    <t>6462_20240611_0011_L_0165.jpg</t>
  </si>
  <si>
    <t>6463_20240611_0011_L_0168.jpg</t>
  </si>
  <si>
    <t>6464_20240611_0011_L_0171.jpg</t>
  </si>
  <si>
    <t>6465_20240611_0011_L_0173.jpg</t>
  </si>
  <si>
    <t>6466_20240611_0011_L_0176.jpg</t>
  </si>
  <si>
    <t>6467_20240611_0011_L_0179.jpg</t>
  </si>
  <si>
    <t>6468_20240611_0011_L_0182.jpg</t>
  </si>
  <si>
    <t>6469_20240611_0011_L_0185.jpg</t>
  </si>
  <si>
    <t>6470_20240611_0011_L_0188.jpg</t>
  </si>
  <si>
    <t>6471_20240611_0011_L_0191.jpg</t>
  </si>
  <si>
    <t>6472_20240611_0011_L_0194.jpg</t>
  </si>
  <si>
    <t>6473_20240611_0011_L_0197.jpg</t>
  </si>
  <si>
    <t>6474_20240611_0011_L_0200.jpg</t>
  </si>
  <si>
    <t>6475_20240611_0011_L_0203.jpg</t>
  </si>
  <si>
    <t>6476_20240611_0011_L_0205.jpg</t>
  </si>
  <si>
    <t>6477_20240611_0011_L_0208.jpg</t>
  </si>
  <si>
    <t>6478_20240611_0011_L_0211.jpg</t>
  </si>
  <si>
    <t>6479_20240611_0011_L_0214.jpg</t>
  </si>
  <si>
    <t>6480_20240611_0011_L_0217.jpg</t>
  </si>
  <si>
    <t>6481_20240611_0011_L_0220.jpg</t>
  </si>
  <si>
    <t>6482_20240611_0011_L_0223.jpg</t>
  </si>
  <si>
    <t>6483_20240611_0011_L_0226.jpg</t>
  </si>
  <si>
    <t>6484_20240611_0011_L_0229.jpg</t>
  </si>
  <si>
    <t>6485_20240611_0011_L_0232.jpg</t>
  </si>
  <si>
    <t>6486_20240611_0011_L_0235.jpg</t>
  </si>
  <si>
    <t>6487_20240611_0011_L_0238.jpg</t>
  </si>
  <si>
    <t>6488_20240611_0011_L_0240.jpg</t>
  </si>
  <si>
    <t>6489_20240611_0011_L_0243.jpg</t>
  </si>
  <si>
    <t>6490_20240611_0011_L_0246.jpg</t>
  </si>
  <si>
    <t>6491_20240611_0011_L_0249.jpg</t>
  </si>
  <si>
    <t>6492_20240611_0011_L_0252.jpg</t>
  </si>
  <si>
    <t>6493_20240611_0011_L_0255.jpg</t>
  </si>
  <si>
    <t>6494_20240611_0011_L_0258.jpg</t>
  </si>
  <si>
    <t>6495_20240611_0011_L_0261.jpg</t>
  </si>
  <si>
    <t>6496_20240611_0011_L_0265.jpg</t>
  </si>
  <si>
    <t>6497_20240611_0011_L_0268.jpg</t>
  </si>
  <si>
    <t>6498_20240611_0011_L_0270.jpg</t>
  </si>
  <si>
    <t>6499_20240611_0011_L_0273.jpg</t>
  </si>
  <si>
    <t>6500_20240611_0011_L_0276.jpg</t>
  </si>
  <si>
    <t>6501_20240611_0011_L_0279.jpg</t>
  </si>
  <si>
    <t>6502_20240611_0011_L_0282.jpg</t>
  </si>
  <si>
    <t>6503_20240611_0011_L_0285.jpg</t>
  </si>
  <si>
    <t>6504_20240611_0011_L_0288.jpg</t>
  </si>
  <si>
    <t>6505_20240611_0011_L_0291.jpg</t>
  </si>
  <si>
    <t>6506_20240611_0011_L_0294.jpg</t>
  </si>
  <si>
    <t>6507_20240611_0011_L_0296.jpg</t>
  </si>
  <si>
    <t>6508_20240611_0011_L_0299.jpg</t>
  </si>
  <si>
    <t>6509_20240611_0011_L_0302.jpg</t>
  </si>
  <si>
    <t>6510_20240611_0011_L_0304.jpg</t>
  </si>
  <si>
    <t>6511_20240611_0011_L_0307.jpg</t>
  </si>
  <si>
    <t>6512_20240611_0011_L_0310.jpg</t>
  </si>
  <si>
    <t>6513_20240611_0011_L_0313.jpg</t>
  </si>
  <si>
    <t>6514_20240611_0011_L_0316.jpg</t>
  </si>
  <si>
    <t>6515_20240611_0011_L_0319.jpg</t>
  </si>
  <si>
    <t>6516_20240611_0011_L_0322.jpg</t>
  </si>
  <si>
    <t>6517_20240611_0011_L_0325.jpg</t>
  </si>
  <si>
    <t>6518_20240611_0011_L_0328.jpg</t>
  </si>
  <si>
    <t>6519_20240611_0011_L_0330.jpg</t>
  </si>
  <si>
    <t>6520_20240611_0011_L_0333.jpg</t>
  </si>
  <si>
    <t>6521_20240611_0011_L_0336.jpg</t>
  </si>
  <si>
    <t>6522_20240611_0011_L_0339.jpg</t>
  </si>
  <si>
    <t>6523_20240611_0011_L_0341.jpg</t>
  </si>
  <si>
    <t>6524_20240611_0011_L_0344.jpg</t>
  </si>
  <si>
    <t>6525_20240611_0011_L_0347.jpg</t>
  </si>
  <si>
    <t>6526_20240611_0011_L_0350.jpg</t>
  </si>
  <si>
    <t>6527_20240611_0011_L_0352.jpg</t>
  </si>
  <si>
    <t>6528_20240611_0011_L_0355.jpg</t>
  </si>
  <si>
    <t>6529_20240611_0011_L_0358.jpg</t>
  </si>
  <si>
    <t>6530_20240611_0011_L_0361.jpg</t>
  </si>
  <si>
    <t>6531_20240611_0011_L_0364.jpg</t>
  </si>
  <si>
    <t>6532_20240611_0011_L_0367.jpg</t>
  </si>
  <si>
    <t>6533_20240611_0011_L_0370.jpg</t>
  </si>
  <si>
    <t>6534_20240611_0011_L_0373.jpg</t>
  </si>
  <si>
    <t>6535_20240611_0011_L_0376.jpg</t>
  </si>
  <si>
    <t>6536_20240611_0011_L_0379.jpg</t>
  </si>
  <si>
    <t>6537_20240611_0002_R_1218.jpg</t>
  </si>
  <si>
    <t>6538_20240611_0002_R_1215.jpg</t>
  </si>
  <si>
    <t>6539_20240611_0002_R_1212.jpg</t>
  </si>
  <si>
    <t>6540_20240611_0002_R_1209.jpg</t>
  </si>
  <si>
    <t>6541_20240611_0011_L_0393.jpg</t>
  </si>
  <si>
    <t>6542_20240611_0002_R_1202.jpg</t>
  </si>
  <si>
    <t>6543_20240611_0011_L_0399.jpg</t>
  </si>
  <si>
    <t>6544_20240611_0002_R_1195.jpg</t>
  </si>
  <si>
    <t>6545_20240611_0002_R_1191.jpg</t>
  </si>
  <si>
    <t>6546_20240611_0011_L_0408.jpg</t>
  </si>
  <si>
    <t>6547_20240611_0002_R_1185.jpg</t>
  </si>
  <si>
    <t>6548_20240611_0002_R_1182.jpg</t>
  </si>
  <si>
    <t>6549_20240611_0011_L_0416.jpg</t>
  </si>
  <si>
    <t>6550_20240611_0002_R_1175.jpg</t>
  </si>
  <si>
    <t>6551_20240611_0002_R_1171.jpg</t>
  </si>
  <si>
    <t>6552_20240611_0002_R_1168.jpg</t>
  </si>
  <si>
    <t>6553_20240611_0002_R_1165.jpg</t>
  </si>
  <si>
    <t>6554_20240611_0002_R_1162.jpg</t>
  </si>
  <si>
    <t>6555_20240611_0002_R_1159.jpg</t>
  </si>
  <si>
    <t>6556_20240611_0002_R_1155.jpg</t>
  </si>
  <si>
    <t>6557_20240611_0002_R_1152.jpg</t>
  </si>
  <si>
    <t>6558_20240611_0002_R_1149.jpg</t>
  </si>
  <si>
    <t>6559_20240611_0002_R_1143.jpg</t>
  </si>
  <si>
    <t>6560_20240611_0002_R_1138.jpg</t>
  </si>
  <si>
    <t>6561_20240611_0002_R_1134.jpg</t>
  </si>
  <si>
    <t>6562_20240611_0002_R_1130.jpg</t>
  </si>
  <si>
    <t>6563_20240611_0002_R_1121.jpg</t>
  </si>
  <si>
    <t>6564_20240611_0002_R_1119.jpg</t>
  </si>
  <si>
    <t>6565_20240611_0002_R_1117.jpg</t>
  </si>
  <si>
    <t>6566_20240611_0002_R_1115.jpg</t>
  </si>
  <si>
    <t>6567_20240611_0002_R_1112.jpg</t>
  </si>
  <si>
    <t>6568_20240611_0002_R_1109.jpg</t>
  </si>
  <si>
    <t>6569_20240611_0002_R_1105.jpg</t>
  </si>
  <si>
    <t>6570_20240611_0002_R_1100.jpg</t>
  </si>
  <si>
    <t>6571_20240611_0002_R_1097.jpg</t>
  </si>
  <si>
    <t>6572_20240611_0002_R_1094.jpg</t>
  </si>
  <si>
    <t>6573_20240611_0002_R_1091.jpg</t>
  </si>
  <si>
    <t>6574_20240611_0002_R_1088.jpg</t>
  </si>
  <si>
    <t>6575_20240611_0002_R_1056.jpg</t>
  </si>
  <si>
    <t>6576_20240611_0002_R_1051.jpg</t>
  </si>
  <si>
    <t>6577_20240611_0002_R_1064.jpg</t>
  </si>
  <si>
    <t>6578_20240611_0002_R_1077.jpg</t>
  </si>
  <si>
    <t>6579_20240611_0002_R_1043.jpg</t>
  </si>
  <si>
    <t>6580_20240611_0002_R_1040.jpg</t>
  </si>
  <si>
    <t>6581_20240611_0002_R_1039.jpg</t>
  </si>
  <si>
    <t>6582_20240611_0002_R_1036.jpg</t>
  </si>
  <si>
    <t>6583_20240611_0002_R_1034.jpg</t>
  </si>
  <si>
    <t>6584_20240611_0002_R_1032.jpg</t>
  </si>
  <si>
    <t>6585_20240611_0002_R_1029.jpg</t>
  </si>
  <si>
    <t>6586_20240611_0002_R_1026.jpg</t>
  </si>
  <si>
    <t>6587_20240611_0002_R_1022.jpg</t>
  </si>
  <si>
    <t>6588_20240611_0002_R_1019.jpg</t>
  </si>
  <si>
    <t>6589_20240611_0002_R_1015.jpg</t>
  </si>
  <si>
    <t>6590_20240611_0002_R_1012.jpg</t>
  </si>
  <si>
    <t>6591_20240611_0002_R_1009.jpg</t>
  </si>
  <si>
    <t>6592_20240611_0002_R_1006.jpg</t>
  </si>
  <si>
    <t>6593_20240611_0002_R_1003.jpg</t>
  </si>
  <si>
    <t>6594_20240611_0002_R_1001.jpg</t>
  </si>
  <si>
    <t>6595_20240611_0002_R_0997.jpg</t>
  </si>
  <si>
    <t>6596_20240611_0002_R_0994.jpg</t>
  </si>
  <si>
    <t>6597_20240611_0002_R_0991.jpg</t>
  </si>
  <si>
    <t>6598_20240611_0002_R_0987.jpg</t>
  </si>
  <si>
    <t>6599_20240611_0002_R_0984.jpg</t>
  </si>
  <si>
    <t>6600_20240611_0002_R_0981.jpg</t>
  </si>
  <si>
    <t>6601_20240611_0002_R_0978.jpg</t>
  </si>
  <si>
    <t>6602_20240611_0002_R_0975.jpg</t>
  </si>
  <si>
    <t>6603_20240611_0002_R_0972.jpg</t>
  </si>
  <si>
    <t>6604_20240611_0002_R_0969.jpg</t>
  </si>
  <si>
    <t>6605_20240611_0002_R_0967.jpg</t>
  </si>
  <si>
    <t>6606_20240611_0002_R_0963.jpg</t>
  </si>
  <si>
    <t>6607_20240611_0002_R_0960.jpg</t>
  </si>
  <si>
    <t>6608_20240611_0002_R_0957.jpg</t>
  </si>
  <si>
    <t>6609_20240611_0002_R_0953.jpg</t>
  </si>
  <si>
    <t>6610_20240611_0002_R_0950.jpg</t>
  </si>
  <si>
    <t>6611_20240611_0002_R_0946.jpg</t>
  </si>
  <si>
    <t>6612_20240611_0002_R_0944.jpg</t>
  </si>
  <si>
    <t>6613_20240611_0002_R_0940.jpg</t>
  </si>
  <si>
    <t>6614_20240611_0002_R_0937.jpg</t>
  </si>
  <si>
    <t>6615_20240611_0002_R_0934.jpg</t>
  </si>
  <si>
    <t>6616_20240611_0002_R_0932.jpg</t>
  </si>
  <si>
    <t>6617_20240611_0002_R_0928.jpg</t>
  </si>
  <si>
    <t>6618_20240611_0002_R_0925.jpg</t>
  </si>
  <si>
    <t>6619_20240611_0002_R_0922.jpg</t>
  </si>
  <si>
    <t>6620_20240611_0002_R_0918.jpg</t>
  </si>
  <si>
    <t>6621_20240611_0002_R_0913.jpg</t>
  </si>
  <si>
    <t>6622_20240611_0002_R_0910.jpg</t>
  </si>
  <si>
    <t>6623_20240611_0002_R_0907.jpg</t>
  </si>
  <si>
    <t>6624_20240611_0002_R_0904.jpg</t>
  </si>
  <si>
    <t>6625_20240611_0002_R_0901.jpg</t>
  </si>
  <si>
    <t>6626_20240611_0002_R_0898.jpg</t>
  </si>
  <si>
    <t>6627_20240611_0002_R_0895.jpg</t>
  </si>
  <si>
    <t>6628_20240611_0002_R_0892.jpg</t>
  </si>
  <si>
    <t>6629_20240611_0002_R_0889.jpg</t>
  </si>
  <si>
    <t>6630_20240611_0002_R_0886.jpg</t>
  </si>
  <si>
    <t>6631_20240611_0002_R_0883.jpg</t>
  </si>
  <si>
    <t>6632_20240611_0002_R_0880.jpg</t>
  </si>
  <si>
    <t>6633_20240611_0002_R_0877.jpg</t>
  </si>
  <si>
    <t>6634_20240611_0002_R_0874.jpg</t>
  </si>
  <si>
    <t>6635_20240611_0002_R_0872.jpg</t>
  </si>
  <si>
    <t>6636_20240611_0002_R_0869.jpg</t>
  </si>
  <si>
    <t>6637_20240611_0002_R_0866.jpg</t>
  </si>
  <si>
    <t>6638_20240611_0002_R_0863.jpg</t>
  </si>
  <si>
    <t>6639_20240611_0002_R_0861.jpg</t>
  </si>
  <si>
    <t>6640_20240611_0002_R_0858.jpg</t>
  </si>
  <si>
    <t>6641_20240611_0002_R_0856.jpg</t>
  </si>
  <si>
    <t>6642_20240611_0002_R_0853.jpg</t>
  </si>
  <si>
    <t>6643_20240611_0002_R_0850.jpg</t>
  </si>
  <si>
    <t>6644_20240611_0002_R_0847.jpg</t>
  </si>
  <si>
    <t>6645_20240611_0002_R_0845.jpg</t>
  </si>
  <si>
    <t>6646_20240611_0002_R_0841.jpg</t>
  </si>
  <si>
    <t>6647_20240611_0002_R_0839.jpg</t>
  </si>
  <si>
    <t>6648_20240611_0002_R_0836.jpg</t>
  </si>
  <si>
    <t>6649_20240611_0002_R_0832.jpg</t>
  </si>
  <si>
    <t>6650_20240611_0002_R_0829.jpg</t>
  </si>
  <si>
    <t>6651_20240611_0002_R_0826.jpg</t>
  </si>
  <si>
    <t>6652_20240611_0002_R_0823.jpg</t>
  </si>
  <si>
    <t>6653_20240611_0002_R_0820.jpg</t>
  </si>
  <si>
    <t>6654_20240611_0002_R_0817.jpg</t>
  </si>
  <si>
    <t>6655_20240611_0002_R_0814.jpg</t>
  </si>
  <si>
    <t>6656_20240611_0002_R_0811.jpg</t>
  </si>
  <si>
    <t>6657_20240611_0002_R_0808.jpg</t>
  </si>
  <si>
    <t>6658_20240611_0002_R_0805.jpg</t>
  </si>
  <si>
    <t>6659_20240611_0002_R_0803.jpg</t>
  </si>
  <si>
    <t>6660_20240611_0002_R_0800.jpg</t>
  </si>
  <si>
    <t>6661_20240611_0002_R_0797.jpg</t>
  </si>
  <si>
    <t>6662_20240611_0002_R_0795.jpg</t>
  </si>
  <si>
    <t>6663_20240611_0002_R_0792.jpg</t>
  </si>
  <si>
    <t>6664_20240611_0002_R_0790.jpg</t>
  </si>
  <si>
    <t>6665_20240611_0002_R_0788.jpg</t>
  </si>
  <si>
    <t>6666_20240611_0002_R_0785.jpg</t>
  </si>
  <si>
    <t>6667_20240611_0002_R_0782.jpg</t>
  </si>
  <si>
    <t>6668_20240611_0002_R_0780.jpg</t>
  </si>
  <si>
    <t>6669_20240611_0002_R_0777.jpg</t>
  </si>
  <si>
    <t>6670_20240611_0002_R_0775.jpg</t>
  </si>
  <si>
    <t>6671_20240611_0002_R_0772.jpg</t>
  </si>
  <si>
    <t>6672_20240611_0002_R_0769.jpg</t>
  </si>
  <si>
    <t>6673_20240611_0002_R_0767.jpg</t>
  </si>
  <si>
    <t>6674_20240611_0002_R_0764.jpg</t>
  </si>
  <si>
    <t>6675_20240611_0002_R_0761.jpg</t>
  </si>
  <si>
    <t>6676_20240611_0002_R_0759.jpg</t>
  </si>
  <si>
    <t>6677_20240611_0002_R_0756.jpg</t>
  </si>
  <si>
    <t>6678_20240611_0002_R_0753.jpg</t>
  </si>
  <si>
    <t>6679_20240611_0002_R_0750.jpg</t>
  </si>
  <si>
    <t>6680_20240611_0002_R_0748.jpg</t>
  </si>
  <si>
    <t>6681_20240611_0002_R_0745.jpg</t>
  </si>
  <si>
    <t>6682_20240611_0002_R_0742.jpg</t>
  </si>
  <si>
    <t>6683_20240611_0002_R_0740.jpg</t>
  </si>
  <si>
    <t>6684_20240611_0002_R_0738.jpg</t>
  </si>
  <si>
    <t>6685_20240611_0002_R_0735.jpg</t>
  </si>
  <si>
    <t>6686_20240611_0002_R_0733.jpg</t>
  </si>
  <si>
    <t>6687_20240611_0002_R_0730.jpg</t>
  </si>
  <si>
    <t>6929_20240611_0002_R_0724.jpg</t>
  </si>
  <si>
    <t>6930_20240611_0002_R_0721.jpg</t>
  </si>
  <si>
    <t>6931_20240611_0002_R_0718.jpg</t>
  </si>
  <si>
    <t>6932_20240611_0002_R_0715.jpg</t>
  </si>
  <si>
    <t>6933_20240611_0002_R_0711.jpg</t>
  </si>
  <si>
    <t>6934_20240611_0002_R_0708.jpg</t>
  </si>
  <si>
    <t>6935_20240611_0002_R_0706.jpg</t>
  </si>
  <si>
    <t>6936_20240611_0002_R_0703.jpg</t>
  </si>
  <si>
    <t>6937_20240611_0002_R_0700.jpg</t>
  </si>
  <si>
    <t>6938_20240611_0002_R_0697.jpg</t>
  </si>
  <si>
    <t>6939_20240611_0002_R_0695.jpg</t>
  </si>
  <si>
    <t>6940_20240611_0002_R_0692.jpg</t>
  </si>
  <si>
    <t>6941_20240611_0002_R_0690.jpg</t>
  </si>
  <si>
    <t>6942_20240611_0002_R_0687.jpg</t>
  </si>
  <si>
    <t>6943_20240611_0002_R_0684.jpg</t>
  </si>
  <si>
    <t>6944_20240611_0002_R_0682.jpg</t>
  </si>
  <si>
    <t>6945_20240611_0002_R_0680.jpg</t>
  </si>
  <si>
    <t>6946_20240611_0002_R_0677.jpg</t>
  </si>
  <si>
    <t>6947_20240611_0002_R_0674.jpg</t>
  </si>
  <si>
    <t>6948_20240611_0002_R_0672.jpg</t>
  </si>
  <si>
    <t>6949_20240611_0002_R_0669.jpg</t>
  </si>
  <si>
    <t>6950_20240611_0002_R_0665.jpg</t>
  </si>
  <si>
    <t>6951_20240611_0002_R_0663.jpg</t>
  </si>
  <si>
    <t>6952_20240611_0002_R_0660.jpg</t>
  </si>
  <si>
    <t>6953_20240611_0002_R_0657.jpg</t>
  </si>
  <si>
    <t>6954_20240611_0002_R_0654.jpg</t>
  </si>
  <si>
    <t>6955_20240611_0002_R_0651.jpg</t>
  </si>
  <si>
    <t>6956_20240611_0002_R_0649.jpg</t>
  </si>
  <si>
    <t>6957_20240611_0002_R_0645.jpg</t>
  </si>
  <si>
    <t>6958_20240611_0002_R_0642.jpg</t>
  </si>
  <si>
    <t>6959_20240611_0002_R_0639.jpg</t>
  </si>
  <si>
    <t>6960_20240611_0002_R_0636.jpg</t>
  </si>
  <si>
    <t>6961_20240611_0002_R_0632.jpg</t>
  </si>
  <si>
    <t>6962_20240611_0002_R_0629.jpg</t>
  </si>
  <si>
    <t>6963_20240611_0002_R_0625.jpg</t>
  </si>
  <si>
    <t>6964_20240611_0002_R_0622.jpg</t>
  </si>
  <si>
    <t>6965_20240611_0002_R_0619.jpg</t>
  </si>
  <si>
    <t>6966_20240611_0002_R_0616.jpg</t>
  </si>
  <si>
    <t>6967_20240611_0002_R_0613.jpg</t>
  </si>
  <si>
    <t>6968_20240611_0002_R_0610.jpg</t>
  </si>
  <si>
    <t>6969_20240611_0002_R_0607.jpg</t>
  </si>
  <si>
    <t>6970_20240611_0002_R_0604.jpg</t>
  </si>
  <si>
    <t>6971_20240611_0002_R_0601.jpg</t>
  </si>
  <si>
    <t>6972_20240611_0002_R_0598.jpg</t>
  </si>
  <si>
    <t>6973_20240611_0002_R_0595.jpg</t>
  </si>
  <si>
    <t>6974_20240611_0002_R_0591.jpg</t>
  </si>
  <si>
    <t>6975_20240611_0002_R_0588.jpg</t>
  </si>
  <si>
    <t>6976_20240611_0002_R_0585.jpg</t>
  </si>
  <si>
    <t>6977_20240611_0002_R_0582.jpg</t>
  </si>
  <si>
    <t>6978_20240611_0002_R_0578.jpg</t>
  </si>
  <si>
    <t>6979_20240611_0002_R_0575.jpg</t>
  </si>
  <si>
    <t>6980_20240611_0002_R_0573.jpg</t>
  </si>
  <si>
    <t>6981_20240611_0002_R_0570.jpg</t>
  </si>
  <si>
    <t>6982_20240611_0002_R_0567.jpg</t>
  </si>
  <si>
    <t>6983_20240611_0002_R_0563.jpg</t>
  </si>
  <si>
    <t>6984_20240611_0002_R_0560.jpg</t>
  </si>
  <si>
    <t>6985_20240611_0002_R_0557.jpg</t>
  </si>
  <si>
    <t>6986_20240611_0002_R_0554.jpg</t>
  </si>
  <si>
    <t>6987_20240611_0002_R_0550.jpg</t>
  </si>
  <si>
    <t>6988_20240611_0002_R_0547.jpg</t>
  </si>
  <si>
    <t>6989_20240611_0002_R_0543.jpg</t>
  </si>
  <si>
    <t>6990_20240611_0002_R_0540.jpg</t>
  </si>
  <si>
    <t>6991_20240611_0002_R_0537.jpg</t>
  </si>
  <si>
    <t>6992_20240611_0002_R_0534.jpg</t>
  </si>
  <si>
    <t>6993_20240611_0002_R_0531.jpg</t>
  </si>
  <si>
    <t>6994_20240611_0002_R_0528.jpg</t>
  </si>
  <si>
    <t>6995_20240611_0002_R_0524.jpg</t>
  </si>
  <si>
    <t>6996_20240611_0002_R_0522.jpg</t>
  </si>
  <si>
    <t>6997_20240611_0002_R_0519.jpg</t>
  </si>
  <si>
    <t>6998_20240611_0002_R_0516.jpg</t>
  </si>
  <si>
    <t>6999_20240611_0002_R_0513.jpg</t>
  </si>
  <si>
    <t>7000_20240611_0002_R_0510.jpg</t>
  </si>
  <si>
    <t>7001_20240611_0002_R_0507.jpg</t>
  </si>
  <si>
    <t>7002_20240611_0002_R_0504.jpg</t>
  </si>
  <si>
    <t>7003_20240611_0002_R_0501.jpg</t>
  </si>
  <si>
    <t>7004_20240611_0002_R_0498.jpg</t>
  </si>
  <si>
    <t>7005_20240611_0002_R_0495.jpg</t>
  </si>
  <si>
    <t>7006_20240611_0002_R_0492.jpg</t>
  </si>
  <si>
    <t>7007_20240611_0002_R_0489.jpg</t>
  </si>
  <si>
    <t>7008_20240611_0002_R_0486.jpg</t>
  </si>
  <si>
    <t>7009_20240611_0002_R_0483.jpg</t>
  </si>
  <si>
    <t>7010_20240611_0002_R_0479.jpg</t>
  </si>
  <si>
    <t>7011_20240611_0002_R_0476.jpg</t>
  </si>
  <si>
    <t>7012_20240611_0002_R_0473.jpg</t>
  </si>
  <si>
    <t>7013_20240611_0002_R_0470.jpg</t>
  </si>
  <si>
    <t>7014_20240611_0002_R_0467.jpg</t>
  </si>
  <si>
    <t>7015_20240611_0002_R_0463.jpg</t>
  </si>
  <si>
    <t>7016_20240611_0002_R_0460.jpg</t>
  </si>
  <si>
    <t>7017_20240611_0002_R_0457.jpg</t>
  </si>
  <si>
    <t>7018_20240611_0002_R_0454.jpg</t>
  </si>
  <si>
    <t>7019_20240611_0002_R_0451.jpg</t>
  </si>
  <si>
    <t>7020_20240611_0002_R_0448.jpg</t>
  </si>
  <si>
    <t>7021_20240611_0002_R_0445.jpg</t>
  </si>
  <si>
    <t>7022_20240611_0002_R_0442.jpg</t>
  </si>
  <si>
    <t>7023_20240611_0002_R_0440.jpg</t>
  </si>
  <si>
    <t>7024_20240611_0002_R_0436.jpg</t>
  </si>
  <si>
    <t>7025_20240611_0002_R_0433.jpg</t>
  </si>
  <si>
    <t>7026_20240611_0002_R_0430.jpg</t>
  </si>
  <si>
    <t>7027_20240611_0002_R_0426.jpg</t>
  </si>
  <si>
    <t>7028_20240611_0002_R_0423.jpg</t>
  </si>
  <si>
    <t>7029_20240611_0002_R_0420.jpg</t>
  </si>
  <si>
    <t>7030_20240611_0002_R_0417.jpg</t>
  </si>
  <si>
    <t>7031_20240611_0002_R_0413.jpg</t>
  </si>
  <si>
    <t>7032_20240611_0002_R_0411.jpg</t>
  </si>
  <si>
    <t>7033_20240611_0002_R_0408.jpg</t>
  </si>
  <si>
    <t>7034_20240611_0002_R_0406.jpg</t>
  </si>
  <si>
    <t>7035_20240611_0002_R_0403.jpg</t>
  </si>
  <si>
    <t>7036_20240611_0002_R_0400.jpg</t>
  </si>
  <si>
    <t>7037_20240611_0002_R_0398.jpg</t>
  </si>
  <si>
    <t>7038_20240611_0002_R_0394.jpg</t>
  </si>
  <si>
    <t>7039_20240611_0002_R_0391.jpg</t>
  </si>
  <si>
    <t>7040_20240611_0002_R_0387.jpg</t>
  </si>
  <si>
    <t>7041_20240611_0002_R_0385.jpg</t>
  </si>
  <si>
    <t>7042_20240611_0002_R_0381.jpg</t>
  </si>
  <si>
    <t>7043_20240611_0002_R_0377.jpg</t>
  </si>
  <si>
    <t>7044_20240611_0002_R_0373.jpg</t>
  </si>
  <si>
    <t>7114_20240611_0002_R_0367.jpg</t>
  </si>
  <si>
    <t>7115_20240611_0002_R_0362.jpg</t>
  </si>
  <si>
    <t>7116_20240611_0002_R_0359.jpg</t>
  </si>
  <si>
    <t>7117_20240611_0002_R_0356.jpg</t>
  </si>
  <si>
    <t>7118_20240611_0002_R_0352.jpg</t>
  </si>
  <si>
    <t>7119_20240611_0002_R_0349.jpg</t>
  </si>
  <si>
    <t>7120_20240611_0002_R_0346.jpg</t>
  </si>
  <si>
    <t>7121_20240611_0002_R_0343.jpg</t>
  </si>
  <si>
    <t>7122_20240611_0002_R_0340.jpg</t>
  </si>
  <si>
    <t>7123_20240611_0002_R_0337.jpg</t>
  </si>
  <si>
    <t>7124_20240611_0002_R_0334.jpg</t>
  </si>
  <si>
    <t>7125_20240611_0002_R_0331.jpg</t>
  </si>
  <si>
    <t>7126_20240611_0002_R_0328.jpg</t>
  </si>
  <si>
    <t>7127_20240611_0002_R_0325.jpg</t>
  </si>
  <si>
    <t>7128_20240611_0002_R_0322.jpg</t>
  </si>
  <si>
    <t>7129_20240611_0002_R_0319.jpg</t>
  </si>
  <si>
    <t>7130_20240611_0002_R_0315.jpg</t>
  </si>
  <si>
    <t>7131_20240611_0002_R_0312.jpg</t>
  </si>
  <si>
    <t>7132_20240611_0002_R_0309.jpg</t>
  </si>
  <si>
    <t>7133_20240611_0002_R_0306.jpg</t>
  </si>
  <si>
    <t>7134_20240611_0002_R_0303.jpg</t>
  </si>
  <si>
    <t>7135_20240611_0002_R_0300.jpg</t>
  </si>
  <si>
    <t>7136_20240611_0002_R_0297.jpg</t>
  </si>
  <si>
    <t>7137_20240611_0002_R_0294.jpg</t>
  </si>
  <si>
    <t>7138_20240611_0002_R_0291.jpg</t>
  </si>
  <si>
    <t>7139_20240611_0002_R_0289.jpg</t>
  </si>
  <si>
    <t>7140_20240611_0002_R_0286.jpg</t>
  </si>
  <si>
    <t>7141_20240611_0002_R_0283.jpg</t>
  </si>
  <si>
    <t>7142_20240611_0002_R_0280.jpg</t>
  </si>
  <si>
    <t>7143_20240611_0002_R_0278.jpg</t>
  </si>
  <si>
    <t>7144_20240611_0002_R_0276.jpg</t>
  </si>
  <si>
    <t>7145_20240611_0002_R_0273.jpg</t>
  </si>
  <si>
    <t>7146_20240611_0002_R_0270.jpg</t>
  </si>
  <si>
    <t>7147_20240611_0002_R_0267.jpg</t>
  </si>
  <si>
    <t>7148_20240611_0002_R_0264.jpg</t>
  </si>
  <si>
    <t>7149_20240611_0002_R_0260.jpg</t>
  </si>
  <si>
    <t>7150_20240611_0002_R_0257.jpg</t>
  </si>
  <si>
    <t>7151_20240611_0002_R_0254.jpg</t>
  </si>
  <si>
    <t>7152_20240611_0002_R_0250.jpg</t>
  </si>
  <si>
    <t>7153_20240611_0002_R_0247.jpg</t>
  </si>
  <si>
    <t>7154_20240611_0002_R_0244.jpg</t>
  </si>
  <si>
    <t>7155_20240611_0002_R_0241.jpg</t>
  </si>
  <si>
    <t>7156_20240611_0002_R_0237.jpg</t>
  </si>
  <si>
    <t>7157_20240611_0002_R_0233.jpg</t>
  </si>
  <si>
    <t>7158_20240611_0002_R_0230.jpg</t>
  </si>
  <si>
    <t>7159_20240611_0002_R_0226.jpg</t>
  </si>
  <si>
    <t>7160_20240611_0002_R_0222.jpg</t>
  </si>
  <si>
    <t>7161_20240611_0002_R_0219.jpg</t>
  </si>
  <si>
    <t>7162_20240611_0002_R_0216.jpg</t>
  </si>
  <si>
    <t>7163_20240611_0002_R_0213.jpg</t>
  </si>
  <si>
    <t>7164_20240611_0002_R_0210.jpg</t>
  </si>
  <si>
    <t>7165_20240611_0002_R_0206.jpg</t>
  </si>
  <si>
    <t>7166_20240611_0002_R_0201.jpg</t>
  </si>
  <si>
    <t>7167_20240611_0002_R_0199.jpg</t>
  </si>
  <si>
    <t>7168_20240611_0002_R_0195.jpg</t>
  </si>
  <si>
    <t>7169_20240611_0002_R_0191.jpg</t>
  </si>
  <si>
    <t>7170_20240611_0002_R_0187.jpg</t>
  </si>
  <si>
    <t>7171_20240611_0002_R_0183.jpg</t>
  </si>
  <si>
    <t>7172_20240611_0002_R_0178.jpg</t>
  </si>
  <si>
    <t>7173_20240611_0002_R_0174.jpg</t>
  </si>
  <si>
    <t>7174_20240611_0002_R_0170.jpg</t>
  </si>
  <si>
    <t>7175_20240611_0002_R_0166.jpg</t>
  </si>
  <si>
    <t>7176_20240611_0002_R_0162.jpg</t>
  </si>
  <si>
    <t>7177_20240611_0002_R_0158.jpg</t>
  </si>
  <si>
    <t>7178_20240611_0002_R_0155.jpg</t>
  </si>
  <si>
    <t>7179_20240611_0002_R_0151.jpg</t>
  </si>
  <si>
    <t>7180_20240611_0002_R_0148.jpg</t>
  </si>
  <si>
    <t>7181_20240611_0002_R_0144.jpg</t>
  </si>
  <si>
    <t>7182_20240611_0002_R_0140.jpg</t>
  </si>
  <si>
    <t>7183_20240611_0002_R_0136.jpg</t>
  </si>
  <si>
    <t>7184_20240611_0002_R_0132.jpg</t>
  </si>
  <si>
    <t>7185_20240611_0002_R_0128.jpg</t>
  </si>
  <si>
    <t>7186_20240611_0002_R_0125.jpg</t>
  </si>
  <si>
    <t>7187_20240611_0002_R_0122.jpg</t>
  </si>
  <si>
    <t>7188_20240611_0002_R_0119.jpg</t>
  </si>
  <si>
    <t>7189_20240611_0002_R_0116.jpg</t>
  </si>
  <si>
    <t>7190_20240611_0002_R_0113.jpg</t>
  </si>
  <si>
    <t>7191_20240611_0002_R_0110.jpg</t>
  </si>
  <si>
    <t>7192_20240611_0002_R_0108.jpg</t>
  </si>
  <si>
    <t>7193_20240611_0002_R_0105.jpg</t>
  </si>
  <si>
    <t>7194_20240611_0002_R_0102.jpg</t>
  </si>
  <si>
    <t>7195_20240611_0002_R_0099.jpg</t>
  </si>
  <si>
    <t>7196_20240611_0002_R_0093.jpg</t>
  </si>
  <si>
    <t>7197_20240611_0002_R_0085.jpg</t>
  </si>
  <si>
    <t>7198_20240611_0002_R_0081.jpg</t>
  </si>
  <si>
    <t>7199_20240611_0002_R_0079.jpg</t>
  </si>
  <si>
    <t>7200_20240611_0002_R_0077.jpg</t>
  </si>
  <si>
    <t>7203_20240611_0002_R_0076.jpg</t>
  </si>
  <si>
    <t>7206_20240611_0002_R_0038.jpg</t>
  </si>
  <si>
    <t>7207_20240611_0002_R_0036.jpg</t>
  </si>
  <si>
    <t>7208_20240611_0002_R_0041.jpg</t>
  </si>
  <si>
    <t>7209_20240611_0002_R_0075.jpg</t>
  </si>
  <si>
    <t>7210_20240611_0001_R_1009.jpg</t>
  </si>
  <si>
    <t>7211_20240611_0001_R_1005.jpg</t>
  </si>
  <si>
    <t>7212_20240611_0001_R_1002.jpg</t>
  </si>
  <si>
    <t>7213_20240611_0001_R_0999.jpg</t>
  </si>
  <si>
    <t>7214_20240611_0001_R_0997.jpg</t>
  </si>
  <si>
    <t>7215_20240611_0001_R_0995.jpg</t>
  </si>
  <si>
    <t>7216_20240611_0001_R_0994.jpg</t>
  </si>
  <si>
    <t>7217_20240611_0001_R_0993.jpg</t>
  </si>
  <si>
    <t>7218_20240611_0001_R_0992.jpg</t>
  </si>
  <si>
    <t>7219_20240611_0001_R_0991.jpg</t>
  </si>
  <si>
    <t>7221_20240611_0001_R_0990.jpg</t>
  </si>
  <si>
    <t>7223_20240611_0001_R_0989.jpg</t>
  </si>
  <si>
    <t>7225_20240611_0001_R_0988.jpg</t>
  </si>
  <si>
    <t>7227_20240611_0001_R_0987.jpg</t>
  </si>
  <si>
    <t>7229_20240611_0001_R_0986.jpg</t>
  </si>
  <si>
    <t>7230_20240611_0002_R_0009.jpg</t>
  </si>
  <si>
    <t>7231_20240611_0002_R_0034.jpg</t>
  </si>
  <si>
    <t>7233_20240611_0002_R_0010.jpg</t>
  </si>
  <si>
    <t>7234_20240611_0001_R_0984.jpg</t>
  </si>
  <si>
    <t>7235_20240611_0001_R_0983.jpg</t>
  </si>
  <si>
    <t>7238_20240611_0001_R_0982.jpg</t>
  </si>
  <si>
    <t>7241_20240611_0001_R_0981.jpg</t>
  </si>
  <si>
    <t>7243_20240611_0001_R_0979.jpg</t>
  </si>
  <si>
    <t>7257_20240611_0001_R_0978.jpg</t>
  </si>
  <si>
    <t>8568_20240611_0002_R_0053.jpg</t>
  </si>
  <si>
    <t>8571_20240611_0002_R_0054.jpg</t>
  </si>
  <si>
    <t>8574_20240611_0001_R_0973.jpg</t>
  </si>
  <si>
    <t>8575_20240611_0002_R_0074.jpg</t>
  </si>
  <si>
    <t>8578_20240611_0002_R_0056.jpg</t>
  </si>
  <si>
    <t>8581_20240611_0002_R_0057.jpg</t>
  </si>
  <si>
    <t>8582_20240611_0002_R_0073.jpg</t>
  </si>
  <si>
    <t>8584_20240611_0002_R_0058.jpg</t>
  </si>
  <si>
    <t>8585_20240611_0002_R_0072.jpg</t>
  </si>
  <si>
    <t>8586_20240611_0002_R_0016.jpg</t>
  </si>
  <si>
    <t>8588_20240611_0002_R_0071.jpg</t>
  </si>
  <si>
    <t>8589_20240611_0002_R_0061.jpg</t>
  </si>
  <si>
    <t>8590_20240611_0002_R_0062.jpg</t>
  </si>
  <si>
    <t>8591_20240611_0002_R_0070.jpg</t>
  </si>
  <si>
    <t>8592_20240611_0002_R_0068.jpg</t>
  </si>
  <si>
    <t>8595_20240611_0001_R_0972.jpg</t>
  </si>
  <si>
    <t>8596_20240611_0002_R_0017.jpg</t>
  </si>
  <si>
    <t>8597_20240611_0001_R_0970.jpg</t>
  </si>
  <si>
    <t>8598_20240611_0001_R_0967.jpg</t>
  </si>
  <si>
    <t>8599_20240611_0001_R_0963.jpg</t>
  </si>
  <si>
    <t>8600_20240611_0002_R_0021.jpg</t>
  </si>
  <si>
    <t>8601_20240611_0001_R_0950.jpg</t>
  </si>
  <si>
    <t>8602_20240611_0001_R_0944.jpg</t>
  </si>
  <si>
    <t>8603_20240611_0001_R_0938.jpg</t>
  </si>
  <si>
    <t>8604_20240611_0001_R_0933.jpg</t>
  </si>
  <si>
    <t>8605_20240611_0002_R_0028.jpg</t>
  </si>
  <si>
    <t>8606_20240611_0001_R_0922.jpg</t>
  </si>
  <si>
    <t>8607_20240611_0001_R_0917.jpg</t>
  </si>
  <si>
    <t>8608_20240611_0001_R_0913.jpg</t>
  </si>
  <si>
    <t>8609_20240611_0001_R_0909.jpg</t>
  </si>
  <si>
    <t>8610_20240611_0001_R_0905.jpg</t>
  </si>
  <si>
    <t>8611_20240611_0001_R_0900.jpg</t>
  </si>
  <si>
    <t>8612_20240611_0001_R_0896.jpg</t>
  </si>
  <si>
    <t>8613_20240611_0001_R_0892.jpg</t>
  </si>
  <si>
    <t>8614_20240611_0001_R_0886.jpg</t>
  </si>
  <si>
    <t>8615_20240611_0001_R_0880.jpg</t>
  </si>
  <si>
    <t>8616_20240611_0001_R_0876.jpg</t>
  </si>
  <si>
    <t>8617_20240611_0001_R_0871.jpg</t>
  </si>
  <si>
    <t>8618_20240611_0001_R_0867.jpg</t>
  </si>
  <si>
    <t>8619_20240611_0001_R_0863.jpg</t>
  </si>
  <si>
    <t>8620_20240611_0001_R_0857.jpg</t>
  </si>
  <si>
    <t>8621_20240611_0001_R_0854.jpg</t>
  </si>
  <si>
    <t>8622_20240611_0001_R_0851.jpg</t>
  </si>
  <si>
    <t>8623_20240611_0001_R_0847.jpg</t>
  </si>
  <si>
    <t>8624_20240611_0001_R_0841.jpg</t>
  </si>
  <si>
    <t>8625_20240611_0001_R_0837.jpg</t>
  </si>
  <si>
    <t>8626_20240611_0001_R_0834.jpg</t>
  </si>
  <si>
    <t>8627_20240611_0001_R_0828.jpg</t>
  </si>
  <si>
    <t>8628_20240611_0001_R_0816.jpg</t>
  </si>
  <si>
    <t>8629_20240611_0001_R_0814.jpg</t>
  </si>
  <si>
    <t>8630_20240611_0001_R_0808.jpg</t>
  </si>
  <si>
    <t>8631_20240611_0001_R_0803.jpg</t>
  </si>
  <si>
    <t>8632_20240611_0001_R_0800.jpg</t>
  </si>
  <si>
    <t>8633_20240611_0001_R_0797.jpg</t>
  </si>
  <si>
    <t>8634_20240611_0001_R_0794.jpg</t>
  </si>
  <si>
    <t>8635_20240611_0001_R_0791.jpg</t>
  </si>
  <si>
    <t>8636_20240611_0001_R_0789.jpg</t>
  </si>
  <si>
    <t>8637_20240611_0001_R_0786.jpg</t>
  </si>
  <si>
    <t>8638_20240611_0001_R_0783.jpg</t>
  </si>
  <si>
    <t>8639_20240611_0001_R_0780.jpg</t>
  </si>
  <si>
    <t>8640_20240611_0001_R_0777.jpg</t>
  </si>
  <si>
    <t>8641_20240611_0001_R_0773.jpg</t>
  </si>
  <si>
    <t>8642_20240611_0001_R_0770.jpg</t>
  </si>
  <si>
    <t>8643_20240611_0001_R_0766.jpg</t>
  </si>
  <si>
    <t>8644_20240611_0001_R_0762.jpg</t>
  </si>
  <si>
    <t>8645_20240611_0001_R_0757.jpg</t>
  </si>
  <si>
    <t>8646_20240611_0001_R_0752.jpg</t>
  </si>
  <si>
    <t>8647_20240611_0001_R_0747.jpg</t>
  </si>
  <si>
    <t>8648_20240611_0001_R_0743.jpg</t>
  </si>
  <si>
    <t>8649_20240611_0001_R_0739.jpg</t>
  </si>
  <si>
    <t>8650_20240611_0001_R_0735.jpg</t>
  </si>
  <si>
    <t>8651_20240611_0001_R_0731.jpg</t>
  </si>
  <si>
    <t>8652_20240611_0001_R_0728.jpg</t>
  </si>
  <si>
    <t>8653_20240611_0001_R_0725.jpg</t>
  </si>
  <si>
    <t>8654_20240611_0001_R_0722.jpg</t>
  </si>
  <si>
    <t>8655_20240611_0001_R_0717.jpg</t>
  </si>
  <si>
    <t>8656_20240611_0001_R_0714.jpg</t>
  </si>
  <si>
    <t>8657_20240611_0001_R_0710.jpg</t>
  </si>
  <si>
    <t>8658_20240611_0001_R_0707.jpg</t>
  </si>
  <si>
    <t>8659_20240611_0001_R_0704.jpg</t>
  </si>
  <si>
    <t>8660_20240611_0001_R_0700.jpg</t>
  </si>
  <si>
    <t>8661_20240611_0001_R_0697.jpg</t>
  </si>
  <si>
    <t>8662_20240611_0001_R_0694.jpg</t>
  </si>
  <si>
    <t>8663_20240611_0001_R_0691.jpg</t>
  </si>
  <si>
    <t>8664_20240611_0001_R_0687.jpg</t>
  </si>
  <si>
    <t>8665_20240611_0001_R_0677.jpg</t>
  </si>
  <si>
    <t>8666_20240611_0001_R_0671.jpg</t>
  </si>
  <si>
    <t>8667_20240611_0001_R_0667.jpg</t>
  </si>
  <si>
    <t>8668_20240611_0001_R_0663.jpg</t>
  </si>
  <si>
    <t>8669_20240611_0001_R_0661.jpg</t>
  </si>
  <si>
    <t>8670_20240611_0001_R_0659.jpg</t>
  </si>
  <si>
    <t>8671_20240611_0001_R_0658.jpg</t>
  </si>
  <si>
    <t>8672_20240611_0001_R_0657.jpg</t>
  </si>
  <si>
    <t>8673_20240611_0001_R_0656.jpg</t>
  </si>
  <si>
    <t>8675_20240611_0001_R_0655.jpg</t>
  </si>
  <si>
    <t>8688_20240611_0001_R_0654.jpg</t>
  </si>
  <si>
    <t>8693_20240611_0001_R_0653.jpg</t>
  </si>
  <si>
    <t>8695_20240611_0001_R_0652.jpg</t>
  </si>
  <si>
    <t>8699_20240611_0001_R_0525.jpg</t>
  </si>
  <si>
    <t>8700_20240611_0001_R_0523.jpg</t>
  </si>
  <si>
    <t>8701_20240611_0001_R_0527.jpg</t>
  </si>
  <si>
    <t>8702_20240611_0001_R_0601.jpg</t>
  </si>
  <si>
    <t>8703_20240611_0001_R_0530.jpg</t>
  </si>
  <si>
    <t>8704_20240611_0001_R_0599.jpg</t>
  </si>
  <si>
    <t>8705_20240611_0001_R_0610.jpg</t>
  </si>
  <si>
    <t>8707_20240611_0001_R_0649.jpg</t>
  </si>
  <si>
    <t>8708_20240611_0001_R_0519.jpg</t>
  </si>
  <si>
    <t>8709_20240611_0001_R_0533.jpg</t>
  </si>
  <si>
    <t>8710_20240611_0001_R_0596.jpg</t>
  </si>
  <si>
    <t>8711_20240611_0001_R_0612.jpg</t>
  </si>
  <si>
    <t>8713_20240611_0001_R_0595.jpg</t>
  </si>
  <si>
    <t>9970_20240611_0001_R_0591.jpg</t>
  </si>
  <si>
    <t>9972_20240611_0001_R_0644.jpg</t>
  </si>
  <si>
    <t>9973_20240611_0001_R_0643.jpg</t>
  </si>
  <si>
    <t>9974_20240611_0001_R_0590.jpg</t>
  </si>
  <si>
    <t>9975_20240611_0001_R_0642.jpg</t>
  </si>
  <si>
    <t>9977_20240611_0001_R_0617.jpg</t>
  </si>
  <si>
    <t>9978_20240611_0001_R_0640.jpg</t>
  </si>
  <si>
    <t>9979_20240611_0001_R_0515.jpg</t>
  </si>
  <si>
    <t>9981_20240611_0001_R_0637.jpg</t>
  </si>
  <si>
    <t>9982_20240611_0001_R_0619.jpg</t>
  </si>
  <si>
    <t>9983_20240611_0001_R_0588.jpg</t>
  </si>
  <si>
    <t>9984_20240611_0001_R_0620.jpg</t>
  </si>
  <si>
    <t>9985_20240611_0001_R_0633.jpg</t>
  </si>
  <si>
    <t>9986_20240611_0001_R_0632.jpg</t>
  </si>
  <si>
    <t>9987_20240611_0001_R_0630.jpg</t>
  </si>
  <si>
    <t>9988_20240611_0001_R_0497.jpg</t>
  </si>
  <si>
    <t>9991_20240611_0001_R_0537.jpg</t>
  </si>
  <si>
    <t>9994_20240611_0001_R_0586.jpg</t>
  </si>
  <si>
    <t>9995_20240611_0001_R_0498.jpg</t>
  </si>
  <si>
    <t>9996_20240611_0001_R_0514.jpg</t>
  </si>
  <si>
    <t>9997_20240611_0001_R_0538.jpg</t>
  </si>
  <si>
    <t>9998_20240611_0001_R_0513.jpg</t>
  </si>
  <si>
    <t>10000_20240611_0001_R_0584.jpg</t>
  </si>
  <si>
    <t>10004_20240611_0001_R_0572.jpg</t>
  </si>
  <si>
    <t>10005_20240611_0001_R_0573.jpg</t>
  </si>
  <si>
    <t>10006_20240611_0001_R_0583.jpg</t>
  </si>
  <si>
    <t>10007_20240611_0001_R_0575.jpg</t>
  </si>
  <si>
    <t>10008_20240611_0001_R_0512.jpg</t>
  </si>
  <si>
    <t>10009_20240611_0001_R_0564.jpg</t>
  </si>
  <si>
    <t>10010_20240611_0001_R_0562.jpg</t>
  </si>
  <si>
    <t>10011_20240611_0001_R_0503.jpg</t>
  </si>
  <si>
    <t>10012_20240611_0001_R_0486.jpg</t>
  </si>
  <si>
    <t>10013_20240611_0001_R_0557.jpg</t>
  </si>
  <si>
    <t>10014_20240611_0001_R_0554.jpg</t>
  </si>
  <si>
    <t>10015_20240611_0001_R_0481.jpg</t>
  </si>
  <si>
    <t>10016_20240611_0001_R_0480.jpg</t>
  </si>
  <si>
    <t>10017_20240611_0001_R_0479.jpg</t>
  </si>
  <si>
    <t>10018_20240611_0001_R_0477.jpg</t>
  </si>
  <si>
    <t>10019_20240611_0001_R_0474.jpg</t>
  </si>
  <si>
    <t>10020_20240611_0001_R_0472.jpg</t>
  </si>
  <si>
    <t>10021_20240611_0001_R_0470.jpg</t>
  </si>
  <si>
    <t>10022_20240611_0001_R_0367.jpg</t>
  </si>
  <si>
    <t>10023_20240611_0001_R_0467.jpg</t>
  </si>
  <si>
    <t>10024_20240611_0001_R_0375.jpg</t>
  </si>
  <si>
    <t>10025_20240611_0001_R_0465.jpg</t>
  </si>
  <si>
    <t>10026_20240611_0001_R_0378.jpg</t>
  </si>
  <si>
    <t>10027_20240611_0001_R_0463.jpg</t>
  </si>
  <si>
    <t>10028_20240611_0001_R_0461.jpg</t>
  </si>
  <si>
    <t>10029_20240611_0001_R_0459.jpg</t>
  </si>
  <si>
    <t>10030_20240611_0001_R_0355.jpg</t>
  </si>
  <si>
    <t>10031_20240611_0001_R_0350.jpg</t>
  </si>
  <si>
    <t>10032_20240611_0001_R_0383.jpg</t>
  </si>
  <si>
    <t>10033_20240611_0001_R_0455.jpg</t>
  </si>
  <si>
    <t>10034_20240611_0001_R_0453.jpg</t>
  </si>
  <si>
    <t>10035_20240611_0001_R_0451.jpg</t>
  </si>
  <si>
    <t>10036_20240611_0001_R_0386.jpg</t>
  </si>
  <si>
    <t>10037_20240611_0001_R_0446.jpg</t>
  </si>
  <si>
    <t>10038_20240611_0001_R_0342.jpg</t>
  </si>
  <si>
    <t>10039_20240611_0001_R_0329.jpg</t>
  </si>
  <si>
    <t>10040_20240611_0001_R_0390.jpg</t>
  </si>
  <si>
    <t>10041_20240611_0001_R_0444.jpg</t>
  </si>
  <si>
    <t>10042_20240611_0001_R_0393.jpg</t>
  </si>
  <si>
    <t>10043_20240611_0001_R_0441.jpg</t>
  </si>
  <si>
    <t>10044_20240611_0001_R_0439.jpg</t>
  </si>
  <si>
    <t>10045_20240611_0001_R_0323.jpg</t>
  </si>
  <si>
    <t>10046_20240611_0001_R_0318.jpg</t>
  </si>
  <si>
    <t>10047_20240611_0001_R_0314.jpg</t>
  </si>
  <si>
    <t>10048_20240611_0001_R_0398.jpg</t>
  </si>
  <si>
    <t>10049_20240611_0001_R_0308.jpg</t>
  </si>
  <si>
    <t>10050_20240611_0001_R_0305.jpg</t>
  </si>
  <si>
    <t>10051_20240611_0001_R_0302.jpg</t>
  </si>
  <si>
    <t>10052_20240611_0001_R_0300.jpg</t>
  </si>
  <si>
    <t>10053_20240611_0001_R_0298.jpg</t>
  </si>
  <si>
    <t>10054_20240611_0001_R_0296.jpg</t>
  </si>
  <si>
    <t>10055_20240611_0001_R_0294.jpg</t>
  </si>
  <si>
    <t>10056_20240611_0001_R_0403.jpg</t>
  </si>
  <si>
    <t>10057_20240611_0001_R_0291.jpg</t>
  </si>
  <si>
    <t>10058_20240611_0001_R_0289.jpg</t>
  </si>
  <si>
    <t>10059_20240611_0001_R_0288.jpg</t>
  </si>
  <si>
    <t>10060_20240611_0001_R_0286.jpg</t>
  </si>
  <si>
    <t>10061_20240611_0001_R_0283.jpg</t>
  </si>
  <si>
    <t>10062_20240611_0001_R_0281.jpg</t>
  </si>
  <si>
    <t>10063_20240611_0001_R_0277.jpg</t>
  </si>
  <si>
    <t>10064_20240611_0001_R_0275.jpg</t>
  </si>
  <si>
    <t>10065_20240611_0001_R_0435.jpg</t>
  </si>
  <si>
    <t>10066_20240611_0001_R_0409.jpg</t>
  </si>
  <si>
    <t>10067_20240611_0001_R_0270.jpg</t>
  </si>
  <si>
    <t>10068_20240611_0001_R_0417.jpg</t>
  </si>
  <si>
    <t>10069_20240611_0001_R_0425.jpg</t>
  </si>
  <si>
    <t>10070_20240611_0001_R_0264.jpg</t>
  </si>
  <si>
    <t>10071_20240611_0001_R_0262.jpg</t>
  </si>
  <si>
    <t>10072_20240611_0001_R_0260.jpg</t>
  </si>
  <si>
    <t>10073_20240611_0001_R_0257.jpg</t>
  </si>
  <si>
    <t>10074_20240611_0001_R_0254.jpg</t>
  </si>
  <si>
    <t>10075_20240611_0001_R_0250.jpg</t>
  </si>
  <si>
    <t>10076_20240611_0001_R_0246.jpg</t>
  </si>
  <si>
    <t>10077_20240611_0001_R_0242.jpg</t>
  </si>
  <si>
    <t>10078_20240611_0001_R_0238.jpg</t>
  </si>
  <si>
    <t>10079_20240611_0001_R_0235.jpg</t>
  </si>
  <si>
    <t>10080_20240611_0001_R_0232.jpg</t>
  </si>
  <si>
    <t>10081_20240611_0001_R_0227.jpg</t>
  </si>
  <si>
    <t>10082_20240611_0001_R_0224.jpg</t>
  </si>
  <si>
    <t>10083_20240611_0001_R_0220.jpg</t>
  </si>
  <si>
    <t>10084_20240611_0001_R_0217.jpg</t>
  </si>
  <si>
    <t>10085_20240611_0001_R_0213.jpg</t>
  </si>
  <si>
    <t>10086_20240611_0001_R_0209.jpg</t>
  </si>
  <si>
    <t>10087_20240611_0001_R_0204.jpg</t>
  </si>
  <si>
    <t>10088_20240611_0001_R_0198.jpg</t>
  </si>
  <si>
    <t>10089_20240611_0001_R_0192.jpg</t>
  </si>
  <si>
    <t>10090_20240611_0001_R_0184.jpg</t>
  </si>
  <si>
    <t>10091_20240611_0001_R_0179.jpg</t>
  </si>
  <si>
    <t>10092_20240611_0001_R_0175.jpg</t>
  </si>
  <si>
    <t>10093_20240611_0001_R_0172.jpg</t>
  </si>
  <si>
    <t>10094_20240611_0001_R_0167.jpg</t>
  </si>
  <si>
    <t>10095_20240611_0001_R_0162.jpg</t>
  </si>
  <si>
    <t>10096_20240611_0001_R_0158.jpg</t>
  </si>
  <si>
    <t>10097_20240611_0001_R_0154.jpg</t>
  </si>
  <si>
    <t>10098_20240611_0001_R_0150.jpg</t>
  </si>
  <si>
    <t>10099_20240611_0001_R_0147.jpg</t>
  </si>
  <si>
    <t>10100_20240611_0001_R_0142.jpg</t>
  </si>
  <si>
    <t>10101_20240611_0001_R_0138.jpg</t>
  </si>
  <si>
    <t>10102_20240611_0001_R_0134.jpg</t>
  </si>
  <si>
    <t>10103_20240611_0001_R_0129.jpg</t>
  </si>
  <si>
    <t>10104_20240611_0001_R_0124.jpg</t>
  </si>
  <si>
    <t>10105_20240611_0001_R_0119.jpg</t>
  </si>
  <si>
    <t>10106_20240611_0001_R_0114.jpg</t>
  </si>
  <si>
    <t>10107_20240611_0001_R_0108.jpg</t>
  </si>
  <si>
    <t>10108_20240611_0001_R_0104.jpg</t>
  </si>
  <si>
    <t>10109_20240611_0001_R_0100.jpg</t>
  </si>
  <si>
    <t>10110_20240611_0001_R_0095.jpg</t>
  </si>
  <si>
    <t>10111_20240611_0001_R_0091.jpg</t>
  </si>
  <si>
    <t>10112_20240611_0001_R_0088.jpg</t>
  </si>
  <si>
    <t>10113_20240611_0001_R_0085.jpg</t>
  </si>
  <si>
    <t>10114_20240611_0001_R_0082.jpg</t>
  </si>
  <si>
    <t>10115_20240611_0001_R_0080.jpg</t>
  </si>
  <si>
    <t>10116_20240611_0001_R_0079.jpg</t>
  </si>
  <si>
    <t>10117_20240611_0001_R_0078.jpg</t>
  </si>
  <si>
    <t>10118_20240611_0001_R_0076.jpg</t>
  </si>
  <si>
    <t>10119_20240611_0001_R_0073.jpg</t>
  </si>
  <si>
    <t>10120_20240611_0001_R_0070.jpg</t>
  </si>
  <si>
    <t>10121_20240611_0001_R_0068.jpg</t>
  </si>
  <si>
    <t>10122_20240611_0001_R_0065.jpg</t>
  </si>
  <si>
    <t>10123_20240611_0001_R_0063.jpg</t>
  </si>
  <si>
    <t>10124_20240611_0001_R_0060.jpg</t>
  </si>
  <si>
    <t>10125_20240611_0001_R_0056.jpg</t>
  </si>
  <si>
    <t>10126_20240611_0001_R_0051.jpg</t>
  </si>
  <si>
    <t>10127_20240611_0001_R_0046.jpg</t>
  </si>
  <si>
    <t>10128_20240611_0001_R_0042.jpg</t>
  </si>
  <si>
    <t>10129_20240611_0001_R_0037.jpg</t>
  </si>
  <si>
    <t>10130_20240611_0001_R_0029.jpg</t>
  </si>
  <si>
    <t>10131_20240611_0001_R_0025.jpg</t>
  </si>
  <si>
    <t>10132_20240611_0001_R_0015.jpg</t>
  </si>
  <si>
    <t>10133_20240611_0001_R_0002.jpg</t>
  </si>
  <si>
    <t>CHECK</t>
  </si>
  <si>
    <t>Mangrove_Presence_24</t>
  </si>
  <si>
    <t>Hyperlink2</t>
  </si>
  <si>
    <t>Column Labels</t>
  </si>
  <si>
    <t>(blank)</t>
  </si>
  <si>
    <t>Grand Total</t>
  </si>
  <si>
    <t>Count of Mangrove_Presence_24</t>
  </si>
  <si>
    <t>(Multiple Items)</t>
  </si>
  <si>
    <t>Row Labels</t>
  </si>
  <si>
    <t>Sum of Physical_Damage</t>
  </si>
  <si>
    <t>Count of Shoreline_Modification</t>
  </si>
  <si>
    <t>Average of Density24</t>
  </si>
  <si>
    <t>Average of Maturity24</t>
  </si>
  <si>
    <t>Average of Condition_Score24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</si>
</sst>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EA6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103">
    <xf numFmtId="0" fontId="0" fillId="0" borderId="0" xfId="0"/>
    <xf numFmtId="0" fontId="20" fillId="0" borderId="0" xfId="43"/>
    <xf numFmtId="0" fontId="16" fillId="34" borderId="13" xfId="0" applyFont="1" applyFill="1" applyBorder="1"/>
    <xf numFmtId="0" fontId="16" fillId="34" borderId="10" xfId="0" applyFont="1" applyFill="1" applyBorder="1"/>
    <xf numFmtId="0" fontId="0" fillId="34" borderId="16" xfId="0" applyFill="1" applyBorder="1"/>
    <xf numFmtId="0" fontId="0" fillId="34" borderId="11" xfId="0" applyFill="1" applyBorder="1"/>
    <xf numFmtId="0" fontId="18" fillId="34" borderId="18" xfId="42" applyFill="1" applyBorder="1" applyAlignment="1">
      <alignment textRotation="90"/>
    </xf>
    <xf numFmtId="0" fontId="18" fillId="34" borderId="12" xfId="42" applyFill="1" applyBorder="1" applyAlignment="1">
      <alignment textRotation="90"/>
    </xf>
    <xf numFmtId="0" fontId="18" fillId="35" borderId="19" xfId="42" applyFill="1" applyBorder="1" applyAlignment="1">
      <alignment textRotation="90"/>
    </xf>
    <xf numFmtId="0" fontId="18" fillId="35" borderId="0" xfId="42" applyFill="1" applyAlignment="1">
      <alignment textRotation="90"/>
    </xf>
    <xf numFmtId="0" fontId="16" fillId="37" borderId="15" xfId="0" applyFont="1" applyFill="1" applyBorder="1" applyAlignment="1">
      <alignment horizontal="center"/>
    </xf>
    <xf numFmtId="0" fontId="0" fillId="38" borderId="15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16" fillId="34" borderId="15" xfId="0" applyFont="1" applyFill="1" applyBorder="1" applyAlignment="1">
      <alignment horizontal="center"/>
    </xf>
    <xf numFmtId="0" fontId="16" fillId="34" borderId="13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9" borderId="22" xfId="0" applyFill="1" applyBorder="1" applyAlignment="1">
      <alignment horizontal="center"/>
    </xf>
    <xf numFmtId="0" fontId="19" fillId="37" borderId="20" xfId="42" applyFont="1" applyFill="1" applyBorder="1" applyAlignment="1">
      <alignment horizontal="center" textRotation="90"/>
    </xf>
    <xf numFmtId="0" fontId="19" fillId="38" borderId="20" xfId="42" applyFont="1" applyFill="1" applyBorder="1" applyAlignment="1">
      <alignment horizontal="center" textRotation="90"/>
    </xf>
    <xf numFmtId="0" fontId="19" fillId="33" borderId="20" xfId="42" applyFont="1" applyFill="1" applyBorder="1" applyAlignment="1">
      <alignment horizontal="center" textRotation="90"/>
    </xf>
    <xf numFmtId="0" fontId="19" fillId="34" borderId="20" xfId="42" applyFont="1" applyFill="1" applyBorder="1" applyAlignment="1">
      <alignment horizontal="center" textRotation="90"/>
    </xf>
    <xf numFmtId="0" fontId="19" fillId="34" borderId="18" xfId="42" applyFont="1" applyFill="1" applyBorder="1" applyAlignment="1">
      <alignment horizontal="center" textRotation="90"/>
    </xf>
    <xf numFmtId="0" fontId="19" fillId="39" borderId="23" xfId="42" applyFont="1" applyFill="1" applyBorder="1" applyAlignment="1">
      <alignment horizontal="center" textRotation="90"/>
    </xf>
    <xf numFmtId="0" fontId="0" fillId="37" borderId="16" xfId="0" applyFill="1" applyBorder="1" applyAlignment="1">
      <alignment horizontal="center"/>
    </xf>
    <xf numFmtId="0" fontId="0" fillId="38" borderId="1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0" xfId="0" applyFill="1" applyAlignment="1">
      <alignment horizontal="center"/>
    </xf>
    <xf numFmtId="0" fontId="16" fillId="40" borderId="24" xfId="0" applyFont="1" applyFill="1" applyBorder="1" applyAlignment="1">
      <alignment horizontal="center"/>
    </xf>
    <xf numFmtId="0" fontId="16" fillId="40" borderId="25" xfId="0" applyFont="1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40" borderId="27" xfId="0" applyFill="1" applyBorder="1" applyAlignment="1">
      <alignment horizontal="center"/>
    </xf>
    <xf numFmtId="0" fontId="19" fillId="40" borderId="28" xfId="42" applyFont="1" applyFill="1" applyBorder="1" applyAlignment="1">
      <alignment horizontal="center" textRotation="90"/>
    </xf>
    <xf numFmtId="0" fontId="19" fillId="40" borderId="29" xfId="42" applyFont="1" applyFill="1" applyBorder="1" applyAlignment="1">
      <alignment horizontal="center" textRotation="90"/>
    </xf>
    <xf numFmtId="0" fontId="16" fillId="39" borderId="24" xfId="0" applyFont="1" applyFill="1" applyBorder="1" applyAlignment="1">
      <alignment horizontal="center"/>
    </xf>
    <xf numFmtId="0" fontId="0" fillId="39" borderId="26" xfId="0" applyFill="1" applyBorder="1" applyAlignment="1">
      <alignment horizontal="center"/>
    </xf>
    <xf numFmtId="0" fontId="19" fillId="39" borderId="28" xfId="42" applyFont="1" applyFill="1" applyBorder="1" applyAlignment="1">
      <alignment horizontal="center" textRotation="90"/>
    </xf>
    <xf numFmtId="0" fontId="16" fillId="36" borderId="14" xfId="0" applyFont="1" applyFill="1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19" fillId="36" borderId="19" xfId="42" applyFont="1" applyFill="1" applyBorder="1" applyAlignment="1">
      <alignment horizontal="center" textRotation="90"/>
    </xf>
    <xf numFmtId="0" fontId="0" fillId="36" borderId="22" xfId="0" applyFill="1" applyBorder="1" applyAlignment="1">
      <alignment horizontal="center"/>
    </xf>
    <xf numFmtId="0" fontId="16" fillId="41" borderId="13" xfId="0" applyFont="1" applyFill="1" applyBorder="1" applyAlignment="1">
      <alignment horizontal="center"/>
    </xf>
    <xf numFmtId="0" fontId="0" fillId="41" borderId="16" xfId="0" applyFill="1" applyBorder="1" applyAlignment="1">
      <alignment horizontal="center"/>
    </xf>
    <xf numFmtId="0" fontId="19" fillId="41" borderId="18" xfId="42" applyFont="1" applyFill="1" applyBorder="1" applyAlignment="1">
      <alignment horizontal="center" textRotation="90"/>
    </xf>
    <xf numFmtId="0" fontId="0" fillId="41" borderId="0" xfId="0" applyFill="1" applyAlignment="1">
      <alignment horizontal="center"/>
    </xf>
    <xf numFmtId="0" fontId="0" fillId="34" borderId="10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19" fillId="34" borderId="12" xfId="42" applyFont="1" applyFill="1" applyBorder="1" applyAlignment="1">
      <alignment horizontal="center" textRotation="90"/>
    </xf>
    <xf numFmtId="0" fontId="16" fillId="34" borderId="21" xfId="0" applyFont="1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19" fillId="34" borderId="23" xfId="42" applyFont="1" applyFill="1" applyBorder="1" applyAlignment="1">
      <alignment horizontal="center" textRotation="90"/>
    </xf>
    <xf numFmtId="0" fontId="0" fillId="34" borderId="0" xfId="0" applyFill="1"/>
    <xf numFmtId="0" fontId="16" fillId="34" borderId="15" xfId="0" applyFont="1" applyFill="1" applyBorder="1"/>
    <xf numFmtId="0" fontId="18" fillId="34" borderId="20" xfId="42" applyFill="1" applyBorder="1" applyAlignment="1">
      <alignment textRotation="90"/>
    </xf>
    <xf numFmtId="0" fontId="16" fillId="34" borderId="14" xfId="0" applyFont="1" applyFill="1" applyBorder="1"/>
    <xf numFmtId="0" fontId="0" fillId="34" borderId="17" xfId="0" applyFill="1" applyBorder="1"/>
    <xf numFmtId="0" fontId="18" fillId="34" borderId="19" xfId="42" applyFill="1" applyBorder="1" applyAlignment="1">
      <alignment textRotation="90"/>
    </xf>
    <xf numFmtId="0" fontId="22" fillId="0" borderId="0" xfId="0" applyFont="1"/>
    <xf numFmtId="0" fontId="22" fillId="34" borderId="0" xfId="0" applyFont="1" applyFill="1"/>
    <xf numFmtId="0" fontId="19" fillId="34" borderId="20" xfId="42" applyFont="1" applyFill="1" applyBorder="1" applyAlignment="1">
      <alignment textRotation="90"/>
    </xf>
    <xf numFmtId="0" fontId="19" fillId="34" borderId="18" xfId="42" applyFont="1" applyFill="1" applyBorder="1" applyAlignment="1">
      <alignment textRotation="90"/>
    </xf>
    <xf numFmtId="0" fontId="18" fillId="33" borderId="20" xfId="42" applyFill="1" applyBorder="1" applyAlignment="1">
      <alignment horizontal="center" textRotation="90"/>
    </xf>
    <xf numFmtId="0" fontId="0" fillId="42" borderId="0" xfId="0" applyFill="1"/>
    <xf numFmtId="0" fontId="0" fillId="42" borderId="16" xfId="0" applyFill="1" applyBorder="1" applyAlignment="1">
      <alignment horizontal="center"/>
    </xf>
    <xf numFmtId="0" fontId="16" fillId="0" borderId="0" xfId="0" applyFont="1"/>
    <xf numFmtId="0" fontId="0" fillId="34" borderId="0" xfId="0" applyFill="1" applyAlignment="1">
      <alignment horizontal="left"/>
    </xf>
    <xf numFmtId="0" fontId="0" fillId="0" borderId="0" xfId="0" applyAlignment="1">
      <alignment horizontal="left"/>
    </xf>
    <xf numFmtId="0" fontId="0" fillId="43" borderId="0" xfId="0" applyFill="1" applyAlignment="1">
      <alignment horizontal="left"/>
    </xf>
    <xf numFmtId="0" fontId="19" fillId="34" borderId="16" xfId="42" applyFont="1" applyFill="1" applyBorder="1" applyAlignment="1">
      <alignment horizontal="center" textRotation="90"/>
    </xf>
    <xf numFmtId="0" fontId="0" fillId="44" borderId="0" xfId="0" applyFill="1"/>
    <xf numFmtId="0" fontId="19" fillId="36" borderId="0" xfId="42" applyFont="1" applyFill="1" applyBorder="1" applyAlignment="1">
      <alignment horizontal="center" textRotation="90"/>
    </xf>
    <xf numFmtId="0" fontId="19" fillId="40" borderId="27" xfId="42" applyFont="1" applyFill="1" applyBorder="1" applyAlignment="1">
      <alignment horizontal="center" textRotation="90"/>
    </xf>
    <xf numFmtId="0" fontId="19" fillId="40" borderId="26" xfId="42" applyFont="1" applyFill="1" applyBorder="1" applyAlignment="1">
      <alignment horizontal="center" textRotation="90"/>
    </xf>
    <xf numFmtId="0" fontId="18" fillId="34" borderId="0" xfId="42" applyFont="1" applyFill="1" applyBorder="1" applyAlignment="1">
      <alignment horizontal="center"/>
    </xf>
    <xf numFmtId="0" fontId="0" fillId="0" borderId="0" xfId="0" applyFill="1" applyBorder="1"/>
    <xf numFmtId="0" fontId="19" fillId="41" borderId="16" xfId="42" applyFont="1" applyFill="1" applyBorder="1" applyAlignment="1">
      <alignment horizontal="center" textRotation="90"/>
    </xf>
    <xf numFmtId="0" fontId="19" fillId="39" borderId="22" xfId="42" applyFont="1" applyFill="1" applyBorder="1" applyAlignment="1">
      <alignment horizontal="center" textRotation="90"/>
    </xf>
    <xf numFmtId="0" fontId="19" fillId="34" borderId="0" xfId="42" applyFont="1" applyFill="1" applyBorder="1" applyAlignment="1">
      <alignment horizontal="center" textRotation="90"/>
    </xf>
    <xf numFmtId="0" fontId="19" fillId="34" borderId="22" xfId="42" applyFont="1" applyFill="1" applyBorder="1" applyAlignment="1">
      <alignment horizontal="center" textRotation="90"/>
    </xf>
    <xf numFmtId="0" fontId="0" fillId="36" borderId="0" xfId="0" applyFill="1" applyBorder="1" applyAlignment="1">
      <alignment horizontal="center"/>
    </xf>
    <xf numFmtId="0" fontId="19" fillId="37" borderId="0" xfId="42" applyFont="1" applyFill="1" applyBorder="1" applyAlignment="1">
      <alignment horizontal="center" textRotation="90"/>
    </xf>
    <xf numFmtId="0" fontId="16" fillId="36" borderId="0" xfId="0" applyFont="1" applyFill="1" applyBorder="1" applyAlignment="1">
      <alignment horizontal="center"/>
    </xf>
    <xf numFmtId="0" fontId="0" fillId="0" borderId="0" xfId="0" applyNumberFormat="1"/>
    <xf numFmtId="0" fontId="0" fillId="0" borderId="0" xfId="0" pivotButton="1"/>
    <xf numFmtId="0" fontId="19" fillId="38" borderId="0" xfId="42" applyFont="1" applyFill="1" applyBorder="1" applyAlignment="1">
      <alignment horizontal="center" textRotation="90"/>
    </xf>
    <xf numFmtId="0" fontId="19" fillId="39" borderId="26" xfId="42" applyFont="1" applyFill="1" applyBorder="1" applyAlignment="1">
      <alignment horizontal="center" textRotation="90"/>
    </xf>
    <xf numFmtId="0" fontId="0" fillId="0" borderId="0" xfId="0"/>
    <xf numFmtId="0" fontId="20" fillId="0" borderId="0" xfId="43"/>
    <xf numFmtId="0" fontId="0" fillId="34" borderId="16" xfId="0" applyFill="1" applyBorder="1"/>
    <xf numFmtId="0" fontId="0" fillId="34" borderId="11" xfId="0" applyFill="1" applyBorder="1" applyAlignment="1">
      <alignment horizontal="center"/>
    </xf>
    <xf numFmtId="0" fontId="19" fillId="34" borderId="12" xfId="42" applyFont="1" applyFill="1" applyBorder="1" applyAlignment="1">
      <alignment horizontal="center" textRotation="90"/>
    </xf>
    <xf numFmtId="0" fontId="0" fillId="34" borderId="0" xfId="0" applyFill="1"/>
    <xf numFmtId="0" fontId="0" fillId="34" borderId="17" xfId="0" applyFill="1" applyBorder="1"/>
    <xf numFmtId="0" fontId="19" fillId="34" borderId="20" xfId="42" applyFont="1" applyFill="1" applyBorder="1" applyAlignment="1">
      <alignment textRotation="90"/>
    </xf>
    <xf numFmtId="0" fontId="0" fillId="42" borderId="0" xfId="0" applyFill="1"/>
    <xf numFmtId="0" fontId="0" fillId="0" borderId="0" xfId="0" applyAlignment="1">
      <alignment horizontal="left"/>
    </xf>
    <xf numFmtId="168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440473C-F54F-4A2C-A691-5EE28E04F87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168" formatCode="0.0000"/>
    </dxf>
    <dxf>
      <numFmt numFmtId="168" formatCode="0.0000"/>
    </dxf>
    <dxf>
      <numFmt numFmtId="168" formatCode="0.0000"/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</xdr:row>
          <xdr:rowOff>203200</xdr:rowOff>
        </xdr:from>
        <xdr:to>
          <xdr:col>5</xdr:col>
          <xdr:colOff>2546350</xdr:colOff>
          <xdr:row>2</xdr:row>
          <xdr:rowOff>660400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9.605652662038" createdVersion="8" refreshedVersion="8" minRefreshableVersion="3" recordCount="10161" xr:uid="{5EBC8376-C651-4260-84AA-909C3E3C72B7}">
  <cacheSource type="worksheet">
    <worksheetSource ref="I3:X10164" sheet="DATA_Moresby_2024_ALL"/>
  </cacheSource>
  <cacheFields count="16">
    <cacheField name="Section" numFmtId="0">
      <sharedItems containsSemiMixedTypes="0" containsString="0" containsNumber="1" containsInteger="1" minValue="1" maxValue="10" count="10">
        <n v="1"/>
        <n v="2"/>
        <n v="8"/>
        <n v="3"/>
        <n v="9"/>
        <n v="4"/>
        <n v="10"/>
        <n v="5"/>
        <n v="7"/>
        <n v="6"/>
      </sharedItems>
    </cacheField>
    <cacheField name="Assessed" numFmtId="0">
      <sharedItems containsBlank="1" count="2">
        <s v="X"/>
        <m/>
      </sharedItems>
    </cacheField>
    <cacheField name="Mangrove_Presence_24" numFmtId="0">
      <sharedItems containsBlank="1" containsMixedTypes="1" containsNumber="1" containsInteger="1" minValue="0" maxValue="1" count="5">
        <m/>
        <n v="0"/>
        <n v="1"/>
        <s v="X"/>
        <s v="NA"/>
      </sharedItems>
    </cacheField>
    <cacheField name="Mangrpve_Patch" numFmtId="0">
      <sharedItems containsBlank="1"/>
    </cacheField>
    <cacheField name="Patch_Length" numFmtId="0">
      <sharedItems containsBlank="1"/>
    </cacheField>
    <cacheField name="Patch_HV" numFmtId="0">
      <sharedItems containsBlank="1"/>
    </cacheField>
    <cacheField name="PatchContinuityScore" numFmtId="0">
      <sharedItems containsBlank="1"/>
    </cacheField>
    <cacheField name="Naturalness" numFmtId="0">
      <sharedItems containsString="0" containsBlank="1" containsNumber="1" containsInteger="1" minValue="1" maxValue="3"/>
    </cacheField>
    <cacheField name="Structure" numFmtId="0">
      <sharedItems containsString="0" containsBlank="1" containsNumber="1" containsInteger="1" minValue="0" maxValue="1"/>
    </cacheField>
    <cacheField name="Bank_Hardening" numFmtId="0">
      <sharedItems containsString="0" containsBlank="1" containsNumber="1" containsInteger="1" minValue="0" maxValue="2"/>
    </cacheField>
    <cacheField name="Physical_Damage" numFmtId="0">
      <sharedItems containsString="0" containsBlank="1" containsNumber="1" containsInteger="1" minValue="0" maxValue="0" count="2">
        <m/>
        <n v="0"/>
      </sharedItems>
    </cacheField>
    <cacheField name="Litter" numFmtId="0">
      <sharedItems containsString="0" containsBlank="1" containsNumber="1" containsInteger="1" minValue="0" maxValue="2"/>
    </cacheField>
    <cacheField name="Debris" numFmtId="0">
      <sharedItems containsString="0" containsBlank="1" containsNumber="1" containsInteger="1" minValue="0" maxValue="1"/>
    </cacheField>
    <cacheField name="Abandoned_Pots" numFmtId="0">
      <sharedItems containsString="0" containsBlank="1" containsNumber="1" containsInteger="1" minValue="0" maxValue="0"/>
    </cacheField>
    <cacheField name="Weeds" numFmtId="0">
      <sharedItems containsString="0" containsBlank="1" containsNumber="1" containsInteger="1" minValue="0" maxValue="1"/>
    </cacheField>
    <cacheField name="Shoreline_Modification" numFmtId="0">
      <sharedItems containsString="0" containsBlank="1" containsNumber="1" containsInteger="1" minValue="0" maxValue="2" count="4">
        <m/>
        <n v="0"/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9.608870370372" createdVersion="8" refreshedVersion="8" minRefreshableVersion="3" recordCount="2032" xr:uid="{34ABAA27-1D98-4FBE-A732-79185EBF5807}">
  <cacheSource type="worksheet">
    <worksheetSource ref="H3:Q2035" sheet="DATA_Moreseby_2024_50"/>
  </cacheSource>
  <cacheFields count="10">
    <cacheField name="Section" numFmtId="0">
      <sharedItems containsSemiMixedTypes="0" containsString="0" containsNumber="1" containsInteger="1" minValue="1" maxValue="10" count="10">
        <n v="1"/>
        <n v="2"/>
        <n v="8"/>
        <n v="3"/>
        <n v="9"/>
        <n v="4"/>
        <n v="10"/>
        <n v="5"/>
        <n v="7"/>
        <n v="6"/>
      </sharedItems>
    </cacheField>
    <cacheField name="Assessed" numFmtId="0">
      <sharedItems containsBlank="1" count="3">
        <s v="X"/>
        <s v=""/>
        <m/>
      </sharedItems>
    </cacheField>
    <cacheField name="Mangrove_Presence23_50" numFmtId="0">
      <sharedItems containsMixedTypes="1" containsNumber="1" containsInteger="1" minValue="0" maxValue="1" count="3">
        <s v="X"/>
        <n v="0"/>
        <n v="1"/>
      </sharedItems>
    </cacheField>
    <cacheField name="AM (grey mangrove)" numFmtId="0">
      <sharedItems containsNonDate="0" containsString="0" containsBlank="1"/>
    </cacheField>
    <cacheField name="RS (red mangrove)" numFmtId="0">
      <sharedItems containsNonDate="0" containsString="0" containsBlank="1"/>
    </cacheField>
    <cacheField name="SA (apple mangrove)" numFmtId="0">
      <sharedItems containsNonDate="0" containsString="0" containsBlank="1"/>
    </cacheField>
    <cacheField name="Density24" numFmtId="0">
      <sharedItems containsBlank="1" containsMixedTypes="1" containsNumber="1" containsInteger="1" minValue="1" maxValue="4"/>
    </cacheField>
    <cacheField name="Maturity24" numFmtId="0">
      <sharedItems containsBlank="1" containsMixedTypes="1" containsNumber="1" containsInteger="1" minValue="1" maxValue="4"/>
    </cacheField>
    <cacheField name="Connectivity24" numFmtId="0">
      <sharedItems containsBlank="1" containsMixedTypes="1" containsNumber="1" containsInteger="1" minValue="4" maxValue="4"/>
    </cacheField>
    <cacheField name="Condition_Score24" numFmtId="0">
      <sharedItems containsBlank="1" containsMixedTypes="1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61"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0"/>
    <x v="0"/>
    <m/>
    <m/>
    <m/>
    <m/>
    <m/>
    <m/>
    <m/>
    <x v="0"/>
    <m/>
    <m/>
    <m/>
    <m/>
    <x v="0"/>
  </r>
  <r>
    <x v="0"/>
    <x v="1"/>
    <x v="1"/>
    <s v="NA"/>
    <s v="NA"/>
    <s v="NA"/>
    <s v="NA"/>
    <n v="1"/>
    <n v="0"/>
    <n v="0"/>
    <x v="1"/>
    <n v="0"/>
    <n v="0"/>
    <n v="0"/>
    <n v="0"/>
    <x v="1"/>
  </r>
  <r>
    <x v="0"/>
    <x v="1"/>
    <x v="1"/>
    <s v="NA"/>
    <s v="NA"/>
    <s v="NA"/>
    <s v="NA"/>
    <n v="1"/>
    <n v="0"/>
    <n v="0"/>
    <x v="1"/>
    <n v="0"/>
    <n v="0"/>
    <n v="0"/>
    <n v="1"/>
    <x v="1"/>
  </r>
  <r>
    <x v="0"/>
    <x v="1"/>
    <x v="1"/>
    <s v="NA"/>
    <s v="NA"/>
    <s v="NA"/>
    <s v="NA"/>
    <n v="1"/>
    <n v="0"/>
    <n v="0"/>
    <x v="1"/>
    <n v="0"/>
    <n v="0"/>
    <n v="0"/>
    <n v="1"/>
    <x v="1"/>
  </r>
  <r>
    <x v="0"/>
    <x v="1"/>
    <x v="1"/>
    <s v="NA"/>
    <s v="NA"/>
    <s v="NA"/>
    <s v="NA"/>
    <n v="1"/>
    <n v="0"/>
    <n v="0"/>
    <x v="1"/>
    <n v="0"/>
    <n v="0"/>
    <n v="0"/>
    <n v="1"/>
    <x v="1"/>
  </r>
  <r>
    <x v="0"/>
    <x v="1"/>
    <x v="1"/>
    <s v="NA"/>
    <s v="NA"/>
    <s v="NA"/>
    <s v="NA"/>
    <n v="1"/>
    <n v="0"/>
    <n v="0"/>
    <x v="1"/>
    <n v="0"/>
    <n v="0"/>
    <n v="0"/>
    <n v="1"/>
    <x v="1"/>
  </r>
  <r>
    <x v="0"/>
    <x v="1"/>
    <x v="1"/>
    <s v="NA"/>
    <s v="NA"/>
    <s v="NA"/>
    <s v="NA"/>
    <n v="1"/>
    <n v="0"/>
    <n v="0"/>
    <x v="1"/>
    <n v="0"/>
    <n v="0"/>
    <n v="0"/>
    <n v="0"/>
    <x v="1"/>
  </r>
  <r>
    <x v="0"/>
    <x v="1"/>
    <x v="1"/>
    <s v="NA"/>
    <s v="NA"/>
    <s v="NA"/>
    <s v="NA"/>
    <n v="1"/>
    <n v="0"/>
    <n v="0"/>
    <x v="1"/>
    <n v="0"/>
    <n v="0"/>
    <n v="0"/>
    <n v="0"/>
    <x v="1"/>
  </r>
  <r>
    <x v="0"/>
    <x v="1"/>
    <x v="1"/>
    <s v="NA"/>
    <s v="NA"/>
    <s v="NA"/>
    <s v="NA"/>
    <n v="1"/>
    <n v="0"/>
    <n v="0"/>
    <x v="1"/>
    <n v="0"/>
    <n v="0"/>
    <n v="0"/>
    <n v="0"/>
    <x v="1"/>
  </r>
  <r>
    <x v="0"/>
    <x v="1"/>
    <x v="1"/>
    <s v="NA"/>
    <s v="NA"/>
    <s v="NA"/>
    <s v="NA"/>
    <n v="1"/>
    <n v="0"/>
    <n v="0"/>
    <x v="1"/>
    <n v="0"/>
    <n v="0"/>
    <n v="0"/>
    <n v="0"/>
    <x v="1"/>
  </r>
  <r>
    <x v="0"/>
    <x v="1"/>
    <x v="2"/>
    <s v="NA"/>
    <s v="NA"/>
    <s v="NA"/>
    <s v="NA"/>
    <n v="1"/>
    <n v="0"/>
    <n v="0"/>
    <x v="1"/>
    <n v="0"/>
    <n v="0"/>
    <n v="0"/>
    <n v="0"/>
    <x v="1"/>
  </r>
  <r>
    <x v="0"/>
    <x v="1"/>
    <x v="2"/>
    <s v="NA"/>
    <s v="NA"/>
    <s v="NA"/>
    <s v="NA"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1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1"/>
    <m/>
    <m/>
    <m/>
    <m/>
    <n v="1"/>
    <n v="0"/>
    <n v="0"/>
    <x v="1"/>
    <n v="0"/>
    <n v="0"/>
    <n v="0"/>
    <n v="0"/>
    <x v="1"/>
  </r>
  <r>
    <x v="0"/>
    <x v="1"/>
    <x v="2"/>
    <s v="NA"/>
    <s v="NA"/>
    <s v="NA"/>
    <s v="NA"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1"/>
    <x v="2"/>
    <s v="NA"/>
    <s v="NA"/>
    <s v="NA"/>
    <s v="NA"/>
    <n v="1"/>
    <n v="0"/>
    <n v="0"/>
    <x v="1"/>
    <n v="0"/>
    <n v="0"/>
    <n v="0"/>
    <n v="0"/>
    <x v="1"/>
  </r>
  <r>
    <x v="0"/>
    <x v="1"/>
    <x v="2"/>
    <s v="NA"/>
    <s v="NA"/>
    <s v="NA"/>
    <s v="NA"/>
    <n v="1"/>
    <n v="0"/>
    <n v="0"/>
    <x v="1"/>
    <n v="0"/>
    <n v="0"/>
    <n v="0"/>
    <n v="0"/>
    <x v="1"/>
  </r>
  <r>
    <x v="0"/>
    <x v="1"/>
    <x v="2"/>
    <s v="NA"/>
    <s v="NA"/>
    <s v="NA"/>
    <s v="NA"/>
    <n v="1"/>
    <n v="0"/>
    <n v="0"/>
    <x v="1"/>
    <n v="0"/>
    <n v="0"/>
    <n v="0"/>
    <n v="0"/>
    <x v="1"/>
  </r>
  <r>
    <x v="0"/>
    <x v="1"/>
    <x v="2"/>
    <s v="NA"/>
    <s v="NA"/>
    <s v="NA"/>
    <s v="NA"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0"/>
    <x v="1"/>
    <x v="2"/>
    <m/>
    <m/>
    <m/>
    <m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0"/>
    <x v="0"/>
    <m/>
    <m/>
    <m/>
    <m/>
    <m/>
    <m/>
    <m/>
    <x v="0"/>
    <m/>
    <m/>
    <m/>
    <m/>
    <x v="0"/>
  </r>
  <r>
    <x v="2"/>
    <x v="1"/>
    <x v="2"/>
    <m/>
    <m/>
    <m/>
    <m/>
    <n v="1"/>
    <n v="0"/>
    <n v="0"/>
    <x v="1"/>
    <n v="0"/>
    <n v="0"/>
    <n v="0"/>
    <n v="0"/>
    <x v="1"/>
  </r>
  <r>
    <x v="2"/>
    <x v="1"/>
    <x v="2"/>
    <m/>
    <m/>
    <m/>
    <m/>
    <n v="1"/>
    <n v="0"/>
    <n v="0"/>
    <x v="1"/>
    <n v="0"/>
    <n v="0"/>
    <n v="0"/>
    <n v="0"/>
    <x v="1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1"/>
    <x v="2"/>
    <m/>
    <m/>
    <m/>
    <m/>
    <n v="1"/>
    <n v="0"/>
    <n v="0"/>
    <x v="1"/>
    <n v="2"/>
    <n v="0"/>
    <n v="0"/>
    <n v="0"/>
    <x v="1"/>
  </r>
  <r>
    <x v="2"/>
    <x v="0"/>
    <x v="0"/>
    <m/>
    <m/>
    <m/>
    <m/>
    <m/>
    <m/>
    <m/>
    <x v="0"/>
    <m/>
    <m/>
    <m/>
    <m/>
    <x v="0"/>
  </r>
  <r>
    <x v="2"/>
    <x v="1"/>
    <x v="2"/>
    <m/>
    <m/>
    <m/>
    <m/>
    <n v="1"/>
    <n v="0"/>
    <n v="0"/>
    <x v="1"/>
    <n v="0"/>
    <n v="0"/>
    <n v="0"/>
    <n v="0"/>
    <x v="1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1"/>
    <x v="2"/>
    <m/>
    <m/>
    <m/>
    <m/>
    <n v="1"/>
    <n v="0"/>
    <n v="0"/>
    <x v="1"/>
    <n v="0"/>
    <n v="0"/>
    <n v="0"/>
    <n v="0"/>
    <x v="1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2"/>
    <x v="0"/>
    <x v="0"/>
    <m/>
    <m/>
    <m/>
    <m/>
    <m/>
    <m/>
    <m/>
    <x v="0"/>
    <m/>
    <m/>
    <m/>
    <m/>
    <x v="0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2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2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2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4"/>
    <m/>
    <m/>
    <m/>
    <m/>
    <m/>
    <m/>
    <m/>
    <x v="0"/>
    <m/>
    <m/>
    <m/>
    <m/>
    <x v="0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4"/>
    <m/>
    <m/>
    <m/>
    <m/>
    <m/>
    <m/>
    <m/>
    <x v="0"/>
    <m/>
    <m/>
    <m/>
    <m/>
    <x v="0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3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2"/>
    <m/>
    <m/>
    <m/>
    <m/>
    <n v="1"/>
    <n v="0"/>
    <n v="0"/>
    <x v="1"/>
    <n v="0"/>
    <n v="0"/>
    <n v="0"/>
    <n v="0"/>
    <x v="1"/>
  </r>
  <r>
    <x v="4"/>
    <x v="1"/>
    <x v="0"/>
    <m/>
    <m/>
    <m/>
    <m/>
    <n v="1"/>
    <n v="0"/>
    <n v="0"/>
    <x v="1"/>
    <n v="0"/>
    <n v="0"/>
    <n v="0"/>
    <n v="0"/>
    <x v="1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0"/>
    <x v="0"/>
    <m/>
    <m/>
    <m/>
    <m/>
    <m/>
    <m/>
    <m/>
    <x v="0"/>
    <m/>
    <m/>
    <m/>
    <m/>
    <x v="0"/>
  </r>
  <r>
    <x v="4"/>
    <x v="1"/>
    <x v="2"/>
    <s v="NA"/>
    <s v="NA"/>
    <s v="NA"/>
    <s v="NA"/>
    <n v="1"/>
    <n v="0"/>
    <n v="0"/>
    <x v="1"/>
    <n v="0"/>
    <n v="0"/>
    <n v="0"/>
    <n v="0"/>
    <x v="1"/>
  </r>
  <r>
    <x v="4"/>
    <x v="1"/>
    <x v="2"/>
    <s v="NA"/>
    <s v="NA"/>
    <s v="NA"/>
    <s v="NA"/>
    <n v="1"/>
    <n v="0"/>
    <n v="0"/>
    <x v="1"/>
    <n v="0"/>
    <n v="0"/>
    <n v="0"/>
    <n v="0"/>
    <x v="1"/>
  </r>
  <r>
    <x v="4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1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1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2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2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6"/>
    <x v="1"/>
    <x v="2"/>
    <s v="NA"/>
    <s v="NA"/>
    <s v="NA"/>
    <s v="NA"/>
    <n v="1"/>
    <n v="0"/>
    <n v="0"/>
    <x v="1"/>
    <n v="0"/>
    <n v="0"/>
    <n v="0"/>
    <n v="0"/>
    <x v="1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0"/>
    <x v="0"/>
    <m/>
    <m/>
    <m/>
    <m/>
    <m/>
    <m/>
    <m/>
    <x v="0"/>
    <m/>
    <m/>
    <m/>
    <m/>
    <x v="0"/>
  </r>
  <r>
    <x v="6"/>
    <x v="1"/>
    <x v="2"/>
    <s v="NA"/>
    <s v="NA"/>
    <s v="NA"/>
    <s v="NA"/>
    <n v="1"/>
    <n v="0"/>
    <n v="0"/>
    <x v="1"/>
    <n v="0"/>
    <n v="0"/>
    <n v="0"/>
    <n v="0"/>
    <x v="1"/>
  </r>
  <r>
    <x v="6"/>
    <x v="1"/>
    <x v="2"/>
    <s v="NA"/>
    <s v="NA"/>
    <s v="NA"/>
    <s v="NA"/>
    <n v="1"/>
    <n v="0"/>
    <n v="0"/>
    <x v="1"/>
    <n v="0"/>
    <n v="0"/>
    <n v="0"/>
    <n v="0"/>
    <x v="1"/>
  </r>
  <r>
    <x v="6"/>
    <x v="1"/>
    <x v="2"/>
    <s v="NA"/>
    <s v="NA"/>
    <s v="NA"/>
    <s v="NA"/>
    <n v="1"/>
    <n v="0"/>
    <n v="0"/>
    <x v="1"/>
    <n v="0"/>
    <n v="0"/>
    <n v="0"/>
    <n v="0"/>
    <x v="1"/>
  </r>
  <r>
    <x v="6"/>
    <x v="1"/>
    <x v="2"/>
    <s v="NA"/>
    <s v="NA"/>
    <s v="NA"/>
    <s v="NA"/>
    <n v="1"/>
    <n v="0"/>
    <n v="0"/>
    <x v="1"/>
    <n v="0"/>
    <n v="0"/>
    <n v="0"/>
    <n v="0"/>
    <x v="1"/>
  </r>
  <r>
    <x v="6"/>
    <x v="1"/>
    <x v="2"/>
    <s v="NA"/>
    <s v="NA"/>
    <s v="NA"/>
    <s v="NA"/>
    <n v="1"/>
    <n v="0"/>
    <n v="0"/>
    <x v="1"/>
    <n v="0"/>
    <n v="0"/>
    <n v="0"/>
    <n v="0"/>
    <x v="1"/>
  </r>
  <r>
    <x v="6"/>
    <x v="1"/>
    <x v="2"/>
    <s v="NA"/>
    <s v="NA"/>
    <s v="NA"/>
    <s v="NA"/>
    <n v="1"/>
    <n v="0"/>
    <n v="0"/>
    <x v="1"/>
    <n v="0"/>
    <n v="0"/>
    <n v="0"/>
    <n v="0"/>
    <x v="1"/>
  </r>
  <r>
    <x v="6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2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2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1"/>
    <m/>
    <m/>
    <m/>
    <m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1"/>
    <m/>
    <m/>
    <m/>
    <m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1"/>
    <x v="2"/>
    <m/>
    <m/>
    <m/>
    <m/>
    <n v="1"/>
    <n v="0"/>
    <n v="0"/>
    <x v="1"/>
    <n v="0"/>
    <n v="0"/>
    <n v="0"/>
    <n v="0"/>
    <x v="1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7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m/>
    <m/>
    <m/>
    <m/>
    <n v="1"/>
    <m/>
    <m/>
    <x v="0"/>
    <m/>
    <m/>
    <m/>
    <m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1"/>
    <x v="1"/>
  </r>
  <r>
    <x v="5"/>
    <x v="1"/>
    <x v="1"/>
    <s v="NA"/>
    <s v="NA"/>
    <s v="NA"/>
    <s v="NA"/>
    <n v="1"/>
    <n v="0"/>
    <n v="0"/>
    <x v="1"/>
    <n v="0"/>
    <n v="0"/>
    <n v="0"/>
    <n v="1"/>
    <x v="1"/>
  </r>
  <r>
    <x v="5"/>
    <x v="1"/>
    <x v="1"/>
    <s v="NA"/>
    <s v="NA"/>
    <s v="NA"/>
    <s v="NA"/>
    <n v="1"/>
    <n v="0"/>
    <n v="0"/>
    <x v="1"/>
    <n v="0"/>
    <n v="0"/>
    <n v="0"/>
    <n v="1"/>
    <x v="1"/>
  </r>
  <r>
    <x v="5"/>
    <x v="1"/>
    <x v="1"/>
    <s v="NA"/>
    <s v="NA"/>
    <s v="NA"/>
    <s v="NA"/>
    <n v="1"/>
    <n v="0"/>
    <n v="0"/>
    <x v="1"/>
    <n v="0"/>
    <n v="0"/>
    <n v="0"/>
    <n v="1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1"/>
    <x v="1"/>
  </r>
  <r>
    <x v="5"/>
    <x v="1"/>
    <x v="1"/>
    <s v="NA"/>
    <s v="NA"/>
    <s v="NA"/>
    <s v="NA"/>
    <n v="2"/>
    <n v="0"/>
    <n v="1"/>
    <x v="1"/>
    <n v="0"/>
    <n v="0"/>
    <n v="0"/>
    <n v="1"/>
    <x v="2"/>
  </r>
  <r>
    <x v="5"/>
    <x v="1"/>
    <x v="1"/>
    <s v="NA"/>
    <s v="NA"/>
    <s v="NA"/>
    <s v="NA"/>
    <n v="2"/>
    <n v="0"/>
    <n v="0"/>
    <x v="1"/>
    <n v="0"/>
    <n v="0"/>
    <n v="0"/>
    <n v="0"/>
    <x v="2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0"/>
    <x v="0"/>
    <m/>
    <m/>
    <m/>
    <m/>
    <m/>
    <m/>
    <m/>
    <x v="0"/>
    <m/>
    <m/>
    <m/>
    <m/>
    <x v="0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1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5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1"/>
    <n v="0"/>
    <n v="1"/>
    <x v="1"/>
  </r>
  <r>
    <x v="3"/>
    <x v="1"/>
    <x v="2"/>
    <s v="NA"/>
    <s v="NA"/>
    <s v="NA"/>
    <s v="NA"/>
    <n v="1"/>
    <n v="0"/>
    <n v="0"/>
    <x v="1"/>
    <n v="0"/>
    <n v="1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0"/>
    <x v="0"/>
    <m/>
    <m/>
    <m/>
    <m/>
    <m/>
    <m/>
    <m/>
    <x v="0"/>
    <m/>
    <m/>
    <m/>
    <m/>
    <x v="0"/>
  </r>
  <r>
    <x v="3"/>
    <x v="0"/>
    <x v="2"/>
    <m/>
    <m/>
    <m/>
    <m/>
    <m/>
    <m/>
    <m/>
    <x v="0"/>
    <m/>
    <m/>
    <m/>
    <m/>
    <x v="0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3"/>
    <n v="1"/>
    <n v="1"/>
    <x v="1"/>
    <n v="0"/>
    <n v="0"/>
    <n v="0"/>
    <n v="0"/>
    <x v="3"/>
  </r>
  <r>
    <x v="3"/>
    <x v="1"/>
    <x v="1"/>
    <s v="NA"/>
    <s v="NA"/>
    <s v="NA"/>
    <s v="NA"/>
    <n v="2"/>
    <n v="0"/>
    <n v="0"/>
    <x v="1"/>
    <n v="0"/>
    <n v="0"/>
    <n v="0"/>
    <n v="0"/>
    <x v="2"/>
  </r>
  <r>
    <x v="3"/>
    <x v="1"/>
    <x v="1"/>
    <s v="NA"/>
    <s v="NA"/>
    <s v="NA"/>
    <s v="NA"/>
    <n v="2"/>
    <n v="1"/>
    <n v="0"/>
    <x v="1"/>
    <n v="0"/>
    <n v="0"/>
    <n v="0"/>
    <n v="0"/>
    <x v="2"/>
  </r>
  <r>
    <x v="3"/>
    <x v="1"/>
    <x v="2"/>
    <s v="NA"/>
    <s v="NA"/>
    <s v="NA"/>
    <s v="NA"/>
    <n v="2"/>
    <n v="1"/>
    <n v="0"/>
    <x v="1"/>
    <n v="0"/>
    <n v="0"/>
    <n v="0"/>
    <n v="0"/>
    <x v="2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2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1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3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1"/>
    <s v="NA"/>
    <s v="NA"/>
    <s v="NA"/>
    <s v="NA"/>
    <n v="1"/>
    <n v="0"/>
    <n v="0"/>
    <x v="1"/>
    <n v="0"/>
    <n v="0"/>
    <n v="0"/>
    <n v="0"/>
    <x v="1"/>
  </r>
  <r>
    <x v="1"/>
    <x v="1"/>
    <x v="1"/>
    <s v="NA"/>
    <s v="NA"/>
    <s v="NA"/>
    <s v="NA"/>
    <n v="1"/>
    <n v="0"/>
    <n v="0"/>
    <x v="1"/>
    <n v="0"/>
    <n v="0"/>
    <n v="0"/>
    <n v="0"/>
    <x v="1"/>
  </r>
  <r>
    <x v="1"/>
    <x v="1"/>
    <x v="1"/>
    <s v="NA"/>
    <s v="NA"/>
    <s v="NA"/>
    <s v="NA"/>
    <n v="1"/>
    <n v="0"/>
    <n v="0"/>
    <x v="1"/>
    <n v="0"/>
    <n v="0"/>
    <n v="0"/>
    <n v="0"/>
    <x v="1"/>
  </r>
  <r>
    <x v="1"/>
    <x v="1"/>
    <x v="1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2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s v="NA"/>
    <s v="NA"/>
    <s v="NA"/>
    <s v="NA"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2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n v="1"/>
    <n v="0"/>
    <n v="0"/>
    <x v="1"/>
    <n v="0"/>
    <n v="0"/>
    <n v="0"/>
    <n v="0"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0"/>
    <x v="3"/>
    <m/>
    <m/>
    <m/>
    <m/>
    <m/>
    <m/>
    <m/>
    <x v="0"/>
    <m/>
    <m/>
    <m/>
    <m/>
    <x v="0"/>
  </r>
  <r>
    <x v="1"/>
    <x v="1"/>
    <x v="2"/>
    <m/>
    <m/>
    <m/>
    <m/>
    <m/>
    <m/>
    <m/>
    <x v="1"/>
    <m/>
    <m/>
    <m/>
    <m/>
    <x v="1"/>
  </r>
  <r>
    <x v="1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1"/>
    <x v="2"/>
    <m/>
    <m/>
    <m/>
    <m/>
    <m/>
    <m/>
    <m/>
    <x v="1"/>
    <m/>
    <m/>
    <m/>
    <m/>
    <x v="1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8"/>
    <x v="0"/>
    <x v="0"/>
    <m/>
    <m/>
    <m/>
    <m/>
    <m/>
    <m/>
    <m/>
    <x v="0"/>
    <m/>
    <m/>
    <m/>
    <m/>
    <x v="0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9"/>
    <x v="0"/>
    <x v="0"/>
    <m/>
    <m/>
    <m/>
    <m/>
    <m/>
    <m/>
    <m/>
    <x v="0"/>
    <m/>
    <m/>
    <m/>
    <m/>
    <x v="0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2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3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3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3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3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3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3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3"/>
  </r>
  <r>
    <x v="0"/>
    <x v="1"/>
    <x v="1"/>
    <m/>
    <m/>
    <m/>
    <m/>
    <m/>
    <m/>
    <m/>
    <x v="1"/>
    <m/>
    <m/>
    <m/>
    <m/>
    <x v="3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2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3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2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1"/>
    <x v="1"/>
    <m/>
    <m/>
    <m/>
    <m/>
    <m/>
    <m/>
    <m/>
    <x v="1"/>
    <m/>
    <m/>
    <m/>
    <m/>
    <x v="1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  <r>
    <x v="0"/>
    <x v="0"/>
    <x v="3"/>
    <m/>
    <m/>
    <m/>
    <m/>
    <m/>
    <m/>
    <m/>
    <x v="0"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32"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2"/>
    <x v="2"/>
    <m/>
    <m/>
    <m/>
    <n v="1"/>
    <n v="1"/>
    <n v="4"/>
    <n v="4"/>
  </r>
  <r>
    <x v="0"/>
    <x v="1"/>
    <x v="1"/>
    <m/>
    <m/>
    <m/>
    <m/>
    <m/>
    <m/>
    <m/>
  </r>
  <r>
    <x v="0"/>
    <x v="1"/>
    <x v="1"/>
    <m/>
    <m/>
    <m/>
    <m/>
    <m/>
    <m/>
    <m/>
  </r>
  <r>
    <x v="0"/>
    <x v="1"/>
    <x v="1"/>
    <m/>
    <m/>
    <m/>
    <m/>
    <m/>
    <m/>
    <m/>
  </r>
  <r>
    <x v="0"/>
    <x v="1"/>
    <x v="1"/>
    <m/>
    <m/>
    <m/>
    <m/>
    <m/>
    <m/>
    <m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3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3"/>
    <n v="4"/>
    <n v="4"/>
  </r>
  <r>
    <x v="0"/>
    <x v="2"/>
    <x v="2"/>
    <m/>
    <m/>
    <m/>
    <n v="4"/>
    <n v="3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3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2"/>
    <x v="2"/>
    <m/>
    <m/>
    <m/>
    <n v="4"/>
    <n v="4"/>
    <n v="4"/>
    <n v="4"/>
  </r>
  <r>
    <x v="0"/>
    <x v="0"/>
    <x v="0"/>
    <m/>
    <m/>
    <m/>
    <s v=""/>
    <s v=""/>
    <s v=""/>
    <s v="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3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3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2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3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3"/>
    <n v="4"/>
    <n v="4"/>
    <n v="2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3"/>
    <n v="4"/>
    <n v="4"/>
    <n v="4"/>
  </r>
  <r>
    <x v="1"/>
    <x v="2"/>
    <x v="2"/>
    <m/>
    <m/>
    <m/>
    <n v="3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3"/>
    <n v="4"/>
    <n v="4"/>
    <n v="3"/>
  </r>
  <r>
    <x v="1"/>
    <x v="2"/>
    <x v="2"/>
    <m/>
    <m/>
    <m/>
    <n v="3"/>
    <n v="4"/>
    <n v="4"/>
    <n v="2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3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2"/>
    <x v="2"/>
    <x v="2"/>
    <m/>
    <m/>
    <m/>
    <n v="4"/>
    <n v="4"/>
    <n v="4"/>
    <n v="4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2"/>
    <x v="2"/>
    <m/>
    <m/>
    <m/>
    <n v="4"/>
    <n v="3"/>
    <n v="4"/>
    <n v="4"/>
  </r>
  <r>
    <x v="2"/>
    <x v="2"/>
    <x v="2"/>
    <m/>
    <m/>
    <m/>
    <n v="4"/>
    <n v="4"/>
    <n v="4"/>
    <n v="4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2"/>
    <x v="0"/>
    <x v="0"/>
    <m/>
    <m/>
    <m/>
    <s v=""/>
    <s v=""/>
    <s v=""/>
    <s v="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3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3"/>
    <n v="4"/>
    <n v="3"/>
  </r>
  <r>
    <x v="1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3"/>
    <n v="4"/>
    <n v="4"/>
    <n v="2"/>
  </r>
  <r>
    <x v="3"/>
    <x v="2"/>
    <x v="2"/>
    <m/>
    <m/>
    <m/>
    <n v="4"/>
    <n v="4"/>
    <n v="4"/>
    <n v="4"/>
  </r>
  <r>
    <x v="3"/>
    <x v="2"/>
    <x v="2"/>
    <m/>
    <m/>
    <m/>
    <n v="3"/>
    <n v="4"/>
    <n v="4"/>
    <n v="2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2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2"/>
    <n v="3"/>
    <n v="4"/>
    <n v="2"/>
  </r>
  <r>
    <x v="3"/>
    <x v="2"/>
    <x v="2"/>
    <m/>
    <m/>
    <m/>
    <n v="2"/>
    <n v="3"/>
    <n v="4"/>
    <n v="2"/>
  </r>
  <r>
    <x v="3"/>
    <x v="2"/>
    <x v="2"/>
    <m/>
    <m/>
    <m/>
    <n v="3"/>
    <n v="4"/>
    <n v="4"/>
    <n v="2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2"/>
    <n v="3"/>
    <n v="4"/>
    <n v="2"/>
  </r>
  <r>
    <x v="3"/>
    <x v="0"/>
    <x v="0"/>
    <m/>
    <m/>
    <m/>
    <s v=""/>
    <s v=""/>
    <s v=""/>
    <s v=""/>
  </r>
  <r>
    <x v="3"/>
    <x v="2"/>
    <x v="2"/>
    <m/>
    <m/>
    <m/>
    <n v="3"/>
    <n v="4"/>
    <n v="4"/>
    <n v="3"/>
  </r>
  <r>
    <x v="3"/>
    <x v="2"/>
    <x v="2"/>
    <m/>
    <m/>
    <m/>
    <n v="3"/>
    <n v="4"/>
    <n v="4"/>
    <n v="2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4"/>
    <x v="2"/>
    <x v="2"/>
    <m/>
    <m/>
    <m/>
    <n v="4"/>
    <n v="4"/>
    <n v="4"/>
    <n v="4"/>
  </r>
  <r>
    <x v="4"/>
    <x v="2"/>
    <x v="2"/>
    <m/>
    <m/>
    <m/>
    <n v="4"/>
    <n v="4"/>
    <n v="4"/>
    <n v="4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0"/>
    <x v="0"/>
    <m/>
    <m/>
    <m/>
    <s v=""/>
    <s v=""/>
    <s v=""/>
    <s v=""/>
  </r>
  <r>
    <x v="4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3"/>
    <n v="4"/>
    <n v="3"/>
  </r>
  <r>
    <x v="5"/>
    <x v="2"/>
    <x v="2"/>
    <m/>
    <m/>
    <m/>
    <n v="4"/>
    <n v="4"/>
    <n v="4"/>
    <n v="3"/>
  </r>
  <r>
    <x v="5"/>
    <x v="2"/>
    <x v="2"/>
    <m/>
    <m/>
    <m/>
    <n v="3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2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0"/>
    <x v="0"/>
    <m/>
    <m/>
    <m/>
    <s v=""/>
    <s v=""/>
    <s v=""/>
    <s v=""/>
  </r>
  <r>
    <x v="6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2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3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3"/>
    <n v="4"/>
    <n v="4"/>
    <n v="4"/>
  </r>
  <r>
    <x v="5"/>
    <x v="2"/>
    <x v="2"/>
    <m/>
    <m/>
    <m/>
    <n v="3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3"/>
    <n v="4"/>
    <n v="4"/>
    <n v="3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7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0"/>
    <x v="0"/>
    <m/>
    <m/>
    <m/>
    <s v=""/>
    <s v=""/>
    <s v=""/>
    <s v=""/>
  </r>
  <r>
    <x v="5"/>
    <x v="2"/>
    <x v="2"/>
    <m/>
    <m/>
    <m/>
    <n v="4"/>
    <n v="4"/>
    <n v="4"/>
    <n v="4"/>
  </r>
  <r>
    <x v="5"/>
    <x v="2"/>
    <x v="2"/>
    <m/>
    <m/>
    <m/>
    <n v="4"/>
    <n v="3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3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3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3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3"/>
    <n v="4"/>
    <n v="4"/>
  </r>
  <r>
    <x v="5"/>
    <x v="2"/>
    <x v="2"/>
    <m/>
    <m/>
    <m/>
    <n v="4"/>
    <n v="4"/>
    <n v="4"/>
    <n v="4"/>
  </r>
  <r>
    <x v="5"/>
    <x v="2"/>
    <x v="2"/>
    <m/>
    <m/>
    <m/>
    <n v="2"/>
    <n v="2"/>
    <n v="4"/>
    <n v="4"/>
  </r>
  <r>
    <x v="5"/>
    <x v="1"/>
    <x v="1"/>
    <m/>
    <m/>
    <m/>
    <m/>
    <m/>
    <s v=""/>
    <m/>
  </r>
  <r>
    <x v="5"/>
    <x v="1"/>
    <x v="1"/>
    <m/>
    <m/>
    <m/>
    <m/>
    <m/>
    <s v=""/>
    <m/>
  </r>
  <r>
    <x v="5"/>
    <x v="1"/>
    <x v="1"/>
    <m/>
    <m/>
    <m/>
    <m/>
    <m/>
    <s v=""/>
    <m/>
  </r>
  <r>
    <x v="5"/>
    <x v="1"/>
    <x v="1"/>
    <m/>
    <m/>
    <m/>
    <m/>
    <m/>
    <s v=""/>
    <m/>
  </r>
  <r>
    <x v="5"/>
    <x v="1"/>
    <x v="1"/>
    <m/>
    <m/>
    <m/>
    <m/>
    <m/>
    <s v=""/>
    <m/>
  </r>
  <r>
    <x v="5"/>
    <x v="2"/>
    <x v="2"/>
    <m/>
    <m/>
    <m/>
    <n v="3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3"/>
    <n v="4"/>
    <n v="4"/>
  </r>
  <r>
    <x v="5"/>
    <x v="2"/>
    <x v="2"/>
    <m/>
    <m/>
    <m/>
    <n v="4"/>
    <n v="3"/>
    <n v="4"/>
    <n v="4"/>
  </r>
  <r>
    <x v="5"/>
    <x v="2"/>
    <x v="2"/>
    <m/>
    <m/>
    <m/>
    <n v="3"/>
    <n v="4"/>
    <n v="4"/>
    <n v="4"/>
  </r>
  <r>
    <x v="5"/>
    <x v="2"/>
    <x v="2"/>
    <m/>
    <m/>
    <m/>
    <n v="3"/>
    <n v="4"/>
    <n v="4"/>
    <n v="4"/>
  </r>
  <r>
    <x v="5"/>
    <x v="2"/>
    <x v="2"/>
    <m/>
    <m/>
    <m/>
    <n v="4"/>
    <n v="3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1"/>
    <x v="1"/>
    <m/>
    <m/>
    <m/>
    <m/>
    <m/>
    <s v=""/>
    <m/>
  </r>
  <r>
    <x v="5"/>
    <x v="2"/>
    <x v="2"/>
    <m/>
    <m/>
    <m/>
    <n v="2"/>
    <n v="3"/>
    <n v="4"/>
    <n v="3"/>
  </r>
  <r>
    <x v="5"/>
    <x v="2"/>
    <x v="2"/>
    <m/>
    <m/>
    <m/>
    <n v="3"/>
    <n v="3"/>
    <n v="4"/>
    <n v="3"/>
  </r>
  <r>
    <x v="5"/>
    <x v="2"/>
    <x v="2"/>
    <m/>
    <m/>
    <m/>
    <n v="4"/>
    <n v="3"/>
    <n v="4"/>
    <n v="4"/>
  </r>
  <r>
    <x v="5"/>
    <x v="2"/>
    <x v="2"/>
    <m/>
    <m/>
    <m/>
    <n v="3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3"/>
    <n v="4"/>
    <n v="4"/>
  </r>
  <r>
    <x v="5"/>
    <x v="2"/>
    <x v="2"/>
    <m/>
    <m/>
    <m/>
    <n v="3"/>
    <n v="3"/>
    <n v="4"/>
    <n v="4"/>
  </r>
  <r>
    <x v="5"/>
    <x v="2"/>
    <x v="2"/>
    <m/>
    <m/>
    <m/>
    <n v="3"/>
    <n v="4"/>
    <n v="4"/>
    <n v="4"/>
  </r>
  <r>
    <x v="5"/>
    <x v="2"/>
    <x v="2"/>
    <m/>
    <m/>
    <m/>
    <n v="3"/>
    <n v="4"/>
    <n v="4"/>
    <n v="4"/>
  </r>
  <r>
    <x v="5"/>
    <x v="2"/>
    <x v="2"/>
    <m/>
    <m/>
    <m/>
    <n v="3"/>
    <n v="4"/>
    <n v="4"/>
    <n v="3"/>
  </r>
  <r>
    <x v="5"/>
    <x v="1"/>
    <x v="1"/>
    <m/>
    <m/>
    <m/>
    <m/>
    <m/>
    <s v=""/>
    <m/>
  </r>
  <r>
    <x v="5"/>
    <x v="2"/>
    <x v="2"/>
    <m/>
    <m/>
    <m/>
    <n v="3"/>
    <n v="3"/>
    <n v="4"/>
    <n v="3"/>
  </r>
  <r>
    <x v="5"/>
    <x v="2"/>
    <x v="2"/>
    <m/>
    <m/>
    <m/>
    <n v="3"/>
    <n v="3"/>
    <n v="4"/>
    <n v="3"/>
  </r>
  <r>
    <x v="5"/>
    <x v="2"/>
    <x v="2"/>
    <m/>
    <m/>
    <m/>
    <n v="3"/>
    <n v="3"/>
    <n v="4"/>
    <n v="4"/>
  </r>
  <r>
    <x v="5"/>
    <x v="2"/>
    <x v="2"/>
    <m/>
    <m/>
    <m/>
    <n v="4"/>
    <n v="3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3"/>
    <n v="4"/>
    <n v="4"/>
    <n v="4"/>
  </r>
  <r>
    <x v="5"/>
    <x v="2"/>
    <x v="2"/>
    <m/>
    <m/>
    <m/>
    <n v="3"/>
    <n v="4"/>
    <n v="4"/>
    <n v="4"/>
  </r>
  <r>
    <x v="5"/>
    <x v="2"/>
    <x v="2"/>
    <m/>
    <m/>
    <m/>
    <n v="3"/>
    <n v="4"/>
    <n v="4"/>
    <n v="4"/>
  </r>
  <r>
    <x v="5"/>
    <x v="2"/>
    <x v="2"/>
    <m/>
    <m/>
    <m/>
    <n v="3"/>
    <n v="3"/>
    <n v="4"/>
    <n v="3"/>
  </r>
  <r>
    <x v="5"/>
    <x v="0"/>
    <x v="0"/>
    <m/>
    <m/>
    <m/>
    <s v=""/>
    <s v=""/>
    <s v=""/>
    <s v=""/>
  </r>
  <r>
    <x v="5"/>
    <x v="2"/>
    <x v="2"/>
    <m/>
    <m/>
    <m/>
    <n v="3"/>
    <n v="3"/>
    <n v="4"/>
    <n v="3"/>
  </r>
  <r>
    <x v="5"/>
    <x v="2"/>
    <x v="2"/>
    <m/>
    <m/>
    <m/>
    <n v="3"/>
    <n v="3"/>
    <n v="4"/>
    <n v="3"/>
  </r>
  <r>
    <x v="5"/>
    <x v="2"/>
    <x v="2"/>
    <m/>
    <m/>
    <m/>
    <n v="3"/>
    <n v="4"/>
    <n v="4"/>
    <n v="3"/>
  </r>
  <r>
    <x v="5"/>
    <x v="2"/>
    <x v="2"/>
    <m/>
    <m/>
    <m/>
    <n v="3"/>
    <n v="3"/>
    <n v="4"/>
    <n v="3"/>
  </r>
  <r>
    <x v="5"/>
    <x v="2"/>
    <x v="2"/>
    <m/>
    <m/>
    <m/>
    <n v="4"/>
    <n v="4"/>
    <n v="4"/>
    <n v="3"/>
  </r>
  <r>
    <x v="5"/>
    <x v="1"/>
    <x v="1"/>
    <m/>
    <m/>
    <m/>
    <m/>
    <m/>
    <s v=""/>
    <m/>
  </r>
  <r>
    <x v="5"/>
    <x v="1"/>
    <x v="1"/>
    <m/>
    <m/>
    <m/>
    <m/>
    <m/>
    <s v=""/>
    <m/>
  </r>
  <r>
    <x v="5"/>
    <x v="1"/>
    <x v="1"/>
    <m/>
    <m/>
    <m/>
    <m/>
    <m/>
    <s v=""/>
    <m/>
  </r>
  <r>
    <x v="5"/>
    <x v="1"/>
    <x v="1"/>
    <m/>
    <m/>
    <m/>
    <m/>
    <m/>
    <s v=""/>
    <m/>
  </r>
  <r>
    <x v="5"/>
    <x v="1"/>
    <x v="1"/>
    <m/>
    <m/>
    <m/>
    <m/>
    <m/>
    <s v=""/>
    <m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3"/>
  </r>
  <r>
    <x v="5"/>
    <x v="2"/>
    <x v="2"/>
    <m/>
    <m/>
    <m/>
    <n v="4"/>
    <n v="4"/>
    <n v="4"/>
    <n v="4"/>
  </r>
  <r>
    <x v="5"/>
    <x v="2"/>
    <x v="2"/>
    <m/>
    <m/>
    <m/>
    <n v="4"/>
    <n v="4"/>
    <n v="4"/>
    <n v="4"/>
  </r>
  <r>
    <x v="5"/>
    <x v="2"/>
    <x v="2"/>
    <m/>
    <m/>
    <m/>
    <n v="4"/>
    <n v="3"/>
    <n v="4"/>
    <n v="4"/>
  </r>
  <r>
    <x v="5"/>
    <x v="2"/>
    <x v="2"/>
    <m/>
    <m/>
    <m/>
    <n v="4"/>
    <n v="3"/>
    <n v="4"/>
    <n v="4"/>
  </r>
  <r>
    <x v="3"/>
    <x v="2"/>
    <x v="2"/>
    <m/>
    <m/>
    <m/>
    <n v="4"/>
    <n v="4"/>
    <n v="4"/>
    <n v="4"/>
  </r>
  <r>
    <x v="3"/>
    <x v="2"/>
    <x v="2"/>
    <m/>
    <m/>
    <m/>
    <n v="3"/>
    <n v="3"/>
    <n v="4"/>
    <n v="4"/>
  </r>
  <r>
    <x v="3"/>
    <x v="2"/>
    <x v="2"/>
    <m/>
    <m/>
    <m/>
    <n v="4"/>
    <n v="3"/>
    <n v="4"/>
    <n v="4"/>
  </r>
  <r>
    <x v="3"/>
    <x v="2"/>
    <x v="2"/>
    <m/>
    <m/>
    <m/>
    <n v="3"/>
    <n v="3"/>
    <n v="4"/>
    <n v="4"/>
  </r>
  <r>
    <x v="3"/>
    <x v="2"/>
    <x v="2"/>
    <m/>
    <m/>
    <m/>
    <n v="4"/>
    <n v="4"/>
    <n v="4"/>
    <n v="4"/>
  </r>
  <r>
    <x v="3"/>
    <x v="2"/>
    <x v="2"/>
    <m/>
    <m/>
    <m/>
    <n v="3"/>
    <n v="3"/>
    <n v="4"/>
    <n v="3"/>
  </r>
  <r>
    <x v="3"/>
    <x v="2"/>
    <x v="2"/>
    <m/>
    <m/>
    <m/>
    <n v="2"/>
    <n v="2"/>
    <n v="4"/>
    <n v="2"/>
  </r>
  <r>
    <x v="3"/>
    <x v="2"/>
    <x v="2"/>
    <m/>
    <m/>
    <m/>
    <n v="1"/>
    <n v="1"/>
    <n v="4"/>
    <n v="2"/>
  </r>
  <r>
    <x v="3"/>
    <x v="1"/>
    <x v="1"/>
    <m/>
    <m/>
    <m/>
    <m/>
    <m/>
    <s v=""/>
    <m/>
  </r>
  <r>
    <x v="3"/>
    <x v="2"/>
    <x v="2"/>
    <m/>
    <m/>
    <m/>
    <n v="1"/>
    <n v="2"/>
    <n v="4"/>
    <n v="1"/>
  </r>
  <r>
    <x v="3"/>
    <x v="2"/>
    <x v="2"/>
    <m/>
    <m/>
    <m/>
    <n v="2"/>
    <n v="2"/>
    <n v="4"/>
    <n v="2"/>
  </r>
  <r>
    <x v="3"/>
    <x v="2"/>
    <x v="2"/>
    <m/>
    <m/>
    <m/>
    <n v="1"/>
    <n v="2"/>
    <n v="4"/>
    <n v="1"/>
  </r>
  <r>
    <x v="3"/>
    <x v="1"/>
    <x v="1"/>
    <m/>
    <m/>
    <m/>
    <m/>
    <m/>
    <s v=""/>
    <m/>
  </r>
  <r>
    <x v="3"/>
    <x v="2"/>
    <x v="2"/>
    <m/>
    <m/>
    <m/>
    <n v="2"/>
    <n v="2"/>
    <n v="4"/>
    <n v="3"/>
  </r>
  <r>
    <x v="3"/>
    <x v="2"/>
    <x v="2"/>
    <m/>
    <m/>
    <m/>
    <n v="3"/>
    <n v="3"/>
    <n v="4"/>
    <n v="2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3"/>
    <n v="3"/>
    <n v="4"/>
    <n v="3"/>
  </r>
  <r>
    <x v="3"/>
    <x v="2"/>
    <x v="2"/>
    <m/>
    <m/>
    <m/>
    <n v="3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3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3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3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4"/>
  </r>
  <r>
    <x v="3"/>
    <x v="2"/>
    <x v="2"/>
    <m/>
    <m/>
    <m/>
    <n v="4"/>
    <n v="4"/>
    <n v="4"/>
    <n v="3"/>
  </r>
  <r>
    <x v="3"/>
    <x v="2"/>
    <x v="2"/>
    <m/>
    <m/>
    <m/>
    <n v="4"/>
    <n v="4"/>
    <n v="4"/>
    <n v="4"/>
  </r>
  <r>
    <x v="3"/>
    <x v="2"/>
    <x v="2"/>
    <m/>
    <m/>
    <m/>
    <n v="3"/>
    <n v="3"/>
    <n v="4"/>
    <n v="3"/>
  </r>
  <r>
    <x v="3"/>
    <x v="2"/>
    <x v="2"/>
    <m/>
    <m/>
    <m/>
    <n v="4"/>
    <n v="3"/>
    <n v="4"/>
    <n v="4"/>
  </r>
  <r>
    <x v="3"/>
    <x v="2"/>
    <x v="2"/>
    <m/>
    <m/>
    <m/>
    <n v="4"/>
    <n v="4"/>
    <n v="4"/>
    <n v="4"/>
  </r>
  <r>
    <x v="3"/>
    <x v="2"/>
    <x v="2"/>
    <m/>
    <m/>
    <m/>
    <n v="1"/>
    <n v="2"/>
    <n v="4"/>
    <n v="1"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2"/>
    <x v="2"/>
    <m/>
    <m/>
    <m/>
    <n v="2"/>
    <n v="2"/>
    <n v="4"/>
    <n v="2"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2"/>
    <x v="2"/>
    <m/>
    <m/>
    <m/>
    <n v="2"/>
    <n v="2"/>
    <n v="4"/>
    <n v="2"/>
  </r>
  <r>
    <x v="3"/>
    <x v="2"/>
    <x v="2"/>
    <m/>
    <m/>
    <m/>
    <n v="2"/>
    <n v="2"/>
    <n v="4"/>
    <n v="2"/>
  </r>
  <r>
    <x v="3"/>
    <x v="2"/>
    <x v="2"/>
    <m/>
    <m/>
    <m/>
    <n v="2"/>
    <n v="2"/>
    <n v="4"/>
    <n v="3"/>
  </r>
  <r>
    <x v="3"/>
    <x v="2"/>
    <x v="2"/>
    <m/>
    <m/>
    <m/>
    <n v="2"/>
    <n v="2"/>
    <n v="4"/>
    <n v="2"/>
  </r>
  <r>
    <x v="3"/>
    <x v="2"/>
    <x v="2"/>
    <m/>
    <m/>
    <m/>
    <n v="2"/>
    <n v="2"/>
    <n v="4"/>
    <n v="2"/>
  </r>
  <r>
    <x v="3"/>
    <x v="1"/>
    <x v="1"/>
    <m/>
    <m/>
    <m/>
    <m/>
    <m/>
    <s v=""/>
    <m/>
  </r>
  <r>
    <x v="3"/>
    <x v="2"/>
    <x v="2"/>
    <m/>
    <m/>
    <m/>
    <n v="3"/>
    <n v="3"/>
    <n v="4"/>
    <n v="2"/>
  </r>
  <r>
    <x v="3"/>
    <x v="2"/>
    <x v="2"/>
    <m/>
    <m/>
    <m/>
    <n v="3"/>
    <n v="2"/>
    <n v="4"/>
    <n v="2"/>
  </r>
  <r>
    <x v="3"/>
    <x v="2"/>
    <x v="2"/>
    <m/>
    <m/>
    <m/>
    <n v="3"/>
    <n v="2"/>
    <n v="4"/>
    <n v="3"/>
  </r>
  <r>
    <x v="3"/>
    <x v="1"/>
    <x v="1"/>
    <m/>
    <m/>
    <m/>
    <m/>
    <m/>
    <s v=""/>
    <m/>
  </r>
  <r>
    <x v="3"/>
    <x v="1"/>
    <x v="1"/>
    <m/>
    <m/>
    <m/>
    <m/>
    <m/>
    <s v=""/>
    <m/>
  </r>
  <r>
    <x v="3"/>
    <x v="2"/>
    <x v="2"/>
    <m/>
    <m/>
    <m/>
    <n v="3"/>
    <n v="3"/>
    <n v="4"/>
    <n v="3"/>
  </r>
  <r>
    <x v="3"/>
    <x v="2"/>
    <x v="2"/>
    <m/>
    <m/>
    <m/>
    <n v="2"/>
    <n v="3"/>
    <n v="4"/>
    <n v="3"/>
  </r>
  <r>
    <x v="3"/>
    <x v="2"/>
    <x v="2"/>
    <m/>
    <m/>
    <m/>
    <n v="3"/>
    <n v="3"/>
    <n v="4"/>
    <n v="3"/>
  </r>
  <r>
    <x v="1"/>
    <x v="2"/>
    <x v="2"/>
    <m/>
    <m/>
    <m/>
    <n v="4"/>
    <n v="4"/>
    <n v="4"/>
    <n v="3"/>
  </r>
  <r>
    <x v="1"/>
    <x v="2"/>
    <x v="2"/>
    <m/>
    <m/>
    <m/>
    <n v="3"/>
    <n v="3"/>
    <n v="4"/>
    <n v="2"/>
  </r>
  <r>
    <x v="1"/>
    <x v="2"/>
    <x v="2"/>
    <m/>
    <m/>
    <m/>
    <n v="3"/>
    <n v="4"/>
    <n v="4"/>
    <n v="3"/>
  </r>
  <r>
    <x v="1"/>
    <x v="2"/>
    <x v="2"/>
    <m/>
    <m/>
    <m/>
    <n v="4"/>
    <n v="2"/>
    <n v="4"/>
    <n v="3"/>
  </r>
  <r>
    <x v="1"/>
    <x v="2"/>
    <x v="2"/>
    <m/>
    <m/>
    <m/>
    <n v="3"/>
    <n v="3"/>
    <n v="4"/>
    <n v="3"/>
  </r>
  <r>
    <x v="1"/>
    <x v="2"/>
    <x v="2"/>
    <m/>
    <m/>
    <m/>
    <n v="4"/>
    <n v="3"/>
    <n v="4"/>
    <n v="3"/>
  </r>
  <r>
    <x v="1"/>
    <x v="2"/>
    <x v="2"/>
    <m/>
    <m/>
    <m/>
    <n v="4"/>
    <n v="3"/>
    <n v="4"/>
    <n v="3"/>
  </r>
  <r>
    <x v="1"/>
    <x v="1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3"/>
    <n v="4"/>
    <n v="4"/>
    <n v="3"/>
  </r>
  <r>
    <x v="1"/>
    <x v="2"/>
    <x v="2"/>
    <m/>
    <m/>
    <m/>
    <n v="4"/>
    <n v="3"/>
    <n v="4"/>
    <n v="3"/>
  </r>
  <r>
    <x v="1"/>
    <x v="2"/>
    <x v="2"/>
    <m/>
    <m/>
    <m/>
    <n v="3"/>
    <n v="4"/>
    <n v="4"/>
    <n v="4"/>
  </r>
  <r>
    <x v="1"/>
    <x v="2"/>
    <x v="2"/>
    <m/>
    <m/>
    <m/>
    <n v="3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3"/>
    <n v="3"/>
    <n v="4"/>
    <n v="3"/>
  </r>
  <r>
    <x v="1"/>
    <x v="2"/>
    <x v="2"/>
    <m/>
    <m/>
    <m/>
    <n v="4"/>
    <n v="3"/>
    <n v="4"/>
    <n v="3"/>
  </r>
  <r>
    <x v="1"/>
    <x v="2"/>
    <x v="2"/>
    <m/>
    <m/>
    <m/>
    <n v="4"/>
    <n v="3"/>
    <n v="4"/>
    <n v="3"/>
  </r>
  <r>
    <x v="1"/>
    <x v="2"/>
    <x v="2"/>
    <m/>
    <m/>
    <m/>
    <n v="4"/>
    <n v="3"/>
    <n v="4"/>
    <n v="4"/>
  </r>
  <r>
    <x v="1"/>
    <x v="2"/>
    <x v="2"/>
    <m/>
    <m/>
    <m/>
    <n v="4"/>
    <n v="3"/>
    <n v="4"/>
    <n v="4"/>
  </r>
  <r>
    <x v="1"/>
    <x v="2"/>
    <x v="2"/>
    <m/>
    <m/>
    <m/>
    <n v="4"/>
    <n v="4"/>
    <n v="4"/>
    <n v="4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3"/>
    <n v="4"/>
    <n v="4"/>
  </r>
  <r>
    <x v="1"/>
    <x v="2"/>
    <x v="2"/>
    <m/>
    <m/>
    <m/>
    <n v="3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3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3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3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3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2"/>
    <x v="2"/>
    <m/>
    <m/>
    <m/>
    <n v="4"/>
    <n v="4"/>
    <n v="4"/>
    <n v="4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1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1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3"/>
    <n v="4"/>
    <n v="4"/>
  </r>
  <r>
    <x v="0"/>
    <x v="2"/>
    <x v="2"/>
    <m/>
    <m/>
    <m/>
    <n v="4"/>
    <n v="3"/>
    <n v="4"/>
    <n v="3"/>
  </r>
  <r>
    <x v="0"/>
    <x v="2"/>
    <x v="2"/>
    <m/>
    <m/>
    <m/>
    <n v="3"/>
    <n v="3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3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3"/>
    <n v="3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0"/>
    <x v="0"/>
    <m/>
    <m/>
    <m/>
    <s v=""/>
    <s v=""/>
    <s v=""/>
    <s v=""/>
  </r>
  <r>
    <x v="8"/>
    <x v="1"/>
    <x v="1"/>
    <m/>
    <m/>
    <m/>
    <m/>
    <m/>
    <s v=""/>
    <m/>
  </r>
  <r>
    <x v="8"/>
    <x v="1"/>
    <x v="1"/>
    <m/>
    <m/>
    <m/>
    <m/>
    <m/>
    <s v=""/>
    <m/>
  </r>
  <r>
    <x v="8"/>
    <x v="0"/>
    <x v="0"/>
    <m/>
    <m/>
    <m/>
    <s v=""/>
    <s v=""/>
    <s v=""/>
    <s v=""/>
  </r>
  <r>
    <x v="8"/>
    <x v="1"/>
    <x v="1"/>
    <m/>
    <m/>
    <m/>
    <m/>
    <m/>
    <s v=""/>
    <m/>
  </r>
  <r>
    <x v="8"/>
    <x v="1"/>
    <x v="1"/>
    <m/>
    <m/>
    <m/>
    <m/>
    <m/>
    <s v=""/>
    <m/>
  </r>
  <r>
    <x v="8"/>
    <x v="1"/>
    <x v="1"/>
    <m/>
    <m/>
    <m/>
    <m/>
    <m/>
    <s v=""/>
    <m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0"/>
    <x v="0"/>
    <m/>
    <m/>
    <m/>
    <s v=""/>
    <s v=""/>
    <s v=""/>
    <s v=""/>
  </r>
  <r>
    <x v="8"/>
    <x v="1"/>
    <x v="1"/>
    <m/>
    <m/>
    <m/>
    <m/>
    <m/>
    <s v=""/>
    <m/>
  </r>
  <r>
    <x v="8"/>
    <x v="0"/>
    <x v="0"/>
    <m/>
    <m/>
    <m/>
    <s v=""/>
    <s v=""/>
    <s v=""/>
    <s v=""/>
  </r>
  <r>
    <x v="8"/>
    <x v="1"/>
    <x v="1"/>
    <m/>
    <m/>
    <m/>
    <m/>
    <m/>
    <s v=""/>
    <m/>
  </r>
  <r>
    <x v="8"/>
    <x v="1"/>
    <x v="1"/>
    <m/>
    <m/>
    <m/>
    <m/>
    <m/>
    <s v=""/>
    <m/>
  </r>
  <r>
    <x v="8"/>
    <x v="1"/>
    <x v="1"/>
    <m/>
    <m/>
    <m/>
    <m/>
    <m/>
    <s v=""/>
    <m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3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0"/>
    <x v="2"/>
    <x v="2"/>
    <m/>
    <m/>
    <m/>
    <n v="4"/>
    <n v="4"/>
    <n v="4"/>
    <n v="4"/>
  </r>
  <r>
    <x v="9"/>
    <x v="1"/>
    <x v="1"/>
    <m/>
    <m/>
    <m/>
    <m/>
    <m/>
    <s v=""/>
    <m/>
  </r>
  <r>
    <x v="9"/>
    <x v="1"/>
    <x v="1"/>
    <m/>
    <m/>
    <m/>
    <m/>
    <m/>
    <s v=""/>
    <m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1"/>
    <x v="1"/>
    <m/>
    <m/>
    <m/>
    <m/>
    <m/>
    <s v=""/>
    <m/>
  </r>
  <r>
    <x v="9"/>
    <x v="1"/>
    <x v="1"/>
    <m/>
    <m/>
    <m/>
    <m/>
    <m/>
    <s v=""/>
    <m/>
  </r>
  <r>
    <x v="9"/>
    <x v="1"/>
    <x v="1"/>
    <m/>
    <m/>
    <m/>
    <m/>
    <m/>
    <s v=""/>
    <m/>
  </r>
  <r>
    <x v="9"/>
    <x v="1"/>
    <x v="1"/>
    <m/>
    <m/>
    <m/>
    <m/>
    <m/>
    <s v=""/>
    <m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0"/>
    <x v="0"/>
    <m/>
    <m/>
    <m/>
    <s v=""/>
    <s v=""/>
    <s v=""/>
    <s v=""/>
  </r>
  <r>
    <x v="9"/>
    <x v="1"/>
    <x v="1"/>
    <m/>
    <m/>
    <m/>
    <m/>
    <m/>
    <s v=""/>
    <m/>
  </r>
  <r>
    <x v="9"/>
    <x v="1"/>
    <x v="1"/>
    <m/>
    <m/>
    <m/>
    <m/>
    <m/>
    <s v=""/>
    <m/>
  </r>
  <r>
    <x v="9"/>
    <x v="0"/>
    <x v="0"/>
    <m/>
    <m/>
    <m/>
    <s v=""/>
    <s v=""/>
    <s v=""/>
    <s v=""/>
  </r>
  <r>
    <x v="9"/>
    <x v="1"/>
    <x v="1"/>
    <m/>
    <m/>
    <m/>
    <m/>
    <m/>
    <s v=""/>
    <m/>
  </r>
  <r>
    <x v="9"/>
    <x v="0"/>
    <x v="0"/>
    <m/>
    <m/>
    <m/>
    <s v=""/>
    <s v=""/>
    <s v=""/>
    <s v=""/>
  </r>
  <r>
    <x v="9"/>
    <x v="1"/>
    <x v="1"/>
    <m/>
    <m/>
    <m/>
    <m/>
    <m/>
    <s v=""/>
    <m/>
  </r>
  <r>
    <x v="9"/>
    <x v="1"/>
    <x v="1"/>
    <m/>
    <m/>
    <m/>
    <m/>
    <m/>
    <s v=""/>
    <m/>
  </r>
  <r>
    <x v="9"/>
    <x v="1"/>
    <x v="1"/>
    <m/>
    <m/>
    <m/>
    <m/>
    <m/>
    <s v=""/>
    <m/>
  </r>
  <r>
    <x v="0"/>
    <x v="2"/>
    <x v="2"/>
    <m/>
    <m/>
    <m/>
    <n v="4"/>
    <n v="3"/>
    <n v="4"/>
    <n v="4"/>
  </r>
  <r>
    <x v="0"/>
    <x v="2"/>
    <x v="2"/>
    <m/>
    <m/>
    <m/>
    <n v="4"/>
    <n v="3"/>
    <n v="4"/>
    <n v="3"/>
  </r>
  <r>
    <x v="0"/>
    <x v="2"/>
    <x v="2"/>
    <m/>
    <m/>
    <m/>
    <n v="4"/>
    <n v="3"/>
    <n v="4"/>
    <n v="2"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2"/>
    <x v="2"/>
    <m/>
    <m/>
    <m/>
    <n v="1"/>
    <n v="2"/>
    <n v="4"/>
    <n v="4"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2"/>
    <x v="2"/>
    <m/>
    <m/>
    <m/>
    <n v="3"/>
    <n v="1"/>
    <n v="4"/>
    <n v="4"/>
  </r>
  <r>
    <x v="0"/>
    <x v="2"/>
    <x v="2"/>
    <m/>
    <m/>
    <m/>
    <n v="1"/>
    <n v="3"/>
    <n v="4"/>
    <n v="4"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1"/>
    <x v="1"/>
    <m/>
    <m/>
    <m/>
    <m/>
    <m/>
    <s v=""/>
    <m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  <r>
    <x v="0"/>
    <x v="0"/>
    <x v="0"/>
    <m/>
    <m/>
    <m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E98A79-BE70-4644-BC55-829CBA5A5C59}" name="PivotTable17" cacheId="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36:K37" firstHeaderRow="1" firstDataRow="1" firstDataCol="0" rowPageCount="3" colPageCount="1"/>
  <pivotFields count="10">
    <pivotField axis="axisPage" multipleItemSelectionAllowed="1" showAll="0">
      <items count="11">
        <item x="0"/>
        <item x="1"/>
        <item h="1" x="3"/>
        <item h="1" x="5"/>
        <item h="1" x="7"/>
        <item h="1" x="9"/>
        <item h="1" x="8"/>
        <item h="1" x="2"/>
        <item h="1" x="4"/>
        <item h="1" x="6"/>
        <item t="default"/>
      </items>
    </pivotField>
    <pivotField axis="axisPage" multipleItemSelectionAllowed="1" showAll="0">
      <items count="4">
        <item x="1"/>
        <item h="1" x="0"/>
        <item x="2"/>
        <item t="default"/>
      </items>
    </pivotField>
    <pivotField axis="axisPage" multipleItemSelectionAllowed="1" showAll="0">
      <items count="4">
        <item h="1"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Condition_Score24" fld="9" subtotal="average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80A254-84A0-4C01-A7F2-700AF687862C}" name="PivotTable16" cacheId="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28:K29" firstHeaderRow="1" firstDataRow="1" firstDataCol="0" rowPageCount="3" colPageCount="1"/>
  <pivotFields count="10">
    <pivotField axis="axisPage" multipleItemSelectionAllowed="1" showAll="0">
      <items count="11">
        <item x="0"/>
        <item x="1"/>
        <item h="1" x="3"/>
        <item h="1" x="5"/>
        <item h="1" x="7"/>
        <item h="1" x="9"/>
        <item h="1" x="8"/>
        <item h="1" x="2"/>
        <item h="1" x="4"/>
        <item h="1" x="6"/>
        <item t="default"/>
      </items>
    </pivotField>
    <pivotField axis="axisPage" multipleItemSelectionAllowed="1" showAll="0">
      <items count="4">
        <item x="1"/>
        <item h="1" x="0"/>
        <item x="2"/>
        <item t="default"/>
      </items>
    </pivotField>
    <pivotField axis="axisPage" multipleItemSelectionAllowed="1" showAll="0">
      <items count="4">
        <item h="1" x="1"/>
        <item x="2"/>
        <item h="1"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Maturity24" fld="7" subtotal="average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24E4D2-9DB3-498B-A18F-4065B7AACD2C}" name="PivotTable15" cacheId="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20:K21" firstHeaderRow="1" firstDataRow="1" firstDataCol="0" rowPageCount="3" colPageCount="1"/>
  <pivotFields count="10">
    <pivotField axis="axisPage" multipleItemSelectionAllowed="1" showAll="0">
      <items count="11">
        <item x="0"/>
        <item x="1"/>
        <item h="1" x="3"/>
        <item h="1" x="5"/>
        <item h="1" x="7"/>
        <item h="1" x="9"/>
        <item h="1" x="8"/>
        <item h="1" x="2"/>
        <item h="1" x="4"/>
        <item h="1" x="6"/>
        <item t="default"/>
      </items>
    </pivotField>
    <pivotField axis="axisPage" multipleItemSelectionAllowed="1" showAll="0">
      <items count="4">
        <item x="1"/>
        <item h="1" x="0"/>
        <item x="2"/>
        <item t="default"/>
      </items>
    </pivotField>
    <pivotField axis="axisPage" multipleItemSelectionAllowed="1" showAll="0">
      <items count="4">
        <item h="1" x="1"/>
        <item x="2"/>
        <item h="1"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Density24" fld="6" subtotal="average" baseField="0" baseItem="0" numFmtId="168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3F24F-7899-4643-9CEC-5BD1BDB6898C}" name="PivotTable14" cacheId="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46:B50" firstHeaderRow="1" firstDataRow="1" firstDataCol="1" rowPageCount="3" colPageCount="1"/>
  <pivotFields count="16">
    <pivotField axis="axisPage" multipleItemSelectionAllowed="1" showAll="0">
      <items count="11">
        <item x="0"/>
        <item x="1"/>
        <item h="1" x="3"/>
        <item h="1" x="5"/>
        <item h="1" x="7"/>
        <item h="1" x="9"/>
        <item h="1" x="8"/>
        <item h="1" x="2"/>
        <item h="1" x="4"/>
        <item h="1" x="6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6">
        <item x="1"/>
        <item x="2"/>
        <item x="4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1"/>
        <item x="2"/>
        <item x="3"/>
        <item x="0"/>
        <item t="default"/>
      </items>
    </pivotField>
  </pivotFields>
  <rowFields count="1">
    <field x="15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0" hier="-1"/>
    <pageField fld="1" hier="-1"/>
    <pageField fld="2" hier="-1"/>
  </pageFields>
  <dataFields count="1">
    <dataField name="Count of Shoreline_Modification" fld="15" subtotal="count" baseField="1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D25DC2-2879-46B5-B25D-19930243B32E}" name="PivotTable13" cacheId="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6:B38" firstHeaderRow="1" firstDataRow="1" firstDataCol="1" rowPageCount="3" colPageCount="1"/>
  <pivotFields count="16">
    <pivotField axis="axisPage" multipleItemSelectionAllowed="1" showAll="0">
      <items count="11">
        <item x="0"/>
        <item x="1"/>
        <item h="1" x="3"/>
        <item h="1" x="5"/>
        <item h="1" x="7"/>
        <item h="1" x="9"/>
        <item h="1" x="8"/>
        <item h="1" x="2"/>
        <item h="1" x="4"/>
        <item h="1" x="6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6">
        <item h="1" x="1"/>
        <item x="2"/>
        <item h="1" x="4"/>
        <item h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2">
    <i>
      <x/>
    </i>
    <i t="grand">
      <x/>
    </i>
  </rowItems>
  <colItems count="1">
    <i/>
  </colItems>
  <pageFields count="3">
    <pageField fld="0" hier="-1"/>
    <pageField fld="1" hier="-1"/>
    <pageField fld="2" hier="-1"/>
  </pageFields>
  <dataFields count="1">
    <dataField name="Sum of Physical_Damage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083BB8-8580-479A-8AAE-A7204DE00419}" name="PivotTable12" cacheId="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27:B30" firstHeaderRow="1" firstDataRow="1" firstDataCol="1" rowPageCount="2" colPageCount="1"/>
  <pivotFields count="16">
    <pivotField axis="axisPage" multipleItemSelectionAllowed="1" showAll="0">
      <items count="11">
        <item x="0"/>
        <item x="1"/>
        <item h="1" x="3"/>
        <item h="1" x="5"/>
        <item h="1" x="7"/>
        <item h="1" x="9"/>
        <item h="1" x="8"/>
        <item h="1" x="2"/>
        <item h="1" x="4"/>
        <item h="1" x="6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Row" dataField="1" showAll="0">
      <items count="6">
        <item x="1"/>
        <item x="2"/>
        <item x="4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2">
    <pageField fld="0" hier="-1"/>
    <pageField fld="1" hier="-1"/>
  </pageFields>
  <dataFields count="1">
    <dataField name="Count of Mangrove_Presence_24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716B36-A542-4349-9E82-DD0ECF4DDF1E}" name="PivotTable11" cacheId="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20:D22" firstHeaderRow="1" firstDataRow="2" firstDataCol="1" rowPageCount="1" colPageCount="1"/>
  <pivotFields count="16">
    <pivotField axis="axisPage" multipleItemSelectionAllowed="1" showAll="0">
      <items count="11">
        <item x="0"/>
        <item x="1"/>
        <item h="1" x="3"/>
        <item h="1" x="5"/>
        <item h="1" x="7"/>
        <item h="1" x="9"/>
        <item h="1" x="8"/>
        <item h="1" x="2"/>
        <item h="1" x="4"/>
        <item h="1" x="6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1"/>
  </colFields>
  <colItems count="3">
    <i>
      <x/>
    </i>
    <i>
      <x v="1"/>
    </i>
    <i t="grand">
      <x/>
    </i>
  </colItems>
  <pageFields count="1">
    <pageField fld="0" hier="-1"/>
  </pageFields>
  <dataFields count="1">
    <dataField name="Count of Mangrove_Presence_24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24848-546C-4AFE-8DB0-7D35BE0A4964}">
  <sheetPr codeName="Sheet1"/>
  <dimension ref="A1:AM10164"/>
  <sheetViews>
    <sheetView zoomScale="70" zoomScaleNormal="115" workbookViewId="0">
      <pane ySplit="3" topLeftCell="A4" activePane="bottomLeft" state="frozen"/>
      <selection pane="bottomLeft" activeCell="N1" sqref="N1:N1048576"/>
    </sheetView>
  </sheetViews>
  <sheetFormatPr defaultRowHeight="14.5" x14ac:dyDescent="0.35"/>
  <cols>
    <col min="3" max="5" width="0" hidden="1" customWidth="1"/>
    <col min="6" max="6" width="62.54296875" customWidth="1"/>
    <col min="8" max="8" width="23" customWidth="1"/>
    <col min="9" max="9" width="8.453125" style="57" customWidth="1"/>
    <col min="10" max="12" width="5.1796875" customWidth="1"/>
    <col min="13" max="13" width="7.1796875" bestFit="1" customWidth="1"/>
    <col min="14" max="14" width="5.1796875" bestFit="1" customWidth="1"/>
    <col min="15" max="15" width="4.453125" style="57" customWidth="1"/>
    <col min="16" max="22" width="5.1796875" style="57" bestFit="1" customWidth="1"/>
    <col min="23" max="23" width="3.81640625" customWidth="1"/>
    <col min="33" max="33" width="18.453125" hidden="1" customWidth="1"/>
  </cols>
  <sheetData>
    <row r="1" spans="1:33" x14ac:dyDescent="0.35">
      <c r="I1" s="51" t="s">
        <v>0</v>
      </c>
      <c r="J1" s="32"/>
      <c r="K1" s="32"/>
      <c r="L1" s="32"/>
      <c r="M1" s="32"/>
      <c r="N1" s="2"/>
      <c r="O1" s="2" t="s">
        <v>1</v>
      </c>
      <c r="P1" s="58"/>
      <c r="Q1" s="58"/>
      <c r="R1" s="58"/>
      <c r="S1" s="58"/>
      <c r="T1" s="58"/>
      <c r="U1" s="3"/>
      <c r="V1" s="60"/>
    </row>
    <row r="2" spans="1:33" x14ac:dyDescent="0.35">
      <c r="I2" s="52" t="s">
        <v>2</v>
      </c>
      <c r="J2" s="33"/>
      <c r="K2" s="33"/>
      <c r="L2" s="33"/>
      <c r="M2" s="33"/>
      <c r="N2" s="4"/>
      <c r="O2" s="4"/>
      <c r="U2" s="5"/>
      <c r="V2" s="61"/>
    </row>
    <row r="3" spans="1:33" ht="121.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3" t="s">
        <v>3958</v>
      </c>
      <c r="J3" s="24" t="s">
        <v>11</v>
      </c>
      <c r="K3" s="24" t="s">
        <v>12</v>
      </c>
      <c r="L3" s="24" t="s">
        <v>13</v>
      </c>
      <c r="M3" s="24" t="s">
        <v>14</v>
      </c>
      <c r="N3" s="6" t="s">
        <v>15</v>
      </c>
      <c r="O3" s="6" t="s">
        <v>16</v>
      </c>
      <c r="P3" s="59" t="s">
        <v>17</v>
      </c>
      <c r="Q3" s="59" t="s">
        <v>18</v>
      </c>
      <c r="R3" s="59" t="s">
        <v>19</v>
      </c>
      <c r="S3" s="59" t="s">
        <v>20</v>
      </c>
      <c r="T3" s="59" t="s">
        <v>21</v>
      </c>
      <c r="U3" s="7" t="s">
        <v>22</v>
      </c>
      <c r="V3" s="62" t="s">
        <v>23</v>
      </c>
      <c r="W3" s="9" t="s">
        <v>24</v>
      </c>
      <c r="X3" s="9" t="s">
        <v>25</v>
      </c>
      <c r="AA3" s="8" t="s">
        <v>23</v>
      </c>
    </row>
    <row r="4" spans="1:33" x14ac:dyDescent="0.35">
      <c r="A4">
        <v>0</v>
      </c>
      <c r="B4">
        <v>1</v>
      </c>
      <c r="C4">
        <v>146.831503164</v>
      </c>
      <c r="D4">
        <v>-19.178384245</v>
      </c>
      <c r="F4" s="63"/>
      <c r="G4" s="63"/>
      <c r="H4" t="s">
        <v>26</v>
      </c>
      <c r="I4" s="64"/>
      <c r="J4" s="31"/>
      <c r="K4" s="31"/>
      <c r="L4" s="31"/>
      <c r="M4" s="31"/>
      <c r="N4" s="4"/>
      <c r="O4" s="4"/>
      <c r="P4" s="4"/>
      <c r="Q4" s="4"/>
      <c r="U4" s="5"/>
      <c r="V4" s="4"/>
      <c r="AA4">
        <v>1</v>
      </c>
      <c r="AB4" t="s">
        <v>27</v>
      </c>
    </row>
    <row r="5" spans="1:33" x14ac:dyDescent="0.35">
      <c r="A5">
        <v>1</v>
      </c>
      <c r="B5">
        <v>2</v>
      </c>
      <c r="C5">
        <v>146.83144707299999</v>
      </c>
      <c r="D5">
        <v>-19.178317971999899</v>
      </c>
      <c r="F5" s="63"/>
      <c r="G5" s="63"/>
      <c r="H5" t="s">
        <v>26</v>
      </c>
      <c r="I5" s="64"/>
      <c r="J5" s="31"/>
      <c r="K5" s="31"/>
      <c r="L5" s="31"/>
      <c r="M5" s="31"/>
      <c r="N5" s="4"/>
      <c r="O5" s="4"/>
      <c r="P5" s="4"/>
      <c r="Q5" s="4"/>
      <c r="U5" s="5"/>
      <c r="V5" s="4"/>
      <c r="AA5">
        <v>2</v>
      </c>
      <c r="AB5" t="s">
        <v>28</v>
      </c>
      <c r="AG5" t="s">
        <v>63</v>
      </c>
    </row>
    <row r="6" spans="1:33" x14ac:dyDescent="0.35">
      <c r="A6">
        <v>2</v>
      </c>
      <c r="B6">
        <v>3</v>
      </c>
      <c r="C6">
        <v>146.83141051600001</v>
      </c>
      <c r="D6">
        <v>-19.178241676999999</v>
      </c>
      <c r="F6" s="63"/>
      <c r="G6" s="63"/>
      <c r="H6" t="s">
        <v>26</v>
      </c>
      <c r="I6" s="64"/>
      <c r="J6" s="31"/>
      <c r="K6" s="31"/>
      <c r="L6" s="31"/>
      <c r="M6" s="31"/>
      <c r="N6" s="4"/>
      <c r="O6" s="4"/>
      <c r="P6" s="4"/>
      <c r="Q6" s="4"/>
      <c r="U6" s="5"/>
      <c r="V6" s="4"/>
      <c r="AA6">
        <v>3</v>
      </c>
      <c r="AB6" t="s">
        <v>29</v>
      </c>
      <c r="AG6" t="s">
        <v>64</v>
      </c>
    </row>
    <row r="7" spans="1:33" x14ac:dyDescent="0.35">
      <c r="A7">
        <v>3</v>
      </c>
      <c r="B7">
        <v>4</v>
      </c>
      <c r="C7">
        <v>146.83138218600001</v>
      </c>
      <c r="D7">
        <v>-19.178161159999899</v>
      </c>
      <c r="F7" s="63"/>
      <c r="G7" s="63"/>
      <c r="H7" t="s">
        <v>26</v>
      </c>
      <c r="I7" s="64"/>
      <c r="J7" s="31"/>
      <c r="K7" s="31"/>
      <c r="L7" s="31"/>
      <c r="M7" s="31"/>
      <c r="N7" s="4"/>
      <c r="O7" s="4"/>
      <c r="P7" s="4"/>
      <c r="Q7" s="4"/>
      <c r="U7" s="5"/>
      <c r="V7" s="4"/>
      <c r="AA7">
        <v>4</v>
      </c>
      <c r="AB7" t="s">
        <v>30</v>
      </c>
      <c r="AG7" t="s">
        <v>65</v>
      </c>
    </row>
    <row r="8" spans="1:33" x14ac:dyDescent="0.35">
      <c r="A8">
        <v>4</v>
      </c>
      <c r="B8">
        <v>5</v>
      </c>
      <c r="C8">
        <v>146.83135385599999</v>
      </c>
      <c r="D8">
        <v>-19.178080644000001</v>
      </c>
      <c r="E8">
        <v>50</v>
      </c>
      <c r="F8" s="63"/>
      <c r="G8" s="63"/>
      <c r="H8" t="s">
        <v>26</v>
      </c>
      <c r="I8" s="64"/>
      <c r="J8" s="31"/>
      <c r="K8" s="31"/>
      <c r="L8" s="31"/>
      <c r="M8" s="31"/>
      <c r="N8" s="4"/>
      <c r="O8" s="4"/>
      <c r="P8" s="4"/>
      <c r="Q8" s="4"/>
      <c r="U8" s="5"/>
      <c r="V8" s="4"/>
      <c r="AG8" t="s">
        <v>66</v>
      </c>
    </row>
    <row r="9" spans="1:33" x14ac:dyDescent="0.35">
      <c r="A9">
        <v>5</v>
      </c>
      <c r="B9">
        <v>6</v>
      </c>
      <c r="C9">
        <v>146.831338155</v>
      </c>
      <c r="D9">
        <v>-19.177997514000001</v>
      </c>
      <c r="F9" s="63"/>
      <c r="G9" s="63"/>
      <c r="H9" t="s">
        <v>26</v>
      </c>
      <c r="I9" s="64"/>
      <c r="J9" s="31"/>
      <c r="K9" s="31"/>
      <c r="L9" s="31"/>
      <c r="M9" s="31"/>
      <c r="N9" s="4"/>
      <c r="O9" s="4"/>
      <c r="P9" s="4"/>
      <c r="Q9" s="4"/>
      <c r="U9" s="5"/>
      <c r="V9" s="4"/>
      <c r="AG9" t="s">
        <v>67</v>
      </c>
    </row>
    <row r="10" spans="1:33" x14ac:dyDescent="0.35">
      <c r="A10">
        <v>6</v>
      </c>
      <c r="B10">
        <v>7</v>
      </c>
      <c r="C10">
        <v>146.83132824399999</v>
      </c>
      <c r="D10">
        <v>-19.177913186000001</v>
      </c>
      <c r="F10" s="63"/>
      <c r="G10" s="63"/>
      <c r="H10" t="s">
        <v>26</v>
      </c>
      <c r="I10" s="64"/>
      <c r="J10" s="31"/>
      <c r="K10" s="31"/>
      <c r="L10" s="31"/>
      <c r="M10" s="31"/>
      <c r="N10" s="4"/>
      <c r="O10" s="4"/>
      <c r="P10" s="4"/>
      <c r="Q10" s="4"/>
      <c r="U10" s="5"/>
      <c r="V10" s="4"/>
      <c r="AA10" s="57"/>
      <c r="AB10" t="s">
        <v>31</v>
      </c>
      <c r="AG10" t="s">
        <v>68</v>
      </c>
    </row>
    <row r="11" spans="1:33" x14ac:dyDescent="0.35">
      <c r="A11">
        <v>7</v>
      </c>
      <c r="B11">
        <v>8</v>
      </c>
      <c r="C11">
        <v>146.831318334</v>
      </c>
      <c r="D11">
        <v>-19.177828857999899</v>
      </c>
      <c r="F11" s="63"/>
      <c r="G11" s="63"/>
      <c r="H11" t="s">
        <v>26</v>
      </c>
      <c r="I11" s="64"/>
      <c r="J11" s="31"/>
      <c r="K11" s="31"/>
      <c r="L11" s="31"/>
      <c r="M11" s="31"/>
      <c r="N11" s="4"/>
      <c r="O11" s="4"/>
      <c r="P11" s="4"/>
      <c r="Q11" s="4"/>
      <c r="U11" s="5"/>
      <c r="V11" s="4"/>
      <c r="AG11" t="s">
        <v>69</v>
      </c>
    </row>
    <row r="12" spans="1:33" x14ac:dyDescent="0.35">
      <c r="A12">
        <v>8</v>
      </c>
      <c r="B12">
        <v>9</v>
      </c>
      <c r="C12">
        <v>146.831300889</v>
      </c>
      <c r="D12">
        <v>-19.1777456999999</v>
      </c>
      <c r="F12" s="63"/>
      <c r="G12" s="63"/>
      <c r="H12" t="s">
        <v>26</v>
      </c>
      <c r="I12" s="64"/>
      <c r="J12" s="31"/>
      <c r="K12" s="31"/>
      <c r="L12" s="31"/>
      <c r="M12" s="31"/>
      <c r="N12" s="4"/>
      <c r="O12" s="4"/>
      <c r="P12" s="4"/>
      <c r="Q12" s="4"/>
      <c r="U12" s="5"/>
      <c r="V12" s="4"/>
      <c r="AG12" t="s">
        <v>70</v>
      </c>
    </row>
    <row r="13" spans="1:33" x14ac:dyDescent="0.35">
      <c r="A13">
        <v>9</v>
      </c>
      <c r="B13">
        <v>10</v>
      </c>
      <c r="C13">
        <v>146.831281676</v>
      </c>
      <c r="D13">
        <v>-19.177662816999899</v>
      </c>
      <c r="E13">
        <v>50</v>
      </c>
      <c r="F13" s="63"/>
      <c r="G13" s="63"/>
      <c r="H13" t="s">
        <v>26</v>
      </c>
      <c r="I13" s="64"/>
      <c r="J13" s="31"/>
      <c r="K13" s="31"/>
      <c r="L13" s="31"/>
      <c r="M13" s="31"/>
      <c r="N13" s="4"/>
      <c r="O13" s="4"/>
      <c r="P13" s="4"/>
      <c r="Q13" s="4"/>
      <c r="U13" s="5"/>
      <c r="V13" s="4"/>
      <c r="AG13" t="s">
        <v>71</v>
      </c>
    </row>
    <row r="14" spans="1:33" ht="15" thickBot="1" x14ac:dyDescent="0.4">
      <c r="A14">
        <v>10</v>
      </c>
      <c r="B14">
        <v>11</v>
      </c>
      <c r="C14">
        <v>146.83127345</v>
      </c>
      <c r="D14">
        <v>-19.177578810999901</v>
      </c>
      <c r="F14" s="63"/>
      <c r="G14" s="63"/>
      <c r="H14" t="s">
        <v>26</v>
      </c>
      <c r="I14" s="64"/>
      <c r="J14" s="31"/>
      <c r="K14" s="31"/>
      <c r="L14" s="31"/>
      <c r="M14" s="31"/>
      <c r="N14" s="4"/>
      <c r="O14" s="4"/>
      <c r="P14" s="4"/>
      <c r="Q14" s="4"/>
      <c r="U14" s="5"/>
      <c r="V14" s="4"/>
      <c r="AA14" s="62"/>
      <c r="AG14" t="s">
        <v>72</v>
      </c>
    </row>
    <row r="15" spans="1:33" x14ac:dyDescent="0.35">
      <c r="A15">
        <v>11</v>
      </c>
      <c r="B15">
        <v>12</v>
      </c>
      <c r="C15">
        <v>146.83127345</v>
      </c>
      <c r="D15">
        <v>-19.177493964999901</v>
      </c>
      <c r="F15" s="63"/>
      <c r="G15" s="63"/>
      <c r="H15" t="s">
        <v>26</v>
      </c>
      <c r="I15" s="64"/>
      <c r="J15" s="31"/>
      <c r="K15" s="31"/>
      <c r="L15" s="31"/>
      <c r="M15" s="31"/>
      <c r="N15" s="4"/>
      <c r="O15" s="4"/>
      <c r="P15" s="4"/>
      <c r="Q15" s="4"/>
      <c r="U15" s="5"/>
      <c r="V15" s="4"/>
      <c r="AG15" t="s">
        <v>73</v>
      </c>
    </row>
    <row r="16" spans="1:33" x14ac:dyDescent="0.35">
      <c r="A16">
        <v>12</v>
      </c>
      <c r="B16">
        <v>13</v>
      </c>
      <c r="C16">
        <v>146.83127345</v>
      </c>
      <c r="D16">
        <v>-19.177409118999901</v>
      </c>
      <c r="F16" s="63"/>
      <c r="G16" s="63"/>
      <c r="H16" t="s">
        <v>26</v>
      </c>
      <c r="I16" s="64"/>
      <c r="J16" s="31"/>
      <c r="K16" s="31"/>
      <c r="L16" s="31"/>
      <c r="M16" s="31"/>
      <c r="N16" s="4"/>
      <c r="O16" s="4"/>
      <c r="P16" s="4"/>
      <c r="Q16" s="4"/>
      <c r="U16" s="5"/>
      <c r="V16" s="4"/>
      <c r="AG16" t="s">
        <v>74</v>
      </c>
    </row>
    <row r="17" spans="1:33" x14ac:dyDescent="0.35">
      <c r="A17">
        <v>13</v>
      </c>
      <c r="B17">
        <v>14</v>
      </c>
      <c r="C17">
        <v>146.83128276299999</v>
      </c>
      <c r="D17">
        <v>-19.177325523</v>
      </c>
      <c r="F17" s="63"/>
      <c r="G17" s="63"/>
      <c r="H17" t="s">
        <v>26</v>
      </c>
      <c r="I17" s="64"/>
      <c r="J17" s="31"/>
      <c r="K17" s="31"/>
      <c r="L17" s="31"/>
      <c r="M17" s="31"/>
      <c r="N17" s="4"/>
      <c r="O17" s="4"/>
      <c r="P17" s="4"/>
      <c r="Q17" s="4"/>
      <c r="U17" s="5"/>
      <c r="V17" s="4"/>
      <c r="AG17" t="s">
        <v>75</v>
      </c>
    </row>
    <row r="18" spans="1:33" x14ac:dyDescent="0.35">
      <c r="A18">
        <v>14</v>
      </c>
      <c r="B18">
        <v>15</v>
      </c>
      <c r="C18">
        <v>146.83130780100001</v>
      </c>
      <c r="D18">
        <v>-19.177244039000001</v>
      </c>
      <c r="E18">
        <v>50</v>
      </c>
      <c r="F18" s="63"/>
      <c r="G18" s="63"/>
      <c r="H18" t="s">
        <v>26</v>
      </c>
      <c r="I18" s="64"/>
      <c r="J18" s="31"/>
      <c r="K18" s="31"/>
      <c r="L18" s="31"/>
      <c r="M18" s="31"/>
      <c r="N18" s="4"/>
      <c r="O18" s="4"/>
      <c r="P18" s="4"/>
      <c r="Q18" s="4"/>
      <c r="U18" s="5"/>
      <c r="V18" s="4"/>
      <c r="AG18" t="s">
        <v>76</v>
      </c>
    </row>
    <row r="19" spans="1:33" x14ac:dyDescent="0.35">
      <c r="A19">
        <v>15</v>
      </c>
      <c r="B19">
        <v>16</v>
      </c>
      <c r="C19">
        <v>146.83133382</v>
      </c>
      <c r="D19">
        <v>-19.177162885000001</v>
      </c>
      <c r="F19" s="63"/>
      <c r="G19" s="63"/>
      <c r="H19" t="s">
        <v>26</v>
      </c>
      <c r="I19" s="64"/>
      <c r="J19" s="31"/>
      <c r="K19" s="31"/>
      <c r="L19" s="31"/>
      <c r="M19" s="31"/>
      <c r="N19" s="4"/>
      <c r="O19" s="4"/>
      <c r="P19" s="4"/>
      <c r="Q19" s="4"/>
      <c r="U19" s="5"/>
      <c r="V19" s="4"/>
      <c r="AG19" t="s">
        <v>77</v>
      </c>
    </row>
    <row r="20" spans="1:33" x14ac:dyDescent="0.35">
      <c r="A20">
        <v>16</v>
      </c>
      <c r="B20">
        <v>17</v>
      </c>
      <c r="C20">
        <v>146.831369126</v>
      </c>
      <c r="D20">
        <v>-19.177084866000001</v>
      </c>
      <c r="F20" s="63"/>
      <c r="G20" s="63"/>
      <c r="H20" t="s">
        <v>26</v>
      </c>
      <c r="I20" s="64"/>
      <c r="J20" s="31"/>
      <c r="K20" s="31"/>
      <c r="L20" s="31"/>
      <c r="M20" s="31"/>
      <c r="N20" s="4"/>
      <c r="O20" s="4"/>
      <c r="P20" s="4"/>
      <c r="Q20" s="4"/>
      <c r="U20" s="5"/>
      <c r="V20" s="4"/>
      <c r="AG20" t="s">
        <v>78</v>
      </c>
    </row>
    <row r="21" spans="1:33" x14ac:dyDescent="0.35">
      <c r="A21">
        <v>17</v>
      </c>
      <c r="B21">
        <v>18</v>
      </c>
      <c r="C21">
        <v>146.83140132400001</v>
      </c>
      <c r="D21">
        <v>-19.177006397</v>
      </c>
      <c r="F21" s="63"/>
      <c r="G21" s="63"/>
      <c r="H21" t="s">
        <v>26</v>
      </c>
      <c r="I21" s="64"/>
      <c r="J21" s="31"/>
      <c r="K21" s="31"/>
      <c r="L21" s="31"/>
      <c r="M21" s="31"/>
      <c r="N21" s="4"/>
      <c r="O21" s="4"/>
      <c r="P21" s="4"/>
      <c r="Q21" s="4"/>
      <c r="U21" s="5"/>
      <c r="V21" s="4"/>
      <c r="AG21" t="s">
        <v>78</v>
      </c>
    </row>
    <row r="22" spans="1:33" x14ac:dyDescent="0.35">
      <c r="A22">
        <v>18</v>
      </c>
      <c r="B22">
        <v>19</v>
      </c>
      <c r="C22">
        <v>146.83139241200001</v>
      </c>
      <c r="D22">
        <v>-19.176921968999999</v>
      </c>
      <c r="F22" s="63"/>
      <c r="G22" s="63"/>
      <c r="H22" t="s">
        <v>26</v>
      </c>
      <c r="I22" s="64"/>
      <c r="J22" s="31"/>
      <c r="K22" s="31"/>
      <c r="L22" s="31"/>
      <c r="M22" s="31"/>
      <c r="N22" s="4"/>
      <c r="O22" s="4"/>
      <c r="P22" s="4"/>
      <c r="Q22" s="4"/>
      <c r="U22" s="5"/>
      <c r="V22" s="4"/>
      <c r="AG22" t="s">
        <v>79</v>
      </c>
    </row>
    <row r="23" spans="1:33" x14ac:dyDescent="0.35">
      <c r="A23">
        <v>19</v>
      </c>
      <c r="B23">
        <v>20</v>
      </c>
      <c r="C23">
        <v>146.83138349999999</v>
      </c>
      <c r="D23">
        <v>-19.176837540999902</v>
      </c>
      <c r="E23">
        <v>50</v>
      </c>
      <c r="F23" s="63"/>
      <c r="G23" s="63"/>
      <c r="H23" t="s">
        <v>26</v>
      </c>
      <c r="I23" s="64"/>
      <c r="J23" s="31"/>
      <c r="K23" s="31"/>
      <c r="L23" s="31"/>
      <c r="M23" s="31"/>
      <c r="N23" s="4"/>
      <c r="O23" s="4"/>
      <c r="P23" s="4"/>
      <c r="Q23" s="4"/>
      <c r="U23" s="5"/>
      <c r="V23" s="4"/>
      <c r="AG23" t="s">
        <v>80</v>
      </c>
    </row>
    <row r="24" spans="1:33" x14ac:dyDescent="0.35">
      <c r="A24">
        <v>20</v>
      </c>
      <c r="B24">
        <v>21</v>
      </c>
      <c r="C24">
        <v>146.83137458799999</v>
      </c>
      <c r="D24">
        <v>-19.176753113</v>
      </c>
      <c r="F24" s="63"/>
      <c r="G24" s="63"/>
      <c r="H24" t="s">
        <v>26</v>
      </c>
      <c r="I24" s="64"/>
      <c r="J24" s="31"/>
      <c r="K24" s="31"/>
      <c r="L24" s="31"/>
      <c r="M24" s="31"/>
      <c r="N24" s="4"/>
      <c r="O24" s="4"/>
      <c r="P24" s="4"/>
      <c r="Q24" s="4"/>
      <c r="U24" s="5"/>
      <c r="V24" s="4"/>
      <c r="AG24" t="s">
        <v>81</v>
      </c>
    </row>
    <row r="25" spans="1:33" x14ac:dyDescent="0.35">
      <c r="A25">
        <v>21</v>
      </c>
      <c r="B25">
        <v>22</v>
      </c>
      <c r="C25">
        <v>146.831346419</v>
      </c>
      <c r="D25">
        <v>-19.176672862</v>
      </c>
      <c r="F25" s="63"/>
      <c r="G25" s="63"/>
      <c r="H25" t="s">
        <v>26</v>
      </c>
      <c r="I25" s="64"/>
      <c r="J25" s="31"/>
      <c r="K25" s="31"/>
      <c r="L25" s="31"/>
      <c r="M25" s="31"/>
      <c r="N25" s="4"/>
      <c r="O25" s="4"/>
      <c r="P25" s="4"/>
      <c r="Q25" s="4"/>
      <c r="U25" s="5"/>
      <c r="V25" s="4"/>
      <c r="AG25" t="s">
        <v>82</v>
      </c>
    </row>
    <row r="26" spans="1:33" x14ac:dyDescent="0.35">
      <c r="A26">
        <v>22</v>
      </c>
      <c r="B26">
        <v>23</v>
      </c>
      <c r="C26">
        <v>146.83131543100001</v>
      </c>
      <c r="D26">
        <v>-19.176593223999902</v>
      </c>
      <c r="F26" s="63"/>
      <c r="G26" s="63"/>
      <c r="H26" t="s">
        <v>26</v>
      </c>
      <c r="I26" s="64"/>
      <c r="J26" s="31"/>
      <c r="K26" s="31"/>
      <c r="L26" s="31"/>
      <c r="M26" s="31"/>
      <c r="N26" s="4"/>
      <c r="O26" s="4"/>
      <c r="P26" s="4"/>
      <c r="Q26" s="4"/>
      <c r="U26" s="5"/>
      <c r="V26" s="4"/>
      <c r="AG26" t="s">
        <v>83</v>
      </c>
    </row>
    <row r="27" spans="1:33" x14ac:dyDescent="0.35">
      <c r="A27">
        <v>23</v>
      </c>
      <c r="B27">
        <v>24</v>
      </c>
      <c r="C27">
        <v>146.83128444299999</v>
      </c>
      <c r="D27">
        <v>-19.176513584999999</v>
      </c>
      <c r="F27" s="63"/>
      <c r="G27" s="63"/>
      <c r="H27" t="s">
        <v>26</v>
      </c>
      <c r="I27" s="64"/>
      <c r="J27" s="31"/>
      <c r="K27" s="31"/>
      <c r="L27" s="31"/>
      <c r="M27" s="31"/>
      <c r="N27" s="4"/>
      <c r="O27" s="4"/>
      <c r="P27" s="4"/>
      <c r="Q27" s="4"/>
      <c r="U27" s="5"/>
      <c r="V27" s="4"/>
      <c r="AG27" t="s">
        <v>84</v>
      </c>
    </row>
    <row r="28" spans="1:33" x14ac:dyDescent="0.35">
      <c r="A28">
        <v>24</v>
      </c>
      <c r="B28">
        <v>25</v>
      </c>
      <c r="C28">
        <v>146.83124648500001</v>
      </c>
      <c r="D28">
        <v>-19.17643687</v>
      </c>
      <c r="E28">
        <v>50</v>
      </c>
      <c r="F28" s="63"/>
      <c r="G28" s="63"/>
      <c r="H28" t="s">
        <v>26</v>
      </c>
      <c r="I28" s="64"/>
      <c r="J28" s="31"/>
      <c r="K28" s="31"/>
      <c r="L28" s="31"/>
      <c r="M28" s="31"/>
      <c r="N28" s="4"/>
      <c r="O28" s="4"/>
      <c r="P28" s="4"/>
      <c r="Q28" s="4"/>
      <c r="U28" s="5"/>
      <c r="V28" s="4"/>
      <c r="AG28" t="s">
        <v>85</v>
      </c>
    </row>
    <row r="29" spans="1:33" x14ac:dyDescent="0.35">
      <c r="A29">
        <v>25</v>
      </c>
      <c r="B29">
        <v>26</v>
      </c>
      <c r="C29">
        <v>146.831204695</v>
      </c>
      <c r="D29">
        <v>-19.176361763999999</v>
      </c>
      <c r="F29" s="63"/>
      <c r="G29" s="63"/>
      <c r="H29" t="s">
        <v>26</v>
      </c>
      <c r="I29" s="64"/>
      <c r="J29" s="31"/>
      <c r="K29" s="31"/>
      <c r="L29" s="31"/>
      <c r="M29" s="31"/>
      <c r="N29" s="4"/>
      <c r="O29" s="4"/>
      <c r="P29" s="4"/>
      <c r="Q29" s="4"/>
      <c r="U29" s="5"/>
      <c r="V29" s="4"/>
      <c r="AG29" t="s">
        <v>86</v>
      </c>
    </row>
    <row r="30" spans="1:33" x14ac:dyDescent="0.35">
      <c r="A30">
        <v>26</v>
      </c>
      <c r="B30">
        <v>27</v>
      </c>
      <c r="C30">
        <v>146.831158432</v>
      </c>
      <c r="D30">
        <v>-19.176289045000001</v>
      </c>
      <c r="F30" s="63"/>
      <c r="G30" s="63"/>
      <c r="H30" t="s">
        <v>26</v>
      </c>
      <c r="I30" s="64"/>
      <c r="J30" s="31"/>
      <c r="K30" s="31"/>
      <c r="L30" s="31"/>
      <c r="M30" s="31"/>
      <c r="N30" s="4"/>
      <c r="O30" s="4"/>
      <c r="P30" s="4"/>
      <c r="Q30" s="4"/>
      <c r="U30" s="5"/>
      <c r="V30" s="4"/>
      <c r="AG30" t="s">
        <v>87</v>
      </c>
    </row>
    <row r="31" spans="1:33" x14ac:dyDescent="0.35">
      <c r="A31">
        <v>27</v>
      </c>
      <c r="B31">
        <v>28</v>
      </c>
      <c r="C31">
        <v>146.831111854</v>
      </c>
      <c r="D31">
        <v>-19.176216493999998</v>
      </c>
      <c r="F31" s="63"/>
      <c r="G31" s="63"/>
      <c r="H31" t="s">
        <v>26</v>
      </c>
      <c r="I31" s="64"/>
      <c r="J31" s="31"/>
      <c r="K31" s="31"/>
      <c r="L31" s="31"/>
      <c r="M31" s="31"/>
      <c r="N31" s="4"/>
      <c r="O31" s="4"/>
      <c r="P31" s="4"/>
      <c r="Q31" s="4"/>
      <c r="U31" s="5"/>
      <c r="V31" s="4"/>
      <c r="AG31" t="s">
        <v>88</v>
      </c>
    </row>
    <row r="32" spans="1:33" x14ac:dyDescent="0.35">
      <c r="A32">
        <v>28</v>
      </c>
      <c r="B32">
        <v>29</v>
      </c>
      <c r="C32">
        <v>146.831063427</v>
      </c>
      <c r="D32">
        <v>-19.1761595249999</v>
      </c>
      <c r="F32" s="63"/>
      <c r="G32" s="63"/>
      <c r="H32" t="s">
        <v>26</v>
      </c>
      <c r="I32" s="64"/>
      <c r="J32" s="31"/>
      <c r="K32" s="31"/>
      <c r="L32" s="31"/>
      <c r="M32" s="31"/>
      <c r="N32" s="4"/>
      <c r="O32" s="4"/>
      <c r="P32" s="4"/>
      <c r="Q32" s="4"/>
      <c r="U32" s="5"/>
      <c r="V32" s="4"/>
      <c r="AG32" t="s">
        <v>89</v>
      </c>
    </row>
    <row r="33" spans="1:39" x14ac:dyDescent="0.35">
      <c r="A33">
        <v>29</v>
      </c>
      <c r="B33">
        <v>30</v>
      </c>
      <c r="C33">
        <v>146.83097987100001</v>
      </c>
      <c r="D33">
        <v>-19.176180443</v>
      </c>
      <c r="E33">
        <v>50</v>
      </c>
      <c r="F33" s="63"/>
      <c r="G33" s="63"/>
      <c r="H33" t="s">
        <v>26</v>
      </c>
      <c r="I33" s="64"/>
      <c r="J33" s="31"/>
      <c r="K33" s="31"/>
      <c r="L33" s="31"/>
      <c r="M33" s="31"/>
      <c r="N33" s="4"/>
      <c r="O33" s="4"/>
      <c r="P33" s="4"/>
      <c r="Q33" s="4"/>
      <c r="U33" s="5"/>
      <c r="V33" s="4"/>
      <c r="AG33" t="s">
        <v>90</v>
      </c>
      <c r="AM33" s="1">
        <f t="shared" ref="AM33:AM64" si="0">HYPERLINK("E:\CAFNEC_GBRF\2023\JohnstoneRiver\Frames_for_Analysis\" &amp; F34, F34)</f>
        <v>0</v>
      </c>
    </row>
    <row r="34" spans="1:39" x14ac:dyDescent="0.35">
      <c r="A34">
        <v>30</v>
      </c>
      <c r="B34">
        <v>31</v>
      </c>
      <c r="C34">
        <v>146.83089160500001</v>
      </c>
      <c r="D34">
        <v>-19.176195456999899</v>
      </c>
      <c r="F34" s="63"/>
      <c r="G34" s="63"/>
      <c r="H34" t="s">
        <v>26</v>
      </c>
      <c r="I34" s="64"/>
      <c r="J34" s="31"/>
      <c r="K34" s="31"/>
      <c r="L34" s="31"/>
      <c r="M34" s="31"/>
      <c r="N34" s="4"/>
      <c r="O34" s="4"/>
      <c r="P34" s="4"/>
      <c r="Q34" s="4"/>
      <c r="U34" s="5"/>
      <c r="V34" s="4"/>
      <c r="AG34" t="s">
        <v>91</v>
      </c>
      <c r="AM34" s="1">
        <f t="shared" si="0"/>
        <v>0</v>
      </c>
    </row>
    <row r="35" spans="1:39" x14ac:dyDescent="0.35">
      <c r="A35">
        <v>31</v>
      </c>
      <c r="B35">
        <v>32</v>
      </c>
      <c r="C35">
        <v>146.83080800299999</v>
      </c>
      <c r="D35">
        <v>-19.176219753999899</v>
      </c>
      <c r="F35" s="63"/>
      <c r="G35" s="63"/>
      <c r="H35" t="s">
        <v>26</v>
      </c>
      <c r="I35" s="64"/>
      <c r="J35" s="31"/>
      <c r="K35" s="31"/>
      <c r="L35" s="31"/>
      <c r="M35" s="31"/>
      <c r="N35" s="4"/>
      <c r="O35" s="4"/>
      <c r="P35" s="4"/>
      <c r="Q35" s="4"/>
      <c r="U35" s="5"/>
      <c r="V35" s="4"/>
      <c r="AG35" t="s">
        <v>92</v>
      </c>
      <c r="AM35" s="1">
        <f t="shared" si="0"/>
        <v>0</v>
      </c>
    </row>
    <row r="36" spans="1:39" x14ac:dyDescent="0.35">
      <c r="A36">
        <v>32</v>
      </c>
      <c r="B36">
        <v>33</v>
      </c>
      <c r="C36">
        <v>146.83076650699999</v>
      </c>
      <c r="D36">
        <v>-19.176295006</v>
      </c>
      <c r="F36" s="63"/>
      <c r="G36" s="63"/>
      <c r="H36" t="s">
        <v>26</v>
      </c>
      <c r="I36" s="64"/>
      <c r="J36" s="31"/>
      <c r="K36" s="31"/>
      <c r="L36" s="31"/>
      <c r="M36" s="31"/>
      <c r="N36" s="4"/>
      <c r="O36" s="4"/>
      <c r="P36" s="4"/>
      <c r="Q36" s="4"/>
      <c r="U36" s="5"/>
      <c r="V36" s="4"/>
      <c r="AG36" t="s">
        <v>93</v>
      </c>
      <c r="AM36" s="1">
        <f t="shared" si="0"/>
        <v>0</v>
      </c>
    </row>
    <row r="37" spans="1:39" x14ac:dyDescent="0.35">
      <c r="A37">
        <v>33</v>
      </c>
      <c r="B37">
        <v>34</v>
      </c>
      <c r="C37">
        <v>146.83070802500001</v>
      </c>
      <c r="D37">
        <v>-19.1763326509999</v>
      </c>
      <c r="F37" s="63"/>
      <c r="G37" s="63"/>
      <c r="H37" t="s">
        <v>26</v>
      </c>
      <c r="I37" s="64"/>
      <c r="J37" s="31"/>
      <c r="K37" s="31"/>
      <c r="L37" s="31"/>
      <c r="M37" s="31"/>
      <c r="N37" s="4"/>
      <c r="O37" s="4"/>
      <c r="P37" s="4"/>
      <c r="Q37" s="4"/>
      <c r="U37" s="5"/>
      <c r="V37" s="4"/>
      <c r="AG37" t="s">
        <v>94</v>
      </c>
      <c r="AM37" s="1">
        <f t="shared" si="0"/>
        <v>0</v>
      </c>
    </row>
    <row r="38" spans="1:39" x14ac:dyDescent="0.35">
      <c r="A38">
        <v>34</v>
      </c>
      <c r="B38">
        <v>35</v>
      </c>
      <c r="C38">
        <v>146.83062179500001</v>
      </c>
      <c r="D38">
        <v>-19.176308864999999</v>
      </c>
      <c r="E38">
        <v>50</v>
      </c>
      <c r="F38" s="63"/>
      <c r="G38" s="63"/>
      <c r="H38" t="s">
        <v>26</v>
      </c>
      <c r="I38" s="64"/>
      <c r="J38" s="31"/>
      <c r="K38" s="31"/>
      <c r="L38" s="31"/>
      <c r="M38" s="31"/>
      <c r="N38" s="4"/>
      <c r="O38" s="4"/>
      <c r="P38" s="4"/>
      <c r="Q38" s="4"/>
      <c r="U38" s="5"/>
      <c r="V38" s="4"/>
      <c r="AG38" t="s">
        <v>95</v>
      </c>
      <c r="AM38" s="1">
        <f t="shared" si="0"/>
        <v>0</v>
      </c>
    </row>
    <row r="39" spans="1:39" x14ac:dyDescent="0.35">
      <c r="A39">
        <v>35</v>
      </c>
      <c r="B39">
        <v>36</v>
      </c>
      <c r="C39">
        <v>146.83053339899999</v>
      </c>
      <c r="D39">
        <v>-19.176303257000001</v>
      </c>
      <c r="F39" s="63"/>
      <c r="G39" s="63"/>
      <c r="H39" t="s">
        <v>26</v>
      </c>
      <c r="I39" s="64"/>
      <c r="J39" s="31"/>
      <c r="K39" s="31"/>
      <c r="L39" s="31"/>
      <c r="M39" s="31"/>
      <c r="N39" s="4"/>
      <c r="O39" s="4"/>
      <c r="P39" s="4"/>
      <c r="Q39" s="4"/>
      <c r="U39" s="5"/>
      <c r="V39" s="4"/>
      <c r="AG39" t="s">
        <v>96</v>
      </c>
      <c r="AM39" s="1">
        <f t="shared" si="0"/>
        <v>0</v>
      </c>
    </row>
    <row r="40" spans="1:39" x14ac:dyDescent="0.35">
      <c r="A40">
        <v>36</v>
      </c>
      <c r="B40">
        <v>37</v>
      </c>
      <c r="C40">
        <v>146.83045614900001</v>
      </c>
      <c r="D40">
        <v>-19.1763314909999</v>
      </c>
      <c r="F40" s="63"/>
      <c r="G40" s="63"/>
      <c r="H40" t="s">
        <v>26</v>
      </c>
      <c r="I40" s="64"/>
      <c r="J40" s="31"/>
      <c r="K40" s="31"/>
      <c r="L40" s="31"/>
      <c r="M40" s="31"/>
      <c r="N40" s="4"/>
      <c r="O40" s="4"/>
      <c r="P40" s="4"/>
      <c r="Q40" s="4"/>
      <c r="U40" s="5"/>
      <c r="V40" s="4"/>
      <c r="AG40" t="s">
        <v>97</v>
      </c>
      <c r="AM40" s="1">
        <f t="shared" si="0"/>
        <v>0</v>
      </c>
    </row>
    <row r="41" spans="1:39" x14ac:dyDescent="0.35">
      <c r="A41">
        <v>37</v>
      </c>
      <c r="B41">
        <v>38</v>
      </c>
      <c r="C41">
        <v>146.83041629900001</v>
      </c>
      <c r="D41">
        <v>-19.1764035469999</v>
      </c>
      <c r="F41" s="63"/>
      <c r="G41" s="63"/>
      <c r="H41" t="s">
        <v>26</v>
      </c>
      <c r="I41" s="64"/>
      <c r="J41" s="31"/>
      <c r="K41" s="31"/>
      <c r="L41" s="31"/>
      <c r="M41" s="31"/>
      <c r="N41" s="4"/>
      <c r="O41" s="4"/>
      <c r="P41" s="4"/>
      <c r="Q41" s="4"/>
      <c r="U41" s="5"/>
      <c r="V41" s="4"/>
      <c r="AG41" t="s">
        <v>98</v>
      </c>
      <c r="AM41" s="1">
        <f t="shared" si="0"/>
        <v>0</v>
      </c>
    </row>
    <row r="42" spans="1:39" x14ac:dyDescent="0.35">
      <c r="A42">
        <v>38</v>
      </c>
      <c r="B42">
        <v>39</v>
      </c>
      <c r="C42">
        <v>146.83040879800001</v>
      </c>
      <c r="D42">
        <v>-19.176488096999901</v>
      </c>
      <c r="F42" s="63"/>
      <c r="G42" s="63"/>
      <c r="H42" t="s">
        <v>26</v>
      </c>
      <c r="I42" s="64"/>
      <c r="J42" s="31"/>
      <c r="K42" s="31"/>
      <c r="L42" s="31"/>
      <c r="M42" s="31"/>
      <c r="N42" s="4"/>
      <c r="O42" s="4"/>
      <c r="P42" s="4"/>
      <c r="Q42" s="4"/>
      <c r="U42" s="5"/>
      <c r="V42" s="4"/>
      <c r="AG42" t="s">
        <v>99</v>
      </c>
      <c r="AM42" s="1">
        <f t="shared" si="0"/>
        <v>0</v>
      </c>
    </row>
    <row r="43" spans="1:39" x14ac:dyDescent="0.35">
      <c r="A43">
        <v>39</v>
      </c>
      <c r="B43">
        <v>40</v>
      </c>
      <c r="C43">
        <v>146.83041827400001</v>
      </c>
      <c r="D43">
        <v>-19.176572443999898</v>
      </c>
      <c r="E43">
        <v>50</v>
      </c>
      <c r="F43" s="63"/>
      <c r="G43" s="63"/>
      <c r="H43" t="s">
        <v>26</v>
      </c>
      <c r="I43" s="64"/>
      <c r="J43" s="31"/>
      <c r="K43" s="31"/>
      <c r="L43" s="31"/>
      <c r="M43" s="31"/>
      <c r="N43" s="4"/>
      <c r="O43" s="4"/>
      <c r="P43" s="4"/>
      <c r="Q43" s="4"/>
      <c r="U43" s="5"/>
      <c r="V43" s="4"/>
      <c r="AG43" t="s">
        <v>100</v>
      </c>
      <c r="AM43" s="1">
        <f t="shared" si="0"/>
        <v>0</v>
      </c>
    </row>
    <row r="44" spans="1:39" x14ac:dyDescent="0.35">
      <c r="A44">
        <v>40</v>
      </c>
      <c r="B44">
        <v>41</v>
      </c>
      <c r="C44">
        <v>146.83042700499999</v>
      </c>
      <c r="D44">
        <v>-19.176656505</v>
      </c>
      <c r="F44" s="63"/>
      <c r="G44" s="63"/>
      <c r="H44" t="s">
        <v>26</v>
      </c>
      <c r="I44" s="64"/>
      <c r="J44" s="31"/>
      <c r="K44" s="31"/>
      <c r="L44" s="31"/>
      <c r="M44" s="31"/>
      <c r="N44" s="4"/>
      <c r="O44" s="4"/>
      <c r="P44" s="4"/>
      <c r="Q44" s="4"/>
      <c r="U44" s="5"/>
      <c r="V44" s="4"/>
      <c r="AG44" t="s">
        <v>101</v>
      </c>
      <c r="AM44" s="1">
        <f t="shared" si="0"/>
        <v>0</v>
      </c>
    </row>
    <row r="45" spans="1:39" x14ac:dyDescent="0.35">
      <c r="A45">
        <v>41</v>
      </c>
      <c r="B45">
        <v>42</v>
      </c>
      <c r="C45">
        <v>146.83045766000001</v>
      </c>
      <c r="D45">
        <v>-19.176735852</v>
      </c>
      <c r="F45" s="63"/>
      <c r="G45" s="63"/>
      <c r="H45" t="s">
        <v>26</v>
      </c>
      <c r="I45" s="64"/>
      <c r="J45" s="31"/>
      <c r="K45" s="31"/>
      <c r="L45" s="31"/>
      <c r="M45" s="31"/>
      <c r="N45" s="4"/>
      <c r="O45" s="4"/>
      <c r="P45" s="4"/>
      <c r="Q45" s="4"/>
      <c r="U45" s="5"/>
      <c r="V45" s="4"/>
      <c r="AG45" t="s">
        <v>102</v>
      </c>
      <c r="AM45" s="1">
        <f t="shared" si="0"/>
        <v>0</v>
      </c>
    </row>
    <row r="46" spans="1:39" x14ac:dyDescent="0.35">
      <c r="A46">
        <v>42</v>
      </c>
      <c r="B46">
        <v>43</v>
      </c>
      <c r="C46">
        <v>146.830442543</v>
      </c>
      <c r="D46">
        <v>-19.176816362</v>
      </c>
      <c r="F46" s="63"/>
      <c r="G46" s="63"/>
      <c r="H46" t="s">
        <v>26</v>
      </c>
      <c r="I46" s="64"/>
      <c r="J46" s="31"/>
      <c r="K46" s="31"/>
      <c r="L46" s="31"/>
      <c r="M46" s="31"/>
      <c r="N46" s="4"/>
      <c r="O46" s="4"/>
      <c r="P46" s="4"/>
      <c r="Q46" s="4"/>
      <c r="U46" s="5"/>
      <c r="V46" s="4"/>
      <c r="AG46" t="s">
        <v>103</v>
      </c>
      <c r="AM46" s="1">
        <f t="shared" si="0"/>
        <v>0</v>
      </c>
    </row>
    <row r="47" spans="1:39" x14ac:dyDescent="0.35">
      <c r="A47">
        <v>43</v>
      </c>
      <c r="B47">
        <v>44</v>
      </c>
      <c r="C47">
        <v>146.83037078500001</v>
      </c>
      <c r="D47">
        <v>-19.1768479529999</v>
      </c>
      <c r="F47" s="63"/>
      <c r="G47" s="63"/>
      <c r="H47" t="s">
        <v>26</v>
      </c>
      <c r="I47" s="64"/>
      <c r="J47" s="31"/>
      <c r="K47" s="31"/>
      <c r="L47" s="31"/>
      <c r="M47" s="31"/>
      <c r="N47" s="4"/>
      <c r="O47" s="4"/>
      <c r="P47" s="4"/>
      <c r="Q47" s="4"/>
      <c r="U47" s="5"/>
      <c r="V47" s="4"/>
      <c r="AG47" t="s">
        <v>104</v>
      </c>
      <c r="AM47" s="1">
        <f t="shared" si="0"/>
        <v>0</v>
      </c>
    </row>
    <row r="48" spans="1:39" x14ac:dyDescent="0.35">
      <c r="A48">
        <v>44</v>
      </c>
      <c r="B48">
        <v>45</v>
      </c>
      <c r="C48">
        <v>146.830290015</v>
      </c>
      <c r="D48">
        <v>-19.17682701</v>
      </c>
      <c r="E48">
        <v>50</v>
      </c>
      <c r="F48" s="63"/>
      <c r="G48" s="63"/>
      <c r="H48" t="s">
        <v>26</v>
      </c>
      <c r="I48" s="64"/>
      <c r="J48" s="31"/>
      <c r="K48" s="31"/>
      <c r="L48" s="31"/>
      <c r="M48" s="31"/>
      <c r="N48" s="4"/>
      <c r="O48" s="4"/>
      <c r="P48" s="4"/>
      <c r="Q48" s="4"/>
      <c r="U48" s="5"/>
      <c r="V48" s="4"/>
      <c r="AG48" t="s">
        <v>105</v>
      </c>
      <c r="AM48" s="1">
        <f t="shared" si="0"/>
        <v>0</v>
      </c>
    </row>
    <row r="49" spans="1:39" x14ac:dyDescent="0.35">
      <c r="A49">
        <v>45</v>
      </c>
      <c r="B49">
        <v>46</v>
      </c>
      <c r="C49">
        <v>146.830230908</v>
      </c>
      <c r="D49">
        <v>-19.176764454000001</v>
      </c>
      <c r="F49" s="63"/>
      <c r="G49" s="63"/>
      <c r="H49" t="s">
        <v>26</v>
      </c>
      <c r="I49" s="64"/>
      <c r="J49" s="31"/>
      <c r="K49" s="31"/>
      <c r="L49" s="31"/>
      <c r="M49" s="31"/>
      <c r="N49" s="4"/>
      <c r="O49" s="4"/>
      <c r="P49" s="4"/>
      <c r="Q49" s="4"/>
      <c r="U49" s="5"/>
      <c r="V49" s="4"/>
      <c r="AG49" t="s">
        <v>106</v>
      </c>
      <c r="AM49" s="1">
        <f t="shared" si="0"/>
        <v>0</v>
      </c>
    </row>
    <row r="50" spans="1:39" x14ac:dyDescent="0.35">
      <c r="A50">
        <v>46</v>
      </c>
      <c r="B50">
        <v>47</v>
      </c>
      <c r="C50">
        <v>146.83018568200001</v>
      </c>
      <c r="D50">
        <v>-19.1766911449999</v>
      </c>
      <c r="F50" s="63"/>
      <c r="G50" s="63"/>
      <c r="H50" t="s">
        <v>26</v>
      </c>
      <c r="I50" s="64"/>
      <c r="J50" s="31"/>
      <c r="K50" s="31"/>
      <c r="L50" s="31"/>
      <c r="M50" s="31"/>
      <c r="N50" s="4"/>
      <c r="O50" s="4"/>
      <c r="P50" s="4"/>
      <c r="Q50" s="4"/>
      <c r="U50" s="5"/>
      <c r="V50" s="4"/>
      <c r="AG50" t="s">
        <v>107</v>
      </c>
      <c r="AM50" s="1">
        <f t="shared" si="0"/>
        <v>0</v>
      </c>
    </row>
    <row r="51" spans="1:39" x14ac:dyDescent="0.35">
      <c r="A51">
        <v>47</v>
      </c>
      <c r="B51">
        <v>48</v>
      </c>
      <c r="C51">
        <v>146.830160651</v>
      </c>
      <c r="D51">
        <v>-19.176611236999999</v>
      </c>
      <c r="F51" s="63"/>
      <c r="G51" s="63"/>
      <c r="H51" t="s">
        <v>26</v>
      </c>
      <c r="I51" s="64"/>
      <c r="J51" s="31"/>
      <c r="K51" s="31"/>
      <c r="L51" s="31"/>
      <c r="M51" s="31"/>
      <c r="N51" s="4"/>
      <c r="O51" s="4"/>
      <c r="P51" s="4"/>
      <c r="Q51" s="4"/>
      <c r="U51" s="5"/>
      <c r="V51" s="4"/>
      <c r="AG51" t="s">
        <v>108</v>
      </c>
      <c r="AM51" s="1">
        <f t="shared" si="0"/>
        <v>0</v>
      </c>
    </row>
    <row r="52" spans="1:39" x14ac:dyDescent="0.35">
      <c r="A52">
        <v>48</v>
      </c>
      <c r="B52">
        <v>49</v>
      </c>
      <c r="C52">
        <v>146.830148253</v>
      </c>
      <c r="D52">
        <v>-19.1765272019999</v>
      </c>
      <c r="F52" s="63"/>
      <c r="G52" s="63"/>
      <c r="H52" t="s">
        <v>26</v>
      </c>
      <c r="I52" s="64"/>
      <c r="J52" s="31"/>
      <c r="K52" s="31"/>
      <c r="L52" s="31"/>
      <c r="M52" s="31"/>
      <c r="N52" s="4"/>
      <c r="O52" s="4"/>
      <c r="P52" s="4"/>
      <c r="Q52" s="4"/>
      <c r="U52" s="5"/>
      <c r="V52" s="4"/>
      <c r="AG52" t="s">
        <v>109</v>
      </c>
      <c r="AM52" s="1">
        <f t="shared" si="0"/>
        <v>0</v>
      </c>
    </row>
    <row r="53" spans="1:39" x14ac:dyDescent="0.35">
      <c r="A53">
        <v>49</v>
      </c>
      <c r="B53">
        <v>50</v>
      </c>
      <c r="C53">
        <v>146.83006439600001</v>
      </c>
      <c r="D53">
        <v>-19.176498177999999</v>
      </c>
      <c r="E53">
        <v>50</v>
      </c>
      <c r="F53" s="63"/>
      <c r="G53" s="63"/>
      <c r="H53" t="s">
        <v>26</v>
      </c>
      <c r="I53" s="64"/>
      <c r="J53" s="31"/>
      <c r="K53" s="31"/>
      <c r="L53" s="31"/>
      <c r="M53" s="31"/>
      <c r="N53" s="4"/>
      <c r="O53" s="4"/>
      <c r="P53" s="4"/>
      <c r="Q53" s="4"/>
      <c r="U53" s="5"/>
      <c r="V53" s="4"/>
      <c r="AG53" t="s">
        <v>110</v>
      </c>
      <c r="AM53" s="1">
        <f t="shared" si="0"/>
        <v>0</v>
      </c>
    </row>
    <row r="54" spans="1:39" x14ac:dyDescent="0.35">
      <c r="A54">
        <v>50</v>
      </c>
      <c r="B54">
        <v>51</v>
      </c>
      <c r="C54">
        <v>146.82999209799999</v>
      </c>
      <c r="D54">
        <v>-19.1764579439999</v>
      </c>
      <c r="F54" s="63"/>
      <c r="G54" s="63"/>
      <c r="H54" t="s">
        <v>26</v>
      </c>
      <c r="I54" s="64"/>
      <c r="J54" s="31"/>
      <c r="K54" s="31"/>
      <c r="L54" s="31"/>
      <c r="M54" s="31"/>
      <c r="N54" s="4"/>
      <c r="O54" s="4"/>
      <c r="P54" s="4"/>
      <c r="Q54" s="4"/>
      <c r="U54" s="5"/>
      <c r="V54" s="4"/>
      <c r="AG54" t="s">
        <v>111</v>
      </c>
      <c r="AM54" s="1">
        <f t="shared" si="0"/>
        <v>0</v>
      </c>
    </row>
    <row r="55" spans="1:39" x14ac:dyDescent="0.35">
      <c r="A55">
        <v>51</v>
      </c>
      <c r="B55">
        <v>52</v>
      </c>
      <c r="C55">
        <v>146.82996089599999</v>
      </c>
      <c r="D55">
        <v>-19.176378378999999</v>
      </c>
      <c r="F55" s="63"/>
      <c r="G55" s="63"/>
      <c r="H55" t="s">
        <v>26</v>
      </c>
      <c r="I55" s="64"/>
      <c r="J55" s="31"/>
      <c r="K55" s="31"/>
      <c r="L55" s="31"/>
      <c r="M55" s="31"/>
      <c r="N55" s="4"/>
      <c r="O55" s="4"/>
      <c r="P55" s="4"/>
      <c r="Q55" s="4"/>
      <c r="U55" s="5"/>
      <c r="V55" s="4"/>
      <c r="AG55" t="s">
        <v>112</v>
      </c>
      <c r="AM55" s="1">
        <f t="shared" si="0"/>
        <v>0</v>
      </c>
    </row>
    <row r="56" spans="1:39" x14ac:dyDescent="0.35">
      <c r="A56">
        <v>52</v>
      </c>
      <c r="B56">
        <v>53</v>
      </c>
      <c r="C56">
        <v>146.82993171800001</v>
      </c>
      <c r="D56">
        <v>-19.176298216999999</v>
      </c>
      <c r="F56" s="63"/>
      <c r="G56" s="63"/>
      <c r="H56" t="s">
        <v>26</v>
      </c>
      <c r="I56" s="64"/>
      <c r="J56" s="31"/>
      <c r="K56" s="31"/>
      <c r="L56" s="31"/>
      <c r="M56" s="31"/>
      <c r="N56" s="4"/>
      <c r="O56" s="4"/>
      <c r="P56" s="4"/>
      <c r="Q56" s="4"/>
      <c r="U56" s="5"/>
      <c r="V56" s="4"/>
      <c r="AG56" t="s">
        <v>113</v>
      </c>
      <c r="AM56" s="1">
        <f t="shared" si="0"/>
        <v>0</v>
      </c>
    </row>
    <row r="57" spans="1:39" x14ac:dyDescent="0.35">
      <c r="A57">
        <v>53</v>
      </c>
      <c r="B57">
        <v>54</v>
      </c>
      <c r="C57">
        <v>146.82990930299999</v>
      </c>
      <c r="D57">
        <v>-19.176216053000001</v>
      </c>
      <c r="F57" s="63"/>
      <c r="G57" s="63"/>
      <c r="H57" t="s">
        <v>26</v>
      </c>
      <c r="I57" s="64"/>
      <c r="J57" s="31"/>
      <c r="K57" s="31"/>
      <c r="L57" s="31"/>
      <c r="M57" s="31"/>
      <c r="N57" s="4"/>
      <c r="O57" s="4"/>
      <c r="P57" s="4"/>
      <c r="Q57" s="4"/>
      <c r="U57" s="5"/>
      <c r="V57" s="4"/>
      <c r="AG57" t="s">
        <v>114</v>
      </c>
      <c r="AM57" s="1">
        <f t="shared" si="0"/>
        <v>0</v>
      </c>
    </row>
    <row r="58" spans="1:39" x14ac:dyDescent="0.35">
      <c r="A58">
        <v>54</v>
      </c>
      <c r="B58">
        <v>55</v>
      </c>
      <c r="C58">
        <v>146.82983534900001</v>
      </c>
      <c r="D58">
        <v>-19.176181948</v>
      </c>
      <c r="E58">
        <v>50</v>
      </c>
      <c r="F58" s="63"/>
      <c r="G58" s="63"/>
      <c r="H58" t="s">
        <v>26</v>
      </c>
      <c r="I58" s="64"/>
      <c r="J58" s="31"/>
      <c r="K58" s="31"/>
      <c r="L58" s="31"/>
      <c r="M58" s="31"/>
      <c r="N58" s="4"/>
      <c r="O58" s="4"/>
      <c r="P58" s="4"/>
      <c r="Q58" s="4"/>
      <c r="U58" s="5"/>
      <c r="V58" s="4"/>
      <c r="AG58" t="s">
        <v>115</v>
      </c>
      <c r="AM58" s="1">
        <f t="shared" si="0"/>
        <v>0</v>
      </c>
    </row>
    <row r="59" spans="1:39" x14ac:dyDescent="0.35">
      <c r="A59">
        <v>55</v>
      </c>
      <c r="B59">
        <v>56</v>
      </c>
      <c r="C59">
        <v>146.82974974499999</v>
      </c>
      <c r="D59">
        <v>-19.176158404999999</v>
      </c>
      <c r="F59" s="63"/>
      <c r="G59" s="63"/>
      <c r="H59" t="s">
        <v>26</v>
      </c>
      <c r="I59" s="64"/>
      <c r="J59" s="31"/>
      <c r="K59" s="31"/>
      <c r="L59" s="31"/>
      <c r="M59" s="31"/>
      <c r="N59" s="4"/>
      <c r="O59" s="4"/>
      <c r="P59" s="4"/>
      <c r="Q59" s="4"/>
      <c r="U59" s="5"/>
      <c r="V59" s="4"/>
      <c r="AG59" t="s">
        <v>116</v>
      </c>
      <c r="AM59" s="1">
        <f t="shared" si="0"/>
        <v>0</v>
      </c>
    </row>
    <row r="60" spans="1:39" x14ac:dyDescent="0.35">
      <c r="A60">
        <v>56</v>
      </c>
      <c r="B60">
        <v>57</v>
      </c>
      <c r="C60">
        <v>146.82971706399999</v>
      </c>
      <c r="D60">
        <v>-19.176080538000001</v>
      </c>
      <c r="F60" s="63"/>
      <c r="G60" s="63"/>
      <c r="H60" t="s">
        <v>26</v>
      </c>
      <c r="I60" s="64"/>
      <c r="J60" s="31"/>
      <c r="K60" s="31"/>
      <c r="L60" s="31"/>
      <c r="M60" s="31"/>
      <c r="N60" s="4"/>
      <c r="O60" s="4"/>
      <c r="P60" s="4"/>
      <c r="Q60" s="4"/>
      <c r="U60" s="5"/>
      <c r="V60" s="4"/>
      <c r="AG60" t="s">
        <v>117</v>
      </c>
      <c r="AM60" s="1">
        <f t="shared" si="0"/>
        <v>0</v>
      </c>
    </row>
    <row r="61" spans="1:39" x14ac:dyDescent="0.35">
      <c r="A61">
        <v>57</v>
      </c>
      <c r="B61">
        <v>58</v>
      </c>
      <c r="C61">
        <v>146.82970072500001</v>
      </c>
      <c r="D61">
        <v>-19.175997106000001</v>
      </c>
      <c r="F61" s="63"/>
      <c r="G61" s="63"/>
      <c r="H61" t="s">
        <v>78</v>
      </c>
      <c r="I61" s="64">
        <v>0</v>
      </c>
      <c r="J61" s="31"/>
      <c r="K61" s="31"/>
      <c r="L61" s="31"/>
      <c r="M61" s="31"/>
      <c r="N61" s="4"/>
      <c r="O61" s="4"/>
      <c r="P61" s="4"/>
      <c r="Q61" s="4"/>
      <c r="U61" s="5"/>
      <c r="V61" s="4"/>
      <c r="AG61" t="s">
        <v>118</v>
      </c>
      <c r="AM61" s="1">
        <f t="shared" si="0"/>
        <v>0</v>
      </c>
    </row>
    <row r="62" spans="1:39" x14ac:dyDescent="0.35">
      <c r="A62">
        <v>58</v>
      </c>
      <c r="B62">
        <v>59</v>
      </c>
      <c r="C62">
        <v>146.82968438699999</v>
      </c>
      <c r="D62">
        <v>-19.175913674</v>
      </c>
      <c r="F62" s="63"/>
      <c r="G62" s="63"/>
      <c r="H62" t="s">
        <v>78</v>
      </c>
      <c r="I62" s="64">
        <v>0</v>
      </c>
      <c r="J62" s="31"/>
      <c r="K62" s="31"/>
      <c r="L62" s="31"/>
      <c r="M62" s="31"/>
      <c r="N62" s="4"/>
      <c r="O62" s="4"/>
      <c r="P62" s="4"/>
      <c r="Q62" s="4"/>
      <c r="U62" s="5"/>
      <c r="V62" s="4"/>
      <c r="AG62" t="s">
        <v>119</v>
      </c>
      <c r="AM62" s="1">
        <f t="shared" si="0"/>
        <v>0</v>
      </c>
    </row>
    <row r="63" spans="1:39" x14ac:dyDescent="0.35">
      <c r="A63">
        <v>59</v>
      </c>
      <c r="B63">
        <v>60</v>
      </c>
      <c r="C63">
        <v>146.82965798199999</v>
      </c>
      <c r="D63">
        <v>-19.175832827000001</v>
      </c>
      <c r="E63">
        <v>50</v>
      </c>
      <c r="F63" s="63"/>
      <c r="G63" s="63"/>
      <c r="H63" t="s">
        <v>78</v>
      </c>
      <c r="I63" s="64">
        <v>1</v>
      </c>
      <c r="J63" s="31"/>
      <c r="K63" s="31"/>
      <c r="L63" s="31"/>
      <c r="M63" s="31"/>
      <c r="N63" s="4"/>
      <c r="O63" s="4"/>
      <c r="P63" s="4"/>
      <c r="Q63" s="4"/>
      <c r="U63" s="5"/>
      <c r="V63" s="4"/>
      <c r="AG63" t="s">
        <v>120</v>
      </c>
      <c r="AM63" s="1">
        <f t="shared" si="0"/>
        <v>0</v>
      </c>
    </row>
    <row r="64" spans="1:39" x14ac:dyDescent="0.35">
      <c r="A64">
        <v>60</v>
      </c>
      <c r="B64">
        <v>61</v>
      </c>
      <c r="C64">
        <v>146.82962733299999</v>
      </c>
      <c r="D64">
        <v>-19.175753070999999</v>
      </c>
      <c r="F64" s="63"/>
      <c r="G64" s="63"/>
      <c r="H64" t="s">
        <v>78</v>
      </c>
      <c r="I64" s="64">
        <v>0</v>
      </c>
      <c r="J64" s="31"/>
      <c r="K64" s="31"/>
      <c r="L64" s="31"/>
      <c r="M64" s="31"/>
      <c r="N64" s="4"/>
      <c r="O64" s="4"/>
      <c r="P64" s="4"/>
      <c r="Q64" s="4"/>
      <c r="U64" s="5"/>
      <c r="V64" s="4"/>
      <c r="AG64" t="s">
        <v>121</v>
      </c>
      <c r="AM64" s="1">
        <f t="shared" si="0"/>
        <v>0</v>
      </c>
    </row>
    <row r="65" spans="1:39" x14ac:dyDescent="0.35">
      <c r="A65">
        <v>61</v>
      </c>
      <c r="B65">
        <v>62</v>
      </c>
      <c r="C65">
        <v>146.82959668399999</v>
      </c>
      <c r="D65">
        <v>-19.175673314999901</v>
      </c>
      <c r="F65" s="63"/>
      <c r="G65" s="63"/>
      <c r="H65" t="s">
        <v>78</v>
      </c>
      <c r="I65" s="64">
        <v>1</v>
      </c>
      <c r="J65" s="31"/>
      <c r="K65" s="31"/>
      <c r="L65" s="31"/>
      <c r="M65" s="31"/>
      <c r="N65" s="4"/>
      <c r="O65" s="4"/>
      <c r="P65" s="4"/>
      <c r="Q65" s="4"/>
      <c r="U65" s="5"/>
      <c r="V65" s="4"/>
      <c r="AG65" t="s">
        <v>122</v>
      </c>
      <c r="AM65" s="1">
        <f t="shared" ref="AM65:AM96" si="1">HYPERLINK("E:\CAFNEC_GBRF\2023\JohnstoneRiver\Frames_for_Analysis\" &amp; F66, F66)</f>
        <v>0</v>
      </c>
    </row>
    <row r="66" spans="1:39" x14ac:dyDescent="0.35">
      <c r="A66">
        <v>62</v>
      </c>
      <c r="B66">
        <v>63</v>
      </c>
      <c r="C66">
        <v>146.82955987700001</v>
      </c>
      <c r="D66">
        <v>-19.175598763</v>
      </c>
      <c r="F66" s="63"/>
      <c r="G66" s="63"/>
      <c r="H66" t="s">
        <v>78</v>
      </c>
      <c r="I66" s="64">
        <v>0</v>
      </c>
      <c r="J66" s="31"/>
      <c r="K66" s="31"/>
      <c r="L66" s="31"/>
      <c r="M66" s="31"/>
      <c r="N66" s="4"/>
      <c r="O66" s="4"/>
      <c r="P66" s="4"/>
      <c r="Q66" s="4"/>
      <c r="U66" s="5"/>
      <c r="V66" s="4"/>
      <c r="AG66" t="s">
        <v>123</v>
      </c>
      <c r="AM66" s="1">
        <f t="shared" si="1"/>
        <v>0</v>
      </c>
    </row>
    <row r="67" spans="1:39" x14ac:dyDescent="0.35">
      <c r="A67">
        <v>63</v>
      </c>
      <c r="B67">
        <v>64</v>
      </c>
      <c r="C67">
        <v>146.829480854</v>
      </c>
      <c r="D67">
        <v>-19.175559612000001</v>
      </c>
      <c r="F67" s="63"/>
      <c r="G67" s="63"/>
      <c r="H67" t="s">
        <v>78</v>
      </c>
      <c r="I67" s="64">
        <v>0</v>
      </c>
      <c r="J67" s="31"/>
      <c r="K67" s="31"/>
      <c r="L67" s="31"/>
      <c r="M67" s="31"/>
      <c r="N67" s="4"/>
      <c r="O67" s="4"/>
      <c r="P67" s="4"/>
      <c r="Q67" s="4"/>
      <c r="U67" s="5"/>
      <c r="V67" s="4"/>
      <c r="AG67" t="s">
        <v>124</v>
      </c>
      <c r="AM67" s="1">
        <f t="shared" si="1"/>
        <v>0</v>
      </c>
    </row>
    <row r="68" spans="1:39" x14ac:dyDescent="0.35">
      <c r="A68">
        <v>64</v>
      </c>
      <c r="B68">
        <v>65</v>
      </c>
      <c r="C68">
        <v>146.82943428999999</v>
      </c>
      <c r="D68">
        <v>-19.175487051999902</v>
      </c>
      <c r="E68">
        <v>50</v>
      </c>
      <c r="F68" s="63"/>
      <c r="G68" s="63"/>
      <c r="H68" t="s">
        <v>78</v>
      </c>
      <c r="I68" s="64">
        <v>1</v>
      </c>
      <c r="J68" s="31"/>
      <c r="K68" s="31"/>
      <c r="L68" s="31"/>
      <c r="M68" s="31"/>
      <c r="N68" s="4"/>
      <c r="O68" s="4"/>
      <c r="P68" s="4"/>
      <c r="Q68" s="4"/>
      <c r="U68" s="5"/>
      <c r="V68" s="4"/>
      <c r="AG68" t="s">
        <v>125</v>
      </c>
      <c r="AM68" s="1">
        <f t="shared" si="1"/>
        <v>0</v>
      </c>
    </row>
    <row r="69" spans="1:39" x14ac:dyDescent="0.35">
      <c r="A69">
        <v>65</v>
      </c>
      <c r="B69">
        <v>66</v>
      </c>
      <c r="C69">
        <v>146.829356343</v>
      </c>
      <c r="D69">
        <v>-19.175449144000002</v>
      </c>
      <c r="F69" s="63"/>
      <c r="G69" s="63"/>
      <c r="H69" t="s">
        <v>78</v>
      </c>
      <c r="I69" s="64">
        <v>1</v>
      </c>
      <c r="J69" s="31"/>
      <c r="K69" s="31"/>
      <c r="L69" s="31"/>
      <c r="M69" s="31"/>
      <c r="N69" s="4"/>
      <c r="O69" s="4"/>
      <c r="P69" s="4"/>
      <c r="Q69" s="4"/>
      <c r="U69" s="5"/>
      <c r="V69" s="4"/>
      <c r="AG69" t="s">
        <v>126</v>
      </c>
      <c r="AM69" s="1">
        <f t="shared" si="1"/>
        <v>0</v>
      </c>
    </row>
    <row r="70" spans="1:39" x14ac:dyDescent="0.35">
      <c r="A70">
        <v>66</v>
      </c>
      <c r="B70">
        <v>67</v>
      </c>
      <c r="C70">
        <v>146.829273237</v>
      </c>
      <c r="D70">
        <v>-19.175416932000001</v>
      </c>
      <c r="F70" s="63"/>
      <c r="G70" s="63"/>
      <c r="H70" t="s">
        <v>78</v>
      </c>
      <c r="I70" s="64">
        <v>0</v>
      </c>
      <c r="J70" s="31"/>
      <c r="K70" s="31"/>
      <c r="L70" s="31"/>
      <c r="M70" s="31"/>
      <c r="N70" s="4"/>
      <c r="O70" s="4"/>
      <c r="P70" s="4"/>
      <c r="Q70" s="4"/>
      <c r="U70" s="5"/>
      <c r="V70" s="4"/>
      <c r="AG70" t="s">
        <v>127</v>
      </c>
      <c r="AM70" s="1">
        <f t="shared" si="1"/>
        <v>0</v>
      </c>
    </row>
    <row r="71" spans="1:39" x14ac:dyDescent="0.35">
      <c r="A71">
        <v>67</v>
      </c>
      <c r="B71">
        <v>68</v>
      </c>
      <c r="C71">
        <v>146.82919473199999</v>
      </c>
      <c r="D71">
        <v>-19.175376863999901</v>
      </c>
      <c r="F71" s="63"/>
      <c r="G71" s="63"/>
      <c r="H71" t="s">
        <v>78</v>
      </c>
      <c r="I71" s="64">
        <v>1</v>
      </c>
      <c r="J71" s="31"/>
      <c r="K71" s="31"/>
      <c r="L71" s="31"/>
      <c r="M71" s="31"/>
      <c r="N71" s="4"/>
      <c r="O71" s="4"/>
      <c r="P71" s="4"/>
      <c r="Q71" s="4"/>
      <c r="U71" s="5"/>
      <c r="V71" s="4"/>
      <c r="AG71" t="s">
        <v>128</v>
      </c>
      <c r="AM71" s="1">
        <f t="shared" si="1"/>
        <v>0</v>
      </c>
    </row>
    <row r="72" spans="1:39" x14ac:dyDescent="0.35">
      <c r="A72">
        <v>68</v>
      </c>
      <c r="B72">
        <v>69</v>
      </c>
      <c r="C72">
        <v>146.82912147499999</v>
      </c>
      <c r="D72">
        <v>-19.175327813999999</v>
      </c>
      <c r="F72" s="63"/>
      <c r="G72" s="63"/>
      <c r="H72" t="s">
        <v>78</v>
      </c>
      <c r="I72" s="64">
        <v>0</v>
      </c>
      <c r="J72" s="31"/>
      <c r="K72" s="31"/>
      <c r="L72" s="31"/>
      <c r="M72" s="31"/>
      <c r="N72" s="4"/>
      <c r="O72" s="4"/>
      <c r="P72" s="4"/>
      <c r="Q72" s="4"/>
      <c r="U72" s="5"/>
      <c r="V72" s="4"/>
      <c r="AG72" t="s">
        <v>129</v>
      </c>
      <c r="AM72" s="1">
        <f t="shared" si="1"/>
        <v>0</v>
      </c>
    </row>
    <row r="73" spans="1:39" x14ac:dyDescent="0.35">
      <c r="A73">
        <v>69</v>
      </c>
      <c r="B73">
        <v>70</v>
      </c>
      <c r="C73">
        <v>146.829039997</v>
      </c>
      <c r="D73">
        <v>-19.175292082999899</v>
      </c>
      <c r="E73">
        <v>50</v>
      </c>
      <c r="F73" s="63"/>
      <c r="G73" s="63"/>
      <c r="H73" t="s">
        <v>78</v>
      </c>
      <c r="I73" s="64">
        <v>1</v>
      </c>
      <c r="J73" s="31"/>
      <c r="K73" s="31"/>
      <c r="L73" s="31"/>
      <c r="M73" s="31"/>
      <c r="N73" s="4"/>
      <c r="O73" s="4"/>
      <c r="P73" s="4"/>
      <c r="Q73" s="4"/>
      <c r="U73" s="5"/>
      <c r="V73" s="4"/>
      <c r="AG73" t="s">
        <v>130</v>
      </c>
      <c r="AM73" s="1">
        <f t="shared" si="1"/>
        <v>0</v>
      </c>
    </row>
    <row r="74" spans="1:39" x14ac:dyDescent="0.35">
      <c r="A74">
        <v>70</v>
      </c>
      <c r="B74">
        <v>71</v>
      </c>
      <c r="C74">
        <v>146.828953093</v>
      </c>
      <c r="D74">
        <v>-19.175273971999999</v>
      </c>
      <c r="F74" s="63"/>
      <c r="G74" s="63"/>
      <c r="H74" t="s">
        <v>78</v>
      </c>
      <c r="I74" s="64">
        <v>0</v>
      </c>
      <c r="J74" s="31"/>
      <c r="K74" s="31"/>
      <c r="L74" s="31"/>
      <c r="M74" s="31"/>
      <c r="N74" s="4"/>
      <c r="O74" s="4"/>
      <c r="P74" s="4"/>
      <c r="Q74" s="4"/>
      <c r="U74" s="5"/>
      <c r="V74" s="4"/>
      <c r="AG74" t="s">
        <v>131</v>
      </c>
      <c r="AM74" s="1">
        <f t="shared" si="1"/>
        <v>0</v>
      </c>
    </row>
    <row r="75" spans="1:39" x14ac:dyDescent="0.35">
      <c r="A75">
        <v>71</v>
      </c>
      <c r="B75">
        <v>72</v>
      </c>
      <c r="C75">
        <v>146.82886403699999</v>
      </c>
      <c r="D75">
        <v>-19.175262849999999</v>
      </c>
      <c r="F75" s="63"/>
      <c r="G75" s="63"/>
      <c r="H75" t="s">
        <v>78</v>
      </c>
      <c r="I75" s="64">
        <v>0</v>
      </c>
      <c r="J75" s="31"/>
      <c r="K75" s="31"/>
      <c r="L75" s="31"/>
      <c r="M75" s="31"/>
      <c r="N75" s="4"/>
      <c r="O75" s="4"/>
      <c r="P75" s="4"/>
      <c r="Q75" s="4"/>
      <c r="U75" s="5"/>
      <c r="V75" s="4"/>
      <c r="AG75" t="s">
        <v>132</v>
      </c>
      <c r="AM75" s="1">
        <f t="shared" si="1"/>
        <v>0</v>
      </c>
    </row>
    <row r="76" spans="1:39" x14ac:dyDescent="0.35">
      <c r="A76">
        <v>72</v>
      </c>
      <c r="B76">
        <v>73</v>
      </c>
      <c r="C76">
        <v>146.828796356</v>
      </c>
      <c r="D76">
        <v>-19.175207742999898</v>
      </c>
      <c r="F76" s="63"/>
      <c r="G76" s="63"/>
      <c r="H76" t="s">
        <v>78</v>
      </c>
      <c r="I76" s="64">
        <v>0</v>
      </c>
      <c r="J76" s="31"/>
      <c r="K76" s="31"/>
      <c r="L76" s="31"/>
      <c r="M76" s="31"/>
      <c r="N76" s="4"/>
      <c r="O76" s="4"/>
      <c r="P76" s="4"/>
      <c r="Q76" s="4"/>
      <c r="U76" s="5"/>
      <c r="V76" s="4"/>
      <c r="AG76" t="s">
        <v>133</v>
      </c>
      <c r="AM76" s="1">
        <f t="shared" si="1"/>
        <v>0</v>
      </c>
    </row>
    <row r="77" spans="1:39" x14ac:dyDescent="0.35">
      <c r="A77">
        <v>73</v>
      </c>
      <c r="B77">
        <v>74</v>
      </c>
      <c r="C77">
        <v>146.82872936800001</v>
      </c>
      <c r="D77">
        <v>-19.1751512119999</v>
      </c>
      <c r="F77" s="63"/>
      <c r="G77" s="63"/>
      <c r="H77" t="s">
        <v>78</v>
      </c>
      <c r="I77" s="64">
        <v>1</v>
      </c>
      <c r="J77" s="31"/>
      <c r="K77" s="31"/>
      <c r="L77" s="31"/>
      <c r="M77" s="31"/>
      <c r="N77" s="4"/>
      <c r="O77" s="4"/>
      <c r="P77" s="4"/>
      <c r="Q77" s="4"/>
      <c r="U77" s="5"/>
      <c r="V77" s="4"/>
      <c r="AG77" t="s">
        <v>134</v>
      </c>
      <c r="AM77" s="1">
        <f t="shared" si="1"/>
        <v>0</v>
      </c>
    </row>
    <row r="78" spans="1:39" x14ac:dyDescent="0.35">
      <c r="A78">
        <v>74</v>
      </c>
      <c r="B78">
        <v>75</v>
      </c>
      <c r="C78">
        <v>146.828660316</v>
      </c>
      <c r="D78">
        <v>-19.175096968999998</v>
      </c>
      <c r="E78">
        <v>50</v>
      </c>
      <c r="F78" s="63"/>
      <c r="G78" s="63"/>
      <c r="H78" t="s">
        <v>78</v>
      </c>
      <c r="I78" s="64">
        <v>1</v>
      </c>
      <c r="J78" s="31"/>
      <c r="K78" s="31"/>
      <c r="L78" s="31"/>
      <c r="M78" s="31"/>
      <c r="N78" s="4"/>
      <c r="O78" s="4"/>
      <c r="P78" s="4"/>
      <c r="Q78" s="4"/>
      <c r="U78" s="5"/>
      <c r="V78" s="4"/>
      <c r="AG78" t="s">
        <v>135</v>
      </c>
      <c r="AM78" s="1">
        <f t="shared" si="1"/>
        <v>0</v>
      </c>
    </row>
    <row r="79" spans="1:39" x14ac:dyDescent="0.35">
      <c r="A79">
        <v>75</v>
      </c>
      <c r="B79">
        <v>76</v>
      </c>
      <c r="C79">
        <v>146.82859056999999</v>
      </c>
      <c r="D79">
        <v>-19.175043495000001</v>
      </c>
      <c r="F79" s="63"/>
      <c r="G79" s="63"/>
      <c r="H79" t="s">
        <v>78</v>
      </c>
      <c r="I79" s="64">
        <v>0</v>
      </c>
      <c r="J79" s="31"/>
      <c r="K79" s="31"/>
      <c r="L79" s="31"/>
      <c r="M79" s="31"/>
      <c r="N79" s="4"/>
      <c r="O79" s="4"/>
      <c r="P79" s="4"/>
      <c r="Q79" s="4"/>
      <c r="U79" s="5"/>
      <c r="V79" s="4"/>
      <c r="AG79" t="s">
        <v>136</v>
      </c>
      <c r="AM79" s="1">
        <f t="shared" si="1"/>
        <v>0</v>
      </c>
    </row>
    <row r="80" spans="1:39" x14ac:dyDescent="0.35">
      <c r="A80">
        <v>76</v>
      </c>
      <c r="B80">
        <v>77</v>
      </c>
      <c r="C80">
        <v>146.828520825</v>
      </c>
      <c r="D80">
        <v>-19.1749900209999</v>
      </c>
      <c r="F80" s="63"/>
      <c r="G80" s="63"/>
      <c r="H80" t="s">
        <v>78</v>
      </c>
      <c r="I80" s="64">
        <v>0</v>
      </c>
      <c r="J80" s="31"/>
      <c r="K80" s="31"/>
      <c r="L80" s="31"/>
      <c r="M80" s="31"/>
      <c r="N80" s="4"/>
      <c r="O80" s="4"/>
      <c r="P80" s="4"/>
      <c r="Q80" s="4"/>
      <c r="U80" s="5"/>
      <c r="V80" s="4"/>
      <c r="AG80" t="s">
        <v>137</v>
      </c>
      <c r="AM80" s="1">
        <f t="shared" si="1"/>
        <v>0</v>
      </c>
    </row>
    <row r="81" spans="1:39" x14ac:dyDescent="0.35">
      <c r="A81">
        <v>77</v>
      </c>
      <c r="B81">
        <v>78</v>
      </c>
      <c r="C81">
        <v>146.82845107899999</v>
      </c>
      <c r="D81">
        <v>-19.174936547000001</v>
      </c>
      <c r="F81" s="63"/>
      <c r="G81" s="63"/>
      <c r="H81" t="s">
        <v>78</v>
      </c>
      <c r="I81" s="64">
        <v>1</v>
      </c>
      <c r="J81" s="31"/>
      <c r="K81" s="31"/>
      <c r="L81" s="31"/>
      <c r="M81" s="31"/>
      <c r="N81" s="4"/>
      <c r="O81" s="4"/>
      <c r="P81" s="4"/>
      <c r="Q81" s="4"/>
      <c r="U81" s="5"/>
      <c r="V81" s="4"/>
      <c r="AG81" t="s">
        <v>138</v>
      </c>
      <c r="AM81" s="1">
        <f t="shared" si="1"/>
        <v>0</v>
      </c>
    </row>
    <row r="82" spans="1:39" x14ac:dyDescent="0.35">
      <c r="A82">
        <v>78</v>
      </c>
      <c r="B82">
        <v>79</v>
      </c>
      <c r="C82">
        <v>146.82838133300001</v>
      </c>
      <c r="D82">
        <v>-19.174883072999901</v>
      </c>
      <c r="F82" s="63"/>
      <c r="G82" s="63"/>
      <c r="H82" t="s">
        <v>78</v>
      </c>
      <c r="I82" s="64">
        <v>0</v>
      </c>
      <c r="J82" s="31"/>
      <c r="K82" s="31"/>
      <c r="L82" s="31"/>
      <c r="M82" s="31"/>
      <c r="N82" s="4"/>
      <c r="O82" s="4"/>
      <c r="P82" s="4"/>
      <c r="Q82" s="4"/>
      <c r="U82" s="5"/>
      <c r="V82" s="4"/>
      <c r="AG82" t="s">
        <v>139</v>
      </c>
      <c r="AM82" s="1">
        <f t="shared" si="1"/>
        <v>0</v>
      </c>
    </row>
    <row r="83" spans="1:39" x14ac:dyDescent="0.35">
      <c r="A83">
        <v>79</v>
      </c>
      <c r="B83">
        <v>80</v>
      </c>
      <c r="C83">
        <v>146.82831158799999</v>
      </c>
      <c r="D83">
        <v>-19.174829598999999</v>
      </c>
      <c r="E83">
        <v>50</v>
      </c>
      <c r="F83" s="63"/>
      <c r="G83" s="63"/>
      <c r="H83" t="s">
        <v>78</v>
      </c>
      <c r="I83" s="64">
        <v>1</v>
      </c>
      <c r="J83" s="31"/>
      <c r="K83" s="31"/>
      <c r="L83" s="31"/>
      <c r="M83" s="31"/>
      <c r="N83" s="4"/>
      <c r="O83" s="4"/>
      <c r="P83" s="4"/>
      <c r="Q83" s="4"/>
      <c r="U83" s="5"/>
      <c r="V83" s="4"/>
      <c r="AG83" t="s">
        <v>140</v>
      </c>
      <c r="AM83" s="1">
        <f t="shared" si="1"/>
        <v>0</v>
      </c>
    </row>
    <row r="84" spans="1:39" x14ac:dyDescent="0.35">
      <c r="A84">
        <v>80</v>
      </c>
      <c r="B84">
        <v>81</v>
      </c>
      <c r="C84">
        <v>146.82824184200001</v>
      </c>
      <c r="D84">
        <v>-19.174776124999902</v>
      </c>
      <c r="F84" s="63"/>
      <c r="G84" s="63"/>
      <c r="H84" t="s">
        <v>26</v>
      </c>
      <c r="I84" s="64"/>
      <c r="J84" s="31"/>
      <c r="K84" s="31"/>
      <c r="L84" s="31"/>
      <c r="M84" s="31"/>
      <c r="N84" s="4"/>
      <c r="O84" s="4"/>
      <c r="P84" s="4"/>
      <c r="Q84" s="4"/>
      <c r="U84" s="5"/>
      <c r="V84" s="4"/>
      <c r="AG84" t="s">
        <v>141</v>
      </c>
      <c r="AM84" s="1">
        <f t="shared" si="1"/>
        <v>0</v>
      </c>
    </row>
    <row r="85" spans="1:39" x14ac:dyDescent="0.35">
      <c r="A85">
        <v>81</v>
      </c>
      <c r="B85">
        <v>82</v>
      </c>
      <c r="C85">
        <v>146.82817209699999</v>
      </c>
      <c r="D85">
        <v>-19.17472265</v>
      </c>
      <c r="F85" s="63"/>
      <c r="G85" s="63"/>
      <c r="H85" t="s">
        <v>78</v>
      </c>
      <c r="I85" s="64">
        <v>1</v>
      </c>
      <c r="J85" s="31"/>
      <c r="K85" s="31"/>
      <c r="L85" s="31"/>
      <c r="M85" s="31"/>
      <c r="N85" s="4"/>
      <c r="O85" s="4"/>
      <c r="P85" s="4"/>
      <c r="Q85" s="4"/>
      <c r="U85" s="5"/>
      <c r="V85" s="4"/>
      <c r="AG85" t="s">
        <v>142</v>
      </c>
      <c r="AM85" s="1">
        <f t="shared" si="1"/>
        <v>0</v>
      </c>
    </row>
    <row r="86" spans="1:39" x14ac:dyDescent="0.35">
      <c r="A86">
        <v>82</v>
      </c>
      <c r="B86">
        <v>83</v>
      </c>
      <c r="C86">
        <v>146.82810235100001</v>
      </c>
      <c r="D86">
        <v>-19.174669175999998</v>
      </c>
      <c r="F86" s="63"/>
      <c r="G86" s="63"/>
      <c r="H86" t="s">
        <v>78</v>
      </c>
      <c r="I86" s="64">
        <v>1</v>
      </c>
      <c r="J86" s="31"/>
      <c r="K86" s="31"/>
      <c r="L86" s="31"/>
      <c r="M86" s="31"/>
      <c r="N86" s="4"/>
      <c r="O86" s="4"/>
      <c r="P86" s="4"/>
      <c r="Q86" s="4"/>
      <c r="U86" s="5"/>
      <c r="V86" s="4"/>
      <c r="AG86" t="s">
        <v>143</v>
      </c>
      <c r="AM86" s="1">
        <f t="shared" si="1"/>
        <v>0</v>
      </c>
    </row>
    <row r="87" spans="1:39" x14ac:dyDescent="0.35">
      <c r="A87">
        <v>83</v>
      </c>
      <c r="B87">
        <v>84</v>
      </c>
      <c r="C87">
        <v>146.82803303700001</v>
      </c>
      <c r="D87">
        <v>-19.174615207999999</v>
      </c>
      <c r="F87" s="63"/>
      <c r="G87" s="63"/>
      <c r="H87" t="s">
        <v>78</v>
      </c>
      <c r="I87" s="64">
        <v>1</v>
      </c>
      <c r="J87" s="31"/>
      <c r="K87" s="31"/>
      <c r="L87" s="31"/>
      <c r="M87" s="31"/>
      <c r="N87" s="4"/>
      <c r="O87" s="4"/>
      <c r="P87" s="4"/>
      <c r="Q87" s="4"/>
      <c r="U87" s="5"/>
      <c r="V87" s="4"/>
      <c r="AG87" t="s">
        <v>144</v>
      </c>
      <c r="AM87" s="1">
        <f t="shared" si="1"/>
        <v>0</v>
      </c>
    </row>
    <row r="88" spans="1:39" x14ac:dyDescent="0.35">
      <c r="A88">
        <v>84</v>
      </c>
      <c r="B88">
        <v>85</v>
      </c>
      <c r="C88">
        <v>146.82795825900001</v>
      </c>
      <c r="D88">
        <v>-19.174568531999999</v>
      </c>
      <c r="E88">
        <v>50</v>
      </c>
      <c r="F88" s="63"/>
      <c r="G88" s="63"/>
      <c r="H88" t="s">
        <v>78</v>
      </c>
      <c r="I88" s="64">
        <v>1</v>
      </c>
      <c r="J88" s="31"/>
      <c r="K88" s="31"/>
      <c r="L88" s="31"/>
      <c r="M88" s="31"/>
      <c r="N88" s="4"/>
      <c r="O88" s="4"/>
      <c r="P88" s="4"/>
      <c r="Q88" s="4"/>
      <c r="U88" s="5"/>
      <c r="V88" s="4"/>
      <c r="AG88" t="s">
        <v>145</v>
      </c>
      <c r="AM88" s="1">
        <f t="shared" si="1"/>
        <v>0</v>
      </c>
    </row>
    <row r="89" spans="1:39" x14ac:dyDescent="0.35">
      <c r="A89">
        <v>85</v>
      </c>
      <c r="B89">
        <v>86</v>
      </c>
      <c r="C89">
        <v>146.82788140400001</v>
      </c>
      <c r="D89">
        <v>-19.174524602999998</v>
      </c>
      <c r="F89" s="63"/>
      <c r="G89" s="63"/>
      <c r="H89" t="s">
        <v>78</v>
      </c>
      <c r="I89" s="64">
        <v>1</v>
      </c>
      <c r="J89" s="31"/>
      <c r="K89" s="31"/>
      <c r="L89" s="31"/>
      <c r="M89" s="31"/>
      <c r="N89" s="4"/>
      <c r="O89" s="4"/>
      <c r="P89" s="4"/>
      <c r="Q89" s="4"/>
      <c r="U89" s="5"/>
      <c r="V89" s="4"/>
      <c r="AG89" t="s">
        <v>146</v>
      </c>
      <c r="AM89" s="1">
        <f t="shared" si="1"/>
        <v>0</v>
      </c>
    </row>
    <row r="90" spans="1:39" x14ac:dyDescent="0.35">
      <c r="A90">
        <v>86</v>
      </c>
      <c r="B90">
        <v>87</v>
      </c>
      <c r="C90">
        <v>146.82780454900001</v>
      </c>
      <c r="D90">
        <v>-19.174480674999899</v>
      </c>
      <c r="F90" s="63"/>
      <c r="G90" s="63"/>
      <c r="H90" t="s">
        <v>78</v>
      </c>
      <c r="I90" s="64">
        <v>1</v>
      </c>
      <c r="J90" s="31"/>
      <c r="K90" s="31"/>
      <c r="L90" s="31"/>
      <c r="M90" s="31"/>
      <c r="N90" s="4"/>
      <c r="O90" s="4"/>
      <c r="P90" s="4"/>
      <c r="Q90" s="4"/>
      <c r="U90" s="5"/>
      <c r="V90" s="4"/>
      <c r="AG90" t="s">
        <v>147</v>
      </c>
      <c r="AM90" s="1">
        <f t="shared" si="1"/>
        <v>0</v>
      </c>
    </row>
    <row r="91" spans="1:39" x14ac:dyDescent="0.35">
      <c r="A91">
        <v>87</v>
      </c>
      <c r="B91">
        <v>88</v>
      </c>
      <c r="C91">
        <v>146.827744669</v>
      </c>
      <c r="D91">
        <v>-19.174418527999901</v>
      </c>
      <c r="F91" s="63"/>
      <c r="G91" s="63"/>
      <c r="H91" t="s">
        <v>78</v>
      </c>
      <c r="I91" s="64">
        <v>1</v>
      </c>
      <c r="J91" s="31"/>
      <c r="K91" s="31"/>
      <c r="L91" s="31"/>
      <c r="M91" s="31"/>
      <c r="N91" s="4"/>
      <c r="O91" s="4"/>
      <c r="P91" s="4"/>
      <c r="Q91" s="4"/>
      <c r="U91" s="5"/>
      <c r="V91" s="4"/>
      <c r="AG91" t="s">
        <v>148</v>
      </c>
      <c r="AM91" s="1">
        <f t="shared" si="1"/>
        <v>0</v>
      </c>
    </row>
    <row r="92" spans="1:39" x14ac:dyDescent="0.35">
      <c r="A92">
        <v>88</v>
      </c>
      <c r="B92">
        <v>89</v>
      </c>
      <c r="C92">
        <v>146.82768876899999</v>
      </c>
      <c r="D92">
        <v>-19.174352108999901</v>
      </c>
      <c r="F92" s="63"/>
      <c r="G92" s="63"/>
      <c r="H92" t="s">
        <v>78</v>
      </c>
      <c r="I92" s="64">
        <v>1</v>
      </c>
      <c r="J92" s="31"/>
      <c r="K92" s="31"/>
      <c r="L92" s="31"/>
      <c r="M92" s="31"/>
      <c r="N92" s="4"/>
      <c r="O92" s="4"/>
      <c r="P92" s="4"/>
      <c r="Q92" s="4"/>
      <c r="U92" s="5"/>
      <c r="V92" s="4"/>
      <c r="AG92" t="s">
        <v>149</v>
      </c>
      <c r="AM92" s="1">
        <f t="shared" si="1"/>
        <v>0</v>
      </c>
    </row>
    <row r="93" spans="1:39" x14ac:dyDescent="0.35">
      <c r="A93">
        <v>89</v>
      </c>
      <c r="B93">
        <v>90</v>
      </c>
      <c r="C93">
        <v>146.827624786</v>
      </c>
      <c r="D93">
        <v>-19.174293142</v>
      </c>
      <c r="E93">
        <v>50</v>
      </c>
      <c r="F93" s="63"/>
      <c r="G93" s="63"/>
      <c r="H93" t="s">
        <v>78</v>
      </c>
      <c r="I93" s="64">
        <v>1</v>
      </c>
      <c r="J93" s="31"/>
      <c r="K93" s="31"/>
      <c r="L93" s="31"/>
      <c r="M93" s="31"/>
      <c r="N93" s="4"/>
      <c r="O93" s="4"/>
      <c r="P93" s="4"/>
      <c r="Q93" s="4"/>
      <c r="U93" s="5"/>
      <c r="V93" s="4"/>
      <c r="AG93" t="s">
        <v>150</v>
      </c>
      <c r="AM93" s="1">
        <f t="shared" si="1"/>
        <v>0</v>
      </c>
    </row>
    <row r="94" spans="1:39" x14ac:dyDescent="0.35">
      <c r="A94">
        <v>90</v>
      </c>
      <c r="B94">
        <v>91</v>
      </c>
      <c r="C94">
        <v>146.82758074200001</v>
      </c>
      <c r="D94">
        <v>-19.174223753</v>
      </c>
      <c r="F94" s="63"/>
      <c r="G94" s="63"/>
      <c r="H94" t="s">
        <v>78</v>
      </c>
      <c r="I94" s="64">
        <v>1</v>
      </c>
      <c r="J94" s="31"/>
      <c r="K94" s="31"/>
      <c r="L94" s="31"/>
      <c r="M94" s="31"/>
      <c r="N94" s="4"/>
      <c r="O94" s="4"/>
      <c r="P94" s="4"/>
      <c r="Q94" s="4"/>
      <c r="U94" s="5"/>
      <c r="V94" s="4"/>
      <c r="AG94" t="s">
        <v>151</v>
      </c>
      <c r="AM94" s="1">
        <f t="shared" si="1"/>
        <v>0</v>
      </c>
    </row>
    <row r="95" spans="1:39" x14ac:dyDescent="0.35">
      <c r="A95">
        <v>91</v>
      </c>
      <c r="B95">
        <v>92</v>
      </c>
      <c r="C95">
        <v>146.827565819</v>
      </c>
      <c r="D95">
        <v>-19.174145500000002</v>
      </c>
      <c r="F95" s="63"/>
      <c r="G95" s="63"/>
      <c r="H95" t="s">
        <v>78</v>
      </c>
      <c r="I95" s="64">
        <v>1</v>
      </c>
      <c r="J95" s="31"/>
      <c r="K95" s="31"/>
      <c r="L95" s="31"/>
      <c r="M95" s="31"/>
      <c r="N95" s="4"/>
      <c r="O95" s="4"/>
      <c r="P95" s="4"/>
      <c r="Q95" s="4"/>
      <c r="U95" s="5"/>
      <c r="V95" s="4"/>
      <c r="AG95" t="s">
        <v>152</v>
      </c>
      <c r="AM95" s="1">
        <f t="shared" si="1"/>
        <v>0</v>
      </c>
    </row>
    <row r="96" spans="1:39" x14ac:dyDescent="0.35">
      <c r="A96">
        <v>92</v>
      </c>
      <c r="B96">
        <v>93</v>
      </c>
      <c r="C96">
        <v>146.82752087099999</v>
      </c>
      <c r="D96">
        <v>-19.174083674999999</v>
      </c>
      <c r="F96" s="63"/>
      <c r="G96" s="63"/>
      <c r="H96" t="s">
        <v>78</v>
      </c>
      <c r="I96" s="64">
        <v>1</v>
      </c>
      <c r="J96" s="31"/>
      <c r="K96" s="31"/>
      <c r="L96" s="31"/>
      <c r="M96" s="31"/>
      <c r="N96" s="4"/>
      <c r="O96" s="4"/>
      <c r="P96" s="4"/>
      <c r="Q96" s="4"/>
      <c r="U96" s="5"/>
      <c r="V96" s="4"/>
      <c r="AG96" t="s">
        <v>153</v>
      </c>
      <c r="AM96" s="1">
        <f t="shared" si="1"/>
        <v>0</v>
      </c>
    </row>
    <row r="97" spans="1:39" x14ac:dyDescent="0.35">
      <c r="A97">
        <v>93</v>
      </c>
      <c r="B97">
        <v>94</v>
      </c>
      <c r="C97">
        <v>146.82743606599999</v>
      </c>
      <c r="D97">
        <v>-19.174055692</v>
      </c>
      <c r="F97" s="63"/>
      <c r="G97" s="63"/>
      <c r="H97" t="s">
        <v>78</v>
      </c>
      <c r="I97" s="64">
        <v>1</v>
      </c>
      <c r="J97" s="31"/>
      <c r="K97" s="31"/>
      <c r="L97" s="31"/>
      <c r="M97" s="31"/>
      <c r="N97" s="4"/>
      <c r="O97" s="4"/>
      <c r="P97" s="4"/>
      <c r="Q97" s="4"/>
      <c r="U97" s="5"/>
      <c r="V97" s="4"/>
      <c r="AG97" t="s">
        <v>154</v>
      </c>
      <c r="AM97" s="1">
        <f t="shared" ref="AM97:AM128" si="2">HYPERLINK("E:\CAFNEC_GBRF\2023\JohnstoneRiver\Frames_for_Analysis\" &amp; F98, F98)</f>
        <v>0</v>
      </c>
    </row>
    <row r="98" spans="1:39" x14ac:dyDescent="0.35">
      <c r="A98">
        <v>94</v>
      </c>
      <c r="B98">
        <v>95</v>
      </c>
      <c r="C98">
        <v>146.827351292</v>
      </c>
      <c r="D98">
        <v>-19.174027624000001</v>
      </c>
      <c r="E98">
        <v>50</v>
      </c>
      <c r="F98" s="63"/>
      <c r="G98" s="63"/>
      <c r="H98" t="s">
        <v>78</v>
      </c>
      <c r="I98" s="64">
        <v>1</v>
      </c>
      <c r="J98" s="31"/>
      <c r="K98" s="31"/>
      <c r="L98" s="31"/>
      <c r="M98" s="31"/>
      <c r="N98" s="4"/>
      <c r="O98" s="4"/>
      <c r="P98" s="4"/>
      <c r="Q98" s="4"/>
      <c r="U98" s="5"/>
      <c r="V98" s="4"/>
      <c r="AG98" t="s">
        <v>155</v>
      </c>
      <c r="AM98" s="1">
        <f t="shared" si="2"/>
        <v>0</v>
      </c>
    </row>
    <row r="99" spans="1:39" x14ac:dyDescent="0.35">
      <c r="A99">
        <v>95</v>
      </c>
      <c r="B99">
        <v>96</v>
      </c>
      <c r="C99">
        <v>146.827266589</v>
      </c>
      <c r="D99">
        <v>-19.173999363999901</v>
      </c>
      <c r="F99" s="63"/>
      <c r="G99" s="63"/>
      <c r="H99" t="s">
        <v>78</v>
      </c>
      <c r="I99" s="64">
        <v>1</v>
      </c>
      <c r="J99" s="31"/>
      <c r="K99" s="31"/>
      <c r="L99" s="31"/>
      <c r="M99" s="31"/>
      <c r="N99" s="4"/>
      <c r="O99" s="4"/>
      <c r="P99" s="4"/>
      <c r="Q99" s="4"/>
      <c r="U99" s="5"/>
      <c r="V99" s="4"/>
      <c r="AG99" t="s">
        <v>156</v>
      </c>
      <c r="AM99" s="1">
        <f t="shared" si="2"/>
        <v>0</v>
      </c>
    </row>
    <row r="100" spans="1:39" x14ac:dyDescent="0.35">
      <c r="A100">
        <v>96</v>
      </c>
      <c r="B100">
        <v>97</v>
      </c>
      <c r="C100">
        <v>146.82717827600001</v>
      </c>
      <c r="D100">
        <v>-19.173989340999999</v>
      </c>
      <c r="F100" s="63"/>
      <c r="G100" s="63"/>
      <c r="H100" t="s">
        <v>78</v>
      </c>
      <c r="I100" s="64">
        <v>1</v>
      </c>
      <c r="J100" s="31"/>
      <c r="K100" s="31"/>
      <c r="L100" s="31"/>
      <c r="M100" s="31"/>
      <c r="N100" s="4"/>
      <c r="O100" s="4"/>
      <c r="P100" s="4"/>
      <c r="Q100" s="4"/>
      <c r="U100" s="5"/>
      <c r="V100" s="4"/>
      <c r="AG100" t="s">
        <v>78</v>
      </c>
      <c r="AM100" s="1">
        <f t="shared" si="2"/>
        <v>0</v>
      </c>
    </row>
    <row r="101" spans="1:39" x14ac:dyDescent="0.35">
      <c r="A101">
        <v>97</v>
      </c>
      <c r="B101">
        <v>98</v>
      </c>
      <c r="C101">
        <v>146.827090029</v>
      </c>
      <c r="D101">
        <v>-19.173980147999899</v>
      </c>
      <c r="F101" s="63"/>
      <c r="G101" s="63"/>
      <c r="H101" t="s">
        <v>78</v>
      </c>
      <c r="I101" s="64">
        <v>1</v>
      </c>
      <c r="J101" s="31"/>
      <c r="K101" s="31"/>
      <c r="L101" s="31"/>
      <c r="M101" s="31"/>
      <c r="N101" s="4"/>
      <c r="O101" s="4"/>
      <c r="P101" s="4"/>
      <c r="Q101" s="4"/>
      <c r="U101" s="5"/>
      <c r="V101" s="4"/>
      <c r="AG101" t="s">
        <v>78</v>
      </c>
      <c r="AM101" s="1">
        <f t="shared" si="2"/>
        <v>0</v>
      </c>
    </row>
    <row r="102" spans="1:39" x14ac:dyDescent="0.35">
      <c r="A102">
        <v>98</v>
      </c>
      <c r="B102">
        <v>99</v>
      </c>
      <c r="C102">
        <v>146.82700738299999</v>
      </c>
      <c r="D102">
        <v>-19.173946896</v>
      </c>
      <c r="F102" s="63"/>
      <c r="G102" s="63"/>
      <c r="H102" t="s">
        <v>78</v>
      </c>
      <c r="I102" s="64">
        <v>1</v>
      </c>
      <c r="J102" s="31"/>
      <c r="K102" s="31"/>
      <c r="L102" s="31"/>
      <c r="M102" s="31"/>
      <c r="N102" s="4"/>
      <c r="O102" s="4"/>
      <c r="P102" s="4"/>
      <c r="Q102" s="4"/>
      <c r="U102" s="5"/>
      <c r="V102" s="4"/>
      <c r="AG102" t="s">
        <v>78</v>
      </c>
      <c r="AM102" s="1">
        <f t="shared" si="2"/>
        <v>0</v>
      </c>
    </row>
    <row r="103" spans="1:39" x14ac:dyDescent="0.35">
      <c r="A103">
        <v>99</v>
      </c>
      <c r="B103">
        <v>100</v>
      </c>
      <c r="C103">
        <v>146.826959499</v>
      </c>
      <c r="D103">
        <v>-19.173881983999902</v>
      </c>
      <c r="E103">
        <v>50</v>
      </c>
      <c r="F103" s="63"/>
      <c r="G103" s="63"/>
      <c r="H103" t="s">
        <v>78</v>
      </c>
      <c r="I103" s="64">
        <v>1</v>
      </c>
      <c r="J103" s="31"/>
      <c r="K103" s="31"/>
      <c r="L103" s="31"/>
      <c r="M103" s="31"/>
      <c r="N103" s="4"/>
      <c r="O103" s="4"/>
      <c r="P103" s="4"/>
      <c r="Q103" s="4"/>
      <c r="U103" s="5"/>
      <c r="V103" s="4"/>
      <c r="AG103" t="s">
        <v>78</v>
      </c>
      <c r="AM103" s="1">
        <f t="shared" si="2"/>
        <v>0</v>
      </c>
    </row>
    <row r="104" spans="1:39" x14ac:dyDescent="0.35">
      <c r="A104">
        <v>100</v>
      </c>
      <c r="B104">
        <v>101</v>
      </c>
      <c r="C104">
        <v>146.826906826</v>
      </c>
      <c r="D104">
        <v>-19.1738202669999</v>
      </c>
      <c r="F104" s="63"/>
      <c r="G104" s="63"/>
      <c r="H104" t="s">
        <v>78</v>
      </c>
      <c r="I104" s="64">
        <v>1</v>
      </c>
      <c r="J104" s="31"/>
      <c r="K104" s="31"/>
      <c r="L104" s="31"/>
      <c r="M104" s="31"/>
      <c r="N104" s="4"/>
      <c r="O104" s="4"/>
      <c r="P104" s="4"/>
      <c r="Q104" s="4"/>
      <c r="U104" s="5"/>
      <c r="V104" s="4"/>
      <c r="AG104" t="s">
        <v>78</v>
      </c>
      <c r="AM104" s="1">
        <f t="shared" si="2"/>
        <v>0</v>
      </c>
    </row>
    <row r="105" spans="1:39" x14ac:dyDescent="0.35">
      <c r="A105">
        <v>101</v>
      </c>
      <c r="B105">
        <v>102</v>
      </c>
      <c r="C105">
        <v>146.82682661499999</v>
      </c>
      <c r="D105">
        <v>-19.173782064000001</v>
      </c>
      <c r="F105" s="63"/>
      <c r="G105" s="63"/>
      <c r="H105" t="s">
        <v>78</v>
      </c>
      <c r="I105" s="64">
        <v>1</v>
      </c>
      <c r="J105" s="31"/>
      <c r="K105" s="31"/>
      <c r="L105" s="31"/>
      <c r="M105" s="31"/>
      <c r="N105" s="4"/>
      <c r="O105" s="4"/>
      <c r="P105" s="4"/>
      <c r="Q105" s="4"/>
      <c r="U105" s="5"/>
      <c r="V105" s="4"/>
      <c r="AG105" t="s">
        <v>78</v>
      </c>
      <c r="AM105" s="1">
        <f t="shared" si="2"/>
        <v>0</v>
      </c>
    </row>
    <row r="106" spans="1:39" x14ac:dyDescent="0.35">
      <c r="A106">
        <v>102</v>
      </c>
      <c r="B106">
        <v>103</v>
      </c>
      <c r="C106">
        <v>146.82674591899999</v>
      </c>
      <c r="D106">
        <v>-19.173744835000001</v>
      </c>
      <c r="F106" s="63"/>
      <c r="G106" s="63"/>
      <c r="H106" t="s">
        <v>78</v>
      </c>
      <c r="I106" s="64">
        <v>1</v>
      </c>
      <c r="J106" s="31"/>
      <c r="K106" s="31"/>
      <c r="L106" s="31"/>
      <c r="M106" s="31"/>
      <c r="N106" s="4"/>
      <c r="O106" s="4"/>
      <c r="P106" s="4"/>
      <c r="Q106" s="4"/>
      <c r="U106" s="5"/>
      <c r="V106" s="4"/>
      <c r="AG106" t="s">
        <v>78</v>
      </c>
      <c r="AM106" s="1">
        <f t="shared" si="2"/>
        <v>0</v>
      </c>
    </row>
    <row r="107" spans="1:39" x14ac:dyDescent="0.35">
      <c r="A107">
        <v>103</v>
      </c>
      <c r="B107">
        <v>104</v>
      </c>
      <c r="C107">
        <v>146.826663639</v>
      </c>
      <c r="D107">
        <v>-19.173710784000001</v>
      </c>
      <c r="F107" s="63"/>
      <c r="G107" s="63"/>
      <c r="H107" t="s">
        <v>78</v>
      </c>
      <c r="I107" s="64">
        <v>1</v>
      </c>
      <c r="J107" s="31"/>
      <c r="K107" s="31"/>
      <c r="L107" s="31"/>
      <c r="M107" s="31"/>
      <c r="N107" s="4"/>
      <c r="O107" s="4"/>
      <c r="P107" s="4"/>
      <c r="Q107" s="4"/>
      <c r="U107" s="5"/>
      <c r="V107" s="4"/>
      <c r="AG107" t="s">
        <v>78</v>
      </c>
      <c r="AM107" s="1">
        <f t="shared" si="2"/>
        <v>0</v>
      </c>
    </row>
    <row r="108" spans="1:39" x14ac:dyDescent="0.35">
      <c r="A108">
        <v>104</v>
      </c>
      <c r="B108">
        <v>105</v>
      </c>
      <c r="C108">
        <v>146.826581358</v>
      </c>
      <c r="D108">
        <v>-19.173676733000001</v>
      </c>
      <c r="E108">
        <v>50</v>
      </c>
      <c r="F108" s="63"/>
      <c r="G108" s="63"/>
      <c r="H108" t="s">
        <v>78</v>
      </c>
      <c r="I108" s="64">
        <v>1</v>
      </c>
      <c r="J108" s="31"/>
      <c r="K108" s="31"/>
      <c r="L108" s="31"/>
      <c r="M108" s="31"/>
      <c r="N108" s="4"/>
      <c r="O108" s="4"/>
      <c r="P108" s="4"/>
      <c r="Q108" s="4"/>
      <c r="U108" s="5"/>
      <c r="V108" s="4"/>
      <c r="AG108" t="s">
        <v>78</v>
      </c>
      <c r="AM108" s="1">
        <f t="shared" si="2"/>
        <v>0</v>
      </c>
    </row>
    <row r="109" spans="1:39" x14ac:dyDescent="0.35">
      <c r="A109">
        <v>105</v>
      </c>
      <c r="B109">
        <v>106</v>
      </c>
      <c r="C109">
        <v>146.82651315800001</v>
      </c>
      <c r="D109">
        <v>-19.173623876000001</v>
      </c>
      <c r="F109" s="63"/>
      <c r="G109" s="63"/>
      <c r="H109" t="s">
        <v>78</v>
      </c>
      <c r="I109" s="64">
        <v>1</v>
      </c>
      <c r="J109" s="31"/>
      <c r="K109" s="31"/>
      <c r="L109" s="31"/>
      <c r="M109" s="31"/>
      <c r="N109" s="4"/>
      <c r="O109" s="4"/>
      <c r="P109" s="4"/>
      <c r="Q109" s="4"/>
      <c r="U109" s="5"/>
      <c r="V109" s="4"/>
      <c r="AG109" t="s">
        <v>78</v>
      </c>
      <c r="AM109" s="1">
        <f t="shared" si="2"/>
        <v>0</v>
      </c>
    </row>
    <row r="110" spans="1:39" x14ac:dyDescent="0.35">
      <c r="A110">
        <v>106</v>
      </c>
      <c r="B110">
        <v>107</v>
      </c>
      <c r="C110">
        <v>146.82645099499999</v>
      </c>
      <c r="D110">
        <v>-19.173562803999999</v>
      </c>
      <c r="F110" s="63"/>
      <c r="G110" s="63"/>
      <c r="H110" t="s">
        <v>78</v>
      </c>
      <c r="I110" s="64">
        <v>1</v>
      </c>
      <c r="J110" s="31"/>
      <c r="K110" s="31"/>
      <c r="L110" s="31"/>
      <c r="M110" s="31"/>
      <c r="N110" s="4"/>
      <c r="O110" s="4"/>
      <c r="P110" s="4"/>
      <c r="Q110" s="4"/>
      <c r="U110" s="5"/>
      <c r="V110" s="4"/>
      <c r="AG110" t="s">
        <v>78</v>
      </c>
      <c r="AM110" s="1">
        <f t="shared" si="2"/>
        <v>0</v>
      </c>
    </row>
    <row r="111" spans="1:39" x14ac:dyDescent="0.35">
      <c r="A111">
        <v>107</v>
      </c>
      <c r="B111">
        <v>108</v>
      </c>
      <c r="C111">
        <v>146.826375404</v>
      </c>
      <c r="D111">
        <v>-19.173516960000001</v>
      </c>
      <c r="F111" s="63"/>
      <c r="G111" s="63"/>
      <c r="H111" t="s">
        <v>78</v>
      </c>
      <c r="I111" s="64">
        <v>1</v>
      </c>
      <c r="J111" s="31"/>
      <c r="K111" s="31"/>
      <c r="L111" s="31"/>
      <c r="M111" s="31"/>
      <c r="N111" s="4"/>
      <c r="O111" s="4"/>
      <c r="P111" s="4"/>
      <c r="Q111" s="4"/>
      <c r="U111" s="5"/>
      <c r="V111" s="4"/>
      <c r="AG111" t="s">
        <v>78</v>
      </c>
      <c r="AM111" s="1">
        <f t="shared" si="2"/>
        <v>0</v>
      </c>
    </row>
    <row r="112" spans="1:39" x14ac:dyDescent="0.35">
      <c r="A112">
        <v>108</v>
      </c>
      <c r="B112">
        <v>109</v>
      </c>
      <c r="C112">
        <v>146.826318426</v>
      </c>
      <c r="D112">
        <v>-19.1734564069999</v>
      </c>
      <c r="F112" s="63"/>
      <c r="G112" s="63"/>
      <c r="H112" t="s">
        <v>78</v>
      </c>
      <c r="I112" s="64">
        <v>1</v>
      </c>
      <c r="J112" s="31"/>
      <c r="K112" s="31"/>
      <c r="L112" s="31"/>
      <c r="M112" s="31"/>
      <c r="N112" s="4"/>
      <c r="O112" s="4"/>
      <c r="P112" s="4"/>
      <c r="Q112" s="4"/>
      <c r="U112" s="5"/>
      <c r="V112" s="4"/>
      <c r="AG112" t="s">
        <v>78</v>
      </c>
      <c r="AM112" s="1">
        <f t="shared" si="2"/>
        <v>0</v>
      </c>
    </row>
    <row r="113" spans="1:39" x14ac:dyDescent="0.35">
      <c r="A113">
        <v>109</v>
      </c>
      <c r="B113">
        <v>110</v>
      </c>
      <c r="C113">
        <v>146.82627507800001</v>
      </c>
      <c r="D113">
        <v>-19.173382091000001</v>
      </c>
      <c r="E113">
        <v>50</v>
      </c>
      <c r="F113" s="63"/>
      <c r="G113" s="63"/>
      <c r="H113" t="s">
        <v>78</v>
      </c>
      <c r="I113" s="64">
        <v>1</v>
      </c>
      <c r="J113" s="31"/>
      <c r="K113" s="31"/>
      <c r="L113" s="31"/>
      <c r="M113" s="31"/>
      <c r="N113" s="4"/>
      <c r="O113" s="4"/>
      <c r="P113" s="4"/>
      <c r="Q113" s="4"/>
      <c r="U113" s="5"/>
      <c r="V113" s="4"/>
      <c r="AG113" t="s">
        <v>78</v>
      </c>
      <c r="AM113" s="1">
        <f t="shared" si="2"/>
        <v>0</v>
      </c>
    </row>
    <row r="114" spans="1:39" x14ac:dyDescent="0.35">
      <c r="A114">
        <v>110</v>
      </c>
      <c r="B114">
        <v>111</v>
      </c>
      <c r="C114">
        <v>146.82621059600001</v>
      </c>
      <c r="D114">
        <v>-19.173325312999999</v>
      </c>
      <c r="F114" s="63"/>
      <c r="G114" s="63"/>
      <c r="H114" t="s">
        <v>78</v>
      </c>
      <c r="I114" s="64">
        <v>1</v>
      </c>
      <c r="J114" s="31"/>
      <c r="K114" s="31"/>
      <c r="L114" s="31"/>
      <c r="M114" s="31"/>
      <c r="N114" s="4"/>
      <c r="O114" s="4"/>
      <c r="P114" s="4"/>
      <c r="Q114" s="4"/>
      <c r="U114" s="5"/>
      <c r="V114" s="4"/>
      <c r="AG114" t="s">
        <v>78</v>
      </c>
      <c r="AM114" s="1">
        <f t="shared" si="2"/>
        <v>0</v>
      </c>
    </row>
    <row r="115" spans="1:39" x14ac:dyDescent="0.35">
      <c r="A115">
        <v>111</v>
      </c>
      <c r="B115">
        <v>112</v>
      </c>
      <c r="C115">
        <v>146.82614026600001</v>
      </c>
      <c r="D115">
        <v>-19.173272900000001</v>
      </c>
      <c r="F115" s="63"/>
      <c r="G115" s="63"/>
      <c r="H115" t="s">
        <v>78</v>
      </c>
      <c r="I115" s="64">
        <v>1</v>
      </c>
      <c r="J115" s="31"/>
      <c r="K115" s="31"/>
      <c r="L115" s="31"/>
      <c r="M115" s="31"/>
      <c r="N115" s="4"/>
      <c r="O115" s="4"/>
      <c r="P115" s="4"/>
      <c r="Q115" s="4"/>
      <c r="U115" s="5"/>
      <c r="V115" s="4"/>
      <c r="AG115" t="s">
        <v>78</v>
      </c>
      <c r="AM115" s="1">
        <f t="shared" si="2"/>
        <v>0</v>
      </c>
    </row>
    <row r="116" spans="1:39" x14ac:dyDescent="0.35">
      <c r="A116">
        <v>112</v>
      </c>
      <c r="B116">
        <v>113</v>
      </c>
      <c r="C116">
        <v>146.826079171</v>
      </c>
      <c r="D116">
        <v>-19.173210696999899</v>
      </c>
      <c r="F116" s="63"/>
      <c r="G116" s="63"/>
      <c r="H116" t="s">
        <v>78</v>
      </c>
      <c r="I116" s="64">
        <v>1</v>
      </c>
      <c r="J116" s="31"/>
      <c r="K116" s="31"/>
      <c r="L116" s="31"/>
      <c r="M116" s="31"/>
      <c r="N116" s="4"/>
      <c r="O116" s="4"/>
      <c r="P116" s="4"/>
      <c r="Q116" s="4"/>
      <c r="U116" s="5"/>
      <c r="V116" s="4"/>
      <c r="AG116" t="s">
        <v>157</v>
      </c>
      <c r="AM116" s="1">
        <f t="shared" si="2"/>
        <v>0</v>
      </c>
    </row>
    <row r="117" spans="1:39" x14ac:dyDescent="0.35">
      <c r="A117">
        <v>113</v>
      </c>
      <c r="B117">
        <v>114</v>
      </c>
      <c r="C117">
        <v>146.826018076</v>
      </c>
      <c r="D117">
        <v>-19.1731484929999</v>
      </c>
      <c r="F117" s="63"/>
      <c r="G117" s="63"/>
      <c r="H117" t="s">
        <v>78</v>
      </c>
      <c r="I117" s="64">
        <v>1</v>
      </c>
      <c r="J117" s="31"/>
      <c r="K117" s="31"/>
      <c r="L117" s="31"/>
      <c r="M117" s="31"/>
      <c r="N117" s="4"/>
      <c r="O117" s="4"/>
      <c r="P117" s="4"/>
      <c r="Q117" s="4"/>
      <c r="U117" s="5"/>
      <c r="V117" s="4"/>
      <c r="AG117" t="s">
        <v>158</v>
      </c>
      <c r="AM117" s="1">
        <f t="shared" si="2"/>
        <v>0</v>
      </c>
    </row>
    <row r="118" spans="1:39" x14ac:dyDescent="0.35">
      <c r="A118">
        <v>114</v>
      </c>
      <c r="B118">
        <v>115</v>
      </c>
      <c r="C118">
        <v>146.82595698099999</v>
      </c>
      <c r="D118">
        <v>-19.173086289</v>
      </c>
      <c r="E118">
        <v>50</v>
      </c>
      <c r="F118" s="63"/>
      <c r="G118" s="63"/>
      <c r="H118" t="s">
        <v>78</v>
      </c>
      <c r="I118" s="64">
        <v>1</v>
      </c>
      <c r="J118" s="31"/>
      <c r="K118" s="31"/>
      <c r="L118" s="31"/>
      <c r="M118" s="31"/>
      <c r="N118" s="4"/>
      <c r="O118" s="4"/>
      <c r="P118" s="4"/>
      <c r="Q118" s="4"/>
      <c r="U118" s="5"/>
      <c r="V118" s="4"/>
      <c r="AG118" t="s">
        <v>159</v>
      </c>
      <c r="AM118" s="1">
        <f t="shared" si="2"/>
        <v>0</v>
      </c>
    </row>
    <row r="119" spans="1:39" x14ac:dyDescent="0.35">
      <c r="A119">
        <v>115</v>
      </c>
      <c r="B119">
        <v>116</v>
      </c>
      <c r="C119">
        <v>146.82589588600001</v>
      </c>
      <c r="D119">
        <v>-19.173024085000002</v>
      </c>
      <c r="F119" s="63"/>
      <c r="G119" s="63"/>
      <c r="H119" t="s">
        <v>78</v>
      </c>
      <c r="I119" s="64">
        <v>1</v>
      </c>
      <c r="J119" s="31"/>
      <c r="K119" s="31"/>
      <c r="L119" s="31"/>
      <c r="M119" s="31"/>
      <c r="N119" s="4"/>
      <c r="O119" s="4"/>
      <c r="P119" s="4"/>
      <c r="Q119" s="4"/>
      <c r="U119" s="5"/>
      <c r="V119" s="4"/>
      <c r="AG119" t="s">
        <v>160</v>
      </c>
      <c r="AM119" s="1">
        <f t="shared" si="2"/>
        <v>0</v>
      </c>
    </row>
    <row r="120" spans="1:39" x14ac:dyDescent="0.35">
      <c r="A120">
        <v>116</v>
      </c>
      <c r="B120">
        <v>117</v>
      </c>
      <c r="C120">
        <v>146.82583479100001</v>
      </c>
      <c r="D120">
        <v>-19.1729618809999</v>
      </c>
      <c r="F120" s="63"/>
      <c r="G120" s="63"/>
      <c r="H120" t="s">
        <v>78</v>
      </c>
      <c r="I120" s="64">
        <v>1</v>
      </c>
      <c r="J120" s="31"/>
      <c r="K120" s="31"/>
      <c r="L120" s="31"/>
      <c r="M120" s="31"/>
      <c r="N120" s="4"/>
      <c r="O120" s="4"/>
      <c r="P120" s="4"/>
      <c r="Q120" s="4"/>
      <c r="U120" s="5"/>
      <c r="V120" s="4"/>
      <c r="AG120" t="s">
        <v>161</v>
      </c>
      <c r="AM120" s="1">
        <f t="shared" si="2"/>
        <v>0</v>
      </c>
    </row>
    <row r="121" spans="1:39" x14ac:dyDescent="0.35">
      <c r="A121">
        <v>117</v>
      </c>
      <c r="B121">
        <v>118</v>
      </c>
      <c r="C121">
        <v>146.825773696</v>
      </c>
      <c r="D121">
        <v>-19.172899677</v>
      </c>
      <c r="F121" s="63"/>
      <c r="G121" s="63"/>
      <c r="H121" t="s">
        <v>78</v>
      </c>
      <c r="I121" s="64">
        <v>1</v>
      </c>
      <c r="J121" s="31"/>
      <c r="K121" s="31"/>
      <c r="L121" s="31"/>
      <c r="M121" s="31"/>
      <c r="N121" s="4"/>
      <c r="O121" s="4"/>
      <c r="P121" s="4"/>
      <c r="Q121" s="4"/>
      <c r="U121" s="5"/>
      <c r="V121" s="4"/>
      <c r="AG121" t="s">
        <v>162</v>
      </c>
      <c r="AM121" s="1">
        <f t="shared" si="2"/>
        <v>0</v>
      </c>
    </row>
    <row r="122" spans="1:39" x14ac:dyDescent="0.35">
      <c r="A122">
        <v>118</v>
      </c>
      <c r="B122">
        <v>119</v>
      </c>
      <c r="C122">
        <v>146.82571260200001</v>
      </c>
      <c r="D122">
        <v>-19.172837473999898</v>
      </c>
      <c r="F122" s="63"/>
      <c r="G122" s="63"/>
      <c r="H122" t="s">
        <v>78</v>
      </c>
      <c r="I122" s="64">
        <v>1</v>
      </c>
      <c r="J122" s="31"/>
      <c r="K122" s="31"/>
      <c r="L122" s="31"/>
      <c r="M122" s="31"/>
      <c r="N122" s="4"/>
      <c r="O122" s="4"/>
      <c r="P122" s="4"/>
      <c r="Q122" s="4"/>
      <c r="U122" s="5"/>
      <c r="V122" s="4"/>
      <c r="AG122" t="s">
        <v>163</v>
      </c>
      <c r="AM122" s="1">
        <f t="shared" si="2"/>
        <v>0</v>
      </c>
    </row>
    <row r="123" spans="1:39" x14ac:dyDescent="0.35">
      <c r="A123">
        <v>119</v>
      </c>
      <c r="B123">
        <v>120</v>
      </c>
      <c r="C123">
        <v>146.825651507</v>
      </c>
      <c r="D123">
        <v>-19.172775269999899</v>
      </c>
      <c r="E123">
        <v>50</v>
      </c>
      <c r="F123" s="63"/>
      <c r="G123" s="63"/>
      <c r="H123" t="s">
        <v>78</v>
      </c>
      <c r="I123" s="64">
        <v>1</v>
      </c>
      <c r="J123" s="31"/>
      <c r="K123" s="31"/>
      <c r="L123" s="31"/>
      <c r="M123" s="31"/>
      <c r="N123" s="4"/>
      <c r="O123" s="4"/>
      <c r="P123" s="4"/>
      <c r="Q123" s="4"/>
      <c r="U123" s="5"/>
      <c r="V123" s="4"/>
      <c r="AG123" t="s">
        <v>164</v>
      </c>
      <c r="AM123" s="1">
        <f t="shared" si="2"/>
        <v>0</v>
      </c>
    </row>
    <row r="124" spans="1:39" x14ac:dyDescent="0.35">
      <c r="A124">
        <v>120</v>
      </c>
      <c r="B124">
        <v>121</v>
      </c>
      <c r="C124">
        <v>146.825590412</v>
      </c>
      <c r="D124">
        <v>-19.172713066</v>
      </c>
      <c r="F124" s="63"/>
      <c r="G124" s="63"/>
      <c r="H124" t="s">
        <v>78</v>
      </c>
      <c r="I124" s="64">
        <v>1</v>
      </c>
      <c r="J124" s="31"/>
      <c r="K124" s="31"/>
      <c r="L124" s="31"/>
      <c r="M124" s="31"/>
      <c r="N124" s="4"/>
      <c r="O124" s="4"/>
      <c r="P124" s="4"/>
      <c r="Q124" s="4"/>
      <c r="U124" s="5"/>
      <c r="V124" s="4"/>
      <c r="AG124" t="s">
        <v>165</v>
      </c>
      <c r="AM124" s="1">
        <f t="shared" si="2"/>
        <v>0</v>
      </c>
    </row>
    <row r="125" spans="1:39" x14ac:dyDescent="0.35">
      <c r="A125">
        <v>121</v>
      </c>
      <c r="B125">
        <v>122</v>
      </c>
      <c r="C125">
        <v>146.82551261899999</v>
      </c>
      <c r="D125">
        <v>-19.172679223999999</v>
      </c>
      <c r="F125" s="63"/>
      <c r="G125" s="63"/>
      <c r="H125" t="s">
        <v>78</v>
      </c>
      <c r="I125" s="64">
        <v>1</v>
      </c>
      <c r="J125" s="31"/>
      <c r="K125" s="31"/>
      <c r="L125" s="31"/>
      <c r="M125" s="31"/>
      <c r="N125" s="4"/>
      <c r="O125" s="4"/>
      <c r="P125" s="4"/>
      <c r="Q125" s="4"/>
      <c r="U125" s="5"/>
      <c r="V125" s="4"/>
      <c r="AG125" t="s">
        <v>166</v>
      </c>
      <c r="AM125" s="1">
        <f t="shared" si="2"/>
        <v>0</v>
      </c>
    </row>
    <row r="126" spans="1:39" x14ac:dyDescent="0.35">
      <c r="A126">
        <v>122</v>
      </c>
      <c r="B126">
        <v>123</v>
      </c>
      <c r="C126">
        <v>146.82542444000001</v>
      </c>
      <c r="D126">
        <v>-19.172663022999899</v>
      </c>
      <c r="F126" s="63"/>
      <c r="G126" s="63"/>
      <c r="H126" t="s">
        <v>78</v>
      </c>
      <c r="I126" s="64">
        <v>1</v>
      </c>
      <c r="J126" s="31"/>
      <c r="K126" s="31"/>
      <c r="L126" s="31"/>
      <c r="M126" s="31"/>
      <c r="N126" s="4"/>
      <c r="O126" s="4"/>
      <c r="P126" s="4"/>
      <c r="Q126" s="4"/>
      <c r="U126" s="5"/>
      <c r="V126" s="4"/>
      <c r="AG126" t="s">
        <v>167</v>
      </c>
      <c r="AM126" s="1">
        <f t="shared" si="2"/>
        <v>0</v>
      </c>
    </row>
    <row r="127" spans="1:39" x14ac:dyDescent="0.35">
      <c r="A127">
        <v>123</v>
      </c>
      <c r="B127">
        <v>124</v>
      </c>
      <c r="C127">
        <v>146.82535621599999</v>
      </c>
      <c r="D127">
        <v>-19.172615683999901</v>
      </c>
      <c r="F127" s="63"/>
      <c r="G127" s="63"/>
      <c r="H127" t="s">
        <v>78</v>
      </c>
      <c r="I127" s="64">
        <v>1</v>
      </c>
      <c r="J127" s="31"/>
      <c r="K127" s="31"/>
      <c r="L127" s="31"/>
      <c r="M127" s="31"/>
      <c r="N127" s="4"/>
      <c r="O127" s="4"/>
      <c r="P127" s="4"/>
      <c r="Q127" s="4"/>
      <c r="U127" s="5"/>
      <c r="V127" s="4"/>
      <c r="AG127" t="s">
        <v>168</v>
      </c>
      <c r="AM127" s="1">
        <f t="shared" si="2"/>
        <v>0</v>
      </c>
    </row>
    <row r="128" spans="1:39" x14ac:dyDescent="0.35">
      <c r="A128">
        <v>124</v>
      </c>
      <c r="B128">
        <v>125</v>
      </c>
      <c r="C128">
        <v>146.825300129</v>
      </c>
      <c r="D128">
        <v>-19.172549404999899</v>
      </c>
      <c r="E128">
        <v>50</v>
      </c>
      <c r="F128" s="63"/>
      <c r="G128" s="63"/>
      <c r="H128" t="s">
        <v>78</v>
      </c>
      <c r="I128" s="64">
        <v>1</v>
      </c>
      <c r="J128" s="31"/>
      <c r="K128" s="31"/>
      <c r="L128" s="31"/>
      <c r="M128" s="31"/>
      <c r="N128" s="4"/>
      <c r="O128" s="4"/>
      <c r="P128" s="4"/>
      <c r="Q128" s="4"/>
      <c r="U128" s="5"/>
      <c r="V128" s="4"/>
      <c r="AG128" t="s">
        <v>169</v>
      </c>
      <c r="AM128" s="1">
        <f t="shared" si="2"/>
        <v>0</v>
      </c>
    </row>
    <row r="129" spans="1:39" x14ac:dyDescent="0.35">
      <c r="A129">
        <v>125</v>
      </c>
      <c r="B129">
        <v>126</v>
      </c>
      <c r="C129">
        <v>146.82524404200001</v>
      </c>
      <c r="D129">
        <v>-19.172483127</v>
      </c>
      <c r="F129" s="63"/>
      <c r="G129" s="63"/>
      <c r="H129" t="s">
        <v>78</v>
      </c>
      <c r="I129" s="64">
        <v>1</v>
      </c>
      <c r="J129" s="31"/>
      <c r="K129" s="31"/>
      <c r="L129" s="31"/>
      <c r="M129" s="31"/>
      <c r="N129" s="4"/>
      <c r="O129" s="4"/>
      <c r="P129" s="4"/>
      <c r="Q129" s="4"/>
      <c r="U129" s="5"/>
      <c r="V129" s="4"/>
      <c r="AG129" t="s">
        <v>170</v>
      </c>
      <c r="AM129" s="1">
        <f t="shared" ref="AM129:AM160" si="3">HYPERLINK("E:\CAFNEC_GBRF\2023\JohnstoneRiver\Frames_for_Analysis\" &amp; F130, F130)</f>
        <v>0</v>
      </c>
    </row>
    <row r="130" spans="1:39" x14ac:dyDescent="0.35">
      <c r="A130">
        <v>126</v>
      </c>
      <c r="B130">
        <v>127</v>
      </c>
      <c r="C130">
        <v>146.82518795499999</v>
      </c>
      <c r="D130">
        <v>-19.172416848000001</v>
      </c>
      <c r="F130" s="63"/>
      <c r="G130" s="63"/>
      <c r="H130" t="s">
        <v>78</v>
      </c>
      <c r="I130" s="64">
        <v>1</v>
      </c>
      <c r="J130" s="31"/>
      <c r="K130" s="31"/>
      <c r="L130" s="31"/>
      <c r="M130" s="31"/>
      <c r="N130" s="4"/>
      <c r="O130" s="4"/>
      <c r="P130" s="4"/>
      <c r="Q130" s="4"/>
      <c r="U130" s="5"/>
      <c r="V130" s="4"/>
      <c r="AG130" t="s">
        <v>171</v>
      </c>
      <c r="AM130" s="1">
        <f t="shared" si="3"/>
        <v>0</v>
      </c>
    </row>
    <row r="131" spans="1:39" x14ac:dyDescent="0.35">
      <c r="A131">
        <v>127</v>
      </c>
      <c r="B131">
        <v>128</v>
      </c>
      <c r="C131">
        <v>146.825131868</v>
      </c>
      <c r="D131">
        <v>-19.172350568999899</v>
      </c>
      <c r="F131" s="63"/>
      <c r="G131" s="63"/>
      <c r="H131" t="s">
        <v>78</v>
      </c>
      <c r="I131" s="64">
        <v>1</v>
      </c>
      <c r="J131" s="31"/>
      <c r="K131" s="31"/>
      <c r="L131" s="31"/>
      <c r="M131" s="31"/>
      <c r="N131" s="4"/>
      <c r="O131" s="4"/>
      <c r="P131" s="4"/>
      <c r="Q131" s="4"/>
      <c r="U131" s="5"/>
      <c r="V131" s="4"/>
      <c r="AG131" t="s">
        <v>172</v>
      </c>
      <c r="AM131" s="1">
        <f t="shared" si="3"/>
        <v>0</v>
      </c>
    </row>
    <row r="132" spans="1:39" x14ac:dyDescent="0.35">
      <c r="A132">
        <v>128</v>
      </c>
      <c r="B132">
        <v>129</v>
      </c>
      <c r="C132">
        <v>146.82507577999999</v>
      </c>
      <c r="D132">
        <v>-19.172284291</v>
      </c>
      <c r="F132" s="63"/>
      <c r="G132" s="63"/>
      <c r="H132" t="s">
        <v>78</v>
      </c>
      <c r="I132" s="64">
        <v>1</v>
      </c>
      <c r="J132" s="31"/>
      <c r="K132" s="31"/>
      <c r="L132" s="31"/>
      <c r="M132" s="31"/>
      <c r="N132" s="4"/>
      <c r="O132" s="4"/>
      <c r="P132" s="4"/>
      <c r="Q132" s="4"/>
      <c r="U132" s="5"/>
      <c r="V132" s="4"/>
      <c r="AG132" t="s">
        <v>173</v>
      </c>
      <c r="AM132" s="1">
        <f t="shared" si="3"/>
        <v>0</v>
      </c>
    </row>
    <row r="133" spans="1:39" x14ac:dyDescent="0.35">
      <c r="A133">
        <v>129</v>
      </c>
      <c r="B133">
        <v>130</v>
      </c>
      <c r="C133">
        <v>146.825019693</v>
      </c>
      <c r="D133">
        <v>-19.172218011999998</v>
      </c>
      <c r="E133">
        <v>50</v>
      </c>
      <c r="F133" s="63"/>
      <c r="G133" s="63"/>
      <c r="H133" t="s">
        <v>78</v>
      </c>
      <c r="I133" s="64">
        <v>1</v>
      </c>
      <c r="J133" s="31"/>
      <c r="K133" s="31"/>
      <c r="L133" s="31"/>
      <c r="M133" s="31"/>
      <c r="N133" s="4"/>
      <c r="O133" s="4"/>
      <c r="P133" s="4"/>
      <c r="Q133" s="4"/>
      <c r="U133" s="5"/>
      <c r="V133" s="4"/>
      <c r="AG133" t="s">
        <v>174</v>
      </c>
      <c r="AM133" s="1">
        <f t="shared" si="3"/>
        <v>0</v>
      </c>
    </row>
    <row r="134" spans="1:39" x14ac:dyDescent="0.35">
      <c r="A134">
        <v>130</v>
      </c>
      <c r="B134">
        <v>131</v>
      </c>
      <c r="C134">
        <v>146.82493726300001</v>
      </c>
      <c r="D134">
        <v>-19.172188844999901</v>
      </c>
      <c r="F134" s="63"/>
      <c r="G134" s="63"/>
      <c r="H134" t="s">
        <v>78</v>
      </c>
      <c r="I134" s="64">
        <v>1</v>
      </c>
      <c r="J134" s="31"/>
      <c r="K134" s="31"/>
      <c r="L134" s="31"/>
      <c r="M134" s="31"/>
      <c r="N134" s="4"/>
      <c r="O134" s="4"/>
      <c r="P134" s="4"/>
      <c r="Q134" s="4"/>
      <c r="U134" s="5"/>
      <c r="V134" s="4"/>
      <c r="AG134" t="s">
        <v>175</v>
      </c>
      <c r="AM134" s="1">
        <f t="shared" si="3"/>
        <v>0</v>
      </c>
    </row>
    <row r="135" spans="1:39" x14ac:dyDescent="0.35">
      <c r="A135">
        <v>131</v>
      </c>
      <c r="B135">
        <v>132</v>
      </c>
      <c r="C135">
        <v>146.82485391399999</v>
      </c>
      <c r="D135">
        <v>-19.172161083999999</v>
      </c>
      <c r="F135" s="63"/>
      <c r="G135" s="63"/>
      <c r="H135" t="s">
        <v>78</v>
      </c>
      <c r="I135" s="64">
        <v>1</v>
      </c>
      <c r="J135" s="31"/>
      <c r="K135" s="31"/>
      <c r="L135" s="31"/>
      <c r="M135" s="31"/>
      <c r="N135" s="4"/>
      <c r="O135" s="4"/>
      <c r="P135" s="4"/>
      <c r="Q135" s="4"/>
      <c r="U135" s="5"/>
      <c r="V135" s="4"/>
      <c r="AG135" t="s">
        <v>176</v>
      </c>
      <c r="AM135" s="1">
        <f t="shared" si="3"/>
        <v>0</v>
      </c>
    </row>
    <row r="136" spans="1:39" x14ac:dyDescent="0.35">
      <c r="A136">
        <v>132</v>
      </c>
      <c r="B136">
        <v>133</v>
      </c>
      <c r="C136">
        <v>146.82479965100001</v>
      </c>
      <c r="D136">
        <v>-19.1720934639999</v>
      </c>
      <c r="F136" s="63"/>
      <c r="G136" s="63"/>
      <c r="H136" t="s">
        <v>78</v>
      </c>
      <c r="I136" s="64">
        <v>1</v>
      </c>
      <c r="J136" s="31"/>
      <c r="K136" s="31"/>
      <c r="L136" s="31"/>
      <c r="M136" s="31"/>
      <c r="N136" s="4"/>
      <c r="O136" s="4"/>
      <c r="P136" s="4"/>
      <c r="Q136" s="4"/>
      <c r="U136" s="5"/>
      <c r="V136" s="4"/>
      <c r="AG136" t="s">
        <v>177</v>
      </c>
      <c r="AM136" s="1">
        <f t="shared" si="3"/>
        <v>0</v>
      </c>
    </row>
    <row r="137" spans="1:39" x14ac:dyDescent="0.35">
      <c r="A137">
        <v>133</v>
      </c>
      <c r="B137">
        <v>134</v>
      </c>
      <c r="C137">
        <v>146.824745388</v>
      </c>
      <c r="D137">
        <v>-19.172025844</v>
      </c>
      <c r="F137" s="63"/>
      <c r="G137" s="63"/>
      <c r="H137" t="s">
        <v>78</v>
      </c>
      <c r="I137" s="64">
        <v>1</v>
      </c>
      <c r="J137" s="31"/>
      <c r="K137" s="31"/>
      <c r="L137" s="31"/>
      <c r="M137" s="31"/>
      <c r="N137" s="4"/>
      <c r="O137" s="4"/>
      <c r="P137" s="4"/>
      <c r="Q137" s="4"/>
      <c r="U137" s="5"/>
      <c r="V137" s="4"/>
      <c r="AG137" t="s">
        <v>178</v>
      </c>
      <c r="AM137" s="1">
        <f t="shared" si="3"/>
        <v>0</v>
      </c>
    </row>
    <row r="138" spans="1:39" x14ac:dyDescent="0.35">
      <c r="A138">
        <v>134</v>
      </c>
      <c r="B138">
        <v>135</v>
      </c>
      <c r="C138">
        <v>146.82472145200001</v>
      </c>
      <c r="D138">
        <v>-19.171950624000001</v>
      </c>
      <c r="E138">
        <v>50</v>
      </c>
      <c r="F138" s="63"/>
      <c r="G138" s="63"/>
      <c r="H138" t="s">
        <v>78</v>
      </c>
      <c r="I138" s="64">
        <v>1</v>
      </c>
      <c r="J138" s="31"/>
      <c r="K138" s="31"/>
      <c r="L138" s="31"/>
      <c r="M138" s="31"/>
      <c r="N138" s="4"/>
      <c r="O138" s="4"/>
      <c r="P138" s="4"/>
      <c r="Q138" s="4"/>
      <c r="U138" s="5"/>
      <c r="V138" s="4"/>
      <c r="AG138" t="s">
        <v>179</v>
      </c>
      <c r="AM138" s="1">
        <f t="shared" si="3"/>
        <v>0</v>
      </c>
    </row>
    <row r="139" spans="1:39" x14ac:dyDescent="0.35">
      <c r="A139">
        <v>135</v>
      </c>
      <c r="B139">
        <v>136</v>
      </c>
      <c r="C139">
        <v>146.82473309100001</v>
      </c>
      <c r="D139">
        <v>-19.171866489999999</v>
      </c>
      <c r="F139" s="63"/>
      <c r="G139" s="63"/>
      <c r="H139" t="s">
        <v>78</v>
      </c>
      <c r="I139" s="64">
        <v>1</v>
      </c>
      <c r="J139" s="31"/>
      <c r="K139" s="31"/>
      <c r="L139" s="31"/>
      <c r="M139" s="31"/>
      <c r="N139" s="4"/>
      <c r="O139" s="4"/>
      <c r="P139" s="4"/>
      <c r="Q139" s="4"/>
      <c r="U139" s="5"/>
      <c r="V139" s="4"/>
      <c r="AG139" t="s">
        <v>180</v>
      </c>
      <c r="AM139" s="1">
        <f t="shared" si="3"/>
        <v>0</v>
      </c>
    </row>
    <row r="140" spans="1:39" x14ac:dyDescent="0.35">
      <c r="A140">
        <v>136</v>
      </c>
      <c r="B140">
        <v>137</v>
      </c>
      <c r="C140">
        <v>146.82469821399999</v>
      </c>
      <c r="D140">
        <v>-19.171807859999898</v>
      </c>
      <c r="F140" s="63"/>
      <c r="G140" s="63"/>
      <c r="H140" t="s">
        <v>78</v>
      </c>
      <c r="I140" s="64">
        <v>1</v>
      </c>
      <c r="J140" s="31"/>
      <c r="K140" s="31"/>
      <c r="L140" s="31"/>
      <c r="M140" s="31"/>
      <c r="N140" s="4"/>
      <c r="O140" s="4"/>
      <c r="P140" s="4"/>
      <c r="Q140" s="4"/>
      <c r="U140" s="5"/>
      <c r="V140" s="4"/>
      <c r="AG140" t="s">
        <v>181</v>
      </c>
      <c r="AM140" s="1">
        <f t="shared" si="3"/>
        <v>0</v>
      </c>
    </row>
    <row r="141" spans="1:39" x14ac:dyDescent="0.35">
      <c r="A141">
        <v>137</v>
      </c>
      <c r="B141">
        <v>138</v>
      </c>
      <c r="C141">
        <v>146.82461509399999</v>
      </c>
      <c r="D141">
        <v>-19.1717756799999</v>
      </c>
      <c r="F141" s="63"/>
      <c r="G141" s="63"/>
      <c r="H141" t="s">
        <v>78</v>
      </c>
      <c r="I141" s="64">
        <v>1</v>
      </c>
      <c r="J141" s="31"/>
      <c r="K141" s="31"/>
      <c r="L141" s="31"/>
      <c r="M141" s="31"/>
      <c r="N141" s="4"/>
      <c r="O141" s="4"/>
      <c r="P141" s="4"/>
      <c r="Q141" s="4"/>
      <c r="U141" s="5"/>
      <c r="V141" s="4"/>
      <c r="AG141" t="s">
        <v>182</v>
      </c>
      <c r="AM141" s="1">
        <f t="shared" si="3"/>
        <v>0</v>
      </c>
    </row>
    <row r="142" spans="1:39" x14ac:dyDescent="0.35">
      <c r="A142">
        <v>138</v>
      </c>
      <c r="B142">
        <v>139</v>
      </c>
      <c r="C142">
        <v>146.824531974</v>
      </c>
      <c r="D142">
        <v>-19.171743501000002</v>
      </c>
      <c r="F142" s="63"/>
      <c r="G142" s="63"/>
      <c r="H142" t="s">
        <v>78</v>
      </c>
      <c r="I142" s="64">
        <v>1</v>
      </c>
      <c r="J142" s="31"/>
      <c r="K142" s="31"/>
      <c r="L142" s="31"/>
      <c r="M142" s="31"/>
      <c r="N142" s="4"/>
      <c r="O142" s="4"/>
      <c r="P142" s="4"/>
      <c r="Q142" s="4"/>
      <c r="U142" s="5"/>
      <c r="V142" s="4"/>
      <c r="AG142" t="s">
        <v>183</v>
      </c>
      <c r="AM142" s="1">
        <f t="shared" si="3"/>
        <v>0</v>
      </c>
    </row>
    <row r="143" spans="1:39" x14ac:dyDescent="0.35">
      <c r="A143">
        <v>139</v>
      </c>
      <c r="B143">
        <v>140</v>
      </c>
      <c r="C143">
        <v>146.82447277</v>
      </c>
      <c r="D143">
        <v>-19.1716822449999</v>
      </c>
      <c r="E143">
        <v>50</v>
      </c>
      <c r="F143" s="63"/>
      <c r="G143" s="63"/>
      <c r="H143" t="s">
        <v>78</v>
      </c>
      <c r="I143" s="64">
        <v>1</v>
      </c>
      <c r="J143" s="31"/>
      <c r="K143" s="31"/>
      <c r="L143" s="31"/>
      <c r="M143" s="31"/>
      <c r="N143" s="4"/>
      <c r="O143" s="4"/>
      <c r="P143" s="4"/>
      <c r="Q143" s="4"/>
      <c r="U143" s="5"/>
      <c r="V143" s="4"/>
      <c r="AG143" t="s">
        <v>184</v>
      </c>
      <c r="AM143" s="1">
        <f t="shared" si="3"/>
        <v>0</v>
      </c>
    </row>
    <row r="144" spans="1:39" x14ac:dyDescent="0.35">
      <c r="A144">
        <v>140</v>
      </c>
      <c r="B144">
        <v>141</v>
      </c>
      <c r="C144">
        <v>146.824414684</v>
      </c>
      <c r="D144">
        <v>-19.171619781999901</v>
      </c>
      <c r="F144" s="63"/>
      <c r="G144" s="63"/>
      <c r="H144" t="s">
        <v>78</v>
      </c>
      <c r="I144" s="64">
        <v>1</v>
      </c>
      <c r="J144" s="31"/>
      <c r="K144" s="31"/>
      <c r="L144" s="31"/>
      <c r="M144" s="31"/>
      <c r="N144" s="4"/>
      <c r="O144" s="4"/>
      <c r="P144" s="4"/>
      <c r="Q144" s="4"/>
      <c r="U144" s="5"/>
      <c r="V144" s="4"/>
      <c r="AG144" t="s">
        <v>185</v>
      </c>
      <c r="AM144" s="1">
        <f t="shared" si="3"/>
        <v>0</v>
      </c>
    </row>
    <row r="145" spans="1:39" x14ac:dyDescent="0.35">
      <c r="A145">
        <v>141</v>
      </c>
      <c r="B145">
        <v>142</v>
      </c>
      <c r="C145">
        <v>146.82435799199999</v>
      </c>
      <c r="D145">
        <v>-19.1715554959999</v>
      </c>
      <c r="F145" s="63"/>
      <c r="G145" s="63"/>
      <c r="H145" t="s">
        <v>78</v>
      </c>
      <c r="I145" s="64">
        <v>1</v>
      </c>
      <c r="J145" s="31"/>
      <c r="K145" s="31"/>
      <c r="L145" s="31"/>
      <c r="M145" s="31"/>
      <c r="N145" s="4"/>
      <c r="O145" s="4"/>
      <c r="P145" s="4"/>
      <c r="Q145" s="4"/>
      <c r="U145" s="5"/>
      <c r="V145" s="4"/>
      <c r="AG145" t="s">
        <v>186</v>
      </c>
      <c r="AM145" s="1">
        <f t="shared" si="3"/>
        <v>0</v>
      </c>
    </row>
    <row r="146" spans="1:39" x14ac:dyDescent="0.35">
      <c r="A146">
        <v>142</v>
      </c>
      <c r="B146">
        <v>143</v>
      </c>
      <c r="C146">
        <v>146.824304267</v>
      </c>
      <c r="D146">
        <v>-19.171487493000001</v>
      </c>
      <c r="F146" s="63"/>
      <c r="G146" s="63"/>
      <c r="H146" t="s">
        <v>78</v>
      </c>
      <c r="I146" s="64">
        <v>1</v>
      </c>
      <c r="J146" s="31"/>
      <c r="K146" s="31"/>
      <c r="L146" s="31"/>
      <c r="M146" s="31"/>
      <c r="N146" s="4"/>
      <c r="O146" s="4"/>
      <c r="P146" s="4"/>
      <c r="Q146" s="4"/>
      <c r="U146" s="5"/>
      <c r="V146" s="4"/>
      <c r="AG146" t="s">
        <v>187</v>
      </c>
      <c r="AM146" s="1">
        <f t="shared" si="3"/>
        <v>0</v>
      </c>
    </row>
    <row r="147" spans="1:39" x14ac:dyDescent="0.35">
      <c r="A147">
        <v>143</v>
      </c>
      <c r="B147">
        <v>144</v>
      </c>
      <c r="C147">
        <v>146.82424270499999</v>
      </c>
      <c r="D147">
        <v>-19.171426696000001</v>
      </c>
      <c r="F147" s="63"/>
      <c r="G147" s="63"/>
      <c r="H147" t="s">
        <v>78</v>
      </c>
      <c r="I147" s="64">
        <v>1</v>
      </c>
      <c r="J147" s="31"/>
      <c r="K147" s="31"/>
      <c r="L147" s="31"/>
      <c r="M147" s="31"/>
      <c r="N147" s="4"/>
      <c r="O147" s="4"/>
      <c r="P147" s="4"/>
      <c r="Q147" s="4"/>
      <c r="U147" s="5"/>
      <c r="V147" s="4"/>
      <c r="AG147" t="s">
        <v>188</v>
      </c>
      <c r="AM147" s="1">
        <f t="shared" si="3"/>
        <v>0</v>
      </c>
    </row>
    <row r="148" spans="1:39" x14ac:dyDescent="0.35">
      <c r="A148">
        <v>144</v>
      </c>
      <c r="B148">
        <v>145</v>
      </c>
      <c r="C148">
        <v>146.82417218099999</v>
      </c>
      <c r="D148">
        <v>-19.171374140000001</v>
      </c>
      <c r="E148">
        <v>50</v>
      </c>
      <c r="F148" s="63"/>
      <c r="G148" s="63"/>
      <c r="H148" t="s">
        <v>78</v>
      </c>
      <c r="I148" s="64">
        <v>1</v>
      </c>
      <c r="J148" s="31"/>
      <c r="K148" s="31"/>
      <c r="L148" s="31"/>
      <c r="M148" s="31"/>
      <c r="N148" s="4"/>
      <c r="O148" s="4"/>
      <c r="P148" s="4"/>
      <c r="Q148" s="4"/>
      <c r="U148" s="5"/>
      <c r="V148" s="4"/>
      <c r="AG148" t="s">
        <v>189</v>
      </c>
      <c r="AM148" s="1">
        <f t="shared" si="3"/>
        <v>0</v>
      </c>
    </row>
    <row r="149" spans="1:39" x14ac:dyDescent="0.35">
      <c r="A149">
        <v>145</v>
      </c>
      <c r="B149">
        <v>146</v>
      </c>
      <c r="C149">
        <v>146.82412938600001</v>
      </c>
      <c r="D149">
        <v>-19.171306904999899</v>
      </c>
      <c r="F149" s="63"/>
      <c r="G149" s="63"/>
      <c r="H149" t="s">
        <v>78</v>
      </c>
      <c r="I149" s="64">
        <v>1</v>
      </c>
      <c r="J149" s="31"/>
      <c r="K149" s="31"/>
      <c r="L149" s="31"/>
      <c r="M149" s="31"/>
      <c r="N149" s="4"/>
      <c r="O149" s="4"/>
      <c r="P149" s="4"/>
      <c r="Q149" s="4"/>
      <c r="U149" s="5"/>
      <c r="V149" s="4"/>
      <c r="AG149" t="s">
        <v>190</v>
      </c>
      <c r="AM149" s="1">
        <f t="shared" si="3"/>
        <v>0</v>
      </c>
    </row>
    <row r="150" spans="1:39" x14ac:dyDescent="0.35">
      <c r="A150">
        <v>146</v>
      </c>
      <c r="B150">
        <v>147</v>
      </c>
      <c r="C150">
        <v>146.82409139399999</v>
      </c>
      <c r="D150">
        <v>-19.171230158</v>
      </c>
      <c r="F150" s="63"/>
      <c r="G150" s="63"/>
      <c r="H150" t="s">
        <v>78</v>
      </c>
      <c r="I150" s="64">
        <v>1</v>
      </c>
      <c r="J150" s="31"/>
      <c r="K150" s="31"/>
      <c r="L150" s="31"/>
      <c r="M150" s="31"/>
      <c r="N150" s="4"/>
      <c r="O150" s="4"/>
      <c r="P150" s="4"/>
      <c r="Q150" s="4"/>
      <c r="U150" s="5"/>
      <c r="V150" s="4"/>
      <c r="AG150" t="s">
        <v>191</v>
      </c>
      <c r="AM150" s="1">
        <f t="shared" si="3"/>
        <v>0</v>
      </c>
    </row>
    <row r="151" spans="1:39" x14ac:dyDescent="0.35">
      <c r="A151">
        <v>147</v>
      </c>
      <c r="B151">
        <v>148</v>
      </c>
      <c r="C151">
        <v>146.82403424099999</v>
      </c>
      <c r="D151">
        <v>-19.171164695999899</v>
      </c>
      <c r="F151" s="63"/>
      <c r="G151" s="63"/>
      <c r="H151" t="s">
        <v>78</v>
      </c>
      <c r="I151" s="64">
        <v>1</v>
      </c>
      <c r="J151" s="31"/>
      <c r="K151" s="31"/>
      <c r="L151" s="31"/>
      <c r="M151" s="31"/>
      <c r="N151" s="4"/>
      <c r="O151" s="4"/>
      <c r="P151" s="4"/>
      <c r="Q151" s="4"/>
      <c r="U151" s="5"/>
      <c r="V151" s="4"/>
      <c r="AG151" t="s">
        <v>192</v>
      </c>
      <c r="AM151" s="1">
        <f t="shared" si="3"/>
        <v>0</v>
      </c>
    </row>
    <row r="152" spans="1:39" x14ac:dyDescent="0.35">
      <c r="A152">
        <v>148</v>
      </c>
      <c r="B152">
        <v>149</v>
      </c>
      <c r="C152">
        <v>146.823951808</v>
      </c>
      <c r="D152">
        <v>-19.171143187999999</v>
      </c>
      <c r="F152" s="63"/>
      <c r="G152" s="63"/>
      <c r="H152" t="s">
        <v>78</v>
      </c>
      <c r="I152" s="64">
        <v>1</v>
      </c>
      <c r="J152" s="31"/>
      <c r="K152" s="31"/>
      <c r="L152" s="31"/>
      <c r="M152" s="31"/>
      <c r="N152" s="4"/>
      <c r="O152" s="4"/>
      <c r="P152" s="4"/>
      <c r="Q152" s="4"/>
      <c r="U152" s="5"/>
      <c r="V152" s="4"/>
      <c r="AG152" t="s">
        <v>193</v>
      </c>
      <c r="AM152" s="1">
        <f t="shared" si="3"/>
        <v>0</v>
      </c>
    </row>
    <row r="153" spans="1:39" x14ac:dyDescent="0.35">
      <c r="A153">
        <v>149</v>
      </c>
      <c r="B153">
        <v>150</v>
      </c>
      <c r="C153">
        <v>146.82387107100001</v>
      </c>
      <c r="D153">
        <v>-19.171106371999901</v>
      </c>
      <c r="E153">
        <v>50</v>
      </c>
      <c r="F153" s="63"/>
      <c r="G153" s="63"/>
      <c r="H153" t="s">
        <v>78</v>
      </c>
      <c r="I153" s="64">
        <v>1</v>
      </c>
      <c r="J153" s="31"/>
      <c r="K153" s="31"/>
      <c r="L153" s="31"/>
      <c r="M153" s="31"/>
      <c r="N153" s="4"/>
      <c r="O153" s="4"/>
      <c r="P153" s="4"/>
      <c r="Q153" s="4"/>
      <c r="U153" s="5"/>
      <c r="V153" s="4"/>
      <c r="AG153" t="s">
        <v>194</v>
      </c>
      <c r="AM153" s="1">
        <f t="shared" si="3"/>
        <v>0</v>
      </c>
    </row>
    <row r="154" spans="1:39" x14ac:dyDescent="0.35">
      <c r="A154">
        <v>150</v>
      </c>
      <c r="B154">
        <v>151</v>
      </c>
      <c r="C154">
        <v>146.82381745199999</v>
      </c>
      <c r="D154">
        <v>-19.171038294999999</v>
      </c>
      <c r="F154" s="63"/>
      <c r="G154" s="63"/>
      <c r="H154" t="s">
        <v>78</v>
      </c>
      <c r="I154" s="64">
        <v>1</v>
      </c>
      <c r="J154" s="31"/>
      <c r="K154" s="31"/>
      <c r="L154" s="31"/>
      <c r="M154" s="31"/>
      <c r="N154" s="4"/>
      <c r="O154" s="4"/>
      <c r="P154" s="4"/>
      <c r="Q154" s="4"/>
      <c r="U154" s="5"/>
      <c r="V154" s="4"/>
      <c r="AG154" t="s">
        <v>195</v>
      </c>
      <c r="AM154" s="1">
        <f t="shared" si="3"/>
        <v>0</v>
      </c>
    </row>
    <row r="155" spans="1:39" x14ac:dyDescent="0.35">
      <c r="A155">
        <v>151</v>
      </c>
      <c r="B155">
        <v>152</v>
      </c>
      <c r="C155">
        <v>146.823759862</v>
      </c>
      <c r="D155">
        <v>-19.170975341999998</v>
      </c>
      <c r="F155" s="63"/>
      <c r="G155" s="63"/>
      <c r="H155" t="s">
        <v>78</v>
      </c>
      <c r="I155" s="64">
        <v>1</v>
      </c>
      <c r="J155" s="31"/>
      <c r="K155" s="31"/>
      <c r="L155" s="31"/>
      <c r="M155" s="31"/>
      <c r="N155" s="4"/>
      <c r="O155" s="4"/>
      <c r="P155" s="4"/>
      <c r="Q155" s="4"/>
      <c r="U155" s="5"/>
      <c r="V155" s="4"/>
      <c r="AG155" t="s">
        <v>196</v>
      </c>
      <c r="AM155" s="1">
        <f t="shared" si="3"/>
        <v>0</v>
      </c>
    </row>
    <row r="156" spans="1:39" x14ac:dyDescent="0.35">
      <c r="A156">
        <v>152</v>
      </c>
      <c r="B156">
        <v>153</v>
      </c>
      <c r="C156">
        <v>146.82367494900001</v>
      </c>
      <c r="D156">
        <v>-19.170947648999999</v>
      </c>
      <c r="F156" s="63"/>
      <c r="G156" s="63"/>
      <c r="H156" t="s">
        <v>78</v>
      </c>
      <c r="I156" s="64">
        <v>1</v>
      </c>
      <c r="J156" s="31"/>
      <c r="K156" s="31"/>
      <c r="L156" s="31"/>
      <c r="M156" s="31"/>
      <c r="N156" s="4"/>
      <c r="O156" s="4"/>
      <c r="P156" s="4"/>
      <c r="Q156" s="4"/>
      <c r="U156" s="5"/>
      <c r="V156" s="4"/>
      <c r="AG156" t="s">
        <v>197</v>
      </c>
      <c r="AM156" s="1">
        <f t="shared" si="3"/>
        <v>0</v>
      </c>
    </row>
    <row r="157" spans="1:39" x14ac:dyDescent="0.35">
      <c r="A157">
        <v>153</v>
      </c>
      <c r="B157">
        <v>154</v>
      </c>
      <c r="C157">
        <v>146.82359128799999</v>
      </c>
      <c r="D157">
        <v>-19.170916857000002</v>
      </c>
      <c r="F157" s="63"/>
      <c r="G157" s="63"/>
      <c r="H157" t="s">
        <v>78</v>
      </c>
      <c r="I157" s="64">
        <v>1</v>
      </c>
      <c r="J157" s="31"/>
      <c r="K157" s="31"/>
      <c r="L157" s="31"/>
      <c r="M157" s="31"/>
      <c r="N157" s="4"/>
      <c r="O157" s="4"/>
      <c r="P157" s="4"/>
      <c r="Q157" s="4"/>
      <c r="U157" s="5"/>
      <c r="V157" s="4"/>
      <c r="AG157" t="s">
        <v>198</v>
      </c>
      <c r="AM157" s="1">
        <f t="shared" si="3"/>
        <v>0</v>
      </c>
    </row>
    <row r="158" spans="1:39" x14ac:dyDescent="0.35">
      <c r="A158">
        <v>154</v>
      </c>
      <c r="B158">
        <v>155</v>
      </c>
      <c r="C158">
        <v>146.82350841600001</v>
      </c>
      <c r="D158">
        <v>-19.170884112</v>
      </c>
      <c r="E158">
        <v>50</v>
      </c>
      <c r="F158" s="63"/>
      <c r="G158" s="63"/>
      <c r="H158" t="s">
        <v>78</v>
      </c>
      <c r="I158" s="64">
        <v>1</v>
      </c>
      <c r="J158" s="31"/>
      <c r="K158" s="31"/>
      <c r="L158" s="31"/>
      <c r="M158" s="31"/>
      <c r="N158" s="4"/>
      <c r="O158" s="4"/>
      <c r="P158" s="4"/>
      <c r="Q158" s="4"/>
      <c r="U158" s="5"/>
      <c r="V158" s="4"/>
      <c r="AG158" t="s">
        <v>199</v>
      </c>
      <c r="AM158" s="1">
        <f t="shared" si="3"/>
        <v>0</v>
      </c>
    </row>
    <row r="159" spans="1:39" x14ac:dyDescent="0.35">
      <c r="A159">
        <v>155</v>
      </c>
      <c r="B159">
        <v>156</v>
      </c>
      <c r="C159">
        <v>146.82347768899999</v>
      </c>
      <c r="D159">
        <v>-19.170806177999999</v>
      </c>
      <c r="F159" s="63"/>
      <c r="G159" s="63"/>
      <c r="H159" t="s">
        <v>78</v>
      </c>
      <c r="I159" s="64">
        <v>1</v>
      </c>
      <c r="J159" s="31"/>
      <c r="K159" s="31"/>
      <c r="L159" s="31"/>
      <c r="M159" s="31"/>
      <c r="N159" s="4"/>
      <c r="O159" s="4"/>
      <c r="P159" s="4"/>
      <c r="Q159" s="4"/>
      <c r="U159" s="5"/>
      <c r="V159" s="4"/>
      <c r="AG159" t="s">
        <v>200</v>
      </c>
      <c r="AM159" s="1">
        <f t="shared" si="3"/>
        <v>0</v>
      </c>
    </row>
    <row r="160" spans="1:39" x14ac:dyDescent="0.35">
      <c r="A160">
        <v>156</v>
      </c>
      <c r="B160">
        <v>157</v>
      </c>
      <c r="C160">
        <v>146.82341366899999</v>
      </c>
      <c r="D160">
        <v>-19.170770767</v>
      </c>
      <c r="F160" s="63"/>
      <c r="G160" s="63"/>
      <c r="H160" t="s">
        <v>78</v>
      </c>
      <c r="I160" s="64">
        <v>1</v>
      </c>
      <c r="J160" s="31"/>
      <c r="K160" s="31"/>
      <c r="L160" s="31"/>
      <c r="M160" s="31"/>
      <c r="N160" s="4"/>
      <c r="O160" s="4"/>
      <c r="P160" s="4"/>
      <c r="Q160" s="4"/>
      <c r="U160" s="5"/>
      <c r="V160" s="4"/>
      <c r="AG160" t="s">
        <v>201</v>
      </c>
      <c r="AM160" s="1">
        <f t="shared" si="3"/>
        <v>0</v>
      </c>
    </row>
    <row r="161" spans="1:39" x14ac:dyDescent="0.35">
      <c r="A161">
        <v>157</v>
      </c>
      <c r="B161">
        <v>158</v>
      </c>
      <c r="C161">
        <v>146.823336095</v>
      </c>
      <c r="D161">
        <v>-19.170735896999901</v>
      </c>
      <c r="F161" s="63"/>
      <c r="G161" s="63"/>
      <c r="H161" t="s">
        <v>78</v>
      </c>
      <c r="I161" s="64">
        <v>1</v>
      </c>
      <c r="J161" s="31"/>
      <c r="K161" s="31"/>
      <c r="L161" s="31"/>
      <c r="M161" s="31"/>
      <c r="N161" s="4"/>
      <c r="O161" s="4"/>
      <c r="P161" s="4"/>
      <c r="Q161" s="4"/>
      <c r="U161" s="5"/>
      <c r="V161" s="4"/>
      <c r="AG161" t="s">
        <v>202</v>
      </c>
      <c r="AM161" s="1">
        <f t="shared" ref="AM161:AM192" si="4">HYPERLINK("E:\CAFNEC_GBRF\2023\JohnstoneRiver\Frames_for_Analysis\" &amp; F162, F162)</f>
        <v>0</v>
      </c>
    </row>
    <row r="162" spans="1:39" x14ac:dyDescent="0.35">
      <c r="A162">
        <v>158</v>
      </c>
      <c r="B162">
        <v>159</v>
      </c>
      <c r="C162">
        <v>146.82327138100001</v>
      </c>
      <c r="D162">
        <v>-19.170677472000001</v>
      </c>
      <c r="F162" s="63"/>
      <c r="G162" s="63"/>
      <c r="H162" t="s">
        <v>78</v>
      </c>
      <c r="I162" s="64">
        <v>1</v>
      </c>
      <c r="J162" s="31"/>
      <c r="K162" s="31"/>
      <c r="L162" s="31"/>
      <c r="M162" s="31"/>
      <c r="N162" s="4"/>
      <c r="O162" s="4"/>
      <c r="P162" s="4"/>
      <c r="Q162" s="4"/>
      <c r="U162" s="5"/>
      <c r="V162" s="4"/>
      <c r="AG162" t="s">
        <v>203</v>
      </c>
      <c r="AM162" s="1">
        <f t="shared" si="4"/>
        <v>0</v>
      </c>
    </row>
    <row r="163" spans="1:39" x14ac:dyDescent="0.35">
      <c r="A163">
        <v>159</v>
      </c>
      <c r="B163">
        <v>160</v>
      </c>
      <c r="C163">
        <v>146.823210848</v>
      </c>
      <c r="D163">
        <v>-19.170614778999902</v>
      </c>
      <c r="E163">
        <v>50</v>
      </c>
      <c r="F163" s="63"/>
      <c r="G163" s="63"/>
      <c r="H163" t="s">
        <v>78</v>
      </c>
      <c r="I163" s="64">
        <v>1</v>
      </c>
      <c r="J163" s="31"/>
      <c r="K163" s="31"/>
      <c r="L163" s="31"/>
      <c r="M163" s="31"/>
      <c r="N163" s="4"/>
      <c r="O163" s="4"/>
      <c r="P163" s="4"/>
      <c r="Q163" s="4"/>
      <c r="U163" s="5"/>
      <c r="V163" s="4"/>
      <c r="AG163" t="s">
        <v>204</v>
      </c>
      <c r="AM163" s="1">
        <f t="shared" si="4"/>
        <v>0</v>
      </c>
    </row>
    <row r="164" spans="1:39" x14ac:dyDescent="0.35">
      <c r="A164">
        <v>160</v>
      </c>
      <c r="B164">
        <v>161</v>
      </c>
      <c r="C164">
        <v>146.82315031499999</v>
      </c>
      <c r="D164">
        <v>-19.170552087000001</v>
      </c>
      <c r="F164" s="63"/>
      <c r="G164" s="63"/>
      <c r="H164" t="s">
        <v>78</v>
      </c>
      <c r="I164" s="64">
        <v>1</v>
      </c>
      <c r="J164" s="31"/>
      <c r="K164" s="31"/>
      <c r="L164" s="31"/>
      <c r="M164" s="31"/>
      <c r="N164" s="4"/>
      <c r="O164" s="4"/>
      <c r="P164" s="4"/>
      <c r="Q164" s="4"/>
      <c r="U164" s="5"/>
      <c r="V164" s="4"/>
      <c r="AG164" t="s">
        <v>205</v>
      </c>
      <c r="AM164" s="1">
        <f t="shared" si="4"/>
        <v>0</v>
      </c>
    </row>
    <row r="165" spans="1:39" x14ac:dyDescent="0.35">
      <c r="A165">
        <v>161</v>
      </c>
      <c r="B165">
        <v>162</v>
      </c>
      <c r="C165">
        <v>146.82307767399999</v>
      </c>
      <c r="D165">
        <v>-19.170515266999899</v>
      </c>
      <c r="F165" s="63"/>
      <c r="G165" s="63"/>
      <c r="H165" t="s">
        <v>78</v>
      </c>
      <c r="I165" s="64">
        <v>1</v>
      </c>
      <c r="J165" s="31"/>
      <c r="K165" s="31"/>
      <c r="L165" s="31"/>
      <c r="M165" s="31"/>
      <c r="N165" s="4"/>
      <c r="O165" s="4"/>
      <c r="P165" s="4"/>
      <c r="Q165" s="4"/>
      <c r="U165" s="5"/>
      <c r="V165" s="4"/>
      <c r="AG165" t="s">
        <v>206</v>
      </c>
      <c r="AM165" s="1">
        <f t="shared" si="4"/>
        <v>0</v>
      </c>
    </row>
    <row r="166" spans="1:39" x14ac:dyDescent="0.35">
      <c r="A166">
        <v>162</v>
      </c>
      <c r="B166">
        <v>163</v>
      </c>
      <c r="C166">
        <v>146.82298784299999</v>
      </c>
      <c r="D166">
        <v>-19.170515180999899</v>
      </c>
      <c r="F166" s="63"/>
      <c r="G166" s="63"/>
      <c r="H166" t="s">
        <v>78</v>
      </c>
      <c r="I166" s="64">
        <v>1</v>
      </c>
      <c r="J166" s="31"/>
      <c r="K166" s="31"/>
      <c r="L166" s="31"/>
      <c r="M166" s="31"/>
      <c r="N166" s="4"/>
      <c r="O166" s="4"/>
      <c r="P166" s="4"/>
      <c r="Q166" s="4"/>
      <c r="U166" s="5"/>
      <c r="V166" s="4"/>
      <c r="AG166" t="s">
        <v>207</v>
      </c>
      <c r="AM166" s="1">
        <f t="shared" si="4"/>
        <v>0</v>
      </c>
    </row>
    <row r="167" spans="1:39" x14ac:dyDescent="0.35">
      <c r="A167">
        <v>163</v>
      </c>
      <c r="B167">
        <v>164</v>
      </c>
      <c r="C167">
        <v>146.82291393899999</v>
      </c>
      <c r="D167">
        <v>-19.170471940999999</v>
      </c>
      <c r="F167" s="63"/>
      <c r="G167" s="63"/>
      <c r="H167" t="s">
        <v>78</v>
      </c>
      <c r="I167" s="64">
        <v>1</v>
      </c>
      <c r="J167" s="31"/>
      <c r="K167" s="31"/>
      <c r="L167" s="31"/>
      <c r="M167" s="31"/>
      <c r="N167" s="4"/>
      <c r="O167" s="4"/>
      <c r="P167" s="4"/>
      <c r="Q167" s="4"/>
      <c r="U167" s="5"/>
      <c r="V167" s="4"/>
      <c r="AG167" t="s">
        <v>208</v>
      </c>
      <c r="AM167" s="1">
        <f t="shared" si="4"/>
        <v>0</v>
      </c>
    </row>
    <row r="168" spans="1:39" x14ac:dyDescent="0.35">
      <c r="A168">
        <v>164</v>
      </c>
      <c r="B168">
        <v>165</v>
      </c>
      <c r="C168">
        <v>146.82283925499999</v>
      </c>
      <c r="D168">
        <v>-19.170424789999998</v>
      </c>
      <c r="E168">
        <v>50</v>
      </c>
      <c r="F168" s="63"/>
      <c r="G168" s="63"/>
      <c r="H168" t="s">
        <v>78</v>
      </c>
      <c r="I168" s="64">
        <v>1</v>
      </c>
      <c r="J168" s="31"/>
      <c r="K168" s="31"/>
      <c r="L168" s="31"/>
      <c r="M168" s="31"/>
      <c r="N168" s="4"/>
      <c r="O168" s="4"/>
      <c r="P168" s="4"/>
      <c r="Q168" s="4"/>
      <c r="U168" s="5"/>
      <c r="V168" s="4"/>
      <c r="AG168" t="s">
        <v>209</v>
      </c>
      <c r="AM168" s="1">
        <f t="shared" si="4"/>
        <v>0</v>
      </c>
    </row>
    <row r="169" spans="1:39" x14ac:dyDescent="0.35">
      <c r="A169">
        <v>165</v>
      </c>
      <c r="B169">
        <v>166</v>
      </c>
      <c r="C169">
        <v>146.82276457</v>
      </c>
      <c r="D169">
        <v>-19.170377639000002</v>
      </c>
      <c r="F169" s="63"/>
      <c r="G169" s="63"/>
      <c r="H169" t="s">
        <v>78</v>
      </c>
      <c r="I169" s="64">
        <v>1</v>
      </c>
      <c r="J169" s="31"/>
      <c r="K169" s="31"/>
      <c r="L169" s="31"/>
      <c r="M169" s="31"/>
      <c r="N169" s="4"/>
      <c r="O169" s="4"/>
      <c r="P169" s="4"/>
      <c r="Q169" s="4"/>
      <c r="U169" s="5"/>
      <c r="V169" s="4"/>
      <c r="AG169" t="s">
        <v>210</v>
      </c>
      <c r="AM169" s="1">
        <f t="shared" si="4"/>
        <v>0</v>
      </c>
    </row>
    <row r="170" spans="1:39" x14ac:dyDescent="0.35">
      <c r="A170">
        <v>166</v>
      </c>
      <c r="B170">
        <v>167</v>
      </c>
      <c r="C170">
        <v>146.82268988499999</v>
      </c>
      <c r="D170">
        <v>-19.170330487999902</v>
      </c>
      <c r="F170" s="63"/>
      <c r="G170" s="63"/>
      <c r="H170" t="s">
        <v>78</v>
      </c>
      <c r="I170" s="64">
        <v>1</v>
      </c>
      <c r="J170" s="31"/>
      <c r="K170" s="31"/>
      <c r="L170" s="31"/>
      <c r="M170" s="31"/>
      <c r="N170" s="4"/>
      <c r="O170" s="4"/>
      <c r="P170" s="4"/>
      <c r="Q170" s="4"/>
      <c r="U170" s="5"/>
      <c r="V170" s="4"/>
      <c r="AG170" t="s">
        <v>211</v>
      </c>
      <c r="AM170" s="1">
        <f t="shared" si="4"/>
        <v>0</v>
      </c>
    </row>
    <row r="171" spans="1:39" x14ac:dyDescent="0.35">
      <c r="A171">
        <v>167</v>
      </c>
      <c r="B171">
        <v>168</v>
      </c>
      <c r="C171">
        <v>146.8226152</v>
      </c>
      <c r="D171">
        <v>-19.170283337999901</v>
      </c>
      <c r="F171" s="63"/>
      <c r="G171" s="63"/>
      <c r="H171" t="s">
        <v>78</v>
      </c>
      <c r="I171" s="64">
        <v>1</v>
      </c>
      <c r="J171" s="31"/>
      <c r="K171" s="31"/>
      <c r="L171" s="31"/>
      <c r="M171" s="31"/>
      <c r="N171" s="4"/>
      <c r="O171" s="4"/>
      <c r="P171" s="4"/>
      <c r="Q171" s="4"/>
      <c r="U171" s="5"/>
      <c r="V171" s="4"/>
      <c r="AG171" t="s">
        <v>212</v>
      </c>
      <c r="AM171" s="1">
        <f t="shared" si="4"/>
        <v>0</v>
      </c>
    </row>
    <row r="172" spans="1:39" x14ac:dyDescent="0.35">
      <c r="A172">
        <v>168</v>
      </c>
      <c r="B172">
        <v>169</v>
      </c>
      <c r="C172">
        <v>146.822540516</v>
      </c>
      <c r="D172">
        <v>-19.170236186999901</v>
      </c>
      <c r="F172" s="63"/>
      <c r="G172" s="63"/>
      <c r="H172" t="s">
        <v>78</v>
      </c>
      <c r="I172" s="64">
        <v>1</v>
      </c>
      <c r="J172" s="31"/>
      <c r="K172" s="31"/>
      <c r="L172" s="31"/>
      <c r="M172" s="31"/>
      <c r="N172" s="4"/>
      <c r="O172" s="4"/>
      <c r="P172" s="4"/>
      <c r="Q172" s="4"/>
      <c r="U172" s="5"/>
      <c r="V172" s="4"/>
      <c r="AG172" t="s">
        <v>213</v>
      </c>
      <c r="AM172" s="1">
        <f t="shared" si="4"/>
        <v>0</v>
      </c>
    </row>
    <row r="173" spans="1:39" x14ac:dyDescent="0.35">
      <c r="A173">
        <v>169</v>
      </c>
      <c r="B173">
        <v>170</v>
      </c>
      <c r="C173">
        <v>146.82246583099999</v>
      </c>
      <c r="D173">
        <v>-19.170189036</v>
      </c>
      <c r="E173">
        <v>50</v>
      </c>
      <c r="F173" s="63"/>
      <c r="G173" s="63"/>
      <c r="H173" t="s">
        <v>78</v>
      </c>
      <c r="I173" s="64">
        <v>1</v>
      </c>
      <c r="J173" s="31"/>
      <c r="K173" s="31"/>
      <c r="L173" s="31"/>
      <c r="M173" s="31"/>
      <c r="N173" s="4"/>
      <c r="O173" s="4"/>
      <c r="P173" s="4"/>
      <c r="Q173" s="4"/>
      <c r="U173" s="5"/>
      <c r="V173" s="4"/>
      <c r="AG173" t="s">
        <v>214</v>
      </c>
      <c r="AM173" s="1">
        <f t="shared" si="4"/>
        <v>0</v>
      </c>
    </row>
    <row r="174" spans="1:39" x14ac:dyDescent="0.35">
      <c r="A174">
        <v>170</v>
      </c>
      <c r="B174">
        <v>171</v>
      </c>
      <c r="C174">
        <v>146.822381318</v>
      </c>
      <c r="D174">
        <v>-19.170161547999999</v>
      </c>
      <c r="F174" s="63"/>
      <c r="G174" s="63"/>
      <c r="H174" t="s">
        <v>78</v>
      </c>
      <c r="I174" s="64">
        <v>1</v>
      </c>
      <c r="J174" s="31"/>
      <c r="K174" s="31"/>
      <c r="L174" s="31"/>
      <c r="M174" s="31"/>
      <c r="N174" s="4"/>
      <c r="O174" s="4"/>
      <c r="P174" s="4"/>
      <c r="Q174" s="4"/>
      <c r="U174" s="5"/>
      <c r="V174" s="4"/>
      <c r="AG174" t="s">
        <v>215</v>
      </c>
      <c r="AM174" s="1">
        <f t="shared" si="4"/>
        <v>0</v>
      </c>
    </row>
    <row r="175" spans="1:39" x14ac:dyDescent="0.35">
      <c r="A175">
        <v>171</v>
      </c>
      <c r="B175">
        <v>172</v>
      </c>
      <c r="C175">
        <v>146.82229531499999</v>
      </c>
      <c r="D175">
        <v>-19.170137042</v>
      </c>
      <c r="F175" s="63"/>
      <c r="G175" s="63"/>
      <c r="H175" t="s">
        <v>78</v>
      </c>
      <c r="I175" s="64">
        <v>1</v>
      </c>
      <c r="J175" s="31"/>
      <c r="K175" s="31"/>
      <c r="L175" s="31"/>
      <c r="M175" s="31"/>
      <c r="N175" s="4"/>
      <c r="O175" s="4"/>
      <c r="P175" s="4"/>
      <c r="Q175" s="4"/>
      <c r="U175" s="5"/>
      <c r="V175" s="4"/>
      <c r="AG175" t="s">
        <v>216</v>
      </c>
      <c r="AM175" s="1">
        <f t="shared" si="4"/>
        <v>0</v>
      </c>
    </row>
    <row r="176" spans="1:39" x14ac:dyDescent="0.35">
      <c r="A176">
        <v>172</v>
      </c>
      <c r="B176">
        <v>173</v>
      </c>
      <c r="C176">
        <v>146.82220931200001</v>
      </c>
      <c r="D176">
        <v>-19.170112536000001</v>
      </c>
      <c r="F176" s="63"/>
      <c r="G176" s="63"/>
      <c r="H176" t="s">
        <v>78</v>
      </c>
      <c r="I176" s="64">
        <v>1</v>
      </c>
      <c r="J176" s="31"/>
      <c r="K176" s="31"/>
      <c r="L176" s="31"/>
      <c r="M176" s="31"/>
      <c r="N176" s="4"/>
      <c r="O176" s="4"/>
      <c r="P176" s="4"/>
      <c r="Q176" s="4"/>
      <c r="U176" s="5"/>
      <c r="V176" s="4"/>
      <c r="AG176" t="s">
        <v>217</v>
      </c>
      <c r="AM176" s="1">
        <f t="shared" si="4"/>
        <v>0</v>
      </c>
    </row>
    <row r="177" spans="1:39" x14ac:dyDescent="0.35">
      <c r="A177">
        <v>173</v>
      </c>
      <c r="B177">
        <v>174</v>
      </c>
      <c r="C177">
        <v>146.82212330799999</v>
      </c>
      <c r="D177">
        <v>-19.170088028999899</v>
      </c>
      <c r="F177" s="63"/>
      <c r="G177" s="63"/>
      <c r="H177" t="s">
        <v>78</v>
      </c>
      <c r="I177" s="64">
        <v>1</v>
      </c>
      <c r="J177" s="31"/>
      <c r="K177" s="31"/>
      <c r="L177" s="31"/>
      <c r="M177" s="31"/>
      <c r="N177" s="4"/>
      <c r="O177" s="4"/>
      <c r="P177" s="4"/>
      <c r="Q177" s="4"/>
      <c r="U177" s="5"/>
      <c r="V177" s="4"/>
      <c r="AG177" t="s">
        <v>218</v>
      </c>
      <c r="AM177" s="1">
        <f t="shared" si="4"/>
        <v>0</v>
      </c>
    </row>
    <row r="178" spans="1:39" x14ac:dyDescent="0.35">
      <c r="A178">
        <v>174</v>
      </c>
      <c r="B178">
        <v>175</v>
      </c>
      <c r="C178">
        <v>146.82203730500001</v>
      </c>
      <c r="D178">
        <v>-19.170063523</v>
      </c>
      <c r="E178">
        <v>50</v>
      </c>
      <c r="F178" s="63"/>
      <c r="G178" s="63"/>
      <c r="H178" t="s">
        <v>78</v>
      </c>
      <c r="I178" s="64">
        <v>1</v>
      </c>
      <c r="J178" s="31"/>
      <c r="K178" s="31"/>
      <c r="L178" s="31"/>
      <c r="M178" s="31"/>
      <c r="N178" s="4"/>
      <c r="O178" s="4"/>
      <c r="P178" s="4"/>
      <c r="Q178" s="4"/>
      <c r="U178" s="5"/>
      <c r="V178" s="4"/>
      <c r="AG178" t="s">
        <v>219</v>
      </c>
      <c r="AM178" s="1">
        <f t="shared" si="4"/>
        <v>0</v>
      </c>
    </row>
    <row r="179" spans="1:39" x14ac:dyDescent="0.35">
      <c r="A179">
        <v>175</v>
      </c>
      <c r="B179">
        <v>176</v>
      </c>
      <c r="C179">
        <v>146.82195114800001</v>
      </c>
      <c r="D179">
        <v>-19.170039504999998</v>
      </c>
      <c r="F179" s="63"/>
      <c r="G179" s="63"/>
      <c r="H179" t="s">
        <v>78</v>
      </c>
      <c r="I179" s="64">
        <v>1</v>
      </c>
      <c r="J179" s="31"/>
      <c r="K179" s="31"/>
      <c r="L179" s="31"/>
      <c r="M179" s="31"/>
      <c r="N179" s="4"/>
      <c r="O179" s="4"/>
      <c r="P179" s="4"/>
      <c r="Q179" s="4"/>
      <c r="U179" s="5"/>
      <c r="V179" s="4"/>
      <c r="AG179" t="s">
        <v>220</v>
      </c>
      <c r="AM179" s="1">
        <f t="shared" si="4"/>
        <v>0</v>
      </c>
    </row>
    <row r="180" spans="1:39" x14ac:dyDescent="0.35">
      <c r="A180">
        <v>176</v>
      </c>
      <c r="B180">
        <v>177</v>
      </c>
      <c r="C180">
        <v>146.82186494300001</v>
      </c>
      <c r="D180">
        <v>-19.170015639999999</v>
      </c>
      <c r="F180" s="63"/>
      <c r="G180" s="63"/>
      <c r="H180" t="s">
        <v>78</v>
      </c>
      <c r="I180" s="64">
        <v>1</v>
      </c>
      <c r="J180" s="31"/>
      <c r="K180" s="31"/>
      <c r="L180" s="31"/>
      <c r="M180" s="31"/>
      <c r="N180" s="4"/>
      <c r="O180" s="4"/>
      <c r="P180" s="4"/>
      <c r="Q180" s="4"/>
      <c r="U180" s="5"/>
      <c r="V180" s="4"/>
      <c r="AG180" t="s">
        <v>221</v>
      </c>
      <c r="AM180" s="1">
        <f t="shared" si="4"/>
        <v>0</v>
      </c>
    </row>
    <row r="181" spans="1:39" x14ac:dyDescent="0.35">
      <c r="A181">
        <v>177</v>
      </c>
      <c r="B181">
        <v>178</v>
      </c>
      <c r="C181">
        <v>146.82177873800001</v>
      </c>
      <c r="D181">
        <v>-19.169991775</v>
      </c>
      <c r="F181" s="63"/>
      <c r="G181" s="63"/>
      <c r="H181" t="s">
        <v>78</v>
      </c>
      <c r="I181" s="64">
        <v>1</v>
      </c>
      <c r="J181" s="31"/>
      <c r="K181" s="31"/>
      <c r="L181" s="31"/>
      <c r="M181" s="31"/>
      <c r="N181" s="4"/>
      <c r="O181" s="4"/>
      <c r="P181" s="4"/>
      <c r="Q181" s="4"/>
      <c r="U181" s="5"/>
      <c r="V181" s="4"/>
      <c r="AG181" t="s">
        <v>222</v>
      </c>
      <c r="AM181" s="1">
        <f t="shared" si="4"/>
        <v>0</v>
      </c>
    </row>
    <row r="182" spans="1:39" x14ac:dyDescent="0.35">
      <c r="A182">
        <v>178</v>
      </c>
      <c r="B182">
        <v>179</v>
      </c>
      <c r="C182">
        <v>146.821692533</v>
      </c>
      <c r="D182">
        <v>-19.16996791</v>
      </c>
      <c r="F182" s="63"/>
      <c r="G182" s="63"/>
      <c r="H182" t="s">
        <v>78</v>
      </c>
      <c r="I182" s="64">
        <v>1</v>
      </c>
      <c r="J182" s="31"/>
      <c r="K182" s="31"/>
      <c r="L182" s="31"/>
      <c r="M182" s="31"/>
      <c r="N182" s="4"/>
      <c r="O182" s="4"/>
      <c r="P182" s="4"/>
      <c r="Q182" s="4"/>
      <c r="U182" s="5"/>
      <c r="V182" s="4"/>
      <c r="AG182" t="s">
        <v>223</v>
      </c>
      <c r="AM182" s="1">
        <f t="shared" si="4"/>
        <v>0</v>
      </c>
    </row>
    <row r="183" spans="1:39" x14ac:dyDescent="0.35">
      <c r="A183">
        <v>179</v>
      </c>
      <c r="B183">
        <v>180</v>
      </c>
      <c r="C183">
        <v>146.82160632700001</v>
      </c>
      <c r="D183">
        <v>-19.169944045000001</v>
      </c>
      <c r="E183">
        <v>50</v>
      </c>
      <c r="F183" s="63"/>
      <c r="G183" s="63"/>
      <c r="H183" t="s">
        <v>78</v>
      </c>
      <c r="I183" s="64">
        <v>1</v>
      </c>
      <c r="J183" s="31"/>
      <c r="K183" s="31"/>
      <c r="L183" s="31"/>
      <c r="M183" s="31"/>
      <c r="N183" s="4"/>
      <c r="O183" s="4"/>
      <c r="P183" s="4"/>
      <c r="Q183" s="4"/>
      <c r="U183" s="5"/>
      <c r="V183" s="4"/>
      <c r="AG183" t="s">
        <v>224</v>
      </c>
      <c r="AM183" s="1">
        <f t="shared" si="4"/>
        <v>0</v>
      </c>
    </row>
    <row r="184" spans="1:39" x14ac:dyDescent="0.35">
      <c r="A184">
        <v>180</v>
      </c>
      <c r="B184">
        <v>181</v>
      </c>
      <c r="C184">
        <v>146.82152012200001</v>
      </c>
      <c r="D184">
        <v>-19.169920180999998</v>
      </c>
      <c r="F184" s="63"/>
      <c r="G184" s="63"/>
      <c r="H184" t="s">
        <v>78</v>
      </c>
      <c r="I184" s="64">
        <v>1</v>
      </c>
      <c r="J184" s="31"/>
      <c r="K184" s="31"/>
      <c r="L184" s="31"/>
      <c r="M184" s="31"/>
      <c r="N184" s="4"/>
      <c r="O184" s="4"/>
      <c r="P184" s="4"/>
      <c r="Q184" s="4"/>
      <c r="U184" s="5"/>
      <c r="V184" s="4"/>
      <c r="AG184" t="s">
        <v>225</v>
      </c>
      <c r="AM184" s="1">
        <f t="shared" si="4"/>
        <v>0</v>
      </c>
    </row>
    <row r="185" spans="1:39" x14ac:dyDescent="0.35">
      <c r="A185">
        <v>181</v>
      </c>
      <c r="B185">
        <v>182</v>
      </c>
      <c r="C185">
        <v>146.821439142</v>
      </c>
      <c r="D185">
        <v>-19.169884610999901</v>
      </c>
      <c r="F185" s="63"/>
      <c r="G185" s="63"/>
      <c r="H185" t="s">
        <v>78</v>
      </c>
      <c r="I185" s="64">
        <v>1</v>
      </c>
      <c r="J185" s="31"/>
      <c r="K185" s="31"/>
      <c r="L185" s="31"/>
      <c r="M185" s="31"/>
      <c r="N185" s="4"/>
      <c r="O185" s="4"/>
      <c r="P185" s="4"/>
      <c r="Q185" s="4"/>
      <c r="U185" s="5"/>
      <c r="V185" s="4"/>
      <c r="AG185" t="s">
        <v>226</v>
      </c>
      <c r="AM185" s="1">
        <f t="shared" si="4"/>
        <v>0</v>
      </c>
    </row>
    <row r="186" spans="1:39" x14ac:dyDescent="0.35">
      <c r="A186">
        <v>182</v>
      </c>
      <c r="B186">
        <v>183</v>
      </c>
      <c r="C186">
        <v>146.82136086899999</v>
      </c>
      <c r="D186">
        <v>-19.169842973999899</v>
      </c>
      <c r="F186" s="63"/>
      <c r="G186" s="63"/>
      <c r="H186" t="s">
        <v>78</v>
      </c>
      <c r="I186" s="64">
        <v>1</v>
      </c>
      <c r="J186" s="31"/>
      <c r="K186" s="31"/>
      <c r="L186" s="31"/>
      <c r="M186" s="31"/>
      <c r="N186" s="4"/>
      <c r="O186" s="4"/>
      <c r="P186" s="4"/>
      <c r="Q186" s="4"/>
      <c r="U186" s="5"/>
      <c r="V186" s="4"/>
      <c r="AG186" t="s">
        <v>227</v>
      </c>
      <c r="AM186" s="1">
        <f t="shared" si="4"/>
        <v>0</v>
      </c>
    </row>
    <row r="187" spans="1:39" x14ac:dyDescent="0.35">
      <c r="A187">
        <v>183</v>
      </c>
      <c r="B187">
        <v>184</v>
      </c>
      <c r="C187">
        <v>146.82128259699999</v>
      </c>
      <c r="D187">
        <v>-19.169801337999999</v>
      </c>
      <c r="F187" s="63"/>
      <c r="G187" s="63"/>
      <c r="H187" t="s">
        <v>78</v>
      </c>
      <c r="I187" s="64">
        <v>1</v>
      </c>
      <c r="J187" s="31"/>
      <c r="K187" s="31"/>
      <c r="L187" s="31"/>
      <c r="M187" s="31"/>
      <c r="N187" s="4"/>
      <c r="O187" s="4"/>
      <c r="P187" s="4"/>
      <c r="Q187" s="4"/>
      <c r="U187" s="5"/>
      <c r="V187" s="4"/>
      <c r="AG187" t="s">
        <v>228</v>
      </c>
      <c r="AM187" s="1">
        <f t="shared" si="4"/>
        <v>0</v>
      </c>
    </row>
    <row r="188" spans="1:39" x14ac:dyDescent="0.35">
      <c r="A188">
        <v>184</v>
      </c>
      <c r="B188">
        <v>185</v>
      </c>
      <c r="C188">
        <v>146.82120432400001</v>
      </c>
      <c r="D188">
        <v>-19.169759702</v>
      </c>
      <c r="E188">
        <v>50</v>
      </c>
      <c r="F188" s="63"/>
      <c r="G188" s="63"/>
      <c r="H188" t="s">
        <v>78</v>
      </c>
      <c r="I188" s="64">
        <v>1</v>
      </c>
      <c r="J188" s="31"/>
      <c r="K188" s="31"/>
      <c r="L188" s="31"/>
      <c r="M188" s="31"/>
      <c r="N188" s="4"/>
      <c r="O188" s="4"/>
      <c r="P188" s="4"/>
      <c r="Q188" s="4"/>
      <c r="U188" s="5"/>
      <c r="V188" s="4"/>
      <c r="AG188" t="s">
        <v>229</v>
      </c>
      <c r="AM188" s="1">
        <f t="shared" si="4"/>
        <v>0</v>
      </c>
    </row>
    <row r="189" spans="1:39" x14ac:dyDescent="0.35">
      <c r="A189">
        <v>185</v>
      </c>
      <c r="B189">
        <v>186</v>
      </c>
      <c r="C189">
        <v>146.82112605099999</v>
      </c>
      <c r="D189">
        <v>-19.169718064999898</v>
      </c>
      <c r="F189" s="63"/>
      <c r="G189" s="63"/>
      <c r="H189" t="s">
        <v>78</v>
      </c>
      <c r="I189" s="64">
        <v>1</v>
      </c>
      <c r="J189" s="31"/>
      <c r="K189" s="31"/>
      <c r="L189" s="31"/>
      <c r="M189" s="31"/>
      <c r="N189" s="4"/>
      <c r="O189" s="4"/>
      <c r="P189" s="4"/>
      <c r="Q189" s="4"/>
      <c r="U189" s="5"/>
      <c r="V189" s="4"/>
      <c r="AG189" t="s">
        <v>230</v>
      </c>
      <c r="AM189" s="1">
        <f t="shared" si="4"/>
        <v>0</v>
      </c>
    </row>
    <row r="190" spans="1:39" x14ac:dyDescent="0.35">
      <c r="A190">
        <v>186</v>
      </c>
      <c r="B190">
        <v>187</v>
      </c>
      <c r="C190">
        <v>146.821047779</v>
      </c>
      <c r="D190">
        <v>-19.1696764289999</v>
      </c>
      <c r="F190" s="63"/>
      <c r="G190" s="63"/>
      <c r="H190" t="s">
        <v>78</v>
      </c>
      <c r="I190" s="64">
        <v>1</v>
      </c>
      <c r="J190" s="31"/>
      <c r="K190" s="31"/>
      <c r="L190" s="31"/>
      <c r="M190" s="31"/>
      <c r="N190" s="4"/>
      <c r="O190" s="4"/>
      <c r="P190" s="4"/>
      <c r="Q190" s="4"/>
      <c r="U190" s="5"/>
      <c r="V190" s="4"/>
      <c r="AG190" t="s">
        <v>231</v>
      </c>
      <c r="AM190" s="1">
        <f t="shared" si="4"/>
        <v>0</v>
      </c>
    </row>
    <row r="191" spans="1:39" x14ac:dyDescent="0.35">
      <c r="A191">
        <v>187</v>
      </c>
      <c r="B191">
        <v>188</v>
      </c>
      <c r="C191">
        <v>146.82096950600001</v>
      </c>
      <c r="D191">
        <v>-19.169634792</v>
      </c>
      <c r="F191" s="63"/>
      <c r="G191" s="63"/>
      <c r="H191" t="s">
        <v>78</v>
      </c>
      <c r="I191" s="64">
        <v>1</v>
      </c>
      <c r="J191" s="31"/>
      <c r="K191" s="31"/>
      <c r="L191" s="31"/>
      <c r="M191" s="31"/>
      <c r="N191" s="4"/>
      <c r="O191" s="4"/>
      <c r="P191" s="4"/>
      <c r="Q191" s="4"/>
      <c r="U191" s="5"/>
      <c r="V191" s="4"/>
      <c r="AG191" t="s">
        <v>232</v>
      </c>
      <c r="AM191" s="1">
        <f t="shared" si="4"/>
        <v>0</v>
      </c>
    </row>
    <row r="192" spans="1:39" x14ac:dyDescent="0.35">
      <c r="A192">
        <v>188</v>
      </c>
      <c r="B192">
        <v>189</v>
      </c>
      <c r="C192">
        <v>146.820890324</v>
      </c>
      <c r="D192">
        <v>-19.169594738999901</v>
      </c>
      <c r="F192" s="63"/>
      <c r="G192" s="63"/>
      <c r="H192" t="s">
        <v>78</v>
      </c>
      <c r="I192" s="64">
        <v>1</v>
      </c>
      <c r="J192" s="31"/>
      <c r="K192" s="31"/>
      <c r="L192" s="31"/>
      <c r="M192" s="31"/>
      <c r="N192" s="4"/>
      <c r="O192" s="4"/>
      <c r="P192" s="4"/>
      <c r="Q192" s="4"/>
      <c r="U192" s="5"/>
      <c r="V192" s="4"/>
      <c r="AG192" t="s">
        <v>233</v>
      </c>
      <c r="AM192" s="1">
        <f t="shared" si="4"/>
        <v>0</v>
      </c>
    </row>
    <row r="193" spans="1:39" x14ac:dyDescent="0.35">
      <c r="A193">
        <v>189</v>
      </c>
      <c r="B193">
        <v>190</v>
      </c>
      <c r="C193">
        <v>146.820810728</v>
      </c>
      <c r="D193">
        <v>-19.169555402999901</v>
      </c>
      <c r="E193">
        <v>50</v>
      </c>
      <c r="F193" s="63"/>
      <c r="G193" s="63"/>
      <c r="H193" t="s">
        <v>78</v>
      </c>
      <c r="I193" s="64">
        <v>1</v>
      </c>
      <c r="J193" s="31"/>
      <c r="K193" s="31"/>
      <c r="L193" s="31"/>
      <c r="M193" s="31"/>
      <c r="N193" s="4"/>
      <c r="O193" s="4"/>
      <c r="P193" s="4"/>
      <c r="Q193" s="4"/>
      <c r="U193" s="5"/>
      <c r="V193" s="4"/>
      <c r="AG193" t="s">
        <v>234</v>
      </c>
      <c r="AM193" s="1">
        <f t="shared" ref="AM193:AM204" si="5">HYPERLINK("E:\CAFNEC_GBRF\2023\JohnstoneRiver\Frames_for_Analysis\" &amp; F194, F194)</f>
        <v>0</v>
      </c>
    </row>
    <row r="194" spans="1:39" x14ac:dyDescent="0.35">
      <c r="A194">
        <v>190</v>
      </c>
      <c r="B194">
        <v>191</v>
      </c>
      <c r="C194">
        <v>146.82073113300001</v>
      </c>
      <c r="D194">
        <v>-19.169516068</v>
      </c>
      <c r="F194" s="63"/>
      <c r="G194" s="63"/>
      <c r="H194" t="s">
        <v>78</v>
      </c>
      <c r="I194" s="64">
        <v>1</v>
      </c>
      <c r="J194" s="31"/>
      <c r="K194" s="31"/>
      <c r="L194" s="31"/>
      <c r="M194" s="31"/>
      <c r="N194" s="4"/>
      <c r="O194" s="4"/>
      <c r="P194" s="4"/>
      <c r="Q194" s="4"/>
      <c r="U194" s="5"/>
      <c r="V194" s="4"/>
      <c r="AG194" t="s">
        <v>235</v>
      </c>
      <c r="AM194" s="1">
        <f t="shared" si="5"/>
        <v>0</v>
      </c>
    </row>
    <row r="195" spans="1:39" x14ac:dyDescent="0.35">
      <c r="A195">
        <v>191</v>
      </c>
      <c r="B195">
        <v>192</v>
      </c>
      <c r="C195">
        <v>146.820651537</v>
      </c>
      <c r="D195">
        <v>-19.169476732</v>
      </c>
      <c r="F195" s="63"/>
      <c r="G195" s="63"/>
      <c r="H195" t="s">
        <v>78</v>
      </c>
      <c r="I195" s="64">
        <v>1</v>
      </c>
      <c r="J195" s="31"/>
      <c r="K195" s="31"/>
      <c r="L195" s="31"/>
      <c r="M195" s="31"/>
      <c r="N195" s="4"/>
      <c r="O195" s="4"/>
      <c r="P195" s="4"/>
      <c r="Q195" s="4"/>
      <c r="U195" s="5"/>
      <c r="V195" s="4"/>
      <c r="AG195" t="s">
        <v>236</v>
      </c>
      <c r="AM195" s="1">
        <f t="shared" si="5"/>
        <v>0</v>
      </c>
    </row>
    <row r="196" spans="1:39" x14ac:dyDescent="0.35">
      <c r="A196">
        <v>192</v>
      </c>
      <c r="B196">
        <v>193</v>
      </c>
      <c r="C196">
        <v>146.82057194199999</v>
      </c>
      <c r="D196">
        <v>-19.169437396999999</v>
      </c>
      <c r="F196" s="63"/>
      <c r="G196" s="63"/>
      <c r="H196" t="s">
        <v>78</v>
      </c>
      <c r="I196" s="64">
        <v>1</v>
      </c>
      <c r="J196" s="31"/>
      <c r="K196" s="31"/>
      <c r="L196" s="31"/>
      <c r="M196" s="31"/>
      <c r="N196" s="4"/>
      <c r="O196" s="4"/>
      <c r="P196" s="4"/>
      <c r="Q196" s="4"/>
      <c r="U196" s="5"/>
      <c r="V196" s="4"/>
      <c r="AG196" t="s">
        <v>237</v>
      </c>
      <c r="AM196" s="1">
        <f t="shared" si="5"/>
        <v>0</v>
      </c>
    </row>
    <row r="197" spans="1:39" x14ac:dyDescent="0.35">
      <c r="A197">
        <v>193</v>
      </c>
      <c r="B197">
        <v>194</v>
      </c>
      <c r="C197">
        <v>146.820492347</v>
      </c>
      <c r="D197">
        <v>-19.169398060999999</v>
      </c>
      <c r="F197" s="63"/>
      <c r="G197" s="63"/>
      <c r="H197" t="s">
        <v>78</v>
      </c>
      <c r="I197" s="64">
        <v>1</v>
      </c>
      <c r="J197" s="31"/>
      <c r="K197" s="31"/>
      <c r="L197" s="31"/>
      <c r="M197" s="31"/>
      <c r="N197" s="4"/>
      <c r="O197" s="4"/>
      <c r="P197" s="4"/>
      <c r="Q197" s="4"/>
      <c r="U197" s="5"/>
      <c r="V197" s="4"/>
      <c r="AG197" t="s">
        <v>238</v>
      </c>
      <c r="AM197" s="1">
        <f t="shared" si="5"/>
        <v>0</v>
      </c>
    </row>
    <row r="198" spans="1:39" x14ac:dyDescent="0.35">
      <c r="A198">
        <v>194</v>
      </c>
      <c r="B198">
        <v>195</v>
      </c>
      <c r="C198">
        <v>146.82041275099999</v>
      </c>
      <c r="D198">
        <v>-19.169358725999899</v>
      </c>
      <c r="E198">
        <v>50</v>
      </c>
      <c r="F198" s="63"/>
      <c r="G198" s="63"/>
      <c r="H198" t="s">
        <v>78</v>
      </c>
      <c r="I198" s="64">
        <v>1</v>
      </c>
      <c r="J198" s="31"/>
      <c r="K198" s="31"/>
      <c r="L198" s="31"/>
      <c r="M198" s="31"/>
      <c r="N198" s="4"/>
      <c r="O198" s="4"/>
      <c r="P198" s="4"/>
      <c r="Q198" s="4"/>
      <c r="U198" s="5"/>
      <c r="V198" s="4"/>
      <c r="AG198" t="s">
        <v>239</v>
      </c>
      <c r="AM198" s="1">
        <f t="shared" si="5"/>
        <v>0</v>
      </c>
    </row>
    <row r="199" spans="1:39" x14ac:dyDescent="0.35">
      <c r="A199">
        <v>195</v>
      </c>
      <c r="B199">
        <v>196</v>
      </c>
      <c r="C199">
        <v>146.820334102</v>
      </c>
      <c r="D199">
        <v>-19.1693177349999</v>
      </c>
      <c r="F199" s="63"/>
      <c r="G199" s="63"/>
      <c r="H199" t="s">
        <v>78</v>
      </c>
      <c r="I199" s="64">
        <v>1</v>
      </c>
      <c r="J199" s="31"/>
      <c r="K199" s="31"/>
      <c r="L199" s="31"/>
      <c r="M199" s="31"/>
      <c r="N199" s="4"/>
      <c r="O199" s="4"/>
      <c r="P199" s="4"/>
      <c r="Q199" s="4"/>
      <c r="U199" s="5"/>
      <c r="V199" s="4"/>
      <c r="AG199" t="s">
        <v>240</v>
      </c>
      <c r="AM199" s="1">
        <f t="shared" si="5"/>
        <v>0</v>
      </c>
    </row>
    <row r="200" spans="1:39" x14ac:dyDescent="0.35">
      <c r="A200">
        <v>196</v>
      </c>
      <c r="B200">
        <v>197</v>
      </c>
      <c r="C200">
        <v>146.82025559100001</v>
      </c>
      <c r="D200">
        <v>-19.169276499999999</v>
      </c>
      <c r="F200" s="63"/>
      <c r="G200" s="63"/>
      <c r="H200" t="s">
        <v>78</v>
      </c>
      <c r="I200" s="64">
        <v>1</v>
      </c>
      <c r="J200" s="31"/>
      <c r="K200" s="31"/>
      <c r="L200" s="31"/>
      <c r="M200" s="31"/>
      <c r="N200" s="4"/>
      <c r="O200" s="4"/>
      <c r="P200" s="4"/>
      <c r="Q200" s="4"/>
      <c r="U200" s="5"/>
      <c r="V200" s="4"/>
      <c r="AG200" t="s">
        <v>241</v>
      </c>
      <c r="AM200" s="1">
        <f t="shared" si="5"/>
        <v>0</v>
      </c>
    </row>
    <row r="201" spans="1:39" x14ac:dyDescent="0.35">
      <c r="A201">
        <v>197</v>
      </c>
      <c r="B201">
        <v>198</v>
      </c>
      <c r="C201">
        <v>146.82017708000001</v>
      </c>
      <c r="D201">
        <v>-19.169235265999902</v>
      </c>
      <c r="F201" s="63"/>
      <c r="G201" s="63"/>
      <c r="H201" t="s">
        <v>78</v>
      </c>
      <c r="I201" s="64">
        <v>1</v>
      </c>
      <c r="J201" s="31"/>
      <c r="K201" s="31"/>
      <c r="L201" s="31"/>
      <c r="M201" s="31"/>
      <c r="N201" s="4"/>
      <c r="O201" s="4"/>
      <c r="P201" s="4"/>
      <c r="Q201" s="4"/>
      <c r="U201" s="5"/>
      <c r="V201" s="4"/>
      <c r="AG201" t="s">
        <v>242</v>
      </c>
      <c r="AM201" s="1">
        <f t="shared" si="5"/>
        <v>0</v>
      </c>
    </row>
    <row r="202" spans="1:39" x14ac:dyDescent="0.35">
      <c r="A202">
        <v>198</v>
      </c>
      <c r="B202">
        <v>199</v>
      </c>
      <c r="C202">
        <v>146.82009856900001</v>
      </c>
      <c r="D202">
        <v>-19.169194031</v>
      </c>
      <c r="F202" s="63"/>
      <c r="G202" s="63"/>
      <c r="H202" t="s">
        <v>78</v>
      </c>
      <c r="I202" s="64">
        <v>1</v>
      </c>
      <c r="J202" s="31"/>
      <c r="K202" s="31"/>
      <c r="L202" s="31"/>
      <c r="M202" s="31"/>
      <c r="N202" s="4"/>
      <c r="O202" s="4"/>
      <c r="P202" s="4"/>
      <c r="Q202" s="4"/>
      <c r="U202" s="5"/>
      <c r="V202" s="4"/>
      <c r="AG202" t="s">
        <v>243</v>
      </c>
      <c r="AM202" s="1">
        <f t="shared" si="5"/>
        <v>0</v>
      </c>
    </row>
    <row r="203" spans="1:39" x14ac:dyDescent="0.35">
      <c r="A203">
        <v>199</v>
      </c>
      <c r="B203">
        <v>200</v>
      </c>
      <c r="C203">
        <v>146.82002005800001</v>
      </c>
      <c r="D203">
        <v>-19.169152796999999</v>
      </c>
      <c r="E203">
        <v>50</v>
      </c>
      <c r="F203" s="63"/>
      <c r="G203" s="63"/>
      <c r="H203" t="s">
        <v>78</v>
      </c>
      <c r="I203" s="64">
        <v>1</v>
      </c>
      <c r="J203" s="31"/>
      <c r="K203" s="31"/>
      <c r="L203" s="31"/>
      <c r="M203" s="31"/>
      <c r="N203" s="4"/>
      <c r="O203" s="4"/>
      <c r="P203" s="4"/>
      <c r="Q203" s="4"/>
      <c r="U203" s="5"/>
      <c r="V203" s="4"/>
      <c r="AG203" t="s">
        <v>244</v>
      </c>
      <c r="AM203" s="1">
        <f t="shared" si="5"/>
        <v>0</v>
      </c>
    </row>
    <row r="204" spans="1:39" x14ac:dyDescent="0.35">
      <c r="A204">
        <v>200</v>
      </c>
      <c r="B204">
        <v>201</v>
      </c>
      <c r="C204">
        <v>146.819941548</v>
      </c>
      <c r="D204">
        <v>-19.169111562000001</v>
      </c>
      <c r="F204" s="63"/>
      <c r="G204" s="63"/>
      <c r="H204" t="s">
        <v>78</v>
      </c>
      <c r="I204" s="64">
        <v>1</v>
      </c>
      <c r="J204" s="31"/>
      <c r="K204" s="31"/>
      <c r="L204" s="31"/>
      <c r="M204" s="31"/>
      <c r="N204" s="4"/>
      <c r="O204" s="4"/>
      <c r="P204" s="4"/>
      <c r="Q204" s="4"/>
      <c r="U204" s="5"/>
      <c r="V204" s="4"/>
      <c r="AG204" t="s">
        <v>245</v>
      </c>
      <c r="AM204" s="1">
        <f t="shared" si="5"/>
        <v>0</v>
      </c>
    </row>
    <row r="205" spans="1:39" x14ac:dyDescent="0.35">
      <c r="A205">
        <v>201</v>
      </c>
      <c r="B205">
        <v>202</v>
      </c>
      <c r="C205">
        <v>146.819863037</v>
      </c>
      <c r="D205">
        <v>-19.169070328</v>
      </c>
      <c r="F205" s="63"/>
      <c r="G205" s="63"/>
      <c r="H205" t="s">
        <v>78</v>
      </c>
      <c r="I205" s="64">
        <v>1</v>
      </c>
      <c r="J205" s="31"/>
      <c r="K205" s="31"/>
      <c r="L205" s="31"/>
      <c r="M205" s="31"/>
      <c r="N205" s="4"/>
      <c r="O205" s="4"/>
      <c r="P205" s="4"/>
      <c r="Q205" s="4"/>
      <c r="U205" s="5"/>
      <c r="V205" s="4"/>
      <c r="AG205" t="s">
        <v>246</v>
      </c>
      <c r="AM205" s="1"/>
    </row>
    <row r="206" spans="1:39" x14ac:dyDescent="0.35">
      <c r="A206">
        <v>202</v>
      </c>
      <c r="B206">
        <v>203</v>
      </c>
      <c r="C206">
        <v>146.81978452600001</v>
      </c>
      <c r="D206">
        <v>-19.169029092999899</v>
      </c>
      <c r="F206" s="63"/>
      <c r="G206" s="63"/>
      <c r="H206" t="s">
        <v>78</v>
      </c>
      <c r="I206" s="64">
        <v>1</v>
      </c>
      <c r="J206" s="31"/>
      <c r="K206" s="31"/>
      <c r="L206" s="31"/>
      <c r="M206" s="31"/>
      <c r="N206" s="4"/>
      <c r="O206" s="4"/>
      <c r="P206" s="4"/>
      <c r="Q206" s="4"/>
      <c r="U206" s="5"/>
      <c r="V206" s="4"/>
      <c r="AG206" t="s">
        <v>247</v>
      </c>
      <c r="AM206" s="1">
        <f t="shared" ref="AM206:AM237" si="6">HYPERLINK("E:\CAFNEC_GBRF\2023\JohnstoneRiver\Frames_for_Analysis\" &amp; F207, F207)</f>
        <v>0</v>
      </c>
    </row>
    <row r="207" spans="1:39" x14ac:dyDescent="0.35">
      <c r="A207">
        <v>203</v>
      </c>
      <c r="B207">
        <v>204</v>
      </c>
      <c r="C207">
        <v>146.81970615099999</v>
      </c>
      <c r="D207">
        <v>-19.168987629999901</v>
      </c>
      <c r="F207" s="63"/>
      <c r="G207" s="63"/>
      <c r="H207" t="s">
        <v>78</v>
      </c>
      <c r="I207" s="64">
        <v>1</v>
      </c>
      <c r="J207" s="31"/>
      <c r="K207" s="31"/>
      <c r="L207" s="31"/>
      <c r="M207" s="31"/>
      <c r="N207" s="4"/>
      <c r="O207" s="4"/>
      <c r="P207" s="4"/>
      <c r="Q207" s="4"/>
      <c r="U207" s="5"/>
      <c r="V207" s="4"/>
      <c r="AG207" t="s">
        <v>248</v>
      </c>
      <c r="AM207" s="1">
        <f t="shared" si="6"/>
        <v>0</v>
      </c>
    </row>
    <row r="208" spans="1:39" x14ac:dyDescent="0.35">
      <c r="A208">
        <v>204</v>
      </c>
      <c r="B208">
        <v>205</v>
      </c>
      <c r="C208">
        <v>146.81962779</v>
      </c>
      <c r="D208">
        <v>-19.168946141999999</v>
      </c>
      <c r="E208">
        <v>50</v>
      </c>
      <c r="F208" s="63"/>
      <c r="G208" s="63"/>
      <c r="H208" t="s">
        <v>78</v>
      </c>
      <c r="I208" s="64">
        <v>1</v>
      </c>
      <c r="J208" s="31"/>
      <c r="K208" s="31"/>
      <c r="L208" s="31"/>
      <c r="M208" s="31"/>
      <c r="N208" s="4"/>
      <c r="O208" s="4"/>
      <c r="P208" s="4"/>
      <c r="Q208" s="4"/>
      <c r="U208" s="5"/>
      <c r="V208" s="4"/>
      <c r="AG208" t="s">
        <v>249</v>
      </c>
      <c r="AM208" s="1">
        <f t="shared" si="6"/>
        <v>0</v>
      </c>
    </row>
    <row r="209" spans="1:39" x14ac:dyDescent="0.35">
      <c r="A209">
        <v>205</v>
      </c>
      <c r="B209">
        <v>206</v>
      </c>
      <c r="C209">
        <v>146.81954942900001</v>
      </c>
      <c r="D209">
        <v>-19.168904653999999</v>
      </c>
      <c r="F209" s="63"/>
      <c r="G209" s="63"/>
      <c r="H209" t="s">
        <v>78</v>
      </c>
      <c r="I209" s="64">
        <v>1</v>
      </c>
      <c r="J209" s="31"/>
      <c r="K209" s="31"/>
      <c r="L209" s="31"/>
      <c r="M209" s="31"/>
      <c r="N209" s="4"/>
      <c r="O209" s="4"/>
      <c r="P209" s="4"/>
      <c r="Q209" s="4"/>
      <c r="U209" s="5"/>
      <c r="V209" s="4"/>
      <c r="AG209" t="s">
        <v>250</v>
      </c>
      <c r="AM209" s="1">
        <f t="shared" si="6"/>
        <v>0</v>
      </c>
    </row>
    <row r="210" spans="1:39" x14ac:dyDescent="0.35">
      <c r="A210">
        <v>206</v>
      </c>
      <c r="B210">
        <v>207</v>
      </c>
      <c r="C210">
        <v>146.81947106800001</v>
      </c>
      <c r="D210">
        <v>-19.168863165999898</v>
      </c>
      <c r="F210" s="63"/>
      <c r="G210" s="63"/>
      <c r="H210" t="s">
        <v>78</v>
      </c>
      <c r="I210" s="64">
        <v>1</v>
      </c>
      <c r="J210" s="31"/>
      <c r="K210" s="31"/>
      <c r="L210" s="31"/>
      <c r="M210" s="31"/>
      <c r="N210" s="4"/>
      <c r="O210" s="4"/>
      <c r="P210" s="4"/>
      <c r="Q210" s="4"/>
      <c r="U210" s="5"/>
      <c r="V210" s="4"/>
      <c r="AG210" t="s">
        <v>251</v>
      </c>
      <c r="AM210" s="1">
        <f t="shared" si="6"/>
        <v>0</v>
      </c>
    </row>
    <row r="211" spans="1:39" x14ac:dyDescent="0.35">
      <c r="A211">
        <v>207</v>
      </c>
      <c r="B211">
        <v>208</v>
      </c>
      <c r="C211">
        <v>146.81939270699999</v>
      </c>
      <c r="D211">
        <v>-19.168821678</v>
      </c>
      <c r="F211" s="63"/>
      <c r="G211" s="63"/>
      <c r="H211" t="s">
        <v>78</v>
      </c>
      <c r="I211" s="64">
        <v>1</v>
      </c>
      <c r="J211" s="31"/>
      <c r="K211" s="31"/>
      <c r="L211" s="31"/>
      <c r="M211" s="31"/>
      <c r="N211" s="4"/>
      <c r="O211" s="4"/>
      <c r="P211" s="4"/>
      <c r="Q211" s="4"/>
      <c r="U211" s="5"/>
      <c r="V211" s="4"/>
      <c r="AG211" t="s">
        <v>252</v>
      </c>
      <c r="AM211" s="1">
        <f t="shared" si="6"/>
        <v>0</v>
      </c>
    </row>
    <row r="212" spans="1:39" x14ac:dyDescent="0.35">
      <c r="A212">
        <v>208</v>
      </c>
      <c r="B212">
        <v>209</v>
      </c>
      <c r="C212">
        <v>146.81931014599999</v>
      </c>
      <c r="D212">
        <v>-19.168788272</v>
      </c>
      <c r="F212" s="63"/>
      <c r="G212" s="63"/>
      <c r="H212" t="s">
        <v>78</v>
      </c>
      <c r="I212" s="64">
        <v>1</v>
      </c>
      <c r="J212" s="31"/>
      <c r="K212" s="31"/>
      <c r="L212" s="31"/>
      <c r="M212" s="31"/>
      <c r="N212" s="4"/>
      <c r="O212" s="4"/>
      <c r="P212" s="4"/>
      <c r="Q212" s="4"/>
      <c r="U212" s="5"/>
      <c r="V212" s="4"/>
      <c r="AG212" t="s">
        <v>253</v>
      </c>
      <c r="AM212" s="1">
        <f t="shared" si="6"/>
        <v>0</v>
      </c>
    </row>
    <row r="213" spans="1:39" x14ac:dyDescent="0.35">
      <c r="A213">
        <v>209</v>
      </c>
      <c r="B213">
        <v>210</v>
      </c>
      <c r="C213">
        <v>146.81922746399999</v>
      </c>
      <c r="D213">
        <v>-19.168755099999899</v>
      </c>
      <c r="E213">
        <v>50</v>
      </c>
      <c r="F213" s="63"/>
      <c r="G213" s="63"/>
      <c r="H213" t="s">
        <v>78</v>
      </c>
      <c r="I213" s="64">
        <v>1</v>
      </c>
      <c r="J213" s="31"/>
      <c r="K213" s="31"/>
      <c r="L213" s="31"/>
      <c r="M213" s="31"/>
      <c r="N213" s="4"/>
      <c r="O213" s="4"/>
      <c r="P213" s="4"/>
      <c r="Q213" s="4"/>
      <c r="U213" s="5"/>
      <c r="V213" s="4"/>
      <c r="AG213" t="s">
        <v>254</v>
      </c>
      <c r="AM213" s="1">
        <f t="shared" si="6"/>
        <v>0</v>
      </c>
    </row>
    <row r="214" spans="1:39" x14ac:dyDescent="0.35">
      <c r="A214">
        <v>210</v>
      </c>
      <c r="B214">
        <v>211</v>
      </c>
      <c r="C214">
        <v>146.819144782</v>
      </c>
      <c r="D214">
        <v>-19.168721927</v>
      </c>
      <c r="F214" s="63"/>
      <c r="G214" s="63"/>
      <c r="H214" t="s">
        <v>78</v>
      </c>
      <c r="I214" s="64">
        <v>1</v>
      </c>
      <c r="J214" s="31"/>
      <c r="K214" s="31"/>
      <c r="L214" s="31"/>
      <c r="M214" s="31"/>
      <c r="N214" s="4"/>
      <c r="O214" s="4"/>
      <c r="P214" s="4"/>
      <c r="Q214" s="4"/>
      <c r="U214" s="5"/>
      <c r="V214" s="4"/>
      <c r="AG214" t="s">
        <v>255</v>
      </c>
      <c r="AM214" s="1">
        <f t="shared" si="6"/>
        <v>0</v>
      </c>
    </row>
    <row r="215" spans="1:39" x14ac:dyDescent="0.35">
      <c r="A215">
        <v>211</v>
      </c>
      <c r="B215">
        <v>212</v>
      </c>
      <c r="C215">
        <v>146.8190621</v>
      </c>
      <c r="D215">
        <v>-19.168688754000001</v>
      </c>
      <c r="F215" s="63"/>
      <c r="G215" s="63"/>
      <c r="H215" t="s">
        <v>78</v>
      </c>
      <c r="I215" s="64">
        <v>1</v>
      </c>
      <c r="J215" s="31"/>
      <c r="K215" s="31"/>
      <c r="L215" s="31"/>
      <c r="M215" s="31"/>
      <c r="N215" s="4"/>
      <c r="O215" s="4"/>
      <c r="P215" s="4"/>
      <c r="Q215" s="4"/>
      <c r="U215" s="5"/>
      <c r="V215" s="4"/>
      <c r="AG215" t="s">
        <v>256</v>
      </c>
      <c r="AM215" s="1">
        <f t="shared" si="6"/>
        <v>0</v>
      </c>
    </row>
    <row r="216" spans="1:39" x14ac:dyDescent="0.35">
      <c r="A216">
        <v>212</v>
      </c>
      <c r="B216">
        <v>213</v>
      </c>
      <c r="C216">
        <v>146.818979418</v>
      </c>
      <c r="D216">
        <v>-19.1686555819999</v>
      </c>
      <c r="F216" s="63"/>
      <c r="G216" s="63"/>
      <c r="H216" t="s">
        <v>78</v>
      </c>
      <c r="I216" s="64">
        <v>1</v>
      </c>
      <c r="J216" s="31"/>
      <c r="K216" s="31"/>
      <c r="L216" s="31"/>
      <c r="M216" s="31"/>
      <c r="N216" s="4"/>
      <c r="O216" s="4"/>
      <c r="P216" s="4"/>
      <c r="Q216" s="4"/>
      <c r="U216" s="5"/>
      <c r="V216" s="4"/>
      <c r="AG216" t="s">
        <v>257</v>
      </c>
      <c r="AM216" s="1">
        <f t="shared" si="6"/>
        <v>0</v>
      </c>
    </row>
    <row r="217" spans="1:39" x14ac:dyDescent="0.35">
      <c r="A217">
        <v>213</v>
      </c>
      <c r="B217">
        <v>214</v>
      </c>
      <c r="C217">
        <v>146.818896736</v>
      </c>
      <c r="D217">
        <v>-19.168622409000001</v>
      </c>
      <c r="F217" s="63"/>
      <c r="G217" s="63"/>
      <c r="H217" t="s">
        <v>78</v>
      </c>
      <c r="I217" s="64">
        <v>1</v>
      </c>
      <c r="J217" s="31"/>
      <c r="K217" s="31"/>
      <c r="L217" s="31"/>
      <c r="M217" s="31"/>
      <c r="N217" s="4"/>
      <c r="O217" s="4"/>
      <c r="P217" s="4"/>
      <c r="Q217" s="4"/>
      <c r="U217" s="5"/>
      <c r="V217" s="4"/>
      <c r="AG217" t="s">
        <v>258</v>
      </c>
      <c r="AM217" s="1">
        <f t="shared" si="6"/>
        <v>0</v>
      </c>
    </row>
    <row r="218" spans="1:39" x14ac:dyDescent="0.35">
      <c r="A218">
        <v>214</v>
      </c>
      <c r="B218">
        <v>215</v>
      </c>
      <c r="C218">
        <v>146.81881372000001</v>
      </c>
      <c r="D218">
        <v>-19.168590025999901</v>
      </c>
      <c r="E218">
        <v>50</v>
      </c>
      <c r="F218" s="63"/>
      <c r="G218" s="63"/>
      <c r="H218" t="s">
        <v>78</v>
      </c>
      <c r="I218" s="64">
        <v>1</v>
      </c>
      <c r="J218" s="31"/>
      <c r="K218" s="31"/>
      <c r="L218" s="31"/>
      <c r="M218" s="31"/>
      <c r="N218" s="4"/>
      <c r="O218" s="4"/>
      <c r="P218" s="4"/>
      <c r="Q218" s="4"/>
      <c r="U218" s="5"/>
      <c r="V218" s="4"/>
      <c r="AG218" t="s">
        <v>259</v>
      </c>
      <c r="AM218" s="1">
        <f t="shared" si="6"/>
        <v>0</v>
      </c>
    </row>
    <row r="219" spans="1:39" x14ac:dyDescent="0.35">
      <c r="A219">
        <v>215</v>
      </c>
      <c r="B219">
        <v>216</v>
      </c>
      <c r="C219">
        <v>146.818729623</v>
      </c>
      <c r="D219">
        <v>-19.168560194999898</v>
      </c>
      <c r="F219" s="63"/>
      <c r="G219" s="63"/>
      <c r="H219" t="s">
        <v>78</v>
      </c>
      <c r="I219" s="64">
        <v>1</v>
      </c>
      <c r="J219" s="31"/>
      <c r="K219" s="31"/>
      <c r="L219" s="31"/>
      <c r="M219" s="31"/>
      <c r="N219" s="4"/>
      <c r="O219" s="4"/>
      <c r="P219" s="4"/>
      <c r="Q219" s="4"/>
      <c r="U219" s="5"/>
      <c r="V219" s="4"/>
      <c r="AG219" t="s">
        <v>260</v>
      </c>
      <c r="AM219" s="1">
        <f t="shared" si="6"/>
        <v>0</v>
      </c>
    </row>
    <row r="220" spans="1:39" x14ac:dyDescent="0.35">
      <c r="A220">
        <v>216</v>
      </c>
      <c r="B220">
        <v>217</v>
      </c>
      <c r="C220">
        <v>146.81864552600001</v>
      </c>
      <c r="D220">
        <v>-19.168530364999999</v>
      </c>
      <c r="F220" s="63"/>
      <c r="G220" s="63"/>
      <c r="H220" t="s">
        <v>78</v>
      </c>
      <c r="I220" s="64">
        <v>1</v>
      </c>
      <c r="J220" s="31"/>
      <c r="K220" s="31"/>
      <c r="L220" s="31"/>
      <c r="M220" s="31"/>
      <c r="N220" s="4"/>
      <c r="O220" s="4"/>
      <c r="P220" s="4"/>
      <c r="Q220" s="4"/>
      <c r="U220" s="5"/>
      <c r="V220" s="4"/>
      <c r="AG220" t="s">
        <v>261</v>
      </c>
      <c r="AM220" s="1">
        <f t="shared" si="6"/>
        <v>0</v>
      </c>
    </row>
    <row r="221" spans="1:39" x14ac:dyDescent="0.35">
      <c r="A221">
        <v>217</v>
      </c>
      <c r="B221">
        <v>218</v>
      </c>
      <c r="C221">
        <v>146.818561429</v>
      </c>
      <c r="D221">
        <v>-19.168500534</v>
      </c>
      <c r="F221" s="63"/>
      <c r="G221" s="63"/>
      <c r="H221" t="s">
        <v>78</v>
      </c>
      <c r="I221" s="64">
        <v>1</v>
      </c>
      <c r="J221" s="31"/>
      <c r="K221" s="31"/>
      <c r="L221" s="31"/>
      <c r="M221" s="31"/>
      <c r="N221" s="4"/>
      <c r="O221" s="4"/>
      <c r="P221" s="4"/>
      <c r="Q221" s="4"/>
      <c r="U221" s="5"/>
      <c r="V221" s="4"/>
      <c r="AG221" t="s">
        <v>262</v>
      </c>
      <c r="AM221" s="1">
        <f t="shared" si="6"/>
        <v>0</v>
      </c>
    </row>
    <row r="222" spans="1:39" x14ac:dyDescent="0.35">
      <c r="A222">
        <v>218</v>
      </c>
      <c r="B222">
        <v>219</v>
      </c>
      <c r="C222">
        <v>146.81847733199999</v>
      </c>
      <c r="D222">
        <v>-19.168470703000001</v>
      </c>
      <c r="F222" s="63"/>
      <c r="G222" s="63"/>
      <c r="H222" t="s">
        <v>78</v>
      </c>
      <c r="I222" s="64">
        <v>1</v>
      </c>
      <c r="J222" s="31"/>
      <c r="K222" s="31"/>
      <c r="L222" s="31"/>
      <c r="M222" s="31"/>
      <c r="N222" s="4"/>
      <c r="O222" s="4"/>
      <c r="P222" s="4"/>
      <c r="Q222" s="4"/>
      <c r="U222" s="5"/>
      <c r="V222" s="4"/>
      <c r="AG222" t="s">
        <v>263</v>
      </c>
      <c r="AM222" s="1">
        <f t="shared" si="6"/>
        <v>0</v>
      </c>
    </row>
    <row r="223" spans="1:39" x14ac:dyDescent="0.35">
      <c r="A223">
        <v>219</v>
      </c>
      <c r="B223">
        <v>220</v>
      </c>
      <c r="C223">
        <v>146.818393235</v>
      </c>
      <c r="D223">
        <v>-19.168440873000002</v>
      </c>
      <c r="E223">
        <v>50</v>
      </c>
      <c r="F223" s="63"/>
      <c r="G223" s="63"/>
      <c r="H223" t="s">
        <v>78</v>
      </c>
      <c r="I223" s="64">
        <v>1</v>
      </c>
      <c r="J223" s="31"/>
      <c r="K223" s="31"/>
      <c r="L223" s="31"/>
      <c r="M223" s="31"/>
      <c r="N223" s="4"/>
      <c r="O223" s="4"/>
      <c r="P223" s="4"/>
      <c r="Q223" s="4"/>
      <c r="U223" s="5"/>
      <c r="V223" s="4"/>
      <c r="AG223" t="s">
        <v>264</v>
      </c>
      <c r="AM223" s="1">
        <f t="shared" si="6"/>
        <v>0</v>
      </c>
    </row>
    <row r="224" spans="1:39" x14ac:dyDescent="0.35">
      <c r="A224">
        <v>220</v>
      </c>
      <c r="B224">
        <v>221</v>
      </c>
      <c r="C224">
        <v>146.81830866499999</v>
      </c>
      <c r="D224">
        <v>-19.168412540999999</v>
      </c>
      <c r="F224" s="63"/>
      <c r="G224" s="63"/>
      <c r="H224" t="s">
        <v>78</v>
      </c>
      <c r="I224" s="64">
        <v>1</v>
      </c>
      <c r="J224" s="31"/>
      <c r="K224" s="31"/>
      <c r="L224" s="31"/>
      <c r="M224" s="31"/>
      <c r="N224" s="4"/>
      <c r="O224" s="4"/>
      <c r="P224" s="4"/>
      <c r="Q224" s="4"/>
      <c r="U224" s="5"/>
      <c r="V224" s="4"/>
      <c r="AG224" t="s">
        <v>265</v>
      </c>
      <c r="AM224" s="1">
        <f t="shared" si="6"/>
        <v>0</v>
      </c>
    </row>
    <row r="225" spans="1:39" x14ac:dyDescent="0.35">
      <c r="A225">
        <v>221</v>
      </c>
      <c r="B225">
        <v>222</v>
      </c>
      <c r="C225">
        <v>146.81822100400001</v>
      </c>
      <c r="D225">
        <v>-19.168394000999999</v>
      </c>
      <c r="F225" s="63"/>
      <c r="G225" s="63"/>
      <c r="H225" t="s">
        <v>78</v>
      </c>
      <c r="I225" s="64">
        <v>1</v>
      </c>
      <c r="J225" s="31"/>
      <c r="K225" s="31"/>
      <c r="L225" s="31"/>
      <c r="M225" s="31"/>
      <c r="N225" s="4"/>
      <c r="O225" s="4"/>
      <c r="P225" s="4"/>
      <c r="Q225" s="4"/>
      <c r="U225" s="5"/>
      <c r="V225" s="4"/>
      <c r="AG225" t="s">
        <v>266</v>
      </c>
      <c r="AM225" s="1">
        <f t="shared" si="6"/>
        <v>0</v>
      </c>
    </row>
    <row r="226" spans="1:39" x14ac:dyDescent="0.35">
      <c r="A226">
        <v>222</v>
      </c>
      <c r="B226">
        <v>223</v>
      </c>
      <c r="C226">
        <v>146.818133343</v>
      </c>
      <c r="D226">
        <v>-19.168375459999901</v>
      </c>
      <c r="F226" s="63"/>
      <c r="G226" s="63"/>
      <c r="H226" t="s">
        <v>78</v>
      </c>
      <c r="I226" s="64">
        <v>1</v>
      </c>
      <c r="J226" s="31"/>
      <c r="K226" s="31"/>
      <c r="L226" s="31"/>
      <c r="M226" s="31"/>
      <c r="N226" s="4"/>
      <c r="O226" s="4"/>
      <c r="P226" s="4"/>
      <c r="Q226" s="4"/>
      <c r="U226" s="5"/>
      <c r="V226" s="4"/>
      <c r="AG226" t="s">
        <v>267</v>
      </c>
      <c r="AM226" s="1">
        <f t="shared" si="6"/>
        <v>0</v>
      </c>
    </row>
    <row r="227" spans="1:39" x14ac:dyDescent="0.35">
      <c r="A227">
        <v>223</v>
      </c>
      <c r="B227">
        <v>224</v>
      </c>
      <c r="C227">
        <v>146.81804568199999</v>
      </c>
      <c r="D227">
        <v>-19.168356920000001</v>
      </c>
      <c r="F227" s="63"/>
      <c r="G227" s="63"/>
      <c r="H227" t="s">
        <v>78</v>
      </c>
      <c r="I227" s="64">
        <v>1</v>
      </c>
      <c r="J227" s="31"/>
      <c r="K227" s="31"/>
      <c r="L227" s="31"/>
      <c r="M227" s="31"/>
      <c r="N227" s="4"/>
      <c r="O227" s="4"/>
      <c r="P227" s="4"/>
      <c r="Q227" s="4"/>
      <c r="U227" s="5"/>
      <c r="V227" s="4"/>
      <c r="AG227" t="s">
        <v>268</v>
      </c>
      <c r="AM227" s="1">
        <f t="shared" si="6"/>
        <v>0</v>
      </c>
    </row>
    <row r="228" spans="1:39" x14ac:dyDescent="0.35">
      <c r="A228">
        <v>224</v>
      </c>
      <c r="B228">
        <v>225</v>
      </c>
      <c r="C228">
        <v>146.81795802100001</v>
      </c>
      <c r="D228">
        <v>-19.168338380000002</v>
      </c>
      <c r="E228">
        <v>50</v>
      </c>
      <c r="F228" s="63"/>
      <c r="G228" s="63"/>
      <c r="H228" t="s">
        <v>78</v>
      </c>
      <c r="I228" s="64">
        <v>1</v>
      </c>
      <c r="J228" s="31"/>
      <c r="K228" s="31"/>
      <c r="L228" s="31"/>
      <c r="M228" s="31"/>
      <c r="N228" s="4"/>
      <c r="O228" s="4"/>
      <c r="P228" s="4"/>
      <c r="Q228" s="4"/>
      <c r="U228" s="5"/>
      <c r="V228" s="4"/>
      <c r="AG228" t="s">
        <v>269</v>
      </c>
      <c r="AM228" s="1">
        <f t="shared" si="6"/>
        <v>0</v>
      </c>
    </row>
    <row r="229" spans="1:39" x14ac:dyDescent="0.35">
      <c r="A229">
        <v>225</v>
      </c>
      <c r="B229">
        <v>226</v>
      </c>
      <c r="C229">
        <v>146.81787036099999</v>
      </c>
      <c r="D229">
        <v>-19.168319838999899</v>
      </c>
      <c r="F229" s="63"/>
      <c r="G229" s="63"/>
      <c r="H229" t="s">
        <v>78</v>
      </c>
      <c r="I229" s="64">
        <v>1</v>
      </c>
      <c r="J229" s="31"/>
      <c r="K229" s="31"/>
      <c r="L229" s="31"/>
      <c r="M229" s="31"/>
      <c r="N229" s="4"/>
      <c r="O229" s="4"/>
      <c r="P229" s="4"/>
      <c r="Q229" s="4"/>
      <c r="U229" s="5"/>
      <c r="V229" s="4"/>
      <c r="AG229" t="s">
        <v>270</v>
      </c>
      <c r="AM229" s="1">
        <f t="shared" si="6"/>
        <v>0</v>
      </c>
    </row>
    <row r="230" spans="1:39" x14ac:dyDescent="0.35">
      <c r="A230">
        <v>226</v>
      </c>
      <c r="B230">
        <v>227</v>
      </c>
      <c r="C230">
        <v>146.817784566</v>
      </c>
      <c r="D230">
        <v>-19.168294957999901</v>
      </c>
      <c r="F230" s="63"/>
      <c r="G230" s="63"/>
      <c r="H230" t="s">
        <v>78</v>
      </c>
      <c r="I230" s="64">
        <v>1</v>
      </c>
      <c r="J230" s="31"/>
      <c r="K230" s="31"/>
      <c r="L230" s="31"/>
      <c r="M230" s="31"/>
      <c r="N230" s="4"/>
      <c r="O230" s="4"/>
      <c r="P230" s="4"/>
      <c r="Q230" s="4"/>
      <c r="U230" s="5"/>
      <c r="V230" s="4"/>
      <c r="AG230" t="s">
        <v>271</v>
      </c>
      <c r="AM230" s="1">
        <f t="shared" si="6"/>
        <v>0</v>
      </c>
    </row>
    <row r="231" spans="1:39" x14ac:dyDescent="0.35">
      <c r="A231">
        <v>227</v>
      </c>
      <c r="B231">
        <v>228</v>
      </c>
      <c r="C231">
        <v>146.81769935400001</v>
      </c>
      <c r="D231">
        <v>-19.168268097999899</v>
      </c>
      <c r="F231" s="63"/>
      <c r="G231" s="63"/>
      <c r="H231" t="s">
        <v>78</v>
      </c>
      <c r="I231" s="64">
        <v>1</v>
      </c>
      <c r="J231" s="31"/>
      <c r="K231" s="31"/>
      <c r="L231" s="31"/>
      <c r="M231" s="31"/>
      <c r="N231" s="4"/>
      <c r="O231" s="4"/>
      <c r="P231" s="4"/>
      <c r="Q231" s="4"/>
      <c r="U231" s="5"/>
      <c r="V231" s="4"/>
      <c r="AG231" t="s">
        <v>272</v>
      </c>
      <c r="AM231" s="1">
        <f t="shared" si="6"/>
        <v>0</v>
      </c>
    </row>
    <row r="232" spans="1:39" x14ac:dyDescent="0.35">
      <c r="A232">
        <v>228</v>
      </c>
      <c r="B232">
        <v>229</v>
      </c>
      <c r="C232">
        <v>146.817614142</v>
      </c>
      <c r="D232">
        <v>-19.168241238999901</v>
      </c>
      <c r="F232" s="63"/>
      <c r="G232" s="63"/>
      <c r="H232" t="s">
        <v>78</v>
      </c>
      <c r="I232" s="64">
        <v>1</v>
      </c>
      <c r="J232" s="31"/>
      <c r="K232" s="31"/>
      <c r="L232" s="31"/>
      <c r="M232" s="31"/>
      <c r="N232" s="4"/>
      <c r="O232" s="4"/>
      <c r="P232" s="4"/>
      <c r="Q232" s="4"/>
      <c r="U232" s="5"/>
      <c r="V232" s="4"/>
      <c r="AG232" t="s">
        <v>273</v>
      </c>
      <c r="AM232" s="1">
        <f t="shared" si="6"/>
        <v>0</v>
      </c>
    </row>
    <row r="233" spans="1:39" x14ac:dyDescent="0.35">
      <c r="A233">
        <v>229</v>
      </c>
      <c r="B233">
        <v>230</v>
      </c>
      <c r="C233">
        <v>146.81752893000001</v>
      </c>
      <c r="D233">
        <v>-19.168214378999899</v>
      </c>
      <c r="E233">
        <v>50</v>
      </c>
      <c r="F233" s="63"/>
      <c r="G233" s="63"/>
      <c r="H233" t="s">
        <v>78</v>
      </c>
      <c r="I233" s="64">
        <v>1</v>
      </c>
      <c r="J233" s="31"/>
      <c r="K233" s="31"/>
      <c r="L233" s="31"/>
      <c r="M233" s="31"/>
      <c r="N233" s="4"/>
      <c r="O233" s="4"/>
      <c r="P233" s="4"/>
      <c r="Q233" s="4"/>
      <c r="U233" s="5"/>
      <c r="V233" s="4"/>
      <c r="AG233" t="s">
        <v>274</v>
      </c>
      <c r="AM233" s="1">
        <f t="shared" si="6"/>
        <v>0</v>
      </c>
    </row>
    <row r="234" spans="1:39" x14ac:dyDescent="0.35">
      <c r="A234">
        <v>230</v>
      </c>
      <c r="B234">
        <v>231</v>
      </c>
      <c r="C234">
        <v>146.81744371799999</v>
      </c>
      <c r="D234">
        <v>-19.168187519</v>
      </c>
      <c r="F234" s="63"/>
      <c r="G234" s="63"/>
      <c r="H234" t="s">
        <v>78</v>
      </c>
      <c r="I234" s="64">
        <v>1</v>
      </c>
      <c r="J234" s="31"/>
      <c r="K234" s="31"/>
      <c r="L234" s="31"/>
      <c r="M234" s="31"/>
      <c r="N234" s="4"/>
      <c r="O234" s="4"/>
      <c r="P234" s="4"/>
      <c r="Q234" s="4"/>
      <c r="U234" s="5"/>
      <c r="V234" s="4"/>
      <c r="AG234" t="s">
        <v>275</v>
      </c>
      <c r="AM234" s="1">
        <f t="shared" si="6"/>
        <v>0</v>
      </c>
    </row>
    <row r="235" spans="1:39" x14ac:dyDescent="0.35">
      <c r="A235">
        <v>231</v>
      </c>
      <c r="B235">
        <v>232</v>
      </c>
      <c r="C235">
        <v>146.81735850600001</v>
      </c>
      <c r="D235">
        <v>-19.168160660000002</v>
      </c>
      <c r="F235" s="63"/>
      <c r="G235" s="63"/>
      <c r="H235" t="s">
        <v>78</v>
      </c>
      <c r="I235" s="64">
        <v>1</v>
      </c>
      <c r="J235" s="31"/>
      <c r="K235" s="31"/>
      <c r="L235" s="31"/>
      <c r="M235" s="31"/>
      <c r="N235" s="4"/>
      <c r="O235" s="4"/>
      <c r="P235" s="4"/>
      <c r="Q235" s="4"/>
      <c r="U235" s="5"/>
      <c r="V235" s="4"/>
      <c r="AG235" t="s">
        <v>276</v>
      </c>
      <c r="AM235" s="1">
        <f t="shared" si="6"/>
        <v>0</v>
      </c>
    </row>
    <row r="236" spans="1:39" x14ac:dyDescent="0.35">
      <c r="A236">
        <v>232</v>
      </c>
      <c r="B236">
        <v>233</v>
      </c>
      <c r="C236">
        <v>146.817275677</v>
      </c>
      <c r="D236">
        <v>-19.168128031999998</v>
      </c>
      <c r="F236" s="63"/>
      <c r="G236" s="63"/>
      <c r="H236" t="s">
        <v>78</v>
      </c>
      <c r="I236" s="64">
        <v>1</v>
      </c>
      <c r="J236" s="31"/>
      <c r="K236" s="31"/>
      <c r="L236" s="31"/>
      <c r="M236" s="31"/>
      <c r="N236" s="4"/>
      <c r="O236" s="4"/>
      <c r="P236" s="4"/>
      <c r="Q236" s="4"/>
      <c r="U236" s="5"/>
      <c r="V236" s="4"/>
      <c r="AG236" t="s">
        <v>277</v>
      </c>
      <c r="AM236" s="1">
        <f t="shared" si="6"/>
        <v>0</v>
      </c>
    </row>
    <row r="237" spans="1:39" x14ac:dyDescent="0.35">
      <c r="A237">
        <v>233</v>
      </c>
      <c r="B237">
        <v>234</v>
      </c>
      <c r="C237">
        <v>146.81719372000001</v>
      </c>
      <c r="D237">
        <v>-19.168093289999899</v>
      </c>
      <c r="F237" s="63"/>
      <c r="G237" s="63"/>
      <c r="H237" t="s">
        <v>78</v>
      </c>
      <c r="I237" s="64">
        <v>1</v>
      </c>
      <c r="J237" s="31"/>
      <c r="K237" s="31"/>
      <c r="L237" s="31"/>
      <c r="M237" s="31"/>
      <c r="N237" s="4"/>
      <c r="O237" s="4"/>
      <c r="P237" s="4"/>
      <c r="Q237" s="4"/>
      <c r="U237" s="5"/>
      <c r="V237" s="4"/>
      <c r="AG237" t="s">
        <v>278</v>
      </c>
      <c r="AM237" s="1">
        <f t="shared" si="6"/>
        <v>0</v>
      </c>
    </row>
    <row r="238" spans="1:39" x14ac:dyDescent="0.35">
      <c r="A238">
        <v>234</v>
      </c>
      <c r="B238">
        <v>235</v>
      </c>
      <c r="C238">
        <v>146.817111764</v>
      </c>
      <c r="D238">
        <v>-19.168058548000001</v>
      </c>
      <c r="E238">
        <v>50</v>
      </c>
      <c r="F238" s="63"/>
      <c r="G238" s="63"/>
      <c r="H238" t="s">
        <v>78</v>
      </c>
      <c r="I238" s="64">
        <v>1</v>
      </c>
      <c r="J238" s="31"/>
      <c r="K238" s="31"/>
      <c r="L238" s="31"/>
      <c r="M238" s="31"/>
      <c r="N238" s="4"/>
      <c r="O238" s="4"/>
      <c r="P238" s="4"/>
      <c r="Q238" s="4"/>
      <c r="U238" s="5"/>
      <c r="V238" s="4"/>
      <c r="AG238" t="s">
        <v>279</v>
      </c>
      <c r="AM238" s="1">
        <f t="shared" ref="AM238:AM270" si="7">HYPERLINK("E:\CAFNEC_GBRF\2023\JohnstoneRiver\Frames_for_Analysis\" &amp; F239, F239)</f>
        <v>0</v>
      </c>
    </row>
    <row r="239" spans="1:39" x14ac:dyDescent="0.35">
      <c r="A239">
        <v>235</v>
      </c>
      <c r="B239">
        <v>236</v>
      </c>
      <c r="C239">
        <v>146.81702980700001</v>
      </c>
      <c r="D239">
        <v>-19.168023806000001</v>
      </c>
      <c r="F239" s="63"/>
      <c r="G239" s="63"/>
      <c r="H239" t="s">
        <v>78</v>
      </c>
      <c r="I239" s="64">
        <v>1</v>
      </c>
      <c r="J239" s="31"/>
      <c r="K239" s="31"/>
      <c r="L239" s="31"/>
      <c r="M239" s="31"/>
      <c r="N239" s="4"/>
      <c r="O239" s="4"/>
      <c r="P239" s="4"/>
      <c r="Q239" s="4"/>
      <c r="U239" s="5"/>
      <c r="V239" s="4"/>
      <c r="AG239" t="s">
        <v>280</v>
      </c>
      <c r="AM239" s="1">
        <f t="shared" si="7"/>
        <v>0</v>
      </c>
    </row>
    <row r="240" spans="1:39" x14ac:dyDescent="0.35">
      <c r="A240">
        <v>236</v>
      </c>
      <c r="B240">
        <v>237</v>
      </c>
      <c r="C240">
        <v>146.81694785100001</v>
      </c>
      <c r="D240">
        <v>-19.167989064</v>
      </c>
      <c r="F240" s="63"/>
      <c r="G240" s="63"/>
      <c r="H240" t="s">
        <v>78</v>
      </c>
      <c r="I240" s="64">
        <v>1</v>
      </c>
      <c r="J240" s="31"/>
      <c r="K240" s="31"/>
      <c r="L240" s="31"/>
      <c r="M240" s="31"/>
      <c r="N240" s="4"/>
      <c r="O240" s="4"/>
      <c r="P240" s="4"/>
      <c r="Q240" s="4"/>
      <c r="U240" s="5"/>
      <c r="V240" s="4"/>
      <c r="AG240" t="s">
        <v>281</v>
      </c>
      <c r="AM240" s="1">
        <f t="shared" si="7"/>
        <v>0</v>
      </c>
    </row>
    <row r="241" spans="1:39" x14ac:dyDescent="0.35">
      <c r="A241">
        <v>237</v>
      </c>
      <c r="B241">
        <v>238</v>
      </c>
      <c r="C241">
        <v>146.81686589500001</v>
      </c>
      <c r="D241">
        <v>-19.167954322</v>
      </c>
      <c r="F241" s="63"/>
      <c r="G241" s="63"/>
      <c r="H241" t="s">
        <v>78</v>
      </c>
      <c r="I241" s="64">
        <v>1</v>
      </c>
      <c r="J241" s="31"/>
      <c r="K241" s="31"/>
      <c r="L241" s="31"/>
      <c r="M241" s="31"/>
      <c r="N241" s="4"/>
      <c r="O241" s="4"/>
      <c r="P241" s="4"/>
      <c r="Q241" s="4"/>
      <c r="U241" s="5"/>
      <c r="V241" s="4"/>
      <c r="AG241" t="s">
        <v>282</v>
      </c>
      <c r="AM241" s="1">
        <f t="shared" si="7"/>
        <v>0</v>
      </c>
    </row>
    <row r="242" spans="1:39" x14ac:dyDescent="0.35">
      <c r="A242">
        <v>238</v>
      </c>
      <c r="B242">
        <v>239</v>
      </c>
      <c r="C242">
        <v>146.81678393799999</v>
      </c>
      <c r="D242">
        <v>-19.1679195799999</v>
      </c>
      <c r="F242" s="63"/>
      <c r="G242" s="63"/>
      <c r="H242" t="s">
        <v>78</v>
      </c>
      <c r="I242" s="64">
        <v>1</v>
      </c>
      <c r="J242" s="31"/>
      <c r="K242" s="31"/>
      <c r="L242" s="31"/>
      <c r="M242" s="31"/>
      <c r="N242" s="4"/>
      <c r="O242" s="4"/>
      <c r="P242" s="4"/>
      <c r="Q242" s="4"/>
      <c r="U242" s="5"/>
      <c r="V242" s="4"/>
      <c r="AG242" t="s">
        <v>283</v>
      </c>
      <c r="AM242" s="1">
        <f t="shared" si="7"/>
        <v>0</v>
      </c>
    </row>
    <row r="243" spans="1:39" x14ac:dyDescent="0.35">
      <c r="A243">
        <v>239</v>
      </c>
      <c r="B243">
        <v>240</v>
      </c>
      <c r="C243">
        <v>146.81669754699999</v>
      </c>
      <c r="D243">
        <v>-19.167898733999898</v>
      </c>
      <c r="E243">
        <v>50</v>
      </c>
      <c r="F243" s="63"/>
      <c r="G243" s="63"/>
      <c r="H243" t="s">
        <v>78</v>
      </c>
      <c r="I243" s="64">
        <v>1</v>
      </c>
      <c r="J243" s="31"/>
      <c r="K243" s="31"/>
      <c r="L243" s="31"/>
      <c r="M243" s="31"/>
      <c r="N243" s="4"/>
      <c r="O243" s="4"/>
      <c r="P243" s="4"/>
      <c r="Q243" s="4"/>
      <c r="U243" s="5"/>
      <c r="V243" s="4"/>
      <c r="AG243" t="s">
        <v>284</v>
      </c>
      <c r="AM243" s="1">
        <f t="shared" si="7"/>
        <v>0</v>
      </c>
    </row>
    <row r="244" spans="1:39" x14ac:dyDescent="0.35">
      <c r="A244">
        <v>240</v>
      </c>
      <c r="B244">
        <v>241</v>
      </c>
      <c r="C244">
        <v>146.816608917</v>
      </c>
      <c r="D244">
        <v>-19.167884904999902</v>
      </c>
      <c r="F244" s="63"/>
      <c r="G244" s="63"/>
      <c r="H244" t="s">
        <v>78</v>
      </c>
      <c r="I244" s="64">
        <v>1</v>
      </c>
      <c r="J244" s="31"/>
      <c r="K244" s="31"/>
      <c r="L244" s="31"/>
      <c r="M244" s="31"/>
      <c r="N244" s="4"/>
      <c r="O244" s="4"/>
      <c r="P244" s="4"/>
      <c r="Q244" s="4"/>
      <c r="U244" s="5"/>
      <c r="V244" s="4"/>
      <c r="AG244" t="s">
        <v>285</v>
      </c>
      <c r="AM244" s="1">
        <f t="shared" si="7"/>
        <v>0</v>
      </c>
    </row>
    <row r="245" spans="1:39" x14ac:dyDescent="0.35">
      <c r="A245">
        <v>241</v>
      </c>
      <c r="B245">
        <v>242</v>
      </c>
      <c r="C245">
        <v>146.81654139299999</v>
      </c>
      <c r="D245">
        <v>-19.167839688000001</v>
      </c>
      <c r="F245" s="63"/>
      <c r="G245" s="63"/>
      <c r="H245" t="s">
        <v>78</v>
      </c>
      <c r="I245" s="64">
        <v>1</v>
      </c>
      <c r="J245" s="31"/>
      <c r="K245" s="31"/>
      <c r="L245" s="31"/>
      <c r="M245" s="31"/>
      <c r="N245" s="4"/>
      <c r="O245" s="4"/>
      <c r="P245" s="4"/>
      <c r="Q245" s="4"/>
      <c r="U245" s="5"/>
      <c r="V245" s="4"/>
      <c r="AG245" t="s">
        <v>286</v>
      </c>
      <c r="AM245" s="1">
        <f t="shared" si="7"/>
        <v>0</v>
      </c>
    </row>
    <row r="246" spans="1:39" x14ac:dyDescent="0.35">
      <c r="A246">
        <v>242</v>
      </c>
      <c r="B246">
        <v>243</v>
      </c>
      <c r="C246">
        <v>146.816484223</v>
      </c>
      <c r="D246">
        <v>-19.167779970000002</v>
      </c>
      <c r="F246" s="63"/>
      <c r="G246" s="63"/>
      <c r="H246" t="s">
        <v>78</v>
      </c>
      <c r="I246" s="64">
        <v>1</v>
      </c>
      <c r="J246" s="31"/>
      <c r="K246" s="31"/>
      <c r="L246" s="31"/>
      <c r="M246" s="31"/>
      <c r="N246" s="4"/>
      <c r="O246" s="4"/>
      <c r="P246" s="4"/>
      <c r="Q246" s="4"/>
      <c r="U246" s="5"/>
      <c r="V246" s="4"/>
      <c r="AG246" t="s">
        <v>287</v>
      </c>
      <c r="AM246" s="1">
        <f t="shared" si="7"/>
        <v>0</v>
      </c>
    </row>
    <row r="247" spans="1:39" x14ac:dyDescent="0.35">
      <c r="A247">
        <v>243</v>
      </c>
      <c r="B247">
        <v>244</v>
      </c>
      <c r="C247">
        <v>146.816394694</v>
      </c>
      <c r="D247">
        <v>-19.167773019999998</v>
      </c>
      <c r="F247" s="63"/>
      <c r="G247" s="63"/>
      <c r="H247" t="s">
        <v>78</v>
      </c>
      <c r="I247" s="64">
        <v>1</v>
      </c>
      <c r="J247" s="31"/>
      <c r="K247" s="31"/>
      <c r="L247" s="31"/>
      <c r="M247" s="31"/>
      <c r="N247" s="4"/>
      <c r="O247" s="4"/>
      <c r="P247" s="4"/>
      <c r="Q247" s="4"/>
      <c r="U247" s="5"/>
      <c r="V247" s="4"/>
      <c r="AG247" t="s">
        <v>288</v>
      </c>
      <c r="AM247" s="1">
        <f t="shared" si="7"/>
        <v>0</v>
      </c>
    </row>
    <row r="248" spans="1:39" x14ac:dyDescent="0.35">
      <c r="A248">
        <v>244</v>
      </c>
      <c r="B248">
        <v>245</v>
      </c>
      <c r="C248">
        <v>146.816305164</v>
      </c>
      <c r="D248">
        <v>-19.167766069999999</v>
      </c>
      <c r="E248">
        <v>50</v>
      </c>
      <c r="F248" s="63"/>
      <c r="G248" s="63"/>
      <c r="H248" t="s">
        <v>78</v>
      </c>
      <c r="I248" s="64">
        <v>1</v>
      </c>
      <c r="J248" s="31"/>
      <c r="K248" s="31"/>
      <c r="L248" s="31"/>
      <c r="M248" s="31"/>
      <c r="N248" s="4"/>
      <c r="O248" s="4"/>
      <c r="P248" s="4"/>
      <c r="Q248" s="4"/>
      <c r="U248" s="5"/>
      <c r="V248" s="4"/>
      <c r="AG248" t="s">
        <v>289</v>
      </c>
      <c r="AM248" s="1">
        <f t="shared" si="7"/>
        <v>0</v>
      </c>
    </row>
    <row r="249" spans="1:39" x14ac:dyDescent="0.35">
      <c r="A249">
        <v>245</v>
      </c>
      <c r="B249">
        <v>246</v>
      </c>
      <c r="C249">
        <v>146.81623405400001</v>
      </c>
      <c r="D249">
        <v>-19.16771855</v>
      </c>
      <c r="F249" s="63"/>
      <c r="G249" s="63"/>
      <c r="H249" t="s">
        <v>78</v>
      </c>
      <c r="I249" s="64">
        <v>1</v>
      </c>
      <c r="J249" s="31"/>
      <c r="K249" s="31"/>
      <c r="L249" s="31"/>
      <c r="M249" s="31"/>
      <c r="N249" s="4"/>
      <c r="O249" s="4"/>
      <c r="P249" s="4"/>
      <c r="Q249" s="4"/>
      <c r="U249" s="5"/>
      <c r="V249" s="4"/>
      <c r="AG249" t="s">
        <v>290</v>
      </c>
      <c r="AM249" s="1">
        <f t="shared" si="7"/>
        <v>0</v>
      </c>
    </row>
    <row r="250" spans="1:39" x14ac:dyDescent="0.35">
      <c r="A250">
        <v>246</v>
      </c>
      <c r="B250">
        <v>247</v>
      </c>
      <c r="C250">
        <v>146.816155608</v>
      </c>
      <c r="D250">
        <v>-19.1676869469999</v>
      </c>
      <c r="F250" s="63"/>
      <c r="G250" s="63"/>
      <c r="H250" t="s">
        <v>78</v>
      </c>
      <c r="I250" s="64">
        <v>1</v>
      </c>
      <c r="J250" s="31"/>
      <c r="K250" s="31"/>
      <c r="L250" s="31"/>
      <c r="M250" s="31"/>
      <c r="N250" s="4"/>
      <c r="O250" s="4"/>
      <c r="P250" s="4"/>
      <c r="Q250" s="4"/>
      <c r="U250" s="5"/>
      <c r="V250" s="4"/>
      <c r="AG250" t="s">
        <v>291</v>
      </c>
      <c r="AM250" s="1">
        <f t="shared" si="7"/>
        <v>0</v>
      </c>
    </row>
    <row r="251" spans="1:39" x14ac:dyDescent="0.35">
      <c r="A251">
        <v>247</v>
      </c>
      <c r="B251">
        <v>248</v>
      </c>
      <c r="C251">
        <v>146.81606613299999</v>
      </c>
      <c r="D251">
        <v>-19.167679399000001</v>
      </c>
      <c r="F251" s="63"/>
      <c r="G251" s="63"/>
      <c r="H251" t="s">
        <v>78</v>
      </c>
      <c r="I251" s="64">
        <v>1</v>
      </c>
      <c r="J251" s="31"/>
      <c r="K251" s="31"/>
      <c r="L251" s="31"/>
      <c r="M251" s="31"/>
      <c r="N251" s="4"/>
      <c r="O251" s="4"/>
      <c r="P251" s="4"/>
      <c r="Q251" s="4"/>
      <c r="U251" s="5"/>
      <c r="V251" s="4"/>
      <c r="AG251" t="s">
        <v>292</v>
      </c>
      <c r="AM251" s="1">
        <f t="shared" si="7"/>
        <v>0</v>
      </c>
    </row>
    <row r="252" spans="1:39" x14ac:dyDescent="0.35">
      <c r="A252">
        <v>248</v>
      </c>
      <c r="B252">
        <v>249</v>
      </c>
      <c r="C252">
        <v>146.81598692</v>
      </c>
      <c r="D252">
        <v>-19.167652334</v>
      </c>
      <c r="F252" s="63"/>
      <c r="G252" s="63"/>
      <c r="H252" t="s">
        <v>78</v>
      </c>
      <c r="I252" s="64">
        <v>1</v>
      </c>
      <c r="J252" s="31"/>
      <c r="K252" s="31"/>
      <c r="L252" s="31"/>
      <c r="M252" s="31"/>
      <c r="N252" s="4"/>
      <c r="O252" s="4"/>
      <c r="P252" s="4"/>
      <c r="Q252" s="4"/>
      <c r="U252" s="5"/>
      <c r="V252" s="4"/>
      <c r="AG252" t="s">
        <v>293</v>
      </c>
      <c r="AM252" s="1">
        <f t="shared" si="7"/>
        <v>0</v>
      </c>
    </row>
    <row r="253" spans="1:39" x14ac:dyDescent="0.35">
      <c r="A253">
        <v>249</v>
      </c>
      <c r="B253">
        <v>250</v>
      </c>
      <c r="C253">
        <v>146.815926486</v>
      </c>
      <c r="D253">
        <v>-19.1675895549999</v>
      </c>
      <c r="E253">
        <v>50</v>
      </c>
      <c r="F253" s="63"/>
      <c r="G253" s="63"/>
      <c r="H253" t="s">
        <v>78</v>
      </c>
      <c r="I253" s="64">
        <v>1</v>
      </c>
      <c r="J253" s="31"/>
      <c r="K253" s="31"/>
      <c r="L253" s="31"/>
      <c r="M253" s="31"/>
      <c r="N253" s="4"/>
      <c r="O253" s="4"/>
      <c r="P253" s="4"/>
      <c r="Q253" s="4"/>
      <c r="U253" s="5"/>
      <c r="V253" s="4"/>
      <c r="AG253" t="s">
        <v>294</v>
      </c>
      <c r="AM253" s="1">
        <f t="shared" si="7"/>
        <v>0</v>
      </c>
    </row>
    <row r="254" spans="1:39" x14ac:dyDescent="0.35">
      <c r="A254">
        <v>250</v>
      </c>
      <c r="B254">
        <v>251</v>
      </c>
      <c r="C254">
        <v>146.815852353</v>
      </c>
      <c r="D254">
        <v>-19.167548699999902</v>
      </c>
      <c r="F254" s="63"/>
      <c r="G254" s="63"/>
      <c r="H254" t="s">
        <v>78</v>
      </c>
      <c r="I254" s="64">
        <v>1</v>
      </c>
      <c r="J254" s="31"/>
      <c r="K254" s="31"/>
      <c r="L254" s="31"/>
      <c r="M254" s="31"/>
      <c r="N254" s="4"/>
      <c r="O254" s="4"/>
      <c r="P254" s="4"/>
      <c r="Q254" s="4"/>
      <c r="U254" s="5"/>
      <c r="V254" s="4"/>
      <c r="AG254" t="s">
        <v>295</v>
      </c>
      <c r="AM254" s="1">
        <f t="shared" si="7"/>
        <v>0</v>
      </c>
    </row>
    <row r="255" spans="1:39" x14ac:dyDescent="0.35">
      <c r="A255">
        <v>251</v>
      </c>
      <c r="B255">
        <v>252</v>
      </c>
      <c r="C255">
        <v>146.815769437</v>
      </c>
      <c r="D255">
        <v>-19.1675214119999</v>
      </c>
      <c r="F255" s="63"/>
      <c r="G255" s="63"/>
      <c r="H255" t="s">
        <v>78</v>
      </c>
      <c r="I255" s="64">
        <v>1</v>
      </c>
      <c r="J255" s="31"/>
      <c r="K255" s="31"/>
      <c r="L255" s="31"/>
      <c r="M255" s="31"/>
      <c r="N255" s="4"/>
      <c r="O255" s="4"/>
      <c r="P255" s="4"/>
      <c r="Q255" s="4"/>
      <c r="U255" s="5"/>
      <c r="V255" s="4"/>
      <c r="AG255" t="s">
        <v>296</v>
      </c>
      <c r="AM255" s="1">
        <f t="shared" si="7"/>
        <v>0</v>
      </c>
    </row>
    <row r="256" spans="1:39" x14ac:dyDescent="0.35">
      <c r="A256">
        <v>252</v>
      </c>
      <c r="B256">
        <v>253</v>
      </c>
      <c r="C256">
        <v>146.81570532999999</v>
      </c>
      <c r="D256">
        <v>-19.167461972999899</v>
      </c>
      <c r="F256" s="63"/>
      <c r="G256" s="63"/>
      <c r="H256" t="s">
        <v>78</v>
      </c>
      <c r="I256" s="64">
        <v>1</v>
      </c>
      <c r="J256" s="31"/>
      <c r="K256" s="31"/>
      <c r="L256" s="31"/>
      <c r="M256" s="31"/>
      <c r="N256" s="4"/>
      <c r="O256" s="4"/>
      <c r="P256" s="4"/>
      <c r="Q256" s="4"/>
      <c r="U256" s="5"/>
      <c r="V256" s="4"/>
      <c r="AG256" t="s">
        <v>297</v>
      </c>
      <c r="AM256" s="1">
        <f t="shared" si="7"/>
        <v>0</v>
      </c>
    </row>
    <row r="257" spans="1:39" x14ac:dyDescent="0.35">
      <c r="A257">
        <v>253</v>
      </c>
      <c r="B257">
        <v>254</v>
      </c>
      <c r="C257">
        <v>146.81563675500001</v>
      </c>
      <c r="D257">
        <v>-19.1674172039999</v>
      </c>
      <c r="F257" s="63"/>
      <c r="G257" s="63"/>
      <c r="H257" t="s">
        <v>78</v>
      </c>
      <c r="I257" s="64">
        <v>1</v>
      </c>
      <c r="J257" s="31"/>
      <c r="K257" s="31"/>
      <c r="L257" s="31"/>
      <c r="M257" s="31"/>
      <c r="N257" s="4"/>
      <c r="O257" s="4"/>
      <c r="P257" s="4"/>
      <c r="Q257" s="4"/>
      <c r="U257" s="5"/>
      <c r="V257" s="4"/>
      <c r="AG257" t="s">
        <v>298</v>
      </c>
      <c r="AM257" s="1">
        <f t="shared" si="7"/>
        <v>0</v>
      </c>
    </row>
    <row r="258" spans="1:39" x14ac:dyDescent="0.35">
      <c r="A258">
        <v>254</v>
      </c>
      <c r="B258">
        <v>255</v>
      </c>
      <c r="C258">
        <v>146.81554901000001</v>
      </c>
      <c r="D258">
        <v>-19.167435386000001</v>
      </c>
      <c r="E258">
        <v>50</v>
      </c>
      <c r="F258" s="63"/>
      <c r="G258" s="63"/>
      <c r="H258" t="s">
        <v>78</v>
      </c>
      <c r="I258" s="64">
        <v>1</v>
      </c>
      <c r="J258" s="31"/>
      <c r="K258" s="31"/>
      <c r="L258" s="31"/>
      <c r="M258" s="31"/>
      <c r="N258" s="4"/>
      <c r="O258" s="4"/>
      <c r="P258" s="4"/>
      <c r="Q258" s="4"/>
      <c r="U258" s="5"/>
      <c r="V258" s="4"/>
      <c r="AG258" t="s">
        <v>299</v>
      </c>
      <c r="AM258" s="1">
        <f t="shared" si="7"/>
        <v>0</v>
      </c>
    </row>
    <row r="259" spans="1:39" x14ac:dyDescent="0.35">
      <c r="A259">
        <v>255</v>
      </c>
      <c r="B259">
        <v>256</v>
      </c>
      <c r="C259">
        <v>146.815467211</v>
      </c>
      <c r="D259">
        <v>-19.167416069000001</v>
      </c>
      <c r="F259" s="63"/>
      <c r="G259" s="63"/>
      <c r="H259" t="s">
        <v>78</v>
      </c>
      <c r="I259" s="64">
        <v>1</v>
      </c>
      <c r="J259" s="31"/>
      <c r="K259" s="31"/>
      <c r="L259" s="31"/>
      <c r="M259" s="31"/>
      <c r="N259" s="4"/>
      <c r="O259" s="4"/>
      <c r="P259" s="4"/>
      <c r="Q259" s="4"/>
      <c r="U259" s="5"/>
      <c r="V259" s="4"/>
      <c r="AG259" t="s">
        <v>300</v>
      </c>
      <c r="AM259" s="1">
        <f t="shared" si="7"/>
        <v>0</v>
      </c>
    </row>
    <row r="260" spans="1:39" x14ac:dyDescent="0.35">
      <c r="A260">
        <v>256</v>
      </c>
      <c r="B260">
        <v>257</v>
      </c>
      <c r="C260">
        <v>146.81538287999999</v>
      </c>
      <c r="D260">
        <v>-19.167387090999998</v>
      </c>
      <c r="F260" s="63"/>
      <c r="G260" s="63"/>
      <c r="H260" t="s">
        <v>78</v>
      </c>
      <c r="I260" s="64">
        <v>1</v>
      </c>
      <c r="J260" s="31"/>
      <c r="K260" s="31"/>
      <c r="L260" s="31"/>
      <c r="M260" s="31"/>
      <c r="N260" s="4"/>
      <c r="O260" s="4"/>
      <c r="P260" s="4"/>
      <c r="Q260" s="4"/>
      <c r="U260" s="5"/>
      <c r="V260" s="4"/>
      <c r="AG260" t="s">
        <v>301</v>
      </c>
      <c r="AM260" s="1">
        <f t="shared" si="7"/>
        <v>0</v>
      </c>
    </row>
    <row r="261" spans="1:39" x14ac:dyDescent="0.35">
      <c r="A261">
        <v>257</v>
      </c>
      <c r="B261">
        <v>258</v>
      </c>
      <c r="C261">
        <v>146.81529807800001</v>
      </c>
      <c r="D261">
        <v>-19.167359095999899</v>
      </c>
      <c r="F261" s="63"/>
      <c r="G261" s="63"/>
      <c r="H261" t="s">
        <v>78</v>
      </c>
      <c r="I261" s="64">
        <v>1</v>
      </c>
      <c r="J261" s="31"/>
      <c r="K261" s="31"/>
      <c r="L261" s="31"/>
      <c r="M261" s="31"/>
      <c r="N261" s="4"/>
      <c r="O261" s="4"/>
      <c r="P261" s="4"/>
      <c r="Q261" s="4"/>
      <c r="U261" s="5"/>
      <c r="V261" s="4"/>
      <c r="AG261" t="s">
        <v>302</v>
      </c>
      <c r="AM261" s="1">
        <f t="shared" si="7"/>
        <v>0</v>
      </c>
    </row>
    <row r="262" spans="1:39" x14ac:dyDescent="0.35">
      <c r="A262">
        <v>258</v>
      </c>
      <c r="B262">
        <v>259</v>
      </c>
      <c r="C262">
        <v>146.815213632</v>
      </c>
      <c r="D262">
        <v>-19.167331218999902</v>
      </c>
      <c r="F262" s="63"/>
      <c r="G262" s="63"/>
      <c r="H262" t="s">
        <v>78</v>
      </c>
      <c r="I262" s="64">
        <v>1</v>
      </c>
      <c r="J262" s="31"/>
      <c r="K262" s="31"/>
      <c r="L262" s="31"/>
      <c r="M262" s="31"/>
      <c r="N262" s="4"/>
      <c r="O262" s="4"/>
      <c r="P262" s="4"/>
      <c r="Q262" s="4"/>
      <c r="U262" s="5"/>
      <c r="V262" s="4"/>
      <c r="AG262" t="s">
        <v>303</v>
      </c>
      <c r="AM262" s="1">
        <f t="shared" si="7"/>
        <v>0</v>
      </c>
    </row>
    <row r="263" spans="1:39" x14ac:dyDescent="0.35">
      <c r="A263">
        <v>259</v>
      </c>
      <c r="B263">
        <v>260</v>
      </c>
      <c r="C263">
        <v>146.81512883100001</v>
      </c>
      <c r="D263">
        <v>-19.167303224000001</v>
      </c>
      <c r="E263">
        <v>50</v>
      </c>
      <c r="F263" s="63"/>
      <c r="G263" s="63"/>
      <c r="H263" t="s">
        <v>78</v>
      </c>
      <c r="I263" s="64">
        <v>1</v>
      </c>
      <c r="J263" s="31"/>
      <c r="K263" s="31"/>
      <c r="L263" s="31"/>
      <c r="M263" s="31"/>
      <c r="N263" s="4"/>
      <c r="O263" s="4"/>
      <c r="P263" s="4"/>
      <c r="Q263" s="4"/>
      <c r="U263" s="5"/>
      <c r="V263" s="4"/>
      <c r="AG263" t="s">
        <v>304</v>
      </c>
      <c r="AM263" s="1">
        <f t="shared" si="7"/>
        <v>0</v>
      </c>
    </row>
    <row r="264" spans="1:39" x14ac:dyDescent="0.35">
      <c r="A264">
        <v>260</v>
      </c>
      <c r="B264">
        <v>261</v>
      </c>
      <c r="C264">
        <v>146.81504402900001</v>
      </c>
      <c r="D264">
        <v>-19.167275230000001</v>
      </c>
      <c r="F264" s="63"/>
      <c r="G264" s="63"/>
      <c r="H264" t="s">
        <v>78</v>
      </c>
      <c r="I264" s="64">
        <v>1</v>
      </c>
      <c r="J264" s="31"/>
      <c r="K264" s="31"/>
      <c r="L264" s="31"/>
      <c r="M264" s="31"/>
      <c r="N264" s="4"/>
      <c r="O264" s="4"/>
      <c r="P264" s="4"/>
      <c r="Q264" s="4"/>
      <c r="U264" s="5"/>
      <c r="V264" s="4"/>
      <c r="AG264" t="s">
        <v>305</v>
      </c>
      <c r="AM264" s="1">
        <f t="shared" si="7"/>
        <v>0</v>
      </c>
    </row>
    <row r="265" spans="1:39" x14ac:dyDescent="0.35">
      <c r="A265">
        <v>261</v>
      </c>
      <c r="B265">
        <v>262</v>
      </c>
      <c r="C265">
        <v>146.814959227</v>
      </c>
      <c r="D265">
        <v>-19.167247234999898</v>
      </c>
      <c r="F265" s="63"/>
      <c r="G265" s="63"/>
      <c r="H265" t="s">
        <v>78</v>
      </c>
      <c r="I265" s="64">
        <v>1</v>
      </c>
      <c r="J265" s="31"/>
      <c r="K265" s="31"/>
      <c r="L265" s="31"/>
      <c r="M265" s="31"/>
      <c r="N265" s="4"/>
      <c r="O265" s="4"/>
      <c r="P265" s="4"/>
      <c r="Q265" s="4"/>
      <c r="U265" s="5"/>
      <c r="V265" s="4"/>
      <c r="AG265" t="s">
        <v>306</v>
      </c>
      <c r="AM265" s="1">
        <f t="shared" si="7"/>
        <v>0</v>
      </c>
    </row>
    <row r="266" spans="1:39" x14ac:dyDescent="0.35">
      <c r="A266">
        <v>262</v>
      </c>
      <c r="B266">
        <v>263</v>
      </c>
      <c r="C266">
        <v>146.814898148</v>
      </c>
      <c r="D266">
        <v>-19.167186946000001</v>
      </c>
      <c r="F266" s="63"/>
      <c r="G266" s="63"/>
      <c r="H266" t="s">
        <v>78</v>
      </c>
      <c r="I266" s="64">
        <v>1</v>
      </c>
      <c r="J266" s="31"/>
      <c r="K266" s="31"/>
      <c r="L266" s="31"/>
      <c r="M266" s="31"/>
      <c r="N266" s="4"/>
      <c r="O266" s="4"/>
      <c r="P266" s="4"/>
      <c r="Q266" s="4"/>
      <c r="U266" s="5"/>
      <c r="V266" s="4"/>
      <c r="AG266" t="s">
        <v>307</v>
      </c>
      <c r="AM266" s="1">
        <f t="shared" si="7"/>
        <v>0</v>
      </c>
    </row>
    <row r="267" spans="1:39" x14ac:dyDescent="0.35">
      <c r="A267">
        <v>263</v>
      </c>
      <c r="B267">
        <v>264</v>
      </c>
      <c r="C267">
        <v>146.81483177800001</v>
      </c>
      <c r="D267">
        <v>-19.167129763999998</v>
      </c>
      <c r="F267" s="63"/>
      <c r="G267" s="63"/>
      <c r="H267" t="s">
        <v>78</v>
      </c>
      <c r="I267" s="64">
        <v>1</v>
      </c>
      <c r="J267" s="31"/>
      <c r="K267" s="31"/>
      <c r="L267" s="31"/>
      <c r="M267" s="31"/>
      <c r="N267" s="4"/>
      <c r="O267" s="4"/>
      <c r="P267" s="4"/>
      <c r="Q267" s="4"/>
      <c r="U267" s="5"/>
      <c r="V267" s="4"/>
      <c r="AG267" t="s">
        <v>308</v>
      </c>
      <c r="AM267" s="1">
        <f t="shared" si="7"/>
        <v>0</v>
      </c>
    </row>
    <row r="268" spans="1:39" x14ac:dyDescent="0.35">
      <c r="A268">
        <v>264</v>
      </c>
      <c r="B268">
        <v>265</v>
      </c>
      <c r="C268">
        <v>146.81476608899999</v>
      </c>
      <c r="D268">
        <v>-19.167071898</v>
      </c>
      <c r="E268">
        <v>50</v>
      </c>
      <c r="F268" s="63"/>
      <c r="G268" s="63"/>
      <c r="H268" t="s">
        <v>78</v>
      </c>
      <c r="I268" s="64">
        <v>1</v>
      </c>
      <c r="J268" s="31"/>
      <c r="K268" s="31"/>
      <c r="L268" s="31"/>
      <c r="M268" s="31"/>
      <c r="N268" s="4"/>
      <c r="O268" s="4"/>
      <c r="P268" s="4"/>
      <c r="Q268" s="4"/>
      <c r="U268" s="5"/>
      <c r="V268" s="4"/>
      <c r="AG268" t="s">
        <v>309</v>
      </c>
      <c r="AM268" s="1">
        <f t="shared" si="7"/>
        <v>0</v>
      </c>
    </row>
    <row r="269" spans="1:39" x14ac:dyDescent="0.35">
      <c r="A269">
        <v>265</v>
      </c>
      <c r="B269">
        <v>266</v>
      </c>
      <c r="C269">
        <v>146.814701485</v>
      </c>
      <c r="D269">
        <v>-19.1670129399999</v>
      </c>
      <c r="F269" s="63"/>
      <c r="G269" s="63"/>
      <c r="H269" t="s">
        <v>78</v>
      </c>
      <c r="I269" s="64">
        <v>1</v>
      </c>
      <c r="J269" s="31"/>
      <c r="K269" s="31"/>
      <c r="L269" s="31"/>
      <c r="M269" s="31"/>
      <c r="N269" s="4"/>
      <c r="O269" s="4"/>
      <c r="P269" s="4"/>
      <c r="Q269" s="4"/>
      <c r="U269" s="5"/>
      <c r="V269" s="4"/>
      <c r="AG269" t="s">
        <v>310</v>
      </c>
      <c r="AM269" s="1">
        <f t="shared" si="7"/>
        <v>0</v>
      </c>
    </row>
    <row r="270" spans="1:39" x14ac:dyDescent="0.35">
      <c r="A270">
        <v>266</v>
      </c>
      <c r="B270">
        <v>267</v>
      </c>
      <c r="C270">
        <v>146.81463688100001</v>
      </c>
      <c r="D270">
        <v>-19.1669539819999</v>
      </c>
      <c r="F270" s="63"/>
      <c r="G270" s="63"/>
      <c r="H270" t="s">
        <v>78</v>
      </c>
      <c r="I270" s="64">
        <v>1</v>
      </c>
      <c r="J270" s="31"/>
      <c r="K270" s="31"/>
      <c r="L270" s="31"/>
      <c r="M270" s="31"/>
      <c r="N270" s="4"/>
      <c r="O270" s="4"/>
      <c r="P270" s="4"/>
      <c r="Q270" s="4"/>
      <c r="U270" s="5"/>
      <c r="V270" s="4"/>
      <c r="AG270" t="s">
        <v>311</v>
      </c>
      <c r="AM270" s="1">
        <f t="shared" si="7"/>
        <v>0</v>
      </c>
    </row>
    <row r="271" spans="1:39" x14ac:dyDescent="0.35">
      <c r="A271">
        <v>267</v>
      </c>
      <c r="B271">
        <v>268</v>
      </c>
      <c r="C271">
        <v>146.81455029</v>
      </c>
      <c r="D271">
        <v>-19.166943226999901</v>
      </c>
      <c r="F271" s="63"/>
      <c r="G271" s="63"/>
      <c r="H271" t="s">
        <v>78</v>
      </c>
      <c r="I271" s="64">
        <v>1</v>
      </c>
      <c r="J271" s="31"/>
      <c r="K271" s="31"/>
      <c r="L271" s="31"/>
      <c r="M271" s="31"/>
      <c r="N271" s="4"/>
      <c r="O271" s="4"/>
      <c r="P271" s="4"/>
      <c r="Q271" s="4"/>
      <c r="U271" s="5"/>
      <c r="V271" s="4"/>
      <c r="AG271" t="s">
        <v>312</v>
      </c>
      <c r="AM271" s="1"/>
    </row>
    <row r="272" spans="1:39" x14ac:dyDescent="0.35">
      <c r="A272">
        <v>268</v>
      </c>
      <c r="B272">
        <v>269</v>
      </c>
      <c r="C272">
        <v>146.81447868800001</v>
      </c>
      <c r="D272">
        <v>-19.166898194999899</v>
      </c>
      <c r="F272" s="63"/>
      <c r="G272" s="63"/>
      <c r="H272" t="s">
        <v>78</v>
      </c>
      <c r="I272" s="64">
        <v>1</v>
      </c>
      <c r="J272" s="31"/>
      <c r="K272" s="31"/>
      <c r="L272" s="31"/>
      <c r="M272" s="31"/>
      <c r="N272" s="4"/>
      <c r="O272" s="4"/>
      <c r="P272" s="4"/>
      <c r="Q272" s="4"/>
      <c r="U272" s="5"/>
      <c r="V272" s="4"/>
      <c r="AG272" t="s">
        <v>313</v>
      </c>
      <c r="AM272" s="1">
        <f t="shared" ref="AM272:AM303" si="8">HYPERLINK("E:\CAFNEC_GBRF\2023\JohnstoneRiver\Frames_for_Analysis\" &amp; F273, F273)</f>
        <v>0</v>
      </c>
    </row>
    <row r="273" spans="1:39" x14ac:dyDescent="0.35">
      <c r="A273">
        <v>269</v>
      </c>
      <c r="B273">
        <v>270</v>
      </c>
      <c r="C273">
        <v>146.81441253700001</v>
      </c>
      <c r="D273">
        <v>-19.166840787999899</v>
      </c>
      <c r="E273">
        <v>50</v>
      </c>
      <c r="F273" s="63"/>
      <c r="G273" s="63"/>
      <c r="H273" t="s">
        <v>78</v>
      </c>
      <c r="I273" s="64">
        <v>1</v>
      </c>
      <c r="J273" s="31"/>
      <c r="K273" s="31"/>
      <c r="L273" s="31"/>
      <c r="M273" s="31"/>
      <c r="N273" s="4"/>
      <c r="O273" s="4"/>
      <c r="P273" s="4"/>
      <c r="Q273" s="4"/>
      <c r="U273" s="5"/>
      <c r="V273" s="4"/>
      <c r="AG273" t="s">
        <v>314</v>
      </c>
      <c r="AM273" s="1">
        <f t="shared" si="8"/>
        <v>0</v>
      </c>
    </row>
    <row r="274" spans="1:39" x14ac:dyDescent="0.35">
      <c r="A274">
        <v>270</v>
      </c>
      <c r="B274">
        <v>271</v>
      </c>
      <c r="C274">
        <v>146.81434052</v>
      </c>
      <c r="D274">
        <v>-19.166790229999901</v>
      </c>
      <c r="F274" s="63"/>
      <c r="G274" s="63"/>
      <c r="H274" t="s">
        <v>78</v>
      </c>
      <c r="I274" s="64">
        <v>1</v>
      </c>
      <c r="J274" s="31"/>
      <c r="K274" s="31"/>
      <c r="L274" s="31"/>
      <c r="M274" s="31"/>
      <c r="N274" s="4"/>
      <c r="O274" s="4"/>
      <c r="P274" s="4"/>
      <c r="Q274" s="4"/>
      <c r="U274" s="5"/>
      <c r="V274" s="4"/>
      <c r="AG274" t="s">
        <v>315</v>
      </c>
      <c r="AM274" s="1">
        <f t="shared" si="8"/>
        <v>0</v>
      </c>
    </row>
    <row r="275" spans="1:39" x14ac:dyDescent="0.35">
      <c r="A275">
        <v>271</v>
      </c>
      <c r="B275">
        <v>272</v>
      </c>
      <c r="C275">
        <v>146.81426767100001</v>
      </c>
      <c r="D275">
        <v>-19.1667405819999</v>
      </c>
      <c r="F275" s="63"/>
      <c r="G275" s="63"/>
      <c r="H275" t="s">
        <v>78</v>
      </c>
      <c r="I275" s="64">
        <v>1</v>
      </c>
      <c r="J275" s="31"/>
      <c r="K275" s="31"/>
      <c r="L275" s="31"/>
      <c r="M275" s="31"/>
      <c r="N275" s="4"/>
      <c r="O275" s="4"/>
      <c r="P275" s="4"/>
      <c r="Q275" s="4"/>
      <c r="U275" s="5"/>
      <c r="V275" s="4"/>
      <c r="AG275" t="s">
        <v>316</v>
      </c>
      <c r="AM275" s="1">
        <f t="shared" si="8"/>
        <v>0</v>
      </c>
    </row>
    <row r="276" spans="1:39" x14ac:dyDescent="0.35">
      <c r="A276">
        <v>272</v>
      </c>
      <c r="B276">
        <v>273</v>
      </c>
      <c r="C276">
        <v>146.81419482199999</v>
      </c>
      <c r="D276">
        <v>-19.166690932999899</v>
      </c>
      <c r="F276" s="63"/>
      <c r="G276" s="63"/>
      <c r="H276" t="s">
        <v>78</v>
      </c>
      <c r="I276" s="64">
        <v>1</v>
      </c>
      <c r="J276" s="31"/>
      <c r="K276" s="31"/>
      <c r="L276" s="31"/>
      <c r="M276" s="31"/>
      <c r="N276" s="4"/>
      <c r="O276" s="4"/>
      <c r="P276" s="4"/>
      <c r="Q276" s="4"/>
      <c r="U276" s="5"/>
      <c r="V276" s="4"/>
      <c r="AG276" t="s">
        <v>317</v>
      </c>
      <c r="AM276" s="1">
        <f t="shared" si="8"/>
        <v>0</v>
      </c>
    </row>
    <row r="277" spans="1:39" x14ac:dyDescent="0.35">
      <c r="A277">
        <v>273</v>
      </c>
      <c r="B277">
        <v>274</v>
      </c>
      <c r="C277">
        <v>146.81412197399999</v>
      </c>
      <c r="D277">
        <v>-19.166641285000001</v>
      </c>
      <c r="F277" s="63"/>
      <c r="G277" s="63"/>
      <c r="H277" t="s">
        <v>78</v>
      </c>
      <c r="I277" s="64">
        <v>1</v>
      </c>
      <c r="J277" s="31"/>
      <c r="K277" s="31"/>
      <c r="L277" s="31"/>
      <c r="M277" s="31"/>
      <c r="N277" s="4"/>
      <c r="O277" s="4"/>
      <c r="P277" s="4"/>
      <c r="Q277" s="4"/>
      <c r="U277" s="5"/>
      <c r="V277" s="4"/>
      <c r="AG277" t="s">
        <v>318</v>
      </c>
      <c r="AM277" s="1">
        <f t="shared" si="8"/>
        <v>0</v>
      </c>
    </row>
    <row r="278" spans="1:39" x14ac:dyDescent="0.35">
      <c r="A278">
        <v>274</v>
      </c>
      <c r="B278">
        <v>275</v>
      </c>
      <c r="C278">
        <v>146.81404942899999</v>
      </c>
      <c r="D278">
        <v>-19.1665912469999</v>
      </c>
      <c r="E278">
        <v>50</v>
      </c>
      <c r="F278" s="63"/>
      <c r="G278" s="63"/>
      <c r="H278" t="s">
        <v>78</v>
      </c>
      <c r="I278" s="64">
        <v>1</v>
      </c>
      <c r="J278" s="31"/>
      <c r="K278" s="31"/>
      <c r="L278" s="31"/>
      <c r="M278" s="31"/>
      <c r="N278" s="4"/>
      <c r="O278" s="4"/>
      <c r="P278" s="4"/>
      <c r="Q278" s="4"/>
      <c r="U278" s="5"/>
      <c r="V278" s="4"/>
      <c r="AG278" t="s">
        <v>319</v>
      </c>
      <c r="AM278" s="1">
        <f t="shared" si="8"/>
        <v>0</v>
      </c>
    </row>
    <row r="279" spans="1:39" x14ac:dyDescent="0.35">
      <c r="A279">
        <v>275</v>
      </c>
      <c r="B279">
        <v>276</v>
      </c>
      <c r="C279">
        <v>146.81397764299999</v>
      </c>
      <c r="D279">
        <v>-19.1665402359999</v>
      </c>
      <c r="F279" s="63"/>
      <c r="G279" s="63"/>
      <c r="H279" t="s">
        <v>78</v>
      </c>
      <c r="I279" s="64">
        <v>1</v>
      </c>
      <c r="J279" s="31"/>
      <c r="K279" s="31"/>
      <c r="L279" s="31"/>
      <c r="M279" s="31"/>
      <c r="N279" s="4"/>
      <c r="O279" s="4"/>
      <c r="P279" s="4"/>
      <c r="Q279" s="4"/>
      <c r="U279" s="5"/>
      <c r="V279" s="4"/>
      <c r="AG279" t="s">
        <v>320</v>
      </c>
      <c r="AM279" s="1">
        <f t="shared" si="8"/>
        <v>0</v>
      </c>
    </row>
    <row r="280" spans="1:39" x14ac:dyDescent="0.35">
      <c r="A280">
        <v>276</v>
      </c>
      <c r="B280">
        <v>277</v>
      </c>
      <c r="C280">
        <v>146.81390552900001</v>
      </c>
      <c r="D280">
        <v>-19.166489644999999</v>
      </c>
      <c r="F280" s="63"/>
      <c r="G280" s="63"/>
      <c r="H280" t="s">
        <v>78</v>
      </c>
      <c r="I280" s="64">
        <v>1</v>
      </c>
      <c r="J280" s="31"/>
      <c r="K280" s="31"/>
      <c r="L280" s="31"/>
      <c r="M280" s="31"/>
      <c r="N280" s="4"/>
      <c r="O280" s="4"/>
      <c r="P280" s="4"/>
      <c r="Q280" s="4"/>
      <c r="U280" s="5"/>
      <c r="V280" s="4"/>
      <c r="AG280" t="s">
        <v>321</v>
      </c>
      <c r="AM280" s="1">
        <f t="shared" si="8"/>
        <v>0</v>
      </c>
    </row>
    <row r="281" spans="1:39" x14ac:dyDescent="0.35">
      <c r="A281">
        <v>277</v>
      </c>
      <c r="B281">
        <v>278</v>
      </c>
      <c r="C281">
        <v>146.81383170500001</v>
      </c>
      <c r="D281">
        <v>-19.166441347999999</v>
      </c>
      <c r="F281" s="63"/>
      <c r="G281" s="63"/>
      <c r="H281" t="s">
        <v>78</v>
      </c>
      <c r="I281" s="64">
        <v>1</v>
      </c>
      <c r="J281" s="31"/>
      <c r="K281" s="31"/>
      <c r="L281" s="31"/>
      <c r="M281" s="31"/>
      <c r="N281" s="4"/>
      <c r="O281" s="4"/>
      <c r="P281" s="4"/>
      <c r="Q281" s="4"/>
      <c r="U281" s="5"/>
      <c r="V281" s="4"/>
      <c r="AG281" t="s">
        <v>322</v>
      </c>
      <c r="AM281" s="1">
        <f t="shared" si="8"/>
        <v>0</v>
      </c>
    </row>
    <row r="282" spans="1:39" x14ac:dyDescent="0.35">
      <c r="A282">
        <v>278</v>
      </c>
      <c r="B282">
        <v>279</v>
      </c>
      <c r="C282">
        <v>146.81375603800001</v>
      </c>
      <c r="D282">
        <v>-19.1663956149999</v>
      </c>
      <c r="F282" s="63"/>
      <c r="G282" s="63"/>
      <c r="H282" t="s">
        <v>78</v>
      </c>
      <c r="I282" s="64">
        <v>1</v>
      </c>
      <c r="J282" s="31"/>
      <c r="K282" s="31"/>
      <c r="L282" s="31"/>
      <c r="M282" s="31"/>
      <c r="N282" s="4"/>
      <c r="O282" s="4"/>
      <c r="P282" s="4"/>
      <c r="Q282" s="4"/>
      <c r="U282" s="5"/>
      <c r="V282" s="4"/>
      <c r="AG282" t="s">
        <v>323</v>
      </c>
      <c r="AM282" s="1">
        <f t="shared" si="8"/>
        <v>0</v>
      </c>
    </row>
    <row r="283" spans="1:39" x14ac:dyDescent="0.35">
      <c r="A283">
        <v>279</v>
      </c>
      <c r="B283">
        <v>280</v>
      </c>
      <c r="C283">
        <v>146.813680371</v>
      </c>
      <c r="D283">
        <v>-19.166349881999999</v>
      </c>
      <c r="E283">
        <v>50</v>
      </c>
      <c r="F283" s="63"/>
      <c r="G283" s="63"/>
      <c r="H283" t="s">
        <v>78</v>
      </c>
      <c r="I283" s="64">
        <v>1</v>
      </c>
      <c r="J283" s="31"/>
      <c r="K283" s="31"/>
      <c r="L283" s="31"/>
      <c r="M283" s="31"/>
      <c r="N283" s="4"/>
      <c r="O283" s="4"/>
      <c r="P283" s="4"/>
      <c r="Q283" s="4"/>
      <c r="U283" s="5"/>
      <c r="V283" s="4"/>
      <c r="AG283" t="s">
        <v>324</v>
      </c>
      <c r="AM283" s="1">
        <f t="shared" si="8"/>
        <v>0</v>
      </c>
    </row>
    <row r="284" spans="1:39" x14ac:dyDescent="0.35">
      <c r="A284">
        <v>280</v>
      </c>
      <c r="B284">
        <v>281</v>
      </c>
      <c r="C284">
        <v>146.813604704</v>
      </c>
      <c r="D284">
        <v>-19.166304147999899</v>
      </c>
      <c r="F284" s="63"/>
      <c r="G284" s="63"/>
      <c r="H284" t="s">
        <v>78</v>
      </c>
      <c r="I284" s="64">
        <v>1</v>
      </c>
      <c r="J284" s="31"/>
      <c r="K284" s="31"/>
      <c r="L284" s="31"/>
      <c r="M284" s="31"/>
      <c r="N284" s="4"/>
      <c r="O284" s="4"/>
      <c r="P284" s="4"/>
      <c r="Q284" s="4"/>
      <c r="U284" s="5"/>
      <c r="V284" s="4"/>
      <c r="AG284" t="s">
        <v>325</v>
      </c>
      <c r="AM284" s="1">
        <f t="shared" si="8"/>
        <v>0</v>
      </c>
    </row>
    <row r="285" spans="1:39" x14ac:dyDescent="0.35">
      <c r="A285">
        <v>281</v>
      </c>
      <c r="B285">
        <v>282</v>
      </c>
      <c r="C285">
        <v>146.813529037</v>
      </c>
      <c r="D285">
        <v>-19.166258415000001</v>
      </c>
      <c r="F285" s="63"/>
      <c r="G285" s="63"/>
      <c r="H285" t="s">
        <v>78</v>
      </c>
      <c r="I285" s="64">
        <v>1</v>
      </c>
      <c r="J285" s="31"/>
      <c r="K285" s="31"/>
      <c r="L285" s="31"/>
      <c r="M285" s="31"/>
      <c r="N285" s="4"/>
      <c r="O285" s="4"/>
      <c r="P285" s="4"/>
      <c r="Q285" s="4"/>
      <c r="U285" s="5"/>
      <c r="V285" s="4"/>
      <c r="AG285" t="s">
        <v>326</v>
      </c>
      <c r="AM285" s="1">
        <f t="shared" si="8"/>
        <v>0</v>
      </c>
    </row>
    <row r="286" spans="1:39" x14ac:dyDescent="0.35">
      <c r="A286">
        <v>282</v>
      </c>
      <c r="B286">
        <v>283</v>
      </c>
      <c r="C286">
        <v>146.81345337100001</v>
      </c>
      <c r="D286">
        <v>-19.166212682000001</v>
      </c>
      <c r="F286" s="63"/>
      <c r="G286" s="63"/>
      <c r="H286" t="s">
        <v>78</v>
      </c>
      <c r="I286" s="64">
        <v>1</v>
      </c>
      <c r="J286" s="31"/>
      <c r="K286" s="31"/>
      <c r="L286" s="31"/>
      <c r="M286" s="31"/>
      <c r="N286" s="4"/>
      <c r="O286" s="4"/>
      <c r="P286" s="4"/>
      <c r="Q286" s="4"/>
      <c r="U286" s="5"/>
      <c r="V286" s="4"/>
      <c r="AG286" t="s">
        <v>327</v>
      </c>
      <c r="AM286" s="1">
        <f t="shared" si="8"/>
        <v>0</v>
      </c>
    </row>
    <row r="287" spans="1:39" x14ac:dyDescent="0.35">
      <c r="A287">
        <v>283</v>
      </c>
      <c r="B287">
        <v>284</v>
      </c>
      <c r="C287">
        <v>146.813377704</v>
      </c>
      <c r="D287">
        <v>-19.166166948000001</v>
      </c>
      <c r="F287" s="63"/>
      <c r="G287" s="63"/>
      <c r="H287" t="s">
        <v>78</v>
      </c>
      <c r="I287" s="64">
        <v>1</v>
      </c>
      <c r="J287" s="31"/>
      <c r="K287" s="31"/>
      <c r="L287" s="31"/>
      <c r="M287" s="31"/>
      <c r="N287" s="4"/>
      <c r="O287" s="4"/>
      <c r="P287" s="4"/>
      <c r="Q287" s="4"/>
      <c r="U287" s="5"/>
      <c r="V287" s="4"/>
      <c r="AG287" t="s">
        <v>328</v>
      </c>
      <c r="AM287" s="1">
        <f t="shared" si="8"/>
        <v>0</v>
      </c>
    </row>
    <row r="288" spans="1:39" x14ac:dyDescent="0.35">
      <c r="A288">
        <v>284</v>
      </c>
      <c r="B288">
        <v>285</v>
      </c>
      <c r="C288">
        <v>146.813302037</v>
      </c>
      <c r="D288">
        <v>-19.166121215</v>
      </c>
      <c r="E288">
        <v>50</v>
      </c>
      <c r="F288" s="63"/>
      <c r="G288" s="63"/>
      <c r="H288" t="s">
        <v>78</v>
      </c>
      <c r="I288" s="64">
        <v>1</v>
      </c>
      <c r="J288" s="31"/>
      <c r="K288" s="31"/>
      <c r="L288" s="31"/>
      <c r="M288" s="31"/>
      <c r="N288" s="4"/>
      <c r="O288" s="4"/>
      <c r="P288" s="4"/>
      <c r="Q288" s="4"/>
      <c r="U288" s="5"/>
      <c r="V288" s="4"/>
      <c r="AG288" t="s">
        <v>329</v>
      </c>
      <c r="AM288" s="1">
        <f t="shared" si="8"/>
        <v>0</v>
      </c>
    </row>
    <row r="289" spans="1:39" x14ac:dyDescent="0.35">
      <c r="A289">
        <v>285</v>
      </c>
      <c r="B289">
        <v>286</v>
      </c>
      <c r="C289">
        <v>146.81322688</v>
      </c>
      <c r="D289">
        <v>-19.166074742999999</v>
      </c>
      <c r="F289" s="63"/>
      <c r="G289" s="63"/>
      <c r="H289" t="s">
        <v>78</v>
      </c>
      <c r="I289" s="64">
        <v>1</v>
      </c>
      <c r="J289" s="31"/>
      <c r="K289" s="31"/>
      <c r="L289" s="31"/>
      <c r="M289" s="31"/>
      <c r="N289" s="4"/>
      <c r="O289" s="4"/>
      <c r="P289" s="4"/>
      <c r="Q289" s="4"/>
      <c r="U289" s="5"/>
      <c r="V289" s="4"/>
      <c r="AG289" t="s">
        <v>330</v>
      </c>
      <c r="AM289" s="1">
        <f t="shared" si="8"/>
        <v>0</v>
      </c>
    </row>
    <row r="290" spans="1:39" x14ac:dyDescent="0.35">
      <c r="A290">
        <v>286</v>
      </c>
      <c r="B290">
        <v>287</v>
      </c>
      <c r="C290">
        <v>146.81315208500001</v>
      </c>
      <c r="D290">
        <v>-19.166027748000001</v>
      </c>
      <c r="F290" s="63"/>
      <c r="G290" s="63"/>
      <c r="H290" t="s">
        <v>78</v>
      </c>
      <c r="I290" s="64">
        <v>1</v>
      </c>
      <c r="J290" s="31"/>
      <c r="K290" s="31"/>
      <c r="L290" s="31"/>
      <c r="M290" s="31"/>
      <c r="N290" s="4"/>
      <c r="O290" s="4"/>
      <c r="P290" s="4"/>
      <c r="Q290" s="4"/>
      <c r="U290" s="5"/>
      <c r="V290" s="4"/>
      <c r="AG290" t="s">
        <v>331</v>
      </c>
      <c r="AM290" s="1">
        <f t="shared" si="8"/>
        <v>0</v>
      </c>
    </row>
    <row r="291" spans="1:39" x14ac:dyDescent="0.35">
      <c r="A291">
        <v>287</v>
      </c>
      <c r="B291">
        <v>288</v>
      </c>
      <c r="C291">
        <v>146.81307729</v>
      </c>
      <c r="D291">
        <v>-19.1659807519999</v>
      </c>
      <c r="F291" s="63"/>
      <c r="G291" s="63"/>
      <c r="H291" t="s">
        <v>78</v>
      </c>
      <c r="I291" s="64">
        <v>1</v>
      </c>
      <c r="J291" s="31"/>
      <c r="K291" s="31"/>
      <c r="L291" s="31"/>
      <c r="M291" s="31"/>
      <c r="N291" s="4"/>
      <c r="O291" s="4"/>
      <c r="P291" s="4"/>
      <c r="Q291" s="4"/>
      <c r="U291" s="5"/>
      <c r="V291" s="4"/>
      <c r="AG291" t="s">
        <v>332</v>
      </c>
      <c r="AM291" s="1">
        <f t="shared" si="8"/>
        <v>0</v>
      </c>
    </row>
    <row r="292" spans="1:39" x14ac:dyDescent="0.35">
      <c r="A292">
        <v>288</v>
      </c>
      <c r="B292">
        <v>289</v>
      </c>
      <c r="C292">
        <v>146.81300249500001</v>
      </c>
      <c r="D292">
        <v>-19.165933756000001</v>
      </c>
      <c r="F292" s="63"/>
      <c r="G292" s="63"/>
      <c r="H292" t="s">
        <v>78</v>
      </c>
      <c r="I292" s="64">
        <v>1</v>
      </c>
      <c r="J292" s="31"/>
      <c r="K292" s="31"/>
      <c r="L292" s="31"/>
      <c r="M292" s="31"/>
      <c r="N292" s="4"/>
      <c r="O292" s="4"/>
      <c r="P292" s="4"/>
      <c r="Q292" s="4"/>
      <c r="U292" s="5"/>
      <c r="V292" s="4"/>
      <c r="AG292" t="s">
        <v>333</v>
      </c>
      <c r="AM292" s="1">
        <f t="shared" si="8"/>
        <v>0</v>
      </c>
    </row>
    <row r="293" spans="1:39" x14ac:dyDescent="0.35">
      <c r="A293">
        <v>289</v>
      </c>
      <c r="B293">
        <v>290</v>
      </c>
      <c r="C293">
        <v>146.81292769999999</v>
      </c>
      <c r="D293">
        <v>-19.165886759999999</v>
      </c>
      <c r="E293">
        <v>50</v>
      </c>
      <c r="F293" s="63"/>
      <c r="G293" s="63"/>
      <c r="H293" t="s">
        <v>78</v>
      </c>
      <c r="I293" s="64">
        <v>1</v>
      </c>
      <c r="J293" s="31"/>
      <c r="K293" s="31"/>
      <c r="L293" s="31"/>
      <c r="M293" s="31"/>
      <c r="N293" s="4"/>
      <c r="O293" s="4"/>
      <c r="P293" s="4"/>
      <c r="Q293" s="4"/>
      <c r="U293" s="5"/>
      <c r="V293" s="4"/>
      <c r="AG293" t="s">
        <v>334</v>
      </c>
      <c r="AM293" s="1">
        <f t="shared" si="8"/>
        <v>0</v>
      </c>
    </row>
    <row r="294" spans="1:39" x14ac:dyDescent="0.35">
      <c r="A294">
        <v>290</v>
      </c>
      <c r="B294">
        <v>291</v>
      </c>
      <c r="C294">
        <v>146.812852905</v>
      </c>
      <c r="D294">
        <v>-19.165839763999902</v>
      </c>
      <c r="F294" s="63"/>
      <c r="G294" s="63"/>
      <c r="H294" t="s">
        <v>78</v>
      </c>
      <c r="I294" s="64">
        <v>1</v>
      </c>
      <c r="J294" s="31"/>
      <c r="K294" s="31"/>
      <c r="L294" s="31"/>
      <c r="M294" s="31"/>
      <c r="N294" s="4"/>
      <c r="O294" s="4"/>
      <c r="P294" s="4"/>
      <c r="Q294" s="4"/>
      <c r="U294" s="5"/>
      <c r="V294" s="4"/>
      <c r="AG294" t="s">
        <v>335</v>
      </c>
      <c r="AM294" s="1">
        <f t="shared" si="8"/>
        <v>0</v>
      </c>
    </row>
    <row r="295" spans="1:39" x14ac:dyDescent="0.35">
      <c r="A295">
        <v>291</v>
      </c>
      <c r="B295">
        <v>292</v>
      </c>
      <c r="C295">
        <v>146.81277811000001</v>
      </c>
      <c r="D295">
        <v>-19.165792767999999</v>
      </c>
      <c r="F295" s="63"/>
      <c r="G295" s="63"/>
      <c r="H295" t="s">
        <v>78</v>
      </c>
      <c r="I295" s="64">
        <v>1</v>
      </c>
      <c r="J295" s="31"/>
      <c r="K295" s="31"/>
      <c r="L295" s="31"/>
      <c r="M295" s="31"/>
      <c r="N295" s="4"/>
      <c r="O295" s="4"/>
      <c r="P295" s="4"/>
      <c r="Q295" s="4"/>
      <c r="U295" s="5"/>
      <c r="V295" s="4"/>
      <c r="AG295" t="s">
        <v>336</v>
      </c>
      <c r="AM295" s="1">
        <f t="shared" si="8"/>
        <v>0</v>
      </c>
    </row>
    <row r="296" spans="1:39" x14ac:dyDescent="0.35">
      <c r="A296">
        <v>292</v>
      </c>
      <c r="B296">
        <v>293</v>
      </c>
      <c r="C296">
        <v>146.81270347099999</v>
      </c>
      <c r="D296">
        <v>-19.165745567999998</v>
      </c>
      <c r="F296" s="63"/>
      <c r="G296" s="63"/>
      <c r="H296" t="s">
        <v>78</v>
      </c>
      <c r="I296" s="64">
        <v>1</v>
      </c>
      <c r="J296" s="31"/>
      <c r="K296" s="31"/>
      <c r="L296" s="31"/>
      <c r="M296" s="31"/>
      <c r="N296" s="4"/>
      <c r="O296" s="4"/>
      <c r="P296" s="4"/>
      <c r="Q296" s="4"/>
      <c r="U296" s="5"/>
      <c r="V296" s="4"/>
      <c r="AG296" t="s">
        <v>337</v>
      </c>
      <c r="AM296" s="1">
        <f t="shared" si="8"/>
        <v>0</v>
      </c>
    </row>
    <row r="297" spans="1:39" x14ac:dyDescent="0.35">
      <c r="A297">
        <v>293</v>
      </c>
      <c r="B297">
        <v>294</v>
      </c>
      <c r="C297">
        <v>146.81263275000001</v>
      </c>
      <c r="D297">
        <v>-19.165693247</v>
      </c>
      <c r="F297" s="63"/>
      <c r="G297" s="63"/>
      <c r="H297" t="s">
        <v>78</v>
      </c>
      <c r="I297" s="64">
        <v>1</v>
      </c>
      <c r="J297" s="31"/>
      <c r="K297" s="31"/>
      <c r="L297" s="31"/>
      <c r="M297" s="31"/>
      <c r="N297" s="4"/>
      <c r="O297" s="4"/>
      <c r="P297" s="4"/>
      <c r="Q297" s="4"/>
      <c r="U297" s="5"/>
      <c r="V297" s="4"/>
      <c r="AG297" t="s">
        <v>338</v>
      </c>
      <c r="AM297" s="1">
        <f t="shared" si="8"/>
        <v>0</v>
      </c>
    </row>
    <row r="298" spans="1:39" x14ac:dyDescent="0.35">
      <c r="A298">
        <v>294</v>
      </c>
      <c r="B298">
        <v>295</v>
      </c>
      <c r="C298">
        <v>146.81256202899999</v>
      </c>
      <c r="D298">
        <v>-19.165640924999899</v>
      </c>
      <c r="E298">
        <v>50</v>
      </c>
      <c r="F298" s="63"/>
      <c r="G298" s="63"/>
      <c r="H298" t="s">
        <v>78</v>
      </c>
      <c r="I298" s="64">
        <v>1</v>
      </c>
      <c r="J298" s="31"/>
      <c r="K298" s="31"/>
      <c r="L298" s="31"/>
      <c r="M298" s="31"/>
      <c r="N298" s="4"/>
      <c r="O298" s="4"/>
      <c r="P298" s="4"/>
      <c r="Q298" s="4"/>
      <c r="U298" s="5"/>
      <c r="V298" s="4"/>
      <c r="AG298" t="s">
        <v>339</v>
      </c>
      <c r="AM298" s="1">
        <f t="shared" si="8"/>
        <v>0</v>
      </c>
    </row>
    <row r="299" spans="1:39" x14ac:dyDescent="0.35">
      <c r="A299">
        <v>295</v>
      </c>
      <c r="B299">
        <v>296</v>
      </c>
      <c r="C299">
        <v>146.81249130800001</v>
      </c>
      <c r="D299">
        <v>-19.1655886029999</v>
      </c>
      <c r="F299" s="63"/>
      <c r="G299" s="63"/>
      <c r="H299" t="s">
        <v>78</v>
      </c>
      <c r="I299" s="64">
        <v>1</v>
      </c>
      <c r="J299" s="31"/>
      <c r="K299" s="31"/>
      <c r="L299" s="31"/>
      <c r="M299" s="31"/>
      <c r="N299" s="4"/>
      <c r="O299" s="4"/>
      <c r="P299" s="4"/>
      <c r="Q299" s="4"/>
      <c r="U299" s="5"/>
      <c r="V299" s="4"/>
      <c r="AG299" t="s">
        <v>340</v>
      </c>
      <c r="AM299" s="1">
        <f t="shared" si="8"/>
        <v>0</v>
      </c>
    </row>
    <row r="300" spans="1:39" x14ac:dyDescent="0.35">
      <c r="A300">
        <v>296</v>
      </c>
      <c r="B300">
        <v>297</v>
      </c>
      <c r="C300">
        <v>146.81242058699999</v>
      </c>
      <c r="D300">
        <v>-19.165536281999898</v>
      </c>
      <c r="F300" s="63"/>
      <c r="G300" s="63"/>
      <c r="H300" t="s">
        <v>78</v>
      </c>
      <c r="I300" s="64">
        <v>1</v>
      </c>
      <c r="J300" s="31"/>
      <c r="K300" s="31"/>
      <c r="L300" s="31"/>
      <c r="M300" s="31"/>
      <c r="N300" s="4"/>
      <c r="O300" s="4"/>
      <c r="P300" s="4"/>
      <c r="Q300" s="4"/>
      <c r="U300" s="5"/>
      <c r="V300" s="4"/>
      <c r="AG300" t="s">
        <v>341</v>
      </c>
      <c r="AM300" s="1">
        <f t="shared" si="8"/>
        <v>0</v>
      </c>
    </row>
    <row r="301" spans="1:39" x14ac:dyDescent="0.35">
      <c r="A301">
        <v>297</v>
      </c>
      <c r="B301">
        <v>298</v>
      </c>
      <c r="C301">
        <v>146.81234986699999</v>
      </c>
      <c r="D301">
        <v>-19.16548396</v>
      </c>
      <c r="F301" s="63"/>
      <c r="G301" s="63"/>
      <c r="H301" t="s">
        <v>78</v>
      </c>
      <c r="I301" s="64">
        <v>1</v>
      </c>
      <c r="J301" s="31"/>
      <c r="K301" s="31"/>
      <c r="L301" s="31"/>
      <c r="M301" s="31"/>
      <c r="N301" s="4"/>
      <c r="O301" s="4"/>
      <c r="P301" s="4"/>
      <c r="Q301" s="4"/>
      <c r="U301" s="5"/>
      <c r="V301" s="4"/>
      <c r="AG301" t="s">
        <v>342</v>
      </c>
      <c r="AM301" s="1">
        <f t="shared" si="8"/>
        <v>0</v>
      </c>
    </row>
    <row r="302" spans="1:39" x14ac:dyDescent="0.35">
      <c r="A302">
        <v>298</v>
      </c>
      <c r="B302">
        <v>299</v>
      </c>
      <c r="C302">
        <v>146.81227914600001</v>
      </c>
      <c r="D302">
        <v>-19.165431638000001</v>
      </c>
      <c r="F302" s="63"/>
      <c r="G302" s="63"/>
      <c r="H302" t="s">
        <v>78</v>
      </c>
      <c r="I302" s="64">
        <v>1</v>
      </c>
      <c r="J302" s="31"/>
      <c r="K302" s="31"/>
      <c r="L302" s="31"/>
      <c r="M302" s="31"/>
      <c r="N302" s="4"/>
      <c r="O302" s="4"/>
      <c r="P302" s="4"/>
      <c r="Q302" s="4"/>
      <c r="U302" s="5"/>
      <c r="V302" s="4"/>
      <c r="AG302" t="s">
        <v>343</v>
      </c>
      <c r="AM302" s="1">
        <f t="shared" si="8"/>
        <v>0</v>
      </c>
    </row>
    <row r="303" spans="1:39" x14ac:dyDescent="0.35">
      <c r="A303">
        <v>299</v>
      </c>
      <c r="B303">
        <v>300</v>
      </c>
      <c r="C303">
        <v>146.81220842499999</v>
      </c>
      <c r="D303">
        <v>-19.1653793159999</v>
      </c>
      <c r="E303">
        <v>50</v>
      </c>
      <c r="F303" s="63"/>
      <c r="G303" s="63"/>
      <c r="H303" t="s">
        <v>78</v>
      </c>
      <c r="I303" s="64">
        <v>1</v>
      </c>
      <c r="J303" s="31"/>
      <c r="K303" s="31"/>
      <c r="L303" s="31"/>
      <c r="M303" s="31"/>
      <c r="N303" s="4"/>
      <c r="O303" s="4"/>
      <c r="P303" s="4"/>
      <c r="Q303" s="4"/>
      <c r="U303" s="5"/>
      <c r="V303" s="4"/>
      <c r="AG303" t="s">
        <v>344</v>
      </c>
      <c r="AM303" s="1">
        <f t="shared" si="8"/>
        <v>0</v>
      </c>
    </row>
    <row r="304" spans="1:39" x14ac:dyDescent="0.35">
      <c r="A304">
        <v>300</v>
      </c>
      <c r="B304">
        <v>301</v>
      </c>
      <c r="C304">
        <v>146.81213746700001</v>
      </c>
      <c r="D304">
        <v>-19.165327306999899</v>
      </c>
      <c r="F304" s="63"/>
      <c r="G304" s="63"/>
      <c r="H304" t="s">
        <v>78</v>
      </c>
      <c r="I304" s="64">
        <v>1</v>
      </c>
      <c r="J304" s="31"/>
      <c r="K304" s="31"/>
      <c r="L304" s="31"/>
      <c r="M304" s="31"/>
      <c r="N304" s="4"/>
      <c r="O304" s="4"/>
      <c r="P304" s="4"/>
      <c r="Q304" s="4"/>
      <c r="U304" s="5"/>
      <c r="V304" s="4"/>
      <c r="AG304" t="s">
        <v>345</v>
      </c>
      <c r="AM304" s="1">
        <f t="shared" ref="AM304:AM335" si="9">HYPERLINK("E:\CAFNEC_GBRF\2023\JohnstoneRiver\Frames_for_Analysis\" &amp; F305, F305)</f>
        <v>0</v>
      </c>
    </row>
    <row r="305" spans="1:39" x14ac:dyDescent="0.35">
      <c r="A305">
        <v>301</v>
      </c>
      <c r="B305">
        <v>302</v>
      </c>
      <c r="C305">
        <v>146.812062242</v>
      </c>
      <c r="D305">
        <v>-19.165280927000001</v>
      </c>
      <c r="F305" s="63"/>
      <c r="G305" s="63"/>
      <c r="H305" t="s">
        <v>78</v>
      </c>
      <c r="I305" s="64">
        <v>1</v>
      </c>
      <c r="J305" s="31"/>
      <c r="K305" s="31"/>
      <c r="L305" s="31"/>
      <c r="M305" s="31"/>
      <c r="N305" s="4"/>
      <c r="O305" s="4"/>
      <c r="P305" s="4"/>
      <c r="Q305" s="4"/>
      <c r="U305" s="5"/>
      <c r="V305" s="4"/>
      <c r="AG305" t="s">
        <v>346</v>
      </c>
      <c r="AM305" s="1">
        <f t="shared" si="9"/>
        <v>0</v>
      </c>
    </row>
    <row r="306" spans="1:39" x14ac:dyDescent="0.35">
      <c r="A306">
        <v>302</v>
      </c>
      <c r="B306">
        <v>303</v>
      </c>
      <c r="C306">
        <v>146.811987018</v>
      </c>
      <c r="D306">
        <v>-19.165234547000001</v>
      </c>
      <c r="F306" s="63"/>
      <c r="G306" s="63"/>
      <c r="H306" t="s">
        <v>78</v>
      </c>
      <c r="I306" s="64">
        <v>1</v>
      </c>
      <c r="J306" s="31"/>
      <c r="K306" s="31"/>
      <c r="L306" s="31"/>
      <c r="M306" s="31"/>
      <c r="N306" s="4"/>
      <c r="O306" s="4"/>
      <c r="P306" s="4"/>
      <c r="Q306" s="4"/>
      <c r="U306" s="5"/>
      <c r="V306" s="4"/>
      <c r="AG306" t="s">
        <v>347</v>
      </c>
      <c r="AM306" s="1">
        <f t="shared" si="9"/>
        <v>0</v>
      </c>
    </row>
    <row r="307" spans="1:39" x14ac:dyDescent="0.35">
      <c r="A307">
        <v>303</v>
      </c>
      <c r="B307">
        <v>304</v>
      </c>
      <c r="C307">
        <v>146.81191179300001</v>
      </c>
      <c r="D307">
        <v>-19.165188166</v>
      </c>
      <c r="F307" s="63"/>
      <c r="G307" s="63"/>
      <c r="H307" t="s">
        <v>78</v>
      </c>
      <c r="I307" s="64">
        <v>1</v>
      </c>
      <c r="J307" s="31"/>
      <c r="K307" s="31"/>
      <c r="L307" s="31"/>
      <c r="M307" s="31"/>
      <c r="N307" s="4"/>
      <c r="O307" s="4"/>
      <c r="P307" s="4"/>
      <c r="Q307" s="4"/>
      <c r="U307" s="5"/>
      <c r="V307" s="4"/>
      <c r="AG307" t="s">
        <v>348</v>
      </c>
      <c r="AM307" s="1">
        <f t="shared" si="9"/>
        <v>0</v>
      </c>
    </row>
    <row r="308" spans="1:39" x14ac:dyDescent="0.35">
      <c r="A308">
        <v>304</v>
      </c>
      <c r="B308">
        <v>305</v>
      </c>
      <c r="C308">
        <v>146.81183656900001</v>
      </c>
      <c r="D308">
        <v>-19.1651417859999</v>
      </c>
      <c r="E308">
        <v>50</v>
      </c>
      <c r="F308" s="63"/>
      <c r="G308" s="63"/>
      <c r="H308" t="s">
        <v>78</v>
      </c>
      <c r="I308" s="64">
        <v>1</v>
      </c>
      <c r="J308" s="31"/>
      <c r="K308" s="31"/>
      <c r="L308" s="31"/>
      <c r="M308" s="31"/>
      <c r="N308" s="4"/>
      <c r="O308" s="4"/>
      <c r="P308" s="4"/>
      <c r="Q308" s="4"/>
      <c r="U308" s="5"/>
      <c r="V308" s="4"/>
      <c r="AG308" t="s">
        <v>349</v>
      </c>
      <c r="AM308" s="1">
        <f t="shared" si="9"/>
        <v>0</v>
      </c>
    </row>
    <row r="309" spans="1:39" x14ac:dyDescent="0.35">
      <c r="A309">
        <v>305</v>
      </c>
      <c r="B309">
        <v>306</v>
      </c>
      <c r="C309">
        <v>146.81176134399999</v>
      </c>
      <c r="D309">
        <v>-19.165095405999999</v>
      </c>
      <c r="F309" s="63"/>
      <c r="G309" s="63"/>
      <c r="H309" t="s">
        <v>78</v>
      </c>
      <c r="I309" s="64">
        <v>1</v>
      </c>
      <c r="J309" s="31"/>
      <c r="K309" s="31"/>
      <c r="L309" s="31"/>
      <c r="M309" s="31"/>
      <c r="N309" s="4"/>
      <c r="O309" s="4"/>
      <c r="P309" s="4"/>
      <c r="Q309" s="4"/>
      <c r="U309" s="5"/>
      <c r="V309" s="4"/>
      <c r="AG309" t="s">
        <v>350</v>
      </c>
      <c r="AM309" s="1">
        <f t="shared" si="9"/>
        <v>0</v>
      </c>
    </row>
    <row r="310" spans="1:39" x14ac:dyDescent="0.35">
      <c r="A310">
        <v>306</v>
      </c>
      <c r="B310">
        <v>307</v>
      </c>
      <c r="C310">
        <v>146.81168611999999</v>
      </c>
      <c r="D310">
        <v>-19.165049024999998</v>
      </c>
      <c r="F310" s="63"/>
      <c r="G310" s="63"/>
      <c r="H310" t="s">
        <v>78</v>
      </c>
      <c r="I310" s="64">
        <v>1</v>
      </c>
      <c r="J310" s="31"/>
      <c r="K310" s="31"/>
      <c r="L310" s="31"/>
      <c r="M310" s="31"/>
      <c r="N310" s="4"/>
      <c r="O310" s="4"/>
      <c r="P310" s="4"/>
      <c r="Q310" s="4"/>
      <c r="U310" s="5"/>
      <c r="V310" s="4"/>
      <c r="AG310" t="s">
        <v>351</v>
      </c>
      <c r="AM310" s="1">
        <f t="shared" si="9"/>
        <v>0</v>
      </c>
    </row>
    <row r="311" spans="1:39" x14ac:dyDescent="0.35">
      <c r="A311">
        <v>307</v>
      </c>
      <c r="B311">
        <v>308</v>
      </c>
      <c r="C311">
        <v>146.811610895</v>
      </c>
      <c r="D311">
        <v>-19.165002645000001</v>
      </c>
      <c r="F311" s="63"/>
      <c r="G311" s="63"/>
      <c r="H311" t="s">
        <v>26</v>
      </c>
      <c r="I311" s="64"/>
      <c r="J311" s="31"/>
      <c r="K311" s="31"/>
      <c r="L311" s="31"/>
      <c r="M311" s="31"/>
      <c r="N311" s="4"/>
      <c r="O311" s="4"/>
      <c r="P311" s="4"/>
      <c r="Q311" s="4"/>
      <c r="U311" s="5"/>
      <c r="V311" s="4"/>
      <c r="AG311" t="s">
        <v>352</v>
      </c>
      <c r="AM311" s="1">
        <f t="shared" si="9"/>
        <v>0</v>
      </c>
    </row>
    <row r="312" spans="1:39" x14ac:dyDescent="0.35">
      <c r="A312">
        <v>308</v>
      </c>
      <c r="B312">
        <v>309</v>
      </c>
      <c r="C312">
        <v>146.81153616899999</v>
      </c>
      <c r="D312">
        <v>-19.164955644999999</v>
      </c>
      <c r="F312" s="63"/>
      <c r="G312" s="63"/>
      <c r="H312" t="s">
        <v>78</v>
      </c>
      <c r="I312" s="64">
        <v>1</v>
      </c>
      <c r="J312" s="31"/>
      <c r="K312" s="31"/>
      <c r="L312" s="31"/>
      <c r="M312" s="31"/>
      <c r="N312" s="4"/>
      <c r="O312" s="4"/>
      <c r="P312" s="4"/>
      <c r="Q312" s="4"/>
      <c r="U312" s="5"/>
      <c r="V312" s="4"/>
      <c r="AG312" t="s">
        <v>353</v>
      </c>
      <c r="AM312" s="1">
        <f t="shared" si="9"/>
        <v>0</v>
      </c>
    </row>
    <row r="313" spans="1:39" x14ac:dyDescent="0.35">
      <c r="A313">
        <v>309</v>
      </c>
      <c r="B313">
        <v>310</v>
      </c>
      <c r="C313">
        <v>146.81145880400001</v>
      </c>
      <c r="D313">
        <v>-19.164912521000002</v>
      </c>
      <c r="E313">
        <v>50</v>
      </c>
      <c r="F313" s="63"/>
      <c r="G313" s="63"/>
      <c r="H313" t="s">
        <v>26</v>
      </c>
      <c r="I313" s="64"/>
      <c r="J313" s="31"/>
      <c r="K313" s="31"/>
      <c r="L313" s="31"/>
      <c r="M313" s="31"/>
      <c r="N313" s="4"/>
      <c r="O313" s="4"/>
      <c r="P313" s="4"/>
      <c r="Q313" s="4"/>
      <c r="U313" s="5"/>
      <c r="V313" s="4"/>
      <c r="AG313" t="s">
        <v>354</v>
      </c>
      <c r="AM313" s="1">
        <f t="shared" si="9"/>
        <v>0</v>
      </c>
    </row>
    <row r="314" spans="1:39" x14ac:dyDescent="0.35">
      <c r="A314">
        <v>310</v>
      </c>
      <c r="B314">
        <v>311</v>
      </c>
      <c r="C314">
        <v>146.811381439</v>
      </c>
      <c r="D314">
        <v>-19.164869397</v>
      </c>
      <c r="F314" s="63"/>
      <c r="G314" s="63"/>
      <c r="H314" t="s">
        <v>26</v>
      </c>
      <c r="I314" s="64"/>
      <c r="J314" s="31"/>
      <c r="K314" s="31"/>
      <c r="L314" s="31"/>
      <c r="M314" s="31"/>
      <c r="N314" s="4"/>
      <c r="O314" s="4"/>
      <c r="P314" s="4"/>
      <c r="Q314" s="4"/>
      <c r="U314" s="5"/>
      <c r="V314" s="4"/>
      <c r="AG314" t="s">
        <v>355</v>
      </c>
      <c r="AM314" s="1">
        <f t="shared" si="9"/>
        <v>0</v>
      </c>
    </row>
    <row r="315" spans="1:39" x14ac:dyDescent="0.35">
      <c r="A315">
        <v>311</v>
      </c>
      <c r="B315">
        <v>312</v>
      </c>
      <c r="C315">
        <v>146.81130325500001</v>
      </c>
      <c r="D315">
        <v>-19.164827615</v>
      </c>
      <c r="F315" s="63"/>
      <c r="G315" s="63"/>
      <c r="H315" t="s">
        <v>26</v>
      </c>
      <c r="I315" s="64"/>
      <c r="J315" s="31"/>
      <c r="K315" s="31"/>
      <c r="L315" s="31"/>
      <c r="M315" s="31"/>
      <c r="N315" s="4"/>
      <c r="O315" s="4"/>
      <c r="P315" s="4"/>
      <c r="Q315" s="4"/>
      <c r="U315" s="5"/>
      <c r="V315" s="4"/>
      <c r="AG315" t="s">
        <v>356</v>
      </c>
      <c r="AM315" s="1">
        <f t="shared" si="9"/>
        <v>0</v>
      </c>
    </row>
    <row r="316" spans="1:39" x14ac:dyDescent="0.35">
      <c r="A316">
        <v>312</v>
      </c>
      <c r="B316">
        <v>313</v>
      </c>
      <c r="C316">
        <v>146.81122494900001</v>
      </c>
      <c r="D316">
        <v>-19.164786032999899</v>
      </c>
      <c r="F316" s="63"/>
      <c r="G316" s="63"/>
      <c r="H316" t="s">
        <v>78</v>
      </c>
      <c r="I316" s="64">
        <v>1</v>
      </c>
      <c r="J316" s="31"/>
      <c r="K316" s="31"/>
      <c r="L316" s="31"/>
      <c r="M316" s="31"/>
      <c r="N316" s="4"/>
      <c r="O316" s="4"/>
      <c r="P316" s="4"/>
      <c r="Q316" s="4"/>
      <c r="U316" s="5"/>
      <c r="V316" s="4"/>
      <c r="AG316" t="s">
        <v>357</v>
      </c>
      <c r="AM316" s="1">
        <f t="shared" si="9"/>
        <v>0</v>
      </c>
    </row>
    <row r="317" spans="1:39" x14ac:dyDescent="0.35">
      <c r="A317">
        <v>313</v>
      </c>
      <c r="B317">
        <v>314</v>
      </c>
      <c r="C317">
        <v>146.81114664399999</v>
      </c>
      <c r="D317">
        <v>-19.164744450999901</v>
      </c>
      <c r="F317" s="63"/>
      <c r="G317" s="63"/>
      <c r="H317" t="s">
        <v>78</v>
      </c>
      <c r="I317" s="64">
        <v>1</v>
      </c>
      <c r="J317" s="31"/>
      <c r="K317" s="31"/>
      <c r="L317" s="31"/>
      <c r="M317" s="31"/>
      <c r="N317" s="4"/>
      <c r="O317" s="4"/>
      <c r="P317" s="4"/>
      <c r="Q317" s="4"/>
      <c r="U317" s="5"/>
      <c r="V317" s="4"/>
      <c r="AG317" t="s">
        <v>358</v>
      </c>
      <c r="AM317" s="1">
        <f t="shared" si="9"/>
        <v>0</v>
      </c>
    </row>
    <row r="318" spans="1:39" x14ac:dyDescent="0.35">
      <c r="A318">
        <v>314</v>
      </c>
      <c r="B318">
        <v>315</v>
      </c>
      <c r="C318">
        <v>146.81106529799999</v>
      </c>
      <c r="D318">
        <v>-19.164710243999899</v>
      </c>
      <c r="E318">
        <v>50</v>
      </c>
      <c r="F318" s="63"/>
      <c r="G318" s="63"/>
      <c r="H318" t="s">
        <v>78</v>
      </c>
      <c r="I318" s="64">
        <v>1</v>
      </c>
      <c r="J318" s="31"/>
      <c r="K318" s="31"/>
      <c r="L318" s="31"/>
      <c r="M318" s="31"/>
      <c r="N318" s="4"/>
      <c r="O318" s="4"/>
      <c r="P318" s="4"/>
      <c r="Q318" s="4"/>
      <c r="U318" s="5"/>
      <c r="V318" s="4"/>
      <c r="AG318" t="s">
        <v>359</v>
      </c>
      <c r="AM318" s="1">
        <f t="shared" si="9"/>
        <v>0</v>
      </c>
    </row>
    <row r="319" spans="1:39" x14ac:dyDescent="0.35">
      <c r="A319">
        <v>315</v>
      </c>
      <c r="B319">
        <v>316</v>
      </c>
      <c r="C319">
        <v>146.81098238000001</v>
      </c>
      <c r="D319">
        <v>-19.164677599000001</v>
      </c>
      <c r="F319" s="63"/>
      <c r="G319" s="63"/>
      <c r="H319" t="s">
        <v>78</v>
      </c>
      <c r="I319" s="64">
        <v>1</v>
      </c>
      <c r="J319" s="31"/>
      <c r="K319" s="31"/>
      <c r="L319" s="31"/>
      <c r="M319" s="31"/>
      <c r="N319" s="4"/>
      <c r="O319" s="4"/>
      <c r="P319" s="4"/>
      <c r="Q319" s="4"/>
      <c r="U319" s="5"/>
      <c r="V319" s="4"/>
      <c r="AG319" t="s">
        <v>360</v>
      </c>
      <c r="AM319" s="1">
        <f t="shared" si="9"/>
        <v>0</v>
      </c>
    </row>
    <row r="320" spans="1:39" x14ac:dyDescent="0.35">
      <c r="A320">
        <v>316</v>
      </c>
      <c r="B320">
        <v>317</v>
      </c>
      <c r="C320">
        <v>146.810899463</v>
      </c>
      <c r="D320">
        <v>-19.164644954</v>
      </c>
      <c r="F320" s="63"/>
      <c r="G320" s="63"/>
      <c r="H320" t="s">
        <v>78</v>
      </c>
      <c r="I320" s="64">
        <v>1</v>
      </c>
      <c r="J320" s="31"/>
      <c r="K320" s="31"/>
      <c r="L320" s="31"/>
      <c r="M320" s="31"/>
      <c r="N320" s="4"/>
      <c r="O320" s="4"/>
      <c r="P320" s="4"/>
      <c r="Q320" s="4"/>
      <c r="U320" s="5"/>
      <c r="V320" s="4"/>
      <c r="AG320" t="s">
        <v>361</v>
      </c>
      <c r="AM320" s="1">
        <f t="shared" si="9"/>
        <v>0</v>
      </c>
    </row>
    <row r="321" spans="1:39" x14ac:dyDescent="0.35">
      <c r="A321">
        <v>317</v>
      </c>
      <c r="B321">
        <v>318</v>
      </c>
      <c r="C321">
        <v>146.81081654600001</v>
      </c>
      <c r="D321">
        <v>-19.164612308999899</v>
      </c>
      <c r="F321" s="63"/>
      <c r="G321" s="63"/>
      <c r="H321" t="s">
        <v>26</v>
      </c>
      <c r="I321" s="64"/>
      <c r="J321" s="31"/>
      <c r="K321" s="31"/>
      <c r="L321" s="31"/>
      <c r="M321" s="31"/>
      <c r="N321" s="4"/>
      <c r="O321" s="4"/>
      <c r="P321" s="4"/>
      <c r="Q321" s="4"/>
      <c r="U321" s="5"/>
      <c r="V321" s="4"/>
      <c r="AG321" t="s">
        <v>362</v>
      </c>
      <c r="AM321" s="1">
        <f t="shared" si="9"/>
        <v>0</v>
      </c>
    </row>
    <row r="322" spans="1:39" x14ac:dyDescent="0.35">
      <c r="A322">
        <v>318</v>
      </c>
      <c r="B322">
        <v>319</v>
      </c>
      <c r="C322">
        <v>146.810736502</v>
      </c>
      <c r="D322">
        <v>-19.164574532</v>
      </c>
      <c r="F322" s="63"/>
      <c r="G322" s="63"/>
      <c r="H322" t="s">
        <v>26</v>
      </c>
      <c r="I322" s="64"/>
      <c r="J322" s="31"/>
      <c r="K322" s="31"/>
      <c r="L322" s="31"/>
      <c r="M322" s="31"/>
      <c r="N322" s="4"/>
      <c r="O322" s="4"/>
      <c r="P322" s="4"/>
      <c r="Q322" s="4"/>
      <c r="U322" s="5"/>
      <c r="V322" s="4"/>
      <c r="AG322" t="s">
        <v>363</v>
      </c>
      <c r="AM322" s="1">
        <f t="shared" si="9"/>
        <v>0</v>
      </c>
    </row>
    <row r="323" spans="1:39" x14ac:dyDescent="0.35">
      <c r="A323">
        <v>319</v>
      </c>
      <c r="B323">
        <v>320</v>
      </c>
      <c r="C323">
        <v>146.81066126900001</v>
      </c>
      <c r="D323">
        <v>-19.1645281629999</v>
      </c>
      <c r="E323">
        <v>50</v>
      </c>
      <c r="F323" s="63"/>
      <c r="G323" s="63"/>
      <c r="H323" t="s">
        <v>78</v>
      </c>
      <c r="I323" s="64">
        <v>1</v>
      </c>
      <c r="J323" s="31"/>
      <c r="K323" s="31"/>
      <c r="L323" s="31"/>
      <c r="M323" s="31"/>
      <c r="N323" s="4"/>
      <c r="O323" s="4"/>
      <c r="P323" s="4"/>
      <c r="Q323" s="4"/>
      <c r="U323" s="5"/>
      <c r="V323" s="4"/>
      <c r="AG323" t="s">
        <v>364</v>
      </c>
      <c r="AM323" s="1">
        <f t="shared" si="9"/>
        <v>0</v>
      </c>
    </row>
    <row r="324" spans="1:39" x14ac:dyDescent="0.35">
      <c r="A324">
        <v>320</v>
      </c>
      <c r="B324">
        <v>321</v>
      </c>
      <c r="C324">
        <v>146.81058603700001</v>
      </c>
      <c r="D324">
        <v>-19.164481795</v>
      </c>
      <c r="F324" s="63"/>
      <c r="G324" s="63"/>
      <c r="H324" t="s">
        <v>78</v>
      </c>
      <c r="I324" s="64">
        <v>1</v>
      </c>
      <c r="J324" s="31"/>
      <c r="K324" s="31"/>
      <c r="L324" s="31"/>
      <c r="M324" s="31"/>
      <c r="N324" s="4"/>
      <c r="O324" s="4"/>
      <c r="P324" s="4"/>
      <c r="Q324" s="4"/>
      <c r="U324" s="5"/>
      <c r="V324" s="4"/>
      <c r="AG324" t="s">
        <v>365</v>
      </c>
      <c r="AM324" s="1">
        <f t="shared" si="9"/>
        <v>0</v>
      </c>
    </row>
    <row r="325" spans="1:39" x14ac:dyDescent="0.35">
      <c r="A325">
        <v>321</v>
      </c>
      <c r="B325">
        <v>322</v>
      </c>
      <c r="C325">
        <v>146.81051080399999</v>
      </c>
      <c r="D325">
        <v>-19.164435426000001</v>
      </c>
      <c r="F325" s="63"/>
      <c r="G325" s="63"/>
      <c r="H325" t="s">
        <v>78</v>
      </c>
      <c r="I325" s="64">
        <v>1</v>
      </c>
      <c r="J325" s="31"/>
      <c r="K325" s="31"/>
      <c r="L325" s="31"/>
      <c r="M325" s="31"/>
      <c r="N325" s="4"/>
      <c r="O325" s="4"/>
      <c r="P325" s="4"/>
      <c r="Q325" s="4"/>
      <c r="U325" s="5"/>
      <c r="V325" s="4"/>
      <c r="AG325" t="s">
        <v>366</v>
      </c>
      <c r="AM325" s="1">
        <f t="shared" si="9"/>
        <v>0</v>
      </c>
    </row>
    <row r="326" spans="1:39" x14ac:dyDescent="0.35">
      <c r="A326">
        <v>322</v>
      </c>
      <c r="B326">
        <v>323</v>
      </c>
      <c r="C326">
        <v>146.810435571</v>
      </c>
      <c r="D326">
        <v>-19.164389056999902</v>
      </c>
      <c r="F326" s="63"/>
      <c r="G326" s="63"/>
      <c r="H326" t="s">
        <v>78</v>
      </c>
      <c r="I326" s="64">
        <v>1</v>
      </c>
      <c r="J326" s="31"/>
      <c r="K326" s="31"/>
      <c r="L326" s="31"/>
      <c r="M326" s="31"/>
      <c r="N326" s="4"/>
      <c r="O326" s="4"/>
      <c r="P326" s="4"/>
      <c r="Q326" s="4"/>
      <c r="U326" s="5"/>
      <c r="V326" s="4"/>
      <c r="AG326" t="s">
        <v>367</v>
      </c>
      <c r="AM326" s="1">
        <f t="shared" si="9"/>
        <v>0</v>
      </c>
    </row>
    <row r="327" spans="1:39" x14ac:dyDescent="0.35">
      <c r="A327">
        <v>323</v>
      </c>
      <c r="B327">
        <v>324</v>
      </c>
      <c r="C327">
        <v>146.810360339</v>
      </c>
      <c r="D327">
        <v>-19.164342689000001</v>
      </c>
      <c r="F327" s="63"/>
      <c r="G327" s="63"/>
      <c r="H327" t="s">
        <v>78</v>
      </c>
      <c r="I327" s="64">
        <v>1</v>
      </c>
      <c r="J327" s="31"/>
      <c r="K327" s="31"/>
      <c r="L327" s="31"/>
      <c r="M327" s="31"/>
      <c r="N327" s="4"/>
      <c r="O327" s="4"/>
      <c r="P327" s="4"/>
      <c r="Q327" s="4"/>
      <c r="U327" s="5"/>
      <c r="V327" s="4"/>
      <c r="AG327" t="s">
        <v>368</v>
      </c>
      <c r="AM327" s="1">
        <f t="shared" si="9"/>
        <v>0</v>
      </c>
    </row>
    <row r="328" spans="1:39" x14ac:dyDescent="0.35">
      <c r="A328">
        <v>324</v>
      </c>
      <c r="B328">
        <v>325</v>
      </c>
      <c r="C328">
        <v>146.810282817</v>
      </c>
      <c r="D328">
        <v>-19.164300566000001</v>
      </c>
      <c r="E328">
        <v>50</v>
      </c>
      <c r="F328" s="63"/>
      <c r="G328" s="63"/>
      <c r="H328" t="s">
        <v>78</v>
      </c>
      <c r="I328" s="64">
        <v>1</v>
      </c>
      <c r="J328" s="31"/>
      <c r="K328" s="31"/>
      <c r="L328" s="31"/>
      <c r="M328" s="31"/>
      <c r="N328" s="4"/>
      <c r="O328" s="4"/>
      <c r="P328" s="4"/>
      <c r="Q328" s="4"/>
      <c r="U328" s="5"/>
      <c r="V328" s="4"/>
      <c r="AG328" t="s">
        <v>369</v>
      </c>
      <c r="AM328" s="1">
        <f t="shared" si="9"/>
        <v>0</v>
      </c>
    </row>
    <row r="329" spans="1:39" x14ac:dyDescent="0.35">
      <c r="A329">
        <v>325</v>
      </c>
      <c r="B329">
        <v>326</v>
      </c>
      <c r="C329">
        <v>146.81019886799999</v>
      </c>
      <c r="D329">
        <v>-19.164270363999901</v>
      </c>
      <c r="F329" s="63"/>
      <c r="G329" s="63"/>
      <c r="H329" t="s">
        <v>78</v>
      </c>
      <c r="I329" s="64">
        <v>1</v>
      </c>
      <c r="J329" s="31"/>
      <c r="K329" s="31"/>
      <c r="L329" s="31"/>
      <c r="M329" s="31"/>
      <c r="N329" s="4"/>
      <c r="O329" s="4"/>
      <c r="P329" s="4"/>
      <c r="Q329" s="4"/>
      <c r="U329" s="5"/>
      <c r="V329" s="4"/>
      <c r="AG329" t="s">
        <v>370</v>
      </c>
      <c r="AM329" s="1">
        <f t="shared" si="9"/>
        <v>0</v>
      </c>
    </row>
    <row r="330" spans="1:39" x14ac:dyDescent="0.35">
      <c r="A330">
        <v>326</v>
      </c>
      <c r="B330">
        <v>327</v>
      </c>
      <c r="C330">
        <v>146.81011491999999</v>
      </c>
      <c r="D330">
        <v>-19.164240161999899</v>
      </c>
      <c r="F330" s="63"/>
      <c r="G330" s="63"/>
      <c r="H330" t="s">
        <v>78</v>
      </c>
      <c r="I330" s="64">
        <v>1</v>
      </c>
      <c r="J330" s="31"/>
      <c r="K330" s="31"/>
      <c r="L330" s="31"/>
      <c r="M330" s="31"/>
      <c r="N330" s="4"/>
      <c r="O330" s="4"/>
      <c r="P330" s="4"/>
      <c r="Q330" s="4"/>
      <c r="U330" s="5"/>
      <c r="V330" s="4"/>
      <c r="AG330" t="s">
        <v>371</v>
      </c>
      <c r="AM330" s="1">
        <f t="shared" si="9"/>
        <v>0</v>
      </c>
    </row>
    <row r="331" spans="1:39" x14ac:dyDescent="0.35">
      <c r="A331">
        <v>327</v>
      </c>
      <c r="B331">
        <v>328</v>
      </c>
      <c r="C331">
        <v>146.810030971</v>
      </c>
      <c r="D331">
        <v>-19.164209959999901</v>
      </c>
      <c r="F331" s="63"/>
      <c r="G331" s="63"/>
      <c r="H331" t="s">
        <v>78</v>
      </c>
      <c r="I331" s="64">
        <v>1</v>
      </c>
      <c r="J331" s="31"/>
      <c r="K331" s="31"/>
      <c r="L331" s="31"/>
      <c r="M331" s="31"/>
      <c r="N331" s="4"/>
      <c r="O331" s="4"/>
      <c r="P331" s="4"/>
      <c r="Q331" s="4"/>
      <c r="U331" s="5"/>
      <c r="V331" s="4"/>
      <c r="AG331" t="s">
        <v>372</v>
      </c>
      <c r="AM331" s="1">
        <f t="shared" si="9"/>
        <v>0</v>
      </c>
    </row>
    <row r="332" spans="1:39" x14ac:dyDescent="0.35">
      <c r="A332">
        <v>328</v>
      </c>
      <c r="B332">
        <v>329</v>
      </c>
      <c r="C332">
        <v>146.80994702300001</v>
      </c>
      <c r="D332">
        <v>-19.1641797579999</v>
      </c>
      <c r="F332" s="63"/>
      <c r="G332" s="63"/>
      <c r="H332" t="s">
        <v>78</v>
      </c>
      <c r="I332" s="64">
        <v>1</v>
      </c>
      <c r="J332" s="31"/>
      <c r="K332" s="31"/>
      <c r="L332" s="31"/>
      <c r="M332" s="31"/>
      <c r="N332" s="4"/>
      <c r="O332" s="4"/>
      <c r="P332" s="4"/>
      <c r="Q332" s="4"/>
      <c r="U332" s="5"/>
      <c r="V332" s="4"/>
      <c r="AG332" t="s">
        <v>373</v>
      </c>
      <c r="AM332" s="1">
        <f t="shared" si="9"/>
        <v>0</v>
      </c>
    </row>
    <row r="333" spans="1:39" x14ac:dyDescent="0.35">
      <c r="A333">
        <v>329</v>
      </c>
      <c r="B333">
        <v>330</v>
      </c>
      <c r="C333">
        <v>146.80987428700001</v>
      </c>
      <c r="D333">
        <v>-19.164129997</v>
      </c>
      <c r="E333">
        <v>50</v>
      </c>
      <c r="F333" s="63"/>
      <c r="G333" s="63"/>
      <c r="H333" t="s">
        <v>78</v>
      </c>
      <c r="I333" s="64">
        <v>1</v>
      </c>
      <c r="J333" s="31"/>
      <c r="K333" s="31"/>
      <c r="L333" s="31"/>
      <c r="M333" s="31"/>
      <c r="N333" s="4"/>
      <c r="O333" s="4"/>
      <c r="P333" s="4"/>
      <c r="Q333" s="4"/>
      <c r="U333" s="5"/>
      <c r="V333" s="4"/>
      <c r="AG333" t="s">
        <v>374</v>
      </c>
      <c r="AM333" s="1">
        <f t="shared" si="9"/>
        <v>0</v>
      </c>
    </row>
    <row r="334" spans="1:39" x14ac:dyDescent="0.35">
      <c r="A334">
        <v>330</v>
      </c>
      <c r="B334">
        <v>331</v>
      </c>
      <c r="C334">
        <v>146.80980163300001</v>
      </c>
      <c r="D334">
        <v>-19.1640800939999</v>
      </c>
      <c r="F334" s="63"/>
      <c r="G334" s="63"/>
      <c r="H334" t="s">
        <v>78</v>
      </c>
      <c r="I334" s="64">
        <v>1</v>
      </c>
      <c r="J334" s="31"/>
      <c r="K334" s="31"/>
      <c r="L334" s="31"/>
      <c r="M334" s="31"/>
      <c r="N334" s="4"/>
      <c r="O334" s="4"/>
      <c r="P334" s="4"/>
      <c r="Q334" s="4"/>
      <c r="U334" s="5"/>
      <c r="V334" s="4"/>
      <c r="AG334" t="s">
        <v>375</v>
      </c>
      <c r="AM334" s="1">
        <f t="shared" si="9"/>
        <v>0</v>
      </c>
    </row>
    <row r="335" spans="1:39" x14ac:dyDescent="0.35">
      <c r="A335">
        <v>331</v>
      </c>
      <c r="B335">
        <v>332</v>
      </c>
      <c r="C335">
        <v>146.809728979</v>
      </c>
      <c r="D335">
        <v>-19.164030189999899</v>
      </c>
      <c r="F335" s="63"/>
      <c r="G335" s="63"/>
      <c r="H335" t="s">
        <v>78</v>
      </c>
      <c r="I335" s="64">
        <v>1</v>
      </c>
      <c r="J335" s="31"/>
      <c r="K335" s="31"/>
      <c r="L335" s="31"/>
      <c r="M335" s="31"/>
      <c r="N335" s="4"/>
      <c r="O335" s="4"/>
      <c r="P335" s="4"/>
      <c r="Q335" s="4"/>
      <c r="U335" s="5"/>
      <c r="V335" s="4"/>
      <c r="AG335" t="s">
        <v>376</v>
      </c>
      <c r="AM335" s="1">
        <f t="shared" si="9"/>
        <v>0</v>
      </c>
    </row>
    <row r="336" spans="1:39" x14ac:dyDescent="0.35">
      <c r="A336">
        <v>332</v>
      </c>
      <c r="B336">
        <v>333</v>
      </c>
      <c r="C336">
        <v>146.80965632499999</v>
      </c>
      <c r="D336">
        <v>-19.163980287000001</v>
      </c>
      <c r="F336" s="63"/>
      <c r="G336" s="63"/>
      <c r="H336" t="s">
        <v>26</v>
      </c>
      <c r="I336" s="64"/>
      <c r="J336" s="31"/>
      <c r="K336" s="31"/>
      <c r="L336" s="31"/>
      <c r="M336" s="31"/>
      <c r="N336" s="4"/>
      <c r="O336" s="4"/>
      <c r="P336" s="4"/>
      <c r="Q336" s="4"/>
      <c r="U336" s="5"/>
      <c r="V336" s="4"/>
      <c r="AG336" t="s">
        <v>377</v>
      </c>
      <c r="AM336" s="1">
        <f t="shared" ref="AM336:AM367" si="10">HYPERLINK("E:\CAFNEC_GBRF\2023\JohnstoneRiver\Frames_for_Analysis\" &amp; F337, F337)</f>
        <v>0</v>
      </c>
    </row>
    <row r="337" spans="1:39" x14ac:dyDescent="0.35">
      <c r="A337">
        <v>333</v>
      </c>
      <c r="B337">
        <v>334</v>
      </c>
      <c r="C337">
        <v>146.80958283000001</v>
      </c>
      <c r="D337">
        <v>-19.163931615999999</v>
      </c>
      <c r="F337" s="63"/>
      <c r="G337" s="63"/>
      <c r="H337" t="s">
        <v>26</v>
      </c>
      <c r="I337" s="64"/>
      <c r="J337" s="31"/>
      <c r="K337" s="31"/>
      <c r="L337" s="31"/>
      <c r="M337" s="31"/>
      <c r="N337" s="4"/>
      <c r="O337" s="4"/>
      <c r="P337" s="4"/>
      <c r="Q337" s="4"/>
      <c r="U337" s="5"/>
      <c r="V337" s="4"/>
      <c r="AG337" t="s">
        <v>378</v>
      </c>
      <c r="AM337" s="1">
        <f t="shared" si="10"/>
        <v>0</v>
      </c>
    </row>
    <row r="338" spans="1:39" x14ac:dyDescent="0.35">
      <c r="A338">
        <v>334</v>
      </c>
      <c r="B338">
        <v>335</v>
      </c>
      <c r="C338">
        <v>146.809504715</v>
      </c>
      <c r="D338">
        <v>-19.163889716</v>
      </c>
      <c r="E338">
        <v>50</v>
      </c>
      <c r="F338" s="63"/>
      <c r="G338" s="63"/>
      <c r="H338" t="s">
        <v>26</v>
      </c>
      <c r="I338" s="64"/>
      <c r="J338" s="31"/>
      <c r="K338" s="31"/>
      <c r="L338" s="31"/>
      <c r="M338" s="31"/>
      <c r="N338" s="4"/>
      <c r="O338" s="4"/>
      <c r="P338" s="4"/>
      <c r="Q338" s="4"/>
      <c r="U338" s="5"/>
      <c r="V338" s="4"/>
      <c r="AG338" t="s">
        <v>379</v>
      </c>
      <c r="AM338" s="1">
        <f t="shared" si="10"/>
        <v>0</v>
      </c>
    </row>
    <row r="339" spans="1:39" x14ac:dyDescent="0.35">
      <c r="A339">
        <v>335</v>
      </c>
      <c r="B339">
        <v>336</v>
      </c>
      <c r="C339">
        <v>146.80942659900001</v>
      </c>
      <c r="D339">
        <v>-19.163847815999901</v>
      </c>
      <c r="F339" s="63"/>
      <c r="G339" s="63"/>
      <c r="H339" t="s">
        <v>26</v>
      </c>
      <c r="I339" s="64"/>
      <c r="J339" s="31"/>
      <c r="K339" s="31"/>
      <c r="L339" s="31"/>
      <c r="M339" s="31"/>
      <c r="N339" s="4"/>
      <c r="O339" s="4"/>
      <c r="P339" s="4"/>
      <c r="Q339" s="4"/>
      <c r="U339" s="5"/>
      <c r="V339" s="4"/>
      <c r="AG339" t="s">
        <v>380</v>
      </c>
      <c r="AM339" s="1">
        <f t="shared" si="10"/>
        <v>0</v>
      </c>
    </row>
    <row r="340" spans="1:39" x14ac:dyDescent="0.35">
      <c r="A340">
        <v>336</v>
      </c>
      <c r="B340">
        <v>337</v>
      </c>
      <c r="C340">
        <v>146.809348484</v>
      </c>
      <c r="D340">
        <v>-19.163805915000001</v>
      </c>
      <c r="F340" s="63"/>
      <c r="G340" s="63"/>
      <c r="H340" t="s">
        <v>26</v>
      </c>
      <c r="I340" s="64"/>
      <c r="J340" s="31"/>
      <c r="K340" s="31"/>
      <c r="L340" s="31"/>
      <c r="M340" s="31"/>
      <c r="N340" s="4"/>
      <c r="O340" s="4"/>
      <c r="P340" s="4"/>
      <c r="Q340" s="4"/>
      <c r="U340" s="5"/>
      <c r="V340" s="4"/>
      <c r="AG340" t="s">
        <v>381</v>
      </c>
      <c r="AM340" s="1">
        <f t="shared" si="10"/>
        <v>0</v>
      </c>
    </row>
    <row r="341" spans="1:39" x14ac:dyDescent="0.35">
      <c r="A341">
        <v>337</v>
      </c>
      <c r="B341">
        <v>338</v>
      </c>
      <c r="C341">
        <v>146.80927036899999</v>
      </c>
      <c r="D341">
        <v>-19.163764015000002</v>
      </c>
      <c r="F341" s="63"/>
      <c r="G341" s="63"/>
      <c r="H341" t="s">
        <v>26</v>
      </c>
      <c r="I341" s="64"/>
      <c r="J341" s="31"/>
      <c r="K341" s="31"/>
      <c r="L341" s="31"/>
      <c r="M341" s="31"/>
      <c r="N341" s="4"/>
      <c r="O341" s="4"/>
      <c r="P341" s="4"/>
      <c r="Q341" s="4"/>
      <c r="U341" s="5"/>
      <c r="V341" s="4"/>
      <c r="AG341" t="s">
        <v>382</v>
      </c>
      <c r="AM341" s="1">
        <f t="shared" si="10"/>
        <v>0</v>
      </c>
    </row>
    <row r="342" spans="1:39" x14ac:dyDescent="0.35">
      <c r="A342">
        <v>338</v>
      </c>
      <c r="B342">
        <v>339</v>
      </c>
      <c r="C342">
        <v>146.80919226899999</v>
      </c>
      <c r="D342">
        <v>-19.16372209</v>
      </c>
      <c r="F342" s="63"/>
      <c r="G342" s="63"/>
      <c r="H342" t="s">
        <v>26</v>
      </c>
      <c r="I342" s="64"/>
      <c r="J342" s="31"/>
      <c r="K342" s="31"/>
      <c r="L342" s="31"/>
      <c r="M342" s="31"/>
      <c r="N342" s="4"/>
      <c r="O342" s="4"/>
      <c r="P342" s="4"/>
      <c r="Q342" s="4"/>
      <c r="U342" s="5"/>
      <c r="V342" s="4"/>
      <c r="AG342" t="s">
        <v>383</v>
      </c>
      <c r="AM342" s="1">
        <f t="shared" si="10"/>
        <v>0</v>
      </c>
    </row>
    <row r="343" spans="1:39" x14ac:dyDescent="0.35">
      <c r="A343">
        <v>339</v>
      </c>
      <c r="B343">
        <v>340</v>
      </c>
      <c r="C343">
        <v>146.809118781</v>
      </c>
      <c r="D343">
        <v>-19.163673288999998</v>
      </c>
      <c r="E343">
        <v>50</v>
      </c>
      <c r="F343" s="63"/>
      <c r="G343" s="63"/>
      <c r="H343" t="s">
        <v>78</v>
      </c>
      <c r="I343" s="64">
        <v>1</v>
      </c>
      <c r="J343" s="31"/>
      <c r="K343" s="31"/>
      <c r="L343" s="31"/>
      <c r="M343" s="31"/>
      <c r="N343" s="4"/>
      <c r="O343" s="4"/>
      <c r="P343" s="4"/>
      <c r="Q343" s="4"/>
      <c r="U343" s="5"/>
      <c r="V343" s="4"/>
      <c r="AG343" t="s">
        <v>384</v>
      </c>
      <c r="AM343" s="1">
        <f t="shared" si="10"/>
        <v>0</v>
      </c>
    </row>
    <row r="344" spans="1:39" x14ac:dyDescent="0.35">
      <c r="A344">
        <v>340</v>
      </c>
      <c r="B344">
        <v>341</v>
      </c>
      <c r="C344">
        <v>146.80904355999999</v>
      </c>
      <c r="D344">
        <v>-19.163627048999999</v>
      </c>
      <c r="F344" s="63"/>
      <c r="G344" s="63"/>
      <c r="H344" t="s">
        <v>78</v>
      </c>
      <c r="I344" s="64">
        <v>1</v>
      </c>
      <c r="J344" s="31"/>
      <c r="K344" s="31"/>
      <c r="L344" s="31"/>
      <c r="M344" s="31"/>
      <c r="N344" s="4"/>
      <c r="O344" s="4"/>
      <c r="P344" s="4"/>
      <c r="Q344" s="4"/>
      <c r="U344" s="5"/>
      <c r="V344" s="4"/>
      <c r="AG344" t="s">
        <v>385</v>
      </c>
      <c r="AM344" s="1">
        <f t="shared" si="10"/>
        <v>0</v>
      </c>
    </row>
    <row r="345" spans="1:39" x14ac:dyDescent="0.35">
      <c r="A345">
        <v>341</v>
      </c>
      <c r="B345">
        <v>342</v>
      </c>
      <c r="C345">
        <v>146.80896666500001</v>
      </c>
      <c r="D345">
        <v>-19.163583182</v>
      </c>
      <c r="F345" s="63"/>
      <c r="G345" s="63"/>
      <c r="H345" t="s">
        <v>78</v>
      </c>
      <c r="I345" s="64">
        <v>1</v>
      </c>
      <c r="J345" s="31"/>
      <c r="K345" s="31"/>
      <c r="L345" s="31"/>
      <c r="M345" s="31"/>
      <c r="N345" s="4"/>
      <c r="O345" s="4"/>
      <c r="P345" s="4"/>
      <c r="Q345" s="4"/>
      <c r="U345" s="5"/>
      <c r="V345" s="4"/>
      <c r="AG345" t="s">
        <v>386</v>
      </c>
      <c r="AM345" s="1">
        <f t="shared" si="10"/>
        <v>0</v>
      </c>
    </row>
    <row r="346" spans="1:39" x14ac:dyDescent="0.35">
      <c r="A346">
        <v>342</v>
      </c>
      <c r="B346">
        <v>343</v>
      </c>
      <c r="C346">
        <v>146.80888976899999</v>
      </c>
      <c r="D346">
        <v>-19.163539315000001</v>
      </c>
      <c r="F346" s="63"/>
      <c r="G346" s="63"/>
      <c r="H346" t="s">
        <v>78</v>
      </c>
      <c r="I346" s="64">
        <v>1</v>
      </c>
      <c r="J346" s="31"/>
      <c r="K346" s="31"/>
      <c r="L346" s="31"/>
      <c r="M346" s="31"/>
      <c r="N346" s="4"/>
      <c r="O346" s="4"/>
      <c r="P346" s="4"/>
      <c r="Q346" s="4"/>
      <c r="U346" s="5"/>
      <c r="V346" s="4"/>
      <c r="AG346" t="s">
        <v>387</v>
      </c>
      <c r="AM346" s="1">
        <f t="shared" si="10"/>
        <v>0</v>
      </c>
    </row>
    <row r="347" spans="1:39" x14ac:dyDescent="0.35">
      <c r="A347">
        <v>343</v>
      </c>
      <c r="B347">
        <v>344</v>
      </c>
      <c r="C347">
        <v>146.80881287299999</v>
      </c>
      <c r="D347">
        <v>-19.163495446999899</v>
      </c>
      <c r="F347" s="63"/>
      <c r="G347" s="63"/>
      <c r="H347" t="s">
        <v>78</v>
      </c>
      <c r="I347" s="64">
        <v>1</v>
      </c>
      <c r="J347" s="31"/>
      <c r="K347" s="31"/>
      <c r="L347" s="31"/>
      <c r="M347" s="31"/>
      <c r="N347" s="4"/>
      <c r="O347" s="4"/>
      <c r="P347" s="4"/>
      <c r="Q347" s="4"/>
      <c r="U347" s="5"/>
      <c r="V347" s="4"/>
      <c r="AG347" t="s">
        <v>388</v>
      </c>
      <c r="AM347" s="1">
        <f t="shared" si="10"/>
        <v>0</v>
      </c>
    </row>
    <row r="348" spans="1:39" x14ac:dyDescent="0.35">
      <c r="A348">
        <v>344</v>
      </c>
      <c r="B348">
        <v>345</v>
      </c>
      <c r="C348">
        <v>146.80873597799999</v>
      </c>
      <c r="D348">
        <v>-19.16345158</v>
      </c>
      <c r="E348">
        <v>50</v>
      </c>
      <c r="F348" s="63"/>
      <c r="G348" s="63"/>
      <c r="H348" t="s">
        <v>78</v>
      </c>
      <c r="I348" s="64">
        <v>1</v>
      </c>
      <c r="J348" s="31"/>
      <c r="K348" s="31"/>
      <c r="L348" s="31"/>
      <c r="M348" s="31"/>
      <c r="N348" s="4"/>
      <c r="O348" s="4"/>
      <c r="P348" s="4"/>
      <c r="Q348" s="4"/>
      <c r="U348" s="5"/>
      <c r="V348" s="4"/>
      <c r="AG348" t="s">
        <v>389</v>
      </c>
      <c r="AM348" s="1">
        <f t="shared" si="10"/>
        <v>0</v>
      </c>
    </row>
    <row r="349" spans="1:39" x14ac:dyDescent="0.35">
      <c r="A349">
        <v>345</v>
      </c>
      <c r="B349">
        <v>346</v>
      </c>
      <c r="C349">
        <v>146.80865908199999</v>
      </c>
      <c r="D349">
        <v>-19.163407713000002</v>
      </c>
      <c r="F349" s="63"/>
      <c r="G349" s="63"/>
      <c r="H349" t="s">
        <v>78</v>
      </c>
      <c r="I349" s="64">
        <v>1</v>
      </c>
      <c r="J349" s="31"/>
      <c r="K349" s="31"/>
      <c r="L349" s="31"/>
      <c r="M349" s="31"/>
      <c r="N349" s="4"/>
      <c r="O349" s="4"/>
      <c r="P349" s="4"/>
      <c r="Q349" s="4"/>
      <c r="U349" s="5"/>
      <c r="V349" s="4"/>
      <c r="AG349" t="s">
        <v>390</v>
      </c>
      <c r="AM349" s="1">
        <f t="shared" si="10"/>
        <v>0</v>
      </c>
    </row>
    <row r="350" spans="1:39" x14ac:dyDescent="0.35">
      <c r="A350">
        <v>346</v>
      </c>
      <c r="B350">
        <v>347</v>
      </c>
      <c r="C350">
        <v>146.80857858799999</v>
      </c>
      <c r="D350">
        <v>-19.163372029000001</v>
      </c>
      <c r="F350" s="63"/>
      <c r="G350" s="63"/>
      <c r="H350" t="s">
        <v>78</v>
      </c>
      <c r="I350" s="64">
        <v>1</v>
      </c>
      <c r="J350" s="31"/>
      <c r="K350" s="31"/>
      <c r="L350" s="31"/>
      <c r="M350" s="31"/>
      <c r="N350" s="4"/>
      <c r="O350" s="4"/>
      <c r="P350" s="4"/>
      <c r="Q350" s="4"/>
      <c r="U350" s="5"/>
      <c r="V350" s="4"/>
      <c r="AG350" t="s">
        <v>391</v>
      </c>
      <c r="AM350" s="1">
        <f t="shared" si="10"/>
        <v>0</v>
      </c>
    </row>
    <row r="351" spans="1:39" x14ac:dyDescent="0.35">
      <c r="A351">
        <v>347</v>
      </c>
      <c r="B351">
        <v>348</v>
      </c>
      <c r="C351">
        <v>146.80849304200001</v>
      </c>
      <c r="D351">
        <v>-19.163355967000001</v>
      </c>
      <c r="F351" s="63"/>
      <c r="G351" s="63"/>
      <c r="H351" t="s">
        <v>78</v>
      </c>
      <c r="I351" s="64">
        <v>1</v>
      </c>
      <c r="J351" s="31"/>
      <c r="K351" s="31"/>
      <c r="L351" s="31"/>
      <c r="M351" s="31"/>
      <c r="N351" s="4"/>
      <c r="O351" s="4"/>
      <c r="P351" s="4"/>
      <c r="Q351" s="4"/>
      <c r="U351" s="5"/>
      <c r="V351" s="4"/>
      <c r="AG351" t="s">
        <v>392</v>
      </c>
      <c r="AM351" s="1">
        <f t="shared" si="10"/>
        <v>0</v>
      </c>
    </row>
    <row r="352" spans="1:39" x14ac:dyDescent="0.35">
      <c r="A352">
        <v>348</v>
      </c>
      <c r="B352">
        <v>349</v>
      </c>
      <c r="C352">
        <v>146.80843807799999</v>
      </c>
      <c r="D352">
        <v>-19.163423083999898</v>
      </c>
      <c r="F352" s="63"/>
      <c r="G352" s="63"/>
      <c r="H352" t="s">
        <v>78</v>
      </c>
      <c r="I352" s="64">
        <v>1</v>
      </c>
      <c r="J352" s="31"/>
      <c r="K352" s="31"/>
      <c r="L352" s="31"/>
      <c r="M352" s="31"/>
      <c r="N352" s="4"/>
      <c r="O352" s="4"/>
      <c r="P352" s="4"/>
      <c r="Q352" s="4"/>
      <c r="U352" s="5"/>
      <c r="V352" s="4"/>
      <c r="AG352" t="s">
        <v>393</v>
      </c>
      <c r="AM352" s="1">
        <f t="shared" si="10"/>
        <v>0</v>
      </c>
    </row>
    <row r="353" spans="1:39" x14ac:dyDescent="0.35">
      <c r="A353">
        <v>349</v>
      </c>
      <c r="B353">
        <v>350</v>
      </c>
      <c r="C353">
        <v>146.80838311400001</v>
      </c>
      <c r="D353">
        <v>-19.163490200999899</v>
      </c>
      <c r="E353">
        <v>50</v>
      </c>
      <c r="F353" s="63"/>
      <c r="G353" s="63"/>
      <c r="H353" t="s">
        <v>78</v>
      </c>
      <c r="I353" s="64">
        <v>1</v>
      </c>
      <c r="J353" s="31"/>
      <c r="K353" s="31"/>
      <c r="L353" s="31"/>
      <c r="M353" s="31"/>
      <c r="N353" s="4"/>
      <c r="O353" s="4"/>
      <c r="P353" s="4"/>
      <c r="Q353" s="4"/>
      <c r="U353" s="5"/>
      <c r="V353" s="4"/>
      <c r="AG353" t="s">
        <v>394</v>
      </c>
      <c r="AM353" s="1">
        <f t="shared" si="10"/>
        <v>0</v>
      </c>
    </row>
    <row r="354" spans="1:39" x14ac:dyDescent="0.35">
      <c r="A354">
        <v>350</v>
      </c>
      <c r="B354">
        <v>351</v>
      </c>
      <c r="C354">
        <v>146.80832774999999</v>
      </c>
      <c r="D354">
        <v>-19.163556997999901</v>
      </c>
      <c r="F354" s="63"/>
      <c r="G354" s="63"/>
      <c r="H354" t="s">
        <v>78</v>
      </c>
      <c r="I354" s="64">
        <v>1</v>
      </c>
      <c r="J354" s="31"/>
      <c r="K354" s="31"/>
      <c r="L354" s="31"/>
      <c r="M354" s="31"/>
      <c r="N354" s="4"/>
      <c r="O354" s="4"/>
      <c r="P354" s="4"/>
      <c r="Q354" s="4"/>
      <c r="U354" s="5"/>
      <c r="V354" s="4"/>
      <c r="AG354" t="s">
        <v>395</v>
      </c>
      <c r="AM354" s="1">
        <f t="shared" si="10"/>
        <v>0</v>
      </c>
    </row>
    <row r="355" spans="1:39" x14ac:dyDescent="0.35">
      <c r="A355">
        <v>351</v>
      </c>
      <c r="B355">
        <v>352</v>
      </c>
      <c r="C355">
        <v>146.80826696299999</v>
      </c>
      <c r="D355">
        <v>-19.163619474000001</v>
      </c>
      <c r="F355" s="63"/>
      <c r="G355" s="63"/>
      <c r="H355" t="s">
        <v>78</v>
      </c>
      <c r="I355" s="64">
        <v>1</v>
      </c>
      <c r="J355" s="31"/>
      <c r="K355" s="31"/>
      <c r="L355" s="31"/>
      <c r="M355" s="31"/>
      <c r="N355" s="4"/>
      <c r="O355" s="4"/>
      <c r="P355" s="4"/>
      <c r="Q355" s="4"/>
      <c r="U355" s="5"/>
      <c r="V355" s="4"/>
      <c r="AG355" t="s">
        <v>396</v>
      </c>
      <c r="AM355" s="1">
        <f t="shared" si="10"/>
        <v>0</v>
      </c>
    </row>
    <row r="356" spans="1:39" x14ac:dyDescent="0.35">
      <c r="A356">
        <v>352</v>
      </c>
      <c r="B356">
        <v>353</v>
      </c>
      <c r="C356">
        <v>146.808206176</v>
      </c>
      <c r="D356">
        <v>-19.163681950000001</v>
      </c>
      <c r="F356" s="63"/>
      <c r="G356" s="63"/>
      <c r="H356" t="s">
        <v>78</v>
      </c>
      <c r="I356" s="64">
        <v>1</v>
      </c>
      <c r="J356" s="31"/>
      <c r="K356" s="31"/>
      <c r="L356" s="31"/>
      <c r="M356" s="31"/>
      <c r="N356" s="4"/>
      <c r="O356" s="4"/>
      <c r="P356" s="4"/>
      <c r="Q356" s="4"/>
      <c r="U356" s="5"/>
      <c r="V356" s="4"/>
      <c r="AG356" t="s">
        <v>397</v>
      </c>
      <c r="AM356" s="1">
        <f t="shared" si="10"/>
        <v>0</v>
      </c>
    </row>
    <row r="357" spans="1:39" x14ac:dyDescent="0.35">
      <c r="A357">
        <v>353</v>
      </c>
      <c r="B357">
        <v>354</v>
      </c>
      <c r="C357">
        <v>146.80814538800001</v>
      </c>
      <c r="D357">
        <v>-19.163744425999901</v>
      </c>
      <c r="F357" s="63"/>
      <c r="G357" s="63"/>
      <c r="H357" t="s">
        <v>78</v>
      </c>
      <c r="I357" s="64">
        <v>1</v>
      </c>
      <c r="J357" s="31"/>
      <c r="K357" s="31"/>
      <c r="L357" s="31"/>
      <c r="M357" s="31"/>
      <c r="N357" s="4"/>
      <c r="O357" s="4"/>
      <c r="P357" s="4"/>
      <c r="Q357" s="4"/>
      <c r="U357" s="5"/>
      <c r="V357" s="4"/>
      <c r="AG357" t="s">
        <v>398</v>
      </c>
      <c r="AM357" s="1">
        <f t="shared" si="10"/>
        <v>0</v>
      </c>
    </row>
    <row r="358" spans="1:39" x14ac:dyDescent="0.35">
      <c r="A358">
        <v>354</v>
      </c>
      <c r="B358">
        <v>355</v>
      </c>
      <c r="C358">
        <v>146.80808460099999</v>
      </c>
      <c r="D358">
        <v>-19.163806900999901</v>
      </c>
      <c r="E358">
        <v>50</v>
      </c>
      <c r="F358" s="63"/>
      <c r="G358" s="63"/>
      <c r="H358" t="s">
        <v>78</v>
      </c>
      <c r="I358" s="64">
        <v>1</v>
      </c>
      <c r="J358" s="31"/>
      <c r="K358" s="31"/>
      <c r="L358" s="31"/>
      <c r="M358" s="31"/>
      <c r="N358" s="4"/>
      <c r="O358" s="4"/>
      <c r="P358" s="4"/>
      <c r="Q358" s="4"/>
      <c r="U358" s="5"/>
      <c r="V358" s="4"/>
      <c r="AG358" t="s">
        <v>399</v>
      </c>
      <c r="AM358" s="1">
        <f t="shared" si="10"/>
        <v>0</v>
      </c>
    </row>
    <row r="359" spans="1:39" x14ac:dyDescent="0.35">
      <c r="A359">
        <v>355</v>
      </c>
      <c r="B359">
        <v>356</v>
      </c>
      <c r="C359">
        <v>146.80802381399999</v>
      </c>
      <c r="D359">
        <v>-19.163869377000001</v>
      </c>
      <c r="F359" s="63"/>
      <c r="G359" s="63"/>
      <c r="H359" t="s">
        <v>78</v>
      </c>
      <c r="I359" s="64">
        <v>1</v>
      </c>
      <c r="J359" s="31"/>
      <c r="K359" s="31"/>
      <c r="L359" s="31"/>
      <c r="M359" s="31"/>
      <c r="N359" s="4"/>
      <c r="O359" s="4"/>
      <c r="P359" s="4"/>
      <c r="Q359" s="4"/>
      <c r="U359" s="5"/>
      <c r="V359" s="4"/>
      <c r="AG359" t="s">
        <v>400</v>
      </c>
      <c r="AM359" s="1">
        <f t="shared" si="10"/>
        <v>0</v>
      </c>
    </row>
    <row r="360" spans="1:39" x14ac:dyDescent="0.35">
      <c r="A360">
        <v>356</v>
      </c>
      <c r="B360">
        <v>357</v>
      </c>
      <c r="C360">
        <v>146.80795235599999</v>
      </c>
      <c r="D360">
        <v>-19.163920185999899</v>
      </c>
      <c r="F360" s="63"/>
      <c r="G360" s="63"/>
      <c r="H360" t="s">
        <v>78</v>
      </c>
      <c r="I360" s="64">
        <v>1</v>
      </c>
      <c r="J360" s="31"/>
      <c r="K360" s="31"/>
      <c r="L360" s="31"/>
      <c r="M360" s="31"/>
      <c r="N360" s="4"/>
      <c r="O360" s="4"/>
      <c r="P360" s="4"/>
      <c r="Q360" s="4"/>
      <c r="U360" s="5"/>
      <c r="V360" s="4"/>
      <c r="AG360" t="s">
        <v>401</v>
      </c>
      <c r="AM360" s="1">
        <f t="shared" si="10"/>
        <v>0</v>
      </c>
    </row>
    <row r="361" spans="1:39" x14ac:dyDescent="0.35">
      <c r="A361">
        <v>357</v>
      </c>
      <c r="B361">
        <v>358</v>
      </c>
      <c r="C361">
        <v>146.807876819</v>
      </c>
      <c r="D361">
        <v>-19.1639596969999</v>
      </c>
      <c r="F361" s="63"/>
      <c r="G361" s="63"/>
      <c r="H361" t="s">
        <v>78</v>
      </c>
      <c r="I361" s="64">
        <v>1</v>
      </c>
      <c r="J361" s="31"/>
      <c r="K361" s="31"/>
      <c r="L361" s="31"/>
      <c r="M361" s="31"/>
      <c r="N361" s="4"/>
      <c r="O361" s="4"/>
      <c r="P361" s="4"/>
      <c r="Q361" s="4"/>
      <c r="U361" s="5"/>
      <c r="V361" s="4"/>
      <c r="AG361" t="s">
        <v>402</v>
      </c>
      <c r="AM361" s="1">
        <f t="shared" si="10"/>
        <v>0</v>
      </c>
    </row>
    <row r="362" spans="1:39" x14ac:dyDescent="0.35">
      <c r="A362">
        <v>358</v>
      </c>
      <c r="B362">
        <v>359</v>
      </c>
      <c r="C362">
        <v>146.80779887899999</v>
      </c>
      <c r="D362">
        <v>-19.163929971999899</v>
      </c>
      <c r="F362" s="63"/>
      <c r="G362" s="63"/>
      <c r="H362" t="s">
        <v>78</v>
      </c>
      <c r="I362" s="64">
        <v>1</v>
      </c>
      <c r="J362" s="31"/>
      <c r="K362" s="31"/>
      <c r="L362" s="31"/>
      <c r="M362" s="31"/>
      <c r="N362" s="4"/>
      <c r="O362" s="4"/>
      <c r="P362" s="4"/>
      <c r="Q362" s="4"/>
      <c r="U362" s="5"/>
      <c r="V362" s="4"/>
      <c r="AG362" t="s">
        <v>403</v>
      </c>
      <c r="AM362" s="1">
        <f t="shared" si="10"/>
        <v>0</v>
      </c>
    </row>
    <row r="363" spans="1:39" x14ac:dyDescent="0.35">
      <c r="A363">
        <v>359</v>
      </c>
      <c r="B363">
        <v>360</v>
      </c>
      <c r="C363">
        <v>146.807820822</v>
      </c>
      <c r="D363">
        <v>-19.163847689000001</v>
      </c>
      <c r="E363">
        <v>50</v>
      </c>
      <c r="F363" s="63"/>
      <c r="G363" s="63"/>
      <c r="H363" t="s">
        <v>78</v>
      </c>
      <c r="I363" s="64">
        <v>1</v>
      </c>
      <c r="J363" s="31"/>
      <c r="K363" s="31"/>
      <c r="L363" s="31"/>
      <c r="M363" s="31"/>
      <c r="N363" s="4"/>
      <c r="O363" s="4"/>
      <c r="P363" s="4"/>
      <c r="Q363" s="4"/>
      <c r="U363" s="5"/>
      <c r="V363" s="4"/>
      <c r="AG363" t="s">
        <v>404</v>
      </c>
      <c r="AM363" s="1">
        <f t="shared" si="10"/>
        <v>0</v>
      </c>
    </row>
    <row r="364" spans="1:39" x14ac:dyDescent="0.35">
      <c r="A364">
        <v>360</v>
      </c>
      <c r="B364">
        <v>361</v>
      </c>
      <c r="C364">
        <v>146.807864776</v>
      </c>
      <c r="D364">
        <v>-19.163779048999999</v>
      </c>
      <c r="F364" s="63"/>
      <c r="G364" s="63"/>
      <c r="H364" t="s">
        <v>78</v>
      </c>
      <c r="I364" s="64">
        <v>1</v>
      </c>
      <c r="J364" s="31"/>
      <c r="K364" s="31"/>
      <c r="L364" s="31"/>
      <c r="M364" s="31"/>
      <c r="N364" s="4"/>
      <c r="O364" s="4"/>
      <c r="P364" s="4"/>
      <c r="Q364" s="4"/>
      <c r="U364" s="5"/>
      <c r="V364" s="4"/>
      <c r="AG364" t="s">
        <v>405</v>
      </c>
      <c r="AM364" s="1">
        <f t="shared" si="10"/>
        <v>0</v>
      </c>
    </row>
    <row r="365" spans="1:39" x14ac:dyDescent="0.35">
      <c r="A365">
        <v>361</v>
      </c>
      <c r="B365">
        <v>362</v>
      </c>
      <c r="C365">
        <v>146.80793485999999</v>
      </c>
      <c r="D365">
        <v>-19.163726238999999</v>
      </c>
      <c r="F365" s="63"/>
      <c r="G365" s="63"/>
      <c r="H365" t="s">
        <v>78</v>
      </c>
      <c r="I365" s="64">
        <v>1</v>
      </c>
      <c r="J365" s="31"/>
      <c r="K365" s="31"/>
      <c r="L365" s="31"/>
      <c r="M365" s="31"/>
      <c r="N365" s="4"/>
      <c r="O365" s="4"/>
      <c r="P365" s="4"/>
      <c r="Q365" s="4"/>
      <c r="U365" s="5"/>
      <c r="V365" s="4"/>
      <c r="AG365" t="s">
        <v>406</v>
      </c>
      <c r="AM365" s="1">
        <f t="shared" si="10"/>
        <v>0</v>
      </c>
    </row>
    <row r="366" spans="1:39" x14ac:dyDescent="0.35">
      <c r="A366">
        <v>362</v>
      </c>
      <c r="B366">
        <v>363</v>
      </c>
      <c r="C366">
        <v>146.80799042300001</v>
      </c>
      <c r="D366">
        <v>-19.163659563</v>
      </c>
      <c r="F366" s="63"/>
      <c r="G366" s="63"/>
      <c r="H366" t="s">
        <v>78</v>
      </c>
      <c r="I366" s="64">
        <v>1</v>
      </c>
      <c r="J366" s="31"/>
      <c r="K366" s="31"/>
      <c r="L366" s="31"/>
      <c r="M366" s="31"/>
      <c r="N366" s="4"/>
      <c r="O366" s="4"/>
      <c r="P366" s="4"/>
      <c r="Q366" s="4"/>
      <c r="U366" s="5"/>
      <c r="V366" s="4"/>
      <c r="AG366" t="s">
        <v>407</v>
      </c>
      <c r="AM366" s="1">
        <f t="shared" si="10"/>
        <v>0</v>
      </c>
    </row>
    <row r="367" spans="1:39" x14ac:dyDescent="0.35">
      <c r="A367">
        <v>363</v>
      </c>
      <c r="B367">
        <v>364</v>
      </c>
      <c r="C367">
        <v>146.80805618599999</v>
      </c>
      <c r="D367">
        <v>-19.163603923</v>
      </c>
      <c r="F367" s="63"/>
      <c r="G367" s="63"/>
      <c r="H367" t="s">
        <v>78</v>
      </c>
      <c r="I367" s="64">
        <v>1</v>
      </c>
      <c r="J367" s="31"/>
      <c r="K367" s="31"/>
      <c r="L367" s="31"/>
      <c r="M367" s="31"/>
      <c r="N367" s="4"/>
      <c r="O367" s="4"/>
      <c r="P367" s="4"/>
      <c r="Q367" s="4"/>
      <c r="U367" s="5"/>
      <c r="V367" s="4"/>
      <c r="AG367" t="s">
        <v>408</v>
      </c>
      <c r="AM367" s="1">
        <f t="shared" si="10"/>
        <v>0</v>
      </c>
    </row>
    <row r="368" spans="1:39" x14ac:dyDescent="0.35">
      <c r="A368">
        <v>364</v>
      </c>
      <c r="B368">
        <v>365</v>
      </c>
      <c r="C368">
        <v>146.80809080700001</v>
      </c>
      <c r="D368">
        <v>-19.163543989999901</v>
      </c>
      <c r="E368">
        <v>50</v>
      </c>
      <c r="F368" s="63"/>
      <c r="G368" s="63"/>
      <c r="H368" t="s">
        <v>78</v>
      </c>
      <c r="I368" s="64">
        <v>1</v>
      </c>
      <c r="J368" s="31"/>
      <c r="K368" s="31"/>
      <c r="L368" s="31"/>
      <c r="M368" s="31"/>
      <c r="N368" s="4"/>
      <c r="O368" s="4"/>
      <c r="P368" s="4"/>
      <c r="Q368" s="4"/>
      <c r="U368" s="5"/>
      <c r="V368" s="4"/>
      <c r="AG368" t="s">
        <v>409</v>
      </c>
      <c r="AM368" s="1">
        <f t="shared" ref="AM368:AM399" si="11">HYPERLINK("E:\CAFNEC_GBRF\2023\JohnstoneRiver\Frames_for_Analysis\" &amp; F369, F369)</f>
        <v>0</v>
      </c>
    </row>
    <row r="369" spans="1:39" x14ac:dyDescent="0.35">
      <c r="A369">
        <v>365</v>
      </c>
      <c r="B369">
        <v>366</v>
      </c>
      <c r="C369">
        <v>146.808068865</v>
      </c>
      <c r="D369">
        <v>-19.163461706</v>
      </c>
      <c r="F369" s="63"/>
      <c r="G369" s="63"/>
      <c r="H369" t="s">
        <v>78</v>
      </c>
      <c r="I369" s="64">
        <v>1</v>
      </c>
      <c r="J369" s="31"/>
      <c r="K369" s="31"/>
      <c r="L369" s="31"/>
      <c r="M369" s="31"/>
      <c r="N369" s="4"/>
      <c r="O369" s="4"/>
      <c r="P369" s="4"/>
      <c r="Q369" s="4"/>
      <c r="U369" s="5"/>
      <c r="V369" s="4"/>
      <c r="AG369" t="s">
        <v>410</v>
      </c>
      <c r="AM369" s="1">
        <f t="shared" si="11"/>
        <v>0</v>
      </c>
    </row>
    <row r="370" spans="1:39" x14ac:dyDescent="0.35">
      <c r="A370">
        <v>366</v>
      </c>
      <c r="B370">
        <v>367</v>
      </c>
      <c r="C370">
        <v>146.807996299</v>
      </c>
      <c r="D370">
        <v>-19.163423010999999</v>
      </c>
      <c r="F370" s="63"/>
      <c r="G370" s="63"/>
      <c r="H370" t="s">
        <v>78</v>
      </c>
      <c r="I370" s="64">
        <v>1</v>
      </c>
      <c r="J370" s="31"/>
      <c r="K370" s="31"/>
      <c r="L370" s="31"/>
      <c r="M370" s="31"/>
      <c r="N370" s="4"/>
      <c r="O370" s="4"/>
      <c r="P370" s="4"/>
      <c r="Q370" s="4"/>
      <c r="U370" s="5"/>
      <c r="V370" s="4"/>
      <c r="AG370" t="s">
        <v>411</v>
      </c>
      <c r="AM370" s="1">
        <f t="shared" si="11"/>
        <v>0</v>
      </c>
    </row>
    <row r="371" spans="1:39" x14ac:dyDescent="0.35">
      <c r="A371">
        <v>367</v>
      </c>
      <c r="B371">
        <v>368</v>
      </c>
      <c r="C371">
        <v>146.807907185</v>
      </c>
      <c r="D371">
        <v>-19.163419053999998</v>
      </c>
      <c r="F371" s="63"/>
      <c r="G371" s="63"/>
      <c r="H371" t="s">
        <v>78</v>
      </c>
      <c r="I371" s="64">
        <v>1</v>
      </c>
      <c r="J371" s="31"/>
      <c r="K371" s="31"/>
      <c r="L371" s="31"/>
      <c r="M371" s="31"/>
      <c r="N371" s="4"/>
      <c r="O371" s="4"/>
      <c r="P371" s="4"/>
      <c r="Q371" s="4"/>
      <c r="U371" s="5"/>
      <c r="V371" s="4"/>
      <c r="AG371" t="s">
        <v>412</v>
      </c>
      <c r="AM371" s="1">
        <f t="shared" si="11"/>
        <v>0</v>
      </c>
    </row>
    <row r="372" spans="1:39" x14ac:dyDescent="0.35">
      <c r="A372">
        <v>368</v>
      </c>
      <c r="B372">
        <v>369</v>
      </c>
      <c r="C372">
        <v>146.80783042799999</v>
      </c>
      <c r="D372">
        <v>-19.163386758999899</v>
      </c>
      <c r="F372" s="63"/>
      <c r="G372" s="63"/>
      <c r="H372" t="s">
        <v>78</v>
      </c>
      <c r="I372" s="64">
        <v>1</v>
      </c>
      <c r="J372" s="31"/>
      <c r="K372" s="31"/>
      <c r="L372" s="31"/>
      <c r="M372" s="31"/>
      <c r="N372" s="4"/>
      <c r="O372" s="4"/>
      <c r="P372" s="4"/>
      <c r="Q372" s="4"/>
      <c r="U372" s="5"/>
      <c r="V372" s="4"/>
      <c r="AG372" t="s">
        <v>413</v>
      </c>
      <c r="AM372" s="1">
        <f t="shared" si="11"/>
        <v>0</v>
      </c>
    </row>
    <row r="373" spans="1:39" x14ac:dyDescent="0.35">
      <c r="A373">
        <v>369</v>
      </c>
      <c r="B373">
        <v>370</v>
      </c>
      <c r="C373">
        <v>146.80776351700001</v>
      </c>
      <c r="D373">
        <v>-19.1633301419999</v>
      </c>
      <c r="E373">
        <v>50</v>
      </c>
      <c r="F373" s="63"/>
      <c r="G373" s="63"/>
      <c r="H373" t="s">
        <v>78</v>
      </c>
      <c r="I373" s="64">
        <v>1</v>
      </c>
      <c r="J373" s="31"/>
      <c r="K373" s="31"/>
      <c r="L373" s="31"/>
      <c r="M373" s="31"/>
      <c r="N373" s="4"/>
      <c r="O373" s="4"/>
      <c r="P373" s="4"/>
      <c r="Q373" s="4"/>
      <c r="U373" s="5"/>
      <c r="V373" s="4"/>
      <c r="AG373" t="s">
        <v>414</v>
      </c>
      <c r="AM373" s="1">
        <f t="shared" si="11"/>
        <v>0</v>
      </c>
    </row>
    <row r="374" spans="1:39" x14ac:dyDescent="0.35">
      <c r="A374">
        <v>370</v>
      </c>
      <c r="B374">
        <v>371</v>
      </c>
      <c r="C374">
        <v>146.80781805199999</v>
      </c>
      <c r="D374">
        <v>-19.163285429999998</v>
      </c>
      <c r="F374" s="63"/>
      <c r="G374" s="63"/>
      <c r="H374" t="s">
        <v>78</v>
      </c>
      <c r="I374" s="64">
        <v>1</v>
      </c>
      <c r="J374" s="31"/>
      <c r="K374" s="31"/>
      <c r="L374" s="31"/>
      <c r="M374" s="31"/>
      <c r="N374" s="4"/>
      <c r="O374" s="4"/>
      <c r="P374" s="4"/>
      <c r="Q374" s="4"/>
      <c r="U374" s="5"/>
      <c r="V374" s="4"/>
      <c r="AG374" t="s">
        <v>415</v>
      </c>
      <c r="AM374" s="1">
        <f t="shared" si="11"/>
        <v>0</v>
      </c>
    </row>
    <row r="375" spans="1:39" x14ac:dyDescent="0.35">
      <c r="A375">
        <v>371</v>
      </c>
      <c r="B375">
        <v>372</v>
      </c>
      <c r="C375">
        <v>146.807863758</v>
      </c>
      <c r="D375">
        <v>-19.163219974</v>
      </c>
      <c r="F375" s="63"/>
      <c r="G375" s="63"/>
      <c r="H375" t="s">
        <v>78</v>
      </c>
      <c r="I375" s="64">
        <v>1</v>
      </c>
      <c r="J375" s="31"/>
      <c r="K375" s="31"/>
      <c r="L375" s="31"/>
      <c r="M375" s="31"/>
      <c r="N375" s="4"/>
      <c r="O375" s="4"/>
      <c r="P375" s="4"/>
      <c r="Q375" s="4"/>
      <c r="U375" s="5"/>
      <c r="V375" s="4"/>
      <c r="AG375" t="s">
        <v>416</v>
      </c>
      <c r="AM375" s="1">
        <f t="shared" si="11"/>
        <v>0</v>
      </c>
    </row>
    <row r="376" spans="1:39" x14ac:dyDescent="0.35">
      <c r="A376">
        <v>372</v>
      </c>
      <c r="B376">
        <v>373</v>
      </c>
      <c r="C376">
        <v>146.80788616800001</v>
      </c>
      <c r="D376">
        <v>-19.163137802999898</v>
      </c>
      <c r="F376" s="63"/>
      <c r="G376" s="63"/>
      <c r="H376" t="s">
        <v>78</v>
      </c>
      <c r="I376" s="64">
        <v>1</v>
      </c>
      <c r="J376" s="31"/>
      <c r="K376" s="31"/>
      <c r="L376" s="31"/>
      <c r="M376" s="31"/>
      <c r="N376" s="4"/>
      <c r="O376" s="4"/>
      <c r="P376" s="4"/>
      <c r="Q376" s="4"/>
      <c r="U376" s="5"/>
      <c r="V376" s="4"/>
      <c r="AG376" t="s">
        <v>417</v>
      </c>
      <c r="AM376" s="1">
        <f t="shared" si="11"/>
        <v>0</v>
      </c>
    </row>
    <row r="377" spans="1:39" x14ac:dyDescent="0.35">
      <c r="A377">
        <v>373</v>
      </c>
      <c r="B377">
        <v>374</v>
      </c>
      <c r="C377">
        <v>146.807890281</v>
      </c>
      <c r="D377">
        <v>-19.163061724999999</v>
      </c>
      <c r="F377" s="63"/>
      <c r="G377" s="63"/>
      <c r="H377" t="s">
        <v>78</v>
      </c>
      <c r="I377" s="64">
        <v>1</v>
      </c>
      <c r="J377" s="31"/>
      <c r="K377" s="31"/>
      <c r="L377" s="31"/>
      <c r="M377" s="31"/>
      <c r="N377" s="4"/>
      <c r="O377" s="4"/>
      <c r="P377" s="4"/>
      <c r="Q377" s="4"/>
      <c r="U377" s="5"/>
      <c r="V377" s="4"/>
      <c r="AG377" t="s">
        <v>418</v>
      </c>
      <c r="AM377" s="1">
        <f t="shared" si="11"/>
        <v>0</v>
      </c>
    </row>
    <row r="378" spans="1:39" x14ac:dyDescent="0.35">
      <c r="A378">
        <v>374</v>
      </c>
      <c r="B378">
        <v>375</v>
      </c>
      <c r="C378">
        <v>146.807818271</v>
      </c>
      <c r="D378">
        <v>-19.163010996000001</v>
      </c>
      <c r="E378">
        <v>50</v>
      </c>
      <c r="F378" s="63"/>
      <c r="G378" s="63"/>
      <c r="H378" t="s">
        <v>78</v>
      </c>
      <c r="I378" s="64">
        <v>1</v>
      </c>
      <c r="J378" s="31"/>
      <c r="K378" s="31"/>
      <c r="L378" s="31"/>
      <c r="M378" s="31"/>
      <c r="N378" s="4"/>
      <c r="O378" s="4"/>
      <c r="P378" s="4"/>
      <c r="Q378" s="4"/>
      <c r="U378" s="5"/>
      <c r="V378" s="4"/>
      <c r="AG378" t="s">
        <v>419</v>
      </c>
      <c r="AM378" s="1">
        <f t="shared" si="11"/>
        <v>0</v>
      </c>
    </row>
    <row r="379" spans="1:39" x14ac:dyDescent="0.35">
      <c r="A379">
        <v>375</v>
      </c>
      <c r="B379">
        <v>376</v>
      </c>
      <c r="C379">
        <v>146.80774592</v>
      </c>
      <c r="D379">
        <v>-19.162960800999901</v>
      </c>
      <c r="F379" s="63"/>
      <c r="G379" s="63"/>
      <c r="H379" t="s">
        <v>78</v>
      </c>
      <c r="I379" s="64">
        <v>1</v>
      </c>
      <c r="J379" s="31"/>
      <c r="K379" s="31"/>
      <c r="L379" s="31"/>
      <c r="M379" s="31"/>
      <c r="N379" s="4"/>
      <c r="O379" s="4"/>
      <c r="P379" s="4"/>
      <c r="Q379" s="4"/>
      <c r="U379" s="5"/>
      <c r="V379" s="4"/>
      <c r="AG379" t="s">
        <v>420</v>
      </c>
      <c r="AM379" s="1">
        <f t="shared" si="11"/>
        <v>0</v>
      </c>
    </row>
    <row r="380" spans="1:39" x14ac:dyDescent="0.35">
      <c r="A380">
        <v>376</v>
      </c>
      <c r="B380">
        <v>377</v>
      </c>
      <c r="C380">
        <v>146.80766484099999</v>
      </c>
      <c r="D380">
        <v>-19.162924266999902</v>
      </c>
      <c r="F380" s="63"/>
      <c r="G380" s="63"/>
      <c r="H380" t="s">
        <v>78</v>
      </c>
      <c r="I380" s="64">
        <v>1</v>
      </c>
      <c r="J380" s="31"/>
      <c r="K380" s="31"/>
      <c r="L380" s="31"/>
      <c r="M380" s="31"/>
      <c r="N380" s="4"/>
      <c r="O380" s="4"/>
      <c r="P380" s="4"/>
      <c r="Q380" s="4"/>
      <c r="U380" s="5"/>
      <c r="V380" s="4"/>
      <c r="AG380" t="s">
        <v>421</v>
      </c>
      <c r="AM380" s="1">
        <f t="shared" si="11"/>
        <v>0</v>
      </c>
    </row>
    <row r="381" spans="1:39" x14ac:dyDescent="0.35">
      <c r="A381">
        <v>377</v>
      </c>
      <c r="B381">
        <v>378</v>
      </c>
      <c r="C381">
        <v>146.80758376200001</v>
      </c>
      <c r="D381">
        <v>-19.162887732999899</v>
      </c>
      <c r="F381" s="63"/>
      <c r="G381" s="63"/>
      <c r="H381" t="s">
        <v>78</v>
      </c>
      <c r="I381" s="64">
        <v>1</v>
      </c>
      <c r="J381" s="31"/>
      <c r="K381" s="31"/>
      <c r="L381" s="31"/>
      <c r="M381" s="31"/>
      <c r="N381" s="4"/>
      <c r="O381" s="4"/>
      <c r="P381" s="4"/>
      <c r="Q381" s="4"/>
      <c r="U381" s="5"/>
      <c r="V381" s="4"/>
      <c r="AG381" t="s">
        <v>422</v>
      </c>
      <c r="AM381" s="1">
        <f t="shared" si="11"/>
        <v>0</v>
      </c>
    </row>
    <row r="382" spans="1:39" x14ac:dyDescent="0.35">
      <c r="A382">
        <v>378</v>
      </c>
      <c r="B382">
        <v>379</v>
      </c>
      <c r="C382">
        <v>146.807502683</v>
      </c>
      <c r="D382">
        <v>-19.162851198999899</v>
      </c>
      <c r="F382" s="63"/>
      <c r="G382" s="63"/>
      <c r="H382" t="s">
        <v>78</v>
      </c>
      <c r="I382" s="64">
        <v>1</v>
      </c>
      <c r="J382" s="31"/>
      <c r="K382" s="31"/>
      <c r="L382" s="31"/>
      <c r="M382" s="31"/>
      <c r="N382" s="4"/>
      <c r="O382" s="4"/>
      <c r="P382" s="4"/>
      <c r="Q382" s="4"/>
      <c r="U382" s="5"/>
      <c r="V382" s="4"/>
      <c r="AG382" t="s">
        <v>423</v>
      </c>
      <c r="AM382" s="1">
        <f t="shared" si="11"/>
        <v>0</v>
      </c>
    </row>
    <row r="383" spans="1:39" x14ac:dyDescent="0.35">
      <c r="A383">
        <v>379</v>
      </c>
      <c r="B383">
        <v>380</v>
      </c>
      <c r="C383">
        <v>146.80742160400001</v>
      </c>
      <c r="D383">
        <v>-19.1628146649999</v>
      </c>
      <c r="E383">
        <v>50</v>
      </c>
      <c r="F383" s="63"/>
      <c r="G383" s="63"/>
      <c r="H383" t="s">
        <v>78</v>
      </c>
      <c r="I383" s="64">
        <v>1</v>
      </c>
      <c r="J383" s="31"/>
      <c r="K383" s="31"/>
      <c r="L383" s="31"/>
      <c r="M383" s="31"/>
      <c r="N383" s="4"/>
      <c r="O383" s="4"/>
      <c r="P383" s="4"/>
      <c r="Q383" s="4"/>
      <c r="U383" s="5"/>
      <c r="V383" s="4"/>
      <c r="AG383" t="s">
        <v>424</v>
      </c>
      <c r="AM383" s="1">
        <f t="shared" si="11"/>
        <v>0</v>
      </c>
    </row>
    <row r="384" spans="1:39" x14ac:dyDescent="0.35">
      <c r="A384">
        <v>380</v>
      </c>
      <c r="B384">
        <v>381</v>
      </c>
      <c r="C384">
        <v>146.807340525</v>
      </c>
      <c r="D384">
        <v>-19.162778131</v>
      </c>
      <c r="F384" s="63"/>
      <c r="G384" s="63"/>
      <c r="H384" t="s">
        <v>78</v>
      </c>
      <c r="I384" s="64">
        <v>1</v>
      </c>
      <c r="J384" s="31"/>
      <c r="K384" s="31"/>
      <c r="L384" s="31"/>
      <c r="M384" s="31"/>
      <c r="N384" s="4"/>
      <c r="O384" s="4"/>
      <c r="P384" s="4"/>
      <c r="Q384" s="4"/>
      <c r="U384" s="5"/>
      <c r="V384" s="4"/>
      <c r="AG384" t="s">
        <v>425</v>
      </c>
      <c r="AM384" s="1">
        <f t="shared" si="11"/>
        <v>0</v>
      </c>
    </row>
    <row r="385" spans="1:39" x14ac:dyDescent="0.35">
      <c r="A385">
        <v>381</v>
      </c>
      <c r="B385">
        <v>382</v>
      </c>
      <c r="C385">
        <v>146.80725944599999</v>
      </c>
      <c r="D385">
        <v>-19.162741597</v>
      </c>
      <c r="F385" s="63"/>
      <c r="G385" s="63"/>
      <c r="H385" t="s">
        <v>78</v>
      </c>
      <c r="I385" s="64">
        <v>1</v>
      </c>
      <c r="J385" s="31"/>
      <c r="K385" s="31"/>
      <c r="L385" s="31"/>
      <c r="M385" s="31"/>
      <c r="N385" s="4"/>
      <c r="O385" s="4"/>
      <c r="P385" s="4"/>
      <c r="Q385" s="4"/>
      <c r="U385" s="5"/>
      <c r="V385" s="4"/>
      <c r="AG385" t="s">
        <v>426</v>
      </c>
      <c r="AM385" s="1">
        <f t="shared" si="11"/>
        <v>0</v>
      </c>
    </row>
    <row r="386" spans="1:39" x14ac:dyDescent="0.35">
      <c r="A386">
        <v>382</v>
      </c>
      <c r="B386">
        <v>383</v>
      </c>
      <c r="C386">
        <v>146.80717893299999</v>
      </c>
      <c r="D386">
        <v>-19.1627040569999</v>
      </c>
      <c r="F386" s="63"/>
      <c r="G386" s="63"/>
      <c r="H386" t="s">
        <v>78</v>
      </c>
      <c r="I386" s="64">
        <v>1</v>
      </c>
      <c r="J386" s="31"/>
      <c r="K386" s="31"/>
      <c r="L386" s="31"/>
      <c r="M386" s="31"/>
      <c r="N386" s="4"/>
      <c r="O386" s="4"/>
      <c r="P386" s="4"/>
      <c r="Q386" s="4"/>
      <c r="U386" s="5"/>
      <c r="V386" s="4"/>
      <c r="AG386" t="s">
        <v>427</v>
      </c>
      <c r="AM386" s="1">
        <f t="shared" si="11"/>
        <v>0</v>
      </c>
    </row>
    <row r="387" spans="1:39" x14ac:dyDescent="0.35">
      <c r="A387">
        <v>383</v>
      </c>
      <c r="B387">
        <v>384</v>
      </c>
      <c r="C387">
        <v>146.80710149800001</v>
      </c>
      <c r="D387">
        <v>-19.162661044999901</v>
      </c>
      <c r="F387" s="63"/>
      <c r="G387" s="63"/>
      <c r="H387" t="s">
        <v>78</v>
      </c>
      <c r="I387" s="64">
        <v>1</v>
      </c>
      <c r="J387" s="31"/>
      <c r="K387" s="31"/>
      <c r="L387" s="31"/>
      <c r="M387" s="31"/>
      <c r="N387" s="4"/>
      <c r="O387" s="4"/>
      <c r="P387" s="4"/>
      <c r="Q387" s="4"/>
      <c r="U387" s="5"/>
      <c r="V387" s="4"/>
      <c r="AG387" t="s">
        <v>428</v>
      </c>
      <c r="AM387" s="1">
        <f t="shared" si="11"/>
        <v>0</v>
      </c>
    </row>
    <row r="388" spans="1:39" x14ac:dyDescent="0.35">
      <c r="A388">
        <v>384</v>
      </c>
      <c r="B388">
        <v>385</v>
      </c>
      <c r="C388">
        <v>146.80702406200001</v>
      </c>
      <c r="D388">
        <v>-19.162618032999902</v>
      </c>
      <c r="E388">
        <v>50</v>
      </c>
      <c r="F388" s="63"/>
      <c r="G388" s="63"/>
      <c r="H388" t="s">
        <v>78</v>
      </c>
      <c r="I388" s="64">
        <v>1</v>
      </c>
      <c r="J388" s="31"/>
      <c r="K388" s="31"/>
      <c r="L388" s="31"/>
      <c r="M388" s="31"/>
      <c r="N388" s="4"/>
      <c r="O388" s="4"/>
      <c r="P388" s="4"/>
      <c r="Q388" s="4"/>
      <c r="U388" s="5"/>
      <c r="V388" s="4"/>
      <c r="AG388" t="s">
        <v>429</v>
      </c>
      <c r="AM388" s="1">
        <f t="shared" si="11"/>
        <v>0</v>
      </c>
    </row>
    <row r="389" spans="1:39" x14ac:dyDescent="0.35">
      <c r="A389">
        <v>385</v>
      </c>
      <c r="B389">
        <v>386</v>
      </c>
      <c r="C389">
        <v>146.806946627</v>
      </c>
      <c r="D389">
        <v>-19.162575020999999</v>
      </c>
      <c r="F389" s="63"/>
      <c r="G389" s="63"/>
      <c r="H389" t="s">
        <v>78</v>
      </c>
      <c r="I389" s="64">
        <v>1</v>
      </c>
      <c r="J389" s="31"/>
      <c r="K389" s="31"/>
      <c r="L389" s="31"/>
      <c r="M389" s="31"/>
      <c r="N389" s="4"/>
      <c r="O389" s="4"/>
      <c r="P389" s="4"/>
      <c r="Q389" s="4"/>
      <c r="U389" s="5"/>
      <c r="V389" s="4"/>
      <c r="AG389" t="s">
        <v>430</v>
      </c>
      <c r="AM389" s="1">
        <f t="shared" si="11"/>
        <v>0</v>
      </c>
    </row>
    <row r="390" spans="1:39" x14ac:dyDescent="0.35">
      <c r="A390">
        <v>386</v>
      </c>
      <c r="B390">
        <v>387</v>
      </c>
      <c r="C390">
        <v>146.806869191</v>
      </c>
      <c r="D390">
        <v>-19.162532009</v>
      </c>
      <c r="F390" s="63"/>
      <c r="G390" s="63"/>
      <c r="H390" t="s">
        <v>78</v>
      </c>
      <c r="I390" s="64">
        <v>1</v>
      </c>
      <c r="J390" s="31"/>
      <c r="K390" s="31"/>
      <c r="L390" s="31"/>
      <c r="M390" s="31"/>
      <c r="N390" s="4"/>
      <c r="O390" s="4"/>
      <c r="P390" s="4"/>
      <c r="Q390" s="4"/>
      <c r="U390" s="5"/>
      <c r="V390" s="4"/>
      <c r="AG390" t="s">
        <v>431</v>
      </c>
      <c r="AM390" s="1">
        <f t="shared" si="11"/>
        <v>0</v>
      </c>
    </row>
    <row r="391" spans="1:39" x14ac:dyDescent="0.35">
      <c r="A391">
        <v>387</v>
      </c>
      <c r="B391">
        <v>388</v>
      </c>
      <c r="C391">
        <v>146.806791756</v>
      </c>
      <c r="D391">
        <v>-19.162488997000001</v>
      </c>
      <c r="F391" s="63"/>
      <c r="G391" s="63"/>
      <c r="H391" t="s">
        <v>78</v>
      </c>
      <c r="I391" s="64">
        <v>1</v>
      </c>
      <c r="J391" s="31"/>
      <c r="K391" s="31"/>
      <c r="L391" s="31"/>
      <c r="M391" s="31"/>
      <c r="N391" s="4"/>
      <c r="O391" s="4"/>
      <c r="P391" s="4"/>
      <c r="Q391" s="4"/>
      <c r="U391" s="5"/>
      <c r="V391" s="4"/>
      <c r="AG391" t="s">
        <v>432</v>
      </c>
      <c r="AM391" s="1">
        <f t="shared" si="11"/>
        <v>0</v>
      </c>
    </row>
    <row r="392" spans="1:39" x14ac:dyDescent="0.35">
      <c r="A392">
        <v>388</v>
      </c>
      <c r="B392">
        <v>389</v>
      </c>
      <c r="C392">
        <v>146.80671432</v>
      </c>
      <c r="D392">
        <v>-19.162445985000002</v>
      </c>
      <c r="F392" s="63"/>
      <c r="G392" s="63"/>
      <c r="H392" t="s">
        <v>78</v>
      </c>
      <c r="I392" s="64">
        <v>1</v>
      </c>
      <c r="J392" s="31"/>
      <c r="K392" s="31"/>
      <c r="L392" s="31"/>
      <c r="M392" s="31"/>
      <c r="N392" s="4"/>
      <c r="O392" s="4"/>
      <c r="P392" s="4"/>
      <c r="Q392" s="4"/>
      <c r="U392" s="5"/>
      <c r="V392" s="4"/>
      <c r="AG392" t="s">
        <v>433</v>
      </c>
      <c r="AM392" s="1">
        <f t="shared" si="11"/>
        <v>0</v>
      </c>
    </row>
    <row r="393" spans="1:39" x14ac:dyDescent="0.35">
      <c r="A393">
        <v>389</v>
      </c>
      <c r="B393">
        <v>390</v>
      </c>
      <c r="C393">
        <v>146.80663282899999</v>
      </c>
      <c r="D393">
        <v>-19.162410300000001</v>
      </c>
      <c r="E393">
        <v>50</v>
      </c>
      <c r="F393" s="63"/>
      <c r="G393" s="63"/>
      <c r="H393" t="s">
        <v>78</v>
      </c>
      <c r="I393" s="64">
        <v>1</v>
      </c>
      <c r="J393" s="31"/>
      <c r="K393" s="31"/>
      <c r="L393" s="31"/>
      <c r="M393" s="31"/>
      <c r="N393" s="4"/>
      <c r="O393" s="4"/>
      <c r="P393" s="4"/>
      <c r="Q393" s="4"/>
      <c r="U393" s="5"/>
      <c r="V393" s="4"/>
      <c r="AG393" t="s">
        <v>434</v>
      </c>
      <c r="AM393" s="1">
        <f t="shared" si="11"/>
        <v>0</v>
      </c>
    </row>
    <row r="394" spans="1:39" x14ac:dyDescent="0.35">
      <c r="A394">
        <v>390</v>
      </c>
      <c r="B394">
        <v>391</v>
      </c>
      <c r="C394">
        <v>146.806551246</v>
      </c>
      <c r="D394">
        <v>-19.162374782000001</v>
      </c>
      <c r="F394" s="63"/>
      <c r="G394" s="63"/>
      <c r="H394" t="s">
        <v>78</v>
      </c>
      <c r="I394" s="64">
        <v>1</v>
      </c>
      <c r="J394" s="31"/>
      <c r="K394" s="31"/>
      <c r="L394" s="31"/>
      <c r="M394" s="31"/>
      <c r="N394" s="4"/>
      <c r="O394" s="4"/>
      <c r="P394" s="4"/>
      <c r="Q394" s="4"/>
      <c r="U394" s="5"/>
      <c r="V394" s="4"/>
      <c r="AG394" t="s">
        <v>435</v>
      </c>
      <c r="AM394" s="1">
        <f t="shared" si="11"/>
        <v>0</v>
      </c>
    </row>
    <row r="395" spans="1:39" x14ac:dyDescent="0.35">
      <c r="A395">
        <v>391</v>
      </c>
      <c r="B395">
        <v>392</v>
      </c>
      <c r="C395">
        <v>146.80646966200001</v>
      </c>
      <c r="D395">
        <v>-19.162339265</v>
      </c>
      <c r="F395" s="63"/>
      <c r="G395" s="63"/>
      <c r="H395" t="s">
        <v>78</v>
      </c>
      <c r="I395" s="64">
        <v>1</v>
      </c>
      <c r="J395" s="31"/>
      <c r="K395" s="31"/>
      <c r="L395" s="31"/>
      <c r="M395" s="31"/>
      <c r="N395" s="4"/>
      <c r="O395" s="4"/>
      <c r="P395" s="4"/>
      <c r="Q395" s="4"/>
      <c r="U395" s="5"/>
      <c r="V395" s="4"/>
      <c r="AG395" t="s">
        <v>436</v>
      </c>
      <c r="AM395" s="1">
        <f t="shared" si="11"/>
        <v>0</v>
      </c>
    </row>
    <row r="396" spans="1:39" x14ac:dyDescent="0.35">
      <c r="A396">
        <v>392</v>
      </c>
      <c r="B396">
        <v>393</v>
      </c>
      <c r="C396">
        <v>146.80638604999999</v>
      </c>
      <c r="D396">
        <v>-19.162308499999899</v>
      </c>
      <c r="F396" s="63"/>
      <c r="G396" s="63"/>
      <c r="H396" t="s">
        <v>78</v>
      </c>
      <c r="I396" s="64">
        <v>1</v>
      </c>
      <c r="J396" s="31"/>
      <c r="K396" s="31"/>
      <c r="L396" s="31"/>
      <c r="M396" s="31"/>
      <c r="N396" s="4"/>
      <c r="O396" s="4"/>
      <c r="P396" s="4"/>
      <c r="Q396" s="4"/>
      <c r="U396" s="5"/>
      <c r="V396" s="4"/>
      <c r="AG396" t="s">
        <v>437</v>
      </c>
      <c r="AM396" s="1">
        <f t="shared" si="11"/>
        <v>0</v>
      </c>
    </row>
    <row r="397" spans="1:39" x14ac:dyDescent="0.35">
      <c r="A397">
        <v>393</v>
      </c>
      <c r="B397">
        <v>394</v>
      </c>
      <c r="C397">
        <v>146.806301198</v>
      </c>
      <c r="D397">
        <v>-19.162280641999899</v>
      </c>
      <c r="F397" s="63"/>
      <c r="G397" s="63"/>
      <c r="H397" t="s">
        <v>78</v>
      </c>
      <c r="I397" s="64">
        <v>1</v>
      </c>
      <c r="J397" s="31"/>
      <c r="K397" s="31"/>
      <c r="L397" s="31"/>
      <c r="M397" s="31"/>
      <c r="N397" s="4"/>
      <c r="O397" s="4"/>
      <c r="P397" s="4"/>
      <c r="Q397" s="4"/>
      <c r="U397" s="5"/>
      <c r="V397" s="4"/>
      <c r="AG397" t="s">
        <v>438</v>
      </c>
      <c r="AM397" s="1">
        <f t="shared" si="11"/>
        <v>0</v>
      </c>
    </row>
    <row r="398" spans="1:39" x14ac:dyDescent="0.35">
      <c r="A398">
        <v>394</v>
      </c>
      <c r="B398">
        <v>395</v>
      </c>
      <c r="C398">
        <v>146.80621786099999</v>
      </c>
      <c r="D398">
        <v>-19.162249738</v>
      </c>
      <c r="E398">
        <v>50</v>
      </c>
      <c r="F398" s="63"/>
      <c r="G398" s="63"/>
      <c r="H398" t="s">
        <v>78</v>
      </c>
      <c r="I398" s="64">
        <v>1</v>
      </c>
      <c r="J398" s="31"/>
      <c r="K398" s="31"/>
      <c r="L398" s="31"/>
      <c r="M398" s="31"/>
      <c r="N398" s="4"/>
      <c r="O398" s="4"/>
      <c r="P398" s="4"/>
      <c r="Q398" s="4"/>
      <c r="U398" s="5"/>
      <c r="V398" s="4"/>
      <c r="AG398" t="s">
        <v>439</v>
      </c>
      <c r="AM398" s="1">
        <f t="shared" si="11"/>
        <v>0</v>
      </c>
    </row>
    <row r="399" spans="1:39" x14ac:dyDescent="0.35">
      <c r="A399">
        <v>395</v>
      </c>
      <c r="B399">
        <v>396</v>
      </c>
      <c r="C399">
        <v>146.80614100599999</v>
      </c>
      <c r="D399">
        <v>-19.162205806999999</v>
      </c>
      <c r="F399" s="63"/>
      <c r="G399" s="63"/>
      <c r="H399" t="s">
        <v>78</v>
      </c>
      <c r="I399" s="64">
        <v>1</v>
      </c>
      <c r="J399" s="31"/>
      <c r="K399" s="31"/>
      <c r="L399" s="31"/>
      <c r="M399" s="31"/>
      <c r="N399" s="4"/>
      <c r="O399" s="4"/>
      <c r="P399" s="4"/>
      <c r="Q399" s="4"/>
      <c r="U399" s="5"/>
      <c r="V399" s="4"/>
      <c r="AG399" t="s">
        <v>440</v>
      </c>
      <c r="AM399" s="1">
        <f t="shared" si="11"/>
        <v>0</v>
      </c>
    </row>
    <row r="400" spans="1:39" x14ac:dyDescent="0.35">
      <c r="A400">
        <v>396</v>
      </c>
      <c r="B400">
        <v>397</v>
      </c>
      <c r="C400">
        <v>146.80605995900001</v>
      </c>
      <c r="D400">
        <v>-19.162171072</v>
      </c>
      <c r="F400" s="63"/>
      <c r="G400" s="63"/>
      <c r="H400" t="s">
        <v>78</v>
      </c>
      <c r="I400" s="64">
        <v>1</v>
      </c>
      <c r="J400" s="31"/>
      <c r="K400" s="31"/>
      <c r="L400" s="31"/>
      <c r="M400" s="31"/>
      <c r="N400" s="4"/>
      <c r="O400" s="4"/>
      <c r="P400" s="4"/>
      <c r="Q400" s="4"/>
      <c r="U400" s="5"/>
      <c r="V400" s="4"/>
      <c r="AG400" t="s">
        <v>441</v>
      </c>
      <c r="AM400" s="1">
        <f t="shared" ref="AM400:AM421" si="12">HYPERLINK("E:\CAFNEC_GBRF\2023\JohnstoneRiver\Frames_for_Analysis\" &amp; F401, F401)</f>
        <v>0</v>
      </c>
    </row>
    <row r="401" spans="1:39" x14ac:dyDescent="0.35">
      <c r="A401">
        <v>397</v>
      </c>
      <c r="B401">
        <v>398</v>
      </c>
      <c r="C401">
        <v>146.80597335600001</v>
      </c>
      <c r="D401">
        <v>-19.162148529</v>
      </c>
      <c r="F401" s="63"/>
      <c r="G401" s="63"/>
      <c r="H401" t="s">
        <v>78</v>
      </c>
      <c r="I401" s="64">
        <v>1</v>
      </c>
      <c r="J401" s="31"/>
      <c r="K401" s="31"/>
      <c r="L401" s="31"/>
      <c r="M401" s="31"/>
      <c r="N401" s="4"/>
      <c r="O401" s="4"/>
      <c r="P401" s="4"/>
      <c r="Q401" s="4"/>
      <c r="U401" s="5"/>
      <c r="V401" s="4"/>
      <c r="AG401" t="s">
        <v>442</v>
      </c>
      <c r="AM401" s="1">
        <f t="shared" si="12"/>
        <v>0</v>
      </c>
    </row>
    <row r="402" spans="1:39" x14ac:dyDescent="0.35">
      <c r="A402">
        <v>398</v>
      </c>
      <c r="B402">
        <v>399</v>
      </c>
      <c r="C402">
        <v>146.80588584200001</v>
      </c>
      <c r="D402">
        <v>-19.162132319000001</v>
      </c>
      <c r="F402" s="63"/>
      <c r="G402" s="63"/>
      <c r="H402" t="s">
        <v>78</v>
      </c>
      <c r="I402" s="64">
        <v>1</v>
      </c>
      <c r="J402" s="31"/>
      <c r="K402" s="31"/>
      <c r="L402" s="31"/>
      <c r="M402" s="31"/>
      <c r="N402" s="4"/>
      <c r="O402" s="4"/>
      <c r="P402" s="4"/>
      <c r="Q402" s="4"/>
      <c r="U402" s="5"/>
      <c r="V402" s="4"/>
      <c r="AG402" t="s">
        <v>443</v>
      </c>
      <c r="AM402" s="1">
        <f t="shared" si="12"/>
        <v>0</v>
      </c>
    </row>
    <row r="403" spans="1:39" x14ac:dyDescent="0.35">
      <c r="A403">
        <v>399</v>
      </c>
      <c r="B403">
        <v>400</v>
      </c>
      <c r="C403">
        <v>146.80579600999999</v>
      </c>
      <c r="D403">
        <v>-19.162132223999901</v>
      </c>
      <c r="E403">
        <v>50</v>
      </c>
      <c r="F403" s="63"/>
      <c r="G403" s="63"/>
      <c r="H403" t="s">
        <v>78</v>
      </c>
      <c r="I403" s="64">
        <v>1</v>
      </c>
      <c r="J403" s="31"/>
      <c r="K403" s="31"/>
      <c r="L403" s="31"/>
      <c r="M403" s="31"/>
      <c r="N403" s="4"/>
      <c r="O403" s="4"/>
      <c r="P403" s="4"/>
      <c r="Q403" s="4"/>
      <c r="U403" s="5"/>
      <c r="V403" s="4"/>
      <c r="AG403" t="s">
        <v>444</v>
      </c>
      <c r="AM403" s="1">
        <f t="shared" si="12"/>
        <v>0</v>
      </c>
    </row>
    <row r="404" spans="1:39" x14ac:dyDescent="0.35">
      <c r="A404">
        <v>400</v>
      </c>
      <c r="B404">
        <v>401</v>
      </c>
      <c r="C404">
        <v>146.805707571</v>
      </c>
      <c r="D404">
        <v>-19.162118490999902</v>
      </c>
      <c r="F404" s="63"/>
      <c r="G404" s="63"/>
      <c r="H404" t="s">
        <v>78</v>
      </c>
      <c r="I404" s="64">
        <v>1</v>
      </c>
      <c r="J404" s="31"/>
      <c r="K404" s="31"/>
      <c r="L404" s="31"/>
      <c r="M404" s="31"/>
      <c r="N404" s="4"/>
      <c r="O404" s="4"/>
      <c r="P404" s="4"/>
      <c r="Q404" s="4"/>
      <c r="U404" s="5"/>
      <c r="V404" s="4"/>
      <c r="AG404" t="s">
        <v>445</v>
      </c>
      <c r="AM404" s="1">
        <f t="shared" si="12"/>
        <v>0</v>
      </c>
    </row>
    <row r="405" spans="1:39" x14ac:dyDescent="0.35">
      <c r="A405">
        <v>401</v>
      </c>
      <c r="B405">
        <v>402</v>
      </c>
      <c r="C405">
        <v>146.80561937499999</v>
      </c>
      <c r="D405">
        <v>-19.1621023709999</v>
      </c>
      <c r="F405" s="63"/>
      <c r="G405" s="63"/>
      <c r="H405" t="s">
        <v>78</v>
      </c>
      <c r="I405" s="64">
        <v>1</v>
      </c>
      <c r="J405" s="31"/>
      <c r="K405" s="31"/>
      <c r="L405" s="31"/>
      <c r="M405" s="31"/>
      <c r="N405" s="4"/>
      <c r="O405" s="4"/>
      <c r="P405" s="4"/>
      <c r="Q405" s="4"/>
      <c r="U405" s="5"/>
      <c r="V405" s="4"/>
      <c r="AG405" t="s">
        <v>446</v>
      </c>
      <c r="AM405" s="1">
        <f t="shared" si="12"/>
        <v>0</v>
      </c>
    </row>
    <row r="406" spans="1:39" x14ac:dyDescent="0.35">
      <c r="A406">
        <v>402</v>
      </c>
      <c r="B406">
        <v>403</v>
      </c>
      <c r="C406">
        <v>146.80553078299999</v>
      </c>
      <c r="D406">
        <v>-19.162090452000001</v>
      </c>
      <c r="F406" s="63"/>
      <c r="G406" s="63"/>
      <c r="H406" t="s">
        <v>78</v>
      </c>
      <c r="I406" s="64">
        <v>1</v>
      </c>
      <c r="J406" s="31"/>
      <c r="K406" s="31"/>
      <c r="L406" s="31"/>
      <c r="M406" s="31"/>
      <c r="N406" s="4"/>
      <c r="O406" s="4"/>
      <c r="P406" s="4"/>
      <c r="Q406" s="4"/>
      <c r="U406" s="5"/>
      <c r="V406" s="4"/>
      <c r="AG406" t="s">
        <v>447</v>
      </c>
      <c r="AM406" s="1">
        <f t="shared" si="12"/>
        <v>0</v>
      </c>
    </row>
    <row r="407" spans="1:39" x14ac:dyDescent="0.35">
      <c r="A407">
        <v>403</v>
      </c>
      <c r="B407">
        <v>404</v>
      </c>
      <c r="C407">
        <v>146.80544096</v>
      </c>
      <c r="D407">
        <v>-19.1620915939999</v>
      </c>
      <c r="F407" s="63"/>
      <c r="G407" s="63"/>
      <c r="H407" t="s">
        <v>78</v>
      </c>
      <c r="I407" s="64">
        <v>1</v>
      </c>
      <c r="J407" s="31"/>
      <c r="K407" s="31"/>
      <c r="L407" s="31"/>
      <c r="M407" s="31"/>
      <c r="N407" s="4"/>
      <c r="O407" s="4"/>
      <c r="P407" s="4"/>
      <c r="Q407" s="4"/>
      <c r="U407" s="5"/>
      <c r="V407" s="4"/>
      <c r="AG407" t="s">
        <v>448</v>
      </c>
      <c r="AM407" s="1">
        <f t="shared" si="12"/>
        <v>0</v>
      </c>
    </row>
    <row r="408" spans="1:39" x14ac:dyDescent="0.35">
      <c r="A408">
        <v>404</v>
      </c>
      <c r="B408">
        <v>405</v>
      </c>
      <c r="C408">
        <v>146.80535113600001</v>
      </c>
      <c r="D408">
        <v>-19.162092736999998</v>
      </c>
      <c r="E408">
        <v>50</v>
      </c>
      <c r="F408" s="63"/>
      <c r="G408" s="63"/>
      <c r="H408" t="s">
        <v>78</v>
      </c>
      <c r="I408" s="64">
        <v>1</v>
      </c>
      <c r="J408" s="31"/>
      <c r="K408" s="31"/>
      <c r="L408" s="31"/>
      <c r="M408" s="31"/>
      <c r="N408" s="4"/>
      <c r="O408" s="4"/>
      <c r="P408" s="4"/>
      <c r="Q408" s="4"/>
      <c r="U408" s="5"/>
      <c r="V408" s="4"/>
      <c r="AG408" t="s">
        <v>449</v>
      </c>
      <c r="AM408" s="1">
        <f t="shared" si="12"/>
        <v>0</v>
      </c>
    </row>
    <row r="409" spans="1:39" x14ac:dyDescent="0.35">
      <c r="A409">
        <v>405</v>
      </c>
      <c r="B409">
        <v>406</v>
      </c>
      <c r="C409">
        <v>146.805264784</v>
      </c>
      <c r="D409">
        <v>-19.162074475999901</v>
      </c>
      <c r="F409" s="63"/>
      <c r="G409" s="63"/>
      <c r="H409" t="s">
        <v>78</v>
      </c>
      <c r="I409" s="64">
        <v>1</v>
      </c>
      <c r="J409" s="31"/>
      <c r="K409" s="31"/>
      <c r="L409" s="31"/>
      <c r="M409" s="31"/>
      <c r="N409" s="4"/>
      <c r="O409" s="4"/>
      <c r="P409" s="4"/>
      <c r="Q409" s="4"/>
      <c r="U409" s="5"/>
      <c r="V409" s="4"/>
      <c r="AG409" t="s">
        <v>450</v>
      </c>
      <c r="AM409" s="1">
        <f t="shared" si="12"/>
        <v>0</v>
      </c>
    </row>
    <row r="410" spans="1:39" x14ac:dyDescent="0.35">
      <c r="A410">
        <v>406</v>
      </c>
      <c r="B410">
        <v>407</v>
      </c>
      <c r="C410">
        <v>146.80518034599999</v>
      </c>
      <c r="D410">
        <v>-19.162045515999999</v>
      </c>
      <c r="F410" s="63"/>
      <c r="G410" s="63"/>
      <c r="H410" t="s">
        <v>78</v>
      </c>
      <c r="I410" s="64">
        <v>1</v>
      </c>
      <c r="J410" s="31"/>
      <c r="K410" s="31"/>
      <c r="L410" s="31"/>
      <c r="M410" s="31"/>
      <c r="N410" s="4"/>
      <c r="O410" s="4"/>
      <c r="P410" s="4"/>
      <c r="Q410" s="4"/>
      <c r="U410" s="5"/>
      <c r="V410" s="4"/>
      <c r="AG410" t="s">
        <v>451</v>
      </c>
      <c r="AM410" s="1">
        <f t="shared" si="12"/>
        <v>0</v>
      </c>
    </row>
    <row r="411" spans="1:39" x14ac:dyDescent="0.35">
      <c r="A411">
        <v>407</v>
      </c>
      <c r="B411">
        <v>408</v>
      </c>
      <c r="C411">
        <v>146.805095908</v>
      </c>
      <c r="D411">
        <v>-19.162016557000001</v>
      </c>
      <c r="F411" s="63"/>
      <c r="G411" s="63"/>
      <c r="H411" t="s">
        <v>78</v>
      </c>
      <c r="I411" s="64">
        <v>1</v>
      </c>
      <c r="J411" s="31"/>
      <c r="K411" s="31"/>
      <c r="L411" s="31"/>
      <c r="M411" s="31"/>
      <c r="N411" s="4"/>
      <c r="O411" s="4"/>
      <c r="P411" s="4"/>
      <c r="Q411" s="4"/>
      <c r="U411" s="5"/>
      <c r="V411" s="4"/>
      <c r="AG411" t="s">
        <v>452</v>
      </c>
      <c r="AM411" s="1">
        <f t="shared" si="12"/>
        <v>0</v>
      </c>
    </row>
    <row r="412" spans="1:39" x14ac:dyDescent="0.35">
      <c r="A412">
        <v>408</v>
      </c>
      <c r="B412">
        <v>409</v>
      </c>
      <c r="C412">
        <v>146.80501147000001</v>
      </c>
      <c r="D412">
        <v>-19.1619875979999</v>
      </c>
      <c r="F412" s="63"/>
      <c r="G412" s="63"/>
      <c r="H412" t="s">
        <v>78</v>
      </c>
      <c r="I412" s="64">
        <v>1</v>
      </c>
      <c r="J412" s="31"/>
      <c r="K412" s="31"/>
      <c r="L412" s="31"/>
      <c r="M412" s="31"/>
      <c r="N412" s="4"/>
      <c r="O412" s="4"/>
      <c r="P412" s="4"/>
      <c r="Q412" s="4"/>
      <c r="U412" s="5"/>
      <c r="V412" s="4"/>
      <c r="AG412" t="s">
        <v>453</v>
      </c>
      <c r="AM412" s="1">
        <f t="shared" si="12"/>
        <v>0</v>
      </c>
    </row>
    <row r="413" spans="1:39" x14ac:dyDescent="0.35">
      <c r="A413">
        <v>409</v>
      </c>
      <c r="B413">
        <v>410</v>
      </c>
      <c r="C413">
        <v>146.80492736599999</v>
      </c>
      <c r="D413">
        <v>-19.161957905999898</v>
      </c>
      <c r="E413">
        <v>50</v>
      </c>
      <c r="F413" s="63"/>
      <c r="G413" s="63"/>
      <c r="H413" t="s">
        <v>78</v>
      </c>
      <c r="I413" s="64">
        <v>1</v>
      </c>
      <c r="J413" s="31"/>
      <c r="K413" s="31"/>
      <c r="L413" s="31"/>
      <c r="M413" s="31"/>
      <c r="N413" s="4"/>
      <c r="O413" s="4"/>
      <c r="P413" s="4"/>
      <c r="Q413" s="4"/>
      <c r="U413" s="5"/>
      <c r="V413" s="4"/>
      <c r="AG413" t="s">
        <v>454</v>
      </c>
      <c r="AM413" s="1">
        <f t="shared" si="12"/>
        <v>0</v>
      </c>
    </row>
    <row r="414" spans="1:39" x14ac:dyDescent="0.35">
      <c r="A414">
        <v>410</v>
      </c>
      <c r="B414">
        <v>411</v>
      </c>
      <c r="C414">
        <v>146.804847161</v>
      </c>
      <c r="D414">
        <v>-19.161919691000001</v>
      </c>
      <c r="F414" s="63"/>
      <c r="G414" s="63"/>
      <c r="H414" t="s">
        <v>78</v>
      </c>
      <c r="I414" s="64">
        <v>1</v>
      </c>
      <c r="J414" s="31"/>
      <c r="K414" s="31"/>
      <c r="L414" s="31"/>
      <c r="M414" s="31"/>
      <c r="N414" s="4"/>
      <c r="O414" s="4"/>
      <c r="P414" s="4"/>
      <c r="Q414" s="4"/>
      <c r="U414" s="5"/>
      <c r="V414" s="4"/>
      <c r="AG414" t="s">
        <v>455</v>
      </c>
      <c r="AM414" s="1">
        <f t="shared" si="12"/>
        <v>0</v>
      </c>
    </row>
    <row r="415" spans="1:39" x14ac:dyDescent="0.35">
      <c r="A415">
        <v>411</v>
      </c>
      <c r="B415">
        <v>412</v>
      </c>
      <c r="C415">
        <v>146.80476695499999</v>
      </c>
      <c r="D415">
        <v>-19.161881475000001</v>
      </c>
      <c r="F415" s="63"/>
      <c r="G415" s="63"/>
      <c r="H415" t="s">
        <v>78</v>
      </c>
      <c r="I415" s="64">
        <v>1</v>
      </c>
      <c r="J415" s="31"/>
      <c r="K415" s="31"/>
      <c r="L415" s="31"/>
      <c r="M415" s="31"/>
      <c r="N415" s="4"/>
      <c r="O415" s="4"/>
      <c r="P415" s="4"/>
      <c r="Q415" s="4"/>
      <c r="U415" s="5"/>
      <c r="V415" s="4"/>
      <c r="AG415" t="s">
        <v>456</v>
      </c>
      <c r="AM415" s="1">
        <f t="shared" si="12"/>
        <v>0</v>
      </c>
    </row>
    <row r="416" spans="1:39" x14ac:dyDescent="0.35">
      <c r="A416">
        <v>412</v>
      </c>
      <c r="B416">
        <v>413</v>
      </c>
      <c r="C416">
        <v>146.80468675</v>
      </c>
      <c r="D416">
        <v>-19.161843260000001</v>
      </c>
      <c r="F416" s="63"/>
      <c r="G416" s="63"/>
      <c r="H416" t="s">
        <v>78</v>
      </c>
      <c r="I416" s="64">
        <v>1</v>
      </c>
      <c r="J416" s="31"/>
      <c r="K416" s="31"/>
      <c r="L416" s="31"/>
      <c r="M416" s="31"/>
      <c r="N416" s="4"/>
      <c r="O416" s="4"/>
      <c r="P416" s="4"/>
      <c r="Q416" s="4"/>
      <c r="U416" s="5"/>
      <c r="V416" s="4"/>
      <c r="AG416" t="s">
        <v>457</v>
      </c>
      <c r="AM416" s="1">
        <f t="shared" si="12"/>
        <v>0</v>
      </c>
    </row>
    <row r="417" spans="1:39" x14ac:dyDescent="0.35">
      <c r="A417">
        <v>413</v>
      </c>
      <c r="B417">
        <v>414</v>
      </c>
      <c r="C417">
        <v>146.80460654399999</v>
      </c>
      <c r="D417">
        <v>-19.161805043999902</v>
      </c>
      <c r="F417" s="63"/>
      <c r="G417" s="63"/>
      <c r="H417" t="s">
        <v>78</v>
      </c>
      <c r="I417" s="64">
        <v>1</v>
      </c>
      <c r="J417" s="31"/>
      <c r="K417" s="31"/>
      <c r="L417" s="31"/>
      <c r="M417" s="31"/>
      <c r="N417" s="4"/>
      <c r="O417" s="4"/>
      <c r="P417" s="4"/>
      <c r="Q417" s="4"/>
      <c r="U417" s="5"/>
      <c r="V417" s="4"/>
      <c r="AG417" t="s">
        <v>458</v>
      </c>
      <c r="AM417" s="1">
        <f t="shared" si="12"/>
        <v>0</v>
      </c>
    </row>
    <row r="418" spans="1:39" x14ac:dyDescent="0.35">
      <c r="A418">
        <v>414</v>
      </c>
      <c r="B418">
        <v>415</v>
      </c>
      <c r="C418">
        <v>146.80452806400001</v>
      </c>
      <c r="D418">
        <v>-19.161764085000002</v>
      </c>
      <c r="E418">
        <v>50</v>
      </c>
      <c r="F418" s="63"/>
      <c r="G418" s="63"/>
      <c r="H418" t="s">
        <v>78</v>
      </c>
      <c r="I418" s="64">
        <v>1</v>
      </c>
      <c r="J418" s="31"/>
      <c r="K418" s="31"/>
      <c r="L418" s="31"/>
      <c r="M418" s="31"/>
      <c r="N418" s="4"/>
      <c r="O418" s="4"/>
      <c r="P418" s="4"/>
      <c r="Q418" s="4"/>
      <c r="U418" s="5"/>
      <c r="V418" s="4"/>
      <c r="AG418" t="s">
        <v>459</v>
      </c>
      <c r="AM418" s="1">
        <f t="shared" si="12"/>
        <v>0</v>
      </c>
    </row>
    <row r="419" spans="1:39" x14ac:dyDescent="0.35">
      <c r="A419">
        <v>415</v>
      </c>
      <c r="B419">
        <v>416</v>
      </c>
      <c r="C419">
        <v>146.80445416800001</v>
      </c>
      <c r="D419">
        <v>-19.1617158359999</v>
      </c>
      <c r="F419" s="63"/>
      <c r="G419" s="63"/>
      <c r="H419" t="s">
        <v>78</v>
      </c>
      <c r="I419" s="64">
        <v>1</v>
      </c>
      <c r="J419" s="31"/>
      <c r="K419" s="31"/>
      <c r="L419" s="31"/>
      <c r="M419" s="31"/>
      <c r="N419" s="4"/>
      <c r="O419" s="4"/>
      <c r="P419" s="4"/>
      <c r="Q419" s="4"/>
      <c r="U419" s="5"/>
      <c r="V419" s="4"/>
      <c r="AG419" t="s">
        <v>460</v>
      </c>
      <c r="AM419" s="1">
        <f t="shared" si="12"/>
        <v>0</v>
      </c>
    </row>
    <row r="420" spans="1:39" x14ac:dyDescent="0.35">
      <c r="A420">
        <v>416</v>
      </c>
      <c r="B420">
        <v>417</v>
      </c>
      <c r="C420">
        <v>146.804380272</v>
      </c>
      <c r="D420">
        <v>-19.161667586</v>
      </c>
      <c r="F420" s="63"/>
      <c r="G420" s="63"/>
      <c r="H420" t="s">
        <v>78</v>
      </c>
      <c r="I420" s="64">
        <v>1</v>
      </c>
      <c r="J420" s="31"/>
      <c r="K420" s="31"/>
      <c r="L420" s="31"/>
      <c r="M420" s="31"/>
      <c r="N420" s="4"/>
      <c r="O420" s="4"/>
      <c r="P420" s="4"/>
      <c r="Q420" s="4"/>
      <c r="U420" s="5"/>
      <c r="V420" s="4"/>
      <c r="AG420" t="s">
        <v>461</v>
      </c>
      <c r="AM420" s="1">
        <f t="shared" si="12"/>
        <v>0</v>
      </c>
    </row>
    <row r="421" spans="1:39" x14ac:dyDescent="0.35">
      <c r="A421">
        <v>417</v>
      </c>
      <c r="B421">
        <v>418</v>
      </c>
      <c r="C421">
        <v>146.804306376</v>
      </c>
      <c r="D421">
        <v>-19.161619336999902</v>
      </c>
      <c r="F421" s="63"/>
      <c r="G421" s="63"/>
      <c r="H421" t="s">
        <v>78</v>
      </c>
      <c r="I421" s="64">
        <v>1</v>
      </c>
      <c r="J421" s="31"/>
      <c r="K421" s="31"/>
      <c r="L421" s="31"/>
      <c r="M421" s="31"/>
      <c r="N421" s="4"/>
      <c r="O421" s="4"/>
      <c r="P421" s="4"/>
      <c r="Q421" s="4"/>
      <c r="U421" s="5"/>
      <c r="V421" s="4"/>
      <c r="AG421" t="s">
        <v>462</v>
      </c>
      <c r="AM421" s="1">
        <f t="shared" si="12"/>
        <v>0</v>
      </c>
    </row>
    <row r="422" spans="1:39" x14ac:dyDescent="0.35">
      <c r="A422">
        <v>418</v>
      </c>
      <c r="B422">
        <v>419</v>
      </c>
      <c r="C422">
        <v>146.80423248100001</v>
      </c>
      <c r="D422">
        <v>-19.161571086999999</v>
      </c>
      <c r="F422" s="63"/>
      <c r="G422" s="63"/>
      <c r="H422" t="s">
        <v>78</v>
      </c>
      <c r="I422" s="64">
        <v>1</v>
      </c>
      <c r="J422" s="31"/>
      <c r="K422" s="31"/>
      <c r="L422" s="31"/>
      <c r="M422" s="31"/>
      <c r="N422" s="4"/>
      <c r="O422" s="4"/>
      <c r="P422" s="4"/>
      <c r="Q422" s="4"/>
      <c r="U422" s="5"/>
      <c r="V422" s="4"/>
      <c r="AG422" t="s">
        <v>463</v>
      </c>
      <c r="AM422" s="1"/>
    </row>
    <row r="423" spans="1:39" x14ac:dyDescent="0.35">
      <c r="A423">
        <v>419</v>
      </c>
      <c r="B423">
        <v>420</v>
      </c>
      <c r="C423">
        <v>146.80415858500001</v>
      </c>
      <c r="D423">
        <v>-19.1615228379999</v>
      </c>
      <c r="E423">
        <v>50</v>
      </c>
      <c r="F423" s="63"/>
      <c r="G423" s="63"/>
      <c r="H423" t="s">
        <v>78</v>
      </c>
      <c r="I423" s="64">
        <v>1</v>
      </c>
      <c r="J423" s="31"/>
      <c r="K423" s="31"/>
      <c r="L423" s="31"/>
      <c r="M423" s="31"/>
      <c r="N423" s="4"/>
      <c r="O423" s="4"/>
      <c r="P423" s="4"/>
      <c r="Q423" s="4"/>
      <c r="U423" s="5"/>
      <c r="V423" s="4"/>
      <c r="AG423" t="s">
        <v>464</v>
      </c>
      <c r="AM423" s="1"/>
    </row>
    <row r="424" spans="1:39" x14ac:dyDescent="0.35">
      <c r="A424">
        <v>420</v>
      </c>
      <c r="B424">
        <v>421</v>
      </c>
      <c r="C424">
        <v>146.80408468900001</v>
      </c>
      <c r="D424">
        <v>-19.161474588000001</v>
      </c>
      <c r="F424" s="63"/>
      <c r="G424" s="63"/>
      <c r="H424" t="s">
        <v>78</v>
      </c>
      <c r="I424" s="64">
        <v>1</v>
      </c>
      <c r="J424" s="31"/>
      <c r="K424" s="31"/>
      <c r="L424" s="31"/>
      <c r="M424" s="31"/>
      <c r="N424" s="4"/>
      <c r="O424" s="4"/>
      <c r="P424" s="4"/>
      <c r="Q424" s="4"/>
      <c r="U424" s="5"/>
      <c r="V424" s="4"/>
      <c r="AG424" t="s">
        <v>465</v>
      </c>
      <c r="AM424" s="1"/>
    </row>
    <row r="425" spans="1:39" x14ac:dyDescent="0.35">
      <c r="A425">
        <v>421</v>
      </c>
      <c r="B425">
        <v>422</v>
      </c>
      <c r="C425">
        <v>146.804010793</v>
      </c>
      <c r="D425">
        <v>-19.161426338999899</v>
      </c>
      <c r="F425" s="63"/>
      <c r="G425" s="63"/>
      <c r="H425" t="s">
        <v>78</v>
      </c>
      <c r="I425" s="64">
        <v>1</v>
      </c>
      <c r="J425" s="31"/>
      <c r="K425" s="31"/>
      <c r="L425" s="31"/>
      <c r="M425" s="31"/>
      <c r="N425" s="4"/>
      <c r="O425" s="4"/>
      <c r="P425" s="4"/>
      <c r="Q425" s="4"/>
      <c r="U425" s="5"/>
      <c r="V425" s="4"/>
      <c r="AG425" t="s">
        <v>466</v>
      </c>
      <c r="AM425" s="1"/>
    </row>
    <row r="426" spans="1:39" x14ac:dyDescent="0.35">
      <c r="A426">
        <v>422</v>
      </c>
      <c r="B426">
        <v>423</v>
      </c>
      <c r="C426">
        <v>146.803935225</v>
      </c>
      <c r="D426">
        <v>-19.161380529999999</v>
      </c>
      <c r="F426" s="63"/>
      <c r="G426" s="63"/>
      <c r="H426" t="s">
        <v>78</v>
      </c>
      <c r="I426" s="64">
        <v>1</v>
      </c>
      <c r="J426" s="31"/>
      <c r="K426" s="31"/>
      <c r="L426" s="31"/>
      <c r="M426" s="31"/>
      <c r="N426" s="4"/>
      <c r="O426" s="4"/>
      <c r="P426" s="4"/>
      <c r="Q426" s="4"/>
      <c r="U426" s="5"/>
      <c r="V426" s="4"/>
      <c r="AG426" t="s">
        <v>467</v>
      </c>
      <c r="AM426" s="1"/>
    </row>
    <row r="427" spans="1:39" x14ac:dyDescent="0.35">
      <c r="A427">
        <v>423</v>
      </c>
      <c r="B427">
        <v>424</v>
      </c>
      <c r="C427">
        <v>146.80385837</v>
      </c>
      <c r="D427">
        <v>-19.161336597999899</v>
      </c>
      <c r="F427" s="63"/>
      <c r="G427" s="63"/>
      <c r="H427" t="s">
        <v>78</v>
      </c>
      <c r="I427" s="64">
        <v>1</v>
      </c>
      <c r="J427" s="31"/>
      <c r="K427" s="31"/>
      <c r="L427" s="31"/>
      <c r="M427" s="31"/>
      <c r="N427" s="4"/>
      <c r="O427" s="4"/>
      <c r="P427" s="4"/>
      <c r="Q427" s="4"/>
      <c r="U427" s="5"/>
      <c r="V427" s="4"/>
      <c r="AG427" t="s">
        <v>468</v>
      </c>
      <c r="AM427" s="1"/>
    </row>
    <row r="428" spans="1:39" x14ac:dyDescent="0.35">
      <c r="A428">
        <v>424</v>
      </c>
      <c r="B428">
        <v>425</v>
      </c>
      <c r="C428">
        <v>146.803781515</v>
      </c>
      <c r="D428">
        <v>-19.161292666999898</v>
      </c>
      <c r="E428">
        <v>50</v>
      </c>
      <c r="F428" s="63"/>
      <c r="G428" s="63"/>
      <c r="H428" t="s">
        <v>78</v>
      </c>
      <c r="I428" s="64">
        <v>1</v>
      </c>
      <c r="J428" s="31"/>
      <c r="K428" s="31"/>
      <c r="L428" s="31"/>
      <c r="M428" s="31"/>
      <c r="N428" s="4"/>
      <c r="O428" s="4"/>
      <c r="P428" s="4"/>
      <c r="Q428" s="4"/>
      <c r="U428" s="5"/>
      <c r="V428" s="4"/>
      <c r="AG428" t="s">
        <v>469</v>
      </c>
      <c r="AM428" s="1"/>
    </row>
    <row r="429" spans="1:39" x14ac:dyDescent="0.35">
      <c r="A429">
        <v>425</v>
      </c>
      <c r="B429">
        <v>426</v>
      </c>
      <c r="C429">
        <v>146.80370465999999</v>
      </c>
      <c r="D429">
        <v>-19.161248735000001</v>
      </c>
      <c r="F429" s="63"/>
      <c r="G429" s="63"/>
      <c r="H429" t="s">
        <v>78</v>
      </c>
      <c r="I429" s="64">
        <v>1</v>
      </c>
      <c r="J429" s="31"/>
      <c r="K429" s="31"/>
      <c r="L429" s="31"/>
      <c r="M429" s="31"/>
      <c r="N429" s="4"/>
      <c r="O429" s="4"/>
      <c r="P429" s="4"/>
      <c r="Q429" s="4"/>
      <c r="U429" s="5"/>
      <c r="V429" s="4"/>
      <c r="AG429" t="s">
        <v>470</v>
      </c>
      <c r="AM429" s="1"/>
    </row>
    <row r="430" spans="1:39" x14ac:dyDescent="0.35">
      <c r="A430">
        <v>426</v>
      </c>
      <c r="B430">
        <v>427</v>
      </c>
      <c r="C430">
        <v>146.80362780499999</v>
      </c>
      <c r="D430">
        <v>-19.161204803</v>
      </c>
      <c r="F430" s="63"/>
      <c r="G430" s="63"/>
      <c r="H430" t="s">
        <v>78</v>
      </c>
      <c r="I430" s="64">
        <v>1</v>
      </c>
      <c r="J430" s="31"/>
      <c r="K430" s="31"/>
      <c r="L430" s="31"/>
      <c r="M430" s="31"/>
      <c r="N430" s="4"/>
      <c r="O430" s="4"/>
      <c r="P430" s="4"/>
      <c r="Q430" s="4"/>
      <c r="U430" s="5"/>
      <c r="V430" s="4"/>
      <c r="AG430" t="s">
        <v>471</v>
      </c>
      <c r="AM430" s="1"/>
    </row>
    <row r="431" spans="1:39" x14ac:dyDescent="0.35">
      <c r="A431">
        <v>427</v>
      </c>
      <c r="B431">
        <v>428</v>
      </c>
      <c r="C431">
        <v>146.80355175700001</v>
      </c>
      <c r="D431">
        <v>-19.161159690000002</v>
      </c>
      <c r="F431" s="63"/>
      <c r="G431" s="63"/>
      <c r="H431" t="s">
        <v>78</v>
      </c>
      <c r="I431" s="64">
        <v>1</v>
      </c>
      <c r="J431" s="31"/>
      <c r="K431" s="31"/>
      <c r="L431" s="31"/>
      <c r="M431" s="31"/>
      <c r="N431" s="4"/>
      <c r="O431" s="4"/>
      <c r="P431" s="4"/>
      <c r="Q431" s="4"/>
      <c r="U431" s="5"/>
      <c r="V431" s="4"/>
      <c r="AG431" t="s">
        <v>472</v>
      </c>
      <c r="AM431" s="1"/>
    </row>
    <row r="432" spans="1:39" x14ac:dyDescent="0.35">
      <c r="A432">
        <v>428</v>
      </c>
      <c r="B432">
        <v>429</v>
      </c>
      <c r="C432">
        <v>146.803477716</v>
      </c>
      <c r="D432">
        <v>-19.161111639999898</v>
      </c>
      <c r="F432" s="63"/>
      <c r="G432" s="63"/>
      <c r="H432" t="s">
        <v>78</v>
      </c>
      <c r="I432" s="64">
        <v>1</v>
      </c>
      <c r="J432" s="31"/>
      <c r="K432" s="31"/>
      <c r="L432" s="31"/>
      <c r="M432" s="31"/>
      <c r="N432" s="4"/>
      <c r="O432" s="4"/>
      <c r="P432" s="4"/>
      <c r="Q432" s="4"/>
      <c r="U432" s="5"/>
      <c r="V432" s="4"/>
      <c r="AG432" t="s">
        <v>473</v>
      </c>
      <c r="AM432" s="1"/>
    </row>
    <row r="433" spans="1:39" x14ac:dyDescent="0.35">
      <c r="A433">
        <v>429</v>
      </c>
      <c r="B433">
        <v>430</v>
      </c>
      <c r="C433">
        <v>146.80340367400001</v>
      </c>
      <c r="D433">
        <v>-19.161063591000001</v>
      </c>
      <c r="E433">
        <v>50</v>
      </c>
      <c r="F433" s="63"/>
      <c r="G433" s="63"/>
      <c r="H433" t="s">
        <v>78</v>
      </c>
      <c r="I433" s="64">
        <v>1</v>
      </c>
      <c r="J433" s="31"/>
      <c r="K433" s="31"/>
      <c r="L433" s="31"/>
      <c r="M433" s="31"/>
      <c r="N433" s="4"/>
      <c r="O433" s="4"/>
      <c r="P433" s="4"/>
      <c r="Q433" s="4"/>
      <c r="U433" s="5"/>
      <c r="V433" s="4"/>
      <c r="AG433" t="s">
        <v>474</v>
      </c>
      <c r="AM433" s="1"/>
    </row>
    <row r="434" spans="1:39" x14ac:dyDescent="0.35">
      <c r="A434">
        <v>430</v>
      </c>
      <c r="B434">
        <v>431</v>
      </c>
      <c r="C434">
        <v>146.80332963199999</v>
      </c>
      <c r="D434">
        <v>-19.161015540999902</v>
      </c>
      <c r="F434" s="63"/>
      <c r="G434" s="63"/>
      <c r="H434" t="s">
        <v>78</v>
      </c>
      <c r="I434" s="64">
        <v>1</v>
      </c>
      <c r="J434" s="31"/>
      <c r="K434" s="31"/>
      <c r="L434" s="31"/>
      <c r="M434" s="31"/>
      <c r="N434" s="4"/>
      <c r="O434" s="4"/>
      <c r="P434" s="4"/>
      <c r="Q434" s="4"/>
      <c r="U434" s="5"/>
      <c r="V434" s="4"/>
      <c r="AG434" t="s">
        <v>475</v>
      </c>
      <c r="AM434" s="1"/>
    </row>
    <row r="435" spans="1:39" x14ac:dyDescent="0.35">
      <c r="A435">
        <v>431</v>
      </c>
      <c r="B435">
        <v>432</v>
      </c>
      <c r="C435">
        <v>146.80325558999999</v>
      </c>
      <c r="D435">
        <v>-19.160967491999902</v>
      </c>
      <c r="F435" s="63"/>
      <c r="G435" s="63"/>
      <c r="H435" t="s">
        <v>78</v>
      </c>
      <c r="I435" s="64">
        <v>1</v>
      </c>
      <c r="J435" s="31"/>
      <c r="K435" s="31"/>
      <c r="L435" s="31"/>
      <c r="M435" s="31"/>
      <c r="N435" s="4"/>
      <c r="O435" s="4"/>
      <c r="P435" s="4"/>
      <c r="Q435" s="4"/>
      <c r="U435" s="5"/>
      <c r="V435" s="4"/>
      <c r="AG435" t="s">
        <v>476</v>
      </c>
      <c r="AM435" s="1"/>
    </row>
    <row r="436" spans="1:39" x14ac:dyDescent="0.35">
      <c r="A436">
        <v>432</v>
      </c>
      <c r="B436">
        <v>433</v>
      </c>
      <c r="C436">
        <v>146.803181548</v>
      </c>
      <c r="D436">
        <v>-19.160919442000001</v>
      </c>
      <c r="F436" s="63"/>
      <c r="G436" s="63"/>
      <c r="H436" t="s">
        <v>78</v>
      </c>
      <c r="I436" s="64">
        <v>1</v>
      </c>
      <c r="J436" s="31"/>
      <c r="K436" s="31"/>
      <c r="L436" s="31"/>
      <c r="M436" s="31"/>
      <c r="N436" s="4"/>
      <c r="O436" s="4"/>
      <c r="P436" s="4"/>
      <c r="Q436" s="4"/>
      <c r="U436" s="5"/>
      <c r="V436" s="4"/>
      <c r="AG436" t="s">
        <v>477</v>
      </c>
      <c r="AM436" s="1"/>
    </row>
    <row r="437" spans="1:39" x14ac:dyDescent="0.35">
      <c r="A437">
        <v>433</v>
      </c>
      <c r="B437">
        <v>434</v>
      </c>
      <c r="C437">
        <v>146.80310750699999</v>
      </c>
      <c r="D437">
        <v>-19.160871391999901</v>
      </c>
      <c r="F437" s="63"/>
      <c r="G437" s="63"/>
      <c r="H437" t="s">
        <v>78</v>
      </c>
      <c r="I437" s="64">
        <v>1</v>
      </c>
      <c r="J437" s="31"/>
      <c r="K437" s="31"/>
      <c r="L437" s="31"/>
      <c r="M437" s="31"/>
      <c r="N437" s="4"/>
      <c r="O437" s="4"/>
      <c r="P437" s="4"/>
      <c r="Q437" s="4"/>
      <c r="U437" s="5"/>
      <c r="V437" s="4"/>
      <c r="AG437" t="s">
        <v>478</v>
      </c>
      <c r="AM437" s="1"/>
    </row>
    <row r="438" spans="1:39" x14ac:dyDescent="0.35">
      <c r="A438">
        <v>434</v>
      </c>
      <c r="B438">
        <v>435</v>
      </c>
      <c r="C438">
        <v>146.803033465</v>
      </c>
      <c r="D438">
        <v>-19.160823342999901</v>
      </c>
      <c r="E438">
        <v>50</v>
      </c>
      <c r="F438" s="63"/>
      <c r="G438" s="63"/>
      <c r="H438" t="s">
        <v>78</v>
      </c>
      <c r="I438" s="64">
        <v>1</v>
      </c>
      <c r="J438" s="31"/>
      <c r="K438" s="31"/>
      <c r="L438" s="31"/>
      <c r="M438" s="31"/>
      <c r="N438" s="4"/>
      <c r="O438" s="4"/>
      <c r="P438" s="4"/>
      <c r="Q438" s="4"/>
      <c r="U438" s="5"/>
      <c r="V438" s="4"/>
      <c r="AG438" t="s">
        <v>479</v>
      </c>
      <c r="AM438" s="1"/>
    </row>
    <row r="439" spans="1:39" x14ac:dyDescent="0.35">
      <c r="A439">
        <v>435</v>
      </c>
      <c r="B439">
        <v>436</v>
      </c>
      <c r="C439">
        <v>146.80298123899999</v>
      </c>
      <c r="D439">
        <v>-19.1607544149999</v>
      </c>
      <c r="F439" s="63"/>
      <c r="G439" s="63"/>
      <c r="H439" t="s">
        <v>78</v>
      </c>
      <c r="I439" s="64">
        <v>1</v>
      </c>
      <c r="J439" s="31"/>
      <c r="K439" s="31"/>
      <c r="L439" s="31"/>
      <c r="M439" s="31"/>
      <c r="N439" s="4"/>
      <c r="O439" s="4"/>
      <c r="P439" s="4"/>
      <c r="Q439" s="4"/>
      <c r="U439" s="5"/>
      <c r="V439" s="4"/>
      <c r="AG439" t="s">
        <v>480</v>
      </c>
      <c r="AM439" s="1"/>
    </row>
    <row r="440" spans="1:39" x14ac:dyDescent="0.35">
      <c r="A440">
        <v>436</v>
      </c>
      <c r="B440">
        <v>437</v>
      </c>
      <c r="C440">
        <v>146.80292940999999</v>
      </c>
      <c r="D440">
        <v>-19.1606851079999</v>
      </c>
      <c r="F440" s="63"/>
      <c r="G440" s="63"/>
      <c r="H440" t="s">
        <v>78</v>
      </c>
      <c r="I440" s="64">
        <v>1</v>
      </c>
      <c r="J440" s="31"/>
      <c r="K440" s="31"/>
      <c r="L440" s="31"/>
      <c r="M440" s="31"/>
      <c r="N440" s="4"/>
      <c r="O440" s="4"/>
      <c r="P440" s="4"/>
      <c r="Q440" s="4"/>
      <c r="U440" s="5"/>
      <c r="V440" s="4"/>
      <c r="AG440" t="s">
        <v>481</v>
      </c>
      <c r="AM440" s="1"/>
    </row>
    <row r="441" spans="1:39" x14ac:dyDescent="0.35">
      <c r="A441">
        <v>437</v>
      </c>
      <c r="B441">
        <v>438</v>
      </c>
      <c r="C441">
        <v>146.80287758099999</v>
      </c>
      <c r="D441">
        <v>-19.160615800999899</v>
      </c>
      <c r="F441" s="63"/>
      <c r="G441" s="63"/>
      <c r="H441" t="s">
        <v>78</v>
      </c>
      <c r="I441" s="64">
        <v>1</v>
      </c>
      <c r="J441" s="31"/>
      <c r="K441" s="31"/>
      <c r="L441" s="31"/>
      <c r="M441" s="31"/>
      <c r="N441" s="4"/>
      <c r="O441" s="4"/>
      <c r="P441" s="4"/>
      <c r="Q441" s="4"/>
      <c r="U441" s="5"/>
      <c r="V441" s="4"/>
      <c r="AG441" t="s">
        <v>482</v>
      </c>
      <c r="AM441" s="1"/>
    </row>
    <row r="442" spans="1:39" x14ac:dyDescent="0.35">
      <c r="A442">
        <v>438</v>
      </c>
      <c r="B442">
        <v>439</v>
      </c>
      <c r="C442">
        <v>146.802825004</v>
      </c>
      <c r="D442">
        <v>-19.160547001999898</v>
      </c>
      <c r="F442" s="63"/>
      <c r="G442" s="63"/>
      <c r="H442" t="s">
        <v>78</v>
      </c>
      <c r="I442" s="64">
        <v>1</v>
      </c>
      <c r="J442" s="31"/>
      <c r="K442" s="31"/>
      <c r="L442" s="31"/>
      <c r="M442" s="31"/>
      <c r="N442" s="4"/>
      <c r="O442" s="4"/>
      <c r="P442" s="4"/>
      <c r="Q442" s="4"/>
      <c r="U442" s="5"/>
      <c r="V442" s="4"/>
      <c r="AG442" t="s">
        <v>483</v>
      </c>
      <c r="AM442" s="1"/>
    </row>
    <row r="443" spans="1:39" x14ac:dyDescent="0.35">
      <c r="A443">
        <v>439</v>
      </c>
      <c r="B443">
        <v>440</v>
      </c>
      <c r="C443">
        <v>146.80276861799999</v>
      </c>
      <c r="D443">
        <v>-19.160481054999899</v>
      </c>
      <c r="E443">
        <v>50</v>
      </c>
      <c r="F443" s="63"/>
      <c r="G443" s="63"/>
      <c r="H443" t="s">
        <v>78</v>
      </c>
      <c r="I443" s="64">
        <v>1</v>
      </c>
      <c r="J443" s="31"/>
      <c r="K443" s="31"/>
      <c r="L443" s="31"/>
      <c r="M443" s="31"/>
      <c r="N443" s="4"/>
      <c r="O443" s="4"/>
      <c r="P443" s="4"/>
      <c r="Q443" s="4"/>
      <c r="U443" s="5"/>
      <c r="V443" s="4"/>
      <c r="AG443" t="s">
        <v>484</v>
      </c>
      <c r="AM443" s="1"/>
    </row>
    <row r="444" spans="1:39" x14ac:dyDescent="0.35">
      <c r="A444">
        <v>440</v>
      </c>
      <c r="B444">
        <v>441</v>
      </c>
      <c r="C444">
        <v>146.802709206</v>
      </c>
      <c r="D444">
        <v>-19.160417410000001</v>
      </c>
      <c r="F444" s="63"/>
      <c r="G444" s="63"/>
      <c r="H444" t="s">
        <v>78</v>
      </c>
      <c r="I444" s="64">
        <v>1</v>
      </c>
      <c r="J444" s="31"/>
      <c r="K444" s="31"/>
      <c r="L444" s="31"/>
      <c r="M444" s="31"/>
      <c r="N444" s="4"/>
      <c r="O444" s="4"/>
      <c r="P444" s="4"/>
      <c r="Q444" s="4"/>
      <c r="U444" s="5"/>
      <c r="V444" s="4"/>
      <c r="AG444" t="s">
        <v>485</v>
      </c>
      <c r="AM444" s="1"/>
    </row>
    <row r="445" spans="1:39" x14ac:dyDescent="0.35">
      <c r="A445">
        <v>441</v>
      </c>
      <c r="B445">
        <v>442</v>
      </c>
      <c r="C445">
        <v>146.802649793</v>
      </c>
      <c r="D445">
        <v>-19.160353764</v>
      </c>
      <c r="F445" s="63"/>
      <c r="G445" s="63"/>
      <c r="H445" t="s">
        <v>78</v>
      </c>
      <c r="I445" s="64">
        <v>1</v>
      </c>
      <c r="J445" s="31"/>
      <c r="K445" s="31"/>
      <c r="L445" s="31"/>
      <c r="M445" s="31"/>
      <c r="N445" s="4"/>
      <c r="O445" s="4"/>
      <c r="P445" s="4"/>
      <c r="Q445" s="4"/>
      <c r="U445" s="5"/>
      <c r="V445" s="4"/>
      <c r="AG445" t="s">
        <v>486</v>
      </c>
      <c r="AM445" s="1"/>
    </row>
    <row r="446" spans="1:39" x14ac:dyDescent="0.35">
      <c r="A446">
        <v>442</v>
      </c>
      <c r="B446">
        <v>443</v>
      </c>
      <c r="C446">
        <v>146.80260767600001</v>
      </c>
      <c r="D446">
        <v>-19.160278872999999</v>
      </c>
      <c r="F446" s="63"/>
      <c r="G446" s="63"/>
      <c r="H446" t="s">
        <v>78</v>
      </c>
      <c r="I446" s="64">
        <v>1</v>
      </c>
      <c r="J446" s="31"/>
      <c r="K446" s="31"/>
      <c r="L446" s="31"/>
      <c r="M446" s="31"/>
      <c r="N446" s="4"/>
      <c r="O446" s="4"/>
      <c r="P446" s="4"/>
      <c r="Q446" s="4"/>
      <c r="U446" s="5"/>
      <c r="V446" s="4"/>
      <c r="AG446" t="s">
        <v>487</v>
      </c>
      <c r="AM446" s="1"/>
    </row>
    <row r="447" spans="1:39" x14ac:dyDescent="0.35">
      <c r="A447">
        <v>443</v>
      </c>
      <c r="B447">
        <v>444</v>
      </c>
      <c r="C447">
        <v>146.80256101800001</v>
      </c>
      <c r="D447">
        <v>-19.160206633000001</v>
      </c>
      <c r="F447" s="63"/>
      <c r="G447" s="63"/>
      <c r="H447" t="s">
        <v>78</v>
      </c>
      <c r="I447" s="64">
        <v>1</v>
      </c>
      <c r="J447" s="31"/>
      <c r="K447" s="31"/>
      <c r="L447" s="31"/>
      <c r="M447" s="31"/>
      <c r="N447" s="4"/>
      <c r="O447" s="4"/>
      <c r="P447" s="4"/>
      <c r="Q447" s="4"/>
      <c r="U447" s="5"/>
      <c r="V447" s="4"/>
      <c r="AG447" t="s">
        <v>488</v>
      </c>
      <c r="AM447" s="1"/>
    </row>
    <row r="448" spans="1:39" x14ac:dyDescent="0.35">
      <c r="A448">
        <v>444</v>
      </c>
      <c r="B448">
        <v>445</v>
      </c>
      <c r="C448">
        <v>146.80252156700001</v>
      </c>
      <c r="D448">
        <v>-19.160130744999901</v>
      </c>
      <c r="E448">
        <v>50</v>
      </c>
      <c r="F448" s="63"/>
      <c r="G448" s="63"/>
      <c r="H448" t="s">
        <v>78</v>
      </c>
      <c r="I448" s="64">
        <v>1</v>
      </c>
      <c r="J448" s="31"/>
      <c r="K448" s="31"/>
      <c r="L448" s="31"/>
      <c r="M448" s="31"/>
      <c r="N448" s="4"/>
      <c r="O448" s="4"/>
      <c r="P448" s="4"/>
      <c r="Q448" s="4"/>
      <c r="U448" s="5"/>
      <c r="V448" s="4"/>
      <c r="AG448" t="s">
        <v>489</v>
      </c>
      <c r="AM448" s="1"/>
    </row>
    <row r="449" spans="1:39" x14ac:dyDescent="0.35">
      <c r="A449">
        <v>445</v>
      </c>
      <c r="B449">
        <v>446</v>
      </c>
      <c r="C449">
        <v>146.80248225599999</v>
      </c>
      <c r="D449">
        <v>-19.160054549999899</v>
      </c>
      <c r="F449" s="63"/>
      <c r="G449" s="63"/>
      <c r="H449" t="s">
        <v>78</v>
      </c>
      <c r="I449" s="64">
        <v>1</v>
      </c>
      <c r="J449" s="31"/>
      <c r="K449" s="31"/>
      <c r="L449" s="31"/>
      <c r="M449" s="31"/>
      <c r="N449" s="4"/>
      <c r="O449" s="4"/>
      <c r="P449" s="4"/>
      <c r="Q449" s="4"/>
      <c r="U449" s="5"/>
      <c r="V449" s="4"/>
      <c r="AG449" t="s">
        <v>490</v>
      </c>
      <c r="AM449" s="1"/>
    </row>
    <row r="450" spans="1:39" x14ac:dyDescent="0.35">
      <c r="A450">
        <v>446</v>
      </c>
      <c r="B450">
        <v>447</v>
      </c>
      <c r="C450">
        <v>146.802436328</v>
      </c>
      <c r="D450">
        <v>-19.159981624</v>
      </c>
      <c r="F450" s="63"/>
      <c r="G450" s="63"/>
      <c r="H450" t="s">
        <v>78</v>
      </c>
      <c r="I450" s="64">
        <v>1</v>
      </c>
      <c r="J450" s="31"/>
      <c r="K450" s="31"/>
      <c r="L450" s="31"/>
      <c r="M450" s="31"/>
      <c r="N450" s="4"/>
      <c r="O450" s="4"/>
      <c r="P450" s="4"/>
      <c r="Q450" s="4"/>
      <c r="U450" s="5"/>
      <c r="V450" s="4"/>
      <c r="AG450" t="s">
        <v>491</v>
      </c>
      <c r="AM450" s="1"/>
    </row>
    <row r="451" spans="1:39" x14ac:dyDescent="0.35">
      <c r="A451">
        <v>447</v>
      </c>
      <c r="B451">
        <v>448</v>
      </c>
      <c r="C451">
        <v>146.802390401</v>
      </c>
      <c r="D451">
        <v>-19.159908696999899</v>
      </c>
      <c r="F451" s="63"/>
      <c r="G451" s="63"/>
      <c r="H451" t="s">
        <v>78</v>
      </c>
      <c r="I451" s="64">
        <v>1</v>
      </c>
      <c r="J451" s="31"/>
      <c r="K451" s="31"/>
      <c r="L451" s="31"/>
      <c r="M451" s="31"/>
      <c r="N451" s="4"/>
      <c r="O451" s="4"/>
      <c r="P451" s="4"/>
      <c r="Q451" s="4"/>
      <c r="U451" s="5"/>
      <c r="V451" s="4"/>
      <c r="AG451" t="s">
        <v>492</v>
      </c>
      <c r="AM451" s="1"/>
    </row>
    <row r="452" spans="1:39" x14ac:dyDescent="0.35">
      <c r="A452">
        <v>448</v>
      </c>
      <c r="B452">
        <v>449</v>
      </c>
      <c r="C452">
        <v>146.80233895699999</v>
      </c>
      <c r="D452">
        <v>-19.159839494</v>
      </c>
      <c r="F452" s="63"/>
      <c r="G452" s="63"/>
      <c r="H452" t="s">
        <v>78</v>
      </c>
      <c r="I452" s="64">
        <v>1</v>
      </c>
      <c r="J452" s="31"/>
      <c r="K452" s="31"/>
      <c r="L452" s="31"/>
      <c r="M452" s="31"/>
      <c r="N452" s="4"/>
      <c r="O452" s="4"/>
      <c r="P452" s="4"/>
      <c r="Q452" s="4"/>
      <c r="U452" s="5"/>
      <c r="V452" s="4"/>
      <c r="AG452" t="s">
        <v>493</v>
      </c>
      <c r="AM452" s="1"/>
    </row>
    <row r="453" spans="1:39" x14ac:dyDescent="0.35">
      <c r="A453">
        <v>449</v>
      </c>
      <c r="B453">
        <v>450</v>
      </c>
      <c r="C453">
        <v>146.80228077500001</v>
      </c>
      <c r="D453">
        <v>-19.159774841999901</v>
      </c>
      <c r="E453">
        <v>50</v>
      </c>
      <c r="F453" s="63"/>
      <c r="G453" s="63"/>
      <c r="H453" t="s">
        <v>78</v>
      </c>
      <c r="I453" s="64">
        <v>1</v>
      </c>
      <c r="J453" s="31"/>
      <c r="K453" s="31"/>
      <c r="L453" s="31"/>
      <c r="M453" s="31"/>
      <c r="N453" s="4"/>
      <c r="O453" s="4"/>
      <c r="P453" s="4"/>
      <c r="Q453" s="4"/>
      <c r="U453" s="5"/>
      <c r="V453" s="4"/>
      <c r="AG453" t="s">
        <v>494</v>
      </c>
      <c r="AM453" s="1"/>
    </row>
    <row r="454" spans="1:39" x14ac:dyDescent="0.35">
      <c r="A454">
        <v>450</v>
      </c>
      <c r="B454">
        <v>451</v>
      </c>
      <c r="C454">
        <v>146.80225951400001</v>
      </c>
      <c r="D454">
        <v>-19.159696018999998</v>
      </c>
      <c r="F454" s="63"/>
      <c r="G454" s="63"/>
      <c r="H454" t="s">
        <v>78</v>
      </c>
      <c r="I454" s="64">
        <v>1</v>
      </c>
      <c r="J454" s="31"/>
      <c r="K454" s="31"/>
      <c r="L454" s="31"/>
      <c r="M454" s="31"/>
      <c r="N454" s="4"/>
      <c r="O454" s="4"/>
      <c r="P454" s="4"/>
      <c r="Q454" s="4"/>
      <c r="U454" s="5"/>
      <c r="V454" s="4"/>
      <c r="AG454" t="s">
        <v>495</v>
      </c>
      <c r="AM454" s="1"/>
    </row>
    <row r="455" spans="1:39" x14ac:dyDescent="0.35">
      <c r="A455">
        <v>451</v>
      </c>
      <c r="B455">
        <v>452</v>
      </c>
      <c r="C455">
        <v>146.802253471</v>
      </c>
      <c r="D455">
        <v>-19.159611355999999</v>
      </c>
      <c r="F455" s="63"/>
      <c r="G455" s="63"/>
      <c r="H455" t="s">
        <v>78</v>
      </c>
      <c r="I455" s="64">
        <v>1</v>
      </c>
      <c r="J455" s="31"/>
      <c r="K455" s="31"/>
      <c r="L455" s="31"/>
      <c r="M455" s="31"/>
      <c r="N455" s="4"/>
      <c r="O455" s="4"/>
      <c r="P455" s="4"/>
      <c r="Q455" s="4"/>
      <c r="U455" s="5"/>
      <c r="V455" s="4"/>
      <c r="AG455" t="s">
        <v>496</v>
      </c>
      <c r="AM455" s="1"/>
    </row>
    <row r="456" spans="1:39" x14ac:dyDescent="0.35">
      <c r="A456">
        <v>452</v>
      </c>
      <c r="B456">
        <v>453</v>
      </c>
      <c r="C456">
        <v>146.802246446</v>
      </c>
      <c r="D456">
        <v>-19.159526764999999</v>
      </c>
      <c r="F456" s="63"/>
      <c r="G456" s="63"/>
      <c r="H456" t="s">
        <v>78</v>
      </c>
      <c r="I456" s="64">
        <v>1</v>
      </c>
      <c r="J456" s="31"/>
      <c r="K456" s="31"/>
      <c r="L456" s="31"/>
      <c r="M456" s="31"/>
      <c r="N456" s="4"/>
      <c r="O456" s="4"/>
      <c r="P456" s="4"/>
      <c r="Q456" s="4"/>
      <c r="U456" s="5"/>
      <c r="V456" s="4"/>
      <c r="AG456" t="s">
        <v>497</v>
      </c>
      <c r="AM456" s="1"/>
    </row>
    <row r="457" spans="1:39" x14ac:dyDescent="0.35">
      <c r="A457">
        <v>453</v>
      </c>
      <c r="B457">
        <v>454</v>
      </c>
      <c r="C457">
        <v>146.80223846300001</v>
      </c>
      <c r="D457">
        <v>-19.159442245000001</v>
      </c>
      <c r="F457" s="63"/>
      <c r="G457" s="63"/>
      <c r="H457" t="s">
        <v>78</v>
      </c>
      <c r="I457" s="64">
        <v>1</v>
      </c>
      <c r="J457" s="31"/>
      <c r="K457" s="31"/>
      <c r="L457" s="31"/>
      <c r="M457" s="31"/>
      <c r="N457" s="4"/>
      <c r="O457" s="4"/>
      <c r="P457" s="4"/>
      <c r="Q457" s="4"/>
      <c r="U457" s="5"/>
      <c r="V457" s="4"/>
      <c r="AG457" t="s">
        <v>498</v>
      </c>
      <c r="AM457" s="1"/>
    </row>
    <row r="458" spans="1:39" x14ac:dyDescent="0.35">
      <c r="A458">
        <v>454</v>
      </c>
      <c r="B458">
        <v>455</v>
      </c>
      <c r="C458">
        <v>146.80223250399999</v>
      </c>
      <c r="D458">
        <v>-19.159357606999901</v>
      </c>
      <c r="E458">
        <v>50</v>
      </c>
      <c r="F458" s="63"/>
      <c r="G458" s="63"/>
      <c r="H458" t="s">
        <v>78</v>
      </c>
      <c r="I458" s="64">
        <v>1</v>
      </c>
      <c r="J458" s="31"/>
      <c r="K458" s="31"/>
      <c r="L458" s="31"/>
      <c r="M458" s="31"/>
      <c r="N458" s="4"/>
      <c r="O458" s="4"/>
      <c r="P458" s="4"/>
      <c r="Q458" s="4"/>
      <c r="U458" s="5"/>
      <c r="V458" s="4"/>
      <c r="AG458" t="s">
        <v>499</v>
      </c>
      <c r="AM458" s="1"/>
    </row>
    <row r="459" spans="1:39" x14ac:dyDescent="0.35">
      <c r="A459">
        <v>455</v>
      </c>
      <c r="B459">
        <v>456</v>
      </c>
      <c r="C459">
        <v>146.80224666399999</v>
      </c>
      <c r="D459">
        <v>-19.159276978000001</v>
      </c>
      <c r="F459" s="63"/>
      <c r="G459" s="63"/>
      <c r="H459" t="s">
        <v>78</v>
      </c>
      <c r="I459" s="64">
        <v>1</v>
      </c>
      <c r="J459" s="31"/>
      <c r="K459" s="31"/>
      <c r="L459" s="31"/>
      <c r="M459" s="31"/>
      <c r="N459" s="4"/>
      <c r="O459" s="4"/>
      <c r="P459" s="4"/>
      <c r="Q459" s="4"/>
      <c r="U459" s="5"/>
      <c r="V459" s="4"/>
      <c r="AG459" t="s">
        <v>500</v>
      </c>
      <c r="AM459" s="1"/>
    </row>
    <row r="460" spans="1:39" x14ac:dyDescent="0.35">
      <c r="A460">
        <v>456</v>
      </c>
      <c r="B460">
        <v>457</v>
      </c>
      <c r="C460">
        <v>146.80229256600001</v>
      </c>
      <c r="D460">
        <v>-19.159204036999899</v>
      </c>
      <c r="F460" s="63"/>
      <c r="G460" s="63"/>
      <c r="H460" t="s">
        <v>78</v>
      </c>
      <c r="I460" s="64">
        <v>1</v>
      </c>
      <c r="J460" s="31"/>
      <c r="K460" s="31"/>
      <c r="L460" s="31"/>
      <c r="M460" s="31"/>
      <c r="N460" s="4"/>
      <c r="O460" s="4"/>
      <c r="P460" s="4"/>
      <c r="Q460" s="4"/>
      <c r="U460" s="5"/>
      <c r="V460" s="4"/>
      <c r="AG460" t="s">
        <v>501</v>
      </c>
      <c r="AM460" s="1"/>
    </row>
    <row r="461" spans="1:39" x14ac:dyDescent="0.35">
      <c r="A461">
        <v>457</v>
      </c>
      <c r="B461">
        <v>458</v>
      </c>
      <c r="C461">
        <v>146.80233846900001</v>
      </c>
      <c r="D461">
        <v>-19.159131095999999</v>
      </c>
      <c r="F461" s="63"/>
      <c r="G461" s="63"/>
      <c r="H461" t="s">
        <v>78</v>
      </c>
      <c r="I461" s="64">
        <v>1</v>
      </c>
      <c r="J461" s="31"/>
      <c r="K461" s="31"/>
      <c r="L461" s="31"/>
      <c r="M461" s="31"/>
      <c r="N461" s="4"/>
      <c r="O461" s="4"/>
      <c r="P461" s="4"/>
      <c r="Q461" s="4"/>
      <c r="U461" s="5"/>
      <c r="V461" s="4"/>
      <c r="AG461" t="s">
        <v>502</v>
      </c>
      <c r="AM461" s="1"/>
    </row>
    <row r="462" spans="1:39" x14ac:dyDescent="0.35">
      <c r="A462">
        <v>458</v>
      </c>
      <c r="B462">
        <v>459</v>
      </c>
      <c r="C462">
        <v>146.80239041999999</v>
      </c>
      <c r="D462">
        <v>-19.159061934</v>
      </c>
      <c r="F462" s="63"/>
      <c r="G462" s="63"/>
      <c r="H462" t="s">
        <v>78</v>
      </c>
      <c r="I462" s="64">
        <v>1</v>
      </c>
      <c r="J462" s="31"/>
      <c r="K462" s="31"/>
      <c r="L462" s="31"/>
      <c r="M462" s="31"/>
      <c r="N462" s="4"/>
      <c r="O462" s="4"/>
      <c r="P462" s="4"/>
      <c r="Q462" s="4"/>
      <c r="U462" s="5"/>
      <c r="V462" s="4"/>
      <c r="AG462" t="s">
        <v>503</v>
      </c>
      <c r="AM462" s="1"/>
    </row>
    <row r="463" spans="1:39" x14ac:dyDescent="0.35">
      <c r="A463">
        <v>459</v>
      </c>
      <c r="B463">
        <v>460</v>
      </c>
      <c r="C463">
        <v>146.80244350999999</v>
      </c>
      <c r="D463">
        <v>-19.158993482</v>
      </c>
      <c r="E463">
        <v>50</v>
      </c>
      <c r="F463" s="63"/>
      <c r="G463" s="63"/>
      <c r="H463" t="s">
        <v>78</v>
      </c>
      <c r="I463" s="64">
        <v>1</v>
      </c>
      <c r="J463" s="31"/>
      <c r="K463" s="31"/>
      <c r="L463" s="31"/>
      <c r="M463" s="31"/>
      <c r="N463" s="4"/>
      <c r="O463" s="4"/>
      <c r="P463" s="4"/>
      <c r="Q463" s="4"/>
      <c r="U463" s="5"/>
      <c r="V463" s="4"/>
      <c r="AG463" t="s">
        <v>504</v>
      </c>
      <c r="AM463" s="1"/>
    </row>
    <row r="464" spans="1:39" x14ac:dyDescent="0.35">
      <c r="A464">
        <v>460</v>
      </c>
      <c r="B464">
        <v>461</v>
      </c>
      <c r="C464">
        <v>146.80249536100001</v>
      </c>
      <c r="D464">
        <v>-19.158926629</v>
      </c>
      <c r="F464" s="63"/>
      <c r="G464" s="63"/>
      <c r="H464" t="s">
        <v>78</v>
      </c>
      <c r="I464" s="64">
        <v>1</v>
      </c>
      <c r="J464" s="31"/>
      <c r="K464" s="31"/>
      <c r="L464" s="31"/>
      <c r="M464" s="31"/>
      <c r="N464" s="4"/>
      <c r="O464" s="4"/>
      <c r="P464" s="4"/>
      <c r="Q464" s="4"/>
      <c r="U464" s="5"/>
      <c r="V464" s="4"/>
      <c r="AG464" t="s">
        <v>505</v>
      </c>
      <c r="AM464" s="1"/>
    </row>
    <row r="465" spans="1:39" x14ac:dyDescent="0.35">
      <c r="A465">
        <v>461</v>
      </c>
      <c r="B465">
        <v>462</v>
      </c>
      <c r="C465">
        <v>146.802559161</v>
      </c>
      <c r="D465">
        <v>-19.158867876999999</v>
      </c>
      <c r="F465" s="63"/>
      <c r="G465" s="63"/>
      <c r="H465" t="s">
        <v>78</v>
      </c>
      <c r="I465" s="64">
        <v>1</v>
      </c>
      <c r="J465" s="31"/>
      <c r="K465" s="31"/>
      <c r="L465" s="31"/>
      <c r="M465" s="31"/>
      <c r="N465" s="4"/>
      <c r="O465" s="4"/>
      <c r="P465" s="4"/>
      <c r="Q465" s="4"/>
      <c r="U465" s="5"/>
      <c r="V465" s="4"/>
      <c r="AG465" t="s">
        <v>506</v>
      </c>
      <c r="AM465" s="1"/>
    </row>
    <row r="466" spans="1:39" x14ac:dyDescent="0.35">
      <c r="A466">
        <v>462</v>
      </c>
      <c r="B466">
        <v>463</v>
      </c>
      <c r="C466">
        <v>146.80262932299999</v>
      </c>
      <c r="D466">
        <v>-19.158814885999998</v>
      </c>
      <c r="F466" s="63"/>
      <c r="G466" s="63"/>
      <c r="H466" t="s">
        <v>78</v>
      </c>
      <c r="I466" s="64">
        <v>1</v>
      </c>
      <c r="J466" s="31"/>
      <c r="K466" s="31"/>
      <c r="L466" s="31"/>
      <c r="M466" s="31"/>
      <c r="N466" s="4"/>
      <c r="O466" s="4"/>
      <c r="P466" s="4"/>
      <c r="Q466" s="4"/>
      <c r="U466" s="5"/>
      <c r="V466" s="4"/>
      <c r="AG466" t="s">
        <v>507</v>
      </c>
      <c r="AM466" s="1"/>
    </row>
    <row r="467" spans="1:39" x14ac:dyDescent="0.35">
      <c r="A467">
        <v>463</v>
      </c>
      <c r="B467">
        <v>464</v>
      </c>
      <c r="C467">
        <v>146.80269948599999</v>
      </c>
      <c r="D467">
        <v>-19.158761895999898</v>
      </c>
      <c r="F467" s="63"/>
      <c r="G467" s="63"/>
      <c r="H467" t="s">
        <v>78</v>
      </c>
      <c r="I467" s="64">
        <v>1</v>
      </c>
      <c r="J467" s="31"/>
      <c r="K467" s="31"/>
      <c r="L467" s="31"/>
      <c r="M467" s="31"/>
      <c r="N467" s="4"/>
      <c r="O467" s="4"/>
      <c r="P467" s="4"/>
      <c r="Q467" s="4"/>
      <c r="U467" s="5"/>
      <c r="V467" s="4"/>
      <c r="AG467" t="s">
        <v>508</v>
      </c>
      <c r="AM467" s="1"/>
    </row>
    <row r="468" spans="1:39" x14ac:dyDescent="0.35">
      <c r="A468">
        <v>464</v>
      </c>
      <c r="B468">
        <v>465</v>
      </c>
      <c r="C468">
        <v>146.80277365200001</v>
      </c>
      <c r="D468">
        <v>-19.1587350779999</v>
      </c>
      <c r="E468">
        <v>50</v>
      </c>
      <c r="F468" s="63"/>
      <c r="G468" s="63"/>
      <c r="H468" t="s">
        <v>78</v>
      </c>
      <c r="I468" s="64">
        <v>1</v>
      </c>
      <c r="J468" s="31"/>
      <c r="K468" s="31"/>
      <c r="L468" s="31"/>
      <c r="M468" s="31"/>
      <c r="N468" s="4"/>
      <c r="O468" s="4"/>
      <c r="P468" s="4"/>
      <c r="Q468" s="4"/>
      <c r="U468" s="5"/>
      <c r="V468" s="4"/>
      <c r="AG468" t="s">
        <v>509</v>
      </c>
      <c r="AM468" s="1"/>
    </row>
    <row r="469" spans="1:39" x14ac:dyDescent="0.35">
      <c r="A469">
        <v>465</v>
      </c>
      <c r="B469">
        <v>466</v>
      </c>
      <c r="C469">
        <v>146.80281367200001</v>
      </c>
      <c r="D469">
        <v>-19.158665056</v>
      </c>
      <c r="F469" s="63"/>
      <c r="G469" s="63"/>
      <c r="H469" t="s">
        <v>78</v>
      </c>
      <c r="I469" s="64">
        <v>1</v>
      </c>
      <c r="J469" s="31"/>
      <c r="K469" s="31"/>
      <c r="L469" s="31"/>
      <c r="M469" s="31"/>
      <c r="N469" s="4"/>
      <c r="O469" s="4"/>
      <c r="P469" s="4"/>
      <c r="Q469" s="4"/>
      <c r="U469" s="5"/>
      <c r="V469" s="4"/>
      <c r="AG469" t="s">
        <v>510</v>
      </c>
      <c r="AM469" s="1"/>
    </row>
    <row r="470" spans="1:39" x14ac:dyDescent="0.35">
      <c r="A470">
        <v>466</v>
      </c>
      <c r="B470">
        <v>467</v>
      </c>
      <c r="C470">
        <v>146.80280346399999</v>
      </c>
      <c r="D470">
        <v>-19.158591601000001</v>
      </c>
      <c r="F470" s="63"/>
      <c r="G470" s="63"/>
      <c r="H470" t="s">
        <v>78</v>
      </c>
      <c r="I470" s="64">
        <v>1</v>
      </c>
      <c r="J470" s="31"/>
      <c r="K470" s="31"/>
      <c r="L470" s="31"/>
      <c r="M470" s="31"/>
      <c r="N470" s="4"/>
      <c r="O470" s="4"/>
      <c r="P470" s="4"/>
      <c r="Q470" s="4"/>
      <c r="U470" s="5"/>
      <c r="V470" s="4"/>
      <c r="AG470" t="s">
        <v>511</v>
      </c>
      <c r="AM470" s="1"/>
    </row>
    <row r="471" spans="1:39" x14ac:dyDescent="0.35">
      <c r="A471">
        <v>467</v>
      </c>
      <c r="B471">
        <v>468</v>
      </c>
      <c r="C471">
        <v>146.80278956500001</v>
      </c>
      <c r="D471">
        <v>-19.158509854999998</v>
      </c>
      <c r="F471" s="63"/>
      <c r="G471" s="63"/>
      <c r="H471" t="s">
        <v>78</v>
      </c>
      <c r="I471" s="64">
        <v>1</v>
      </c>
      <c r="J471" s="31"/>
      <c r="K471" s="31"/>
      <c r="L471" s="31"/>
      <c r="M471" s="31"/>
      <c r="N471" s="4"/>
      <c r="O471" s="4"/>
      <c r="P471" s="4"/>
      <c r="Q471" s="4"/>
      <c r="U471" s="5"/>
      <c r="V471" s="4"/>
      <c r="AG471" t="s">
        <v>512</v>
      </c>
      <c r="AM471" s="1"/>
    </row>
    <row r="472" spans="1:39" x14ac:dyDescent="0.35">
      <c r="A472">
        <v>468</v>
      </c>
      <c r="B472">
        <v>469</v>
      </c>
      <c r="C472">
        <v>146.80271188399999</v>
      </c>
      <c r="D472">
        <v>-19.158475291999899</v>
      </c>
      <c r="F472" s="63"/>
      <c r="G472" s="63"/>
      <c r="H472" t="s">
        <v>78</v>
      </c>
      <c r="I472" s="64">
        <v>1</v>
      </c>
      <c r="J472" s="31"/>
      <c r="K472" s="31"/>
      <c r="L472" s="31"/>
      <c r="M472" s="31"/>
      <c r="N472" s="4"/>
      <c r="O472" s="4"/>
      <c r="P472" s="4"/>
      <c r="Q472" s="4"/>
      <c r="U472" s="5"/>
      <c r="V472" s="4"/>
      <c r="AG472" t="s">
        <v>513</v>
      </c>
      <c r="AM472" s="1"/>
    </row>
    <row r="473" spans="1:39" x14ac:dyDescent="0.35">
      <c r="A473">
        <v>469</v>
      </c>
      <c r="B473">
        <v>470</v>
      </c>
      <c r="C473">
        <v>146.80262469499999</v>
      </c>
      <c r="D473">
        <v>-19.158457335000001</v>
      </c>
      <c r="E473">
        <v>50</v>
      </c>
      <c r="F473" s="63"/>
      <c r="G473" s="63"/>
      <c r="H473" t="s">
        <v>78</v>
      </c>
      <c r="I473" s="64">
        <v>1</v>
      </c>
      <c r="J473" s="31"/>
      <c r="K473" s="31"/>
      <c r="L473" s="31"/>
      <c r="M473" s="31"/>
      <c r="N473" s="4"/>
      <c r="O473" s="4"/>
      <c r="P473" s="4"/>
      <c r="Q473" s="4"/>
      <c r="U473" s="5"/>
      <c r="V473" s="4"/>
      <c r="AG473" t="s">
        <v>514</v>
      </c>
      <c r="AM473" s="1"/>
    </row>
    <row r="474" spans="1:39" x14ac:dyDescent="0.35">
      <c r="A474">
        <v>470</v>
      </c>
      <c r="B474">
        <v>471</v>
      </c>
      <c r="C474">
        <v>146.802548715</v>
      </c>
      <c r="D474">
        <v>-19.1584181919999</v>
      </c>
      <c r="F474" s="63"/>
      <c r="G474" s="63"/>
      <c r="H474" t="s">
        <v>78</v>
      </c>
      <c r="I474" s="64">
        <v>1</v>
      </c>
      <c r="J474" s="31"/>
      <c r="K474" s="31"/>
      <c r="L474" s="31"/>
      <c r="M474" s="31"/>
      <c r="N474" s="4"/>
      <c r="O474" s="4"/>
      <c r="P474" s="4"/>
      <c r="Q474" s="4"/>
      <c r="U474" s="5"/>
      <c r="V474" s="4"/>
      <c r="AG474" t="s">
        <v>515</v>
      </c>
      <c r="AM474" s="1"/>
    </row>
    <row r="475" spans="1:39" x14ac:dyDescent="0.35">
      <c r="A475">
        <v>471</v>
      </c>
      <c r="B475">
        <v>472</v>
      </c>
      <c r="C475">
        <v>146.80250665400001</v>
      </c>
      <c r="D475">
        <v>-19.158348404000002</v>
      </c>
      <c r="F475" s="63"/>
      <c r="G475" s="63"/>
      <c r="H475" t="s">
        <v>78</v>
      </c>
      <c r="I475" s="64">
        <v>1</v>
      </c>
      <c r="J475" s="31"/>
      <c r="K475" s="31"/>
      <c r="L475" s="31"/>
      <c r="M475" s="31"/>
      <c r="N475" s="4"/>
      <c r="O475" s="4"/>
      <c r="P475" s="4"/>
      <c r="Q475" s="4"/>
      <c r="U475" s="5"/>
      <c r="V475" s="4"/>
      <c r="AG475" t="s">
        <v>516</v>
      </c>
      <c r="AM475" s="1"/>
    </row>
    <row r="476" spans="1:39" x14ac:dyDescent="0.35">
      <c r="A476">
        <v>472</v>
      </c>
      <c r="B476">
        <v>473</v>
      </c>
      <c r="C476">
        <v>146.80251055100001</v>
      </c>
      <c r="D476">
        <v>-19.158263626999901</v>
      </c>
      <c r="F476" s="63"/>
      <c r="G476" s="63"/>
      <c r="H476" t="s">
        <v>78</v>
      </c>
      <c r="I476" s="64">
        <v>1</v>
      </c>
      <c r="J476" s="31"/>
      <c r="K476" s="31"/>
      <c r="L476" s="31"/>
      <c r="M476" s="31"/>
      <c r="N476" s="4"/>
      <c r="O476" s="4"/>
      <c r="P476" s="4"/>
      <c r="Q476" s="4"/>
      <c r="U476" s="5"/>
      <c r="V476" s="4"/>
      <c r="AG476" t="s">
        <v>517</v>
      </c>
      <c r="AM476" s="1"/>
    </row>
    <row r="477" spans="1:39" x14ac:dyDescent="0.35">
      <c r="A477">
        <v>473</v>
      </c>
      <c r="B477">
        <v>474</v>
      </c>
      <c r="C477">
        <v>146.80251579399999</v>
      </c>
      <c r="D477">
        <v>-19.158178925999898</v>
      </c>
      <c r="F477" s="63"/>
      <c r="G477" s="63"/>
      <c r="H477" t="s">
        <v>78</v>
      </c>
      <c r="I477" s="64">
        <v>1</v>
      </c>
      <c r="J477" s="31"/>
      <c r="K477" s="31"/>
      <c r="L477" s="31"/>
      <c r="M477" s="31"/>
      <c r="N477" s="4"/>
      <c r="O477" s="4"/>
      <c r="P477" s="4"/>
      <c r="Q477" s="4"/>
      <c r="U477" s="5"/>
      <c r="V477" s="4"/>
      <c r="AG477" t="s">
        <v>518</v>
      </c>
      <c r="AM477" s="1"/>
    </row>
    <row r="478" spans="1:39" x14ac:dyDescent="0.35">
      <c r="A478">
        <v>474</v>
      </c>
      <c r="B478">
        <v>475</v>
      </c>
      <c r="C478">
        <v>146.802517123</v>
      </c>
      <c r="D478">
        <v>-19.158094402</v>
      </c>
      <c r="E478">
        <v>50</v>
      </c>
      <c r="F478" s="63"/>
      <c r="G478" s="63"/>
      <c r="H478" t="s">
        <v>78</v>
      </c>
      <c r="I478" s="64">
        <v>1</v>
      </c>
      <c r="J478" s="31"/>
      <c r="K478" s="31"/>
      <c r="L478" s="31"/>
      <c r="M478" s="31"/>
      <c r="N478" s="4"/>
      <c r="O478" s="4"/>
      <c r="P478" s="4"/>
      <c r="Q478" s="4"/>
      <c r="U478" s="5"/>
      <c r="V478" s="4"/>
      <c r="AG478" t="s">
        <v>519</v>
      </c>
      <c r="AM478" s="1"/>
    </row>
    <row r="479" spans="1:39" x14ac:dyDescent="0.35">
      <c r="A479">
        <v>475</v>
      </c>
      <c r="B479">
        <v>476</v>
      </c>
      <c r="C479">
        <v>146.80250703900001</v>
      </c>
      <c r="D479">
        <v>-19.158010082000001</v>
      </c>
      <c r="F479" s="63"/>
      <c r="G479" s="63"/>
      <c r="H479" t="s">
        <v>78</v>
      </c>
      <c r="I479" s="64">
        <v>1</v>
      </c>
      <c r="J479" s="31"/>
      <c r="K479" s="31"/>
      <c r="L479" s="31"/>
      <c r="M479" s="31"/>
      <c r="N479" s="4"/>
      <c r="O479" s="4"/>
      <c r="P479" s="4"/>
      <c r="Q479" s="4"/>
      <c r="U479" s="5"/>
      <c r="V479" s="4"/>
      <c r="AG479" t="s">
        <v>520</v>
      </c>
      <c r="AM479" s="1"/>
    </row>
    <row r="480" spans="1:39" x14ac:dyDescent="0.35">
      <c r="A480">
        <v>476</v>
      </c>
      <c r="B480">
        <v>477</v>
      </c>
      <c r="C480">
        <v>146.802505454</v>
      </c>
      <c r="D480">
        <v>-19.1579253099999</v>
      </c>
      <c r="F480" s="63"/>
      <c r="G480" s="63"/>
      <c r="H480" t="s">
        <v>78</v>
      </c>
      <c r="I480" s="64">
        <v>1</v>
      </c>
      <c r="J480" s="31"/>
      <c r="K480" s="31"/>
      <c r="L480" s="31"/>
      <c r="M480" s="31"/>
      <c r="N480" s="4"/>
      <c r="O480" s="4"/>
      <c r="P480" s="4"/>
      <c r="Q480" s="4"/>
      <c r="U480" s="5"/>
      <c r="V480" s="4"/>
      <c r="AG480" t="s">
        <v>521</v>
      </c>
      <c r="AM480" s="1"/>
    </row>
    <row r="481" spans="1:39" x14ac:dyDescent="0.35">
      <c r="A481">
        <v>477</v>
      </c>
      <c r="B481">
        <v>478</v>
      </c>
      <c r="C481">
        <v>146.802505454</v>
      </c>
      <c r="D481">
        <v>-19.157840452999899</v>
      </c>
      <c r="F481" s="63"/>
      <c r="G481" s="63"/>
      <c r="H481" t="s">
        <v>78</v>
      </c>
      <c r="I481" s="64">
        <v>1</v>
      </c>
      <c r="J481" s="31"/>
      <c r="K481" s="31"/>
      <c r="L481" s="31"/>
      <c r="M481" s="31"/>
      <c r="N481" s="4"/>
      <c r="O481" s="4"/>
      <c r="P481" s="4"/>
      <c r="Q481" s="4"/>
      <c r="U481" s="5"/>
      <c r="V481" s="4"/>
      <c r="AG481" t="s">
        <v>522</v>
      </c>
      <c r="AM481" s="1"/>
    </row>
    <row r="482" spans="1:39" x14ac:dyDescent="0.35">
      <c r="A482">
        <v>478</v>
      </c>
      <c r="B482">
        <v>479</v>
      </c>
      <c r="C482">
        <v>146.802503108</v>
      </c>
      <c r="D482">
        <v>-19.1577557909999</v>
      </c>
      <c r="F482" s="63"/>
      <c r="G482" s="63"/>
      <c r="H482" t="s">
        <v>78</v>
      </c>
      <c r="I482" s="64">
        <v>1</v>
      </c>
      <c r="J482" s="31"/>
      <c r="K482" s="31"/>
      <c r="L482" s="31"/>
      <c r="M482" s="31"/>
      <c r="N482" s="4"/>
      <c r="O482" s="4"/>
      <c r="P482" s="4"/>
      <c r="Q482" s="4"/>
      <c r="U482" s="5"/>
      <c r="V482" s="4"/>
      <c r="AG482" t="s">
        <v>523</v>
      </c>
      <c r="AM482" s="1"/>
    </row>
    <row r="483" spans="1:39" x14ac:dyDescent="0.35">
      <c r="A483">
        <v>479</v>
      </c>
      <c r="B483">
        <v>480</v>
      </c>
      <c r="C483">
        <v>146.802478339</v>
      </c>
      <c r="D483">
        <v>-19.157680136</v>
      </c>
      <c r="E483">
        <v>50</v>
      </c>
      <c r="F483" s="63"/>
      <c r="G483" s="63"/>
      <c r="H483" t="s">
        <v>78</v>
      </c>
      <c r="I483" s="64">
        <v>1</v>
      </c>
      <c r="J483" s="31"/>
      <c r="K483" s="31"/>
      <c r="L483" s="31"/>
      <c r="M483" s="31"/>
      <c r="N483" s="4"/>
      <c r="O483" s="4"/>
      <c r="P483" s="4"/>
      <c r="Q483" s="4"/>
      <c r="U483" s="5"/>
      <c r="V483" s="4"/>
      <c r="AG483" t="s">
        <v>524</v>
      </c>
      <c r="AM483" s="1"/>
    </row>
    <row r="484" spans="1:39" x14ac:dyDescent="0.35">
      <c r="A484">
        <v>480</v>
      </c>
      <c r="B484">
        <v>481</v>
      </c>
      <c r="C484">
        <v>146.80247342300001</v>
      </c>
      <c r="D484">
        <v>-19.157597123999899</v>
      </c>
      <c r="F484" s="63"/>
      <c r="G484" s="63"/>
      <c r="H484" t="s">
        <v>78</v>
      </c>
      <c r="I484" s="64">
        <v>1</v>
      </c>
      <c r="J484" s="31"/>
      <c r="K484" s="31"/>
      <c r="L484" s="31"/>
      <c r="M484" s="31"/>
      <c r="N484" s="4"/>
      <c r="O484" s="4"/>
      <c r="P484" s="4"/>
      <c r="Q484" s="4"/>
      <c r="U484" s="5"/>
      <c r="V484" s="4"/>
      <c r="AG484" t="s">
        <v>525</v>
      </c>
      <c r="AM484" s="1"/>
    </row>
    <row r="485" spans="1:39" x14ac:dyDescent="0.35">
      <c r="A485">
        <v>481</v>
      </c>
      <c r="B485">
        <v>482</v>
      </c>
      <c r="C485">
        <v>146.80245779000001</v>
      </c>
      <c r="D485">
        <v>-19.157513561999998</v>
      </c>
      <c r="F485" s="63"/>
      <c r="G485" s="63"/>
      <c r="H485" t="s">
        <v>78</v>
      </c>
      <c r="I485" s="64">
        <v>1</v>
      </c>
      <c r="J485" s="31"/>
      <c r="K485" s="31"/>
      <c r="L485" s="31"/>
      <c r="M485" s="31"/>
      <c r="N485" s="4"/>
      <c r="O485" s="4"/>
      <c r="P485" s="4"/>
      <c r="Q485" s="4"/>
      <c r="U485" s="5"/>
      <c r="V485" s="4"/>
      <c r="AG485" t="s">
        <v>526</v>
      </c>
      <c r="AM485" s="1"/>
    </row>
    <row r="486" spans="1:39" x14ac:dyDescent="0.35">
      <c r="A486">
        <v>482</v>
      </c>
      <c r="B486">
        <v>483</v>
      </c>
      <c r="C486">
        <v>146.80244215600001</v>
      </c>
      <c r="D486">
        <v>-19.157430000000002</v>
      </c>
      <c r="F486" s="63"/>
      <c r="G486" s="63"/>
      <c r="H486" t="s">
        <v>78</v>
      </c>
      <c r="I486" s="64">
        <v>1</v>
      </c>
      <c r="J486" s="31"/>
      <c r="K486" s="31"/>
      <c r="L486" s="31"/>
      <c r="M486" s="31"/>
      <c r="N486" s="4"/>
      <c r="O486" s="4"/>
      <c r="P486" s="4"/>
      <c r="Q486" s="4"/>
      <c r="U486" s="5"/>
      <c r="V486" s="4"/>
      <c r="AG486" t="s">
        <v>527</v>
      </c>
      <c r="AM486" s="1"/>
    </row>
    <row r="487" spans="1:39" x14ac:dyDescent="0.35">
      <c r="A487">
        <v>483</v>
      </c>
      <c r="B487">
        <v>484</v>
      </c>
      <c r="C487">
        <v>146.802407496</v>
      </c>
      <c r="D487">
        <v>-19.1573523449999</v>
      </c>
      <c r="F487" s="63"/>
      <c r="G487" s="63"/>
      <c r="H487" t="s">
        <v>26</v>
      </c>
      <c r="I487" s="64"/>
      <c r="J487" s="31"/>
      <c r="K487" s="31"/>
      <c r="L487" s="31"/>
      <c r="M487" s="31"/>
      <c r="N487" s="4"/>
      <c r="O487" s="4"/>
      <c r="P487" s="4"/>
      <c r="Q487" s="4"/>
      <c r="U487" s="5"/>
      <c r="V487" s="4"/>
      <c r="AG487" t="s">
        <v>528</v>
      </c>
      <c r="AM487" s="1"/>
    </row>
    <row r="488" spans="1:39" x14ac:dyDescent="0.35">
      <c r="A488">
        <v>484</v>
      </c>
      <c r="B488">
        <v>485</v>
      </c>
      <c r="C488">
        <v>146.80239350100001</v>
      </c>
      <c r="D488">
        <v>-19.1572687459999</v>
      </c>
      <c r="E488">
        <v>50</v>
      </c>
      <c r="F488" s="63"/>
      <c r="G488" s="63"/>
      <c r="H488" t="s">
        <v>26</v>
      </c>
      <c r="I488" s="64"/>
      <c r="J488" s="31"/>
      <c r="K488" s="31"/>
      <c r="L488" s="31"/>
      <c r="M488" s="31"/>
      <c r="N488" s="4"/>
      <c r="O488" s="4"/>
      <c r="P488" s="4"/>
      <c r="Q488" s="4"/>
      <c r="U488" s="5"/>
      <c r="V488" s="4"/>
      <c r="AG488" t="s">
        <v>529</v>
      </c>
      <c r="AM488" s="1"/>
    </row>
    <row r="489" spans="1:39" x14ac:dyDescent="0.35">
      <c r="A489">
        <v>485</v>
      </c>
      <c r="B489">
        <v>486</v>
      </c>
      <c r="C489">
        <v>146.80237603899999</v>
      </c>
      <c r="D489">
        <v>-19.157185548000001</v>
      </c>
      <c r="F489" s="63"/>
      <c r="G489" s="63"/>
      <c r="H489" t="s">
        <v>26</v>
      </c>
      <c r="I489" s="64"/>
      <c r="J489" s="31"/>
      <c r="K489" s="31"/>
      <c r="L489" s="31"/>
      <c r="M489" s="31"/>
      <c r="N489" s="4"/>
      <c r="O489" s="4"/>
      <c r="P489" s="4"/>
      <c r="Q489" s="4"/>
      <c r="U489" s="5"/>
      <c r="V489" s="4"/>
      <c r="AG489" t="s">
        <v>530</v>
      </c>
      <c r="AM489" s="1"/>
    </row>
    <row r="490" spans="1:39" x14ac:dyDescent="0.35">
      <c r="A490">
        <v>486</v>
      </c>
      <c r="B490">
        <v>487</v>
      </c>
      <c r="C490">
        <v>146.80237373899999</v>
      </c>
      <c r="D490">
        <v>-19.157104536999999</v>
      </c>
      <c r="F490" s="63"/>
      <c r="G490" s="63"/>
      <c r="H490" t="s">
        <v>26</v>
      </c>
      <c r="I490" s="64"/>
      <c r="J490" s="31"/>
      <c r="K490" s="31"/>
      <c r="L490" s="31"/>
      <c r="M490" s="31"/>
      <c r="N490" s="4"/>
      <c r="O490" s="4"/>
      <c r="P490" s="4"/>
      <c r="Q490" s="4"/>
      <c r="U490" s="5"/>
      <c r="V490" s="4"/>
      <c r="AG490" t="s">
        <v>531</v>
      </c>
      <c r="AM490" s="1"/>
    </row>
    <row r="491" spans="1:39" x14ac:dyDescent="0.35">
      <c r="A491">
        <v>487</v>
      </c>
      <c r="B491">
        <v>488</v>
      </c>
      <c r="C491">
        <v>146.80241175899999</v>
      </c>
      <c r="D491">
        <v>-19.157028027999999</v>
      </c>
      <c r="F491" s="63"/>
      <c r="G491" s="63"/>
      <c r="H491" t="s">
        <v>26</v>
      </c>
      <c r="I491" s="64"/>
      <c r="J491" s="31"/>
      <c r="K491" s="31"/>
      <c r="L491" s="31"/>
      <c r="M491" s="31"/>
      <c r="N491" s="4"/>
      <c r="O491" s="4"/>
      <c r="P491" s="4"/>
      <c r="Q491" s="4"/>
      <c r="U491" s="5"/>
      <c r="V491" s="4"/>
      <c r="AG491" t="s">
        <v>532</v>
      </c>
      <c r="AM491" s="1"/>
    </row>
    <row r="492" spans="1:39" x14ac:dyDescent="0.35">
      <c r="A492">
        <v>488</v>
      </c>
      <c r="B492">
        <v>489</v>
      </c>
      <c r="C492">
        <v>146.802386493</v>
      </c>
      <c r="D492">
        <v>-19.156948492000001</v>
      </c>
      <c r="F492" s="63"/>
      <c r="G492" s="63"/>
      <c r="H492" t="s">
        <v>26</v>
      </c>
      <c r="I492" s="64"/>
      <c r="J492" s="31"/>
      <c r="K492" s="31"/>
      <c r="L492" s="31"/>
      <c r="M492" s="31"/>
      <c r="N492" s="4"/>
      <c r="O492" s="4"/>
      <c r="P492" s="4"/>
      <c r="Q492" s="4"/>
      <c r="U492" s="5"/>
      <c r="V492" s="4"/>
      <c r="AG492" t="s">
        <v>533</v>
      </c>
      <c r="AM492" s="1"/>
    </row>
    <row r="493" spans="1:39" x14ac:dyDescent="0.35">
      <c r="A493">
        <v>489</v>
      </c>
      <c r="B493">
        <v>490</v>
      </c>
      <c r="C493">
        <v>146.80238902400001</v>
      </c>
      <c r="D493">
        <v>-19.156863697999899</v>
      </c>
      <c r="E493">
        <v>50</v>
      </c>
      <c r="F493" s="63"/>
      <c r="G493" s="63"/>
      <c r="H493" t="s">
        <v>26</v>
      </c>
      <c r="I493" s="64"/>
      <c r="J493" s="31"/>
      <c r="K493" s="31"/>
      <c r="L493" s="31"/>
      <c r="M493" s="31"/>
      <c r="N493" s="4"/>
      <c r="O493" s="4"/>
      <c r="P493" s="4"/>
      <c r="Q493" s="4"/>
      <c r="U493" s="5"/>
      <c r="V493" s="4"/>
      <c r="AG493" t="s">
        <v>534</v>
      </c>
      <c r="AM493" s="1"/>
    </row>
    <row r="494" spans="1:39" x14ac:dyDescent="0.35">
      <c r="A494">
        <v>490</v>
      </c>
      <c r="B494">
        <v>491</v>
      </c>
      <c r="C494">
        <v>146.802344218</v>
      </c>
      <c r="D494">
        <v>-19.156798724999899</v>
      </c>
      <c r="F494" s="63"/>
      <c r="G494" s="63"/>
      <c r="H494" t="s">
        <v>26</v>
      </c>
      <c r="I494" s="64"/>
      <c r="J494" s="31"/>
      <c r="K494" s="31"/>
      <c r="L494" s="31"/>
      <c r="M494" s="31"/>
      <c r="N494" s="4"/>
      <c r="O494" s="4"/>
      <c r="P494" s="4"/>
      <c r="Q494" s="4"/>
      <c r="U494" s="5"/>
      <c r="V494" s="4"/>
      <c r="AG494" t="s">
        <v>535</v>
      </c>
      <c r="AM494" s="1"/>
    </row>
    <row r="495" spans="1:39" x14ac:dyDescent="0.35">
      <c r="A495">
        <v>491</v>
      </c>
      <c r="B495">
        <v>492</v>
      </c>
      <c r="C495">
        <v>146.80227917299999</v>
      </c>
      <c r="D495">
        <v>-19.1567402599999</v>
      </c>
      <c r="F495" s="63"/>
      <c r="G495" s="63"/>
      <c r="H495" t="s">
        <v>26</v>
      </c>
      <c r="I495" s="64"/>
      <c r="J495" s="31"/>
      <c r="K495" s="31"/>
      <c r="L495" s="31"/>
      <c r="M495" s="31"/>
      <c r="N495" s="4"/>
      <c r="O495" s="4"/>
      <c r="P495" s="4"/>
      <c r="Q495" s="4"/>
      <c r="U495" s="5"/>
      <c r="V495" s="4"/>
      <c r="AG495" t="s">
        <v>536</v>
      </c>
      <c r="AM495" s="1"/>
    </row>
    <row r="496" spans="1:39" x14ac:dyDescent="0.35">
      <c r="A496">
        <v>492</v>
      </c>
      <c r="B496">
        <v>493</v>
      </c>
      <c r="C496">
        <v>146.80221503600001</v>
      </c>
      <c r="D496">
        <v>-19.156680846</v>
      </c>
      <c r="F496" s="63"/>
      <c r="G496" s="63"/>
      <c r="H496" t="s">
        <v>26</v>
      </c>
      <c r="I496" s="64"/>
      <c r="J496" s="31"/>
      <c r="K496" s="31"/>
      <c r="L496" s="31"/>
      <c r="M496" s="31"/>
      <c r="N496" s="4"/>
      <c r="O496" s="4"/>
      <c r="P496" s="4"/>
      <c r="Q496" s="4"/>
      <c r="U496" s="5"/>
      <c r="V496" s="4"/>
      <c r="AG496" t="s">
        <v>537</v>
      </c>
      <c r="AM496" s="1"/>
    </row>
    <row r="497" spans="1:39" x14ac:dyDescent="0.35">
      <c r="A497">
        <v>493</v>
      </c>
      <c r="B497">
        <v>494</v>
      </c>
      <c r="C497">
        <v>146.80216326199999</v>
      </c>
      <c r="D497">
        <v>-19.156611695999999</v>
      </c>
      <c r="F497" s="63"/>
      <c r="G497" s="63"/>
      <c r="H497" t="s">
        <v>26</v>
      </c>
      <c r="I497" s="64"/>
      <c r="J497" s="31"/>
      <c r="K497" s="31"/>
      <c r="L497" s="31"/>
      <c r="M497" s="31"/>
      <c r="N497" s="4"/>
      <c r="O497" s="4"/>
      <c r="P497" s="4"/>
      <c r="Q497" s="4"/>
      <c r="U497" s="5"/>
      <c r="V497" s="4"/>
      <c r="AG497" t="s">
        <v>538</v>
      </c>
      <c r="AM497" s="1"/>
    </row>
    <row r="498" spans="1:39" x14ac:dyDescent="0.35">
      <c r="A498">
        <v>494</v>
      </c>
      <c r="B498">
        <v>495</v>
      </c>
      <c r="C498">
        <v>146.802112948</v>
      </c>
      <c r="D498">
        <v>-19.156541397999899</v>
      </c>
      <c r="E498">
        <v>50</v>
      </c>
      <c r="F498" s="63"/>
      <c r="G498" s="63"/>
      <c r="H498" t="s">
        <v>26</v>
      </c>
      <c r="I498" s="64"/>
      <c r="J498" s="31"/>
      <c r="K498" s="31"/>
      <c r="L498" s="31"/>
      <c r="M498" s="31"/>
      <c r="N498" s="4"/>
      <c r="O498" s="4"/>
      <c r="P498" s="4"/>
      <c r="Q498" s="4"/>
      <c r="U498" s="5"/>
      <c r="V498" s="4"/>
      <c r="AG498" t="s">
        <v>539</v>
      </c>
      <c r="AM498" s="1"/>
    </row>
    <row r="499" spans="1:39" x14ac:dyDescent="0.35">
      <c r="A499">
        <v>495</v>
      </c>
      <c r="B499">
        <v>496</v>
      </c>
      <c r="C499">
        <v>146.80206263400001</v>
      </c>
      <c r="D499">
        <v>-19.156471100000001</v>
      </c>
      <c r="F499" s="63"/>
      <c r="G499" s="63"/>
      <c r="H499" t="s">
        <v>26</v>
      </c>
      <c r="I499" s="64"/>
      <c r="J499" s="31"/>
      <c r="K499" s="31"/>
      <c r="L499" s="31"/>
      <c r="M499" s="31"/>
      <c r="N499" s="4"/>
      <c r="O499" s="4"/>
      <c r="P499" s="4"/>
      <c r="Q499" s="4"/>
      <c r="U499" s="5"/>
      <c r="V499" s="4"/>
      <c r="AG499" t="s">
        <v>540</v>
      </c>
      <c r="AM499" s="1"/>
    </row>
    <row r="500" spans="1:39" x14ac:dyDescent="0.35">
      <c r="A500">
        <v>496</v>
      </c>
      <c r="B500">
        <v>497</v>
      </c>
      <c r="C500">
        <v>146.80201231999999</v>
      </c>
      <c r="D500">
        <v>-19.156400802</v>
      </c>
      <c r="F500" s="63"/>
      <c r="G500" s="63"/>
      <c r="H500" t="s">
        <v>26</v>
      </c>
      <c r="I500" s="64"/>
      <c r="J500" s="31"/>
      <c r="K500" s="31"/>
      <c r="L500" s="31"/>
      <c r="M500" s="31"/>
      <c r="N500" s="4"/>
      <c r="O500" s="4"/>
      <c r="P500" s="4"/>
      <c r="Q500" s="4"/>
      <c r="U500" s="5"/>
      <c r="V500" s="4"/>
      <c r="AG500" t="s">
        <v>541</v>
      </c>
      <c r="AM500" s="1"/>
    </row>
    <row r="501" spans="1:39" x14ac:dyDescent="0.35">
      <c r="A501">
        <v>497</v>
      </c>
      <c r="B501">
        <v>498</v>
      </c>
      <c r="C501">
        <v>146.80196267900001</v>
      </c>
      <c r="D501">
        <v>-19.1563300789999</v>
      </c>
      <c r="F501" s="63"/>
      <c r="G501" s="63"/>
      <c r="H501" t="s">
        <v>26</v>
      </c>
      <c r="I501" s="64"/>
      <c r="J501" s="31"/>
      <c r="K501" s="31"/>
      <c r="L501" s="31"/>
      <c r="M501" s="31"/>
      <c r="N501" s="4"/>
      <c r="O501" s="4"/>
      <c r="P501" s="4"/>
      <c r="Q501" s="4"/>
      <c r="U501" s="5"/>
      <c r="V501" s="4"/>
      <c r="AG501" t="s">
        <v>542</v>
      </c>
      <c r="AM501" s="1"/>
    </row>
    <row r="502" spans="1:39" x14ac:dyDescent="0.35">
      <c r="A502">
        <v>498</v>
      </c>
      <c r="B502">
        <v>499</v>
      </c>
      <c r="C502">
        <v>146.801913141</v>
      </c>
      <c r="D502">
        <v>-19.156259290000001</v>
      </c>
      <c r="F502" s="63"/>
      <c r="G502" s="63"/>
      <c r="H502" t="s">
        <v>26</v>
      </c>
      <c r="I502" s="64"/>
      <c r="J502" s="31"/>
      <c r="K502" s="31"/>
      <c r="L502" s="31"/>
      <c r="M502" s="31"/>
      <c r="N502" s="4"/>
      <c r="O502" s="4"/>
      <c r="P502" s="4"/>
      <c r="Q502" s="4"/>
      <c r="U502" s="5"/>
      <c r="V502" s="4"/>
      <c r="AG502" t="s">
        <v>543</v>
      </c>
      <c r="AM502" s="1"/>
    </row>
    <row r="503" spans="1:39" x14ac:dyDescent="0.35">
      <c r="A503">
        <v>499</v>
      </c>
      <c r="B503">
        <v>500</v>
      </c>
      <c r="C503">
        <v>146.80189397300001</v>
      </c>
      <c r="D503">
        <v>-19.156176788</v>
      </c>
      <c r="E503">
        <v>50</v>
      </c>
      <c r="F503" s="63"/>
      <c r="G503" s="63"/>
      <c r="H503" t="s">
        <v>26</v>
      </c>
      <c r="I503" s="64"/>
      <c r="J503" s="31"/>
      <c r="K503" s="31"/>
      <c r="L503" s="31"/>
      <c r="M503" s="31"/>
      <c r="N503" s="4"/>
      <c r="O503" s="4"/>
      <c r="P503" s="4"/>
      <c r="Q503" s="4"/>
      <c r="U503" s="5"/>
      <c r="V503" s="4"/>
      <c r="AG503" t="s">
        <v>544</v>
      </c>
      <c r="AM503" s="1"/>
    </row>
    <row r="504" spans="1:39" x14ac:dyDescent="0.35">
      <c r="A504">
        <v>500</v>
      </c>
      <c r="B504">
        <v>501</v>
      </c>
      <c r="C504">
        <v>146.80188033100001</v>
      </c>
      <c r="D504">
        <v>-19.156093885000001</v>
      </c>
      <c r="F504" s="63"/>
      <c r="G504" s="63"/>
      <c r="H504" t="s">
        <v>26</v>
      </c>
      <c r="I504" s="64"/>
      <c r="J504" s="31"/>
      <c r="K504" s="31"/>
      <c r="L504" s="31"/>
      <c r="M504" s="31"/>
      <c r="N504" s="4"/>
      <c r="O504" s="4"/>
      <c r="P504" s="4"/>
      <c r="Q504" s="4"/>
      <c r="U504" s="5"/>
      <c r="V504" s="4"/>
      <c r="AG504" t="s">
        <v>545</v>
      </c>
      <c r="AM504" s="1"/>
    </row>
    <row r="505" spans="1:39" x14ac:dyDescent="0.35">
      <c r="A505">
        <v>501</v>
      </c>
      <c r="B505">
        <v>502</v>
      </c>
      <c r="C505">
        <v>146.80185104399999</v>
      </c>
      <c r="D505">
        <v>-19.156014371000001</v>
      </c>
      <c r="F505" s="63"/>
      <c r="G505" s="63"/>
      <c r="H505" t="s">
        <v>26</v>
      </c>
      <c r="I505" s="64"/>
      <c r="J505" s="31"/>
      <c r="K505" s="31"/>
      <c r="L505" s="31"/>
      <c r="M505" s="31"/>
      <c r="N505" s="4"/>
      <c r="O505" s="4"/>
      <c r="P505" s="4"/>
      <c r="Q505" s="4"/>
      <c r="U505" s="5"/>
      <c r="V505" s="4"/>
      <c r="AG505" t="s">
        <v>546</v>
      </c>
      <c r="AM505" s="1"/>
    </row>
    <row r="506" spans="1:39" x14ac:dyDescent="0.35">
      <c r="A506">
        <v>502</v>
      </c>
      <c r="B506">
        <v>503</v>
      </c>
      <c r="C506">
        <v>146.80183253600001</v>
      </c>
      <c r="D506">
        <v>-19.1559322059999</v>
      </c>
      <c r="F506" s="63"/>
      <c r="G506" s="63"/>
      <c r="H506" t="s">
        <v>26</v>
      </c>
      <c r="I506" s="64"/>
      <c r="J506" s="31"/>
      <c r="K506" s="31"/>
      <c r="L506" s="31"/>
      <c r="M506" s="31"/>
      <c r="N506" s="4"/>
      <c r="O506" s="4"/>
      <c r="P506" s="4"/>
      <c r="Q506" s="4"/>
      <c r="U506" s="5"/>
      <c r="V506" s="4"/>
      <c r="AG506" t="s">
        <v>547</v>
      </c>
      <c r="AM506" s="1"/>
    </row>
    <row r="507" spans="1:39" x14ac:dyDescent="0.35">
      <c r="A507">
        <v>503</v>
      </c>
      <c r="B507">
        <v>504</v>
      </c>
      <c r="C507">
        <v>146.80182815699999</v>
      </c>
      <c r="D507">
        <v>-19.15584745</v>
      </c>
      <c r="F507" s="63"/>
      <c r="G507" s="63"/>
      <c r="H507" t="s">
        <v>26</v>
      </c>
      <c r="I507" s="64"/>
      <c r="J507" s="31"/>
      <c r="K507" s="31"/>
      <c r="L507" s="31"/>
      <c r="M507" s="31"/>
      <c r="N507" s="4"/>
      <c r="O507" s="4"/>
      <c r="P507" s="4"/>
      <c r="Q507" s="4"/>
      <c r="U507" s="5"/>
      <c r="V507" s="4"/>
      <c r="AG507" t="s">
        <v>548</v>
      </c>
      <c r="AM507" s="1"/>
    </row>
    <row r="508" spans="1:39" x14ac:dyDescent="0.35">
      <c r="A508">
        <v>504</v>
      </c>
      <c r="B508">
        <v>505</v>
      </c>
      <c r="C508">
        <v>146.80182377899999</v>
      </c>
      <c r="D508">
        <v>-19.1557626929999</v>
      </c>
      <c r="E508">
        <v>50</v>
      </c>
      <c r="F508" s="63"/>
      <c r="G508" s="63"/>
      <c r="H508" t="s">
        <v>26</v>
      </c>
      <c r="I508" s="64"/>
      <c r="J508" s="31"/>
      <c r="K508" s="31"/>
      <c r="L508" s="31"/>
      <c r="M508" s="31"/>
      <c r="N508" s="4"/>
      <c r="O508" s="4"/>
      <c r="P508" s="4"/>
      <c r="Q508" s="4"/>
      <c r="U508" s="5"/>
      <c r="V508" s="4"/>
      <c r="AG508" t="s">
        <v>549</v>
      </c>
      <c r="AM508" s="1"/>
    </row>
    <row r="509" spans="1:39" x14ac:dyDescent="0.35">
      <c r="A509">
        <v>505</v>
      </c>
      <c r="B509">
        <v>506</v>
      </c>
      <c r="C509">
        <v>146.80181215799999</v>
      </c>
      <c r="D509">
        <v>-19.155678562999999</v>
      </c>
      <c r="F509" s="63"/>
      <c r="G509" s="63"/>
      <c r="H509" t="s">
        <v>26</v>
      </c>
      <c r="I509" s="64"/>
      <c r="J509" s="31"/>
      <c r="K509" s="31"/>
      <c r="L509" s="31"/>
      <c r="M509" s="31"/>
      <c r="N509" s="4"/>
      <c r="O509" s="4"/>
      <c r="P509" s="4"/>
      <c r="Q509" s="4"/>
      <c r="U509" s="5"/>
      <c r="V509" s="4"/>
      <c r="AG509" t="s">
        <v>550</v>
      </c>
      <c r="AM509" s="1"/>
    </row>
    <row r="510" spans="1:39" x14ac:dyDescent="0.35">
      <c r="A510">
        <v>506</v>
      </c>
      <c r="B510">
        <v>507</v>
      </c>
      <c r="C510">
        <v>146.80180202299999</v>
      </c>
      <c r="D510">
        <v>-19.155594251</v>
      </c>
      <c r="F510" s="63"/>
      <c r="G510" s="63"/>
      <c r="H510" t="s">
        <v>26</v>
      </c>
      <c r="I510" s="64"/>
      <c r="J510" s="31"/>
      <c r="K510" s="31"/>
      <c r="L510" s="31"/>
      <c r="M510" s="31"/>
      <c r="N510" s="4"/>
      <c r="O510" s="4"/>
      <c r="P510" s="4"/>
      <c r="Q510" s="4"/>
      <c r="U510" s="5"/>
      <c r="V510" s="4"/>
      <c r="AG510" t="s">
        <v>551</v>
      </c>
      <c r="AM510" s="1"/>
    </row>
    <row r="511" spans="1:39" x14ac:dyDescent="0.35">
      <c r="A511">
        <v>507</v>
      </c>
      <c r="B511">
        <v>508</v>
      </c>
      <c r="C511">
        <v>146.80179224</v>
      </c>
      <c r="D511">
        <v>-19.155509897999899</v>
      </c>
      <c r="F511" s="63"/>
      <c r="G511" s="63"/>
      <c r="H511" t="s">
        <v>26</v>
      </c>
      <c r="I511" s="64"/>
      <c r="J511" s="31"/>
      <c r="K511" s="31"/>
      <c r="L511" s="31"/>
      <c r="M511" s="31"/>
      <c r="N511" s="4"/>
      <c r="O511" s="4"/>
      <c r="P511" s="4"/>
      <c r="Q511" s="4"/>
      <c r="U511" s="5"/>
      <c r="V511" s="4"/>
      <c r="AG511" t="s">
        <v>552</v>
      </c>
      <c r="AM511" s="1"/>
    </row>
    <row r="512" spans="1:39" x14ac:dyDescent="0.35">
      <c r="A512">
        <v>508</v>
      </c>
      <c r="B512">
        <v>509</v>
      </c>
      <c r="C512">
        <v>146.80178245799999</v>
      </c>
      <c r="D512">
        <v>-19.155425545</v>
      </c>
      <c r="F512" s="63"/>
      <c r="G512" s="63"/>
      <c r="H512" t="s">
        <v>26</v>
      </c>
      <c r="I512" s="64"/>
      <c r="J512" s="31"/>
      <c r="K512" s="31"/>
      <c r="L512" s="31"/>
      <c r="M512" s="31"/>
      <c r="N512" s="4"/>
      <c r="O512" s="4"/>
      <c r="P512" s="4"/>
      <c r="Q512" s="4"/>
      <c r="U512" s="5"/>
      <c r="V512" s="4"/>
      <c r="AG512" t="s">
        <v>553</v>
      </c>
      <c r="AM512" s="1"/>
    </row>
    <row r="513" spans="1:39" x14ac:dyDescent="0.35">
      <c r="A513">
        <v>509</v>
      </c>
      <c r="B513">
        <v>510</v>
      </c>
      <c r="C513">
        <v>146.801772675</v>
      </c>
      <c r="D513">
        <v>-19.155341192000002</v>
      </c>
      <c r="E513">
        <v>50</v>
      </c>
      <c r="F513" s="63"/>
      <c r="G513" s="63"/>
      <c r="H513" t="s">
        <v>26</v>
      </c>
      <c r="I513" s="64"/>
      <c r="J513" s="31"/>
      <c r="K513" s="31"/>
      <c r="L513" s="31"/>
      <c r="M513" s="31"/>
      <c r="N513" s="4"/>
      <c r="O513" s="4"/>
      <c r="P513" s="4"/>
      <c r="Q513" s="4"/>
      <c r="U513" s="5"/>
      <c r="V513" s="4"/>
      <c r="AG513" t="s">
        <v>554</v>
      </c>
      <c r="AM513" s="1"/>
    </row>
    <row r="514" spans="1:39" x14ac:dyDescent="0.35">
      <c r="A514">
        <v>510</v>
      </c>
      <c r="B514">
        <v>511</v>
      </c>
      <c r="C514">
        <v>146.801762892</v>
      </c>
      <c r="D514">
        <v>-19.1552568389999</v>
      </c>
      <c r="F514" s="63"/>
      <c r="G514" s="63"/>
      <c r="H514" t="s">
        <v>26</v>
      </c>
      <c r="I514" s="64"/>
      <c r="J514" s="31"/>
      <c r="K514" s="31"/>
      <c r="L514" s="31"/>
      <c r="M514" s="31"/>
      <c r="N514" s="4"/>
      <c r="O514" s="4"/>
      <c r="P514" s="4"/>
      <c r="Q514" s="4"/>
      <c r="U514" s="5"/>
      <c r="V514" s="4"/>
      <c r="AG514" t="s">
        <v>555</v>
      </c>
      <c r="AM514" s="1"/>
    </row>
    <row r="515" spans="1:39" x14ac:dyDescent="0.35">
      <c r="A515">
        <v>511</v>
      </c>
      <c r="B515">
        <v>512</v>
      </c>
      <c r="C515">
        <v>146.80175310999999</v>
      </c>
      <c r="D515">
        <v>-19.155172485000001</v>
      </c>
      <c r="F515" s="63"/>
      <c r="G515" s="63"/>
      <c r="H515" t="s">
        <v>26</v>
      </c>
      <c r="I515" s="64"/>
      <c r="J515" s="31"/>
      <c r="K515" s="31"/>
      <c r="L515" s="31"/>
      <c r="M515" s="31"/>
      <c r="N515" s="4"/>
      <c r="O515" s="4"/>
      <c r="P515" s="4"/>
      <c r="Q515" s="4"/>
      <c r="U515" s="5"/>
      <c r="V515" s="4"/>
      <c r="AG515" t="s">
        <v>556</v>
      </c>
      <c r="AM515" s="1"/>
    </row>
    <row r="516" spans="1:39" x14ac:dyDescent="0.35">
      <c r="A516">
        <v>512</v>
      </c>
      <c r="B516">
        <v>513</v>
      </c>
      <c r="C516">
        <v>146.80172293300001</v>
      </c>
      <c r="D516">
        <v>-19.155093879999999</v>
      </c>
      <c r="F516" s="63"/>
      <c r="G516" s="63"/>
      <c r="H516" t="s">
        <v>26</v>
      </c>
      <c r="I516" s="64"/>
      <c r="J516" s="31"/>
      <c r="K516" s="31"/>
      <c r="L516" s="31"/>
      <c r="M516" s="31"/>
      <c r="N516" s="4"/>
      <c r="O516" s="4"/>
      <c r="P516" s="4"/>
      <c r="Q516" s="4"/>
      <c r="U516" s="5"/>
      <c r="V516" s="4"/>
      <c r="AG516" t="s">
        <v>557</v>
      </c>
      <c r="AM516" s="1"/>
    </row>
    <row r="517" spans="1:39" x14ac:dyDescent="0.35">
      <c r="A517">
        <v>513</v>
      </c>
      <c r="B517">
        <v>514</v>
      </c>
      <c r="C517">
        <v>146.80168218399999</v>
      </c>
      <c r="D517">
        <v>-19.155018255000002</v>
      </c>
      <c r="F517" s="63"/>
      <c r="G517" s="63"/>
      <c r="H517" t="s">
        <v>26</v>
      </c>
      <c r="I517" s="64"/>
      <c r="J517" s="31"/>
      <c r="K517" s="31"/>
      <c r="L517" s="31"/>
      <c r="M517" s="31"/>
      <c r="N517" s="4"/>
      <c r="O517" s="4"/>
      <c r="P517" s="4"/>
      <c r="Q517" s="4"/>
      <c r="U517" s="5"/>
      <c r="V517" s="4"/>
      <c r="AG517" t="s">
        <v>558</v>
      </c>
      <c r="AM517" s="1"/>
    </row>
    <row r="518" spans="1:39" x14ac:dyDescent="0.35">
      <c r="A518">
        <v>514</v>
      </c>
      <c r="B518">
        <v>515</v>
      </c>
      <c r="C518">
        <v>146.80164143499999</v>
      </c>
      <c r="D518">
        <v>-19.154942629999901</v>
      </c>
      <c r="E518">
        <v>50</v>
      </c>
      <c r="F518" s="63"/>
      <c r="G518" s="63"/>
      <c r="H518" t="s">
        <v>26</v>
      </c>
      <c r="I518" s="64"/>
      <c r="J518" s="31"/>
      <c r="K518" s="31"/>
      <c r="L518" s="31"/>
      <c r="M518" s="31"/>
      <c r="N518" s="4"/>
      <c r="O518" s="4"/>
      <c r="P518" s="4"/>
      <c r="Q518" s="4"/>
      <c r="U518" s="5"/>
      <c r="V518" s="4"/>
      <c r="AG518" t="s">
        <v>559</v>
      </c>
      <c r="AM518" s="1"/>
    </row>
    <row r="519" spans="1:39" x14ac:dyDescent="0.35">
      <c r="A519">
        <v>515</v>
      </c>
      <c r="B519">
        <v>516</v>
      </c>
      <c r="C519">
        <v>146.80160068699999</v>
      </c>
      <c r="D519">
        <v>-19.154867005</v>
      </c>
      <c r="F519" s="63"/>
      <c r="G519" s="63"/>
      <c r="H519" t="s">
        <v>26</v>
      </c>
      <c r="I519" s="64"/>
      <c r="J519" s="31"/>
      <c r="K519" s="31"/>
      <c r="L519" s="31"/>
      <c r="M519" s="31"/>
      <c r="N519" s="4"/>
      <c r="O519" s="4"/>
      <c r="P519" s="4"/>
      <c r="Q519" s="4"/>
      <c r="U519" s="5"/>
      <c r="V519" s="4"/>
      <c r="AG519" t="s">
        <v>560</v>
      </c>
      <c r="AM519" s="1"/>
    </row>
    <row r="520" spans="1:39" x14ac:dyDescent="0.35">
      <c r="A520">
        <v>516</v>
      </c>
      <c r="B520">
        <v>517</v>
      </c>
      <c r="C520">
        <v>146.80155898800001</v>
      </c>
      <c r="D520">
        <v>-19.1547918979999</v>
      </c>
      <c r="F520" s="63"/>
      <c r="G520" s="63"/>
      <c r="H520" t="s">
        <v>26</v>
      </c>
      <c r="I520" s="64"/>
      <c r="J520" s="31"/>
      <c r="K520" s="31"/>
      <c r="L520" s="31"/>
      <c r="M520" s="31"/>
      <c r="N520" s="4"/>
      <c r="O520" s="4"/>
      <c r="P520" s="4"/>
      <c r="Q520" s="4"/>
      <c r="U520" s="5"/>
      <c r="V520" s="4"/>
      <c r="AG520" t="s">
        <v>561</v>
      </c>
      <c r="AM520" s="1"/>
    </row>
    <row r="521" spans="1:39" x14ac:dyDescent="0.35">
      <c r="A521">
        <v>517</v>
      </c>
      <c r="B521">
        <v>518</v>
      </c>
      <c r="C521">
        <v>146.80151000199999</v>
      </c>
      <c r="D521">
        <v>-19.154720767000001</v>
      </c>
      <c r="F521" s="63"/>
      <c r="G521" s="63"/>
      <c r="H521" t="s">
        <v>26</v>
      </c>
      <c r="I521" s="64"/>
      <c r="J521" s="31"/>
      <c r="K521" s="31"/>
      <c r="L521" s="31"/>
      <c r="M521" s="31"/>
      <c r="N521" s="4"/>
      <c r="O521" s="4"/>
      <c r="P521" s="4"/>
      <c r="Q521" s="4"/>
      <c r="U521" s="5"/>
      <c r="V521" s="4"/>
      <c r="AG521" t="s">
        <v>562</v>
      </c>
      <c r="AM521" s="1"/>
    </row>
    <row r="522" spans="1:39" x14ac:dyDescent="0.35">
      <c r="A522">
        <v>518</v>
      </c>
      <c r="B522">
        <v>519</v>
      </c>
      <c r="C522">
        <v>146.801461015</v>
      </c>
      <c r="D522">
        <v>-19.154649635999899</v>
      </c>
      <c r="F522" s="63"/>
      <c r="G522" s="63"/>
      <c r="H522" t="s">
        <v>26</v>
      </c>
      <c r="I522" s="64"/>
      <c r="J522" s="31"/>
      <c r="K522" s="31"/>
      <c r="L522" s="31"/>
      <c r="M522" s="31"/>
      <c r="N522" s="4"/>
      <c r="O522" s="4"/>
      <c r="P522" s="4"/>
      <c r="Q522" s="4"/>
      <c r="U522" s="5"/>
      <c r="V522" s="4"/>
      <c r="AG522" t="s">
        <v>563</v>
      </c>
      <c r="AM522" s="1"/>
    </row>
    <row r="523" spans="1:39" x14ac:dyDescent="0.35">
      <c r="A523">
        <v>519</v>
      </c>
      <c r="B523">
        <v>520</v>
      </c>
      <c r="C523">
        <v>146.80141202900001</v>
      </c>
      <c r="D523">
        <v>-19.154578505</v>
      </c>
      <c r="E523">
        <v>50</v>
      </c>
      <c r="F523" s="63"/>
      <c r="G523" s="63"/>
      <c r="H523" t="s">
        <v>26</v>
      </c>
      <c r="I523" s="64"/>
      <c r="J523" s="31"/>
      <c r="K523" s="31"/>
      <c r="L523" s="31"/>
      <c r="M523" s="31"/>
      <c r="N523" s="4"/>
      <c r="O523" s="4"/>
      <c r="P523" s="4"/>
      <c r="Q523" s="4"/>
      <c r="U523" s="5"/>
      <c r="V523" s="4"/>
      <c r="AG523" t="s">
        <v>564</v>
      </c>
      <c r="AM523" s="1"/>
    </row>
    <row r="524" spans="1:39" x14ac:dyDescent="0.35">
      <c r="A524">
        <v>520</v>
      </c>
      <c r="B524">
        <v>521</v>
      </c>
      <c r="C524">
        <v>146.80136304300001</v>
      </c>
      <c r="D524">
        <v>-19.154507373999898</v>
      </c>
      <c r="F524" s="63"/>
      <c r="G524" s="63"/>
      <c r="H524" t="s">
        <v>26</v>
      </c>
      <c r="I524" s="64"/>
      <c r="J524" s="31"/>
      <c r="K524" s="31"/>
      <c r="L524" s="31"/>
      <c r="M524" s="31"/>
      <c r="N524" s="4"/>
      <c r="O524" s="4"/>
      <c r="P524" s="4"/>
      <c r="Q524" s="4"/>
      <c r="U524" s="5"/>
      <c r="V524" s="4"/>
      <c r="AG524" t="s">
        <v>565</v>
      </c>
      <c r="AM524" s="1"/>
    </row>
    <row r="525" spans="1:39" x14ac:dyDescent="0.35">
      <c r="A525">
        <v>521</v>
      </c>
      <c r="B525">
        <v>522</v>
      </c>
      <c r="C525">
        <v>146.80131405700001</v>
      </c>
      <c r="D525">
        <v>-19.154436242999999</v>
      </c>
      <c r="F525" s="63"/>
      <c r="G525" s="63"/>
      <c r="H525" t="s">
        <v>26</v>
      </c>
      <c r="I525" s="64"/>
      <c r="J525" s="31"/>
      <c r="K525" s="31"/>
      <c r="L525" s="31"/>
      <c r="M525" s="31"/>
      <c r="N525" s="4"/>
      <c r="O525" s="4"/>
      <c r="P525" s="4"/>
      <c r="Q525" s="4"/>
      <c r="U525" s="5"/>
      <c r="V525" s="4"/>
      <c r="AG525" t="s">
        <v>566</v>
      </c>
      <c r="AM525" s="1"/>
    </row>
    <row r="526" spans="1:39" x14ac:dyDescent="0.35">
      <c r="A526">
        <v>522</v>
      </c>
      <c r="B526">
        <v>523</v>
      </c>
      <c r="C526">
        <v>146.80126507099999</v>
      </c>
      <c r="D526">
        <v>-19.154365111999901</v>
      </c>
      <c r="F526" s="63"/>
      <c r="G526" s="63"/>
      <c r="H526" t="s">
        <v>26</v>
      </c>
      <c r="I526" s="64"/>
      <c r="J526" s="31"/>
      <c r="K526" s="31"/>
      <c r="L526" s="31"/>
      <c r="M526" s="31"/>
      <c r="N526" s="4"/>
      <c r="O526" s="4"/>
      <c r="P526" s="4"/>
      <c r="Q526" s="4"/>
      <c r="U526" s="5"/>
      <c r="V526" s="4"/>
      <c r="AG526" t="s">
        <v>567</v>
      </c>
      <c r="AM526" s="1"/>
    </row>
    <row r="527" spans="1:39" x14ac:dyDescent="0.35">
      <c r="A527">
        <v>523</v>
      </c>
      <c r="B527">
        <v>524</v>
      </c>
      <c r="C527">
        <v>146.801219648</v>
      </c>
      <c r="D527">
        <v>-19.154291920999999</v>
      </c>
      <c r="F527" s="63"/>
      <c r="G527" s="63"/>
      <c r="H527" t="s">
        <v>26</v>
      </c>
      <c r="I527" s="64"/>
      <c r="J527" s="31"/>
      <c r="K527" s="31"/>
      <c r="L527" s="31"/>
      <c r="M527" s="31"/>
      <c r="N527" s="4"/>
      <c r="O527" s="4"/>
      <c r="P527" s="4"/>
      <c r="Q527" s="4"/>
      <c r="U527" s="5"/>
      <c r="V527" s="4"/>
      <c r="AG527" t="s">
        <v>568</v>
      </c>
      <c r="AM527" s="1"/>
    </row>
    <row r="528" spans="1:39" x14ac:dyDescent="0.35">
      <c r="A528">
        <v>524</v>
      </c>
      <c r="B528">
        <v>525</v>
      </c>
      <c r="C528">
        <v>146.801174919</v>
      </c>
      <c r="D528">
        <v>-19.154218330999999</v>
      </c>
      <c r="E528">
        <v>50</v>
      </c>
      <c r="F528" s="63"/>
      <c r="G528" s="63"/>
      <c r="H528" t="s">
        <v>26</v>
      </c>
      <c r="I528" s="64"/>
      <c r="J528" s="31"/>
      <c r="K528" s="31"/>
      <c r="L528" s="31"/>
      <c r="M528" s="31"/>
      <c r="N528" s="4"/>
      <c r="O528" s="4"/>
      <c r="P528" s="4"/>
      <c r="Q528" s="4"/>
      <c r="U528" s="5"/>
      <c r="V528" s="4"/>
      <c r="AG528" t="s">
        <v>569</v>
      </c>
      <c r="AM528" s="1"/>
    </row>
    <row r="529" spans="1:39" x14ac:dyDescent="0.35">
      <c r="A529">
        <v>525</v>
      </c>
      <c r="B529">
        <v>526</v>
      </c>
      <c r="C529">
        <v>146.80113018899999</v>
      </c>
      <c r="D529">
        <v>-19.1541447399999</v>
      </c>
      <c r="F529" s="63"/>
      <c r="G529" s="63"/>
      <c r="H529" t="s">
        <v>26</v>
      </c>
      <c r="I529" s="64"/>
      <c r="J529" s="31"/>
      <c r="K529" s="31"/>
      <c r="L529" s="31"/>
      <c r="M529" s="31"/>
      <c r="N529" s="4"/>
      <c r="O529" s="4"/>
      <c r="P529" s="4"/>
      <c r="Q529" s="4"/>
      <c r="U529" s="5"/>
      <c r="V529" s="4"/>
      <c r="AG529" t="s">
        <v>570</v>
      </c>
      <c r="AM529" s="1"/>
    </row>
    <row r="530" spans="1:39" x14ac:dyDescent="0.35">
      <c r="A530">
        <v>526</v>
      </c>
      <c r="B530">
        <v>527</v>
      </c>
      <c r="C530">
        <v>146.80108546</v>
      </c>
      <c r="D530">
        <v>-19.1540711489999</v>
      </c>
      <c r="F530" s="63"/>
      <c r="G530" s="63"/>
      <c r="H530" t="s">
        <v>26</v>
      </c>
      <c r="I530" s="64"/>
      <c r="J530" s="31"/>
      <c r="K530" s="31"/>
      <c r="L530" s="31"/>
      <c r="M530" s="31"/>
      <c r="N530" s="4"/>
      <c r="O530" s="4"/>
      <c r="P530" s="4"/>
      <c r="Q530" s="4"/>
      <c r="U530" s="5"/>
      <c r="V530" s="4"/>
      <c r="AG530" t="s">
        <v>571</v>
      </c>
      <c r="AM530" s="1"/>
    </row>
    <row r="531" spans="1:39" x14ac:dyDescent="0.35">
      <c r="A531">
        <v>527</v>
      </c>
      <c r="B531">
        <v>528</v>
      </c>
      <c r="C531">
        <v>146.80104073000001</v>
      </c>
      <c r="D531">
        <v>-19.153997558</v>
      </c>
      <c r="F531" s="63"/>
      <c r="G531" s="63"/>
      <c r="H531" t="s">
        <v>26</v>
      </c>
      <c r="I531" s="64"/>
      <c r="J531" s="31"/>
      <c r="K531" s="31"/>
      <c r="L531" s="31"/>
      <c r="M531" s="31"/>
      <c r="N531" s="4"/>
      <c r="O531" s="4"/>
      <c r="P531" s="4"/>
      <c r="Q531" s="4"/>
      <c r="U531" s="5"/>
      <c r="V531" s="4"/>
      <c r="AG531" t="s">
        <v>572</v>
      </c>
      <c r="AM531" s="1"/>
    </row>
    <row r="532" spans="1:39" x14ac:dyDescent="0.35">
      <c r="A532">
        <v>528</v>
      </c>
      <c r="B532">
        <v>529</v>
      </c>
      <c r="C532">
        <v>146.80099604700001</v>
      </c>
      <c r="D532">
        <v>-19.153923941999899</v>
      </c>
      <c r="F532" s="63"/>
      <c r="G532" s="63"/>
      <c r="H532" t="s">
        <v>26</v>
      </c>
      <c r="I532" s="64"/>
      <c r="J532" s="31"/>
      <c r="K532" s="31"/>
      <c r="L532" s="31"/>
      <c r="M532" s="31"/>
      <c r="N532" s="4"/>
      <c r="O532" s="4"/>
      <c r="P532" s="4"/>
      <c r="Q532" s="4"/>
      <c r="U532" s="5"/>
      <c r="V532" s="4"/>
      <c r="AG532" t="s">
        <v>573</v>
      </c>
      <c r="AM532" s="1"/>
    </row>
    <row r="533" spans="1:39" x14ac:dyDescent="0.35">
      <c r="A533">
        <v>529</v>
      </c>
      <c r="B533">
        <v>530</v>
      </c>
      <c r="C533">
        <v>146.800951489</v>
      </c>
      <c r="D533">
        <v>-19.153850257999999</v>
      </c>
      <c r="E533">
        <v>50</v>
      </c>
      <c r="F533" s="63"/>
      <c r="G533" s="63"/>
      <c r="H533" t="s">
        <v>26</v>
      </c>
      <c r="I533" s="64"/>
      <c r="J533" s="31"/>
      <c r="K533" s="31"/>
      <c r="L533" s="31"/>
      <c r="M533" s="31"/>
      <c r="N533" s="4"/>
      <c r="O533" s="4"/>
      <c r="P533" s="4"/>
      <c r="Q533" s="4"/>
      <c r="U533" s="5"/>
      <c r="V533" s="4"/>
      <c r="AG533" t="s">
        <v>574</v>
      </c>
      <c r="AM533" s="1"/>
    </row>
    <row r="534" spans="1:39" x14ac:dyDescent="0.35">
      <c r="A534">
        <v>530</v>
      </c>
      <c r="B534">
        <v>531</v>
      </c>
      <c r="C534">
        <v>146.800906932</v>
      </c>
      <c r="D534">
        <v>-19.153776573999899</v>
      </c>
      <c r="F534" s="63"/>
      <c r="G534" s="63"/>
      <c r="H534" t="s">
        <v>26</v>
      </c>
      <c r="I534" s="64"/>
      <c r="J534" s="31"/>
      <c r="K534" s="31"/>
      <c r="L534" s="31"/>
      <c r="M534" s="31"/>
      <c r="N534" s="4"/>
      <c r="O534" s="4"/>
      <c r="P534" s="4"/>
      <c r="Q534" s="4"/>
      <c r="U534" s="5"/>
      <c r="V534" s="4"/>
      <c r="AG534" t="s">
        <v>575</v>
      </c>
      <c r="AM534" s="1"/>
    </row>
    <row r="535" spans="1:39" x14ac:dyDescent="0.35">
      <c r="A535">
        <v>531</v>
      </c>
      <c r="B535">
        <v>532</v>
      </c>
      <c r="C535">
        <v>146.80086237500001</v>
      </c>
      <c r="D535">
        <v>-19.153702890000002</v>
      </c>
      <c r="F535" s="63"/>
      <c r="G535" s="63"/>
      <c r="H535" t="s">
        <v>26</v>
      </c>
      <c r="I535" s="64"/>
      <c r="J535" s="31"/>
      <c r="K535" s="31"/>
      <c r="L535" s="31"/>
      <c r="M535" s="31"/>
      <c r="N535" s="4"/>
      <c r="O535" s="4"/>
      <c r="P535" s="4"/>
      <c r="Q535" s="4"/>
      <c r="U535" s="5"/>
      <c r="V535" s="4"/>
      <c r="AG535" t="s">
        <v>576</v>
      </c>
      <c r="AM535" s="1"/>
    </row>
    <row r="536" spans="1:39" x14ac:dyDescent="0.35">
      <c r="A536">
        <v>532</v>
      </c>
      <c r="B536">
        <v>533</v>
      </c>
      <c r="C536">
        <v>146.80081781800001</v>
      </c>
      <c r="D536">
        <v>-19.153629205999898</v>
      </c>
      <c r="F536" s="63"/>
      <c r="G536" s="63"/>
      <c r="H536" t="s">
        <v>26</v>
      </c>
      <c r="I536" s="64"/>
      <c r="J536" s="31"/>
      <c r="K536" s="31"/>
      <c r="L536" s="31"/>
      <c r="M536" s="31"/>
      <c r="N536" s="4"/>
      <c r="O536" s="4"/>
      <c r="P536" s="4"/>
      <c r="Q536" s="4"/>
      <c r="U536" s="5"/>
      <c r="V536" s="4"/>
      <c r="AG536" t="s">
        <v>577</v>
      </c>
      <c r="AM536" s="1"/>
    </row>
    <row r="537" spans="1:39" x14ac:dyDescent="0.35">
      <c r="A537">
        <v>533</v>
      </c>
      <c r="B537">
        <v>534</v>
      </c>
      <c r="C537">
        <v>146.80077326099999</v>
      </c>
      <c r="D537">
        <v>-19.153555520999902</v>
      </c>
      <c r="F537" s="63"/>
      <c r="G537" s="63"/>
      <c r="H537" t="s">
        <v>26</v>
      </c>
      <c r="I537" s="64"/>
      <c r="J537" s="31"/>
      <c r="K537" s="31"/>
      <c r="L537" s="31"/>
      <c r="M537" s="31"/>
      <c r="N537" s="4"/>
      <c r="O537" s="4"/>
      <c r="P537" s="4"/>
      <c r="Q537" s="4"/>
      <c r="U537" s="5"/>
      <c r="V537" s="4"/>
      <c r="AG537" t="s">
        <v>578</v>
      </c>
      <c r="AM537" s="1"/>
    </row>
    <row r="538" spans="1:39" x14ac:dyDescent="0.35">
      <c r="A538">
        <v>534</v>
      </c>
      <c r="B538">
        <v>535</v>
      </c>
      <c r="C538">
        <v>146.800728703</v>
      </c>
      <c r="D538">
        <v>-19.153481837000001</v>
      </c>
      <c r="E538">
        <v>50</v>
      </c>
      <c r="F538" s="63"/>
      <c r="G538" s="63"/>
      <c r="H538" t="s">
        <v>26</v>
      </c>
      <c r="I538" s="64"/>
      <c r="J538" s="31"/>
      <c r="K538" s="31"/>
      <c r="L538" s="31"/>
      <c r="M538" s="31"/>
      <c r="N538" s="4"/>
      <c r="O538" s="4"/>
      <c r="P538" s="4"/>
      <c r="Q538" s="4"/>
      <c r="U538" s="5"/>
      <c r="V538" s="4"/>
      <c r="AG538" t="s">
        <v>579</v>
      </c>
      <c r="AM538" s="1"/>
    </row>
    <row r="539" spans="1:39" x14ac:dyDescent="0.35">
      <c r="A539">
        <v>535</v>
      </c>
      <c r="B539">
        <v>536</v>
      </c>
      <c r="C539">
        <v>146.80068854199999</v>
      </c>
      <c r="D539">
        <v>-19.153406054999898</v>
      </c>
      <c r="F539" s="63"/>
      <c r="G539" s="63"/>
      <c r="H539" t="s">
        <v>26</v>
      </c>
      <c r="I539" s="64"/>
      <c r="J539" s="31"/>
      <c r="K539" s="31"/>
      <c r="L539" s="31"/>
      <c r="M539" s="31"/>
      <c r="N539" s="4"/>
      <c r="O539" s="4"/>
      <c r="P539" s="4"/>
      <c r="Q539" s="4"/>
      <c r="U539" s="5"/>
      <c r="V539" s="4"/>
      <c r="AG539" t="s">
        <v>580</v>
      </c>
      <c r="AM539" s="1"/>
    </row>
    <row r="540" spans="1:39" x14ac:dyDescent="0.35">
      <c r="A540">
        <v>536</v>
      </c>
      <c r="B540">
        <v>537</v>
      </c>
      <c r="C540">
        <v>146.80065217999999</v>
      </c>
      <c r="D540">
        <v>-19.153328459000001</v>
      </c>
      <c r="F540" s="63"/>
      <c r="G540" s="63"/>
      <c r="H540" t="s">
        <v>26</v>
      </c>
      <c r="I540" s="64"/>
      <c r="J540" s="31"/>
      <c r="K540" s="31"/>
      <c r="L540" s="31"/>
      <c r="M540" s="31"/>
      <c r="N540" s="4"/>
      <c r="O540" s="4"/>
      <c r="P540" s="4"/>
      <c r="Q540" s="4"/>
      <c r="U540" s="5"/>
      <c r="V540" s="4"/>
      <c r="AG540" t="s">
        <v>581</v>
      </c>
      <c r="AM540" s="1"/>
    </row>
    <row r="541" spans="1:39" x14ac:dyDescent="0.35">
      <c r="A541">
        <v>537</v>
      </c>
      <c r="B541">
        <v>538</v>
      </c>
      <c r="C541">
        <v>146.80061581699999</v>
      </c>
      <c r="D541">
        <v>-19.153250863</v>
      </c>
      <c r="F541" s="63"/>
      <c r="G541" s="63"/>
      <c r="H541" t="s">
        <v>26</v>
      </c>
      <c r="I541" s="64"/>
      <c r="J541" s="31"/>
      <c r="K541" s="31"/>
      <c r="L541" s="31"/>
      <c r="M541" s="31"/>
      <c r="N541" s="4"/>
      <c r="O541" s="4"/>
      <c r="P541" s="4"/>
      <c r="Q541" s="4"/>
      <c r="U541" s="5"/>
      <c r="V541" s="4"/>
      <c r="AG541" t="s">
        <v>582</v>
      </c>
      <c r="AM541" s="1"/>
    </row>
    <row r="542" spans="1:39" x14ac:dyDescent="0.35">
      <c r="A542">
        <v>538</v>
      </c>
      <c r="B542">
        <v>539</v>
      </c>
      <c r="C542">
        <v>146.80057945499999</v>
      </c>
      <c r="D542">
        <v>-19.1531732669999</v>
      </c>
      <c r="F542" s="63"/>
      <c r="G542" s="63"/>
      <c r="H542" t="s">
        <v>26</v>
      </c>
      <c r="I542" s="64"/>
      <c r="J542" s="31"/>
      <c r="K542" s="31"/>
      <c r="L542" s="31"/>
      <c r="M542" s="31"/>
      <c r="N542" s="4"/>
      <c r="O542" s="4"/>
      <c r="P542" s="4"/>
      <c r="Q542" s="4"/>
      <c r="U542" s="5"/>
      <c r="V542" s="4"/>
      <c r="AG542" t="s">
        <v>583</v>
      </c>
      <c r="AM542" s="1"/>
    </row>
    <row r="543" spans="1:39" x14ac:dyDescent="0.35">
      <c r="A543">
        <v>539</v>
      </c>
      <c r="B543">
        <v>540</v>
      </c>
      <c r="C543">
        <v>146.80053782799999</v>
      </c>
      <c r="D543">
        <v>-19.1530981229999</v>
      </c>
      <c r="E543">
        <v>50</v>
      </c>
      <c r="F543" s="63"/>
      <c r="G543" s="63"/>
      <c r="H543" t="s">
        <v>26</v>
      </c>
      <c r="I543" s="64"/>
      <c r="J543" s="31"/>
      <c r="K543" s="31"/>
      <c r="L543" s="31"/>
      <c r="M543" s="31"/>
      <c r="N543" s="4"/>
      <c r="O543" s="4"/>
      <c r="P543" s="4"/>
      <c r="Q543" s="4"/>
      <c r="U543" s="5"/>
      <c r="V543" s="4"/>
      <c r="AG543" t="s">
        <v>584</v>
      </c>
      <c r="AM543" s="1"/>
    </row>
    <row r="544" spans="1:39" x14ac:dyDescent="0.35">
      <c r="A544">
        <v>540</v>
      </c>
      <c r="B544">
        <v>541</v>
      </c>
      <c r="C544">
        <v>146.80049479499999</v>
      </c>
      <c r="D544">
        <v>-19.153023635</v>
      </c>
      <c r="F544" s="63"/>
      <c r="G544" s="63"/>
      <c r="H544" t="s">
        <v>26</v>
      </c>
      <c r="I544" s="64"/>
      <c r="J544" s="31"/>
      <c r="K544" s="31"/>
      <c r="L544" s="31"/>
      <c r="M544" s="31"/>
      <c r="N544" s="4"/>
      <c r="O544" s="4"/>
      <c r="P544" s="4"/>
      <c r="Q544" s="4"/>
      <c r="U544" s="5"/>
      <c r="V544" s="4"/>
      <c r="AG544" t="s">
        <v>585</v>
      </c>
      <c r="AM544" s="1"/>
    </row>
    <row r="545" spans="1:39" x14ac:dyDescent="0.35">
      <c r="A545">
        <v>541</v>
      </c>
      <c r="B545">
        <v>542</v>
      </c>
      <c r="C545">
        <v>146.80045176199999</v>
      </c>
      <c r="D545">
        <v>-19.152949146000001</v>
      </c>
      <c r="F545" s="63"/>
      <c r="G545" s="63"/>
      <c r="H545" t="s">
        <v>26</v>
      </c>
      <c r="I545" s="64"/>
      <c r="J545" s="31"/>
      <c r="K545" s="31"/>
      <c r="L545" s="31"/>
      <c r="M545" s="31"/>
      <c r="N545" s="4"/>
      <c r="O545" s="4"/>
      <c r="P545" s="4"/>
      <c r="Q545" s="4"/>
      <c r="U545" s="5"/>
      <c r="V545" s="4"/>
      <c r="AG545" t="s">
        <v>586</v>
      </c>
      <c r="AM545" s="1"/>
    </row>
    <row r="546" spans="1:39" x14ac:dyDescent="0.35">
      <c r="A546">
        <v>542</v>
      </c>
      <c r="B546">
        <v>543</v>
      </c>
      <c r="C546">
        <v>146.80040872999999</v>
      </c>
      <c r="D546">
        <v>-19.152874656999899</v>
      </c>
      <c r="F546" s="63"/>
      <c r="G546" s="63"/>
      <c r="H546" t="s">
        <v>26</v>
      </c>
      <c r="I546" s="64"/>
      <c r="J546" s="31"/>
      <c r="K546" s="31"/>
      <c r="L546" s="31"/>
      <c r="M546" s="31"/>
      <c r="N546" s="4"/>
      <c r="O546" s="4"/>
      <c r="P546" s="4"/>
      <c r="Q546" s="4"/>
      <c r="U546" s="5"/>
      <c r="V546" s="4"/>
      <c r="AG546" t="s">
        <v>587</v>
      </c>
      <c r="AM546" s="1"/>
    </row>
    <row r="547" spans="1:39" x14ac:dyDescent="0.35">
      <c r="A547">
        <v>543</v>
      </c>
      <c r="B547">
        <v>544</v>
      </c>
      <c r="C547">
        <v>146.800365696</v>
      </c>
      <c r="D547">
        <v>-19.152800168999899</v>
      </c>
      <c r="F547" s="63"/>
      <c r="G547" s="63"/>
      <c r="H547" t="s">
        <v>26</v>
      </c>
      <c r="I547" s="64"/>
      <c r="J547" s="31"/>
      <c r="K547" s="31"/>
      <c r="L547" s="31"/>
      <c r="M547" s="31"/>
      <c r="N547" s="4"/>
      <c r="O547" s="4"/>
      <c r="P547" s="4"/>
      <c r="Q547" s="4"/>
      <c r="U547" s="5"/>
      <c r="V547" s="4"/>
      <c r="AG547" t="s">
        <v>588</v>
      </c>
      <c r="AM547" s="1"/>
    </row>
    <row r="548" spans="1:39" x14ac:dyDescent="0.35">
      <c r="A548">
        <v>544</v>
      </c>
      <c r="B548">
        <v>545</v>
      </c>
      <c r="C548">
        <v>146.80030762499999</v>
      </c>
      <c r="D548">
        <v>-19.152735999999901</v>
      </c>
      <c r="E548">
        <v>50</v>
      </c>
      <c r="F548" s="63"/>
      <c r="G548" s="63"/>
      <c r="H548" t="s">
        <v>26</v>
      </c>
      <c r="I548" s="64"/>
      <c r="J548" s="31"/>
      <c r="K548" s="31"/>
      <c r="L548" s="31"/>
      <c r="M548" s="31"/>
      <c r="N548" s="4"/>
      <c r="O548" s="4"/>
      <c r="P548" s="4"/>
      <c r="Q548" s="4"/>
      <c r="U548" s="5"/>
      <c r="V548" s="4"/>
      <c r="AG548" t="s">
        <v>589</v>
      </c>
      <c r="AM548" s="1"/>
    </row>
    <row r="549" spans="1:39" x14ac:dyDescent="0.35">
      <c r="A549">
        <v>545</v>
      </c>
      <c r="B549">
        <v>546</v>
      </c>
      <c r="C549">
        <v>146.80022498</v>
      </c>
      <c r="D549">
        <v>-19.152704819999901</v>
      </c>
      <c r="F549" s="63"/>
      <c r="G549" s="63"/>
      <c r="H549" t="s">
        <v>26</v>
      </c>
      <c r="I549" s="64"/>
      <c r="J549" s="31"/>
      <c r="K549" s="31"/>
      <c r="L549" s="31"/>
      <c r="M549" s="31"/>
      <c r="N549" s="4"/>
      <c r="O549" s="4"/>
      <c r="P549" s="4"/>
      <c r="Q549" s="4"/>
      <c r="U549" s="5"/>
      <c r="V549" s="4"/>
      <c r="AG549" t="s">
        <v>590</v>
      </c>
      <c r="AM549" s="1"/>
    </row>
    <row r="550" spans="1:39" x14ac:dyDescent="0.35">
      <c r="A550">
        <v>546</v>
      </c>
      <c r="B550">
        <v>547</v>
      </c>
      <c r="C550">
        <v>146.800137812</v>
      </c>
      <c r="D550">
        <v>-19.1526844979999</v>
      </c>
      <c r="F550" s="63"/>
      <c r="G550" s="63"/>
      <c r="H550" t="s">
        <v>26</v>
      </c>
      <c r="I550" s="64"/>
      <c r="J550" s="31"/>
      <c r="K550" s="31"/>
      <c r="L550" s="31"/>
      <c r="M550" s="31"/>
      <c r="N550" s="4"/>
      <c r="O550" s="4"/>
      <c r="P550" s="4"/>
      <c r="Q550" s="4"/>
      <c r="U550" s="5"/>
      <c r="V550" s="4"/>
      <c r="AG550" t="s">
        <v>591</v>
      </c>
      <c r="AM550" s="1"/>
    </row>
    <row r="551" spans="1:39" x14ac:dyDescent="0.35">
      <c r="A551">
        <v>547</v>
      </c>
      <c r="B551">
        <v>548</v>
      </c>
      <c r="C551">
        <v>146.800057434</v>
      </c>
      <c r="D551">
        <v>-19.152652528000001</v>
      </c>
      <c r="F551" s="63"/>
      <c r="G551" s="63"/>
      <c r="H551" t="s">
        <v>26</v>
      </c>
      <c r="I551" s="64"/>
      <c r="J551" s="31"/>
      <c r="K551" s="31"/>
      <c r="L551" s="31"/>
      <c r="M551" s="31"/>
      <c r="N551" s="4"/>
      <c r="O551" s="4"/>
      <c r="P551" s="4"/>
      <c r="Q551" s="4"/>
      <c r="U551" s="5"/>
      <c r="V551" s="4"/>
      <c r="AG551" t="s">
        <v>592</v>
      </c>
      <c r="AM551" s="1"/>
    </row>
    <row r="552" spans="1:39" x14ac:dyDescent="0.35">
      <c r="A552">
        <v>548</v>
      </c>
      <c r="B552">
        <v>549</v>
      </c>
      <c r="C552">
        <v>146.79998727899999</v>
      </c>
      <c r="D552">
        <v>-19.152601611000001</v>
      </c>
      <c r="F552" s="63"/>
      <c r="G552" s="63"/>
      <c r="H552" t="s">
        <v>26</v>
      </c>
      <c r="I552" s="64"/>
      <c r="J552" s="31"/>
      <c r="K552" s="31"/>
      <c r="L552" s="31"/>
      <c r="M552" s="31"/>
      <c r="N552" s="4"/>
      <c r="O552" s="4"/>
      <c r="P552" s="4"/>
      <c r="Q552" s="4"/>
      <c r="U552" s="5"/>
      <c r="V552" s="4"/>
      <c r="AG552" t="s">
        <v>593</v>
      </c>
      <c r="AM552" s="1"/>
    </row>
    <row r="553" spans="1:39" x14ac:dyDescent="0.35">
      <c r="A553">
        <v>549</v>
      </c>
      <c r="B553">
        <v>550</v>
      </c>
      <c r="C553">
        <v>146.79994683800001</v>
      </c>
      <c r="D553">
        <v>-19.152534574999901</v>
      </c>
      <c r="E553">
        <v>50</v>
      </c>
      <c r="F553" s="63"/>
      <c r="G553" s="63"/>
      <c r="H553" t="s">
        <v>26</v>
      </c>
      <c r="I553" s="64"/>
      <c r="J553" s="31"/>
      <c r="K553" s="31"/>
      <c r="L553" s="31"/>
      <c r="M553" s="31"/>
      <c r="N553" s="4"/>
      <c r="O553" s="4"/>
      <c r="P553" s="4"/>
      <c r="Q553" s="4"/>
      <c r="U553" s="5"/>
      <c r="V553" s="4"/>
      <c r="AG553" t="s">
        <v>594</v>
      </c>
      <c r="AM553" s="1"/>
    </row>
    <row r="554" spans="1:39" x14ac:dyDescent="0.35">
      <c r="A554">
        <v>550</v>
      </c>
      <c r="B554">
        <v>551</v>
      </c>
      <c r="C554">
        <v>146.79996828200001</v>
      </c>
      <c r="D554">
        <v>-19.152458481999901</v>
      </c>
      <c r="F554" s="63"/>
      <c r="G554" s="63"/>
      <c r="H554" t="s">
        <v>26</v>
      </c>
      <c r="I554" s="64"/>
      <c r="J554" s="31"/>
      <c r="K554" s="31"/>
      <c r="L554" s="31"/>
      <c r="M554" s="31"/>
      <c r="N554" s="4"/>
      <c r="O554" s="4"/>
      <c r="P554" s="4"/>
      <c r="Q554" s="4"/>
      <c r="U554" s="5"/>
      <c r="V554" s="4"/>
      <c r="AG554" t="s">
        <v>595</v>
      </c>
      <c r="AM554" s="1"/>
    </row>
    <row r="555" spans="1:39" x14ac:dyDescent="0.35">
      <c r="A555">
        <v>551</v>
      </c>
      <c r="B555">
        <v>552</v>
      </c>
      <c r="C555">
        <v>146.80005136700001</v>
      </c>
      <c r="D555">
        <v>-19.152428235999899</v>
      </c>
      <c r="F555" s="63"/>
      <c r="G555" s="63"/>
      <c r="H555" t="s">
        <v>26</v>
      </c>
      <c r="I555" s="64"/>
      <c r="J555" s="31"/>
      <c r="K555" s="31"/>
      <c r="L555" s="31"/>
      <c r="M555" s="31"/>
      <c r="N555" s="4"/>
      <c r="O555" s="4"/>
      <c r="P555" s="4"/>
      <c r="Q555" s="4"/>
      <c r="U555" s="5"/>
      <c r="V555" s="4"/>
      <c r="AG555" t="s">
        <v>596</v>
      </c>
      <c r="AM555" s="1"/>
    </row>
    <row r="556" spans="1:39" x14ac:dyDescent="0.35">
      <c r="A556">
        <v>552</v>
      </c>
      <c r="B556">
        <v>553</v>
      </c>
      <c r="C556">
        <v>146.80011591300001</v>
      </c>
      <c r="D556">
        <v>-19.152389491000001</v>
      </c>
      <c r="F556" s="63"/>
      <c r="G556" s="63"/>
      <c r="H556" t="s">
        <v>26</v>
      </c>
      <c r="I556" s="64"/>
      <c r="J556" s="31"/>
      <c r="K556" s="31"/>
      <c r="L556" s="31"/>
      <c r="M556" s="31"/>
      <c r="N556" s="4"/>
      <c r="O556" s="4"/>
      <c r="P556" s="4"/>
      <c r="Q556" s="4"/>
      <c r="U556" s="5"/>
      <c r="V556" s="4"/>
      <c r="AG556" t="s">
        <v>597</v>
      </c>
      <c r="AM556" s="1"/>
    </row>
    <row r="557" spans="1:39" x14ac:dyDescent="0.35">
      <c r="A557">
        <v>553</v>
      </c>
      <c r="B557">
        <v>554</v>
      </c>
      <c r="C557">
        <v>146.800133542</v>
      </c>
      <c r="D557">
        <v>-19.152309021000001</v>
      </c>
      <c r="F557" s="63"/>
      <c r="G557" s="63"/>
      <c r="H557" t="s">
        <v>26</v>
      </c>
      <c r="I557" s="64"/>
      <c r="J557" s="31"/>
      <c r="K557" s="31"/>
      <c r="L557" s="31"/>
      <c r="M557" s="31"/>
      <c r="N557" s="4"/>
      <c r="O557" s="4"/>
      <c r="P557" s="4"/>
      <c r="Q557" s="4"/>
      <c r="U557" s="5"/>
      <c r="V557" s="4"/>
      <c r="AG557" t="s">
        <v>598</v>
      </c>
      <c r="AM557" s="1"/>
    </row>
    <row r="558" spans="1:39" x14ac:dyDescent="0.35">
      <c r="A558">
        <v>554</v>
      </c>
      <c r="B558">
        <v>555</v>
      </c>
      <c r="C558">
        <v>146.80010707700001</v>
      </c>
      <c r="D558">
        <v>-19.152227927999899</v>
      </c>
      <c r="E558">
        <v>50</v>
      </c>
      <c r="F558" s="63"/>
      <c r="G558" s="63"/>
      <c r="H558" t="s">
        <v>26</v>
      </c>
      <c r="I558" s="64"/>
      <c r="J558" s="31"/>
      <c r="K558" s="31"/>
      <c r="L558" s="31"/>
      <c r="M558" s="31"/>
      <c r="N558" s="4"/>
      <c r="O558" s="4"/>
      <c r="P558" s="4"/>
      <c r="Q558" s="4"/>
      <c r="U558" s="5"/>
      <c r="V558" s="4"/>
      <c r="AG558" t="s">
        <v>599</v>
      </c>
      <c r="AM558" s="1"/>
    </row>
    <row r="559" spans="1:39" x14ac:dyDescent="0.35">
      <c r="A559">
        <v>555</v>
      </c>
      <c r="B559">
        <v>556</v>
      </c>
      <c r="C559">
        <v>146.800080611</v>
      </c>
      <c r="D559">
        <v>-19.1521468349999</v>
      </c>
      <c r="F559" s="63"/>
      <c r="G559" s="63"/>
      <c r="H559" t="s">
        <v>26</v>
      </c>
      <c r="I559" s="64"/>
      <c r="J559" s="31"/>
      <c r="K559" s="31"/>
      <c r="L559" s="31"/>
      <c r="M559" s="31"/>
      <c r="N559" s="4"/>
      <c r="O559" s="4"/>
      <c r="P559" s="4"/>
      <c r="Q559" s="4"/>
      <c r="U559" s="5"/>
      <c r="V559" s="4"/>
      <c r="AG559" t="s">
        <v>600</v>
      </c>
      <c r="AM559" s="1"/>
    </row>
    <row r="560" spans="1:39" x14ac:dyDescent="0.35">
      <c r="A560">
        <v>556</v>
      </c>
      <c r="B560">
        <v>557</v>
      </c>
      <c r="C560">
        <v>146.80004454199999</v>
      </c>
      <c r="D560">
        <v>-19.152071007</v>
      </c>
      <c r="F560" s="63"/>
      <c r="G560" s="63"/>
      <c r="H560" t="s">
        <v>26</v>
      </c>
      <c r="I560" s="64"/>
      <c r="J560" s="31"/>
      <c r="K560" s="31"/>
      <c r="L560" s="31"/>
      <c r="M560" s="31"/>
      <c r="N560" s="4"/>
      <c r="O560" s="4"/>
      <c r="P560" s="4"/>
      <c r="Q560" s="4"/>
      <c r="U560" s="5"/>
      <c r="V560" s="4"/>
      <c r="AG560" t="s">
        <v>601</v>
      </c>
      <c r="AM560" s="1"/>
    </row>
    <row r="561" spans="1:39" x14ac:dyDescent="0.35">
      <c r="A561">
        <v>557</v>
      </c>
      <c r="B561">
        <v>558</v>
      </c>
      <c r="C561">
        <v>146.79998176199999</v>
      </c>
      <c r="D561">
        <v>-19.152010342000001</v>
      </c>
      <c r="F561" s="63"/>
      <c r="G561" s="63"/>
      <c r="H561" t="s">
        <v>26</v>
      </c>
      <c r="I561" s="64"/>
      <c r="J561" s="31"/>
      <c r="K561" s="31"/>
      <c r="L561" s="31"/>
      <c r="M561" s="31"/>
      <c r="N561" s="4"/>
      <c r="O561" s="4"/>
      <c r="P561" s="4"/>
      <c r="Q561" s="4"/>
      <c r="U561" s="5"/>
      <c r="V561" s="4"/>
      <c r="AG561" t="s">
        <v>602</v>
      </c>
      <c r="AM561" s="1"/>
    </row>
    <row r="562" spans="1:39" x14ac:dyDescent="0.35">
      <c r="A562">
        <v>558</v>
      </c>
      <c r="B562">
        <v>559</v>
      </c>
      <c r="C562">
        <v>146.79991739600001</v>
      </c>
      <c r="D562">
        <v>-19.151951146999998</v>
      </c>
      <c r="F562" s="63"/>
      <c r="G562" s="63"/>
      <c r="H562" t="s">
        <v>26</v>
      </c>
      <c r="I562" s="64"/>
      <c r="J562" s="31"/>
      <c r="K562" s="31"/>
      <c r="L562" s="31"/>
      <c r="M562" s="31"/>
      <c r="N562" s="4"/>
      <c r="O562" s="4"/>
      <c r="P562" s="4"/>
      <c r="Q562" s="4"/>
      <c r="U562" s="5"/>
      <c r="V562" s="4"/>
      <c r="AG562" t="s">
        <v>603</v>
      </c>
      <c r="AM562" s="1"/>
    </row>
    <row r="563" spans="1:39" x14ac:dyDescent="0.35">
      <c r="A563">
        <v>559</v>
      </c>
      <c r="B563">
        <v>560</v>
      </c>
      <c r="C563">
        <v>146.79985303000001</v>
      </c>
      <c r="D563">
        <v>-19.151891952</v>
      </c>
      <c r="E563">
        <v>50</v>
      </c>
      <c r="F563" s="63"/>
      <c r="G563" s="63"/>
      <c r="H563" t="s">
        <v>26</v>
      </c>
      <c r="I563" s="64"/>
      <c r="J563" s="31"/>
      <c r="K563" s="31"/>
      <c r="L563" s="31"/>
      <c r="M563" s="31"/>
      <c r="N563" s="4"/>
      <c r="O563" s="4"/>
      <c r="P563" s="4"/>
      <c r="Q563" s="4"/>
      <c r="U563" s="5"/>
      <c r="V563" s="4"/>
      <c r="AG563" t="s">
        <v>604</v>
      </c>
      <c r="AM563" s="1"/>
    </row>
    <row r="564" spans="1:39" x14ac:dyDescent="0.35">
      <c r="A564">
        <v>560</v>
      </c>
      <c r="B564">
        <v>561</v>
      </c>
      <c r="C564">
        <v>146.799788664</v>
      </c>
      <c r="D564">
        <v>-19.151832756000001</v>
      </c>
      <c r="F564" s="63"/>
      <c r="G564" s="63"/>
      <c r="H564" t="s">
        <v>26</v>
      </c>
      <c r="I564" s="64"/>
      <c r="J564" s="31"/>
      <c r="K564" s="31"/>
      <c r="L564" s="31"/>
      <c r="M564" s="31"/>
      <c r="N564" s="4"/>
      <c r="O564" s="4"/>
      <c r="P564" s="4"/>
      <c r="Q564" s="4"/>
      <c r="U564" s="5"/>
      <c r="V564" s="4"/>
      <c r="AG564" t="s">
        <v>605</v>
      </c>
      <c r="AM564" s="1"/>
    </row>
    <row r="565" spans="1:39" x14ac:dyDescent="0.35">
      <c r="A565">
        <v>561</v>
      </c>
      <c r="B565">
        <v>562</v>
      </c>
      <c r="C565">
        <v>146.799719227</v>
      </c>
      <c r="D565">
        <v>-19.1517792389999</v>
      </c>
      <c r="F565" s="63"/>
      <c r="G565" s="63"/>
      <c r="H565" t="s">
        <v>26</v>
      </c>
      <c r="I565" s="64"/>
      <c r="J565" s="31"/>
      <c r="K565" s="31"/>
      <c r="L565" s="31"/>
      <c r="M565" s="31"/>
      <c r="N565" s="4"/>
      <c r="O565" s="4"/>
      <c r="P565" s="4"/>
      <c r="Q565" s="4"/>
      <c r="U565" s="5"/>
      <c r="V565" s="4"/>
      <c r="AG565" t="s">
        <v>606</v>
      </c>
      <c r="AM565" s="1"/>
    </row>
    <row r="566" spans="1:39" x14ac:dyDescent="0.35">
      <c r="A566">
        <v>562</v>
      </c>
      <c r="B566">
        <v>563</v>
      </c>
      <c r="C566">
        <v>146.79964662699999</v>
      </c>
      <c r="D566">
        <v>-19.1517292619999</v>
      </c>
      <c r="F566" s="63"/>
      <c r="G566" s="63"/>
      <c r="H566" t="s">
        <v>26</v>
      </c>
      <c r="I566" s="64"/>
      <c r="J566" s="31"/>
      <c r="K566" s="31"/>
      <c r="L566" s="31"/>
      <c r="M566" s="31"/>
      <c r="N566" s="4"/>
      <c r="O566" s="4"/>
      <c r="P566" s="4"/>
      <c r="Q566" s="4"/>
      <c r="U566" s="5"/>
      <c r="V566" s="4"/>
      <c r="AG566" t="s">
        <v>607</v>
      </c>
      <c r="AM566" s="1"/>
    </row>
    <row r="567" spans="1:39" x14ac:dyDescent="0.35">
      <c r="A567">
        <v>563</v>
      </c>
      <c r="B567">
        <v>564</v>
      </c>
      <c r="C567">
        <v>146.79957780399999</v>
      </c>
      <c r="D567">
        <v>-19.151674767999999</v>
      </c>
      <c r="F567" s="63"/>
      <c r="G567" s="63"/>
      <c r="H567" t="s">
        <v>26</v>
      </c>
      <c r="I567" s="64"/>
      <c r="J567" s="31"/>
      <c r="K567" s="31"/>
      <c r="L567" s="31"/>
      <c r="M567" s="31"/>
      <c r="N567" s="4"/>
      <c r="O567" s="4"/>
      <c r="P567" s="4"/>
      <c r="Q567" s="4"/>
      <c r="U567" s="5"/>
      <c r="V567" s="4"/>
      <c r="AG567" t="s">
        <v>608</v>
      </c>
      <c r="AM567" s="1"/>
    </row>
    <row r="568" spans="1:39" x14ac:dyDescent="0.35">
      <c r="A568">
        <v>564</v>
      </c>
      <c r="B568">
        <v>565</v>
      </c>
      <c r="C568">
        <v>146.799509524</v>
      </c>
      <c r="D568">
        <v>-19.151619624999999</v>
      </c>
      <c r="E568">
        <v>50</v>
      </c>
      <c r="F568" s="63"/>
      <c r="G568" s="63"/>
      <c r="H568" t="s">
        <v>26</v>
      </c>
      <c r="I568" s="64"/>
      <c r="J568" s="31"/>
      <c r="K568" s="31"/>
      <c r="L568" s="31"/>
      <c r="M568" s="31"/>
      <c r="N568" s="4"/>
      <c r="O568" s="4"/>
      <c r="P568" s="4"/>
      <c r="Q568" s="4"/>
      <c r="U568" s="5"/>
      <c r="V568" s="4"/>
      <c r="AG568" t="s">
        <v>609</v>
      </c>
      <c r="AM568" s="1"/>
    </row>
    <row r="569" spans="1:39" x14ac:dyDescent="0.35">
      <c r="A569">
        <v>565</v>
      </c>
      <c r="B569">
        <v>566</v>
      </c>
      <c r="C569">
        <v>146.79944124400001</v>
      </c>
      <c r="D569">
        <v>-19.151564482000001</v>
      </c>
      <c r="F569" s="63"/>
      <c r="G569" s="63"/>
      <c r="H569" t="s">
        <v>26</v>
      </c>
      <c r="I569" s="64"/>
      <c r="J569" s="31"/>
      <c r="K569" s="31"/>
      <c r="L569" s="31"/>
      <c r="M569" s="31"/>
      <c r="N569" s="4"/>
      <c r="O569" s="4"/>
      <c r="P569" s="4"/>
      <c r="Q569" s="4"/>
      <c r="U569" s="5"/>
      <c r="V569" s="4"/>
      <c r="AG569" t="s">
        <v>610</v>
      </c>
      <c r="AM569" s="1"/>
    </row>
    <row r="570" spans="1:39" x14ac:dyDescent="0.35">
      <c r="A570">
        <v>566</v>
      </c>
      <c r="B570">
        <v>567</v>
      </c>
      <c r="C570">
        <v>146.799372963</v>
      </c>
      <c r="D570">
        <v>-19.151509339</v>
      </c>
      <c r="F570" s="63"/>
      <c r="G570" s="63"/>
      <c r="H570" t="s">
        <v>26</v>
      </c>
      <c r="I570" s="64"/>
      <c r="J570" s="31"/>
      <c r="K570" s="31"/>
      <c r="L570" s="31"/>
      <c r="M570" s="31"/>
      <c r="N570" s="4"/>
      <c r="O570" s="4"/>
      <c r="P570" s="4"/>
      <c r="Q570" s="4"/>
      <c r="U570" s="5"/>
      <c r="V570" s="4"/>
      <c r="AG570" t="s">
        <v>611</v>
      </c>
      <c r="AM570" s="1"/>
    </row>
    <row r="571" spans="1:39" x14ac:dyDescent="0.35">
      <c r="A571">
        <v>567</v>
      </c>
      <c r="B571">
        <v>568</v>
      </c>
      <c r="C571">
        <v>146.799304683</v>
      </c>
      <c r="D571">
        <v>-19.151454196</v>
      </c>
      <c r="F571" s="63"/>
      <c r="G571" s="63"/>
      <c r="H571" t="s">
        <v>26</v>
      </c>
      <c r="I571" s="64"/>
      <c r="J571" s="31"/>
      <c r="K571" s="31"/>
      <c r="L571" s="31"/>
      <c r="M571" s="31"/>
      <c r="N571" s="4"/>
      <c r="O571" s="4"/>
      <c r="P571" s="4"/>
      <c r="Q571" s="4"/>
      <c r="U571" s="5"/>
      <c r="V571" s="4"/>
      <c r="AG571" t="s">
        <v>612</v>
      </c>
      <c r="AM571" s="1"/>
    </row>
    <row r="572" spans="1:39" x14ac:dyDescent="0.35">
      <c r="A572">
        <v>568</v>
      </c>
      <c r="B572">
        <v>569</v>
      </c>
      <c r="C572">
        <v>146.79923640199999</v>
      </c>
      <c r="D572">
        <v>-19.151399052999999</v>
      </c>
      <c r="F572" s="63"/>
      <c r="G572" s="63"/>
      <c r="H572" t="s">
        <v>26</v>
      </c>
      <c r="I572" s="64"/>
      <c r="J572" s="31"/>
      <c r="K572" s="31"/>
      <c r="L572" s="31"/>
      <c r="M572" s="31"/>
      <c r="N572" s="4"/>
      <c r="O572" s="4"/>
      <c r="P572" s="4"/>
      <c r="Q572" s="4"/>
      <c r="U572" s="5"/>
      <c r="V572" s="4"/>
      <c r="AG572" t="s">
        <v>613</v>
      </c>
      <c r="AM572" s="1"/>
    </row>
    <row r="573" spans="1:39" x14ac:dyDescent="0.35">
      <c r="A573">
        <v>569</v>
      </c>
      <c r="B573">
        <v>570</v>
      </c>
      <c r="C573">
        <v>146.79916743300001</v>
      </c>
      <c r="D573">
        <v>-19.151344691999999</v>
      </c>
      <c r="E573">
        <v>50</v>
      </c>
      <c r="F573" s="63"/>
      <c r="G573" s="63"/>
      <c r="H573" t="s">
        <v>26</v>
      </c>
      <c r="I573" s="64"/>
      <c r="J573" s="31"/>
      <c r="K573" s="31"/>
      <c r="L573" s="31"/>
      <c r="M573" s="31"/>
      <c r="N573" s="4"/>
      <c r="O573" s="4"/>
      <c r="P573" s="4"/>
      <c r="Q573" s="4"/>
      <c r="U573" s="5"/>
      <c r="V573" s="4"/>
      <c r="AG573" t="s">
        <v>614</v>
      </c>
      <c r="AM573" s="1"/>
    </row>
    <row r="574" spans="1:39" x14ac:dyDescent="0.35">
      <c r="A574">
        <v>570</v>
      </c>
      <c r="B574">
        <v>571</v>
      </c>
      <c r="C574">
        <v>146.79909760000001</v>
      </c>
      <c r="D574">
        <v>-19.151291312000001</v>
      </c>
      <c r="F574" s="63"/>
      <c r="G574" s="63"/>
      <c r="H574" t="s">
        <v>26</v>
      </c>
      <c r="I574" s="64"/>
      <c r="J574" s="31"/>
      <c r="K574" s="31"/>
      <c r="L574" s="31"/>
      <c r="M574" s="31"/>
      <c r="N574" s="4"/>
      <c r="O574" s="4"/>
      <c r="P574" s="4"/>
      <c r="Q574" s="4"/>
      <c r="U574" s="5"/>
      <c r="V574" s="4"/>
      <c r="AG574" t="s">
        <v>615</v>
      </c>
      <c r="AM574" s="1"/>
    </row>
    <row r="575" spans="1:39" x14ac:dyDescent="0.35">
      <c r="A575">
        <v>571</v>
      </c>
      <c r="B575">
        <v>572</v>
      </c>
      <c r="C575">
        <v>146.799027768</v>
      </c>
      <c r="D575">
        <v>-19.151237932000001</v>
      </c>
      <c r="F575" s="63"/>
      <c r="G575" s="63"/>
      <c r="H575" t="s">
        <v>26</v>
      </c>
      <c r="I575" s="64"/>
      <c r="J575" s="31"/>
      <c r="K575" s="31"/>
      <c r="L575" s="31"/>
      <c r="M575" s="31"/>
      <c r="N575" s="4"/>
      <c r="O575" s="4"/>
      <c r="P575" s="4"/>
      <c r="Q575" s="4"/>
      <c r="U575" s="5"/>
      <c r="V575" s="4"/>
      <c r="AG575" t="s">
        <v>616</v>
      </c>
      <c r="AM575" s="1"/>
    </row>
    <row r="576" spans="1:39" x14ac:dyDescent="0.35">
      <c r="A576">
        <v>572</v>
      </c>
      <c r="B576">
        <v>573</v>
      </c>
      <c r="C576">
        <v>146.798957935</v>
      </c>
      <c r="D576">
        <v>-19.151184551</v>
      </c>
      <c r="F576" s="63"/>
      <c r="G576" s="63"/>
      <c r="H576" t="s">
        <v>26</v>
      </c>
      <c r="I576" s="64"/>
      <c r="J576" s="31"/>
      <c r="K576" s="31"/>
      <c r="L576" s="31"/>
      <c r="M576" s="31"/>
      <c r="N576" s="4"/>
      <c r="O576" s="4"/>
      <c r="P576" s="4"/>
      <c r="Q576" s="4"/>
      <c r="U576" s="5"/>
      <c r="V576" s="4"/>
      <c r="AG576" t="s">
        <v>617</v>
      </c>
      <c r="AM576" s="1"/>
    </row>
    <row r="577" spans="1:39" x14ac:dyDescent="0.35">
      <c r="A577">
        <v>573</v>
      </c>
      <c r="B577">
        <v>574</v>
      </c>
      <c r="C577">
        <v>146.798888103</v>
      </c>
      <c r="D577">
        <v>-19.151131170999999</v>
      </c>
      <c r="F577" s="63"/>
      <c r="G577" s="63"/>
      <c r="H577" t="s">
        <v>26</v>
      </c>
      <c r="I577" s="64"/>
      <c r="J577" s="31"/>
      <c r="K577" s="31"/>
      <c r="L577" s="31"/>
      <c r="M577" s="31"/>
      <c r="N577" s="4"/>
      <c r="O577" s="4"/>
      <c r="P577" s="4"/>
      <c r="Q577" s="4"/>
      <c r="U577" s="5"/>
      <c r="V577" s="4"/>
      <c r="AG577" t="s">
        <v>618</v>
      </c>
      <c r="AM577" s="1"/>
    </row>
    <row r="578" spans="1:39" x14ac:dyDescent="0.35">
      <c r="A578">
        <v>574</v>
      </c>
      <c r="B578">
        <v>575</v>
      </c>
      <c r="C578">
        <v>146.79881827</v>
      </c>
      <c r="D578">
        <v>-19.151077789999899</v>
      </c>
      <c r="E578">
        <v>50</v>
      </c>
      <c r="F578" s="63"/>
      <c r="G578" s="63"/>
      <c r="H578" t="s">
        <v>26</v>
      </c>
      <c r="I578" s="64"/>
      <c r="J578" s="31"/>
      <c r="K578" s="31"/>
      <c r="L578" s="31"/>
      <c r="M578" s="31"/>
      <c r="N578" s="4"/>
      <c r="O578" s="4"/>
      <c r="P578" s="4"/>
      <c r="Q578" s="4"/>
      <c r="U578" s="5"/>
      <c r="V578" s="4"/>
      <c r="AG578" t="s">
        <v>619</v>
      </c>
      <c r="AM578" s="1"/>
    </row>
    <row r="579" spans="1:39" x14ac:dyDescent="0.35">
      <c r="A579">
        <v>575</v>
      </c>
      <c r="B579">
        <v>576</v>
      </c>
      <c r="C579">
        <v>146.79874843799999</v>
      </c>
      <c r="D579">
        <v>-19.151024409999899</v>
      </c>
      <c r="F579" s="63"/>
      <c r="G579" s="63"/>
      <c r="H579" t="s">
        <v>26</v>
      </c>
      <c r="I579" s="64"/>
      <c r="J579" s="31"/>
      <c r="K579" s="31"/>
      <c r="L579" s="31"/>
      <c r="M579" s="31"/>
      <c r="N579" s="4"/>
      <c r="O579" s="4"/>
      <c r="P579" s="4"/>
      <c r="Q579" s="4"/>
      <c r="U579" s="5"/>
      <c r="V579" s="4"/>
      <c r="AG579" t="s">
        <v>620</v>
      </c>
      <c r="AM579" s="1"/>
    </row>
    <row r="580" spans="1:39" x14ac:dyDescent="0.35">
      <c r="A580">
        <v>576</v>
      </c>
      <c r="B580">
        <v>577</v>
      </c>
      <c r="C580">
        <v>146.79868215900001</v>
      </c>
      <c r="D580">
        <v>-19.150967189999999</v>
      </c>
      <c r="F580" s="63"/>
      <c r="G580" s="63"/>
      <c r="H580" t="s">
        <v>26</v>
      </c>
      <c r="I580" s="64"/>
      <c r="J580" s="31"/>
      <c r="K580" s="31"/>
      <c r="L580" s="31"/>
      <c r="M580" s="31"/>
      <c r="N580" s="4"/>
      <c r="O580" s="4"/>
      <c r="P580" s="4"/>
      <c r="Q580" s="4"/>
      <c r="U580" s="5"/>
      <c r="V580" s="4"/>
      <c r="AG580" t="s">
        <v>621</v>
      </c>
      <c r="AM580" s="1"/>
    </row>
    <row r="581" spans="1:39" x14ac:dyDescent="0.35">
      <c r="A581">
        <v>577</v>
      </c>
      <c r="B581">
        <v>578</v>
      </c>
      <c r="C581">
        <v>146.79861683999999</v>
      </c>
      <c r="D581">
        <v>-19.150908934</v>
      </c>
      <c r="F581" s="63"/>
      <c r="G581" s="63"/>
      <c r="H581" t="s">
        <v>26</v>
      </c>
      <c r="I581" s="64"/>
      <c r="J581" s="31"/>
      <c r="K581" s="31"/>
      <c r="L581" s="31"/>
      <c r="M581" s="31"/>
      <c r="N581" s="4"/>
      <c r="O581" s="4"/>
      <c r="P581" s="4"/>
      <c r="Q581" s="4"/>
      <c r="U581" s="5"/>
      <c r="V581" s="4"/>
      <c r="AG581" t="s">
        <v>622</v>
      </c>
      <c r="AM581" s="1"/>
    </row>
    <row r="582" spans="1:39" x14ac:dyDescent="0.35">
      <c r="A582">
        <v>578</v>
      </c>
      <c r="B582">
        <v>579</v>
      </c>
      <c r="C582">
        <v>146.79855152100001</v>
      </c>
      <c r="D582">
        <v>-19.150850676999902</v>
      </c>
      <c r="F582" s="63"/>
      <c r="G582" s="63"/>
      <c r="H582" t="s">
        <v>26</v>
      </c>
      <c r="I582" s="64"/>
      <c r="J582" s="31"/>
      <c r="K582" s="31"/>
      <c r="L582" s="31"/>
      <c r="M582" s="31"/>
      <c r="N582" s="4"/>
      <c r="O582" s="4"/>
      <c r="P582" s="4"/>
      <c r="Q582" s="4"/>
      <c r="U582" s="5"/>
      <c r="V582" s="4"/>
      <c r="AG582" t="s">
        <v>623</v>
      </c>
      <c r="AM582" s="1"/>
    </row>
    <row r="583" spans="1:39" x14ac:dyDescent="0.35">
      <c r="A583">
        <v>579</v>
      </c>
      <c r="B583">
        <v>580</v>
      </c>
      <c r="C583">
        <v>146.79848620199999</v>
      </c>
      <c r="D583">
        <v>-19.150792419999998</v>
      </c>
      <c r="E583">
        <v>50</v>
      </c>
      <c r="F583" s="63"/>
      <c r="G583" s="63"/>
      <c r="H583" t="s">
        <v>26</v>
      </c>
      <c r="I583" s="64"/>
      <c r="J583" s="31"/>
      <c r="K583" s="31"/>
      <c r="L583" s="31"/>
      <c r="M583" s="31"/>
      <c r="N583" s="4"/>
      <c r="O583" s="4"/>
      <c r="P583" s="4"/>
      <c r="Q583" s="4"/>
      <c r="U583" s="5"/>
      <c r="V583" s="4"/>
      <c r="AG583" t="s">
        <v>624</v>
      </c>
      <c r="AM583" s="1"/>
    </row>
    <row r="584" spans="1:39" x14ac:dyDescent="0.35">
      <c r="A584">
        <v>580</v>
      </c>
      <c r="B584">
        <v>581</v>
      </c>
      <c r="C584">
        <v>146.79842088300001</v>
      </c>
      <c r="D584">
        <v>-19.150734163999999</v>
      </c>
      <c r="F584" s="63"/>
      <c r="G584" s="63"/>
      <c r="H584" t="s">
        <v>26</v>
      </c>
      <c r="I584" s="64"/>
      <c r="J584" s="31"/>
      <c r="K584" s="31"/>
      <c r="L584" s="31"/>
      <c r="M584" s="31"/>
      <c r="N584" s="4"/>
      <c r="O584" s="4"/>
      <c r="P584" s="4"/>
      <c r="Q584" s="4"/>
      <c r="U584" s="5"/>
      <c r="V584" s="4"/>
      <c r="AG584" t="s">
        <v>625</v>
      </c>
      <c r="AM584" s="1"/>
    </row>
    <row r="585" spans="1:39" x14ac:dyDescent="0.35">
      <c r="A585">
        <v>581</v>
      </c>
      <c r="B585">
        <v>582</v>
      </c>
      <c r="C585">
        <v>146.79835556399999</v>
      </c>
      <c r="D585">
        <v>-19.150675906999901</v>
      </c>
      <c r="F585" s="63"/>
      <c r="G585" s="63"/>
      <c r="H585" t="s">
        <v>26</v>
      </c>
      <c r="I585" s="64"/>
      <c r="J585" s="31"/>
      <c r="K585" s="31"/>
      <c r="L585" s="31"/>
      <c r="M585" s="31"/>
      <c r="N585" s="4"/>
      <c r="O585" s="4"/>
      <c r="P585" s="4"/>
      <c r="Q585" s="4"/>
      <c r="U585" s="5"/>
      <c r="V585" s="4"/>
      <c r="AG585" t="s">
        <v>626</v>
      </c>
      <c r="AM585" s="1"/>
    </row>
    <row r="586" spans="1:39" x14ac:dyDescent="0.35">
      <c r="A586">
        <v>582</v>
      </c>
      <c r="B586">
        <v>583</v>
      </c>
      <c r="C586">
        <v>146.798290245</v>
      </c>
      <c r="D586">
        <v>-19.150617650000001</v>
      </c>
      <c r="F586" s="63"/>
      <c r="G586" s="63"/>
      <c r="H586" t="s">
        <v>26</v>
      </c>
      <c r="I586" s="64"/>
      <c r="J586" s="31"/>
      <c r="K586" s="31"/>
      <c r="L586" s="31"/>
      <c r="M586" s="31"/>
      <c r="N586" s="4"/>
      <c r="O586" s="4"/>
      <c r="P586" s="4"/>
      <c r="Q586" s="4"/>
      <c r="U586" s="5"/>
      <c r="V586" s="4"/>
      <c r="AG586" t="s">
        <v>627</v>
      </c>
      <c r="AM586" s="1"/>
    </row>
    <row r="587" spans="1:39" x14ac:dyDescent="0.35">
      <c r="A587">
        <v>583</v>
      </c>
      <c r="B587">
        <v>584</v>
      </c>
      <c r="C587">
        <v>146.79822354999999</v>
      </c>
      <c r="D587">
        <v>-19.1505609079999</v>
      </c>
      <c r="F587" s="63"/>
      <c r="G587" s="63"/>
      <c r="H587" t="s">
        <v>26</v>
      </c>
      <c r="I587" s="64"/>
      <c r="J587" s="31"/>
      <c r="K587" s="31"/>
      <c r="L587" s="31"/>
      <c r="M587" s="31"/>
      <c r="N587" s="4"/>
      <c r="O587" s="4"/>
      <c r="P587" s="4"/>
      <c r="Q587" s="4"/>
      <c r="U587" s="5"/>
      <c r="V587" s="4"/>
      <c r="AG587" t="s">
        <v>628</v>
      </c>
      <c r="AM587" s="1"/>
    </row>
    <row r="588" spans="1:39" x14ac:dyDescent="0.35">
      <c r="A588">
        <v>584</v>
      </c>
      <c r="B588">
        <v>585</v>
      </c>
      <c r="C588">
        <v>146.79815267800001</v>
      </c>
      <c r="D588">
        <v>-19.150508764999898</v>
      </c>
      <c r="E588">
        <v>50</v>
      </c>
      <c r="F588" s="63"/>
      <c r="G588" s="63"/>
      <c r="H588" t="s">
        <v>26</v>
      </c>
      <c r="I588" s="64"/>
      <c r="J588" s="31"/>
      <c r="K588" s="31"/>
      <c r="L588" s="31"/>
      <c r="M588" s="31"/>
      <c r="N588" s="4"/>
      <c r="O588" s="4"/>
      <c r="P588" s="4"/>
      <c r="Q588" s="4"/>
      <c r="U588" s="5"/>
      <c r="V588" s="4"/>
      <c r="AG588" t="s">
        <v>629</v>
      </c>
      <c r="AM588" s="1"/>
    </row>
    <row r="589" spans="1:39" x14ac:dyDescent="0.35">
      <c r="A589">
        <v>585</v>
      </c>
      <c r="B589">
        <v>586</v>
      </c>
      <c r="C589">
        <v>146.79808180500001</v>
      </c>
      <c r="D589">
        <v>-19.150456622</v>
      </c>
      <c r="F589" s="63"/>
      <c r="G589" s="63"/>
      <c r="H589" t="s">
        <v>26</v>
      </c>
      <c r="I589" s="64"/>
      <c r="J589" s="31"/>
      <c r="K589" s="31"/>
      <c r="L589" s="31"/>
      <c r="M589" s="31"/>
      <c r="N589" s="4"/>
      <c r="O589" s="4"/>
      <c r="P589" s="4"/>
      <c r="Q589" s="4"/>
      <c r="U589" s="5"/>
      <c r="V589" s="4"/>
      <c r="AG589" t="s">
        <v>630</v>
      </c>
      <c r="AM589" s="1"/>
    </row>
    <row r="590" spans="1:39" x14ac:dyDescent="0.35">
      <c r="A590">
        <v>586</v>
      </c>
      <c r="B590">
        <v>587</v>
      </c>
      <c r="C590">
        <v>146.79801093200001</v>
      </c>
      <c r="D590">
        <v>-19.150404478999999</v>
      </c>
      <c r="F590" s="63"/>
      <c r="G590" s="63"/>
      <c r="H590" t="s">
        <v>26</v>
      </c>
      <c r="I590" s="64"/>
      <c r="J590" s="31"/>
      <c r="K590" s="31"/>
      <c r="L590" s="31"/>
      <c r="M590" s="31"/>
      <c r="N590" s="4"/>
      <c r="O590" s="4"/>
      <c r="P590" s="4"/>
      <c r="Q590" s="4"/>
      <c r="U590" s="5"/>
      <c r="V590" s="4"/>
      <c r="AG590" t="s">
        <v>631</v>
      </c>
      <c r="AM590" s="1"/>
    </row>
    <row r="591" spans="1:39" x14ac:dyDescent="0.35">
      <c r="A591">
        <v>587</v>
      </c>
      <c r="B591">
        <v>588</v>
      </c>
      <c r="C591">
        <v>146.79794006</v>
      </c>
      <c r="D591">
        <v>-19.150352336000001</v>
      </c>
      <c r="F591" s="63"/>
      <c r="G591" s="63"/>
      <c r="H591" t="s">
        <v>26</v>
      </c>
      <c r="I591" s="64"/>
      <c r="J591" s="31"/>
      <c r="K591" s="31"/>
      <c r="L591" s="31"/>
      <c r="M591" s="31"/>
      <c r="N591" s="4"/>
      <c r="O591" s="4"/>
      <c r="P591" s="4"/>
      <c r="Q591" s="4"/>
      <c r="U591" s="5"/>
      <c r="V591" s="4"/>
      <c r="AG591" t="s">
        <v>632</v>
      </c>
      <c r="AM591" s="1"/>
    </row>
    <row r="592" spans="1:39" x14ac:dyDescent="0.35">
      <c r="A592">
        <v>588</v>
      </c>
      <c r="B592">
        <v>589</v>
      </c>
      <c r="C592">
        <v>146.797869187</v>
      </c>
      <c r="D592">
        <v>-19.150300193</v>
      </c>
      <c r="F592" s="63"/>
      <c r="G592" s="63"/>
      <c r="H592" t="s">
        <v>26</v>
      </c>
      <c r="I592" s="64"/>
      <c r="J592" s="31"/>
      <c r="K592" s="31"/>
      <c r="L592" s="31"/>
      <c r="M592" s="31"/>
      <c r="N592" s="4"/>
      <c r="O592" s="4"/>
      <c r="P592" s="4"/>
      <c r="Q592" s="4"/>
      <c r="U592" s="5"/>
      <c r="V592" s="4"/>
      <c r="AG592" t="s">
        <v>633</v>
      </c>
      <c r="AM592" s="1"/>
    </row>
    <row r="593" spans="1:39" x14ac:dyDescent="0.35">
      <c r="A593">
        <v>589</v>
      </c>
      <c r="B593">
        <v>590</v>
      </c>
      <c r="C593">
        <v>146.797798379</v>
      </c>
      <c r="D593">
        <v>-19.150247971999899</v>
      </c>
      <c r="E593">
        <v>50</v>
      </c>
      <c r="F593" s="63"/>
      <c r="G593" s="63"/>
      <c r="H593" t="s">
        <v>26</v>
      </c>
      <c r="I593" s="64"/>
      <c r="J593" s="31"/>
      <c r="K593" s="31"/>
      <c r="L593" s="31"/>
      <c r="M593" s="31"/>
      <c r="N593" s="4"/>
      <c r="O593" s="4"/>
      <c r="P593" s="4"/>
      <c r="Q593" s="4"/>
      <c r="U593" s="5"/>
      <c r="V593" s="4"/>
      <c r="AG593" t="s">
        <v>634</v>
      </c>
      <c r="AM593" s="1"/>
    </row>
    <row r="594" spans="1:39" x14ac:dyDescent="0.35">
      <c r="A594">
        <v>590</v>
      </c>
      <c r="B594">
        <v>591</v>
      </c>
      <c r="C594">
        <v>146.79772673599999</v>
      </c>
      <c r="D594">
        <v>-19.150196811999901</v>
      </c>
      <c r="F594" s="63"/>
      <c r="G594" s="63"/>
      <c r="H594" t="s">
        <v>26</v>
      </c>
      <c r="I594" s="64"/>
      <c r="J594" s="31"/>
      <c r="K594" s="31"/>
      <c r="L594" s="31"/>
      <c r="M594" s="31"/>
      <c r="N594" s="4"/>
      <c r="O594" s="4"/>
      <c r="P594" s="4"/>
      <c r="Q594" s="4"/>
      <c r="U594" s="5"/>
      <c r="V594" s="4"/>
      <c r="AG594" t="s">
        <v>635</v>
      </c>
      <c r="AM594" s="1"/>
    </row>
    <row r="595" spans="1:39" x14ac:dyDescent="0.35">
      <c r="A595">
        <v>591</v>
      </c>
      <c r="B595">
        <v>592</v>
      </c>
      <c r="C595">
        <v>146.79765370600001</v>
      </c>
      <c r="D595">
        <v>-19.150147397999898</v>
      </c>
      <c r="F595" s="63"/>
      <c r="G595" s="63"/>
      <c r="H595" t="s">
        <v>26</v>
      </c>
      <c r="I595" s="64"/>
      <c r="J595" s="31"/>
      <c r="K595" s="31"/>
      <c r="L595" s="31"/>
      <c r="M595" s="31"/>
      <c r="N595" s="4"/>
      <c r="O595" s="4"/>
      <c r="P595" s="4"/>
      <c r="Q595" s="4"/>
      <c r="U595" s="5"/>
      <c r="V595" s="4"/>
      <c r="AG595" t="s">
        <v>636</v>
      </c>
      <c r="AM595" s="1"/>
    </row>
    <row r="596" spans="1:39" x14ac:dyDescent="0.35">
      <c r="A596">
        <v>592</v>
      </c>
      <c r="B596">
        <v>593</v>
      </c>
      <c r="C596">
        <v>146.79758067500001</v>
      </c>
      <c r="D596">
        <v>-19.150097982999998</v>
      </c>
      <c r="F596" s="63"/>
      <c r="G596" s="63"/>
      <c r="H596" t="s">
        <v>26</v>
      </c>
      <c r="I596" s="64"/>
      <c r="J596" s="31"/>
      <c r="K596" s="31"/>
      <c r="L596" s="31"/>
      <c r="M596" s="31"/>
      <c r="N596" s="4"/>
      <c r="O596" s="4"/>
      <c r="P596" s="4"/>
      <c r="Q596" s="4"/>
      <c r="U596" s="5"/>
      <c r="V596" s="4"/>
      <c r="AG596" t="s">
        <v>637</v>
      </c>
      <c r="AM596" s="1"/>
    </row>
    <row r="597" spans="1:39" x14ac:dyDescent="0.35">
      <c r="A597">
        <v>593</v>
      </c>
      <c r="B597">
        <v>594</v>
      </c>
      <c r="C597">
        <v>146.79750561200001</v>
      </c>
      <c r="D597">
        <v>-19.150051480999899</v>
      </c>
      <c r="F597" s="63"/>
      <c r="G597" s="63"/>
      <c r="H597" t="s">
        <v>26</v>
      </c>
      <c r="I597" s="64"/>
      <c r="J597" s="31"/>
      <c r="K597" s="31"/>
      <c r="L597" s="31"/>
      <c r="M597" s="31"/>
      <c r="N597" s="4"/>
      <c r="O597" s="4"/>
      <c r="P597" s="4"/>
      <c r="Q597" s="4"/>
      <c r="U597" s="5"/>
      <c r="V597" s="4"/>
      <c r="AG597" t="s">
        <v>638</v>
      </c>
      <c r="AM597" s="1"/>
    </row>
    <row r="598" spans="1:39" x14ac:dyDescent="0.35">
      <c r="A598">
        <v>594</v>
      </c>
      <c r="B598">
        <v>595</v>
      </c>
      <c r="C598">
        <v>146.797428758</v>
      </c>
      <c r="D598">
        <v>-19.150007545999902</v>
      </c>
      <c r="E598">
        <v>50</v>
      </c>
      <c r="F598" s="63"/>
      <c r="G598" s="63"/>
      <c r="H598" t="s">
        <v>26</v>
      </c>
      <c r="I598" s="64"/>
      <c r="J598" s="31"/>
      <c r="K598" s="31"/>
      <c r="L598" s="31"/>
      <c r="M598" s="31"/>
      <c r="N598" s="4"/>
      <c r="O598" s="4"/>
      <c r="P598" s="4"/>
      <c r="Q598" s="4"/>
      <c r="U598" s="5"/>
      <c r="V598" s="4"/>
      <c r="AG598" t="s">
        <v>639</v>
      </c>
      <c r="AM598" s="1"/>
    </row>
    <row r="599" spans="1:39" x14ac:dyDescent="0.35">
      <c r="A599">
        <v>595</v>
      </c>
      <c r="B599">
        <v>596</v>
      </c>
      <c r="C599">
        <v>146.79735190299999</v>
      </c>
      <c r="D599">
        <v>-19.149963611</v>
      </c>
      <c r="F599" s="63"/>
      <c r="G599" s="63"/>
      <c r="H599" t="s">
        <v>26</v>
      </c>
      <c r="I599" s="64"/>
      <c r="J599" s="31"/>
      <c r="K599" s="31"/>
      <c r="L599" s="31"/>
      <c r="M599" s="31"/>
      <c r="N599" s="4"/>
      <c r="O599" s="4"/>
      <c r="P599" s="4"/>
      <c r="Q599" s="4"/>
      <c r="U599" s="5"/>
      <c r="V599" s="4"/>
      <c r="AG599" t="s">
        <v>640</v>
      </c>
      <c r="AM599" s="1"/>
    </row>
    <row r="600" spans="1:39" x14ac:dyDescent="0.35">
      <c r="A600">
        <v>596</v>
      </c>
      <c r="B600">
        <v>597</v>
      </c>
      <c r="C600">
        <v>146.79727504799999</v>
      </c>
      <c r="D600">
        <v>-19.149919675</v>
      </c>
      <c r="F600" s="63"/>
      <c r="G600" s="63"/>
      <c r="H600" t="s">
        <v>26</v>
      </c>
      <c r="I600" s="64"/>
      <c r="J600" s="31"/>
      <c r="K600" s="31"/>
      <c r="L600" s="31"/>
      <c r="M600" s="31"/>
      <c r="N600" s="4"/>
      <c r="O600" s="4"/>
      <c r="P600" s="4"/>
      <c r="Q600" s="4"/>
      <c r="U600" s="5"/>
      <c r="V600" s="4"/>
      <c r="AG600" t="s">
        <v>641</v>
      </c>
      <c r="AM600" s="1"/>
    </row>
    <row r="601" spans="1:39" x14ac:dyDescent="0.35">
      <c r="A601">
        <v>597</v>
      </c>
      <c r="B601">
        <v>598</v>
      </c>
      <c r="C601">
        <v>146.79720489100001</v>
      </c>
      <c r="D601">
        <v>-19.149867301</v>
      </c>
      <c r="F601" s="63"/>
      <c r="G601" s="63"/>
      <c r="H601" t="s">
        <v>26</v>
      </c>
      <c r="I601" s="64"/>
      <c r="J601" s="31"/>
      <c r="K601" s="31"/>
      <c r="L601" s="31"/>
      <c r="M601" s="31"/>
      <c r="N601" s="4"/>
      <c r="O601" s="4"/>
      <c r="P601" s="4"/>
      <c r="Q601" s="4"/>
      <c r="U601" s="5"/>
      <c r="V601" s="4"/>
      <c r="AG601" t="s">
        <v>642</v>
      </c>
      <c r="AM601" s="1"/>
    </row>
    <row r="602" spans="1:39" x14ac:dyDescent="0.35">
      <c r="A602">
        <v>598</v>
      </c>
      <c r="B602">
        <v>599</v>
      </c>
      <c r="C602">
        <v>146.79713870200001</v>
      </c>
      <c r="D602">
        <v>-19.149809927</v>
      </c>
      <c r="F602" s="63"/>
      <c r="G602" s="63"/>
      <c r="H602" t="s">
        <v>26</v>
      </c>
      <c r="I602" s="64"/>
      <c r="J602" s="31"/>
      <c r="K602" s="31"/>
      <c r="L602" s="31"/>
      <c r="M602" s="31"/>
      <c r="N602" s="4"/>
      <c r="O602" s="4"/>
      <c r="P602" s="4"/>
      <c r="Q602" s="4"/>
      <c r="U602" s="5"/>
      <c r="V602" s="4"/>
      <c r="AG602" t="s">
        <v>643</v>
      </c>
      <c r="AM602" s="1"/>
    </row>
    <row r="603" spans="1:39" x14ac:dyDescent="0.35">
      <c r="A603">
        <v>599</v>
      </c>
      <c r="B603">
        <v>600</v>
      </c>
      <c r="C603">
        <v>146.79707251400001</v>
      </c>
      <c r="D603">
        <v>-19.1497525529999</v>
      </c>
      <c r="E603">
        <v>50</v>
      </c>
      <c r="F603" s="63"/>
      <c r="G603" s="63"/>
      <c r="H603" t="s">
        <v>26</v>
      </c>
      <c r="I603" s="64"/>
      <c r="J603" s="31"/>
      <c r="K603" s="31"/>
      <c r="L603" s="31"/>
      <c r="M603" s="31"/>
      <c r="N603" s="4"/>
      <c r="O603" s="4"/>
      <c r="P603" s="4"/>
      <c r="Q603" s="4"/>
      <c r="U603" s="5"/>
      <c r="V603" s="4"/>
      <c r="AG603" t="s">
        <v>644</v>
      </c>
      <c r="AM603" s="1"/>
    </row>
    <row r="604" spans="1:39" x14ac:dyDescent="0.35">
      <c r="A604">
        <v>600</v>
      </c>
      <c r="B604">
        <v>601</v>
      </c>
      <c r="C604">
        <v>146.79700174800001</v>
      </c>
      <c r="D604">
        <v>-19.149700727999999</v>
      </c>
      <c r="F604" s="63"/>
      <c r="G604" s="63"/>
      <c r="H604" t="s">
        <v>26</v>
      </c>
      <c r="I604" s="64"/>
      <c r="J604" s="31"/>
      <c r="K604" s="31"/>
      <c r="L604" s="31"/>
      <c r="M604" s="31"/>
      <c r="N604" s="4"/>
      <c r="O604" s="4"/>
      <c r="P604" s="4"/>
      <c r="Q604" s="4"/>
      <c r="U604" s="5"/>
      <c r="V604" s="4"/>
      <c r="AG604" t="s">
        <v>645</v>
      </c>
      <c r="AM604" s="1"/>
    </row>
    <row r="605" spans="1:39" x14ac:dyDescent="0.35">
      <c r="A605">
        <v>601</v>
      </c>
      <c r="B605">
        <v>602</v>
      </c>
      <c r="C605">
        <v>146.796926668</v>
      </c>
      <c r="D605">
        <v>-19.149654134999899</v>
      </c>
      <c r="F605" s="63"/>
      <c r="G605" s="63"/>
      <c r="H605" t="s">
        <v>26</v>
      </c>
      <c r="I605" s="64"/>
      <c r="J605" s="31"/>
      <c r="K605" s="31"/>
      <c r="L605" s="31"/>
      <c r="M605" s="31"/>
      <c r="N605" s="4"/>
      <c r="O605" s="4"/>
      <c r="P605" s="4"/>
      <c r="Q605" s="4"/>
      <c r="U605" s="5"/>
      <c r="V605" s="4"/>
      <c r="AG605" t="s">
        <v>646</v>
      </c>
      <c r="AM605" s="1"/>
    </row>
    <row r="606" spans="1:39" x14ac:dyDescent="0.35">
      <c r="A606">
        <v>602</v>
      </c>
      <c r="B606">
        <v>603</v>
      </c>
      <c r="C606">
        <v>146.79685158699999</v>
      </c>
      <c r="D606">
        <v>-19.149607542999899</v>
      </c>
      <c r="F606" s="63"/>
      <c r="G606" s="63"/>
      <c r="H606" t="s">
        <v>26</v>
      </c>
      <c r="I606" s="64"/>
      <c r="J606" s="31"/>
      <c r="K606" s="31"/>
      <c r="L606" s="31"/>
      <c r="M606" s="31"/>
      <c r="N606" s="4"/>
      <c r="O606" s="4"/>
      <c r="P606" s="4"/>
      <c r="Q606" s="4"/>
      <c r="U606" s="5"/>
      <c r="V606" s="4"/>
      <c r="AG606" t="s">
        <v>647</v>
      </c>
      <c r="AM606" s="1"/>
    </row>
    <row r="607" spans="1:39" x14ac:dyDescent="0.35">
      <c r="A607">
        <v>603</v>
      </c>
      <c r="B607">
        <v>604</v>
      </c>
      <c r="C607">
        <v>146.796776507</v>
      </c>
      <c r="D607">
        <v>-19.149560950000001</v>
      </c>
      <c r="F607" s="63"/>
      <c r="G607" s="63"/>
      <c r="H607" t="s">
        <v>26</v>
      </c>
      <c r="I607" s="64"/>
      <c r="J607" s="31"/>
      <c r="K607" s="31"/>
      <c r="L607" s="31"/>
      <c r="M607" s="31"/>
      <c r="N607" s="4"/>
      <c r="O607" s="4"/>
      <c r="P607" s="4"/>
      <c r="Q607" s="4"/>
      <c r="U607" s="5"/>
      <c r="V607" s="4"/>
      <c r="AG607" t="s">
        <v>648</v>
      </c>
      <c r="AM607" s="1"/>
    </row>
    <row r="608" spans="1:39" x14ac:dyDescent="0.35">
      <c r="A608">
        <v>604</v>
      </c>
      <c r="B608">
        <v>605</v>
      </c>
      <c r="C608">
        <v>146.796703503</v>
      </c>
      <c r="D608">
        <v>-19.149511518999901</v>
      </c>
      <c r="E608">
        <v>50</v>
      </c>
      <c r="F608" s="63"/>
      <c r="G608" s="63"/>
      <c r="H608" t="s">
        <v>26</v>
      </c>
      <c r="I608" s="64"/>
      <c r="J608" s="31"/>
      <c r="K608" s="31"/>
      <c r="L608" s="31"/>
      <c r="M608" s="31"/>
      <c r="N608" s="4"/>
      <c r="O608" s="4"/>
      <c r="P608" s="4"/>
      <c r="Q608" s="4"/>
      <c r="U608" s="5"/>
      <c r="V608" s="4"/>
      <c r="AG608" t="s">
        <v>649</v>
      </c>
      <c r="AM608" s="1"/>
    </row>
    <row r="609" spans="1:39" x14ac:dyDescent="0.35">
      <c r="A609">
        <v>605</v>
      </c>
      <c r="B609">
        <v>606</v>
      </c>
      <c r="C609">
        <v>146.796630806</v>
      </c>
      <c r="D609">
        <v>-19.149461667000001</v>
      </c>
      <c r="F609" s="63"/>
      <c r="G609" s="63"/>
      <c r="H609" t="s">
        <v>26</v>
      </c>
      <c r="I609" s="64"/>
      <c r="J609" s="31"/>
      <c r="K609" s="31"/>
      <c r="L609" s="31"/>
      <c r="M609" s="31"/>
      <c r="N609" s="4"/>
      <c r="O609" s="4"/>
      <c r="P609" s="4"/>
      <c r="Q609" s="4"/>
      <c r="U609" s="5"/>
      <c r="V609" s="4"/>
      <c r="AG609" t="s">
        <v>650</v>
      </c>
      <c r="AM609" s="1"/>
    </row>
    <row r="610" spans="1:39" x14ac:dyDescent="0.35">
      <c r="A610">
        <v>606</v>
      </c>
      <c r="B610">
        <v>607</v>
      </c>
      <c r="C610">
        <v>146.79655810899999</v>
      </c>
      <c r="D610">
        <v>-19.149411815000001</v>
      </c>
      <c r="F610" s="63"/>
      <c r="G610" s="63"/>
      <c r="H610" t="s">
        <v>26</v>
      </c>
      <c r="I610" s="64"/>
      <c r="J610" s="31"/>
      <c r="K610" s="31"/>
      <c r="L610" s="31"/>
      <c r="M610" s="31"/>
      <c r="N610" s="4"/>
      <c r="O610" s="4"/>
      <c r="P610" s="4"/>
      <c r="Q610" s="4"/>
      <c r="U610" s="5"/>
      <c r="V610" s="4"/>
      <c r="AG610" t="s">
        <v>651</v>
      </c>
      <c r="AM610" s="1"/>
    </row>
    <row r="611" spans="1:39" x14ac:dyDescent="0.35">
      <c r="A611">
        <v>607</v>
      </c>
      <c r="B611">
        <v>608</v>
      </c>
      <c r="C611">
        <v>146.79648541200001</v>
      </c>
      <c r="D611">
        <v>-19.149361962999901</v>
      </c>
      <c r="F611" s="63"/>
      <c r="G611" s="63"/>
      <c r="H611" t="s">
        <v>26</v>
      </c>
      <c r="I611" s="64"/>
      <c r="J611" s="31"/>
      <c r="K611" s="31"/>
      <c r="L611" s="31"/>
      <c r="M611" s="31"/>
      <c r="N611" s="4"/>
      <c r="O611" s="4"/>
      <c r="P611" s="4"/>
      <c r="Q611" s="4"/>
      <c r="U611" s="5"/>
      <c r="V611" s="4"/>
      <c r="AG611" t="s">
        <v>652</v>
      </c>
      <c r="AM611" s="1"/>
    </row>
    <row r="612" spans="1:39" x14ac:dyDescent="0.35">
      <c r="A612">
        <v>608</v>
      </c>
      <c r="B612">
        <v>609</v>
      </c>
      <c r="C612">
        <v>146.79641271599999</v>
      </c>
      <c r="D612">
        <v>-19.149312111</v>
      </c>
      <c r="F612" s="63"/>
      <c r="G612" s="63"/>
      <c r="H612" t="s">
        <v>26</v>
      </c>
      <c r="I612" s="64"/>
      <c r="J612" s="31"/>
      <c r="K612" s="31"/>
      <c r="L612" s="31"/>
      <c r="M612" s="31"/>
      <c r="N612" s="4"/>
      <c r="O612" s="4"/>
      <c r="P612" s="4"/>
      <c r="Q612" s="4"/>
      <c r="U612" s="5"/>
      <c r="V612" s="4"/>
      <c r="AG612" t="s">
        <v>653</v>
      </c>
      <c r="AM612" s="1"/>
    </row>
    <row r="613" spans="1:39" x14ac:dyDescent="0.35">
      <c r="A613">
        <v>609</v>
      </c>
      <c r="B613">
        <v>610</v>
      </c>
      <c r="C613">
        <v>146.79634243000001</v>
      </c>
      <c r="D613">
        <v>-19.149260325999901</v>
      </c>
      <c r="E613">
        <v>50</v>
      </c>
      <c r="F613" s="63"/>
      <c r="G613" s="63"/>
      <c r="H613" t="s">
        <v>26</v>
      </c>
      <c r="I613" s="64"/>
      <c r="J613" s="31"/>
      <c r="K613" s="31"/>
      <c r="L613" s="31"/>
      <c r="M613" s="31"/>
      <c r="N613" s="4"/>
      <c r="O613" s="4"/>
      <c r="P613" s="4"/>
      <c r="Q613" s="4"/>
      <c r="U613" s="5"/>
      <c r="V613" s="4"/>
      <c r="AG613" t="s">
        <v>654</v>
      </c>
      <c r="AM613" s="1"/>
    </row>
    <row r="614" spans="1:39" x14ac:dyDescent="0.35">
      <c r="A614">
        <v>610</v>
      </c>
      <c r="B614">
        <v>611</v>
      </c>
      <c r="C614">
        <v>146.796302172</v>
      </c>
      <c r="D614">
        <v>-19.149184464000001</v>
      </c>
      <c r="F614" s="63"/>
      <c r="G614" s="63"/>
      <c r="H614" t="s">
        <v>26</v>
      </c>
      <c r="I614" s="64"/>
      <c r="J614" s="31"/>
      <c r="K614" s="31"/>
      <c r="L614" s="31"/>
      <c r="M614" s="31"/>
      <c r="N614" s="4"/>
      <c r="O614" s="4"/>
      <c r="P614" s="4"/>
      <c r="Q614" s="4"/>
      <c r="U614" s="5"/>
      <c r="V614" s="4"/>
      <c r="AG614" t="s">
        <v>655</v>
      </c>
      <c r="AM614" s="1"/>
    </row>
    <row r="615" spans="1:39" x14ac:dyDescent="0.35">
      <c r="A615">
        <v>611</v>
      </c>
      <c r="B615">
        <v>612</v>
      </c>
      <c r="C615">
        <v>146.79626191400001</v>
      </c>
      <c r="D615">
        <v>-19.149108601999998</v>
      </c>
      <c r="F615" s="63"/>
      <c r="G615" s="63"/>
      <c r="H615" t="s">
        <v>26</v>
      </c>
      <c r="I615" s="64"/>
      <c r="J615" s="31"/>
      <c r="K615" s="31"/>
      <c r="L615" s="31"/>
      <c r="M615" s="31"/>
      <c r="N615" s="4"/>
      <c r="O615" s="4"/>
      <c r="P615" s="4"/>
      <c r="Q615" s="4"/>
      <c r="U615" s="5"/>
      <c r="V615" s="4"/>
      <c r="AG615" t="s">
        <v>656</v>
      </c>
      <c r="AM615" s="1"/>
    </row>
    <row r="616" spans="1:39" x14ac:dyDescent="0.35">
      <c r="A616">
        <v>612</v>
      </c>
      <c r="B616">
        <v>613</v>
      </c>
      <c r="C616">
        <v>146.796221656</v>
      </c>
      <c r="D616">
        <v>-19.1490327399999</v>
      </c>
      <c r="F616" s="63"/>
      <c r="G616" s="63"/>
      <c r="H616" t="s">
        <v>26</v>
      </c>
      <c r="I616" s="64"/>
      <c r="J616" s="31"/>
      <c r="K616" s="31"/>
      <c r="L616" s="31"/>
      <c r="M616" s="31"/>
      <c r="N616" s="4"/>
      <c r="O616" s="4"/>
      <c r="P616" s="4"/>
      <c r="Q616" s="4"/>
      <c r="U616" s="5"/>
      <c r="V616" s="4"/>
      <c r="AG616" t="s">
        <v>657</v>
      </c>
      <c r="AM616" s="1"/>
    </row>
    <row r="617" spans="1:39" x14ac:dyDescent="0.35">
      <c r="A617">
        <v>613</v>
      </c>
      <c r="B617">
        <v>614</v>
      </c>
      <c r="C617">
        <v>146.796181397</v>
      </c>
      <c r="D617">
        <v>-19.148956878</v>
      </c>
      <c r="F617" s="63"/>
      <c r="G617" s="63"/>
      <c r="H617" t="s">
        <v>26</v>
      </c>
      <c r="I617" s="64"/>
      <c r="J617" s="31"/>
      <c r="K617" s="31"/>
      <c r="L617" s="31"/>
      <c r="M617" s="31"/>
      <c r="N617" s="4"/>
      <c r="O617" s="4"/>
      <c r="P617" s="4"/>
      <c r="Q617" s="4"/>
      <c r="U617" s="5"/>
      <c r="V617" s="4"/>
      <c r="AG617" t="s">
        <v>658</v>
      </c>
      <c r="AM617" s="1"/>
    </row>
    <row r="618" spans="1:39" x14ac:dyDescent="0.35">
      <c r="A618">
        <v>614</v>
      </c>
      <c r="B618">
        <v>615</v>
      </c>
      <c r="C618">
        <v>146.79611163000001</v>
      </c>
      <c r="D618">
        <v>-19.148904493</v>
      </c>
      <c r="E618">
        <v>50</v>
      </c>
      <c r="F618" s="63"/>
      <c r="G618" s="63"/>
      <c r="H618" t="s">
        <v>26</v>
      </c>
      <c r="I618" s="64"/>
      <c r="J618" s="31"/>
      <c r="K618" s="31"/>
      <c r="L618" s="31"/>
      <c r="M618" s="31"/>
      <c r="N618" s="4"/>
      <c r="O618" s="4"/>
      <c r="P618" s="4"/>
      <c r="Q618" s="4"/>
      <c r="U618" s="5"/>
      <c r="V618" s="4"/>
      <c r="AG618" t="s">
        <v>659</v>
      </c>
      <c r="AM618" s="1"/>
    </row>
    <row r="619" spans="1:39" x14ac:dyDescent="0.35">
      <c r="A619">
        <v>615</v>
      </c>
      <c r="B619">
        <v>616</v>
      </c>
      <c r="C619">
        <v>146.79603919300001</v>
      </c>
      <c r="D619">
        <v>-19.148940660999902</v>
      </c>
      <c r="F619" s="63"/>
      <c r="G619" s="63"/>
      <c r="H619" t="s">
        <v>26</v>
      </c>
      <c r="I619" s="64"/>
      <c r="J619" s="31"/>
      <c r="K619" s="31"/>
      <c r="L619" s="31"/>
      <c r="M619" s="31"/>
      <c r="N619" s="4"/>
      <c r="O619" s="4"/>
      <c r="P619" s="4"/>
      <c r="Q619" s="4"/>
      <c r="U619" s="5"/>
      <c r="V619" s="4"/>
      <c r="AG619" t="s">
        <v>660</v>
      </c>
      <c r="AM619" s="1"/>
    </row>
    <row r="620" spans="1:39" x14ac:dyDescent="0.35">
      <c r="A620">
        <v>616</v>
      </c>
      <c r="B620">
        <v>617</v>
      </c>
      <c r="C620">
        <v>146.796018836</v>
      </c>
      <c r="D620">
        <v>-19.149020989</v>
      </c>
      <c r="F620" s="63"/>
      <c r="G620" s="63"/>
      <c r="H620" t="s">
        <v>26</v>
      </c>
      <c r="I620" s="64"/>
      <c r="J620" s="31"/>
      <c r="K620" s="31"/>
      <c r="L620" s="31"/>
      <c r="M620" s="31"/>
      <c r="N620" s="4"/>
      <c r="O620" s="4"/>
      <c r="P620" s="4"/>
      <c r="Q620" s="4"/>
      <c r="U620" s="5"/>
      <c r="V620" s="4"/>
      <c r="AG620" t="s">
        <v>661</v>
      </c>
      <c r="AM620" s="1"/>
    </row>
    <row r="621" spans="1:39" x14ac:dyDescent="0.35">
      <c r="A621">
        <v>617</v>
      </c>
      <c r="B621">
        <v>618</v>
      </c>
      <c r="C621">
        <v>146.79599768899999</v>
      </c>
      <c r="D621">
        <v>-19.149103281999899</v>
      </c>
      <c r="F621" s="63"/>
      <c r="G621" s="63"/>
      <c r="H621" t="s">
        <v>26</v>
      </c>
      <c r="I621" s="64"/>
      <c r="J621" s="31"/>
      <c r="K621" s="31"/>
      <c r="L621" s="31"/>
      <c r="M621" s="31"/>
      <c r="N621" s="4"/>
      <c r="O621" s="4"/>
      <c r="P621" s="4"/>
      <c r="Q621" s="4"/>
      <c r="U621" s="5"/>
      <c r="V621" s="4"/>
      <c r="AG621" t="s">
        <v>662</v>
      </c>
      <c r="AM621" s="1"/>
    </row>
    <row r="622" spans="1:39" x14ac:dyDescent="0.35">
      <c r="A622">
        <v>618</v>
      </c>
      <c r="B622">
        <v>619</v>
      </c>
      <c r="C622">
        <v>146.795971917</v>
      </c>
      <c r="D622">
        <v>-19.149184576</v>
      </c>
      <c r="F622" s="63"/>
      <c r="G622" s="63"/>
      <c r="H622" t="s">
        <v>26</v>
      </c>
      <c r="I622" s="64"/>
      <c r="J622" s="31"/>
      <c r="K622" s="31"/>
      <c r="L622" s="31"/>
      <c r="M622" s="31"/>
      <c r="N622" s="4"/>
      <c r="O622" s="4"/>
      <c r="P622" s="4"/>
      <c r="Q622" s="4"/>
      <c r="U622" s="5"/>
      <c r="V622" s="4"/>
      <c r="AG622" t="s">
        <v>663</v>
      </c>
      <c r="AM622" s="1"/>
    </row>
    <row r="623" spans="1:39" x14ac:dyDescent="0.35">
      <c r="A623">
        <v>619</v>
      </c>
      <c r="B623">
        <v>620</v>
      </c>
      <c r="C623">
        <v>146.7959358</v>
      </c>
      <c r="D623">
        <v>-19.149262087999901</v>
      </c>
      <c r="E623">
        <v>50</v>
      </c>
      <c r="F623" s="63"/>
      <c r="G623" s="63"/>
      <c r="H623" t="s">
        <v>26</v>
      </c>
      <c r="I623" s="64"/>
      <c r="J623" s="31"/>
      <c r="K623" s="31"/>
      <c r="L623" s="31"/>
      <c r="M623" s="31"/>
      <c r="N623" s="4"/>
      <c r="O623" s="4"/>
      <c r="P623" s="4"/>
      <c r="Q623" s="4"/>
      <c r="U623" s="5"/>
      <c r="V623" s="4"/>
      <c r="AG623" t="s">
        <v>664</v>
      </c>
      <c r="AM623" s="1"/>
    </row>
    <row r="624" spans="1:39" x14ac:dyDescent="0.35">
      <c r="A624">
        <v>620</v>
      </c>
      <c r="B624">
        <v>621</v>
      </c>
      <c r="C624">
        <v>146.79589652600001</v>
      </c>
      <c r="D624">
        <v>-19.149338389</v>
      </c>
      <c r="F624" s="63"/>
      <c r="G624" s="63"/>
      <c r="H624" t="s">
        <v>26</v>
      </c>
      <c r="I624" s="64"/>
      <c r="J624" s="31"/>
      <c r="K624" s="31"/>
      <c r="L624" s="31"/>
      <c r="M624" s="31"/>
      <c r="N624" s="4"/>
      <c r="O624" s="4"/>
      <c r="P624" s="4"/>
      <c r="Q624" s="4"/>
      <c r="U624" s="5"/>
      <c r="V624" s="4"/>
      <c r="AG624" t="s">
        <v>665</v>
      </c>
      <c r="AM624" s="1"/>
    </row>
    <row r="625" spans="1:39" x14ac:dyDescent="0.35">
      <c r="A625">
        <v>621</v>
      </c>
      <c r="B625">
        <v>622</v>
      </c>
      <c r="C625">
        <v>146.79587876100001</v>
      </c>
      <c r="D625">
        <v>-19.149419677000001</v>
      </c>
      <c r="F625" s="63"/>
      <c r="G625" s="63"/>
      <c r="H625" t="s">
        <v>26</v>
      </c>
      <c r="I625" s="64"/>
      <c r="J625" s="31"/>
      <c r="K625" s="31"/>
      <c r="L625" s="31"/>
      <c r="M625" s="31"/>
      <c r="N625" s="4"/>
      <c r="O625" s="4"/>
      <c r="P625" s="4"/>
      <c r="Q625" s="4"/>
      <c r="U625" s="5"/>
      <c r="V625" s="4"/>
      <c r="AG625" t="s">
        <v>666</v>
      </c>
      <c r="AM625" s="1"/>
    </row>
    <row r="626" spans="1:39" x14ac:dyDescent="0.35">
      <c r="A626">
        <v>622</v>
      </c>
      <c r="B626">
        <v>623</v>
      </c>
      <c r="C626">
        <v>146.79583280700001</v>
      </c>
      <c r="D626">
        <v>-19.149492294000002</v>
      </c>
      <c r="F626" s="63"/>
      <c r="G626" s="63"/>
      <c r="H626" t="s">
        <v>26</v>
      </c>
      <c r="I626" s="64"/>
      <c r="J626" s="31"/>
      <c r="K626" s="31"/>
      <c r="L626" s="31"/>
      <c r="M626" s="31"/>
      <c r="N626" s="4"/>
      <c r="O626" s="4"/>
      <c r="P626" s="4"/>
      <c r="Q626" s="4"/>
      <c r="U626" s="5"/>
      <c r="V626" s="4"/>
      <c r="AG626" t="s">
        <v>667</v>
      </c>
      <c r="AM626" s="1"/>
    </row>
    <row r="627" spans="1:39" x14ac:dyDescent="0.35">
      <c r="A627">
        <v>623</v>
      </c>
      <c r="B627">
        <v>624</v>
      </c>
      <c r="C627">
        <v>146.795792347</v>
      </c>
      <c r="D627">
        <v>-19.149567776000001</v>
      </c>
      <c r="F627" s="63"/>
      <c r="G627" s="63"/>
      <c r="H627" t="s">
        <v>26</v>
      </c>
      <c r="I627" s="64"/>
      <c r="J627" s="31"/>
      <c r="K627" s="31"/>
      <c r="L627" s="31"/>
      <c r="M627" s="31"/>
      <c r="N627" s="4"/>
      <c r="O627" s="4"/>
      <c r="P627" s="4"/>
      <c r="Q627" s="4"/>
      <c r="U627" s="5"/>
      <c r="V627" s="4"/>
      <c r="AG627" t="s">
        <v>668</v>
      </c>
      <c r="AM627" s="1"/>
    </row>
    <row r="628" spans="1:39" x14ac:dyDescent="0.35">
      <c r="A628">
        <v>624</v>
      </c>
      <c r="B628">
        <v>625</v>
      </c>
      <c r="C628">
        <v>146.795753601</v>
      </c>
      <c r="D628">
        <v>-19.149644123000002</v>
      </c>
      <c r="E628">
        <v>50</v>
      </c>
      <c r="F628" s="63"/>
      <c r="G628" s="63"/>
      <c r="H628" t="s">
        <v>26</v>
      </c>
      <c r="I628" s="64"/>
      <c r="J628" s="31"/>
      <c r="K628" s="31"/>
      <c r="L628" s="31"/>
      <c r="M628" s="31"/>
      <c r="N628" s="4"/>
      <c r="O628" s="4"/>
      <c r="P628" s="4"/>
      <c r="Q628" s="4"/>
      <c r="U628" s="5"/>
      <c r="V628" s="4"/>
      <c r="AG628" t="s">
        <v>669</v>
      </c>
      <c r="AM628" s="1"/>
    </row>
    <row r="629" spans="1:39" x14ac:dyDescent="0.35">
      <c r="A629">
        <v>625</v>
      </c>
      <c r="B629">
        <v>626</v>
      </c>
      <c r="C629">
        <v>146.79567893399999</v>
      </c>
      <c r="D629">
        <v>-19.1496782309999</v>
      </c>
      <c r="F629" s="63"/>
      <c r="G629" s="63"/>
      <c r="H629" t="s">
        <v>26</v>
      </c>
      <c r="I629" s="64"/>
      <c r="J629" s="31"/>
      <c r="K629" s="31"/>
      <c r="L629" s="31"/>
      <c r="M629" s="31"/>
      <c r="N629" s="4"/>
      <c r="O629" s="4"/>
      <c r="P629" s="4"/>
      <c r="Q629" s="4"/>
      <c r="U629" s="5"/>
      <c r="V629" s="4"/>
      <c r="AG629" t="s">
        <v>670</v>
      </c>
      <c r="AM629" s="1"/>
    </row>
    <row r="630" spans="1:39" x14ac:dyDescent="0.35">
      <c r="A630">
        <v>626</v>
      </c>
      <c r="B630">
        <v>627</v>
      </c>
      <c r="C630">
        <v>146.79560004699999</v>
      </c>
      <c r="D630">
        <v>-19.149648312999901</v>
      </c>
      <c r="F630" s="63"/>
      <c r="G630" s="63"/>
      <c r="H630" t="s">
        <v>26</v>
      </c>
      <c r="I630" s="64"/>
      <c r="J630" s="31"/>
      <c r="K630" s="31"/>
      <c r="L630" s="31"/>
      <c r="M630" s="31"/>
      <c r="N630" s="4"/>
      <c r="O630" s="4"/>
      <c r="P630" s="4"/>
      <c r="Q630" s="4"/>
      <c r="U630" s="5"/>
      <c r="V630" s="4"/>
      <c r="AG630" t="s">
        <v>671</v>
      </c>
      <c r="AM630" s="1"/>
    </row>
    <row r="631" spans="1:39" x14ac:dyDescent="0.35">
      <c r="A631">
        <v>627</v>
      </c>
      <c r="B631">
        <v>628</v>
      </c>
      <c r="C631">
        <v>146.79557848600001</v>
      </c>
      <c r="D631">
        <v>-19.14956682</v>
      </c>
      <c r="F631" s="63"/>
      <c r="G631" s="63"/>
      <c r="H631" t="s">
        <v>26</v>
      </c>
      <c r="I631" s="64"/>
      <c r="J631" s="31"/>
      <c r="K631" s="31"/>
      <c r="L631" s="31"/>
      <c r="M631" s="31"/>
      <c r="N631" s="4"/>
      <c r="O631" s="4"/>
      <c r="P631" s="4"/>
      <c r="Q631" s="4"/>
      <c r="U631" s="5"/>
      <c r="V631" s="4"/>
      <c r="AG631" t="s">
        <v>672</v>
      </c>
      <c r="AM631" s="1"/>
    </row>
    <row r="632" spans="1:39" x14ac:dyDescent="0.35">
      <c r="A632">
        <v>628</v>
      </c>
      <c r="B632">
        <v>629</v>
      </c>
      <c r="C632">
        <v>146.79558094399999</v>
      </c>
      <c r="D632">
        <v>-19.149482813999999</v>
      </c>
      <c r="F632" s="63"/>
      <c r="G632" s="63"/>
      <c r="H632" t="s">
        <v>26</v>
      </c>
      <c r="I632" s="64"/>
      <c r="J632" s="31"/>
      <c r="K632" s="31"/>
      <c r="L632" s="31"/>
      <c r="M632" s="31"/>
      <c r="N632" s="4"/>
      <c r="O632" s="4"/>
      <c r="P632" s="4"/>
      <c r="Q632" s="4"/>
      <c r="U632" s="5"/>
      <c r="V632" s="4"/>
      <c r="AG632" t="s">
        <v>673</v>
      </c>
      <c r="AM632" s="1"/>
    </row>
    <row r="633" spans="1:39" x14ac:dyDescent="0.35">
      <c r="A633">
        <v>629</v>
      </c>
      <c r="B633">
        <v>630</v>
      </c>
      <c r="C633">
        <v>146.795597227</v>
      </c>
      <c r="D633">
        <v>-19.149399359</v>
      </c>
      <c r="E633">
        <v>50</v>
      </c>
      <c r="F633" s="63"/>
      <c r="G633" s="63"/>
      <c r="H633" t="s">
        <v>26</v>
      </c>
      <c r="I633" s="64"/>
      <c r="J633" s="31"/>
      <c r="K633" s="31"/>
      <c r="L633" s="31"/>
      <c r="M633" s="31"/>
      <c r="N633" s="4"/>
      <c r="O633" s="4"/>
      <c r="P633" s="4"/>
      <c r="Q633" s="4"/>
      <c r="U633" s="5"/>
      <c r="V633" s="4"/>
      <c r="AG633" t="s">
        <v>674</v>
      </c>
      <c r="AM633" s="1"/>
    </row>
    <row r="634" spans="1:39" x14ac:dyDescent="0.35">
      <c r="A634">
        <v>630</v>
      </c>
      <c r="B634">
        <v>631</v>
      </c>
      <c r="C634">
        <v>146.79560810300001</v>
      </c>
      <c r="D634">
        <v>-19.149315692999899</v>
      </c>
      <c r="F634" s="63"/>
      <c r="G634" s="63"/>
      <c r="H634" t="s">
        <v>26</v>
      </c>
      <c r="I634" s="64"/>
      <c r="J634" s="31"/>
      <c r="K634" s="31"/>
      <c r="L634" s="31"/>
      <c r="M634" s="31"/>
      <c r="N634" s="4"/>
      <c r="O634" s="4"/>
      <c r="P634" s="4"/>
      <c r="Q634" s="4"/>
      <c r="U634" s="5"/>
      <c r="V634" s="4"/>
      <c r="AG634" t="s">
        <v>675</v>
      </c>
      <c r="AM634" s="1"/>
    </row>
    <row r="635" spans="1:39" x14ac:dyDescent="0.35">
      <c r="A635">
        <v>631</v>
      </c>
      <c r="B635">
        <v>632</v>
      </c>
      <c r="C635">
        <v>146.79564597800001</v>
      </c>
      <c r="D635">
        <v>-19.149241624999899</v>
      </c>
      <c r="F635" s="63"/>
      <c r="G635" s="63"/>
      <c r="H635" t="s">
        <v>26</v>
      </c>
      <c r="I635" s="64"/>
      <c r="J635" s="31"/>
      <c r="K635" s="31"/>
      <c r="L635" s="31"/>
      <c r="M635" s="31"/>
      <c r="N635" s="4"/>
      <c r="O635" s="4"/>
      <c r="P635" s="4"/>
      <c r="Q635" s="4"/>
      <c r="U635" s="5"/>
      <c r="V635" s="4"/>
      <c r="AG635" t="s">
        <v>676</v>
      </c>
      <c r="AM635" s="1"/>
    </row>
    <row r="636" spans="1:39" x14ac:dyDescent="0.35">
      <c r="A636">
        <v>632</v>
      </c>
      <c r="B636">
        <v>633</v>
      </c>
      <c r="C636">
        <v>146.79568822300001</v>
      </c>
      <c r="D636">
        <v>-19.1491674379999</v>
      </c>
      <c r="F636" s="63"/>
      <c r="G636" s="63"/>
      <c r="H636" t="s">
        <v>26</v>
      </c>
      <c r="I636" s="64"/>
      <c r="J636" s="31"/>
      <c r="K636" s="31"/>
      <c r="L636" s="31"/>
      <c r="M636" s="31"/>
      <c r="N636" s="4"/>
      <c r="O636" s="4"/>
      <c r="P636" s="4"/>
      <c r="Q636" s="4"/>
      <c r="U636" s="5"/>
      <c r="V636" s="4"/>
      <c r="AG636" t="s">
        <v>677</v>
      </c>
      <c r="AM636" s="1"/>
    </row>
    <row r="637" spans="1:39" x14ac:dyDescent="0.35">
      <c r="A637">
        <v>633</v>
      </c>
      <c r="B637">
        <v>634</v>
      </c>
      <c r="C637">
        <v>146.79571257399999</v>
      </c>
      <c r="D637">
        <v>-19.149085753999898</v>
      </c>
      <c r="F637" s="63"/>
      <c r="G637" s="63"/>
      <c r="H637" t="s">
        <v>26</v>
      </c>
      <c r="I637" s="64"/>
      <c r="J637" s="31"/>
      <c r="K637" s="31"/>
      <c r="L637" s="31"/>
      <c r="M637" s="31"/>
      <c r="N637" s="4"/>
      <c r="O637" s="4"/>
      <c r="P637" s="4"/>
      <c r="Q637" s="4"/>
      <c r="U637" s="5"/>
      <c r="V637" s="4"/>
      <c r="AG637" t="s">
        <v>678</v>
      </c>
      <c r="AM637" s="1"/>
    </row>
    <row r="638" spans="1:39" x14ac:dyDescent="0.35">
      <c r="A638">
        <v>634</v>
      </c>
      <c r="B638">
        <v>635</v>
      </c>
      <c r="C638">
        <v>146.795736925</v>
      </c>
      <c r="D638">
        <v>-19.149004071</v>
      </c>
      <c r="E638">
        <v>50</v>
      </c>
      <c r="F638" s="63"/>
      <c r="G638" s="63"/>
      <c r="H638" t="s">
        <v>26</v>
      </c>
      <c r="I638" s="64"/>
      <c r="J638" s="31"/>
      <c r="K638" s="31"/>
      <c r="L638" s="31"/>
      <c r="M638" s="31"/>
      <c r="N638" s="4"/>
      <c r="O638" s="4"/>
      <c r="P638" s="4"/>
      <c r="Q638" s="4"/>
      <c r="U638" s="5"/>
      <c r="V638" s="4"/>
      <c r="AG638" t="s">
        <v>679</v>
      </c>
      <c r="AM638" s="1"/>
    </row>
    <row r="639" spans="1:39" x14ac:dyDescent="0.35">
      <c r="A639">
        <v>635</v>
      </c>
      <c r="B639">
        <v>636</v>
      </c>
      <c r="C639">
        <v>146.795763161</v>
      </c>
      <c r="D639">
        <v>-19.1489229119999</v>
      </c>
      <c r="F639" s="63"/>
      <c r="G639" s="63"/>
      <c r="H639" t="s">
        <v>26</v>
      </c>
      <c r="I639" s="64"/>
      <c r="J639" s="31"/>
      <c r="K639" s="31"/>
      <c r="L639" s="31"/>
      <c r="M639" s="31"/>
      <c r="N639" s="4"/>
      <c r="O639" s="4"/>
      <c r="P639" s="4"/>
      <c r="Q639" s="4"/>
      <c r="U639" s="5"/>
      <c r="V639" s="4"/>
      <c r="AG639" t="s">
        <v>680</v>
      </c>
      <c r="AM639" s="1"/>
    </row>
    <row r="640" spans="1:39" x14ac:dyDescent="0.35">
      <c r="A640">
        <v>636</v>
      </c>
      <c r="B640">
        <v>637</v>
      </c>
      <c r="C640">
        <v>146.79578962299999</v>
      </c>
      <c r="D640">
        <v>-19.148841816000001</v>
      </c>
      <c r="F640" s="63"/>
      <c r="G640" s="63"/>
      <c r="H640" t="s">
        <v>26</v>
      </c>
      <c r="I640" s="64"/>
      <c r="J640" s="31"/>
      <c r="K640" s="31"/>
      <c r="L640" s="31"/>
      <c r="M640" s="31"/>
      <c r="N640" s="4"/>
      <c r="O640" s="4"/>
      <c r="P640" s="4"/>
      <c r="Q640" s="4"/>
      <c r="U640" s="5"/>
      <c r="V640" s="4"/>
      <c r="AG640" t="s">
        <v>681</v>
      </c>
      <c r="AM640" s="1"/>
    </row>
    <row r="641" spans="1:39" x14ac:dyDescent="0.35">
      <c r="A641">
        <v>637</v>
      </c>
      <c r="B641">
        <v>638</v>
      </c>
      <c r="C641">
        <v>146.79581608500001</v>
      </c>
      <c r="D641">
        <v>-19.148760720999999</v>
      </c>
      <c r="F641" s="63"/>
      <c r="G641" s="63"/>
      <c r="H641" t="s">
        <v>26</v>
      </c>
      <c r="I641" s="64"/>
      <c r="J641" s="31"/>
      <c r="K641" s="31"/>
      <c r="L641" s="31"/>
      <c r="M641" s="31"/>
      <c r="N641" s="4"/>
      <c r="O641" s="4"/>
      <c r="P641" s="4"/>
      <c r="Q641" s="4"/>
      <c r="U641" s="5"/>
      <c r="V641" s="4"/>
      <c r="AG641" t="s">
        <v>682</v>
      </c>
      <c r="AM641" s="1"/>
    </row>
    <row r="642" spans="1:39" x14ac:dyDescent="0.35">
      <c r="A642">
        <v>638</v>
      </c>
      <c r="B642">
        <v>639</v>
      </c>
      <c r="C642">
        <v>146.79584254700001</v>
      </c>
      <c r="D642">
        <v>-19.1486796249999</v>
      </c>
      <c r="F642" s="63"/>
      <c r="G642" s="63"/>
      <c r="H642" t="s">
        <v>26</v>
      </c>
      <c r="I642" s="64"/>
      <c r="J642" s="31"/>
      <c r="K642" s="31"/>
      <c r="L642" s="31"/>
      <c r="M642" s="31"/>
      <c r="N642" s="4"/>
      <c r="O642" s="4"/>
      <c r="P642" s="4"/>
      <c r="Q642" s="4"/>
      <c r="U642" s="5"/>
      <c r="V642" s="4"/>
      <c r="AG642" t="s">
        <v>683</v>
      </c>
      <c r="AM642" s="1"/>
    </row>
    <row r="643" spans="1:39" x14ac:dyDescent="0.35">
      <c r="A643">
        <v>639</v>
      </c>
      <c r="B643">
        <v>640</v>
      </c>
      <c r="C643">
        <v>146.79587684200001</v>
      </c>
      <c r="D643">
        <v>-19.148601304</v>
      </c>
      <c r="E643">
        <v>50</v>
      </c>
      <c r="F643" s="63"/>
      <c r="G643" s="63"/>
      <c r="H643" t="s">
        <v>26</v>
      </c>
      <c r="I643" s="64"/>
      <c r="J643" s="31"/>
      <c r="K643" s="31"/>
      <c r="L643" s="31"/>
      <c r="M643" s="31"/>
      <c r="N643" s="4"/>
      <c r="O643" s="4"/>
      <c r="P643" s="4"/>
      <c r="Q643" s="4"/>
      <c r="U643" s="5"/>
      <c r="V643" s="4"/>
      <c r="AG643" t="s">
        <v>684</v>
      </c>
      <c r="AM643" s="1"/>
    </row>
    <row r="644" spans="1:39" x14ac:dyDescent="0.35">
      <c r="A644">
        <v>640</v>
      </c>
      <c r="B644">
        <v>641</v>
      </c>
      <c r="C644">
        <v>146.795913356</v>
      </c>
      <c r="D644">
        <v>-19.148523769999901</v>
      </c>
      <c r="F644" s="63"/>
      <c r="G644" s="63"/>
      <c r="H644" t="s">
        <v>26</v>
      </c>
      <c r="I644" s="64"/>
      <c r="J644" s="31"/>
      <c r="K644" s="31"/>
      <c r="L644" s="31"/>
      <c r="M644" s="31"/>
      <c r="N644" s="4"/>
      <c r="O644" s="4"/>
      <c r="P644" s="4"/>
      <c r="Q644" s="4"/>
      <c r="U644" s="5"/>
      <c r="V644" s="4"/>
      <c r="AG644" t="s">
        <v>685</v>
      </c>
      <c r="AM644" s="1"/>
    </row>
    <row r="645" spans="1:39" x14ac:dyDescent="0.35">
      <c r="A645">
        <v>641</v>
      </c>
      <c r="B645">
        <v>642</v>
      </c>
      <c r="C645">
        <v>146.79594986999999</v>
      </c>
      <c r="D645">
        <v>-19.148446234999899</v>
      </c>
      <c r="F645" s="63"/>
      <c r="G645" s="63"/>
      <c r="H645" t="s">
        <v>26</v>
      </c>
      <c r="I645" s="64"/>
      <c r="J645" s="31"/>
      <c r="K645" s="31"/>
      <c r="L645" s="31"/>
      <c r="M645" s="31"/>
      <c r="N645" s="4"/>
      <c r="O645" s="4"/>
      <c r="P645" s="4"/>
      <c r="Q645" s="4"/>
      <c r="U645" s="5"/>
      <c r="V645" s="4"/>
      <c r="AG645" t="s">
        <v>686</v>
      </c>
      <c r="AM645" s="1"/>
    </row>
    <row r="646" spans="1:39" x14ac:dyDescent="0.35">
      <c r="A646">
        <v>642</v>
      </c>
      <c r="B646">
        <v>643</v>
      </c>
      <c r="C646">
        <v>146.795986384</v>
      </c>
      <c r="D646">
        <v>-19.148368699999899</v>
      </c>
      <c r="F646" s="63"/>
      <c r="G646" s="63"/>
      <c r="H646" t="s">
        <v>26</v>
      </c>
      <c r="I646" s="64"/>
      <c r="J646" s="31"/>
      <c r="K646" s="31"/>
      <c r="L646" s="31"/>
      <c r="M646" s="31"/>
      <c r="N646" s="4"/>
      <c r="O646" s="4"/>
      <c r="P646" s="4"/>
      <c r="Q646" s="4"/>
      <c r="U646" s="5"/>
      <c r="V646" s="4"/>
      <c r="AG646" t="s">
        <v>687</v>
      </c>
      <c r="AM646" s="1"/>
    </row>
    <row r="647" spans="1:39" x14ac:dyDescent="0.35">
      <c r="A647">
        <v>643</v>
      </c>
      <c r="B647">
        <v>644</v>
      </c>
      <c r="C647">
        <v>146.79601434200001</v>
      </c>
      <c r="D647">
        <v>-19.148288280999999</v>
      </c>
      <c r="F647" s="63"/>
      <c r="G647" s="63"/>
      <c r="H647" t="s">
        <v>26</v>
      </c>
      <c r="I647" s="64"/>
      <c r="J647" s="31"/>
      <c r="K647" s="31"/>
      <c r="L647" s="31"/>
      <c r="M647" s="31"/>
      <c r="N647" s="4"/>
      <c r="O647" s="4"/>
      <c r="P647" s="4"/>
      <c r="Q647" s="4"/>
      <c r="U647" s="5"/>
      <c r="V647" s="4"/>
      <c r="AG647" t="s">
        <v>688</v>
      </c>
      <c r="AM647" s="1"/>
    </row>
    <row r="648" spans="1:39" x14ac:dyDescent="0.35">
      <c r="A648">
        <v>644</v>
      </c>
      <c r="B648">
        <v>645</v>
      </c>
      <c r="C648">
        <v>146.79603803500001</v>
      </c>
      <c r="D648">
        <v>-19.148206425000001</v>
      </c>
      <c r="E648">
        <v>50</v>
      </c>
      <c r="F648" s="63"/>
      <c r="G648" s="63"/>
      <c r="H648" t="s">
        <v>26</v>
      </c>
      <c r="I648" s="64"/>
      <c r="J648" s="31"/>
      <c r="K648" s="31"/>
      <c r="L648" s="31"/>
      <c r="M648" s="31"/>
      <c r="N648" s="4"/>
      <c r="O648" s="4"/>
      <c r="P648" s="4"/>
      <c r="Q648" s="4"/>
      <c r="U648" s="5"/>
      <c r="V648" s="4"/>
      <c r="AG648" t="s">
        <v>689</v>
      </c>
      <c r="AM648" s="1"/>
    </row>
    <row r="649" spans="1:39" x14ac:dyDescent="0.35">
      <c r="A649">
        <v>645</v>
      </c>
      <c r="B649">
        <v>646</v>
      </c>
      <c r="C649">
        <v>146.79606172699999</v>
      </c>
      <c r="D649">
        <v>-19.148124568</v>
      </c>
      <c r="F649" s="63"/>
      <c r="G649" s="63"/>
      <c r="H649" t="s">
        <v>26</v>
      </c>
      <c r="I649" s="64"/>
      <c r="J649" s="31"/>
      <c r="K649" s="31"/>
      <c r="L649" s="31"/>
      <c r="M649" s="31"/>
      <c r="N649" s="4"/>
      <c r="O649" s="4"/>
      <c r="P649" s="4"/>
      <c r="Q649" s="4"/>
      <c r="U649" s="5"/>
      <c r="V649" s="4"/>
      <c r="AG649" t="s">
        <v>690</v>
      </c>
      <c r="AM649" s="1"/>
    </row>
    <row r="650" spans="1:39" x14ac:dyDescent="0.35">
      <c r="A650">
        <v>646</v>
      </c>
      <c r="B650">
        <v>647</v>
      </c>
      <c r="C650">
        <v>146.79608541900001</v>
      </c>
      <c r="D650">
        <v>-19.148042710999999</v>
      </c>
      <c r="F650" s="63"/>
      <c r="G650" s="63"/>
      <c r="H650" t="s">
        <v>26</v>
      </c>
      <c r="I650" s="64"/>
      <c r="J650" s="31"/>
      <c r="K650" s="31"/>
      <c r="L650" s="31"/>
      <c r="M650" s="31"/>
      <c r="N650" s="4"/>
      <c r="O650" s="4"/>
      <c r="P650" s="4"/>
      <c r="Q650" s="4"/>
      <c r="U650" s="5"/>
      <c r="V650" s="4"/>
      <c r="AG650" t="s">
        <v>691</v>
      </c>
      <c r="AM650" s="1"/>
    </row>
    <row r="651" spans="1:39" x14ac:dyDescent="0.35">
      <c r="A651">
        <v>647</v>
      </c>
      <c r="B651">
        <v>648</v>
      </c>
      <c r="C651">
        <v>146.79610911200001</v>
      </c>
      <c r="D651">
        <v>-19.147960854000001</v>
      </c>
      <c r="F651" s="63"/>
      <c r="G651" s="63"/>
      <c r="H651" t="s">
        <v>26</v>
      </c>
      <c r="I651" s="64"/>
      <c r="J651" s="31"/>
      <c r="K651" s="31"/>
      <c r="L651" s="31"/>
      <c r="M651" s="31"/>
      <c r="N651" s="4"/>
      <c r="O651" s="4"/>
      <c r="P651" s="4"/>
      <c r="Q651" s="4"/>
      <c r="U651" s="5"/>
      <c r="V651" s="4"/>
      <c r="AG651" t="s">
        <v>692</v>
      </c>
      <c r="AM651" s="1"/>
    </row>
    <row r="652" spans="1:39" x14ac:dyDescent="0.35">
      <c r="A652">
        <v>648</v>
      </c>
      <c r="B652">
        <v>649</v>
      </c>
      <c r="C652">
        <v>146.79611787600001</v>
      </c>
      <c r="D652">
        <v>-19.147877095999899</v>
      </c>
      <c r="F652" s="63"/>
      <c r="G652" s="63"/>
      <c r="H652" t="s">
        <v>26</v>
      </c>
      <c r="I652" s="64"/>
      <c r="J652" s="31"/>
      <c r="K652" s="31"/>
      <c r="L652" s="31"/>
      <c r="M652" s="31"/>
      <c r="N652" s="4"/>
      <c r="O652" s="4"/>
      <c r="P652" s="4"/>
      <c r="Q652" s="4"/>
      <c r="U652" s="5"/>
      <c r="V652" s="4"/>
      <c r="AG652" t="s">
        <v>693</v>
      </c>
      <c r="AM652" s="1"/>
    </row>
    <row r="653" spans="1:39" x14ac:dyDescent="0.35">
      <c r="A653">
        <v>649</v>
      </c>
      <c r="B653">
        <v>650</v>
      </c>
      <c r="C653">
        <v>146.796117979</v>
      </c>
      <c r="D653">
        <v>-19.147792234000001</v>
      </c>
      <c r="E653">
        <v>50</v>
      </c>
      <c r="F653" s="63"/>
      <c r="G653" s="63"/>
      <c r="H653" t="s">
        <v>26</v>
      </c>
      <c r="I653" s="64"/>
      <c r="J653" s="31"/>
      <c r="K653" s="31"/>
      <c r="L653" s="31"/>
      <c r="M653" s="31"/>
      <c r="N653" s="4"/>
      <c r="O653" s="4"/>
      <c r="P653" s="4"/>
      <c r="Q653" s="4"/>
      <c r="U653" s="5"/>
      <c r="V653" s="4"/>
      <c r="AG653" t="s">
        <v>694</v>
      </c>
      <c r="AM653" s="1"/>
    </row>
    <row r="654" spans="1:39" x14ac:dyDescent="0.35">
      <c r="A654">
        <v>650</v>
      </c>
      <c r="B654">
        <v>651</v>
      </c>
      <c r="C654">
        <v>146.79611351700001</v>
      </c>
      <c r="D654">
        <v>-19.147707531999998</v>
      </c>
      <c r="F654" s="63"/>
      <c r="G654" s="63"/>
      <c r="H654" t="s">
        <v>26</v>
      </c>
      <c r="I654" s="64"/>
      <c r="J654" s="31"/>
      <c r="K654" s="31"/>
      <c r="L654" s="31"/>
      <c r="M654" s="31"/>
      <c r="N654" s="4"/>
      <c r="O654" s="4"/>
      <c r="P654" s="4"/>
      <c r="Q654" s="4"/>
      <c r="U654" s="5"/>
      <c r="V654" s="4"/>
      <c r="AG654" t="s">
        <v>695</v>
      </c>
      <c r="AM654" s="1"/>
    </row>
    <row r="655" spans="1:39" x14ac:dyDescent="0.35">
      <c r="A655">
        <v>651</v>
      </c>
      <c r="B655">
        <v>652</v>
      </c>
      <c r="C655">
        <v>146.796148077</v>
      </c>
      <c r="D655">
        <v>-19.147629816999899</v>
      </c>
      <c r="F655" s="63"/>
      <c r="G655" s="63"/>
      <c r="H655" t="s">
        <v>26</v>
      </c>
      <c r="I655" s="64"/>
      <c r="J655" s="31"/>
      <c r="K655" s="31"/>
      <c r="L655" s="31"/>
      <c r="M655" s="31"/>
      <c r="N655" s="4"/>
      <c r="O655" s="4"/>
      <c r="P655" s="4"/>
      <c r="Q655" s="4"/>
      <c r="U655" s="5"/>
      <c r="V655" s="4"/>
      <c r="AG655" t="s">
        <v>696</v>
      </c>
      <c r="AM655" s="1"/>
    </row>
    <row r="656" spans="1:39" x14ac:dyDescent="0.35">
      <c r="A656">
        <v>652</v>
      </c>
      <c r="B656">
        <v>653</v>
      </c>
      <c r="C656">
        <v>146.796175178</v>
      </c>
      <c r="D656">
        <v>-19.147549035999901</v>
      </c>
      <c r="F656" s="63"/>
      <c r="G656" s="63"/>
      <c r="H656" t="s">
        <v>26</v>
      </c>
      <c r="I656" s="64"/>
      <c r="J656" s="31"/>
      <c r="K656" s="31"/>
      <c r="L656" s="31"/>
      <c r="M656" s="31"/>
      <c r="N656" s="4"/>
      <c r="O656" s="4"/>
      <c r="P656" s="4"/>
      <c r="Q656" s="4"/>
      <c r="U656" s="5"/>
      <c r="V656" s="4"/>
      <c r="AG656" t="s">
        <v>697</v>
      </c>
      <c r="AM656" s="1"/>
    </row>
    <row r="657" spans="1:39" x14ac:dyDescent="0.35">
      <c r="A657">
        <v>653</v>
      </c>
      <c r="B657">
        <v>654</v>
      </c>
      <c r="C657">
        <v>146.79620025099999</v>
      </c>
      <c r="D657">
        <v>-19.147467546000001</v>
      </c>
      <c r="F657" s="63"/>
      <c r="G657" s="63"/>
      <c r="H657" t="s">
        <v>78</v>
      </c>
      <c r="I657" s="64">
        <v>1</v>
      </c>
      <c r="J657" s="31"/>
      <c r="K657" s="31"/>
      <c r="L657" s="31"/>
      <c r="M657" s="31"/>
      <c r="N657" s="4"/>
      <c r="O657" s="4"/>
      <c r="P657" s="4"/>
      <c r="Q657" s="4"/>
      <c r="U657" s="5"/>
      <c r="V657" s="4"/>
      <c r="AG657" t="s">
        <v>698</v>
      </c>
      <c r="AM657" s="1"/>
    </row>
    <row r="658" spans="1:39" x14ac:dyDescent="0.35">
      <c r="A658">
        <v>654</v>
      </c>
      <c r="B658">
        <v>655</v>
      </c>
      <c r="C658">
        <v>146.79622532299999</v>
      </c>
      <c r="D658">
        <v>-19.147386056999899</v>
      </c>
      <c r="E658">
        <v>50</v>
      </c>
      <c r="F658" s="63"/>
      <c r="G658" s="63"/>
      <c r="H658" t="s">
        <v>78</v>
      </c>
      <c r="I658" s="64">
        <v>1</v>
      </c>
      <c r="J658" s="31"/>
      <c r="K658" s="31"/>
      <c r="L658" s="31"/>
      <c r="M658" s="31"/>
      <c r="N658" s="4"/>
      <c r="O658" s="4"/>
      <c r="P658" s="4"/>
      <c r="Q658" s="4"/>
      <c r="U658" s="5"/>
      <c r="V658" s="4"/>
      <c r="AG658" t="s">
        <v>699</v>
      </c>
      <c r="AM658" s="1"/>
    </row>
    <row r="659" spans="1:39" x14ac:dyDescent="0.35">
      <c r="A659">
        <v>655</v>
      </c>
      <c r="B659">
        <v>656</v>
      </c>
      <c r="C659">
        <v>146.79625039499999</v>
      </c>
      <c r="D659">
        <v>-19.1473045669999</v>
      </c>
      <c r="F659" s="63"/>
      <c r="G659" s="63"/>
      <c r="H659" t="s">
        <v>78</v>
      </c>
      <c r="I659" s="64">
        <v>1</v>
      </c>
      <c r="J659" s="31"/>
      <c r="K659" s="31"/>
      <c r="L659" s="31"/>
      <c r="M659" s="31"/>
      <c r="N659" s="4"/>
      <c r="O659" s="4"/>
      <c r="P659" s="4"/>
      <c r="Q659" s="4"/>
      <c r="U659" s="5"/>
      <c r="V659" s="4"/>
      <c r="AG659" t="s">
        <v>700</v>
      </c>
      <c r="AM659" s="1"/>
    </row>
    <row r="660" spans="1:39" x14ac:dyDescent="0.35">
      <c r="A660">
        <v>656</v>
      </c>
      <c r="B660">
        <v>657</v>
      </c>
      <c r="C660">
        <v>146.79627437600001</v>
      </c>
      <c r="D660">
        <v>-19.147222869</v>
      </c>
      <c r="F660" s="63"/>
      <c r="G660" s="63"/>
      <c r="H660" t="s">
        <v>78</v>
      </c>
      <c r="I660" s="64">
        <v>1</v>
      </c>
      <c r="J660" s="31"/>
      <c r="K660" s="31"/>
      <c r="L660" s="31"/>
      <c r="M660" s="31"/>
      <c r="N660" s="4"/>
      <c r="O660" s="4"/>
      <c r="P660" s="4"/>
      <c r="Q660" s="4"/>
      <c r="U660" s="5"/>
      <c r="V660" s="4"/>
      <c r="AG660" t="s">
        <v>701</v>
      </c>
      <c r="AM660" s="1"/>
    </row>
    <row r="661" spans="1:39" x14ac:dyDescent="0.35">
      <c r="A661">
        <v>657</v>
      </c>
      <c r="B661">
        <v>658</v>
      </c>
      <c r="C661">
        <v>146.796299573</v>
      </c>
      <c r="D661">
        <v>-19.147146417999998</v>
      </c>
      <c r="F661" s="63"/>
      <c r="G661" s="63"/>
      <c r="H661" t="s">
        <v>78</v>
      </c>
      <c r="I661" s="64">
        <v>1</v>
      </c>
      <c r="J661" s="31"/>
      <c r="K661" s="31"/>
      <c r="L661" s="31"/>
      <c r="M661" s="31"/>
      <c r="N661" s="4"/>
      <c r="O661" s="4"/>
      <c r="P661" s="4"/>
      <c r="Q661" s="4"/>
      <c r="U661" s="5"/>
      <c r="V661" s="4"/>
      <c r="AG661" t="s">
        <v>702</v>
      </c>
      <c r="AM661" s="1"/>
    </row>
    <row r="662" spans="1:39" x14ac:dyDescent="0.35">
      <c r="A662">
        <v>658</v>
      </c>
      <c r="B662">
        <v>659</v>
      </c>
      <c r="C662">
        <v>146.79637056000001</v>
      </c>
      <c r="D662">
        <v>-19.147094412999898</v>
      </c>
      <c r="F662" s="63"/>
      <c r="G662" s="63"/>
      <c r="H662" t="s">
        <v>78</v>
      </c>
      <c r="I662" s="64">
        <v>1</v>
      </c>
      <c r="J662" s="31"/>
      <c r="K662" s="31"/>
      <c r="L662" s="31"/>
      <c r="M662" s="31"/>
      <c r="N662" s="4"/>
      <c r="O662" s="4"/>
      <c r="P662" s="4"/>
      <c r="Q662" s="4"/>
      <c r="U662" s="5"/>
      <c r="V662" s="4"/>
      <c r="AG662" t="s">
        <v>703</v>
      </c>
      <c r="AM662" s="1"/>
    </row>
    <row r="663" spans="1:39" x14ac:dyDescent="0.35">
      <c r="A663">
        <v>659</v>
      </c>
      <c r="B663">
        <v>660</v>
      </c>
      <c r="C663">
        <v>146.79644672200001</v>
      </c>
      <c r="D663">
        <v>-19.147049678999998</v>
      </c>
      <c r="E663">
        <v>50</v>
      </c>
      <c r="F663" s="63"/>
      <c r="G663" s="63"/>
      <c r="H663" t="s">
        <v>78</v>
      </c>
      <c r="I663" s="64">
        <v>1</v>
      </c>
      <c r="J663" s="31"/>
      <c r="K663" s="31"/>
      <c r="L663" s="31"/>
      <c r="M663" s="31"/>
      <c r="N663" s="4"/>
      <c r="O663" s="4"/>
      <c r="P663" s="4"/>
      <c r="Q663" s="4"/>
      <c r="U663" s="5"/>
      <c r="V663" s="4"/>
      <c r="AG663" t="s">
        <v>704</v>
      </c>
      <c r="AM663" s="1"/>
    </row>
    <row r="664" spans="1:39" x14ac:dyDescent="0.35">
      <c r="A664">
        <v>660</v>
      </c>
      <c r="B664">
        <v>661</v>
      </c>
      <c r="C664">
        <v>146.79652448900001</v>
      </c>
      <c r="D664">
        <v>-19.147007200000001</v>
      </c>
      <c r="F664" s="63"/>
      <c r="G664" s="63"/>
      <c r="H664" t="s">
        <v>78</v>
      </c>
      <c r="I664" s="64">
        <v>1</v>
      </c>
      <c r="J664" s="31"/>
      <c r="K664" s="31"/>
      <c r="L664" s="31"/>
      <c r="M664" s="31"/>
      <c r="N664" s="4"/>
      <c r="O664" s="4"/>
      <c r="P664" s="4"/>
      <c r="Q664" s="4"/>
      <c r="U664" s="5"/>
      <c r="V664" s="4"/>
      <c r="AG664" t="s">
        <v>705</v>
      </c>
      <c r="AM664" s="1"/>
    </row>
    <row r="665" spans="1:39" x14ac:dyDescent="0.35">
      <c r="A665">
        <v>661</v>
      </c>
      <c r="B665">
        <v>662</v>
      </c>
      <c r="C665">
        <v>146.796601598</v>
      </c>
      <c r="D665">
        <v>-19.146964125</v>
      </c>
      <c r="F665" s="63"/>
      <c r="G665" s="63"/>
      <c r="H665" t="s">
        <v>78</v>
      </c>
      <c r="I665" s="64">
        <v>1</v>
      </c>
      <c r="J665" s="31"/>
      <c r="K665" s="31"/>
      <c r="L665" s="31"/>
      <c r="M665" s="31"/>
      <c r="N665" s="4"/>
      <c r="O665" s="4"/>
      <c r="P665" s="4"/>
      <c r="Q665" s="4"/>
      <c r="U665" s="5"/>
      <c r="V665" s="4"/>
      <c r="AG665" t="s">
        <v>706</v>
      </c>
      <c r="AM665" s="1"/>
    </row>
    <row r="666" spans="1:39" x14ac:dyDescent="0.35">
      <c r="A666">
        <v>662</v>
      </c>
      <c r="B666">
        <v>663</v>
      </c>
      <c r="C666">
        <v>146.79661262100001</v>
      </c>
      <c r="D666">
        <v>-19.146883494000001</v>
      </c>
      <c r="F666" s="63"/>
      <c r="G666" s="63"/>
      <c r="H666" t="s">
        <v>78</v>
      </c>
      <c r="I666" s="64">
        <v>1</v>
      </c>
      <c r="J666" s="31"/>
      <c r="K666" s="31"/>
      <c r="L666" s="31"/>
      <c r="M666" s="31"/>
      <c r="N666" s="4"/>
      <c r="O666" s="4"/>
      <c r="P666" s="4"/>
      <c r="Q666" s="4"/>
      <c r="U666" s="5"/>
      <c r="V666" s="4"/>
      <c r="AG666" t="s">
        <v>707</v>
      </c>
      <c r="AM666" s="1"/>
    </row>
    <row r="667" spans="1:39" x14ac:dyDescent="0.35">
      <c r="A667">
        <v>663</v>
      </c>
      <c r="B667">
        <v>664</v>
      </c>
      <c r="C667">
        <v>146.79660284400001</v>
      </c>
      <c r="D667">
        <v>-19.146799135999998</v>
      </c>
      <c r="F667" s="63"/>
      <c r="G667" s="63"/>
      <c r="H667" t="s">
        <v>78</v>
      </c>
      <c r="I667" s="64">
        <v>1</v>
      </c>
      <c r="J667" s="31"/>
      <c r="K667" s="31"/>
      <c r="L667" s="31"/>
      <c r="M667" s="31"/>
      <c r="N667" s="4"/>
      <c r="O667" s="4"/>
      <c r="P667" s="4"/>
      <c r="Q667" s="4"/>
      <c r="U667" s="5"/>
      <c r="V667" s="4"/>
      <c r="AG667" t="s">
        <v>708</v>
      </c>
      <c r="AM667" s="1"/>
    </row>
    <row r="668" spans="1:39" x14ac:dyDescent="0.35">
      <c r="A668">
        <v>664</v>
      </c>
      <c r="B668">
        <v>665</v>
      </c>
      <c r="C668">
        <v>146.79659306600001</v>
      </c>
      <c r="D668">
        <v>-19.1467147779999</v>
      </c>
      <c r="E668">
        <v>50</v>
      </c>
      <c r="F668" s="63"/>
      <c r="G668" s="63"/>
      <c r="H668" t="s">
        <v>78</v>
      </c>
      <c r="I668" s="64">
        <v>1</v>
      </c>
      <c r="J668" s="31"/>
      <c r="K668" s="31"/>
      <c r="L668" s="31"/>
      <c r="M668" s="31"/>
      <c r="N668" s="4"/>
      <c r="O668" s="4"/>
      <c r="P668" s="4"/>
      <c r="Q668" s="4"/>
      <c r="U668" s="5"/>
      <c r="V668" s="4"/>
      <c r="AG668" t="s">
        <v>709</v>
      </c>
      <c r="AM668" s="1"/>
    </row>
    <row r="669" spans="1:39" x14ac:dyDescent="0.35">
      <c r="A669">
        <v>665</v>
      </c>
      <c r="B669">
        <v>666</v>
      </c>
      <c r="C669">
        <v>146.79658328900001</v>
      </c>
      <c r="D669">
        <v>-19.146630420000001</v>
      </c>
      <c r="F669" s="63"/>
      <c r="G669" s="63"/>
      <c r="H669" t="s">
        <v>78</v>
      </c>
      <c r="I669" s="64">
        <v>1</v>
      </c>
      <c r="J669" s="31"/>
      <c r="K669" s="31"/>
      <c r="L669" s="31"/>
      <c r="M669" s="31"/>
      <c r="N669" s="4"/>
      <c r="O669" s="4"/>
      <c r="P669" s="4"/>
      <c r="Q669" s="4"/>
      <c r="U669" s="5"/>
      <c r="V669" s="4"/>
      <c r="AG669" t="s">
        <v>710</v>
      </c>
      <c r="AM669" s="1"/>
    </row>
    <row r="670" spans="1:39" x14ac:dyDescent="0.35">
      <c r="A670">
        <v>666</v>
      </c>
      <c r="B670">
        <v>667</v>
      </c>
      <c r="C670">
        <v>146.79656949599999</v>
      </c>
      <c r="D670">
        <v>-19.146546927999999</v>
      </c>
      <c r="F670" s="63"/>
      <c r="G670" s="63"/>
      <c r="H670" t="s">
        <v>78</v>
      </c>
      <c r="I670" s="64">
        <v>1</v>
      </c>
      <c r="J670" s="31"/>
      <c r="K670" s="31"/>
      <c r="L670" s="31"/>
      <c r="M670" s="31"/>
      <c r="N670" s="4"/>
      <c r="O670" s="4"/>
      <c r="P670" s="4"/>
      <c r="Q670" s="4"/>
      <c r="U670" s="5"/>
      <c r="V670" s="4"/>
      <c r="AG670" t="s">
        <v>711</v>
      </c>
      <c r="AM670" s="1"/>
    </row>
    <row r="671" spans="1:39" x14ac:dyDescent="0.35">
      <c r="A671">
        <v>667</v>
      </c>
      <c r="B671">
        <v>668</v>
      </c>
      <c r="C671">
        <v>146.79653951399999</v>
      </c>
      <c r="D671">
        <v>-19.146466931999999</v>
      </c>
      <c r="F671" s="63"/>
      <c r="G671" s="63"/>
      <c r="H671" t="s">
        <v>78</v>
      </c>
      <c r="I671" s="64">
        <v>1</v>
      </c>
      <c r="J671" s="31"/>
      <c r="K671" s="31"/>
      <c r="L671" s="31"/>
      <c r="M671" s="31"/>
      <c r="N671" s="4"/>
      <c r="O671" s="4"/>
      <c r="P671" s="4"/>
      <c r="Q671" s="4"/>
      <c r="U671" s="5"/>
      <c r="V671" s="4"/>
      <c r="AG671" t="s">
        <v>712</v>
      </c>
      <c r="AM671" s="1"/>
    </row>
    <row r="672" spans="1:39" x14ac:dyDescent="0.35">
      <c r="A672">
        <v>668</v>
      </c>
      <c r="B672">
        <v>669</v>
      </c>
      <c r="C672">
        <v>146.79650953300001</v>
      </c>
      <c r="D672">
        <v>-19.146386935999899</v>
      </c>
      <c r="F672" s="63"/>
      <c r="G672" s="63"/>
      <c r="H672" t="s">
        <v>78</v>
      </c>
      <c r="I672" s="64">
        <v>1</v>
      </c>
      <c r="J672" s="31"/>
      <c r="K672" s="31"/>
      <c r="L672" s="31"/>
      <c r="M672" s="31"/>
      <c r="N672" s="4"/>
      <c r="O672" s="4"/>
      <c r="P672" s="4"/>
      <c r="Q672" s="4"/>
      <c r="U672" s="5"/>
      <c r="V672" s="4"/>
      <c r="AG672" t="s">
        <v>713</v>
      </c>
      <c r="AM672" s="1"/>
    </row>
    <row r="673" spans="1:39" x14ac:dyDescent="0.35">
      <c r="A673">
        <v>669</v>
      </c>
      <c r="B673">
        <v>670</v>
      </c>
      <c r="C673">
        <v>146.79647955199999</v>
      </c>
      <c r="D673">
        <v>-19.146306938999899</v>
      </c>
      <c r="E673">
        <v>50</v>
      </c>
      <c r="F673" s="63"/>
      <c r="G673" s="63"/>
      <c r="H673" t="s">
        <v>78</v>
      </c>
      <c r="I673" s="64">
        <v>1</v>
      </c>
      <c r="J673" s="31"/>
      <c r="K673" s="31"/>
      <c r="L673" s="31"/>
      <c r="M673" s="31"/>
      <c r="N673" s="4"/>
      <c r="O673" s="4"/>
      <c r="P673" s="4"/>
      <c r="Q673" s="4"/>
      <c r="U673" s="5"/>
      <c r="V673" s="4"/>
      <c r="AG673" t="s">
        <v>714</v>
      </c>
      <c r="AM673" s="1"/>
    </row>
    <row r="674" spans="1:39" x14ac:dyDescent="0.35">
      <c r="A674">
        <v>670</v>
      </c>
      <c r="B674">
        <v>671</v>
      </c>
      <c r="C674">
        <v>146.79644957100001</v>
      </c>
      <c r="D674">
        <v>-19.146226941999899</v>
      </c>
      <c r="F674" s="63"/>
      <c r="G674" s="63"/>
      <c r="H674" t="s">
        <v>78</v>
      </c>
      <c r="I674" s="64">
        <v>1</v>
      </c>
      <c r="J674" s="31"/>
      <c r="K674" s="31"/>
      <c r="L674" s="31"/>
      <c r="M674" s="31"/>
      <c r="N674" s="4"/>
      <c r="O674" s="4"/>
      <c r="P674" s="4"/>
      <c r="Q674" s="4"/>
      <c r="U674" s="5"/>
      <c r="V674" s="4"/>
      <c r="AG674" t="s">
        <v>715</v>
      </c>
      <c r="AM674" s="1"/>
    </row>
    <row r="675" spans="1:39" x14ac:dyDescent="0.35">
      <c r="A675">
        <v>671</v>
      </c>
      <c r="B675">
        <v>672</v>
      </c>
      <c r="C675">
        <v>146.79641959</v>
      </c>
      <c r="D675">
        <v>-19.146146945999899</v>
      </c>
      <c r="F675" s="63"/>
      <c r="G675" s="63"/>
      <c r="H675" t="s">
        <v>78</v>
      </c>
      <c r="I675" s="64">
        <v>1</v>
      </c>
      <c r="J675" s="31"/>
      <c r="K675" s="31"/>
      <c r="L675" s="31"/>
      <c r="M675" s="31"/>
      <c r="N675" s="4"/>
      <c r="O675" s="4"/>
      <c r="P675" s="4"/>
      <c r="Q675" s="4"/>
      <c r="U675" s="5"/>
      <c r="V675" s="4"/>
      <c r="AG675" t="s">
        <v>716</v>
      </c>
      <c r="AM675" s="1"/>
    </row>
    <row r="676" spans="1:39" x14ac:dyDescent="0.35">
      <c r="A676">
        <v>672</v>
      </c>
      <c r="B676">
        <v>673</v>
      </c>
      <c r="C676">
        <v>146.796389608</v>
      </c>
      <c r="D676">
        <v>-19.146066948999898</v>
      </c>
      <c r="F676" s="63"/>
      <c r="G676" s="63"/>
      <c r="H676" t="s">
        <v>78</v>
      </c>
      <c r="I676" s="64">
        <v>1</v>
      </c>
      <c r="J676" s="31"/>
      <c r="K676" s="31"/>
      <c r="L676" s="31"/>
      <c r="M676" s="31"/>
      <c r="N676" s="4"/>
      <c r="O676" s="4"/>
      <c r="P676" s="4"/>
      <c r="Q676" s="4"/>
      <c r="U676" s="5"/>
      <c r="V676" s="4"/>
      <c r="AG676" t="s">
        <v>717</v>
      </c>
      <c r="AM676" s="1"/>
    </row>
    <row r="677" spans="1:39" x14ac:dyDescent="0.35">
      <c r="A677">
        <v>673</v>
      </c>
      <c r="B677">
        <v>674</v>
      </c>
      <c r="C677">
        <v>146.79635856499999</v>
      </c>
      <c r="D677">
        <v>-19.145987433999899</v>
      </c>
      <c r="F677" s="63"/>
      <c r="G677" s="63"/>
      <c r="H677" t="s">
        <v>78</v>
      </c>
      <c r="I677" s="64">
        <v>1</v>
      </c>
      <c r="J677" s="31"/>
      <c r="K677" s="31"/>
      <c r="L677" s="31"/>
      <c r="M677" s="31"/>
      <c r="N677" s="4"/>
      <c r="O677" s="4"/>
      <c r="P677" s="4"/>
      <c r="Q677" s="4"/>
      <c r="U677" s="5"/>
      <c r="V677" s="4"/>
      <c r="AG677" t="s">
        <v>718</v>
      </c>
      <c r="AM677" s="1"/>
    </row>
    <row r="678" spans="1:39" x14ac:dyDescent="0.35">
      <c r="A678">
        <v>674</v>
      </c>
      <c r="B678">
        <v>675</v>
      </c>
      <c r="C678">
        <v>146.79631117</v>
      </c>
      <c r="D678">
        <v>-19.145915344999899</v>
      </c>
      <c r="E678">
        <v>50</v>
      </c>
      <c r="F678" s="63"/>
      <c r="G678" s="63"/>
      <c r="H678" t="s">
        <v>78</v>
      </c>
      <c r="I678" s="64">
        <v>1</v>
      </c>
      <c r="J678" s="31"/>
      <c r="K678" s="31"/>
      <c r="L678" s="31"/>
      <c r="M678" s="31"/>
      <c r="N678" s="4"/>
      <c r="O678" s="4"/>
      <c r="P678" s="4"/>
      <c r="Q678" s="4"/>
      <c r="U678" s="5"/>
      <c r="V678" s="4"/>
      <c r="AG678" t="s">
        <v>719</v>
      </c>
      <c r="AM678" s="1"/>
    </row>
    <row r="679" spans="1:39" x14ac:dyDescent="0.35">
      <c r="A679">
        <v>675</v>
      </c>
      <c r="B679">
        <v>676</v>
      </c>
      <c r="C679">
        <v>146.79626377400001</v>
      </c>
      <c r="D679">
        <v>-19.1458432549999</v>
      </c>
      <c r="F679" s="63"/>
      <c r="G679" s="63"/>
      <c r="H679" t="s">
        <v>78</v>
      </c>
      <c r="I679" s="64">
        <v>1</v>
      </c>
      <c r="J679" s="31"/>
      <c r="K679" s="31"/>
      <c r="L679" s="31"/>
      <c r="M679" s="31"/>
      <c r="N679" s="4"/>
      <c r="O679" s="4"/>
      <c r="P679" s="4"/>
      <c r="Q679" s="4"/>
      <c r="U679" s="5"/>
      <c r="V679" s="4"/>
      <c r="AG679" t="s">
        <v>720</v>
      </c>
      <c r="AM679" s="1"/>
    </row>
    <row r="680" spans="1:39" x14ac:dyDescent="0.35">
      <c r="A680">
        <v>676</v>
      </c>
      <c r="B680">
        <v>677</v>
      </c>
      <c r="C680">
        <v>146.796216378</v>
      </c>
      <c r="D680">
        <v>-19.1457711649999</v>
      </c>
      <c r="F680" s="63"/>
      <c r="G680" s="63"/>
      <c r="H680" t="s">
        <v>78</v>
      </c>
      <c r="I680" s="64">
        <v>1</v>
      </c>
      <c r="J680" s="31"/>
      <c r="K680" s="31"/>
      <c r="L680" s="31"/>
      <c r="M680" s="31"/>
      <c r="N680" s="4"/>
      <c r="O680" s="4"/>
      <c r="P680" s="4"/>
      <c r="Q680" s="4"/>
      <c r="U680" s="5"/>
      <c r="V680" s="4"/>
      <c r="AG680" t="s">
        <v>721</v>
      </c>
      <c r="AM680" s="1"/>
    </row>
    <row r="681" spans="1:39" x14ac:dyDescent="0.35">
      <c r="A681">
        <v>677</v>
      </c>
      <c r="B681">
        <v>678</v>
      </c>
      <c r="C681">
        <v>146.79616898200001</v>
      </c>
      <c r="D681">
        <v>-19.145699075</v>
      </c>
      <c r="F681" s="63"/>
      <c r="G681" s="63"/>
      <c r="H681" t="s">
        <v>78</v>
      </c>
      <c r="I681" s="64">
        <v>1</v>
      </c>
      <c r="J681" s="31"/>
      <c r="K681" s="31"/>
      <c r="L681" s="31"/>
      <c r="M681" s="31"/>
      <c r="N681" s="4"/>
      <c r="O681" s="4"/>
      <c r="P681" s="4"/>
      <c r="Q681" s="4"/>
      <c r="U681" s="5"/>
      <c r="V681" s="4"/>
      <c r="AG681" t="s">
        <v>722</v>
      </c>
      <c r="AM681" s="1"/>
    </row>
    <row r="682" spans="1:39" x14ac:dyDescent="0.35">
      <c r="A682">
        <v>678</v>
      </c>
      <c r="B682">
        <v>679</v>
      </c>
      <c r="C682">
        <v>146.796121586</v>
      </c>
      <c r="D682">
        <v>-19.145626986</v>
      </c>
      <c r="F682" s="63"/>
      <c r="G682" s="63"/>
      <c r="H682" t="s">
        <v>78</v>
      </c>
      <c r="I682" s="64">
        <v>1</v>
      </c>
      <c r="J682" s="31"/>
      <c r="K682" s="31"/>
      <c r="L682" s="31"/>
      <c r="M682" s="31"/>
      <c r="N682" s="4"/>
      <c r="O682" s="4"/>
      <c r="P682" s="4"/>
      <c r="Q682" s="4"/>
      <c r="U682" s="5"/>
      <c r="V682" s="4"/>
      <c r="AG682" t="s">
        <v>723</v>
      </c>
      <c r="AM682" s="1"/>
    </row>
    <row r="683" spans="1:39" x14ac:dyDescent="0.35">
      <c r="A683">
        <v>679</v>
      </c>
      <c r="B683">
        <v>680</v>
      </c>
      <c r="C683">
        <v>146.79607419000001</v>
      </c>
      <c r="D683">
        <v>-19.145554896</v>
      </c>
      <c r="E683">
        <v>50</v>
      </c>
      <c r="F683" s="63"/>
      <c r="G683" s="63"/>
      <c r="H683" t="s">
        <v>78</v>
      </c>
      <c r="I683" s="64">
        <v>1</v>
      </c>
      <c r="J683" s="31"/>
      <c r="K683" s="31"/>
      <c r="L683" s="31"/>
      <c r="M683" s="31"/>
      <c r="N683" s="4"/>
      <c r="O683" s="4"/>
      <c r="P683" s="4"/>
      <c r="Q683" s="4"/>
      <c r="U683" s="5"/>
      <c r="V683" s="4"/>
      <c r="AG683" t="s">
        <v>724</v>
      </c>
      <c r="AM683" s="1"/>
    </row>
    <row r="684" spans="1:39" x14ac:dyDescent="0.35">
      <c r="A684">
        <v>680</v>
      </c>
      <c r="B684">
        <v>681</v>
      </c>
      <c r="C684">
        <v>146.796026794</v>
      </c>
      <c r="D684">
        <v>-19.145482806</v>
      </c>
      <c r="F684" s="63"/>
      <c r="G684" s="63"/>
      <c r="H684" t="s">
        <v>78</v>
      </c>
      <c r="I684" s="64">
        <v>1</v>
      </c>
      <c r="J684" s="31"/>
      <c r="K684" s="31"/>
      <c r="L684" s="31"/>
      <c r="M684" s="31"/>
      <c r="N684" s="4"/>
      <c r="O684" s="4"/>
      <c r="P684" s="4"/>
      <c r="Q684" s="4"/>
      <c r="U684" s="5"/>
      <c r="V684" s="4"/>
      <c r="AG684" t="s">
        <v>725</v>
      </c>
      <c r="AM684" s="1"/>
    </row>
    <row r="685" spans="1:39" x14ac:dyDescent="0.35">
      <c r="A685">
        <v>681</v>
      </c>
      <c r="B685">
        <v>682</v>
      </c>
      <c r="C685">
        <v>146.79597623500001</v>
      </c>
      <c r="D685">
        <v>-19.145412743000001</v>
      </c>
      <c r="F685" s="63"/>
      <c r="G685" s="63"/>
      <c r="H685" t="s">
        <v>78</v>
      </c>
      <c r="I685" s="64">
        <v>1</v>
      </c>
      <c r="J685" s="31"/>
      <c r="K685" s="31"/>
      <c r="L685" s="31"/>
      <c r="M685" s="31"/>
      <c r="N685" s="4"/>
      <c r="O685" s="4"/>
      <c r="P685" s="4"/>
      <c r="Q685" s="4"/>
      <c r="U685" s="5"/>
      <c r="V685" s="4"/>
      <c r="AG685" t="s">
        <v>726</v>
      </c>
      <c r="AM685" s="1"/>
    </row>
    <row r="686" spans="1:39" x14ac:dyDescent="0.35">
      <c r="A686">
        <v>682</v>
      </c>
      <c r="B686">
        <v>683</v>
      </c>
      <c r="C686">
        <v>146.795922856</v>
      </c>
      <c r="D686">
        <v>-19.1453444869999</v>
      </c>
      <c r="F686" s="63"/>
      <c r="G686" s="63"/>
      <c r="H686" t="s">
        <v>78</v>
      </c>
      <c r="I686" s="64">
        <v>1</v>
      </c>
      <c r="J686" s="31"/>
      <c r="K686" s="31"/>
      <c r="L686" s="31"/>
      <c r="M686" s="31"/>
      <c r="N686" s="4"/>
      <c r="O686" s="4"/>
      <c r="P686" s="4"/>
      <c r="Q686" s="4"/>
      <c r="U686" s="5"/>
      <c r="V686" s="4"/>
      <c r="AG686" t="s">
        <v>727</v>
      </c>
      <c r="AM686" s="1"/>
    </row>
    <row r="687" spans="1:39" x14ac:dyDescent="0.35">
      <c r="A687">
        <v>683</v>
      </c>
      <c r="B687">
        <v>684</v>
      </c>
      <c r="C687">
        <v>146.795869477</v>
      </c>
      <c r="D687">
        <v>-19.145276231</v>
      </c>
      <c r="F687" s="63"/>
      <c r="G687" s="63"/>
      <c r="H687" t="s">
        <v>78</v>
      </c>
      <c r="I687" s="64">
        <v>1</v>
      </c>
      <c r="J687" s="31"/>
      <c r="K687" s="31"/>
      <c r="L687" s="31"/>
      <c r="M687" s="31"/>
      <c r="N687" s="4"/>
      <c r="O687" s="4"/>
      <c r="P687" s="4"/>
      <c r="Q687" s="4"/>
      <c r="U687" s="5"/>
      <c r="V687" s="4"/>
      <c r="AG687" t="s">
        <v>728</v>
      </c>
      <c r="AM687" s="1"/>
    </row>
    <row r="688" spans="1:39" x14ac:dyDescent="0.35">
      <c r="A688">
        <v>684</v>
      </c>
      <c r="B688">
        <v>685</v>
      </c>
      <c r="C688">
        <v>146.79581609900001</v>
      </c>
      <c r="D688">
        <v>-19.145207974000002</v>
      </c>
      <c r="E688">
        <v>50</v>
      </c>
      <c r="F688" s="63"/>
      <c r="G688" s="63"/>
      <c r="H688" t="s">
        <v>78</v>
      </c>
      <c r="I688" s="64">
        <v>1</v>
      </c>
      <c r="J688" s="31"/>
      <c r="K688" s="31"/>
      <c r="L688" s="31"/>
      <c r="M688" s="31"/>
      <c r="N688" s="4"/>
      <c r="O688" s="4"/>
      <c r="P688" s="4"/>
      <c r="Q688" s="4"/>
      <c r="U688" s="5"/>
      <c r="V688" s="4"/>
      <c r="AG688" t="s">
        <v>729</v>
      </c>
      <c r="AM688" s="1"/>
    </row>
    <row r="689" spans="1:39" x14ac:dyDescent="0.35">
      <c r="A689">
        <v>685</v>
      </c>
      <c r="B689">
        <v>686</v>
      </c>
      <c r="C689">
        <v>146.79576272</v>
      </c>
      <c r="D689">
        <v>-19.1451397179999</v>
      </c>
      <c r="F689" s="63"/>
      <c r="G689" s="63"/>
      <c r="H689" t="s">
        <v>78</v>
      </c>
      <c r="I689" s="64">
        <v>1</v>
      </c>
      <c r="J689" s="31"/>
      <c r="K689" s="31"/>
      <c r="L689" s="31"/>
      <c r="M689" s="31"/>
      <c r="N689" s="4"/>
      <c r="O689" s="4"/>
      <c r="P689" s="4"/>
      <c r="Q689" s="4"/>
      <c r="U689" s="5"/>
      <c r="V689" s="4"/>
      <c r="AG689" t="s">
        <v>730</v>
      </c>
      <c r="AM689" s="1"/>
    </row>
    <row r="690" spans="1:39" x14ac:dyDescent="0.35">
      <c r="A690">
        <v>686</v>
      </c>
      <c r="B690">
        <v>687</v>
      </c>
      <c r="C690">
        <v>146.79570934099999</v>
      </c>
      <c r="D690">
        <v>-19.145071462000001</v>
      </c>
      <c r="F690" s="63"/>
      <c r="G690" s="63"/>
      <c r="H690" t="s">
        <v>78</v>
      </c>
      <c r="I690" s="64">
        <v>1</v>
      </c>
      <c r="J690" s="31"/>
      <c r="K690" s="31"/>
      <c r="L690" s="31"/>
      <c r="M690" s="31"/>
      <c r="N690" s="4"/>
      <c r="O690" s="4"/>
      <c r="P690" s="4"/>
      <c r="Q690" s="4"/>
      <c r="U690" s="5"/>
      <c r="V690" s="4"/>
      <c r="AG690" t="s">
        <v>731</v>
      </c>
      <c r="AM690" s="1"/>
    </row>
    <row r="691" spans="1:39" x14ac:dyDescent="0.35">
      <c r="A691">
        <v>687</v>
      </c>
      <c r="B691">
        <v>688</v>
      </c>
      <c r="C691">
        <v>146.79565596200001</v>
      </c>
      <c r="D691">
        <v>-19.145003205999998</v>
      </c>
      <c r="F691" s="63"/>
      <c r="G691" s="63"/>
      <c r="H691" t="s">
        <v>78</v>
      </c>
      <c r="I691" s="64">
        <v>1</v>
      </c>
      <c r="J691" s="31"/>
      <c r="K691" s="31"/>
      <c r="L691" s="31"/>
      <c r="M691" s="31"/>
      <c r="N691" s="4"/>
      <c r="O691" s="4"/>
      <c r="P691" s="4"/>
      <c r="Q691" s="4"/>
      <c r="U691" s="5"/>
      <c r="V691" s="4"/>
      <c r="AG691" t="s">
        <v>732</v>
      </c>
      <c r="AM691" s="1"/>
    </row>
    <row r="692" spans="1:39" x14ac:dyDescent="0.35">
      <c r="A692">
        <v>688</v>
      </c>
      <c r="B692">
        <v>689</v>
      </c>
      <c r="C692">
        <v>146.79560334999999</v>
      </c>
      <c r="D692">
        <v>-19.144934421999899</v>
      </c>
      <c r="F692" s="63"/>
      <c r="G692" s="63"/>
      <c r="H692" t="s">
        <v>78</v>
      </c>
      <c r="I692" s="64">
        <v>1</v>
      </c>
      <c r="J692" s="31"/>
      <c r="K692" s="31"/>
      <c r="L692" s="31"/>
      <c r="M692" s="31"/>
      <c r="N692" s="4"/>
      <c r="O692" s="4"/>
      <c r="P692" s="4"/>
      <c r="Q692" s="4"/>
      <c r="U692" s="5"/>
      <c r="V692" s="4"/>
      <c r="AG692" t="s">
        <v>733</v>
      </c>
      <c r="AM692" s="1"/>
    </row>
    <row r="693" spans="1:39" x14ac:dyDescent="0.35">
      <c r="A693">
        <v>689</v>
      </c>
      <c r="B693">
        <v>690</v>
      </c>
      <c r="C693">
        <v>146.795550883</v>
      </c>
      <c r="D693">
        <v>-19.144865536999902</v>
      </c>
      <c r="E693">
        <v>50</v>
      </c>
      <c r="F693" s="63"/>
      <c r="G693" s="63"/>
      <c r="H693" t="s">
        <v>78</v>
      </c>
      <c r="I693" s="64">
        <v>1</v>
      </c>
      <c r="J693" s="31"/>
      <c r="K693" s="31"/>
      <c r="L693" s="31"/>
      <c r="M693" s="31"/>
      <c r="N693" s="4"/>
      <c r="O693" s="4"/>
      <c r="P693" s="4"/>
      <c r="Q693" s="4"/>
      <c r="U693" s="5"/>
      <c r="V693" s="4"/>
      <c r="AG693" t="s">
        <v>734</v>
      </c>
      <c r="AM693" s="1"/>
    </row>
    <row r="694" spans="1:39" x14ac:dyDescent="0.35">
      <c r="A694">
        <v>690</v>
      </c>
      <c r="B694">
        <v>691</v>
      </c>
      <c r="C694">
        <v>146.79549841599999</v>
      </c>
      <c r="D694">
        <v>-19.144796653</v>
      </c>
      <c r="F694" s="63"/>
      <c r="G694" s="63"/>
      <c r="H694" t="s">
        <v>78</v>
      </c>
      <c r="I694" s="64">
        <v>1</v>
      </c>
      <c r="J694" s="31"/>
      <c r="K694" s="31"/>
      <c r="L694" s="31"/>
      <c r="M694" s="31"/>
      <c r="N694" s="4"/>
      <c r="O694" s="4"/>
      <c r="P694" s="4"/>
      <c r="Q694" s="4"/>
      <c r="U694" s="5"/>
      <c r="V694" s="4"/>
      <c r="AG694" t="s">
        <v>735</v>
      </c>
      <c r="AM694" s="1"/>
    </row>
    <row r="695" spans="1:39" x14ac:dyDescent="0.35">
      <c r="A695">
        <v>691</v>
      </c>
      <c r="B695">
        <v>692</v>
      </c>
      <c r="C695">
        <v>146.795445949</v>
      </c>
      <c r="D695">
        <v>-19.1447277679999</v>
      </c>
      <c r="F695" s="63"/>
      <c r="G695" s="63"/>
      <c r="H695" t="s">
        <v>78</v>
      </c>
      <c r="I695" s="64">
        <v>1</v>
      </c>
      <c r="J695" s="31"/>
      <c r="K695" s="31"/>
      <c r="L695" s="31"/>
      <c r="M695" s="31"/>
      <c r="N695" s="4"/>
      <c r="O695" s="4"/>
      <c r="P695" s="4"/>
      <c r="Q695" s="4"/>
      <c r="U695" s="5"/>
      <c r="V695" s="4"/>
      <c r="AG695" t="s">
        <v>736</v>
      </c>
      <c r="AM695" s="1"/>
    </row>
    <row r="696" spans="1:39" x14ac:dyDescent="0.35">
      <c r="A696">
        <v>692</v>
      </c>
      <c r="B696">
        <v>693</v>
      </c>
      <c r="C696">
        <v>146.795407799</v>
      </c>
      <c r="D696">
        <v>-19.144652496999999</v>
      </c>
      <c r="F696" s="63"/>
      <c r="G696" s="63"/>
      <c r="H696" t="s">
        <v>78</v>
      </c>
      <c r="I696" s="64">
        <v>1</v>
      </c>
      <c r="J696" s="31"/>
      <c r="K696" s="31"/>
      <c r="L696" s="31"/>
      <c r="M696" s="31"/>
      <c r="N696" s="4"/>
      <c r="O696" s="4"/>
      <c r="P696" s="4"/>
      <c r="Q696" s="4"/>
      <c r="U696" s="5"/>
      <c r="V696" s="4"/>
      <c r="AG696" t="s">
        <v>737</v>
      </c>
      <c r="AM696" s="1"/>
    </row>
    <row r="697" spans="1:39" x14ac:dyDescent="0.35">
      <c r="A697">
        <v>693</v>
      </c>
      <c r="B697">
        <v>694</v>
      </c>
      <c r="C697">
        <v>146.795384818</v>
      </c>
      <c r="D697">
        <v>-19.144570456999901</v>
      </c>
      <c r="F697" s="63"/>
      <c r="G697" s="63"/>
      <c r="H697" t="s">
        <v>78</v>
      </c>
      <c r="I697" s="64">
        <v>1</v>
      </c>
      <c r="J697" s="31"/>
      <c r="K697" s="31"/>
      <c r="L697" s="31"/>
      <c r="M697" s="31"/>
      <c r="N697" s="4"/>
      <c r="O697" s="4"/>
      <c r="P697" s="4"/>
      <c r="Q697" s="4"/>
      <c r="U697" s="5"/>
      <c r="V697" s="4"/>
      <c r="AG697" t="s">
        <v>738</v>
      </c>
      <c r="AM697" s="1"/>
    </row>
    <row r="698" spans="1:39" x14ac:dyDescent="0.35">
      <c r="A698">
        <v>694</v>
      </c>
      <c r="B698">
        <v>695</v>
      </c>
      <c r="C698">
        <v>146.79536183799999</v>
      </c>
      <c r="D698">
        <v>-19.144488418000002</v>
      </c>
      <c r="E698">
        <v>50</v>
      </c>
      <c r="F698" s="63"/>
      <c r="G698" s="63"/>
      <c r="H698" t="s">
        <v>78</v>
      </c>
      <c r="I698" s="64">
        <v>1</v>
      </c>
      <c r="J698" s="31"/>
      <c r="K698" s="31"/>
      <c r="L698" s="31"/>
      <c r="M698" s="31"/>
      <c r="N698" s="4"/>
      <c r="O698" s="4"/>
      <c r="P698" s="4"/>
      <c r="Q698" s="4"/>
      <c r="U698" s="5"/>
      <c r="V698" s="4"/>
      <c r="AG698" t="s">
        <v>739</v>
      </c>
      <c r="AM698" s="1"/>
    </row>
    <row r="699" spans="1:39" x14ac:dyDescent="0.35">
      <c r="A699">
        <v>695</v>
      </c>
      <c r="B699">
        <v>696</v>
      </c>
      <c r="C699">
        <v>146.79533885800001</v>
      </c>
      <c r="D699">
        <v>-19.1444063779999</v>
      </c>
      <c r="F699" s="63"/>
      <c r="G699" s="63"/>
      <c r="H699" t="s">
        <v>78</v>
      </c>
      <c r="I699" s="64">
        <v>1</v>
      </c>
      <c r="J699" s="31"/>
      <c r="K699" s="31"/>
      <c r="L699" s="31"/>
      <c r="M699" s="31"/>
      <c r="N699" s="4"/>
      <c r="O699" s="4"/>
      <c r="P699" s="4"/>
      <c r="Q699" s="4"/>
      <c r="U699" s="5"/>
      <c r="V699" s="4"/>
      <c r="AG699" t="s">
        <v>740</v>
      </c>
      <c r="AM699" s="1"/>
    </row>
    <row r="700" spans="1:39" x14ac:dyDescent="0.35">
      <c r="A700">
        <v>696</v>
      </c>
      <c r="B700">
        <v>697</v>
      </c>
      <c r="C700">
        <v>146.79531456199999</v>
      </c>
      <c r="D700">
        <v>-19.144324744999899</v>
      </c>
      <c r="F700" s="63"/>
      <c r="G700" s="63"/>
      <c r="H700" t="s">
        <v>78</v>
      </c>
      <c r="I700" s="64">
        <v>1</v>
      </c>
      <c r="J700" s="31"/>
      <c r="K700" s="31"/>
      <c r="L700" s="31"/>
      <c r="M700" s="31"/>
      <c r="N700" s="4"/>
      <c r="O700" s="4"/>
      <c r="P700" s="4"/>
      <c r="Q700" s="4"/>
      <c r="U700" s="5"/>
      <c r="V700" s="4"/>
      <c r="AG700" t="s">
        <v>741</v>
      </c>
      <c r="AM700" s="1"/>
    </row>
    <row r="701" spans="1:39" x14ac:dyDescent="0.35">
      <c r="A701">
        <v>697</v>
      </c>
      <c r="B701">
        <v>698</v>
      </c>
      <c r="C701">
        <v>146.79528175900001</v>
      </c>
      <c r="D701">
        <v>-19.144245741999999</v>
      </c>
      <c r="F701" s="63"/>
      <c r="G701" s="63"/>
      <c r="H701" t="s">
        <v>78</v>
      </c>
      <c r="I701" s="64">
        <v>1</v>
      </c>
      <c r="J701" s="31"/>
      <c r="K701" s="31"/>
      <c r="L701" s="31"/>
      <c r="M701" s="31"/>
      <c r="N701" s="4"/>
      <c r="O701" s="4"/>
      <c r="P701" s="4"/>
      <c r="Q701" s="4"/>
      <c r="U701" s="5"/>
      <c r="V701" s="4"/>
      <c r="AG701" t="s">
        <v>742</v>
      </c>
      <c r="AM701" s="1"/>
    </row>
    <row r="702" spans="1:39" x14ac:dyDescent="0.35">
      <c r="A702">
        <v>698</v>
      </c>
      <c r="B702">
        <v>699</v>
      </c>
      <c r="C702">
        <v>146.79524895700001</v>
      </c>
      <c r="D702">
        <v>-19.144166738999999</v>
      </c>
      <c r="F702" s="63"/>
      <c r="G702" s="63"/>
      <c r="H702" t="s">
        <v>78</v>
      </c>
      <c r="I702" s="64">
        <v>1</v>
      </c>
      <c r="J702" s="31"/>
      <c r="K702" s="31"/>
      <c r="L702" s="31"/>
      <c r="M702" s="31"/>
      <c r="N702" s="4"/>
      <c r="O702" s="4"/>
      <c r="P702" s="4"/>
      <c r="Q702" s="4"/>
      <c r="U702" s="5"/>
      <c r="V702" s="4"/>
      <c r="AG702" t="s">
        <v>743</v>
      </c>
      <c r="AM702" s="1"/>
    </row>
    <row r="703" spans="1:39" x14ac:dyDescent="0.35">
      <c r="A703">
        <v>699</v>
      </c>
      <c r="B703">
        <v>700</v>
      </c>
      <c r="C703">
        <v>146.795213096</v>
      </c>
      <c r="D703">
        <v>-19.144088932999999</v>
      </c>
      <c r="E703">
        <v>50</v>
      </c>
      <c r="F703" s="63"/>
      <c r="G703" s="63"/>
      <c r="H703" t="s">
        <v>78</v>
      </c>
      <c r="I703" s="64">
        <v>1</v>
      </c>
      <c r="J703" s="31"/>
      <c r="K703" s="31"/>
      <c r="L703" s="31"/>
      <c r="M703" s="31"/>
      <c r="N703" s="4"/>
      <c r="O703" s="4"/>
      <c r="P703" s="4"/>
      <c r="Q703" s="4"/>
      <c r="U703" s="5"/>
      <c r="V703" s="4"/>
      <c r="AG703" t="s">
        <v>744</v>
      </c>
      <c r="AM703" s="1"/>
    </row>
    <row r="704" spans="1:39" x14ac:dyDescent="0.35">
      <c r="A704">
        <v>700</v>
      </c>
      <c r="B704">
        <v>701</v>
      </c>
      <c r="C704">
        <v>146.79517713800001</v>
      </c>
      <c r="D704">
        <v>-19.144011163999899</v>
      </c>
      <c r="F704" s="63"/>
      <c r="G704" s="63"/>
      <c r="H704" t="s">
        <v>78</v>
      </c>
      <c r="I704" s="64">
        <v>1</v>
      </c>
      <c r="J704" s="31"/>
      <c r="K704" s="31"/>
      <c r="L704" s="31"/>
      <c r="M704" s="31"/>
      <c r="N704" s="4"/>
      <c r="O704" s="4"/>
      <c r="P704" s="4"/>
      <c r="Q704" s="4"/>
      <c r="U704" s="5"/>
      <c r="V704" s="4"/>
      <c r="AG704" t="s">
        <v>745</v>
      </c>
      <c r="AM704" s="1"/>
    </row>
    <row r="705" spans="1:39" x14ac:dyDescent="0.35">
      <c r="A705">
        <v>701</v>
      </c>
      <c r="B705">
        <v>702</v>
      </c>
      <c r="C705">
        <v>146.79512349800001</v>
      </c>
      <c r="D705">
        <v>-19.1439454009999</v>
      </c>
      <c r="F705" s="63"/>
      <c r="G705" s="63"/>
      <c r="H705" t="s">
        <v>78</v>
      </c>
      <c r="I705" s="64">
        <v>1</v>
      </c>
      <c r="J705" s="31"/>
      <c r="K705" s="31"/>
      <c r="L705" s="31"/>
      <c r="M705" s="31"/>
      <c r="N705" s="4"/>
      <c r="O705" s="4"/>
      <c r="P705" s="4"/>
      <c r="Q705" s="4"/>
      <c r="U705" s="5"/>
      <c r="V705" s="4"/>
      <c r="AG705" t="s">
        <v>746</v>
      </c>
      <c r="AM705" s="1"/>
    </row>
    <row r="706" spans="1:39" x14ac:dyDescent="0.35">
      <c r="A706">
        <v>702</v>
      </c>
      <c r="B706">
        <v>703</v>
      </c>
      <c r="C706">
        <v>146.79505693600001</v>
      </c>
      <c r="D706">
        <v>-19.143888411999999</v>
      </c>
      <c r="F706" s="63"/>
      <c r="G706" s="63"/>
      <c r="H706" t="s">
        <v>78</v>
      </c>
      <c r="I706" s="64">
        <v>1</v>
      </c>
      <c r="J706" s="31"/>
      <c r="K706" s="31"/>
      <c r="L706" s="31"/>
      <c r="M706" s="31"/>
      <c r="N706" s="4"/>
      <c r="O706" s="4"/>
      <c r="P706" s="4"/>
      <c r="Q706" s="4"/>
      <c r="U706" s="5"/>
      <c r="V706" s="4"/>
      <c r="AG706" t="s">
        <v>747</v>
      </c>
      <c r="AM706" s="1"/>
    </row>
    <row r="707" spans="1:39" x14ac:dyDescent="0.35">
      <c r="A707">
        <v>703</v>
      </c>
      <c r="B707">
        <v>704</v>
      </c>
      <c r="C707">
        <v>146.794984427</v>
      </c>
      <c r="D707">
        <v>-19.143840762</v>
      </c>
      <c r="F707" s="63"/>
      <c r="G707" s="63"/>
      <c r="H707" t="s">
        <v>78</v>
      </c>
      <c r="I707" s="64">
        <v>1</v>
      </c>
      <c r="J707" s="31"/>
      <c r="K707" s="31"/>
      <c r="L707" s="31"/>
      <c r="M707" s="31"/>
      <c r="N707" s="4"/>
      <c r="O707" s="4"/>
      <c r="P707" s="4"/>
      <c r="Q707" s="4"/>
      <c r="U707" s="5"/>
      <c r="V707" s="4"/>
      <c r="AG707" t="s">
        <v>748</v>
      </c>
      <c r="AM707" s="1"/>
    </row>
    <row r="708" spans="1:39" x14ac:dyDescent="0.35">
      <c r="A708">
        <v>704</v>
      </c>
      <c r="B708">
        <v>705</v>
      </c>
      <c r="C708">
        <v>146.79489993999999</v>
      </c>
      <c r="D708">
        <v>-19.143811926999899</v>
      </c>
      <c r="E708">
        <v>50</v>
      </c>
      <c r="F708" s="63"/>
      <c r="G708" s="63"/>
      <c r="H708" t="s">
        <v>78</v>
      </c>
      <c r="I708" s="64">
        <v>1</v>
      </c>
      <c r="J708" s="31"/>
      <c r="K708" s="31"/>
      <c r="L708" s="31"/>
      <c r="M708" s="31"/>
      <c r="N708" s="4"/>
      <c r="O708" s="4"/>
      <c r="P708" s="4"/>
      <c r="Q708" s="4"/>
      <c r="U708" s="5"/>
      <c r="V708" s="4"/>
      <c r="AG708" t="s">
        <v>749</v>
      </c>
      <c r="AM708" s="1"/>
    </row>
    <row r="709" spans="1:39" x14ac:dyDescent="0.35">
      <c r="A709">
        <v>705</v>
      </c>
      <c r="B709">
        <v>706</v>
      </c>
      <c r="C709">
        <v>146.79481545300001</v>
      </c>
      <c r="D709">
        <v>-19.143783092</v>
      </c>
      <c r="F709" s="63"/>
      <c r="G709" s="63"/>
      <c r="H709" t="s">
        <v>78</v>
      </c>
      <c r="I709" s="64">
        <v>1</v>
      </c>
      <c r="J709" s="31"/>
      <c r="K709" s="31"/>
      <c r="L709" s="31"/>
      <c r="M709" s="31"/>
      <c r="N709" s="4"/>
      <c r="O709" s="4"/>
      <c r="P709" s="4"/>
      <c r="Q709" s="4"/>
      <c r="U709" s="5"/>
      <c r="V709" s="4"/>
      <c r="AG709" t="s">
        <v>750</v>
      </c>
      <c r="AM709" s="1"/>
    </row>
    <row r="710" spans="1:39" x14ac:dyDescent="0.35">
      <c r="A710">
        <v>706</v>
      </c>
      <c r="B710">
        <v>707</v>
      </c>
      <c r="C710">
        <v>146.794730966</v>
      </c>
      <c r="D710">
        <v>-19.143754257000001</v>
      </c>
      <c r="F710" s="63"/>
      <c r="G710" s="63"/>
      <c r="H710" t="s">
        <v>78</v>
      </c>
      <c r="I710" s="64">
        <v>1</v>
      </c>
      <c r="J710" s="31"/>
      <c r="K710" s="31"/>
      <c r="L710" s="31"/>
      <c r="M710" s="31"/>
      <c r="N710" s="4"/>
      <c r="O710" s="4"/>
      <c r="P710" s="4"/>
      <c r="Q710" s="4"/>
      <c r="U710" s="5"/>
      <c r="V710" s="4"/>
      <c r="AG710" t="s">
        <v>751</v>
      </c>
      <c r="AM710" s="1"/>
    </row>
    <row r="711" spans="1:39" x14ac:dyDescent="0.35">
      <c r="A711">
        <v>707</v>
      </c>
      <c r="B711">
        <v>708</v>
      </c>
      <c r="C711">
        <v>146.79464590200001</v>
      </c>
      <c r="D711">
        <v>-19.143726987000001</v>
      </c>
      <c r="F711" s="63"/>
      <c r="G711" s="63"/>
      <c r="H711" t="s">
        <v>78</v>
      </c>
      <c r="I711" s="64">
        <v>1</v>
      </c>
      <c r="J711" s="31"/>
      <c r="K711" s="31"/>
      <c r="L711" s="31"/>
      <c r="M711" s="31"/>
      <c r="N711" s="4"/>
      <c r="O711" s="4"/>
      <c r="P711" s="4"/>
      <c r="Q711" s="4"/>
      <c r="U711" s="5"/>
      <c r="V711" s="4"/>
      <c r="AG711" t="s">
        <v>752</v>
      </c>
      <c r="AM711" s="1"/>
    </row>
    <row r="712" spans="1:39" x14ac:dyDescent="0.35">
      <c r="A712">
        <v>708</v>
      </c>
      <c r="B712">
        <v>709</v>
      </c>
      <c r="C712">
        <v>146.79456074699999</v>
      </c>
      <c r="D712">
        <v>-19.143699963</v>
      </c>
      <c r="F712" s="63"/>
      <c r="G712" s="63"/>
      <c r="H712" t="s">
        <v>78</v>
      </c>
      <c r="I712" s="64">
        <v>1</v>
      </c>
      <c r="J712" s="31"/>
      <c r="K712" s="31"/>
      <c r="L712" s="31"/>
      <c r="M712" s="31"/>
      <c r="N712" s="4"/>
      <c r="O712" s="4"/>
      <c r="P712" s="4"/>
      <c r="Q712" s="4"/>
      <c r="U712" s="5"/>
      <c r="V712" s="4"/>
      <c r="AG712" t="s">
        <v>753</v>
      </c>
      <c r="AM712" s="1"/>
    </row>
    <row r="713" spans="1:39" x14ac:dyDescent="0.35">
      <c r="A713">
        <v>709</v>
      </c>
      <c r="B713">
        <v>710</v>
      </c>
      <c r="C713">
        <v>146.79447559100001</v>
      </c>
      <c r="D713">
        <v>-19.143672939999899</v>
      </c>
      <c r="E713">
        <v>50</v>
      </c>
      <c r="F713" s="63"/>
      <c r="G713" s="63"/>
      <c r="H713" t="s">
        <v>78</v>
      </c>
      <c r="I713" s="64">
        <v>1</v>
      </c>
      <c r="J713" s="31"/>
      <c r="K713" s="31"/>
      <c r="L713" s="31"/>
      <c r="M713" s="31"/>
      <c r="N713" s="4"/>
      <c r="O713" s="4"/>
      <c r="P713" s="4"/>
      <c r="Q713" s="4"/>
      <c r="U713" s="5"/>
      <c r="V713" s="4"/>
      <c r="AG713" t="s">
        <v>754</v>
      </c>
      <c r="AM713" s="1"/>
    </row>
    <row r="714" spans="1:39" x14ac:dyDescent="0.35">
      <c r="A714">
        <v>710</v>
      </c>
      <c r="B714">
        <v>711</v>
      </c>
      <c r="C714">
        <v>146.79438969500001</v>
      </c>
      <c r="D714">
        <v>-19.14365866</v>
      </c>
      <c r="F714" s="63"/>
      <c r="G714" s="63"/>
      <c r="H714" t="s">
        <v>78</v>
      </c>
      <c r="I714" s="64">
        <v>1</v>
      </c>
      <c r="J714" s="31"/>
      <c r="K714" s="31"/>
      <c r="L714" s="31"/>
      <c r="M714" s="31"/>
      <c r="N714" s="4"/>
      <c r="O714" s="4"/>
      <c r="P714" s="4"/>
      <c r="Q714" s="4"/>
      <c r="U714" s="5"/>
      <c r="V714" s="4"/>
      <c r="AG714" t="s">
        <v>755</v>
      </c>
      <c r="AM714" s="1"/>
    </row>
    <row r="715" spans="1:39" x14ac:dyDescent="0.35">
      <c r="A715">
        <v>711</v>
      </c>
      <c r="B715">
        <v>712</v>
      </c>
      <c r="C715">
        <v>146.79430677400001</v>
      </c>
      <c r="D715">
        <v>-19.143627121999899</v>
      </c>
      <c r="F715" s="63"/>
      <c r="G715" s="63"/>
      <c r="H715" t="s">
        <v>78</v>
      </c>
      <c r="I715" s="64">
        <v>1</v>
      </c>
      <c r="J715" s="31"/>
      <c r="K715" s="31"/>
      <c r="L715" s="31"/>
      <c r="M715" s="31"/>
      <c r="N715" s="4"/>
      <c r="O715" s="4"/>
      <c r="P715" s="4"/>
      <c r="Q715" s="4"/>
      <c r="U715" s="5"/>
      <c r="V715" s="4"/>
      <c r="AG715" t="s">
        <v>756</v>
      </c>
      <c r="AM715" s="1"/>
    </row>
    <row r="716" spans="1:39" x14ac:dyDescent="0.35">
      <c r="A716">
        <v>712</v>
      </c>
      <c r="B716">
        <v>713</v>
      </c>
      <c r="C716">
        <v>146.79422406800001</v>
      </c>
      <c r="D716">
        <v>-19.143593998</v>
      </c>
      <c r="F716" s="63"/>
      <c r="G716" s="63"/>
      <c r="H716" t="s">
        <v>78</v>
      </c>
      <c r="I716" s="64">
        <v>1</v>
      </c>
      <c r="J716" s="31"/>
      <c r="K716" s="31"/>
      <c r="L716" s="31"/>
      <c r="M716" s="31"/>
      <c r="N716" s="4"/>
      <c r="O716" s="4"/>
      <c r="P716" s="4"/>
      <c r="Q716" s="4"/>
      <c r="U716" s="5"/>
      <c r="V716" s="4"/>
      <c r="AG716" t="s">
        <v>757</v>
      </c>
      <c r="AM716" s="1"/>
    </row>
    <row r="717" spans="1:39" x14ac:dyDescent="0.35">
      <c r="A717">
        <v>713</v>
      </c>
      <c r="B717">
        <v>714</v>
      </c>
      <c r="C717">
        <v>146.79416080199999</v>
      </c>
      <c r="D717">
        <v>-19.1435347839999</v>
      </c>
      <c r="F717" s="63"/>
      <c r="G717" s="63"/>
      <c r="H717" t="s">
        <v>78</v>
      </c>
      <c r="I717" s="64">
        <v>1</v>
      </c>
      <c r="J717" s="31"/>
      <c r="K717" s="31"/>
      <c r="L717" s="31"/>
      <c r="M717" s="31"/>
      <c r="N717" s="4"/>
      <c r="O717" s="4"/>
      <c r="P717" s="4"/>
      <c r="Q717" s="4"/>
      <c r="U717" s="5"/>
      <c r="V717" s="4"/>
      <c r="AG717" t="s">
        <v>758</v>
      </c>
      <c r="AM717" s="1"/>
    </row>
    <row r="718" spans="1:39" x14ac:dyDescent="0.35">
      <c r="A718">
        <v>714</v>
      </c>
      <c r="B718">
        <v>715</v>
      </c>
      <c r="C718">
        <v>146.79409989199999</v>
      </c>
      <c r="D718">
        <v>-19.143472408000001</v>
      </c>
      <c r="E718">
        <v>50</v>
      </c>
      <c r="F718" s="63"/>
      <c r="G718" s="63"/>
      <c r="H718" t="s">
        <v>78</v>
      </c>
      <c r="I718" s="64">
        <v>1</v>
      </c>
      <c r="J718" s="31"/>
      <c r="K718" s="31"/>
      <c r="L718" s="31"/>
      <c r="M718" s="31"/>
      <c r="N718" s="4"/>
      <c r="O718" s="4"/>
      <c r="P718" s="4"/>
      <c r="Q718" s="4"/>
      <c r="U718" s="5"/>
      <c r="V718" s="4"/>
      <c r="AG718" t="s">
        <v>759</v>
      </c>
      <c r="AM718" s="1"/>
    </row>
    <row r="719" spans="1:39" x14ac:dyDescent="0.35">
      <c r="A719">
        <v>715</v>
      </c>
      <c r="B719">
        <v>716</v>
      </c>
      <c r="C719">
        <v>146.79403898199999</v>
      </c>
      <c r="D719">
        <v>-19.143410030999998</v>
      </c>
      <c r="F719" s="63"/>
      <c r="G719" s="63"/>
      <c r="H719" t="s">
        <v>78</v>
      </c>
      <c r="I719" s="64">
        <v>1</v>
      </c>
      <c r="J719" s="31"/>
      <c r="K719" s="31"/>
      <c r="L719" s="31"/>
      <c r="M719" s="31"/>
      <c r="N719" s="4"/>
      <c r="O719" s="4"/>
      <c r="P719" s="4"/>
      <c r="Q719" s="4"/>
      <c r="U719" s="5"/>
      <c r="V719" s="4"/>
      <c r="AG719" t="s">
        <v>760</v>
      </c>
      <c r="AM719" s="1"/>
    </row>
    <row r="720" spans="1:39" x14ac:dyDescent="0.35">
      <c r="A720">
        <v>716</v>
      </c>
      <c r="B720">
        <v>717</v>
      </c>
      <c r="C720">
        <v>146.79400168800001</v>
      </c>
      <c r="D720">
        <v>-19.1433368309999</v>
      </c>
      <c r="F720" s="63"/>
      <c r="G720" s="63"/>
      <c r="H720" t="s">
        <v>78</v>
      </c>
      <c r="I720" s="64">
        <v>1</v>
      </c>
      <c r="J720" s="31"/>
      <c r="K720" s="31"/>
      <c r="L720" s="31"/>
      <c r="M720" s="31"/>
      <c r="N720" s="4"/>
      <c r="O720" s="4"/>
      <c r="P720" s="4"/>
      <c r="Q720" s="4"/>
      <c r="U720" s="5"/>
      <c r="V720" s="4"/>
      <c r="AG720" t="s">
        <v>761</v>
      </c>
      <c r="AM720" s="1"/>
    </row>
    <row r="721" spans="1:39" x14ac:dyDescent="0.35">
      <c r="A721">
        <v>717</v>
      </c>
      <c r="B721">
        <v>718</v>
      </c>
      <c r="C721">
        <v>146.793987531</v>
      </c>
      <c r="D721">
        <v>-19.143253027999901</v>
      </c>
      <c r="F721" s="63"/>
      <c r="G721" s="63"/>
      <c r="H721" t="s">
        <v>78</v>
      </c>
      <c r="I721" s="64">
        <v>1</v>
      </c>
      <c r="J721" s="31"/>
      <c r="K721" s="31"/>
      <c r="L721" s="31"/>
      <c r="M721" s="31"/>
      <c r="N721" s="4"/>
      <c r="O721" s="4"/>
      <c r="P721" s="4"/>
      <c r="Q721" s="4"/>
      <c r="U721" s="5"/>
      <c r="V721" s="4"/>
      <c r="AG721" t="s">
        <v>762</v>
      </c>
      <c r="AM721" s="1"/>
    </row>
    <row r="722" spans="1:39" x14ac:dyDescent="0.35">
      <c r="A722">
        <v>718</v>
      </c>
      <c r="B722">
        <v>719</v>
      </c>
      <c r="C722">
        <v>146.793973373</v>
      </c>
      <c r="D722">
        <v>-19.143169224000001</v>
      </c>
      <c r="F722" s="63"/>
      <c r="G722" s="63"/>
      <c r="H722" t="s">
        <v>78</v>
      </c>
      <c r="I722" s="64">
        <v>1</v>
      </c>
      <c r="J722" s="31"/>
      <c r="K722" s="31"/>
      <c r="L722" s="31"/>
      <c r="M722" s="31"/>
      <c r="N722" s="4"/>
      <c r="O722" s="4"/>
      <c r="P722" s="4"/>
      <c r="Q722" s="4"/>
      <c r="U722" s="5"/>
      <c r="V722" s="4"/>
      <c r="AG722" t="s">
        <v>763</v>
      </c>
      <c r="AM722" s="1"/>
    </row>
    <row r="723" spans="1:39" x14ac:dyDescent="0.35">
      <c r="A723">
        <v>719</v>
      </c>
      <c r="B723">
        <v>720</v>
      </c>
      <c r="C723">
        <v>146.79395921599999</v>
      </c>
      <c r="D723">
        <v>-19.143085420999999</v>
      </c>
      <c r="E723">
        <v>50</v>
      </c>
      <c r="F723" s="63"/>
      <c r="G723" s="63"/>
      <c r="H723" t="s">
        <v>78</v>
      </c>
      <c r="I723" s="64">
        <v>1</v>
      </c>
      <c r="J723" s="31"/>
      <c r="K723" s="31"/>
      <c r="L723" s="31"/>
      <c r="M723" s="31"/>
      <c r="N723" s="4"/>
      <c r="O723" s="4"/>
      <c r="P723" s="4"/>
      <c r="Q723" s="4"/>
      <c r="U723" s="5"/>
      <c r="V723" s="4"/>
      <c r="AG723" t="s">
        <v>764</v>
      </c>
      <c r="AM723" s="1"/>
    </row>
    <row r="724" spans="1:39" x14ac:dyDescent="0.35">
      <c r="A724">
        <v>720</v>
      </c>
      <c r="B724">
        <v>721</v>
      </c>
      <c r="C724">
        <v>146.79394505799999</v>
      </c>
      <c r="D724">
        <v>-19.143001616999999</v>
      </c>
      <c r="F724" s="63"/>
      <c r="G724" s="63"/>
      <c r="H724" t="s">
        <v>78</v>
      </c>
      <c r="I724" s="64">
        <v>1</v>
      </c>
      <c r="J724" s="31"/>
      <c r="K724" s="31"/>
      <c r="L724" s="31"/>
      <c r="M724" s="31"/>
      <c r="N724" s="4"/>
      <c r="O724" s="4"/>
      <c r="P724" s="4"/>
      <c r="Q724" s="4"/>
      <c r="U724" s="5"/>
      <c r="V724" s="4"/>
      <c r="AG724" t="s">
        <v>765</v>
      </c>
      <c r="AM724" s="1"/>
    </row>
    <row r="725" spans="1:39" x14ac:dyDescent="0.35">
      <c r="A725">
        <v>721</v>
      </c>
      <c r="B725">
        <v>722</v>
      </c>
      <c r="C725">
        <v>146.79393090100001</v>
      </c>
      <c r="D725">
        <v>-19.142917813999901</v>
      </c>
      <c r="F725" s="63"/>
      <c r="G725" s="63"/>
      <c r="H725" t="s">
        <v>78</v>
      </c>
      <c r="I725" s="64">
        <v>1</v>
      </c>
      <c r="J725" s="31"/>
      <c r="K725" s="31"/>
      <c r="L725" s="31"/>
      <c r="M725" s="31"/>
      <c r="N725" s="4"/>
      <c r="O725" s="4"/>
      <c r="P725" s="4"/>
      <c r="Q725" s="4"/>
      <c r="U725" s="5"/>
      <c r="V725" s="4"/>
      <c r="AG725" t="s">
        <v>766</v>
      </c>
      <c r="AM725" s="1"/>
    </row>
    <row r="726" spans="1:39" x14ac:dyDescent="0.35">
      <c r="A726">
        <v>722</v>
      </c>
      <c r="B726">
        <v>723</v>
      </c>
      <c r="C726">
        <v>146.793916744</v>
      </c>
      <c r="D726">
        <v>-19.142834009999898</v>
      </c>
      <c r="F726" s="63"/>
      <c r="G726" s="63"/>
      <c r="H726" t="s">
        <v>78</v>
      </c>
      <c r="I726" s="64">
        <v>1</v>
      </c>
      <c r="J726" s="31"/>
      <c r="K726" s="31"/>
      <c r="L726" s="31"/>
      <c r="M726" s="31"/>
      <c r="N726" s="4"/>
      <c r="O726" s="4"/>
      <c r="P726" s="4"/>
      <c r="Q726" s="4"/>
      <c r="U726" s="5"/>
      <c r="V726" s="4"/>
      <c r="AG726" t="s">
        <v>767</v>
      </c>
      <c r="AM726" s="1"/>
    </row>
    <row r="727" spans="1:39" x14ac:dyDescent="0.35">
      <c r="A727">
        <v>723</v>
      </c>
      <c r="B727">
        <v>724</v>
      </c>
      <c r="C727">
        <v>146.793902586</v>
      </c>
      <c r="D727">
        <v>-19.142750205999999</v>
      </c>
      <c r="F727" s="63"/>
      <c r="G727" s="63"/>
      <c r="H727" t="s">
        <v>78</v>
      </c>
      <c r="I727" s="64">
        <v>1</v>
      </c>
      <c r="J727" s="31"/>
      <c r="K727" s="31"/>
      <c r="L727" s="31"/>
      <c r="M727" s="31"/>
      <c r="N727" s="4"/>
      <c r="O727" s="4"/>
      <c r="P727" s="4"/>
      <c r="Q727" s="4"/>
      <c r="U727" s="5"/>
      <c r="V727" s="4"/>
      <c r="AG727" t="s">
        <v>768</v>
      </c>
      <c r="AM727" s="1"/>
    </row>
    <row r="728" spans="1:39" x14ac:dyDescent="0.35">
      <c r="A728">
        <v>724</v>
      </c>
      <c r="B728">
        <v>725</v>
      </c>
      <c r="C728">
        <v>146.79389427199999</v>
      </c>
      <c r="D728">
        <v>-19.142665861999902</v>
      </c>
      <c r="E728">
        <v>50</v>
      </c>
      <c r="F728" s="63"/>
      <c r="G728" s="63"/>
      <c r="H728" t="s">
        <v>78</v>
      </c>
      <c r="I728" s="64">
        <v>1</v>
      </c>
      <c r="J728" s="31"/>
      <c r="K728" s="31"/>
      <c r="L728" s="31"/>
      <c r="M728" s="31"/>
      <c r="N728" s="4"/>
      <c r="O728" s="4"/>
      <c r="P728" s="4"/>
      <c r="Q728" s="4"/>
      <c r="U728" s="5"/>
      <c r="V728" s="4"/>
      <c r="AG728" t="s">
        <v>769</v>
      </c>
      <c r="AM728" s="1"/>
    </row>
    <row r="729" spans="1:39" x14ac:dyDescent="0.35">
      <c r="A729">
        <v>725</v>
      </c>
      <c r="B729">
        <v>726</v>
      </c>
      <c r="C729">
        <v>146.793890917</v>
      </c>
      <c r="D729">
        <v>-19.142581057000001</v>
      </c>
      <c r="F729" s="63"/>
      <c r="G729" s="63"/>
      <c r="H729" t="s">
        <v>78</v>
      </c>
      <c r="I729" s="64">
        <v>1</v>
      </c>
      <c r="J729" s="31"/>
      <c r="K729" s="31"/>
      <c r="L729" s="31"/>
      <c r="M729" s="31"/>
      <c r="N729" s="4"/>
      <c r="O729" s="4"/>
      <c r="P729" s="4"/>
      <c r="Q729" s="4"/>
      <c r="U729" s="5"/>
      <c r="V729" s="4"/>
      <c r="AG729" t="s">
        <v>770</v>
      </c>
      <c r="AM729" s="1"/>
    </row>
    <row r="730" spans="1:39" x14ac:dyDescent="0.35">
      <c r="A730">
        <v>726</v>
      </c>
      <c r="B730">
        <v>727</v>
      </c>
      <c r="C730">
        <v>146.79388677399999</v>
      </c>
      <c r="D730">
        <v>-19.142496283</v>
      </c>
      <c r="F730" s="63"/>
      <c r="G730" s="63"/>
      <c r="H730" t="s">
        <v>78</v>
      </c>
      <c r="I730" s="64">
        <v>1</v>
      </c>
      <c r="J730" s="31"/>
      <c r="K730" s="31"/>
      <c r="L730" s="31"/>
      <c r="M730" s="31"/>
      <c r="N730" s="4"/>
      <c r="O730" s="4"/>
      <c r="P730" s="4"/>
      <c r="Q730" s="4"/>
      <c r="U730" s="5"/>
      <c r="V730" s="4"/>
      <c r="AG730" t="s">
        <v>771</v>
      </c>
      <c r="AM730" s="1"/>
    </row>
    <row r="731" spans="1:39" x14ac:dyDescent="0.35">
      <c r="A731">
        <v>727</v>
      </c>
      <c r="B731">
        <v>728</v>
      </c>
      <c r="C731">
        <v>146.79388205399999</v>
      </c>
      <c r="D731">
        <v>-19.142411535999901</v>
      </c>
      <c r="F731" s="63"/>
      <c r="G731" s="63"/>
      <c r="H731" t="s">
        <v>78</v>
      </c>
      <c r="I731" s="64">
        <v>1</v>
      </c>
      <c r="J731" s="31"/>
      <c r="K731" s="31"/>
      <c r="L731" s="31"/>
      <c r="M731" s="31"/>
      <c r="N731" s="4"/>
      <c r="O731" s="4"/>
      <c r="P731" s="4"/>
      <c r="Q731" s="4"/>
      <c r="U731" s="5"/>
      <c r="V731" s="4"/>
      <c r="AG731" t="s">
        <v>772</v>
      </c>
      <c r="AM731" s="1"/>
    </row>
    <row r="732" spans="1:39" x14ac:dyDescent="0.35">
      <c r="A732">
        <v>728</v>
      </c>
      <c r="B732">
        <v>729</v>
      </c>
      <c r="C732">
        <v>146.793877205</v>
      </c>
      <c r="D732">
        <v>-19.142326794999999</v>
      </c>
      <c r="F732" s="63"/>
      <c r="G732" s="63"/>
      <c r="H732" t="s">
        <v>78</v>
      </c>
      <c r="I732" s="64">
        <v>1</v>
      </c>
      <c r="J732" s="31"/>
      <c r="K732" s="31"/>
      <c r="L732" s="31"/>
      <c r="M732" s="31"/>
      <c r="N732" s="4"/>
      <c r="O732" s="4"/>
      <c r="P732" s="4"/>
      <c r="Q732" s="4"/>
      <c r="U732" s="5"/>
      <c r="V732" s="4"/>
      <c r="AG732" t="s">
        <v>773</v>
      </c>
      <c r="AM732" s="1"/>
    </row>
    <row r="733" spans="1:39" x14ac:dyDescent="0.35">
      <c r="A733">
        <v>729</v>
      </c>
      <c r="B733">
        <v>730</v>
      </c>
      <c r="C733">
        <v>146.79384989900001</v>
      </c>
      <c r="D733">
        <v>-19.1422470169999</v>
      </c>
      <c r="E733">
        <v>50</v>
      </c>
      <c r="F733" s="63"/>
      <c r="G733" s="63"/>
      <c r="H733" t="s">
        <v>78</v>
      </c>
      <c r="I733" s="64">
        <v>1</v>
      </c>
      <c r="J733" s="31"/>
      <c r="K733" s="31"/>
      <c r="L733" s="31"/>
      <c r="M733" s="31"/>
      <c r="N733" s="4"/>
      <c r="O733" s="4"/>
      <c r="P733" s="4"/>
      <c r="Q733" s="4"/>
      <c r="U733" s="5"/>
      <c r="V733" s="4"/>
      <c r="AG733" t="s">
        <v>774</v>
      </c>
      <c r="AM733" s="1"/>
    </row>
    <row r="734" spans="1:39" x14ac:dyDescent="0.35">
      <c r="A734">
        <v>730</v>
      </c>
      <c r="B734">
        <v>731</v>
      </c>
      <c r="C734">
        <v>146.79381445800001</v>
      </c>
      <c r="D734">
        <v>-19.142169035999899</v>
      </c>
      <c r="F734" s="63"/>
      <c r="G734" s="63"/>
      <c r="H734" t="s">
        <v>78</v>
      </c>
      <c r="I734" s="64">
        <v>1</v>
      </c>
      <c r="J734" s="31"/>
      <c r="K734" s="31"/>
      <c r="L734" s="31"/>
      <c r="M734" s="31"/>
      <c r="N734" s="4"/>
      <c r="O734" s="4"/>
      <c r="P734" s="4"/>
      <c r="Q734" s="4"/>
      <c r="U734" s="5"/>
      <c r="V734" s="4"/>
      <c r="AG734" t="s">
        <v>775</v>
      </c>
      <c r="AM734" s="1"/>
    </row>
    <row r="735" spans="1:39" x14ac:dyDescent="0.35">
      <c r="A735">
        <v>731</v>
      </c>
      <c r="B735">
        <v>732</v>
      </c>
      <c r="C735">
        <v>146.79380023900001</v>
      </c>
      <c r="D735">
        <v>-19.142085713</v>
      </c>
      <c r="F735" s="63"/>
      <c r="G735" s="63"/>
      <c r="H735" t="s">
        <v>78</v>
      </c>
      <c r="I735" s="64">
        <v>1</v>
      </c>
      <c r="J735" s="31"/>
      <c r="K735" s="31"/>
      <c r="L735" s="31"/>
      <c r="M735" s="31"/>
      <c r="N735" s="4"/>
      <c r="O735" s="4"/>
      <c r="P735" s="4"/>
      <c r="Q735" s="4"/>
      <c r="U735" s="5"/>
      <c r="V735" s="4"/>
      <c r="AG735" t="s">
        <v>776</v>
      </c>
      <c r="AM735" s="1"/>
    </row>
    <row r="736" spans="1:39" x14ac:dyDescent="0.35">
      <c r="A736">
        <v>732</v>
      </c>
      <c r="B736">
        <v>733</v>
      </c>
      <c r="C736">
        <v>146.79379169399999</v>
      </c>
      <c r="D736">
        <v>-19.142001268999898</v>
      </c>
      <c r="F736" s="63"/>
      <c r="G736" s="63"/>
      <c r="H736" t="s">
        <v>78</v>
      </c>
      <c r="I736" s="64">
        <v>1</v>
      </c>
      <c r="J736" s="31"/>
      <c r="K736" s="31"/>
      <c r="L736" s="31"/>
      <c r="M736" s="31"/>
      <c r="N736" s="4"/>
      <c r="O736" s="4"/>
      <c r="P736" s="4"/>
      <c r="Q736" s="4"/>
      <c r="U736" s="5"/>
      <c r="V736" s="4"/>
      <c r="AG736" t="s">
        <v>777</v>
      </c>
      <c r="AM736" s="1"/>
    </row>
    <row r="737" spans="1:39" x14ac:dyDescent="0.35">
      <c r="A737">
        <v>733</v>
      </c>
      <c r="B737">
        <v>734</v>
      </c>
      <c r="C737">
        <v>146.793786837</v>
      </c>
      <c r="D737">
        <v>-19.141916527999999</v>
      </c>
      <c r="F737" s="63"/>
      <c r="G737" s="63"/>
      <c r="H737" t="s">
        <v>78</v>
      </c>
      <c r="I737" s="64">
        <v>1</v>
      </c>
      <c r="J737" s="31"/>
      <c r="K737" s="31"/>
      <c r="L737" s="31"/>
      <c r="M737" s="31"/>
      <c r="N737" s="4"/>
      <c r="O737" s="4"/>
      <c r="P737" s="4"/>
      <c r="Q737" s="4"/>
      <c r="U737" s="5"/>
      <c r="V737" s="4"/>
      <c r="AG737" t="s">
        <v>778</v>
      </c>
      <c r="AM737" s="1"/>
    </row>
    <row r="738" spans="1:39" x14ac:dyDescent="0.35">
      <c r="A738">
        <v>734</v>
      </c>
      <c r="B738">
        <v>735</v>
      </c>
      <c r="C738">
        <v>146.79378198000001</v>
      </c>
      <c r="D738">
        <v>-19.141831787999902</v>
      </c>
      <c r="E738">
        <v>50</v>
      </c>
      <c r="F738" s="63"/>
      <c r="G738" s="63"/>
      <c r="H738" t="s">
        <v>78</v>
      </c>
      <c r="I738" s="64">
        <v>1</v>
      </c>
      <c r="J738" s="31"/>
      <c r="K738" s="31"/>
      <c r="L738" s="31"/>
      <c r="M738" s="31"/>
      <c r="N738" s="4"/>
      <c r="O738" s="4"/>
      <c r="P738" s="4"/>
      <c r="Q738" s="4"/>
      <c r="U738" s="5"/>
      <c r="V738" s="4"/>
      <c r="AG738" t="s">
        <v>779</v>
      </c>
      <c r="AM738" s="1"/>
    </row>
    <row r="739" spans="1:39" x14ac:dyDescent="0.35">
      <c r="A739">
        <v>735</v>
      </c>
      <c r="B739">
        <v>736</v>
      </c>
      <c r="C739">
        <v>146.79377663</v>
      </c>
      <c r="D739">
        <v>-19.141747075000001</v>
      </c>
      <c r="F739" s="63"/>
      <c r="G739" s="63"/>
      <c r="H739" t="s">
        <v>78</v>
      </c>
      <c r="I739" s="64">
        <v>1</v>
      </c>
      <c r="J739" s="31"/>
      <c r="K739" s="31"/>
      <c r="L739" s="31"/>
      <c r="M739" s="31"/>
      <c r="N739" s="4"/>
      <c r="O739" s="4"/>
      <c r="P739" s="4"/>
      <c r="Q739" s="4"/>
      <c r="U739" s="5"/>
      <c r="V739" s="4"/>
      <c r="AG739" t="s">
        <v>780</v>
      </c>
      <c r="AM739" s="1"/>
    </row>
    <row r="740" spans="1:39" x14ac:dyDescent="0.35">
      <c r="A740">
        <v>736</v>
      </c>
      <c r="B740">
        <v>737</v>
      </c>
      <c r="C740">
        <v>146.79377084999999</v>
      </c>
      <c r="D740">
        <v>-19.141662386</v>
      </c>
      <c r="F740" s="63"/>
      <c r="G740" s="63"/>
      <c r="H740" t="s">
        <v>78</v>
      </c>
      <c r="I740" s="64">
        <v>1</v>
      </c>
      <c r="J740" s="31"/>
      <c r="K740" s="31"/>
      <c r="L740" s="31"/>
      <c r="M740" s="31"/>
      <c r="N740" s="4"/>
      <c r="O740" s="4"/>
      <c r="P740" s="4"/>
      <c r="Q740" s="4"/>
      <c r="U740" s="5"/>
      <c r="V740" s="4"/>
      <c r="AG740" t="s">
        <v>781</v>
      </c>
      <c r="AM740" s="1"/>
    </row>
    <row r="741" spans="1:39" x14ac:dyDescent="0.35">
      <c r="A741">
        <v>737</v>
      </c>
      <c r="B741">
        <v>738</v>
      </c>
      <c r="C741">
        <v>146.793765071</v>
      </c>
      <c r="D741">
        <v>-19.141577696999899</v>
      </c>
      <c r="F741" s="63"/>
      <c r="G741" s="63"/>
      <c r="H741" t="s">
        <v>78</v>
      </c>
      <c r="I741" s="64">
        <v>1</v>
      </c>
      <c r="J741" s="31"/>
      <c r="K741" s="31"/>
      <c r="L741" s="31"/>
      <c r="M741" s="31"/>
      <c r="N741" s="4"/>
      <c r="O741" s="4"/>
      <c r="P741" s="4"/>
      <c r="Q741" s="4"/>
      <c r="U741" s="5"/>
      <c r="V741" s="4"/>
      <c r="AG741" t="s">
        <v>782</v>
      </c>
      <c r="AM741" s="1"/>
    </row>
    <row r="742" spans="1:39" x14ac:dyDescent="0.35">
      <c r="A742">
        <v>738</v>
      </c>
      <c r="B742">
        <v>739</v>
      </c>
      <c r="C742">
        <v>146.79375929099999</v>
      </c>
      <c r="D742">
        <v>-19.141493007999902</v>
      </c>
      <c r="F742" s="63"/>
      <c r="G742" s="63"/>
      <c r="H742" t="s">
        <v>78</v>
      </c>
      <c r="I742" s="64">
        <v>1</v>
      </c>
      <c r="J742" s="31"/>
      <c r="K742" s="31"/>
      <c r="L742" s="31"/>
      <c r="M742" s="31"/>
      <c r="N742" s="4"/>
      <c r="O742" s="4"/>
      <c r="P742" s="4"/>
      <c r="Q742" s="4"/>
      <c r="U742" s="5"/>
      <c r="V742" s="4"/>
      <c r="AG742" t="s">
        <v>783</v>
      </c>
      <c r="AM742" s="1"/>
    </row>
    <row r="743" spans="1:39" x14ac:dyDescent="0.35">
      <c r="A743">
        <v>739</v>
      </c>
      <c r="B743">
        <v>740</v>
      </c>
      <c r="C743">
        <v>146.79373799199999</v>
      </c>
      <c r="D743">
        <v>-19.141412285999898</v>
      </c>
      <c r="E743">
        <v>50</v>
      </c>
      <c r="F743" s="63"/>
      <c r="G743" s="63"/>
      <c r="H743" t="s">
        <v>78</v>
      </c>
      <c r="I743" s="64">
        <v>1</v>
      </c>
      <c r="J743" s="31"/>
      <c r="K743" s="31"/>
      <c r="L743" s="31"/>
      <c r="M743" s="31"/>
      <c r="N743" s="4"/>
      <c r="O743" s="4"/>
      <c r="P743" s="4"/>
      <c r="Q743" s="4"/>
      <c r="U743" s="5"/>
      <c r="V743" s="4"/>
      <c r="AG743" t="s">
        <v>784</v>
      </c>
      <c r="AM743" s="1"/>
    </row>
    <row r="744" spans="1:39" x14ac:dyDescent="0.35">
      <c r="A744">
        <v>740</v>
      </c>
      <c r="B744">
        <v>741</v>
      </c>
      <c r="C744">
        <v>146.79370174600001</v>
      </c>
      <c r="D744">
        <v>-19.141335038000001</v>
      </c>
      <c r="F744" s="63"/>
      <c r="G744" s="63"/>
      <c r="H744" t="s">
        <v>78</v>
      </c>
      <c r="I744" s="64">
        <v>1</v>
      </c>
      <c r="J744" s="31"/>
      <c r="K744" s="31"/>
      <c r="L744" s="31"/>
      <c r="M744" s="31"/>
      <c r="N744" s="4"/>
      <c r="O744" s="4"/>
      <c r="P744" s="4"/>
      <c r="Q744" s="4"/>
      <c r="U744" s="5"/>
      <c r="V744" s="4"/>
      <c r="AG744" t="s">
        <v>785</v>
      </c>
      <c r="AM744" s="1"/>
    </row>
    <row r="745" spans="1:39" x14ac:dyDescent="0.35">
      <c r="A745">
        <v>741</v>
      </c>
      <c r="B745">
        <v>742</v>
      </c>
      <c r="C745">
        <v>146.79367697699999</v>
      </c>
      <c r="D745">
        <v>-19.141253697</v>
      </c>
      <c r="F745" s="63"/>
      <c r="G745" s="63"/>
      <c r="H745" t="s">
        <v>78</v>
      </c>
      <c r="I745" s="64">
        <v>1</v>
      </c>
      <c r="J745" s="31"/>
      <c r="K745" s="31"/>
      <c r="L745" s="31"/>
      <c r="M745" s="31"/>
      <c r="N745" s="4"/>
      <c r="O745" s="4"/>
      <c r="P745" s="4"/>
      <c r="Q745" s="4"/>
      <c r="U745" s="5"/>
      <c r="V745" s="4"/>
      <c r="AG745" t="s">
        <v>786</v>
      </c>
      <c r="AM745" s="1"/>
    </row>
    <row r="746" spans="1:39" x14ac:dyDescent="0.35">
      <c r="A746">
        <v>742</v>
      </c>
      <c r="B746">
        <v>743</v>
      </c>
      <c r="C746">
        <v>146.79364267599999</v>
      </c>
      <c r="D746">
        <v>-19.141175261999901</v>
      </c>
      <c r="F746" s="63"/>
      <c r="G746" s="63"/>
      <c r="H746" t="s">
        <v>78</v>
      </c>
      <c r="I746" s="64">
        <v>1</v>
      </c>
      <c r="J746" s="31"/>
      <c r="K746" s="31"/>
      <c r="L746" s="31"/>
      <c r="M746" s="31"/>
      <c r="N746" s="4"/>
      <c r="O746" s="4"/>
      <c r="P746" s="4"/>
      <c r="Q746" s="4"/>
      <c r="U746" s="5"/>
      <c r="V746" s="4"/>
      <c r="AG746" t="s">
        <v>787</v>
      </c>
      <c r="AM746" s="1"/>
    </row>
    <row r="747" spans="1:39" x14ac:dyDescent="0.35">
      <c r="A747">
        <v>743</v>
      </c>
      <c r="B747">
        <v>744</v>
      </c>
      <c r="C747">
        <v>146.793611336</v>
      </c>
      <c r="D747">
        <v>-19.141095762999999</v>
      </c>
      <c r="F747" s="63"/>
      <c r="G747" s="63"/>
      <c r="H747" t="s">
        <v>78</v>
      </c>
      <c r="I747" s="64">
        <v>1</v>
      </c>
      <c r="J747" s="31"/>
      <c r="K747" s="31"/>
      <c r="L747" s="31"/>
      <c r="M747" s="31"/>
      <c r="N747" s="4"/>
      <c r="O747" s="4"/>
      <c r="P747" s="4"/>
      <c r="Q747" s="4"/>
      <c r="U747" s="5"/>
      <c r="V747" s="4"/>
      <c r="AG747" t="s">
        <v>788</v>
      </c>
      <c r="AM747" s="1"/>
    </row>
    <row r="748" spans="1:39" x14ac:dyDescent="0.35">
      <c r="A748">
        <v>744</v>
      </c>
      <c r="B748">
        <v>745</v>
      </c>
      <c r="C748">
        <v>146.793581794</v>
      </c>
      <c r="D748">
        <v>-19.141015617999901</v>
      </c>
      <c r="E748">
        <v>50</v>
      </c>
      <c r="F748" s="63"/>
      <c r="G748" s="63"/>
      <c r="H748" t="s">
        <v>78</v>
      </c>
      <c r="I748" s="64">
        <v>1</v>
      </c>
      <c r="J748" s="31"/>
      <c r="K748" s="31"/>
      <c r="L748" s="31"/>
      <c r="M748" s="31"/>
      <c r="N748" s="4"/>
      <c r="O748" s="4"/>
      <c r="P748" s="4"/>
      <c r="Q748" s="4"/>
      <c r="U748" s="5"/>
      <c r="V748" s="4"/>
      <c r="AG748" t="s">
        <v>789</v>
      </c>
      <c r="AM748" s="1"/>
    </row>
    <row r="749" spans="1:39" x14ac:dyDescent="0.35">
      <c r="A749">
        <v>745</v>
      </c>
      <c r="B749">
        <v>746</v>
      </c>
      <c r="C749">
        <v>146.793552253</v>
      </c>
      <c r="D749">
        <v>-19.140935472999999</v>
      </c>
      <c r="F749" s="63"/>
      <c r="G749" s="63"/>
      <c r="H749" t="s">
        <v>78</v>
      </c>
      <c r="I749" s="64">
        <v>1</v>
      </c>
      <c r="J749" s="31"/>
      <c r="K749" s="31"/>
      <c r="L749" s="31"/>
      <c r="M749" s="31"/>
      <c r="N749" s="4"/>
      <c r="O749" s="4"/>
      <c r="P749" s="4"/>
      <c r="Q749" s="4"/>
      <c r="U749" s="5"/>
      <c r="V749" s="4"/>
      <c r="AG749" t="s">
        <v>790</v>
      </c>
      <c r="AM749" s="1"/>
    </row>
    <row r="750" spans="1:39" x14ac:dyDescent="0.35">
      <c r="A750">
        <v>746</v>
      </c>
      <c r="B750">
        <v>747</v>
      </c>
      <c r="C750">
        <v>146.793535816</v>
      </c>
      <c r="D750">
        <v>-19.140852679000002</v>
      </c>
      <c r="F750" s="63"/>
      <c r="G750" s="63"/>
      <c r="H750" t="s">
        <v>78</v>
      </c>
      <c r="I750" s="64">
        <v>1</v>
      </c>
      <c r="J750" s="31"/>
      <c r="K750" s="31"/>
      <c r="L750" s="31"/>
      <c r="M750" s="31"/>
      <c r="N750" s="4"/>
      <c r="O750" s="4"/>
      <c r="P750" s="4"/>
      <c r="Q750" s="4"/>
      <c r="U750" s="5"/>
      <c r="V750" s="4"/>
      <c r="AG750" t="s">
        <v>791</v>
      </c>
      <c r="AM750" s="1"/>
    </row>
    <row r="751" spans="1:39" x14ac:dyDescent="0.35">
      <c r="A751">
        <v>747</v>
      </c>
      <c r="B751">
        <v>748</v>
      </c>
      <c r="C751">
        <v>146.793528063</v>
      </c>
      <c r="D751">
        <v>-19.140768131000002</v>
      </c>
      <c r="F751" s="63"/>
      <c r="G751" s="63"/>
      <c r="H751" t="s">
        <v>78</v>
      </c>
      <c r="I751" s="64">
        <v>1</v>
      </c>
      <c r="J751" s="31"/>
      <c r="K751" s="31"/>
      <c r="L751" s="31"/>
      <c r="M751" s="31"/>
      <c r="N751" s="4"/>
      <c r="O751" s="4"/>
      <c r="P751" s="4"/>
      <c r="Q751" s="4"/>
      <c r="U751" s="5"/>
      <c r="V751" s="4"/>
      <c r="AG751" t="s">
        <v>792</v>
      </c>
      <c r="AM751" s="1"/>
    </row>
    <row r="752" spans="1:39" x14ac:dyDescent="0.35">
      <c r="A752">
        <v>748</v>
      </c>
      <c r="B752">
        <v>749</v>
      </c>
      <c r="C752">
        <v>146.79352030999999</v>
      </c>
      <c r="D752">
        <v>-19.140683582000001</v>
      </c>
      <c r="F752" s="63"/>
      <c r="G752" s="63"/>
      <c r="H752" t="s">
        <v>78</v>
      </c>
      <c r="I752" s="64">
        <v>1</v>
      </c>
      <c r="J752" s="31"/>
      <c r="K752" s="31"/>
      <c r="L752" s="31"/>
      <c r="M752" s="31"/>
      <c r="N752" s="4"/>
      <c r="O752" s="4"/>
      <c r="P752" s="4"/>
      <c r="Q752" s="4"/>
      <c r="U752" s="5"/>
      <c r="V752" s="4"/>
      <c r="AG752" t="s">
        <v>793</v>
      </c>
      <c r="AM752" s="1"/>
    </row>
    <row r="753" spans="1:39" x14ac:dyDescent="0.35">
      <c r="A753">
        <v>749</v>
      </c>
      <c r="B753">
        <v>750</v>
      </c>
      <c r="C753">
        <v>146.79350226700001</v>
      </c>
      <c r="D753">
        <v>-19.140600764999899</v>
      </c>
      <c r="E753">
        <v>50</v>
      </c>
      <c r="F753" s="63"/>
      <c r="G753" s="63"/>
      <c r="H753" t="s">
        <v>78</v>
      </c>
      <c r="I753" s="64">
        <v>1</v>
      </c>
      <c r="J753" s="31"/>
      <c r="K753" s="31"/>
      <c r="L753" s="31"/>
      <c r="M753" s="31"/>
      <c r="N753" s="4"/>
      <c r="O753" s="4"/>
      <c r="P753" s="4"/>
      <c r="Q753" s="4"/>
      <c r="U753" s="5"/>
      <c r="V753" s="4"/>
      <c r="AG753" t="s">
        <v>794</v>
      </c>
      <c r="AM753" s="1"/>
    </row>
    <row r="754" spans="1:39" x14ac:dyDescent="0.35">
      <c r="A754">
        <v>750</v>
      </c>
      <c r="B754">
        <v>751</v>
      </c>
      <c r="C754">
        <v>146.793478652</v>
      </c>
      <c r="D754">
        <v>-19.140518883999999</v>
      </c>
      <c r="F754" s="63"/>
      <c r="G754" s="63"/>
      <c r="H754" t="s">
        <v>78</v>
      </c>
      <c r="I754" s="64">
        <v>1</v>
      </c>
      <c r="J754" s="31"/>
      <c r="K754" s="31"/>
      <c r="L754" s="31"/>
      <c r="M754" s="31"/>
      <c r="N754" s="4"/>
      <c r="O754" s="4"/>
      <c r="P754" s="4"/>
      <c r="Q754" s="4"/>
      <c r="U754" s="5"/>
      <c r="V754" s="4"/>
      <c r="AG754" t="s">
        <v>795</v>
      </c>
      <c r="AM754" s="1"/>
    </row>
    <row r="755" spans="1:39" x14ac:dyDescent="0.35">
      <c r="A755">
        <v>751</v>
      </c>
      <c r="B755">
        <v>752</v>
      </c>
      <c r="C755">
        <v>146.79345487699999</v>
      </c>
      <c r="D755">
        <v>-19.140437051999999</v>
      </c>
      <c r="F755" s="63"/>
      <c r="G755" s="63"/>
      <c r="H755" t="s">
        <v>78</v>
      </c>
      <c r="I755" s="64">
        <v>1</v>
      </c>
      <c r="J755" s="31"/>
      <c r="K755" s="31"/>
      <c r="L755" s="31"/>
      <c r="M755" s="31"/>
      <c r="N755" s="4"/>
      <c r="O755" s="4"/>
      <c r="P755" s="4"/>
      <c r="Q755" s="4"/>
      <c r="U755" s="5"/>
      <c r="V755" s="4"/>
      <c r="AG755" t="s">
        <v>796</v>
      </c>
      <c r="AM755" s="1"/>
    </row>
    <row r="756" spans="1:39" x14ac:dyDescent="0.35">
      <c r="A756">
        <v>752</v>
      </c>
      <c r="B756">
        <v>753</v>
      </c>
      <c r="C756">
        <v>146.79342349199999</v>
      </c>
      <c r="D756">
        <v>-19.140357535</v>
      </c>
      <c r="F756" s="63"/>
      <c r="G756" s="63"/>
      <c r="H756" t="s">
        <v>78</v>
      </c>
      <c r="I756" s="64">
        <v>1</v>
      </c>
      <c r="J756" s="31"/>
      <c r="K756" s="31"/>
      <c r="L756" s="31"/>
      <c r="M756" s="31"/>
      <c r="N756" s="4"/>
      <c r="O756" s="4"/>
      <c r="P756" s="4"/>
      <c r="Q756" s="4"/>
      <c r="U756" s="5"/>
      <c r="V756" s="4"/>
      <c r="AG756" t="s">
        <v>797</v>
      </c>
      <c r="AM756" s="1"/>
    </row>
    <row r="757" spans="1:39" x14ac:dyDescent="0.35">
      <c r="A757">
        <v>753</v>
      </c>
      <c r="B757">
        <v>754</v>
      </c>
      <c r="C757">
        <v>146.79339120200001</v>
      </c>
      <c r="D757">
        <v>-19.1402783519999</v>
      </c>
      <c r="F757" s="63"/>
      <c r="G757" s="63"/>
      <c r="H757" t="s">
        <v>78</v>
      </c>
      <c r="I757" s="64">
        <v>1</v>
      </c>
      <c r="J757" s="31"/>
      <c r="K757" s="31"/>
      <c r="L757" s="31"/>
      <c r="M757" s="31"/>
      <c r="N757" s="4"/>
      <c r="O757" s="4"/>
      <c r="P757" s="4"/>
      <c r="Q757" s="4"/>
      <c r="U757" s="5"/>
      <c r="V757" s="4"/>
      <c r="AG757" t="s">
        <v>798</v>
      </c>
      <c r="AM757" s="1"/>
    </row>
    <row r="758" spans="1:39" x14ac:dyDescent="0.35">
      <c r="A758">
        <v>754</v>
      </c>
      <c r="B758">
        <v>755</v>
      </c>
      <c r="C758">
        <v>146.793357152</v>
      </c>
      <c r="D758">
        <v>-19.140199818999999</v>
      </c>
      <c r="E758">
        <v>50</v>
      </c>
      <c r="F758" s="63"/>
      <c r="G758" s="63"/>
      <c r="H758" t="s">
        <v>78</v>
      </c>
      <c r="I758" s="64">
        <v>1</v>
      </c>
      <c r="J758" s="31"/>
      <c r="K758" s="31"/>
      <c r="L758" s="31"/>
      <c r="M758" s="31"/>
      <c r="N758" s="4"/>
      <c r="O758" s="4"/>
      <c r="P758" s="4"/>
      <c r="Q758" s="4"/>
      <c r="U758" s="5"/>
      <c r="V758" s="4"/>
      <c r="AG758" t="s">
        <v>799</v>
      </c>
      <c r="AM758" s="1"/>
    </row>
    <row r="759" spans="1:39" x14ac:dyDescent="0.35">
      <c r="A759">
        <v>755</v>
      </c>
      <c r="B759">
        <v>756</v>
      </c>
      <c r="C759">
        <v>146.793323101</v>
      </c>
      <c r="D759">
        <v>-19.140121285999999</v>
      </c>
      <c r="F759" s="63"/>
      <c r="G759" s="63"/>
      <c r="H759" t="s">
        <v>78</v>
      </c>
      <c r="I759" s="64">
        <v>1</v>
      </c>
      <c r="J759" s="31"/>
      <c r="K759" s="31"/>
      <c r="L759" s="31"/>
      <c r="M759" s="31"/>
      <c r="N759" s="4"/>
      <c r="O759" s="4"/>
      <c r="P759" s="4"/>
      <c r="Q759" s="4"/>
      <c r="U759" s="5"/>
      <c r="V759" s="4"/>
      <c r="AG759" t="s">
        <v>800</v>
      </c>
      <c r="AM759" s="1"/>
    </row>
    <row r="760" spans="1:39" x14ac:dyDescent="0.35">
      <c r="A760">
        <v>756</v>
      </c>
      <c r="B760">
        <v>757</v>
      </c>
      <c r="C760">
        <v>146.79328905099999</v>
      </c>
      <c r="D760">
        <v>-19.1400427529999</v>
      </c>
      <c r="F760" s="63"/>
      <c r="G760" s="63"/>
      <c r="H760" t="s">
        <v>78</v>
      </c>
      <c r="I760" s="64">
        <v>1</v>
      </c>
      <c r="J760" s="31"/>
      <c r="K760" s="31"/>
      <c r="L760" s="31"/>
      <c r="M760" s="31"/>
      <c r="N760" s="4"/>
      <c r="O760" s="4"/>
      <c r="P760" s="4"/>
      <c r="Q760" s="4"/>
      <c r="U760" s="5"/>
      <c r="V760" s="4"/>
      <c r="AG760" t="s">
        <v>801</v>
      </c>
      <c r="AM760" s="1"/>
    </row>
    <row r="761" spans="1:39" x14ac:dyDescent="0.35">
      <c r="A761">
        <v>757</v>
      </c>
      <c r="B761">
        <v>758</v>
      </c>
      <c r="C761">
        <v>146.79325452399999</v>
      </c>
      <c r="D761">
        <v>-19.139964424999999</v>
      </c>
      <c r="F761" s="63"/>
      <c r="G761" s="63"/>
      <c r="H761" t="s">
        <v>78</v>
      </c>
      <c r="I761" s="64">
        <v>1</v>
      </c>
      <c r="J761" s="31"/>
      <c r="K761" s="31"/>
      <c r="L761" s="31"/>
      <c r="M761" s="31"/>
      <c r="N761" s="4"/>
      <c r="O761" s="4"/>
      <c r="P761" s="4"/>
      <c r="Q761" s="4"/>
      <c r="U761" s="5"/>
      <c r="V761" s="4"/>
      <c r="AG761" t="s">
        <v>802</v>
      </c>
      <c r="AM761" s="1"/>
    </row>
    <row r="762" spans="1:39" x14ac:dyDescent="0.35">
      <c r="A762">
        <v>758</v>
      </c>
      <c r="B762">
        <v>759</v>
      </c>
      <c r="C762">
        <v>146.79321452299999</v>
      </c>
      <c r="D762">
        <v>-19.139888437</v>
      </c>
      <c r="F762" s="63"/>
      <c r="G762" s="63"/>
      <c r="H762" t="s">
        <v>78</v>
      </c>
      <c r="I762" s="64">
        <v>1</v>
      </c>
      <c r="J762" s="31"/>
      <c r="K762" s="31"/>
      <c r="L762" s="31"/>
      <c r="M762" s="31"/>
      <c r="N762" s="4"/>
      <c r="O762" s="4"/>
      <c r="P762" s="4"/>
      <c r="Q762" s="4"/>
      <c r="U762" s="5"/>
      <c r="V762" s="4"/>
      <c r="AG762" t="s">
        <v>803</v>
      </c>
      <c r="AM762" s="1"/>
    </row>
    <row r="763" spans="1:39" x14ac:dyDescent="0.35">
      <c r="A763">
        <v>759</v>
      </c>
      <c r="B763">
        <v>760</v>
      </c>
      <c r="C763">
        <v>146.793174523</v>
      </c>
      <c r="D763">
        <v>-19.139812449000001</v>
      </c>
      <c r="E763">
        <v>50</v>
      </c>
      <c r="F763" s="63"/>
      <c r="G763" s="63"/>
      <c r="H763" t="s">
        <v>78</v>
      </c>
      <c r="I763" s="64">
        <v>1</v>
      </c>
      <c r="J763" s="31"/>
      <c r="K763" s="31"/>
      <c r="L763" s="31"/>
      <c r="M763" s="31"/>
      <c r="N763" s="4"/>
      <c r="O763" s="4"/>
      <c r="P763" s="4"/>
      <c r="Q763" s="4"/>
      <c r="U763" s="5"/>
      <c r="V763" s="4"/>
      <c r="AG763" t="s">
        <v>804</v>
      </c>
      <c r="AM763" s="1"/>
    </row>
    <row r="764" spans="1:39" x14ac:dyDescent="0.35">
      <c r="A764">
        <v>760</v>
      </c>
      <c r="B764">
        <v>761</v>
      </c>
      <c r="C764">
        <v>146.793134522</v>
      </c>
      <c r="D764">
        <v>-19.139736460999899</v>
      </c>
      <c r="F764" s="63"/>
      <c r="G764" s="63"/>
      <c r="H764" t="s">
        <v>78</v>
      </c>
      <c r="I764" s="64">
        <v>1</v>
      </c>
      <c r="J764" s="31"/>
      <c r="K764" s="31"/>
      <c r="L764" s="31"/>
      <c r="M764" s="31"/>
      <c r="N764" s="4"/>
      <c r="O764" s="4"/>
      <c r="P764" s="4"/>
      <c r="Q764" s="4"/>
      <c r="U764" s="5"/>
      <c r="V764" s="4"/>
      <c r="AG764" t="s">
        <v>805</v>
      </c>
      <c r="AM764" s="1"/>
    </row>
    <row r="765" spans="1:39" x14ac:dyDescent="0.35">
      <c r="A765">
        <v>761</v>
      </c>
      <c r="B765">
        <v>762</v>
      </c>
      <c r="C765">
        <v>146.793094521</v>
      </c>
      <c r="D765">
        <v>-19.1396604729999</v>
      </c>
      <c r="F765" s="63"/>
      <c r="G765" s="63"/>
      <c r="H765" t="s">
        <v>78</v>
      </c>
      <c r="I765" s="64">
        <v>1</v>
      </c>
      <c r="J765" s="31"/>
      <c r="K765" s="31"/>
      <c r="L765" s="31"/>
      <c r="M765" s="31"/>
      <c r="N765" s="4"/>
      <c r="O765" s="4"/>
      <c r="P765" s="4"/>
      <c r="Q765" s="4"/>
      <c r="U765" s="5"/>
      <c r="V765" s="4"/>
      <c r="AG765" t="s">
        <v>806</v>
      </c>
      <c r="AM765" s="1"/>
    </row>
    <row r="766" spans="1:39" x14ac:dyDescent="0.35">
      <c r="A766">
        <v>762</v>
      </c>
      <c r="B766">
        <v>763</v>
      </c>
      <c r="C766">
        <v>146.79305452099999</v>
      </c>
      <c r="D766">
        <v>-19.139584484999901</v>
      </c>
      <c r="F766" s="63"/>
      <c r="G766" s="63"/>
      <c r="H766" t="s">
        <v>78</v>
      </c>
      <c r="I766" s="64">
        <v>1</v>
      </c>
      <c r="J766" s="31"/>
      <c r="K766" s="31"/>
      <c r="L766" s="31"/>
      <c r="M766" s="31"/>
      <c r="N766" s="4"/>
      <c r="O766" s="4"/>
      <c r="P766" s="4"/>
      <c r="Q766" s="4"/>
      <c r="U766" s="5"/>
      <c r="V766" s="4"/>
      <c r="AG766" t="s">
        <v>807</v>
      </c>
      <c r="AM766" s="1"/>
    </row>
    <row r="767" spans="1:39" x14ac:dyDescent="0.35">
      <c r="A767">
        <v>763</v>
      </c>
      <c r="B767">
        <v>764</v>
      </c>
      <c r="C767">
        <v>146.79301415899999</v>
      </c>
      <c r="D767">
        <v>-19.139508673999998</v>
      </c>
      <c r="F767" s="63"/>
      <c r="G767" s="63"/>
      <c r="H767" t="s">
        <v>78</v>
      </c>
      <c r="I767" s="64">
        <v>1</v>
      </c>
      <c r="J767" s="31"/>
      <c r="K767" s="31"/>
      <c r="L767" s="31"/>
      <c r="M767" s="31"/>
      <c r="N767" s="4"/>
      <c r="O767" s="4"/>
      <c r="P767" s="4"/>
      <c r="Q767" s="4"/>
      <c r="U767" s="5"/>
      <c r="V767" s="4"/>
      <c r="AG767" t="s">
        <v>808</v>
      </c>
      <c r="AM767" s="1"/>
    </row>
    <row r="768" spans="1:39" x14ac:dyDescent="0.35">
      <c r="A768">
        <v>764</v>
      </c>
      <c r="B768">
        <v>765</v>
      </c>
      <c r="C768">
        <v>146.792971435</v>
      </c>
      <c r="D768">
        <v>-19.1394340209999</v>
      </c>
      <c r="E768">
        <v>50</v>
      </c>
      <c r="F768" s="63"/>
      <c r="G768" s="63"/>
      <c r="H768" t="s">
        <v>78</v>
      </c>
      <c r="I768" s="64">
        <v>1</v>
      </c>
      <c r="J768" s="31"/>
      <c r="K768" s="31"/>
      <c r="L768" s="31"/>
      <c r="M768" s="31"/>
      <c r="N768" s="4"/>
      <c r="O768" s="4"/>
      <c r="P768" s="4"/>
      <c r="Q768" s="4"/>
      <c r="U768" s="5"/>
      <c r="V768" s="4"/>
      <c r="AG768" t="s">
        <v>809</v>
      </c>
      <c r="AM768" s="1"/>
    </row>
    <row r="769" spans="1:39" x14ac:dyDescent="0.35">
      <c r="A769">
        <v>765</v>
      </c>
      <c r="B769">
        <v>766</v>
      </c>
      <c r="C769">
        <v>146.792928711</v>
      </c>
      <c r="D769">
        <v>-19.139359367999901</v>
      </c>
      <c r="F769" s="63"/>
      <c r="G769" s="63"/>
      <c r="H769" t="s">
        <v>78</v>
      </c>
      <c r="I769" s="64">
        <v>1</v>
      </c>
      <c r="J769" s="31"/>
      <c r="K769" s="31"/>
      <c r="L769" s="31"/>
      <c r="M769" s="31"/>
      <c r="N769" s="4"/>
      <c r="O769" s="4"/>
      <c r="P769" s="4"/>
      <c r="Q769" s="4"/>
      <c r="U769" s="5"/>
      <c r="V769" s="4"/>
      <c r="AG769" t="s">
        <v>810</v>
      </c>
      <c r="AM769" s="1"/>
    </row>
    <row r="770" spans="1:39" x14ac:dyDescent="0.35">
      <c r="A770">
        <v>766</v>
      </c>
      <c r="B770">
        <v>767</v>
      </c>
      <c r="C770">
        <v>146.79288598700001</v>
      </c>
      <c r="D770">
        <v>-19.139284713999899</v>
      </c>
      <c r="F770" s="63"/>
      <c r="G770" s="63"/>
      <c r="H770" t="s">
        <v>78</v>
      </c>
      <c r="I770" s="64">
        <v>1</v>
      </c>
      <c r="J770" s="31"/>
      <c r="K770" s="31"/>
      <c r="L770" s="31"/>
      <c r="M770" s="31"/>
      <c r="N770" s="4"/>
      <c r="O770" s="4"/>
      <c r="P770" s="4"/>
      <c r="Q770" s="4"/>
      <c r="U770" s="5"/>
      <c r="V770" s="4"/>
      <c r="AG770" t="s">
        <v>811</v>
      </c>
      <c r="AM770" s="1"/>
    </row>
    <row r="771" spans="1:39" x14ac:dyDescent="0.35">
      <c r="A771">
        <v>767</v>
      </c>
      <c r="B771">
        <v>768</v>
      </c>
      <c r="C771">
        <v>146.79284326300001</v>
      </c>
      <c r="D771">
        <v>-19.139210061</v>
      </c>
      <c r="F771" s="63"/>
      <c r="G771" s="63"/>
      <c r="H771" t="s">
        <v>26</v>
      </c>
      <c r="I771" s="64"/>
      <c r="J771" s="31"/>
      <c r="K771" s="31"/>
      <c r="L771" s="31"/>
      <c r="M771" s="31"/>
      <c r="N771" s="4"/>
      <c r="O771" s="4"/>
      <c r="P771" s="4"/>
      <c r="Q771" s="4"/>
      <c r="U771" s="5"/>
      <c r="V771" s="4"/>
      <c r="AG771" t="s">
        <v>812</v>
      </c>
      <c r="AM771" s="1"/>
    </row>
    <row r="772" spans="1:39" x14ac:dyDescent="0.35">
      <c r="A772">
        <v>768</v>
      </c>
      <c r="B772">
        <v>769</v>
      </c>
      <c r="C772">
        <v>146.792801521</v>
      </c>
      <c r="D772">
        <v>-19.139134925</v>
      </c>
      <c r="F772" s="63"/>
      <c r="G772" s="63"/>
      <c r="H772" t="s">
        <v>26</v>
      </c>
      <c r="I772" s="64"/>
      <c r="J772" s="31"/>
      <c r="K772" s="31"/>
      <c r="L772" s="31"/>
      <c r="M772" s="31"/>
      <c r="N772" s="4"/>
      <c r="O772" s="4"/>
      <c r="P772" s="4"/>
      <c r="Q772" s="4"/>
      <c r="U772" s="5"/>
      <c r="V772" s="4"/>
      <c r="AG772" t="s">
        <v>813</v>
      </c>
      <c r="AM772" s="1"/>
    </row>
    <row r="773" spans="1:39" x14ac:dyDescent="0.35">
      <c r="A773">
        <v>769</v>
      </c>
      <c r="B773">
        <v>770</v>
      </c>
      <c r="C773">
        <v>146.79276129799999</v>
      </c>
      <c r="D773">
        <v>-19.1390590409999</v>
      </c>
      <c r="E773">
        <v>50</v>
      </c>
      <c r="F773" s="63"/>
      <c r="G773" s="63"/>
      <c r="H773" t="s">
        <v>26</v>
      </c>
      <c r="I773" s="64"/>
      <c r="J773" s="31"/>
      <c r="K773" s="31"/>
      <c r="L773" s="31"/>
      <c r="M773" s="31"/>
      <c r="N773" s="4"/>
      <c r="O773" s="4"/>
      <c r="P773" s="4"/>
      <c r="Q773" s="4"/>
      <c r="U773" s="5"/>
      <c r="V773" s="4"/>
      <c r="AG773" t="s">
        <v>814</v>
      </c>
      <c r="AM773" s="1"/>
    </row>
    <row r="774" spans="1:39" x14ac:dyDescent="0.35">
      <c r="A774">
        <v>770</v>
      </c>
      <c r="B774">
        <v>771</v>
      </c>
      <c r="C774">
        <v>146.792721075</v>
      </c>
      <c r="D774">
        <v>-19.138983157999998</v>
      </c>
      <c r="F774" s="63"/>
      <c r="G774" s="63"/>
      <c r="H774" t="s">
        <v>26</v>
      </c>
      <c r="I774" s="64"/>
      <c r="J774" s="31"/>
      <c r="K774" s="31"/>
      <c r="L774" s="31"/>
      <c r="M774" s="31"/>
      <c r="N774" s="4"/>
      <c r="O774" s="4"/>
      <c r="P774" s="4"/>
      <c r="Q774" s="4"/>
      <c r="U774" s="5"/>
      <c r="V774" s="4"/>
      <c r="AG774" t="s">
        <v>815</v>
      </c>
      <c r="AM774" s="1"/>
    </row>
    <row r="775" spans="1:39" x14ac:dyDescent="0.35">
      <c r="A775">
        <v>771</v>
      </c>
      <c r="B775">
        <v>772</v>
      </c>
      <c r="C775">
        <v>146.79268085199999</v>
      </c>
      <c r="D775">
        <v>-19.138907275000001</v>
      </c>
      <c r="F775" s="63"/>
      <c r="G775" s="63"/>
      <c r="H775" t="s">
        <v>26</v>
      </c>
      <c r="I775" s="64"/>
      <c r="J775" s="31"/>
      <c r="K775" s="31"/>
      <c r="L775" s="31"/>
      <c r="M775" s="31"/>
      <c r="N775" s="4"/>
      <c r="O775" s="4"/>
      <c r="P775" s="4"/>
      <c r="Q775" s="4"/>
      <c r="U775" s="5"/>
      <c r="V775" s="4"/>
      <c r="AG775" t="s">
        <v>816</v>
      </c>
      <c r="AM775" s="1"/>
    </row>
    <row r="776" spans="1:39" x14ac:dyDescent="0.35">
      <c r="A776">
        <v>772</v>
      </c>
      <c r="B776">
        <v>773</v>
      </c>
      <c r="C776">
        <v>146.792636192</v>
      </c>
      <c r="D776">
        <v>-19.1388339219999</v>
      </c>
      <c r="F776" s="63"/>
      <c r="G776" s="63"/>
      <c r="H776" t="s">
        <v>26</v>
      </c>
      <c r="I776" s="64"/>
      <c r="J776" s="31"/>
      <c r="K776" s="31"/>
      <c r="L776" s="31"/>
      <c r="M776" s="31"/>
      <c r="N776" s="4"/>
      <c r="O776" s="4"/>
      <c r="P776" s="4"/>
      <c r="Q776" s="4"/>
      <c r="U776" s="5"/>
      <c r="V776" s="4"/>
      <c r="AG776" t="s">
        <v>817</v>
      </c>
      <c r="AM776" s="1"/>
    </row>
    <row r="777" spans="1:39" x14ac:dyDescent="0.35">
      <c r="A777">
        <v>773</v>
      </c>
      <c r="B777">
        <v>774</v>
      </c>
      <c r="C777">
        <v>146.792583837</v>
      </c>
      <c r="D777">
        <v>-19.138764959</v>
      </c>
      <c r="F777" s="63"/>
      <c r="G777" s="63"/>
      <c r="H777" t="s">
        <v>26</v>
      </c>
      <c r="I777" s="64"/>
      <c r="J777" s="31"/>
      <c r="K777" s="31"/>
      <c r="L777" s="31"/>
      <c r="M777" s="31"/>
      <c r="N777" s="4"/>
      <c r="O777" s="4"/>
      <c r="P777" s="4"/>
      <c r="Q777" s="4"/>
      <c r="U777" s="5"/>
      <c r="V777" s="4"/>
      <c r="AG777" t="s">
        <v>818</v>
      </c>
      <c r="AM777" s="1"/>
    </row>
    <row r="778" spans="1:39" x14ac:dyDescent="0.35">
      <c r="A778">
        <v>774</v>
      </c>
      <c r="B778">
        <v>775</v>
      </c>
      <c r="C778">
        <v>146.79253148199999</v>
      </c>
      <c r="D778">
        <v>-19.138695995999999</v>
      </c>
      <c r="E778">
        <v>50</v>
      </c>
      <c r="F778" s="63"/>
      <c r="G778" s="63"/>
      <c r="H778" t="s">
        <v>78</v>
      </c>
      <c r="I778" s="64">
        <v>1</v>
      </c>
      <c r="J778" s="31"/>
      <c r="K778" s="31"/>
      <c r="L778" s="31"/>
      <c r="M778" s="31"/>
      <c r="N778" s="4"/>
      <c r="O778" s="4"/>
      <c r="P778" s="4"/>
      <c r="Q778" s="4"/>
      <c r="U778" s="5"/>
      <c r="V778" s="4"/>
      <c r="AG778" t="s">
        <v>819</v>
      </c>
      <c r="AM778" s="1"/>
    </row>
    <row r="779" spans="1:39" x14ac:dyDescent="0.35">
      <c r="A779">
        <v>775</v>
      </c>
      <c r="B779">
        <v>776</v>
      </c>
      <c r="C779">
        <v>146.79247912599999</v>
      </c>
      <c r="D779">
        <v>-19.138627033999999</v>
      </c>
      <c r="F779" s="63"/>
      <c r="G779" s="63"/>
      <c r="H779" t="s">
        <v>78</v>
      </c>
      <c r="I779" s="64">
        <v>1</v>
      </c>
      <c r="J779" s="31"/>
      <c r="K779" s="31"/>
      <c r="L779" s="31"/>
      <c r="M779" s="31"/>
      <c r="N779" s="4"/>
      <c r="O779" s="4"/>
      <c r="P779" s="4"/>
      <c r="Q779" s="4"/>
      <c r="U779" s="5"/>
      <c r="V779" s="4"/>
      <c r="AG779" t="s">
        <v>820</v>
      </c>
      <c r="AM779" s="1"/>
    </row>
    <row r="780" spans="1:39" x14ac:dyDescent="0.35">
      <c r="A780">
        <v>776</v>
      </c>
      <c r="B780">
        <v>777</v>
      </c>
      <c r="C780">
        <v>146.79242677100001</v>
      </c>
      <c r="D780">
        <v>-19.138558070999999</v>
      </c>
      <c r="F780" s="63"/>
      <c r="G780" s="63"/>
      <c r="H780" t="s">
        <v>78</v>
      </c>
      <c r="I780" s="64">
        <v>1</v>
      </c>
      <c r="J780" s="31"/>
      <c r="K780" s="31"/>
      <c r="L780" s="31"/>
      <c r="M780" s="31"/>
      <c r="N780" s="4"/>
      <c r="O780" s="4"/>
      <c r="P780" s="4"/>
      <c r="Q780" s="4"/>
      <c r="U780" s="5"/>
      <c r="V780" s="4"/>
      <c r="AG780" t="s">
        <v>821</v>
      </c>
      <c r="AM780" s="1"/>
    </row>
    <row r="781" spans="1:39" x14ac:dyDescent="0.35">
      <c r="A781">
        <v>777</v>
      </c>
      <c r="B781">
        <v>778</v>
      </c>
      <c r="C781">
        <v>146.792374416</v>
      </c>
      <c r="D781">
        <v>-19.138489107999899</v>
      </c>
      <c r="F781" s="63"/>
      <c r="G781" s="63"/>
      <c r="H781" t="s">
        <v>78</v>
      </c>
      <c r="I781" s="64">
        <v>1</v>
      </c>
      <c r="J781" s="31"/>
      <c r="K781" s="31"/>
      <c r="L781" s="31"/>
      <c r="M781" s="31"/>
      <c r="N781" s="4"/>
      <c r="O781" s="4"/>
      <c r="P781" s="4"/>
      <c r="Q781" s="4"/>
      <c r="U781" s="5"/>
      <c r="V781" s="4"/>
      <c r="AG781" t="s">
        <v>822</v>
      </c>
      <c r="AM781" s="1"/>
    </row>
    <row r="782" spans="1:39" x14ac:dyDescent="0.35">
      <c r="A782">
        <v>778</v>
      </c>
      <c r="B782">
        <v>779</v>
      </c>
      <c r="C782">
        <v>146.79232206099999</v>
      </c>
      <c r="D782">
        <v>-19.138420144999898</v>
      </c>
      <c r="F782" s="63"/>
      <c r="G782" s="63"/>
      <c r="H782" t="s">
        <v>78</v>
      </c>
      <c r="I782" s="64">
        <v>1</v>
      </c>
      <c r="J782" s="31"/>
      <c r="K782" s="31"/>
      <c r="L782" s="31"/>
      <c r="M782" s="31"/>
      <c r="N782" s="4"/>
      <c r="O782" s="4"/>
      <c r="P782" s="4"/>
      <c r="Q782" s="4"/>
      <c r="U782" s="5"/>
      <c r="V782" s="4"/>
      <c r="AG782" t="s">
        <v>823</v>
      </c>
      <c r="AM782" s="1"/>
    </row>
    <row r="783" spans="1:39" x14ac:dyDescent="0.35">
      <c r="A783">
        <v>779</v>
      </c>
      <c r="B783">
        <v>780</v>
      </c>
      <c r="C783">
        <v>146.79226970600001</v>
      </c>
      <c r="D783">
        <v>-19.138351182000001</v>
      </c>
      <c r="E783">
        <v>50</v>
      </c>
      <c r="F783" s="63"/>
      <c r="G783" s="63"/>
      <c r="H783" t="s">
        <v>78</v>
      </c>
      <c r="I783" s="64">
        <v>1</v>
      </c>
      <c r="J783" s="31"/>
      <c r="K783" s="31"/>
      <c r="L783" s="31"/>
      <c r="M783" s="31"/>
      <c r="N783" s="4"/>
      <c r="O783" s="4"/>
      <c r="P783" s="4"/>
      <c r="Q783" s="4"/>
      <c r="U783" s="5"/>
      <c r="V783" s="4"/>
      <c r="AG783" t="s">
        <v>824</v>
      </c>
      <c r="AM783" s="1"/>
    </row>
    <row r="784" spans="1:39" x14ac:dyDescent="0.35">
      <c r="A784">
        <v>780</v>
      </c>
      <c r="B784">
        <v>781</v>
      </c>
      <c r="C784">
        <v>146.79221504200001</v>
      </c>
      <c r="D784">
        <v>-19.138283994999899</v>
      </c>
      <c r="F784" s="63"/>
      <c r="G784" s="63"/>
      <c r="H784" t="s">
        <v>78</v>
      </c>
      <c r="I784" s="64">
        <v>1</v>
      </c>
      <c r="J784" s="31"/>
      <c r="K784" s="31"/>
      <c r="L784" s="31"/>
      <c r="M784" s="31"/>
      <c r="N784" s="4"/>
      <c r="O784" s="4"/>
      <c r="P784" s="4"/>
      <c r="Q784" s="4"/>
      <c r="U784" s="5"/>
      <c r="V784" s="4"/>
      <c r="AG784" t="s">
        <v>825</v>
      </c>
      <c r="AM784" s="1"/>
    </row>
    <row r="785" spans="1:39" x14ac:dyDescent="0.35">
      <c r="A785">
        <v>781</v>
      </c>
      <c r="B785">
        <v>782</v>
      </c>
      <c r="C785">
        <v>146.79215416599999</v>
      </c>
      <c r="D785">
        <v>-19.138221587</v>
      </c>
      <c r="F785" s="63"/>
      <c r="G785" s="63"/>
      <c r="H785" t="s">
        <v>78</v>
      </c>
      <c r="I785" s="64">
        <v>1</v>
      </c>
      <c r="J785" s="31"/>
      <c r="K785" s="31"/>
      <c r="L785" s="31"/>
      <c r="M785" s="31"/>
      <c r="N785" s="4"/>
      <c r="O785" s="4"/>
      <c r="P785" s="4"/>
      <c r="Q785" s="4"/>
      <c r="U785" s="5"/>
      <c r="V785" s="4"/>
      <c r="AG785" t="s">
        <v>826</v>
      </c>
      <c r="AM785" s="1"/>
    </row>
    <row r="786" spans="1:39" x14ac:dyDescent="0.35">
      <c r="A786">
        <v>782</v>
      </c>
      <c r="B786">
        <v>783</v>
      </c>
      <c r="C786">
        <v>146.79209329</v>
      </c>
      <c r="D786">
        <v>-19.138159178999999</v>
      </c>
      <c r="F786" s="63"/>
      <c r="G786" s="63"/>
      <c r="H786" t="s">
        <v>78</v>
      </c>
      <c r="I786" s="64">
        <v>1</v>
      </c>
      <c r="J786" s="31"/>
      <c r="K786" s="31"/>
      <c r="L786" s="31"/>
      <c r="M786" s="31"/>
      <c r="N786" s="4"/>
      <c r="O786" s="4"/>
      <c r="P786" s="4"/>
      <c r="Q786" s="4"/>
      <c r="U786" s="5"/>
      <c r="V786" s="4"/>
      <c r="AG786" t="s">
        <v>827</v>
      </c>
      <c r="AM786" s="1"/>
    </row>
    <row r="787" spans="1:39" x14ac:dyDescent="0.35">
      <c r="A787">
        <v>783</v>
      </c>
      <c r="B787">
        <v>784</v>
      </c>
      <c r="C787">
        <v>146.79203241499999</v>
      </c>
      <c r="D787">
        <v>-19.138096769999901</v>
      </c>
      <c r="F787" s="63"/>
      <c r="G787" s="63"/>
      <c r="H787" t="s">
        <v>78</v>
      </c>
      <c r="I787" s="64">
        <v>1</v>
      </c>
      <c r="J787" s="31"/>
      <c r="K787" s="31"/>
      <c r="L787" s="31"/>
      <c r="M787" s="31"/>
      <c r="N787" s="4"/>
      <c r="O787" s="4"/>
      <c r="P787" s="4"/>
      <c r="Q787" s="4"/>
      <c r="U787" s="5"/>
      <c r="V787" s="4"/>
      <c r="AG787" t="s">
        <v>828</v>
      </c>
      <c r="AM787" s="1"/>
    </row>
    <row r="788" spans="1:39" x14ac:dyDescent="0.35">
      <c r="A788">
        <v>784</v>
      </c>
      <c r="B788">
        <v>785</v>
      </c>
      <c r="C788">
        <v>146.791971539</v>
      </c>
      <c r="D788">
        <v>-19.1380343619999</v>
      </c>
      <c r="E788">
        <v>50</v>
      </c>
      <c r="F788" s="63"/>
      <c r="G788" s="63"/>
      <c r="H788" t="s">
        <v>78</v>
      </c>
      <c r="I788" s="64">
        <v>1</v>
      </c>
      <c r="J788" s="31"/>
      <c r="K788" s="31"/>
      <c r="L788" s="31"/>
      <c r="M788" s="31"/>
      <c r="N788" s="4"/>
      <c r="O788" s="4"/>
      <c r="P788" s="4"/>
      <c r="Q788" s="4"/>
      <c r="U788" s="5"/>
      <c r="V788" s="4"/>
      <c r="AG788" t="s">
        <v>829</v>
      </c>
      <c r="AM788" s="1"/>
    </row>
    <row r="789" spans="1:39" x14ac:dyDescent="0.35">
      <c r="A789">
        <v>785</v>
      </c>
      <c r="B789">
        <v>786</v>
      </c>
      <c r="C789">
        <v>146.79191103400001</v>
      </c>
      <c r="D789">
        <v>-19.137971641</v>
      </c>
      <c r="F789" s="63"/>
      <c r="G789" s="63"/>
      <c r="H789" t="s">
        <v>78</v>
      </c>
      <c r="I789" s="64">
        <v>1</v>
      </c>
      <c r="J789" s="31"/>
      <c r="K789" s="31"/>
      <c r="L789" s="31"/>
      <c r="M789" s="31"/>
      <c r="N789" s="4"/>
      <c r="O789" s="4"/>
      <c r="P789" s="4"/>
      <c r="Q789" s="4"/>
      <c r="U789" s="5"/>
      <c r="V789" s="4"/>
      <c r="AG789" t="s">
        <v>830</v>
      </c>
      <c r="AM789" s="1"/>
    </row>
    <row r="790" spans="1:39" x14ac:dyDescent="0.35">
      <c r="A790">
        <v>786</v>
      </c>
      <c r="B790">
        <v>787</v>
      </c>
      <c r="C790">
        <v>146.791852398</v>
      </c>
      <c r="D790">
        <v>-19.137907346999999</v>
      </c>
      <c r="F790" s="63"/>
      <c r="G790" s="63"/>
      <c r="H790" t="s">
        <v>78</v>
      </c>
      <c r="I790" s="64">
        <v>1</v>
      </c>
      <c r="J790" s="31"/>
      <c r="K790" s="31"/>
      <c r="L790" s="31"/>
      <c r="M790" s="31"/>
      <c r="N790" s="4"/>
      <c r="O790" s="4"/>
      <c r="P790" s="4"/>
      <c r="Q790" s="4"/>
      <c r="U790" s="5"/>
      <c r="V790" s="4"/>
      <c r="AG790" t="s">
        <v>831</v>
      </c>
      <c r="AM790" s="1"/>
    </row>
    <row r="791" spans="1:39" x14ac:dyDescent="0.35">
      <c r="A791">
        <v>787</v>
      </c>
      <c r="B791">
        <v>788</v>
      </c>
      <c r="C791">
        <v>146.79179376299999</v>
      </c>
      <c r="D791">
        <v>-19.137843052999902</v>
      </c>
      <c r="F791" s="63"/>
      <c r="G791" s="63"/>
      <c r="H791" t="s">
        <v>78</v>
      </c>
      <c r="I791" s="64">
        <v>1</v>
      </c>
      <c r="J791" s="31"/>
      <c r="K791" s="31"/>
      <c r="L791" s="31"/>
      <c r="M791" s="31"/>
      <c r="N791" s="4"/>
      <c r="O791" s="4"/>
      <c r="P791" s="4"/>
      <c r="Q791" s="4"/>
      <c r="U791" s="5"/>
      <c r="V791" s="4"/>
      <c r="AG791" t="s">
        <v>832</v>
      </c>
      <c r="AM791" s="1"/>
    </row>
    <row r="792" spans="1:39" x14ac:dyDescent="0.35">
      <c r="A792">
        <v>788</v>
      </c>
      <c r="B792">
        <v>789</v>
      </c>
      <c r="C792">
        <v>146.79173512700001</v>
      </c>
      <c r="D792">
        <v>-19.137778758</v>
      </c>
      <c r="F792" s="63"/>
      <c r="G792" s="63"/>
      <c r="H792" t="s">
        <v>78</v>
      </c>
      <c r="I792" s="64">
        <v>1</v>
      </c>
      <c r="J792" s="31"/>
      <c r="K792" s="31"/>
      <c r="L792" s="31"/>
      <c r="M792" s="31"/>
      <c r="N792" s="4"/>
      <c r="O792" s="4"/>
      <c r="P792" s="4"/>
      <c r="Q792" s="4"/>
      <c r="U792" s="5"/>
      <c r="V792" s="4"/>
      <c r="AG792" t="s">
        <v>833</v>
      </c>
      <c r="AM792" s="1"/>
    </row>
    <row r="793" spans="1:39" x14ac:dyDescent="0.35">
      <c r="A793">
        <v>789</v>
      </c>
      <c r="B793">
        <v>790</v>
      </c>
      <c r="C793">
        <v>146.79167649199999</v>
      </c>
      <c r="D793">
        <v>-19.137714463999899</v>
      </c>
      <c r="E793">
        <v>50</v>
      </c>
      <c r="F793" s="63"/>
      <c r="G793" s="63"/>
      <c r="H793" t="s">
        <v>78</v>
      </c>
      <c r="I793" s="64">
        <v>1</v>
      </c>
      <c r="J793" s="31"/>
      <c r="K793" s="31"/>
      <c r="L793" s="31"/>
      <c r="M793" s="31"/>
      <c r="N793" s="4"/>
      <c r="O793" s="4"/>
      <c r="P793" s="4"/>
      <c r="Q793" s="4"/>
      <c r="U793" s="5"/>
      <c r="V793" s="4"/>
      <c r="AG793" t="s">
        <v>834</v>
      </c>
      <c r="AM793" s="1"/>
    </row>
    <row r="794" spans="1:39" x14ac:dyDescent="0.35">
      <c r="A794">
        <v>790</v>
      </c>
      <c r="B794">
        <v>791</v>
      </c>
      <c r="C794">
        <v>146.79161785599999</v>
      </c>
      <c r="D794">
        <v>-19.137650169</v>
      </c>
      <c r="F794" s="63"/>
      <c r="G794" s="63"/>
      <c r="H794" t="s">
        <v>78</v>
      </c>
      <c r="I794" s="64">
        <v>1</v>
      </c>
      <c r="J794" s="31"/>
      <c r="K794" s="31"/>
      <c r="L794" s="31"/>
      <c r="M794" s="31"/>
      <c r="N794" s="4"/>
      <c r="O794" s="4"/>
      <c r="P794" s="4"/>
      <c r="Q794" s="4"/>
      <c r="U794" s="5"/>
      <c r="V794" s="4"/>
      <c r="AG794" t="s">
        <v>835</v>
      </c>
      <c r="AM794" s="1"/>
    </row>
    <row r="795" spans="1:39" x14ac:dyDescent="0.35">
      <c r="A795">
        <v>791</v>
      </c>
      <c r="B795">
        <v>792</v>
      </c>
      <c r="C795">
        <v>146.79155922000001</v>
      </c>
      <c r="D795">
        <v>-19.137585874999999</v>
      </c>
      <c r="F795" s="63"/>
      <c r="G795" s="63"/>
      <c r="H795" t="s">
        <v>78</v>
      </c>
      <c r="I795" s="64">
        <v>1</v>
      </c>
      <c r="J795" s="31"/>
      <c r="K795" s="31"/>
      <c r="L795" s="31"/>
      <c r="M795" s="31"/>
      <c r="N795" s="4"/>
      <c r="O795" s="4"/>
      <c r="P795" s="4"/>
      <c r="Q795" s="4"/>
      <c r="U795" s="5"/>
      <c r="V795" s="4"/>
      <c r="AG795" t="s">
        <v>836</v>
      </c>
      <c r="AM795" s="1"/>
    </row>
    <row r="796" spans="1:39" x14ac:dyDescent="0.35">
      <c r="A796">
        <v>792</v>
      </c>
      <c r="B796">
        <v>793</v>
      </c>
      <c r="C796">
        <v>146.79150058499999</v>
      </c>
      <c r="D796">
        <v>-19.137521579999898</v>
      </c>
      <c r="F796" s="63"/>
      <c r="G796" s="63"/>
      <c r="H796" t="s">
        <v>78</v>
      </c>
      <c r="I796" s="64">
        <v>1</v>
      </c>
      <c r="J796" s="31"/>
      <c r="K796" s="31"/>
      <c r="L796" s="31"/>
      <c r="M796" s="31"/>
      <c r="N796" s="4"/>
      <c r="O796" s="4"/>
      <c r="P796" s="4"/>
      <c r="Q796" s="4"/>
      <c r="U796" s="5"/>
      <c r="V796" s="4"/>
      <c r="AG796" t="s">
        <v>837</v>
      </c>
      <c r="AM796" s="1"/>
    </row>
    <row r="797" spans="1:39" x14ac:dyDescent="0.35">
      <c r="A797">
        <v>793</v>
      </c>
      <c r="B797">
        <v>794</v>
      </c>
      <c r="C797">
        <v>146.79144194899999</v>
      </c>
      <c r="D797">
        <v>-19.137457286</v>
      </c>
      <c r="F797" s="63"/>
      <c r="G797" s="63"/>
      <c r="H797" t="s">
        <v>78</v>
      </c>
      <c r="I797" s="64">
        <v>1</v>
      </c>
      <c r="J797" s="31"/>
      <c r="K797" s="31"/>
      <c r="L797" s="31"/>
      <c r="M797" s="31"/>
      <c r="N797" s="4"/>
      <c r="O797" s="4"/>
      <c r="P797" s="4"/>
      <c r="Q797" s="4"/>
      <c r="U797" s="5"/>
      <c r="V797" s="4"/>
      <c r="AG797" t="s">
        <v>838</v>
      </c>
      <c r="AM797" s="1"/>
    </row>
    <row r="798" spans="1:39" x14ac:dyDescent="0.35">
      <c r="A798">
        <v>794</v>
      </c>
      <c r="B798">
        <v>795</v>
      </c>
      <c r="C798">
        <v>146.791383271</v>
      </c>
      <c r="D798">
        <v>-19.137393029999899</v>
      </c>
      <c r="E798">
        <v>50</v>
      </c>
      <c r="F798" s="63"/>
      <c r="G798" s="63"/>
      <c r="H798" t="s">
        <v>78</v>
      </c>
      <c r="I798" s="64">
        <v>1</v>
      </c>
      <c r="J798" s="31"/>
      <c r="K798" s="31"/>
      <c r="L798" s="31"/>
      <c r="M798" s="31"/>
      <c r="N798" s="4"/>
      <c r="O798" s="4"/>
      <c r="P798" s="4"/>
      <c r="Q798" s="4"/>
      <c r="U798" s="5"/>
      <c r="V798" s="4"/>
      <c r="AG798" t="s">
        <v>839</v>
      </c>
      <c r="AM798" s="1"/>
    </row>
    <row r="799" spans="1:39" x14ac:dyDescent="0.35">
      <c r="A799">
        <v>795</v>
      </c>
      <c r="B799">
        <v>796</v>
      </c>
      <c r="C799">
        <v>146.79131762</v>
      </c>
      <c r="D799">
        <v>-19.137335102000002</v>
      </c>
      <c r="F799" s="63"/>
      <c r="G799" s="63"/>
      <c r="H799" t="s">
        <v>78</v>
      </c>
      <c r="I799" s="64">
        <v>1</v>
      </c>
      <c r="J799" s="31"/>
      <c r="K799" s="31"/>
      <c r="L799" s="31"/>
      <c r="M799" s="31"/>
      <c r="N799" s="4"/>
      <c r="O799" s="4"/>
      <c r="P799" s="4"/>
      <c r="Q799" s="4"/>
      <c r="U799" s="5"/>
      <c r="V799" s="4"/>
      <c r="AG799" t="s">
        <v>840</v>
      </c>
      <c r="AM799" s="1"/>
    </row>
    <row r="800" spans="1:39" x14ac:dyDescent="0.35">
      <c r="A800">
        <v>796</v>
      </c>
      <c r="B800">
        <v>797</v>
      </c>
      <c r="C800">
        <v>146.79125196999999</v>
      </c>
      <c r="D800">
        <v>-19.137277174000001</v>
      </c>
      <c r="F800" s="63"/>
      <c r="G800" s="63"/>
      <c r="H800" t="s">
        <v>78</v>
      </c>
      <c r="I800" s="64">
        <v>1</v>
      </c>
      <c r="J800" s="31"/>
      <c r="K800" s="31"/>
      <c r="L800" s="31"/>
      <c r="M800" s="31"/>
      <c r="N800" s="4"/>
      <c r="O800" s="4"/>
      <c r="P800" s="4"/>
      <c r="Q800" s="4"/>
      <c r="U800" s="5"/>
      <c r="V800" s="4"/>
      <c r="AG800" t="s">
        <v>841</v>
      </c>
      <c r="AM800" s="1"/>
    </row>
    <row r="801" spans="1:39" x14ac:dyDescent="0.35">
      <c r="A801">
        <v>797</v>
      </c>
      <c r="B801">
        <v>798</v>
      </c>
      <c r="C801">
        <v>146.79118632000001</v>
      </c>
      <c r="D801">
        <v>-19.137219246000001</v>
      </c>
      <c r="F801" s="63"/>
      <c r="G801" s="63"/>
      <c r="H801" t="s">
        <v>78</v>
      </c>
      <c r="I801" s="64">
        <v>1</v>
      </c>
      <c r="J801" s="31"/>
      <c r="K801" s="31"/>
      <c r="L801" s="31"/>
      <c r="M801" s="31"/>
      <c r="N801" s="4"/>
      <c r="O801" s="4"/>
      <c r="P801" s="4"/>
      <c r="Q801" s="4"/>
      <c r="U801" s="5"/>
      <c r="V801" s="4"/>
      <c r="AG801" t="s">
        <v>842</v>
      </c>
      <c r="AM801" s="1"/>
    </row>
    <row r="802" spans="1:39" x14ac:dyDescent="0.35">
      <c r="A802">
        <v>798</v>
      </c>
      <c r="B802">
        <v>799</v>
      </c>
      <c r="C802">
        <v>146.79112066900001</v>
      </c>
      <c r="D802">
        <v>-19.137161318</v>
      </c>
      <c r="F802" s="63"/>
      <c r="G802" s="63"/>
      <c r="H802" t="s">
        <v>78</v>
      </c>
      <c r="I802" s="64">
        <v>1</v>
      </c>
      <c r="J802" s="31"/>
      <c r="K802" s="31"/>
      <c r="L802" s="31"/>
      <c r="M802" s="31"/>
      <c r="N802" s="4"/>
      <c r="O802" s="4"/>
      <c r="P802" s="4"/>
      <c r="Q802" s="4"/>
      <c r="U802" s="5"/>
      <c r="V802" s="4"/>
      <c r="AG802" t="s">
        <v>843</v>
      </c>
      <c r="AM802" s="1"/>
    </row>
    <row r="803" spans="1:39" x14ac:dyDescent="0.35">
      <c r="A803">
        <v>799</v>
      </c>
      <c r="B803">
        <v>800</v>
      </c>
      <c r="C803">
        <v>146.791055019</v>
      </c>
      <c r="D803">
        <v>-19.137103389999901</v>
      </c>
      <c r="E803">
        <v>50</v>
      </c>
      <c r="F803" s="63"/>
      <c r="G803" s="63"/>
      <c r="H803" t="s">
        <v>78</v>
      </c>
      <c r="I803" s="64">
        <v>1</v>
      </c>
      <c r="J803" s="31"/>
      <c r="K803" s="31"/>
      <c r="L803" s="31"/>
      <c r="M803" s="31"/>
      <c r="N803" s="4"/>
      <c r="O803" s="4"/>
      <c r="P803" s="4"/>
      <c r="Q803" s="4"/>
      <c r="U803" s="5"/>
      <c r="V803" s="4"/>
      <c r="AG803" t="s">
        <v>844</v>
      </c>
      <c r="AM803" s="1"/>
    </row>
    <row r="804" spans="1:39" x14ac:dyDescent="0.35">
      <c r="A804">
        <v>800</v>
      </c>
      <c r="B804">
        <v>801</v>
      </c>
      <c r="C804">
        <v>146.790989368</v>
      </c>
      <c r="D804">
        <v>-19.1370454619999</v>
      </c>
      <c r="F804" s="63"/>
      <c r="G804" s="63"/>
      <c r="H804" t="s">
        <v>78</v>
      </c>
      <c r="I804" s="64">
        <v>1</v>
      </c>
      <c r="J804" s="31"/>
      <c r="K804" s="31"/>
      <c r="L804" s="31"/>
      <c r="M804" s="31"/>
      <c r="N804" s="4"/>
      <c r="O804" s="4"/>
      <c r="P804" s="4"/>
      <c r="Q804" s="4"/>
      <c r="U804" s="5"/>
      <c r="V804" s="4"/>
      <c r="AG804" t="s">
        <v>845</v>
      </c>
      <c r="AM804" s="1"/>
    </row>
    <row r="805" spans="1:39" x14ac:dyDescent="0.35">
      <c r="A805">
        <v>801</v>
      </c>
      <c r="B805">
        <v>802</v>
      </c>
      <c r="C805">
        <v>146.79092371799999</v>
      </c>
      <c r="D805">
        <v>-19.136987533999999</v>
      </c>
      <c r="F805" s="63"/>
      <c r="G805" s="63"/>
      <c r="H805" t="s">
        <v>78</v>
      </c>
      <c r="I805" s="64">
        <v>1</v>
      </c>
      <c r="J805" s="31"/>
      <c r="K805" s="31"/>
      <c r="L805" s="31"/>
      <c r="M805" s="31"/>
      <c r="N805" s="4"/>
      <c r="O805" s="4"/>
      <c r="P805" s="4"/>
      <c r="Q805" s="4"/>
      <c r="U805" s="5"/>
      <c r="V805" s="4"/>
      <c r="AG805" t="s">
        <v>846</v>
      </c>
      <c r="AM805" s="1"/>
    </row>
    <row r="806" spans="1:39" x14ac:dyDescent="0.35">
      <c r="A806">
        <v>802</v>
      </c>
      <c r="B806">
        <v>803</v>
      </c>
      <c r="C806">
        <v>146.79086117899999</v>
      </c>
      <c r="D806">
        <v>-19.13692687</v>
      </c>
      <c r="F806" s="63"/>
      <c r="G806" s="63"/>
      <c r="H806" t="s">
        <v>78</v>
      </c>
      <c r="I806" s="64">
        <v>1</v>
      </c>
      <c r="J806" s="31"/>
      <c r="K806" s="31"/>
      <c r="L806" s="31"/>
      <c r="M806" s="31"/>
      <c r="N806" s="4"/>
      <c r="O806" s="4"/>
      <c r="P806" s="4"/>
      <c r="Q806" s="4"/>
      <c r="U806" s="5"/>
      <c r="V806" s="4"/>
      <c r="AG806" t="s">
        <v>847</v>
      </c>
      <c r="AM806" s="1"/>
    </row>
    <row r="807" spans="1:39" x14ac:dyDescent="0.35">
      <c r="A807">
        <v>803</v>
      </c>
      <c r="B807">
        <v>804</v>
      </c>
      <c r="C807">
        <v>146.79080473900001</v>
      </c>
      <c r="D807">
        <v>-19.136860844999902</v>
      </c>
      <c r="F807" s="63"/>
      <c r="G807" s="63"/>
      <c r="H807" t="s">
        <v>78</v>
      </c>
      <c r="I807" s="64">
        <v>1</v>
      </c>
      <c r="J807" s="31"/>
      <c r="K807" s="31"/>
      <c r="L807" s="31"/>
      <c r="M807" s="31"/>
      <c r="N807" s="4"/>
      <c r="O807" s="4"/>
      <c r="P807" s="4"/>
      <c r="Q807" s="4"/>
      <c r="U807" s="5"/>
      <c r="V807" s="4"/>
      <c r="AG807" t="s">
        <v>848</v>
      </c>
      <c r="AM807" s="1"/>
    </row>
    <row r="808" spans="1:39" x14ac:dyDescent="0.35">
      <c r="A808">
        <v>804</v>
      </c>
      <c r="B808">
        <v>805</v>
      </c>
      <c r="C808">
        <v>146.790748299</v>
      </c>
      <c r="D808">
        <v>-19.136794819999999</v>
      </c>
      <c r="E808">
        <v>50</v>
      </c>
      <c r="F808" s="63"/>
      <c r="G808" s="63"/>
      <c r="H808" t="s">
        <v>78</v>
      </c>
      <c r="I808" s="64">
        <v>1</v>
      </c>
      <c r="J808" s="31"/>
      <c r="K808" s="31"/>
      <c r="L808" s="31"/>
      <c r="M808" s="31"/>
      <c r="N808" s="4"/>
      <c r="O808" s="4"/>
      <c r="P808" s="4"/>
      <c r="Q808" s="4"/>
      <c r="U808" s="5"/>
      <c r="V808" s="4"/>
      <c r="AG808" t="s">
        <v>849</v>
      </c>
      <c r="AM808" s="1"/>
    </row>
    <row r="809" spans="1:39" x14ac:dyDescent="0.35">
      <c r="A809">
        <v>805</v>
      </c>
      <c r="B809">
        <v>806</v>
      </c>
      <c r="C809">
        <v>146.79069185899999</v>
      </c>
      <c r="D809">
        <v>-19.136728795</v>
      </c>
      <c r="F809" s="63"/>
      <c r="G809" s="63"/>
      <c r="H809" t="s">
        <v>78</v>
      </c>
      <c r="I809" s="64">
        <v>1</v>
      </c>
      <c r="J809" s="31"/>
      <c r="K809" s="31"/>
      <c r="L809" s="31"/>
      <c r="M809" s="31"/>
      <c r="N809" s="4"/>
      <c r="O809" s="4"/>
      <c r="P809" s="4"/>
      <c r="Q809" s="4"/>
      <c r="U809" s="5"/>
      <c r="V809" s="4"/>
      <c r="AG809" t="s">
        <v>850</v>
      </c>
      <c r="AM809" s="1"/>
    </row>
    <row r="810" spans="1:39" x14ac:dyDescent="0.35">
      <c r="A810">
        <v>806</v>
      </c>
      <c r="B810">
        <v>807</v>
      </c>
      <c r="C810">
        <v>146.79064768800001</v>
      </c>
      <c r="D810">
        <v>-19.1366563139999</v>
      </c>
      <c r="F810" s="63"/>
      <c r="G810" s="63"/>
      <c r="H810" t="s">
        <v>78</v>
      </c>
      <c r="I810" s="64">
        <v>1</v>
      </c>
      <c r="J810" s="31"/>
      <c r="K810" s="31"/>
      <c r="L810" s="31"/>
      <c r="M810" s="31"/>
      <c r="N810" s="4"/>
      <c r="O810" s="4"/>
      <c r="P810" s="4"/>
      <c r="Q810" s="4"/>
      <c r="U810" s="5"/>
      <c r="V810" s="4"/>
      <c r="AG810" t="s">
        <v>851</v>
      </c>
      <c r="AM810" s="1"/>
    </row>
    <row r="811" spans="1:39" x14ac:dyDescent="0.35">
      <c r="A811">
        <v>807</v>
      </c>
      <c r="B811">
        <v>808</v>
      </c>
      <c r="C811">
        <v>146.79061799199999</v>
      </c>
      <c r="D811">
        <v>-19.136576217999998</v>
      </c>
      <c r="F811" s="63"/>
      <c r="G811" s="63"/>
      <c r="H811" t="s">
        <v>78</v>
      </c>
      <c r="I811" s="64">
        <v>1</v>
      </c>
      <c r="J811" s="31"/>
      <c r="K811" s="31"/>
      <c r="L811" s="31"/>
      <c r="M811" s="31"/>
      <c r="N811" s="4"/>
      <c r="O811" s="4"/>
      <c r="P811" s="4"/>
      <c r="Q811" s="4"/>
      <c r="U811" s="5"/>
      <c r="V811" s="4"/>
      <c r="AG811" t="s">
        <v>852</v>
      </c>
      <c r="AM811" s="1"/>
    </row>
    <row r="812" spans="1:39" x14ac:dyDescent="0.35">
      <c r="A812">
        <v>808</v>
      </c>
      <c r="B812">
        <v>809</v>
      </c>
      <c r="C812">
        <v>146.79058578300001</v>
      </c>
      <c r="D812">
        <v>-19.136497052999999</v>
      </c>
      <c r="F812" s="63"/>
      <c r="G812" s="63"/>
      <c r="H812" t="s">
        <v>78</v>
      </c>
      <c r="I812" s="64">
        <v>1</v>
      </c>
      <c r="J812" s="31"/>
      <c r="K812" s="31"/>
      <c r="L812" s="31"/>
      <c r="M812" s="31"/>
      <c r="N812" s="4"/>
      <c r="O812" s="4"/>
      <c r="P812" s="4"/>
      <c r="Q812" s="4"/>
      <c r="U812" s="5"/>
      <c r="V812" s="4"/>
      <c r="AG812" t="s">
        <v>853</v>
      </c>
      <c r="AM812" s="1"/>
    </row>
    <row r="813" spans="1:39" x14ac:dyDescent="0.35">
      <c r="A813">
        <v>809</v>
      </c>
      <c r="B813">
        <v>810</v>
      </c>
      <c r="C813">
        <v>146.79055848300001</v>
      </c>
      <c r="D813">
        <v>-19.136416298</v>
      </c>
      <c r="E813">
        <v>50</v>
      </c>
      <c r="F813" s="63"/>
      <c r="G813" s="63"/>
      <c r="H813" t="s">
        <v>78</v>
      </c>
      <c r="I813" s="64">
        <v>1</v>
      </c>
      <c r="J813" s="31"/>
      <c r="K813" s="31"/>
      <c r="L813" s="31"/>
      <c r="M813" s="31"/>
      <c r="N813" s="4"/>
      <c r="O813" s="4"/>
      <c r="P813" s="4"/>
      <c r="Q813" s="4"/>
      <c r="U813" s="5"/>
      <c r="V813" s="4"/>
      <c r="AG813" t="s">
        <v>854</v>
      </c>
      <c r="AM813" s="1"/>
    </row>
    <row r="814" spans="1:39" x14ac:dyDescent="0.35">
      <c r="A814">
        <v>810</v>
      </c>
      <c r="B814">
        <v>811</v>
      </c>
      <c r="C814">
        <v>146.79053301600001</v>
      </c>
      <c r="D814">
        <v>-19.136334911999899</v>
      </c>
      <c r="F814" s="63"/>
      <c r="G814" s="63"/>
      <c r="H814" t="s">
        <v>78</v>
      </c>
      <c r="I814" s="64">
        <v>1</v>
      </c>
      <c r="J814" s="31"/>
      <c r="K814" s="31"/>
      <c r="L814" s="31"/>
      <c r="M814" s="31"/>
      <c r="N814" s="4"/>
      <c r="O814" s="4"/>
      <c r="P814" s="4"/>
      <c r="Q814" s="4"/>
      <c r="U814" s="5"/>
      <c r="V814" s="4"/>
      <c r="AG814" t="s">
        <v>855</v>
      </c>
      <c r="AM814" s="1"/>
    </row>
    <row r="815" spans="1:39" x14ac:dyDescent="0.35">
      <c r="A815">
        <v>811</v>
      </c>
      <c r="B815">
        <v>812</v>
      </c>
      <c r="C815">
        <v>146.79050719</v>
      </c>
      <c r="D815">
        <v>-19.136253679999999</v>
      </c>
      <c r="F815" s="63"/>
      <c r="G815" s="63"/>
      <c r="H815" t="s">
        <v>78</v>
      </c>
      <c r="I815" s="64">
        <v>1</v>
      </c>
      <c r="J815" s="31"/>
      <c r="K815" s="31"/>
      <c r="L815" s="31"/>
      <c r="M815" s="31"/>
      <c r="N815" s="4"/>
      <c r="O815" s="4"/>
      <c r="P815" s="4"/>
      <c r="Q815" s="4"/>
      <c r="U815" s="5"/>
      <c r="V815" s="4"/>
      <c r="AG815" t="s">
        <v>856</v>
      </c>
      <c r="AM815" s="1"/>
    </row>
    <row r="816" spans="1:39" x14ac:dyDescent="0.35">
      <c r="A816">
        <v>812</v>
      </c>
      <c r="B816">
        <v>813</v>
      </c>
      <c r="C816">
        <v>146.790459266</v>
      </c>
      <c r="D816">
        <v>-19.136181899</v>
      </c>
      <c r="F816" s="63"/>
      <c r="G816" s="63"/>
      <c r="H816" t="s">
        <v>78</v>
      </c>
      <c r="I816" s="64">
        <v>1</v>
      </c>
      <c r="J816" s="31"/>
      <c r="K816" s="31"/>
      <c r="L816" s="31"/>
      <c r="M816" s="31"/>
      <c r="N816" s="4"/>
      <c r="O816" s="4"/>
      <c r="P816" s="4"/>
      <c r="Q816" s="4"/>
      <c r="U816" s="5"/>
      <c r="V816" s="4"/>
      <c r="AG816" t="s">
        <v>857</v>
      </c>
      <c r="AM816" s="1"/>
    </row>
    <row r="817" spans="1:39" x14ac:dyDescent="0.35">
      <c r="A817">
        <v>813</v>
      </c>
      <c r="B817">
        <v>814</v>
      </c>
      <c r="C817">
        <v>146.790411342</v>
      </c>
      <c r="D817">
        <v>-19.136110116999902</v>
      </c>
      <c r="F817" s="63"/>
      <c r="G817" s="63"/>
      <c r="H817" t="s">
        <v>78</v>
      </c>
      <c r="I817" s="64">
        <v>1</v>
      </c>
      <c r="J817" s="31"/>
      <c r="K817" s="31"/>
      <c r="L817" s="31"/>
      <c r="M817" s="31"/>
      <c r="N817" s="4"/>
      <c r="O817" s="4"/>
      <c r="P817" s="4"/>
      <c r="Q817" s="4"/>
      <c r="U817" s="5"/>
      <c r="V817" s="4"/>
      <c r="AG817" t="s">
        <v>858</v>
      </c>
      <c r="AM817" s="1"/>
    </row>
    <row r="818" spans="1:39" x14ac:dyDescent="0.35">
      <c r="A818">
        <v>814</v>
      </c>
      <c r="B818">
        <v>815</v>
      </c>
      <c r="C818">
        <v>146.79034368999999</v>
      </c>
      <c r="D818">
        <v>-19.1360584449999</v>
      </c>
      <c r="E818">
        <v>50</v>
      </c>
      <c r="F818" s="63"/>
      <c r="G818" s="63"/>
      <c r="H818" t="s">
        <v>78</v>
      </c>
      <c r="I818" s="64">
        <v>1</v>
      </c>
      <c r="J818" s="31"/>
      <c r="K818" s="31"/>
      <c r="L818" s="31"/>
      <c r="M818" s="31"/>
      <c r="N818" s="4"/>
      <c r="O818" s="4"/>
      <c r="P818" s="4"/>
      <c r="Q818" s="4"/>
      <c r="U818" s="5"/>
      <c r="V818" s="4"/>
      <c r="AG818" t="s">
        <v>859</v>
      </c>
      <c r="AM818" s="1"/>
    </row>
    <row r="819" spans="1:39" x14ac:dyDescent="0.35">
      <c r="A819">
        <v>815</v>
      </c>
      <c r="B819">
        <v>816</v>
      </c>
      <c r="C819">
        <v>146.79026429300001</v>
      </c>
      <c r="D819">
        <v>-19.136018745999898</v>
      </c>
      <c r="F819" s="63"/>
      <c r="G819" s="63"/>
      <c r="H819" t="s">
        <v>78</v>
      </c>
      <c r="I819" s="64">
        <v>1</v>
      </c>
      <c r="J819" s="31"/>
      <c r="K819" s="31"/>
      <c r="L819" s="31"/>
      <c r="M819" s="31"/>
      <c r="N819" s="4"/>
      <c r="O819" s="4"/>
      <c r="P819" s="4"/>
      <c r="Q819" s="4"/>
      <c r="U819" s="5"/>
      <c r="V819" s="4"/>
      <c r="AG819" t="s">
        <v>860</v>
      </c>
      <c r="AM819" s="1"/>
    </row>
    <row r="820" spans="1:39" x14ac:dyDescent="0.35">
      <c r="A820">
        <v>816</v>
      </c>
      <c r="B820">
        <v>817</v>
      </c>
      <c r="C820">
        <v>146.79018489500001</v>
      </c>
      <c r="D820">
        <v>-19.135979047999999</v>
      </c>
      <c r="F820" s="63"/>
      <c r="G820" s="63"/>
      <c r="H820" t="s">
        <v>78</v>
      </c>
      <c r="I820" s="64">
        <v>1</v>
      </c>
      <c r="J820" s="31"/>
      <c r="K820" s="31"/>
      <c r="L820" s="31"/>
      <c r="M820" s="31"/>
      <c r="N820" s="4"/>
      <c r="O820" s="4"/>
      <c r="P820" s="4"/>
      <c r="Q820" s="4"/>
      <c r="U820" s="5"/>
      <c r="V820" s="4"/>
      <c r="AG820" t="s">
        <v>861</v>
      </c>
      <c r="AM820" s="1"/>
    </row>
    <row r="821" spans="1:39" x14ac:dyDescent="0.35">
      <c r="A821">
        <v>817</v>
      </c>
      <c r="B821">
        <v>818</v>
      </c>
      <c r="C821">
        <v>146.790103045</v>
      </c>
      <c r="D821">
        <v>-19.135944892999898</v>
      </c>
      <c r="F821" s="63"/>
      <c r="G821" s="63"/>
      <c r="H821" t="s">
        <v>78</v>
      </c>
      <c r="I821" s="64">
        <v>1</v>
      </c>
      <c r="J821" s="31"/>
      <c r="K821" s="31"/>
      <c r="L821" s="31"/>
      <c r="M821" s="31"/>
      <c r="N821" s="4"/>
      <c r="O821" s="4"/>
      <c r="P821" s="4"/>
      <c r="Q821" s="4"/>
      <c r="U821" s="5"/>
      <c r="V821" s="4"/>
      <c r="AG821" t="s">
        <v>862</v>
      </c>
      <c r="AM821" s="1"/>
    </row>
    <row r="822" spans="1:39" x14ac:dyDescent="0.35">
      <c r="A822">
        <v>818</v>
      </c>
      <c r="B822">
        <v>819</v>
      </c>
      <c r="C822">
        <v>146.790017358</v>
      </c>
      <c r="D822">
        <v>-19.135919412</v>
      </c>
      <c r="F822" s="63"/>
      <c r="G822" s="63"/>
      <c r="H822" t="s">
        <v>78</v>
      </c>
      <c r="I822" s="64">
        <v>1</v>
      </c>
      <c r="J822" s="31"/>
      <c r="K822" s="31"/>
      <c r="L822" s="31"/>
      <c r="M822" s="31"/>
      <c r="N822" s="4"/>
      <c r="O822" s="4"/>
      <c r="P822" s="4"/>
      <c r="Q822" s="4"/>
      <c r="U822" s="5"/>
      <c r="V822" s="4"/>
      <c r="AG822" t="s">
        <v>863</v>
      </c>
      <c r="AM822" s="1"/>
    </row>
    <row r="823" spans="1:39" x14ac:dyDescent="0.35">
      <c r="A823">
        <v>819</v>
      </c>
      <c r="B823">
        <v>820</v>
      </c>
      <c r="C823">
        <v>146.789931948</v>
      </c>
      <c r="D823">
        <v>-19.1358931729999</v>
      </c>
      <c r="E823">
        <v>50</v>
      </c>
      <c r="F823" s="63"/>
      <c r="G823" s="63"/>
      <c r="H823" t="s">
        <v>78</v>
      </c>
      <c r="I823" s="64">
        <v>1</v>
      </c>
      <c r="J823" s="31"/>
      <c r="K823" s="31"/>
      <c r="L823" s="31"/>
      <c r="M823" s="31"/>
      <c r="N823" s="4"/>
      <c r="O823" s="4"/>
      <c r="P823" s="4"/>
      <c r="Q823" s="4"/>
      <c r="U823" s="5"/>
      <c r="V823" s="4"/>
      <c r="AG823" t="s">
        <v>864</v>
      </c>
      <c r="AM823" s="1"/>
    </row>
    <row r="824" spans="1:39" x14ac:dyDescent="0.35">
      <c r="A824">
        <v>820</v>
      </c>
      <c r="B824">
        <v>821</v>
      </c>
      <c r="C824">
        <v>146.789847866</v>
      </c>
      <c r="D824">
        <v>-19.135863298999901</v>
      </c>
      <c r="F824" s="63"/>
      <c r="G824" s="63"/>
      <c r="H824" t="s">
        <v>78</v>
      </c>
      <c r="I824" s="64">
        <v>1</v>
      </c>
      <c r="J824" s="31"/>
      <c r="K824" s="31"/>
      <c r="L824" s="31"/>
      <c r="M824" s="31"/>
      <c r="N824" s="4"/>
      <c r="O824" s="4"/>
      <c r="P824" s="4"/>
      <c r="Q824" s="4"/>
      <c r="U824" s="5"/>
      <c r="V824" s="4"/>
      <c r="AG824" t="s">
        <v>865</v>
      </c>
      <c r="AM824" s="1"/>
    </row>
    <row r="825" spans="1:39" x14ac:dyDescent="0.35">
      <c r="A825">
        <v>821</v>
      </c>
      <c r="B825">
        <v>822</v>
      </c>
      <c r="C825">
        <v>146.789763784</v>
      </c>
      <c r="D825">
        <v>-19.135833424999898</v>
      </c>
      <c r="F825" s="63"/>
      <c r="G825" s="63"/>
      <c r="H825" t="s">
        <v>78</v>
      </c>
      <c r="I825" s="64">
        <v>1</v>
      </c>
      <c r="J825" s="31"/>
      <c r="K825" s="31"/>
      <c r="L825" s="31"/>
      <c r="M825" s="31"/>
      <c r="N825" s="4"/>
      <c r="O825" s="4"/>
      <c r="P825" s="4"/>
      <c r="Q825" s="4"/>
      <c r="U825" s="5"/>
      <c r="V825" s="4"/>
      <c r="AG825" t="s">
        <v>866</v>
      </c>
      <c r="AM825" s="1"/>
    </row>
    <row r="826" spans="1:39" x14ac:dyDescent="0.35">
      <c r="A826">
        <v>822</v>
      </c>
      <c r="B826">
        <v>823</v>
      </c>
      <c r="C826">
        <v>146.789679702</v>
      </c>
      <c r="D826">
        <v>-19.135803549999899</v>
      </c>
      <c r="F826" s="63"/>
      <c r="G826" s="63"/>
      <c r="H826" t="s">
        <v>78</v>
      </c>
      <c r="I826" s="64">
        <v>1</v>
      </c>
      <c r="J826" s="31"/>
      <c r="K826" s="31"/>
      <c r="L826" s="31"/>
      <c r="M826" s="31"/>
      <c r="N826" s="4"/>
      <c r="O826" s="4"/>
      <c r="P826" s="4"/>
      <c r="Q826" s="4"/>
      <c r="U826" s="5"/>
      <c r="V826" s="4"/>
      <c r="AG826" t="s">
        <v>867</v>
      </c>
      <c r="AM826" s="1"/>
    </row>
    <row r="827" spans="1:39" x14ac:dyDescent="0.35">
      <c r="A827">
        <v>823</v>
      </c>
      <c r="B827">
        <v>824</v>
      </c>
      <c r="C827">
        <v>146.78959562</v>
      </c>
      <c r="D827">
        <v>-19.1357736759999</v>
      </c>
      <c r="F827" s="63"/>
      <c r="G827" s="63"/>
      <c r="H827" t="s">
        <v>78</v>
      </c>
      <c r="I827" s="64">
        <v>1</v>
      </c>
      <c r="J827" s="31"/>
      <c r="K827" s="31"/>
      <c r="L827" s="31"/>
      <c r="M827" s="31"/>
      <c r="N827" s="4"/>
      <c r="O827" s="4"/>
      <c r="P827" s="4"/>
      <c r="Q827" s="4"/>
      <c r="U827" s="5"/>
      <c r="V827" s="4"/>
      <c r="AG827" t="s">
        <v>868</v>
      </c>
      <c r="AM827" s="1"/>
    </row>
    <row r="828" spans="1:39" x14ac:dyDescent="0.35">
      <c r="A828">
        <v>824</v>
      </c>
      <c r="B828">
        <v>825</v>
      </c>
      <c r="C828">
        <v>146.789511538</v>
      </c>
      <c r="D828">
        <v>-19.135743800999901</v>
      </c>
      <c r="E828">
        <v>50</v>
      </c>
      <c r="F828" s="63"/>
      <c r="G828" s="63"/>
      <c r="H828" t="s">
        <v>78</v>
      </c>
      <c r="I828" s="64">
        <v>1</v>
      </c>
      <c r="J828" s="31"/>
      <c r="K828" s="31"/>
      <c r="L828" s="31"/>
      <c r="M828" s="31"/>
      <c r="N828" s="4"/>
      <c r="O828" s="4"/>
      <c r="P828" s="4"/>
      <c r="Q828" s="4"/>
      <c r="U828" s="5"/>
      <c r="V828" s="4"/>
      <c r="AG828" t="s">
        <v>869</v>
      </c>
      <c r="AM828" s="1"/>
    </row>
    <row r="829" spans="1:39" x14ac:dyDescent="0.35">
      <c r="A829">
        <v>825</v>
      </c>
      <c r="B829">
        <v>826</v>
      </c>
      <c r="C829">
        <v>146.789427456</v>
      </c>
      <c r="D829">
        <v>-19.135713926999902</v>
      </c>
      <c r="F829" s="63"/>
      <c r="G829" s="63"/>
      <c r="H829" t="s">
        <v>78</v>
      </c>
      <c r="I829" s="64">
        <v>1</v>
      </c>
      <c r="J829" s="31"/>
      <c r="K829" s="31"/>
      <c r="L829" s="31"/>
      <c r="M829" s="31"/>
      <c r="N829" s="4"/>
      <c r="O829" s="4"/>
      <c r="P829" s="4"/>
      <c r="Q829" s="4"/>
      <c r="U829" s="5"/>
      <c r="V829" s="4"/>
      <c r="AG829" t="s">
        <v>870</v>
      </c>
      <c r="AM829" s="1"/>
    </row>
    <row r="830" spans="1:39" x14ac:dyDescent="0.35">
      <c r="A830">
        <v>826</v>
      </c>
      <c r="B830">
        <v>827</v>
      </c>
      <c r="C830">
        <v>146.78934026300001</v>
      </c>
      <c r="D830">
        <v>-19.135693650999901</v>
      </c>
      <c r="F830" s="63"/>
      <c r="G830" s="63"/>
      <c r="H830" t="s">
        <v>78</v>
      </c>
      <c r="I830" s="64">
        <v>1</v>
      </c>
      <c r="J830" s="31"/>
      <c r="K830" s="31"/>
      <c r="L830" s="31"/>
      <c r="M830" s="31"/>
      <c r="N830" s="4"/>
      <c r="O830" s="4"/>
      <c r="P830" s="4"/>
      <c r="Q830" s="4"/>
      <c r="U830" s="5"/>
      <c r="V830" s="4"/>
      <c r="AG830" t="s">
        <v>871</v>
      </c>
      <c r="AM830" s="1"/>
    </row>
    <row r="831" spans="1:39" x14ac:dyDescent="0.35">
      <c r="A831">
        <v>827</v>
      </c>
      <c r="B831">
        <v>828</v>
      </c>
      <c r="C831">
        <v>146.789252893</v>
      </c>
      <c r="D831">
        <v>-19.135673917999998</v>
      </c>
      <c r="F831" s="63"/>
      <c r="G831" s="63"/>
      <c r="H831" t="s">
        <v>78</v>
      </c>
      <c r="I831" s="64">
        <v>1</v>
      </c>
      <c r="J831" s="31"/>
      <c r="K831" s="31"/>
      <c r="L831" s="31"/>
      <c r="M831" s="31"/>
      <c r="N831" s="4"/>
      <c r="O831" s="4"/>
      <c r="P831" s="4"/>
      <c r="Q831" s="4"/>
      <c r="U831" s="5"/>
      <c r="V831" s="4"/>
      <c r="AG831" t="s">
        <v>872</v>
      </c>
      <c r="AM831" s="1"/>
    </row>
    <row r="832" spans="1:39" x14ac:dyDescent="0.35">
      <c r="A832">
        <v>828</v>
      </c>
      <c r="B832">
        <v>829</v>
      </c>
      <c r="C832">
        <v>146.789165524</v>
      </c>
      <c r="D832">
        <v>-19.135654184</v>
      </c>
      <c r="F832" s="63"/>
      <c r="G832" s="63"/>
      <c r="H832" t="s">
        <v>78</v>
      </c>
      <c r="I832" s="64">
        <v>1</v>
      </c>
      <c r="J832" s="31"/>
      <c r="K832" s="31"/>
      <c r="L832" s="31"/>
      <c r="M832" s="31"/>
      <c r="N832" s="4"/>
      <c r="O832" s="4"/>
      <c r="P832" s="4"/>
      <c r="Q832" s="4"/>
      <c r="U832" s="5"/>
      <c r="V832" s="4"/>
      <c r="AG832" t="s">
        <v>873</v>
      </c>
      <c r="AM832" s="1"/>
    </row>
    <row r="833" spans="1:39" x14ac:dyDescent="0.35">
      <c r="A833">
        <v>829</v>
      </c>
      <c r="B833">
        <v>830</v>
      </c>
      <c r="C833">
        <v>146.789078155</v>
      </c>
      <c r="D833">
        <v>-19.135634450999898</v>
      </c>
      <c r="E833">
        <v>50</v>
      </c>
      <c r="F833" s="63"/>
      <c r="G833" s="63"/>
      <c r="H833" t="s">
        <v>78</v>
      </c>
      <c r="I833" s="64">
        <v>1</v>
      </c>
      <c r="J833" s="31"/>
      <c r="K833" s="31"/>
      <c r="L833" s="31"/>
      <c r="M833" s="31"/>
      <c r="N833" s="4"/>
      <c r="O833" s="4"/>
      <c r="P833" s="4"/>
      <c r="Q833" s="4"/>
      <c r="U833" s="5"/>
      <c r="V833" s="4"/>
      <c r="AG833" t="s">
        <v>874</v>
      </c>
      <c r="AM833" s="1"/>
    </row>
    <row r="834" spans="1:39" x14ac:dyDescent="0.35">
      <c r="A834">
        <v>830</v>
      </c>
      <c r="B834">
        <v>831</v>
      </c>
      <c r="C834">
        <v>146.78899078500001</v>
      </c>
      <c r="D834">
        <v>-19.1356147179999</v>
      </c>
      <c r="F834" s="63"/>
      <c r="G834" s="63"/>
      <c r="H834" t="s">
        <v>78</v>
      </c>
      <c r="I834" s="64">
        <v>1</v>
      </c>
      <c r="J834" s="31"/>
      <c r="K834" s="31"/>
      <c r="L834" s="31"/>
      <c r="M834" s="31"/>
      <c r="N834" s="4"/>
      <c r="O834" s="4"/>
      <c r="P834" s="4"/>
      <c r="Q834" s="4"/>
      <c r="U834" s="5"/>
      <c r="V834" s="4"/>
      <c r="AG834" t="s">
        <v>875</v>
      </c>
      <c r="AM834" s="1"/>
    </row>
    <row r="835" spans="1:39" x14ac:dyDescent="0.35">
      <c r="A835">
        <v>831</v>
      </c>
      <c r="B835">
        <v>832</v>
      </c>
      <c r="C835">
        <v>146.78890341600001</v>
      </c>
      <c r="D835">
        <v>-19.135594984000001</v>
      </c>
      <c r="F835" s="63"/>
      <c r="G835" s="63"/>
      <c r="H835" t="s">
        <v>78</v>
      </c>
      <c r="I835" s="64">
        <v>1</v>
      </c>
      <c r="J835" s="31"/>
      <c r="K835" s="31"/>
      <c r="L835" s="31"/>
      <c r="M835" s="31"/>
      <c r="N835" s="4"/>
      <c r="O835" s="4"/>
      <c r="P835" s="4"/>
      <c r="Q835" s="4"/>
      <c r="U835" s="5"/>
      <c r="V835" s="4"/>
      <c r="AG835" t="s">
        <v>876</v>
      </c>
      <c r="AM835" s="1"/>
    </row>
    <row r="836" spans="1:39" x14ac:dyDescent="0.35">
      <c r="A836">
        <v>832</v>
      </c>
      <c r="B836">
        <v>833</v>
      </c>
      <c r="C836">
        <v>146.78881604599999</v>
      </c>
      <c r="D836">
        <v>-19.135575250999999</v>
      </c>
      <c r="F836" s="63"/>
      <c r="G836" s="63"/>
      <c r="H836" t="s">
        <v>78</v>
      </c>
      <c r="I836" s="64">
        <v>1</v>
      </c>
      <c r="J836" s="31"/>
      <c r="K836" s="31"/>
      <c r="L836" s="31"/>
      <c r="M836" s="31"/>
      <c r="N836" s="4"/>
      <c r="O836" s="4"/>
      <c r="P836" s="4"/>
      <c r="Q836" s="4"/>
      <c r="U836" s="5"/>
      <c r="V836" s="4"/>
      <c r="AG836" t="s">
        <v>877</v>
      </c>
      <c r="AM836" s="1"/>
    </row>
    <row r="837" spans="1:39" x14ac:dyDescent="0.35">
      <c r="A837">
        <v>833</v>
      </c>
      <c r="B837">
        <v>834</v>
      </c>
      <c r="C837">
        <v>146.78872867699999</v>
      </c>
      <c r="D837">
        <v>-19.135555517999901</v>
      </c>
      <c r="F837" s="63"/>
      <c r="G837" s="63"/>
      <c r="H837" t="s">
        <v>78</v>
      </c>
      <c r="I837" s="64">
        <v>1</v>
      </c>
      <c r="J837" s="31"/>
      <c r="K837" s="31"/>
      <c r="L837" s="31"/>
      <c r="M837" s="31"/>
      <c r="N837" s="4"/>
      <c r="O837" s="4"/>
      <c r="P837" s="4"/>
      <c r="Q837" s="4"/>
      <c r="U837" s="5"/>
      <c r="V837" s="4"/>
      <c r="AG837" t="s">
        <v>878</v>
      </c>
      <c r="AM837" s="1"/>
    </row>
    <row r="838" spans="1:39" x14ac:dyDescent="0.35">
      <c r="A838">
        <v>834</v>
      </c>
      <c r="B838">
        <v>835</v>
      </c>
      <c r="C838">
        <v>146.78864130700001</v>
      </c>
      <c r="D838">
        <v>-19.135535784000002</v>
      </c>
      <c r="E838">
        <v>50</v>
      </c>
      <c r="F838" s="63"/>
      <c r="G838" s="63"/>
      <c r="H838" t="s">
        <v>78</v>
      </c>
      <c r="I838" s="64">
        <v>1</v>
      </c>
      <c r="J838" s="31"/>
      <c r="K838" s="31"/>
      <c r="L838" s="31"/>
      <c r="M838" s="31"/>
      <c r="N838" s="4"/>
      <c r="O838" s="4"/>
      <c r="P838" s="4"/>
      <c r="Q838" s="4"/>
      <c r="U838" s="5"/>
      <c r="V838" s="4"/>
      <c r="AG838" t="s">
        <v>879</v>
      </c>
      <c r="AM838" s="1"/>
    </row>
    <row r="839" spans="1:39" x14ac:dyDescent="0.35">
      <c r="A839">
        <v>835</v>
      </c>
      <c r="B839">
        <v>836</v>
      </c>
      <c r="C839">
        <v>146.78855393800001</v>
      </c>
      <c r="D839">
        <v>-19.135516051</v>
      </c>
      <c r="F839" s="63"/>
      <c r="G839" s="63"/>
      <c r="H839" t="s">
        <v>78</v>
      </c>
      <c r="I839" s="64">
        <v>1</v>
      </c>
      <c r="J839" s="31"/>
      <c r="K839" s="31"/>
      <c r="L839" s="31"/>
      <c r="M839" s="31"/>
      <c r="N839" s="4"/>
      <c r="O839" s="4"/>
      <c r="P839" s="4"/>
      <c r="Q839" s="4"/>
      <c r="U839" s="5"/>
      <c r="V839" s="4"/>
      <c r="AG839" t="s">
        <v>880</v>
      </c>
      <c r="AM839" s="1"/>
    </row>
    <row r="840" spans="1:39" x14ac:dyDescent="0.35">
      <c r="A840">
        <v>836</v>
      </c>
      <c r="B840">
        <v>837</v>
      </c>
      <c r="C840">
        <v>146.78846639599999</v>
      </c>
      <c r="D840">
        <v>-19.135497013999998</v>
      </c>
      <c r="F840" s="63"/>
      <c r="G840" s="63"/>
      <c r="H840" t="s">
        <v>78</v>
      </c>
      <c r="I840" s="64">
        <v>1</v>
      </c>
      <c r="J840" s="31"/>
      <c r="K840" s="31"/>
      <c r="L840" s="31"/>
      <c r="M840" s="31"/>
      <c r="N840" s="4"/>
      <c r="O840" s="4"/>
      <c r="P840" s="4"/>
      <c r="Q840" s="4"/>
      <c r="U840" s="5"/>
      <c r="V840" s="4"/>
      <c r="AG840" t="s">
        <v>881</v>
      </c>
      <c r="AM840" s="1"/>
    </row>
    <row r="841" spans="1:39" x14ac:dyDescent="0.35">
      <c r="A841">
        <v>837</v>
      </c>
      <c r="B841">
        <v>838</v>
      </c>
      <c r="C841">
        <v>146.78837881499999</v>
      </c>
      <c r="D841">
        <v>-19.1354781379999</v>
      </c>
      <c r="F841" s="63"/>
      <c r="G841" s="63"/>
      <c r="H841" t="s">
        <v>78</v>
      </c>
      <c r="I841" s="64">
        <v>1</v>
      </c>
      <c r="J841" s="31"/>
      <c r="K841" s="31"/>
      <c r="L841" s="31"/>
      <c r="M841" s="31"/>
      <c r="N841" s="4"/>
      <c r="O841" s="4"/>
      <c r="P841" s="4"/>
      <c r="Q841" s="4"/>
      <c r="U841" s="5"/>
      <c r="V841" s="4"/>
      <c r="AG841" t="s">
        <v>882</v>
      </c>
      <c r="AM841" s="1"/>
    </row>
    <row r="842" spans="1:39" x14ac:dyDescent="0.35">
      <c r="A842">
        <v>838</v>
      </c>
      <c r="B842">
        <v>839</v>
      </c>
      <c r="C842">
        <v>146.788291233</v>
      </c>
      <c r="D842">
        <v>-19.135459263000001</v>
      </c>
      <c r="F842" s="63"/>
      <c r="G842" s="63"/>
      <c r="H842" t="s">
        <v>78</v>
      </c>
      <c r="I842" s="64">
        <v>1</v>
      </c>
      <c r="J842" s="31"/>
      <c r="K842" s="31"/>
      <c r="L842" s="31"/>
      <c r="M842" s="31"/>
      <c r="N842" s="4"/>
      <c r="O842" s="4"/>
      <c r="P842" s="4"/>
      <c r="Q842" s="4"/>
      <c r="U842" s="5"/>
      <c r="V842" s="4"/>
      <c r="AG842" t="s">
        <v>883</v>
      </c>
      <c r="AM842" s="1"/>
    </row>
    <row r="843" spans="1:39" x14ac:dyDescent="0.35">
      <c r="A843">
        <v>839</v>
      </c>
      <c r="B843">
        <v>840</v>
      </c>
      <c r="C843">
        <v>146.78820365199999</v>
      </c>
      <c r="D843">
        <v>-19.1354403879999</v>
      </c>
      <c r="E843">
        <v>50</v>
      </c>
      <c r="F843" s="63"/>
      <c r="G843" s="63"/>
      <c r="H843" t="s">
        <v>78</v>
      </c>
      <c r="I843" s="64">
        <v>1</v>
      </c>
      <c r="J843" s="31"/>
      <c r="K843" s="31"/>
      <c r="L843" s="31"/>
      <c r="M843" s="31"/>
      <c r="N843" s="4"/>
      <c r="O843" s="4"/>
      <c r="P843" s="4"/>
      <c r="Q843" s="4"/>
      <c r="U843" s="5"/>
      <c r="V843" s="4"/>
      <c r="AG843" t="s">
        <v>884</v>
      </c>
      <c r="AM843" s="1"/>
    </row>
    <row r="844" spans="1:39" x14ac:dyDescent="0.35">
      <c r="A844">
        <v>840</v>
      </c>
      <c r="B844">
        <v>841</v>
      </c>
      <c r="C844">
        <v>146.78811607</v>
      </c>
      <c r="D844">
        <v>-19.135421511999901</v>
      </c>
      <c r="F844" s="63"/>
      <c r="G844" s="63"/>
      <c r="H844" t="s">
        <v>78</v>
      </c>
      <c r="I844" s="64">
        <v>1</v>
      </c>
      <c r="J844" s="31"/>
      <c r="K844" s="31"/>
      <c r="L844" s="31"/>
      <c r="M844" s="31"/>
      <c r="N844" s="4"/>
      <c r="O844" s="4"/>
      <c r="P844" s="4"/>
      <c r="Q844" s="4"/>
      <c r="U844" s="5"/>
      <c r="V844" s="4"/>
      <c r="AG844" t="s">
        <v>885</v>
      </c>
      <c r="AM844" s="1"/>
    </row>
    <row r="845" spans="1:39" x14ac:dyDescent="0.35">
      <c r="A845">
        <v>841</v>
      </c>
      <c r="B845">
        <v>842</v>
      </c>
      <c r="C845">
        <v>146.788028489</v>
      </c>
      <c r="D845">
        <v>-19.135402636999999</v>
      </c>
      <c r="F845" s="63"/>
      <c r="G845" s="63"/>
      <c r="H845" t="s">
        <v>78</v>
      </c>
      <c r="I845" s="64">
        <v>1</v>
      </c>
      <c r="J845" s="31"/>
      <c r="K845" s="31"/>
      <c r="L845" s="31"/>
      <c r="M845" s="31"/>
      <c r="N845" s="4"/>
      <c r="O845" s="4"/>
      <c r="P845" s="4"/>
      <c r="Q845" s="4"/>
      <c r="U845" s="5"/>
      <c r="V845" s="4"/>
      <c r="AG845" t="s">
        <v>886</v>
      </c>
      <c r="AM845" s="1"/>
    </row>
    <row r="846" spans="1:39" x14ac:dyDescent="0.35">
      <c r="A846">
        <v>842</v>
      </c>
      <c r="B846">
        <v>843</v>
      </c>
      <c r="C846">
        <v>146.78794090700001</v>
      </c>
      <c r="D846">
        <v>-19.135383761999901</v>
      </c>
      <c r="F846" s="63"/>
      <c r="G846" s="63"/>
      <c r="H846" t="s">
        <v>78</v>
      </c>
      <c r="I846" s="64">
        <v>1</v>
      </c>
      <c r="J846" s="31"/>
      <c r="K846" s="31"/>
      <c r="L846" s="31"/>
      <c r="M846" s="31"/>
      <c r="N846" s="4"/>
      <c r="O846" s="4"/>
      <c r="P846" s="4"/>
      <c r="Q846" s="4"/>
      <c r="U846" s="5"/>
      <c r="V846" s="4"/>
      <c r="AG846" t="s">
        <v>887</v>
      </c>
      <c r="AM846" s="1"/>
    </row>
    <row r="847" spans="1:39" x14ac:dyDescent="0.35">
      <c r="A847">
        <v>843</v>
      </c>
      <c r="B847">
        <v>844</v>
      </c>
      <c r="C847">
        <v>146.78785332499999</v>
      </c>
      <c r="D847">
        <v>-19.135364885999898</v>
      </c>
      <c r="F847" s="63"/>
      <c r="G847" s="63"/>
      <c r="H847" t="s">
        <v>78</v>
      </c>
      <c r="I847" s="64">
        <v>1</v>
      </c>
      <c r="J847" s="31"/>
      <c r="K847" s="31"/>
      <c r="L847" s="31"/>
      <c r="M847" s="31"/>
      <c r="N847" s="4"/>
      <c r="O847" s="4"/>
      <c r="P847" s="4"/>
      <c r="Q847" s="4"/>
      <c r="U847" s="5"/>
      <c r="V847" s="4"/>
      <c r="AG847" t="s">
        <v>888</v>
      </c>
      <c r="AM847" s="1"/>
    </row>
    <row r="848" spans="1:39" x14ac:dyDescent="0.35">
      <c r="A848">
        <v>844</v>
      </c>
      <c r="B848">
        <v>845</v>
      </c>
      <c r="C848">
        <v>146.78776574400001</v>
      </c>
      <c r="D848">
        <v>-19.135346010999999</v>
      </c>
      <c r="E848">
        <v>50</v>
      </c>
      <c r="F848" s="63"/>
      <c r="G848" s="63"/>
      <c r="H848" t="s">
        <v>78</v>
      </c>
      <c r="I848" s="64">
        <v>1</v>
      </c>
      <c r="J848" s="31"/>
      <c r="K848" s="31"/>
      <c r="L848" s="31"/>
      <c r="M848" s="31"/>
      <c r="N848" s="4"/>
      <c r="O848" s="4"/>
      <c r="P848" s="4"/>
      <c r="Q848" s="4"/>
      <c r="U848" s="5"/>
      <c r="V848" s="4"/>
      <c r="AG848" t="s">
        <v>889</v>
      </c>
      <c r="AM848" s="1"/>
    </row>
    <row r="849" spans="1:39" x14ac:dyDescent="0.35">
      <c r="A849">
        <v>845</v>
      </c>
      <c r="B849">
        <v>846</v>
      </c>
      <c r="C849">
        <v>146.78767816199999</v>
      </c>
      <c r="D849">
        <v>-19.135327135999901</v>
      </c>
      <c r="F849" s="63"/>
      <c r="G849" s="63"/>
      <c r="H849" t="s">
        <v>78</v>
      </c>
      <c r="I849" s="64">
        <v>1</v>
      </c>
      <c r="J849" s="31"/>
      <c r="K849" s="31"/>
      <c r="L849" s="31"/>
      <c r="M849" s="31"/>
      <c r="N849" s="4"/>
      <c r="O849" s="4"/>
      <c r="P849" s="4"/>
      <c r="Q849" s="4"/>
      <c r="U849" s="5"/>
      <c r="V849" s="4"/>
      <c r="AG849" t="s">
        <v>890</v>
      </c>
      <c r="AM849" s="1"/>
    </row>
    <row r="850" spans="1:39" x14ac:dyDescent="0.35">
      <c r="A850">
        <v>846</v>
      </c>
      <c r="B850">
        <v>847</v>
      </c>
      <c r="C850">
        <v>146.787590454</v>
      </c>
      <c r="D850">
        <v>-19.135308826999999</v>
      </c>
      <c r="F850" s="63"/>
      <c r="G850" s="63"/>
      <c r="H850" t="s">
        <v>78</v>
      </c>
      <c r="I850" s="64">
        <v>1</v>
      </c>
      <c r="J850" s="31"/>
      <c r="K850" s="31"/>
      <c r="L850" s="31"/>
      <c r="M850" s="31"/>
      <c r="N850" s="4"/>
      <c r="O850" s="4"/>
      <c r="P850" s="4"/>
      <c r="Q850" s="4"/>
      <c r="U850" s="5"/>
      <c r="V850" s="4"/>
      <c r="AG850" t="s">
        <v>891</v>
      </c>
      <c r="AM850" s="1"/>
    </row>
    <row r="851" spans="1:39" x14ac:dyDescent="0.35">
      <c r="A851">
        <v>847</v>
      </c>
      <c r="B851">
        <v>848</v>
      </c>
      <c r="C851">
        <v>146.787502284</v>
      </c>
      <c r="D851">
        <v>-19.135292579999899</v>
      </c>
      <c r="F851" s="63"/>
      <c r="G851" s="63"/>
      <c r="H851" t="s">
        <v>78</v>
      </c>
      <c r="I851" s="64">
        <v>1</v>
      </c>
      <c r="J851" s="31"/>
      <c r="K851" s="31"/>
      <c r="L851" s="31"/>
      <c r="M851" s="31"/>
      <c r="N851" s="4"/>
      <c r="O851" s="4"/>
      <c r="P851" s="4"/>
      <c r="Q851" s="4"/>
      <c r="U851" s="5"/>
      <c r="V851" s="4"/>
      <c r="AG851" t="s">
        <v>892</v>
      </c>
      <c r="AM851" s="1"/>
    </row>
    <row r="852" spans="1:39" x14ac:dyDescent="0.35">
      <c r="A852">
        <v>848</v>
      </c>
      <c r="B852">
        <v>849</v>
      </c>
      <c r="C852">
        <v>146.787414114</v>
      </c>
      <c r="D852">
        <v>-19.135276333</v>
      </c>
      <c r="F852" s="63"/>
      <c r="G852" s="63"/>
      <c r="H852" t="s">
        <v>78</v>
      </c>
      <c r="I852" s="64">
        <v>1</v>
      </c>
      <c r="J852" s="31"/>
      <c r="K852" s="31"/>
      <c r="L852" s="31"/>
      <c r="M852" s="31"/>
      <c r="N852" s="4"/>
      <c r="O852" s="4"/>
      <c r="P852" s="4"/>
      <c r="Q852" s="4"/>
      <c r="U852" s="5"/>
      <c r="V852" s="4"/>
      <c r="AG852" t="s">
        <v>893</v>
      </c>
      <c r="AM852" s="1"/>
    </row>
    <row r="853" spans="1:39" x14ac:dyDescent="0.35">
      <c r="A853">
        <v>849</v>
      </c>
      <c r="B853">
        <v>850</v>
      </c>
      <c r="C853">
        <v>146.787325944</v>
      </c>
      <c r="D853">
        <v>-19.135260085999999</v>
      </c>
      <c r="E853">
        <v>50</v>
      </c>
      <c r="F853" s="63"/>
      <c r="G853" s="63"/>
      <c r="H853" t="s">
        <v>78</v>
      </c>
      <c r="I853" s="64">
        <v>1</v>
      </c>
      <c r="J853" s="31"/>
      <c r="K853" s="31"/>
      <c r="L853" s="31"/>
      <c r="M853" s="31"/>
      <c r="N853" s="4"/>
      <c r="O853" s="4"/>
      <c r="P853" s="4"/>
      <c r="Q853" s="4"/>
      <c r="U853" s="5"/>
      <c r="V853" s="4"/>
      <c r="AG853" t="s">
        <v>894</v>
      </c>
      <c r="AM853" s="1"/>
    </row>
    <row r="854" spans="1:39" x14ac:dyDescent="0.35">
      <c r="A854">
        <v>850</v>
      </c>
      <c r="B854">
        <v>851</v>
      </c>
      <c r="C854">
        <v>146.78723777299999</v>
      </c>
      <c r="D854">
        <v>-19.135243838999902</v>
      </c>
      <c r="F854" s="63"/>
      <c r="G854" s="63"/>
      <c r="H854" t="s">
        <v>78</v>
      </c>
      <c r="I854" s="64">
        <v>1</v>
      </c>
      <c r="J854" s="31"/>
      <c r="K854" s="31"/>
      <c r="L854" s="31"/>
      <c r="M854" s="31"/>
      <c r="N854" s="4"/>
      <c r="O854" s="4"/>
      <c r="P854" s="4"/>
      <c r="Q854" s="4"/>
      <c r="U854" s="5"/>
      <c r="V854" s="4"/>
      <c r="AG854" t="s">
        <v>895</v>
      </c>
      <c r="AM854" s="1"/>
    </row>
    <row r="855" spans="1:39" x14ac:dyDescent="0.35">
      <c r="A855">
        <v>851</v>
      </c>
      <c r="B855">
        <v>852</v>
      </c>
      <c r="C855">
        <v>146.78714960299999</v>
      </c>
      <c r="D855">
        <v>-19.135227592</v>
      </c>
      <c r="F855" s="63"/>
      <c r="G855" s="63"/>
      <c r="H855" t="s">
        <v>78</v>
      </c>
      <c r="I855" s="64">
        <v>1</v>
      </c>
      <c r="J855" s="31"/>
      <c r="K855" s="31"/>
      <c r="L855" s="31"/>
      <c r="M855" s="31"/>
      <c r="N855" s="4"/>
      <c r="O855" s="4"/>
      <c r="P855" s="4"/>
      <c r="Q855" s="4"/>
      <c r="U855" s="5"/>
      <c r="V855" s="4"/>
      <c r="AG855" t="s">
        <v>896</v>
      </c>
      <c r="AM855" s="1"/>
    </row>
    <row r="856" spans="1:39" x14ac:dyDescent="0.35">
      <c r="A856">
        <v>852</v>
      </c>
      <c r="B856">
        <v>853</v>
      </c>
      <c r="C856">
        <v>146.78706143299999</v>
      </c>
      <c r="D856">
        <v>-19.135211345999899</v>
      </c>
      <c r="F856" s="63"/>
      <c r="G856" s="63"/>
      <c r="H856" t="s">
        <v>78</v>
      </c>
      <c r="I856" s="64">
        <v>1</v>
      </c>
      <c r="J856" s="31"/>
      <c r="K856" s="31"/>
      <c r="L856" s="31"/>
      <c r="M856" s="31"/>
      <c r="N856" s="4"/>
      <c r="O856" s="4"/>
      <c r="P856" s="4"/>
      <c r="Q856" s="4"/>
      <c r="U856" s="5"/>
      <c r="V856" s="4"/>
      <c r="AG856" t="s">
        <v>897</v>
      </c>
      <c r="AM856" s="1"/>
    </row>
    <row r="857" spans="1:39" x14ac:dyDescent="0.35">
      <c r="A857">
        <v>853</v>
      </c>
      <c r="B857">
        <v>854</v>
      </c>
      <c r="C857">
        <v>146.78697326299999</v>
      </c>
      <c r="D857">
        <v>-19.135195098999901</v>
      </c>
      <c r="F857" s="63"/>
      <c r="G857" s="63"/>
      <c r="H857" t="s">
        <v>78</v>
      </c>
      <c r="I857" s="64">
        <v>1</v>
      </c>
      <c r="J857" s="31"/>
      <c r="K857" s="31"/>
      <c r="L857" s="31"/>
      <c r="M857" s="31"/>
      <c r="N857" s="4"/>
      <c r="O857" s="4"/>
      <c r="P857" s="4"/>
      <c r="Q857" s="4"/>
      <c r="U857" s="5"/>
      <c r="V857" s="4"/>
      <c r="AG857" t="s">
        <v>898</v>
      </c>
      <c r="AM857" s="1"/>
    </row>
    <row r="858" spans="1:39" x14ac:dyDescent="0.35">
      <c r="A858">
        <v>854</v>
      </c>
      <c r="B858">
        <v>855</v>
      </c>
      <c r="C858">
        <v>146.786885093</v>
      </c>
      <c r="D858">
        <v>-19.135178851999999</v>
      </c>
      <c r="E858">
        <v>50</v>
      </c>
      <c r="F858" s="63"/>
      <c r="G858" s="63"/>
      <c r="H858" t="s">
        <v>78</v>
      </c>
      <c r="I858" s="64">
        <v>1</v>
      </c>
      <c r="J858" s="31"/>
      <c r="K858" s="31"/>
      <c r="L858" s="31"/>
      <c r="M858" s="31"/>
      <c r="N858" s="4"/>
      <c r="O858" s="4"/>
      <c r="P858" s="4"/>
      <c r="Q858" s="4"/>
      <c r="U858" s="5"/>
      <c r="V858" s="4"/>
      <c r="AG858" t="s">
        <v>899</v>
      </c>
      <c r="AM858" s="1"/>
    </row>
    <row r="859" spans="1:39" x14ac:dyDescent="0.35">
      <c r="A859">
        <v>855</v>
      </c>
      <c r="B859">
        <v>856</v>
      </c>
      <c r="C859">
        <v>146.786796923</v>
      </c>
      <c r="D859">
        <v>-19.135162604999898</v>
      </c>
      <c r="F859" s="63"/>
      <c r="G859" s="63"/>
      <c r="H859" t="s">
        <v>78</v>
      </c>
      <c r="I859" s="64">
        <v>1</v>
      </c>
      <c r="J859" s="31"/>
      <c r="K859" s="31"/>
      <c r="L859" s="31"/>
      <c r="M859" s="31"/>
      <c r="N859" s="4"/>
      <c r="O859" s="4"/>
      <c r="P859" s="4"/>
      <c r="Q859" s="4"/>
      <c r="U859" s="5"/>
      <c r="V859" s="4"/>
      <c r="AG859" t="s">
        <v>900</v>
      </c>
      <c r="AM859" s="1"/>
    </row>
    <row r="860" spans="1:39" x14ac:dyDescent="0.35">
      <c r="A860">
        <v>856</v>
      </c>
      <c r="B860">
        <v>857</v>
      </c>
      <c r="C860">
        <v>146.786708753</v>
      </c>
      <c r="D860">
        <v>-19.135146357999901</v>
      </c>
      <c r="F860" s="63"/>
      <c r="G860" s="63"/>
      <c r="H860" t="s">
        <v>78</v>
      </c>
      <c r="I860" s="64">
        <v>1</v>
      </c>
      <c r="J860" s="31"/>
      <c r="K860" s="31"/>
      <c r="L860" s="31"/>
      <c r="M860" s="31"/>
      <c r="N860" s="4"/>
      <c r="O860" s="4"/>
      <c r="P860" s="4"/>
      <c r="Q860" s="4"/>
      <c r="U860" s="5"/>
      <c r="V860" s="4"/>
      <c r="AG860" t="s">
        <v>901</v>
      </c>
      <c r="AM860" s="1"/>
    </row>
    <row r="861" spans="1:39" x14ac:dyDescent="0.35">
      <c r="A861">
        <v>857</v>
      </c>
      <c r="B861">
        <v>858</v>
      </c>
      <c r="C861">
        <v>146.78662078599999</v>
      </c>
      <c r="D861">
        <v>-19.135129168999999</v>
      </c>
      <c r="F861" s="63"/>
      <c r="G861" s="63"/>
      <c r="H861" t="s">
        <v>78</v>
      </c>
      <c r="I861" s="64">
        <v>1</v>
      </c>
      <c r="J861" s="31"/>
      <c r="K861" s="31"/>
      <c r="L861" s="31"/>
      <c r="M861" s="31"/>
      <c r="N861" s="4"/>
      <c r="O861" s="4"/>
      <c r="P861" s="4"/>
      <c r="Q861" s="4"/>
      <c r="U861" s="5"/>
      <c r="V861" s="4"/>
      <c r="AG861" t="s">
        <v>902</v>
      </c>
      <c r="AM861" s="1"/>
    </row>
    <row r="862" spans="1:39" x14ac:dyDescent="0.35">
      <c r="A862">
        <v>858</v>
      </c>
      <c r="B862">
        <v>859</v>
      </c>
      <c r="C862">
        <v>146.78653291000001</v>
      </c>
      <c r="D862">
        <v>-19.135111556999998</v>
      </c>
      <c r="F862" s="63"/>
      <c r="G862" s="63"/>
      <c r="H862" t="s">
        <v>78</v>
      </c>
      <c r="I862" s="64">
        <v>1</v>
      </c>
      <c r="J862" s="31"/>
      <c r="K862" s="31"/>
      <c r="L862" s="31"/>
      <c r="M862" s="31"/>
      <c r="N862" s="4"/>
      <c r="O862" s="4"/>
      <c r="P862" s="4"/>
      <c r="Q862" s="4"/>
      <c r="U862" s="5"/>
      <c r="V862" s="4"/>
      <c r="AG862" t="s">
        <v>903</v>
      </c>
      <c r="AM862" s="1"/>
    </row>
    <row r="863" spans="1:39" x14ac:dyDescent="0.35">
      <c r="A863">
        <v>859</v>
      </c>
      <c r="B863">
        <v>860</v>
      </c>
      <c r="C863">
        <v>146.786445034</v>
      </c>
      <c r="D863">
        <v>-19.135093943999902</v>
      </c>
      <c r="E863">
        <v>50</v>
      </c>
      <c r="F863" s="63"/>
      <c r="G863" s="63"/>
      <c r="H863" t="s">
        <v>78</v>
      </c>
      <c r="I863" s="64">
        <v>1</v>
      </c>
      <c r="J863" s="31"/>
      <c r="K863" s="31"/>
      <c r="L863" s="31"/>
      <c r="M863" s="31"/>
      <c r="N863" s="4"/>
      <c r="O863" s="4"/>
      <c r="P863" s="4"/>
      <c r="Q863" s="4"/>
      <c r="U863" s="5"/>
      <c r="V863" s="4"/>
      <c r="AG863" t="s">
        <v>904</v>
      </c>
      <c r="AM863" s="1"/>
    </row>
    <row r="864" spans="1:39" x14ac:dyDescent="0.35">
      <c r="A864">
        <v>860</v>
      </c>
      <c r="B864">
        <v>861</v>
      </c>
      <c r="C864">
        <v>146.78635715799999</v>
      </c>
      <c r="D864">
        <v>-19.135076332000001</v>
      </c>
      <c r="F864" s="63"/>
      <c r="G864" s="63"/>
      <c r="H864" t="s">
        <v>78</v>
      </c>
      <c r="I864" s="64">
        <v>1</v>
      </c>
      <c r="J864" s="31"/>
      <c r="K864" s="31"/>
      <c r="L864" s="31"/>
      <c r="M864" s="31"/>
      <c r="N864" s="4"/>
      <c r="O864" s="4"/>
      <c r="P864" s="4"/>
      <c r="Q864" s="4"/>
      <c r="U864" s="5"/>
      <c r="V864" s="4"/>
      <c r="AG864" t="s">
        <v>905</v>
      </c>
      <c r="AM864" s="1"/>
    </row>
    <row r="865" spans="1:39" x14ac:dyDescent="0.35">
      <c r="A865">
        <v>861</v>
      </c>
      <c r="B865">
        <v>862</v>
      </c>
      <c r="C865">
        <v>146.78626928200001</v>
      </c>
      <c r="D865">
        <v>-19.13505872</v>
      </c>
      <c r="F865" s="63"/>
      <c r="G865" s="63"/>
      <c r="H865" t="s">
        <v>78</v>
      </c>
      <c r="I865" s="64">
        <v>1</v>
      </c>
      <c r="J865" s="31"/>
      <c r="K865" s="31"/>
      <c r="L865" s="31"/>
      <c r="M865" s="31"/>
      <c r="N865" s="4"/>
      <c r="O865" s="4"/>
      <c r="P865" s="4"/>
      <c r="Q865" s="4"/>
      <c r="U865" s="5"/>
      <c r="V865" s="4"/>
      <c r="AG865" t="s">
        <v>906</v>
      </c>
      <c r="AM865" s="1"/>
    </row>
    <row r="866" spans="1:39" x14ac:dyDescent="0.35">
      <c r="A866">
        <v>862</v>
      </c>
      <c r="B866">
        <v>863</v>
      </c>
      <c r="C866">
        <v>146.786181406</v>
      </c>
      <c r="D866">
        <v>-19.1350411079999</v>
      </c>
      <c r="F866" s="63"/>
      <c r="G866" s="63"/>
      <c r="H866" t="s">
        <v>78</v>
      </c>
      <c r="I866" s="64">
        <v>1</v>
      </c>
      <c r="J866" s="31"/>
      <c r="K866" s="31"/>
      <c r="L866" s="31"/>
      <c r="M866" s="31"/>
      <c r="N866" s="4"/>
      <c r="O866" s="4"/>
      <c r="P866" s="4"/>
      <c r="Q866" s="4"/>
      <c r="U866" s="5"/>
      <c r="V866" s="4"/>
      <c r="AG866" t="s">
        <v>907</v>
      </c>
      <c r="AM866" s="1"/>
    </row>
    <row r="867" spans="1:39" x14ac:dyDescent="0.35">
      <c r="A867">
        <v>863</v>
      </c>
      <c r="B867">
        <v>864</v>
      </c>
      <c r="C867">
        <v>146.78609353100001</v>
      </c>
      <c r="D867">
        <v>-19.135023495999999</v>
      </c>
      <c r="F867" s="63"/>
      <c r="G867" s="63"/>
      <c r="H867" t="s">
        <v>78</v>
      </c>
      <c r="I867" s="64">
        <v>1</v>
      </c>
      <c r="J867" s="31"/>
      <c r="K867" s="31"/>
      <c r="L867" s="31"/>
      <c r="M867" s="31"/>
      <c r="N867" s="4"/>
      <c r="O867" s="4"/>
      <c r="P867" s="4"/>
      <c r="Q867" s="4"/>
      <c r="U867" s="5"/>
      <c r="V867" s="4"/>
      <c r="AG867" t="s">
        <v>908</v>
      </c>
      <c r="AM867" s="1"/>
    </row>
    <row r="868" spans="1:39" x14ac:dyDescent="0.35">
      <c r="A868">
        <v>864</v>
      </c>
      <c r="B868">
        <v>865</v>
      </c>
      <c r="C868">
        <v>146.786005655</v>
      </c>
      <c r="D868">
        <v>-19.135005884000002</v>
      </c>
      <c r="E868">
        <v>50</v>
      </c>
      <c r="F868" s="63"/>
      <c r="G868" s="63"/>
      <c r="H868" t="s">
        <v>78</v>
      </c>
      <c r="I868" s="64">
        <v>1</v>
      </c>
      <c r="J868" s="31"/>
      <c r="K868" s="31"/>
      <c r="L868" s="31"/>
      <c r="M868" s="31"/>
      <c r="N868" s="4"/>
      <c r="O868" s="4"/>
      <c r="P868" s="4"/>
      <c r="Q868" s="4"/>
      <c r="U868" s="5"/>
      <c r="V868" s="4"/>
      <c r="AG868" t="s">
        <v>909</v>
      </c>
      <c r="AM868" s="1"/>
    </row>
    <row r="869" spans="1:39" x14ac:dyDescent="0.35">
      <c r="A869">
        <v>865</v>
      </c>
      <c r="B869">
        <v>866</v>
      </c>
      <c r="C869">
        <v>146.78591737900001</v>
      </c>
      <c r="D869">
        <v>-19.134990253000002</v>
      </c>
      <c r="F869" s="63"/>
      <c r="G869" s="63"/>
      <c r="H869" t="s">
        <v>78</v>
      </c>
      <c r="I869" s="64">
        <v>1</v>
      </c>
      <c r="J869" s="31"/>
      <c r="K869" s="31"/>
      <c r="L869" s="31"/>
      <c r="M869" s="31"/>
      <c r="N869" s="4"/>
      <c r="O869" s="4"/>
      <c r="P869" s="4"/>
      <c r="Q869" s="4"/>
      <c r="U869" s="5"/>
      <c r="V869" s="4"/>
      <c r="AG869" t="s">
        <v>910</v>
      </c>
      <c r="AM869" s="1"/>
    </row>
    <row r="870" spans="1:39" x14ac:dyDescent="0.35">
      <c r="A870">
        <v>866</v>
      </c>
      <c r="B870">
        <v>867</v>
      </c>
      <c r="C870">
        <v>146.785828804</v>
      </c>
      <c r="D870">
        <v>-19.134976111</v>
      </c>
      <c r="F870" s="63"/>
      <c r="G870" s="63"/>
      <c r="H870" t="s">
        <v>78</v>
      </c>
      <c r="I870" s="64">
        <v>1</v>
      </c>
      <c r="J870" s="31"/>
      <c r="K870" s="31"/>
      <c r="L870" s="31"/>
      <c r="M870" s="31"/>
      <c r="N870" s="4"/>
      <c r="O870" s="4"/>
      <c r="P870" s="4"/>
      <c r="Q870" s="4"/>
      <c r="U870" s="5"/>
      <c r="V870" s="4"/>
      <c r="AG870" t="s">
        <v>911</v>
      </c>
      <c r="AM870" s="1"/>
    </row>
    <row r="871" spans="1:39" x14ac:dyDescent="0.35">
      <c r="A871">
        <v>867</v>
      </c>
      <c r="B871">
        <v>868</v>
      </c>
      <c r="C871">
        <v>146.78574022800001</v>
      </c>
      <c r="D871">
        <v>-19.134961967999999</v>
      </c>
      <c r="F871" s="63"/>
      <c r="G871" s="63"/>
      <c r="H871" t="s">
        <v>78</v>
      </c>
      <c r="I871" s="64">
        <v>1</v>
      </c>
      <c r="J871" s="31"/>
      <c r="K871" s="31"/>
      <c r="L871" s="31"/>
      <c r="M871" s="31"/>
      <c r="N871" s="4"/>
      <c r="O871" s="4"/>
      <c r="P871" s="4"/>
      <c r="Q871" s="4"/>
      <c r="U871" s="5"/>
      <c r="V871" s="4"/>
      <c r="AG871" t="s">
        <v>912</v>
      </c>
      <c r="AM871" s="1"/>
    </row>
    <row r="872" spans="1:39" x14ac:dyDescent="0.35">
      <c r="A872">
        <v>868</v>
      </c>
      <c r="B872">
        <v>869</v>
      </c>
      <c r="C872">
        <v>146.785651653</v>
      </c>
      <c r="D872">
        <v>-19.134947826000001</v>
      </c>
      <c r="F872" s="63"/>
      <c r="G872" s="63"/>
      <c r="H872" t="s">
        <v>78</v>
      </c>
      <c r="I872" s="64">
        <v>1</v>
      </c>
      <c r="J872" s="31"/>
      <c r="K872" s="31"/>
      <c r="L872" s="31"/>
      <c r="M872" s="31"/>
      <c r="N872" s="4"/>
      <c r="O872" s="4"/>
      <c r="P872" s="4"/>
      <c r="Q872" s="4"/>
      <c r="U872" s="5"/>
      <c r="V872" s="4"/>
      <c r="AG872" t="s">
        <v>913</v>
      </c>
      <c r="AM872" s="1"/>
    </row>
    <row r="873" spans="1:39" x14ac:dyDescent="0.35">
      <c r="A873">
        <v>869</v>
      </c>
      <c r="B873">
        <v>870</v>
      </c>
      <c r="C873">
        <v>146.78556554100001</v>
      </c>
      <c r="D873">
        <v>-19.1349250919999</v>
      </c>
      <c r="E873">
        <v>50</v>
      </c>
      <c r="F873" s="63"/>
      <c r="G873" s="63"/>
      <c r="H873" t="s">
        <v>78</v>
      </c>
      <c r="I873" s="64">
        <v>1</v>
      </c>
      <c r="J873" s="31"/>
      <c r="K873" s="31"/>
      <c r="L873" s="31"/>
      <c r="M873" s="31"/>
      <c r="N873" s="4"/>
      <c r="O873" s="4"/>
      <c r="P873" s="4"/>
      <c r="Q873" s="4"/>
      <c r="U873" s="5"/>
      <c r="V873" s="4"/>
      <c r="AG873" t="s">
        <v>914</v>
      </c>
      <c r="AM873" s="1"/>
    </row>
    <row r="874" spans="1:39" x14ac:dyDescent="0.35">
      <c r="A874">
        <v>870</v>
      </c>
      <c r="B874">
        <v>871</v>
      </c>
      <c r="C874">
        <v>146.78548152400001</v>
      </c>
      <c r="D874">
        <v>-19.134895055999898</v>
      </c>
      <c r="F874" s="63"/>
      <c r="G874" s="63"/>
      <c r="H874" t="s">
        <v>78</v>
      </c>
      <c r="I874" s="64">
        <v>1</v>
      </c>
      <c r="J874" s="31"/>
      <c r="K874" s="31"/>
      <c r="L874" s="31"/>
      <c r="M874" s="31"/>
      <c r="N874" s="4"/>
      <c r="O874" s="4"/>
      <c r="P874" s="4"/>
      <c r="Q874" s="4"/>
      <c r="U874" s="5"/>
      <c r="V874" s="4"/>
      <c r="AG874" t="s">
        <v>915</v>
      </c>
      <c r="AM874" s="1"/>
    </row>
    <row r="875" spans="1:39" x14ac:dyDescent="0.35">
      <c r="A875">
        <v>871</v>
      </c>
      <c r="B875">
        <v>872</v>
      </c>
      <c r="C875">
        <v>146.785401068</v>
      </c>
      <c r="D875">
        <v>-19.134859963999901</v>
      </c>
      <c r="F875" s="63"/>
      <c r="G875" s="63"/>
      <c r="H875" t="s">
        <v>78</v>
      </c>
      <c r="I875" s="64">
        <v>1</v>
      </c>
      <c r="J875" s="31"/>
      <c r="K875" s="31"/>
      <c r="L875" s="31"/>
      <c r="M875" s="31"/>
      <c r="N875" s="4"/>
      <c r="O875" s="4"/>
      <c r="P875" s="4"/>
      <c r="Q875" s="4"/>
      <c r="U875" s="5"/>
      <c r="V875" s="4"/>
      <c r="AG875" t="s">
        <v>916</v>
      </c>
      <c r="AM875" s="1"/>
    </row>
    <row r="876" spans="1:39" x14ac:dyDescent="0.35">
      <c r="A876">
        <v>872</v>
      </c>
      <c r="B876">
        <v>873</v>
      </c>
      <c r="C876">
        <v>146.785339295</v>
      </c>
      <c r="D876">
        <v>-19.134798346</v>
      </c>
      <c r="F876" s="63"/>
      <c r="G876" s="63"/>
      <c r="H876" t="s">
        <v>78</v>
      </c>
      <c r="I876" s="64">
        <v>1</v>
      </c>
      <c r="J876" s="31"/>
      <c r="K876" s="31"/>
      <c r="L876" s="31"/>
      <c r="M876" s="31"/>
      <c r="N876" s="4"/>
      <c r="O876" s="4"/>
      <c r="P876" s="4"/>
      <c r="Q876" s="4"/>
      <c r="U876" s="5"/>
      <c r="V876" s="4"/>
      <c r="AG876" t="s">
        <v>917</v>
      </c>
      <c r="AM876" s="1"/>
    </row>
    <row r="877" spans="1:39" x14ac:dyDescent="0.35">
      <c r="A877">
        <v>873</v>
      </c>
      <c r="B877">
        <v>874</v>
      </c>
      <c r="C877">
        <v>146.78527752299999</v>
      </c>
      <c r="D877">
        <v>-19.134736728</v>
      </c>
      <c r="F877" s="63"/>
      <c r="G877" s="63"/>
      <c r="H877" t="s">
        <v>78</v>
      </c>
      <c r="I877" s="64">
        <v>1</v>
      </c>
      <c r="J877" s="31"/>
      <c r="K877" s="31"/>
      <c r="L877" s="31"/>
      <c r="M877" s="31"/>
      <c r="N877" s="4"/>
      <c r="O877" s="4"/>
      <c r="P877" s="4"/>
      <c r="Q877" s="4"/>
      <c r="U877" s="5"/>
      <c r="V877" s="4"/>
      <c r="AG877" t="s">
        <v>918</v>
      </c>
      <c r="AM877" s="1"/>
    </row>
    <row r="878" spans="1:39" x14ac:dyDescent="0.35">
      <c r="A878">
        <v>874</v>
      </c>
      <c r="B878">
        <v>875</v>
      </c>
      <c r="C878">
        <v>146.78521574999999</v>
      </c>
      <c r="D878">
        <v>-19.1346751089999</v>
      </c>
      <c r="E878">
        <v>50</v>
      </c>
      <c r="F878" s="63"/>
      <c r="G878" s="63"/>
      <c r="H878" t="s">
        <v>78</v>
      </c>
      <c r="I878" s="64">
        <v>1</v>
      </c>
      <c r="J878" s="31"/>
      <c r="K878" s="31"/>
      <c r="L878" s="31"/>
      <c r="M878" s="31"/>
      <c r="N878" s="4"/>
      <c r="O878" s="4"/>
      <c r="P878" s="4"/>
      <c r="Q878" s="4"/>
      <c r="U878" s="5"/>
      <c r="V878" s="4"/>
      <c r="AG878" t="s">
        <v>919</v>
      </c>
      <c r="AM878" s="1"/>
    </row>
    <row r="879" spans="1:39" x14ac:dyDescent="0.35">
      <c r="A879">
        <v>875</v>
      </c>
      <c r="B879">
        <v>876</v>
      </c>
      <c r="C879">
        <v>146.78513683700001</v>
      </c>
      <c r="D879">
        <v>-19.134635330999998</v>
      </c>
      <c r="F879" s="63"/>
      <c r="G879" s="63"/>
      <c r="H879" t="s">
        <v>78</v>
      </c>
      <c r="I879" s="64">
        <v>1</v>
      </c>
      <c r="J879" s="31"/>
      <c r="K879" s="31"/>
      <c r="L879" s="31"/>
      <c r="M879" s="31"/>
      <c r="N879" s="4"/>
      <c r="O879" s="4"/>
      <c r="P879" s="4"/>
      <c r="Q879" s="4"/>
      <c r="U879" s="5"/>
      <c r="V879" s="4"/>
      <c r="AG879" t="s">
        <v>920</v>
      </c>
      <c r="AM879" s="1"/>
    </row>
    <row r="880" spans="1:39" x14ac:dyDescent="0.35">
      <c r="A880">
        <v>876</v>
      </c>
      <c r="B880">
        <v>877</v>
      </c>
      <c r="C880">
        <v>146.78505648199999</v>
      </c>
      <c r="D880">
        <v>-19.1345973909999</v>
      </c>
      <c r="F880" s="63"/>
      <c r="G880" s="63"/>
      <c r="H880" t="s">
        <v>78</v>
      </c>
      <c r="I880" s="64">
        <v>1</v>
      </c>
      <c r="J880" s="31"/>
      <c r="K880" s="31"/>
      <c r="L880" s="31"/>
      <c r="M880" s="31"/>
      <c r="N880" s="4"/>
      <c r="O880" s="4"/>
      <c r="P880" s="4"/>
      <c r="Q880" s="4"/>
      <c r="U880" s="5"/>
      <c r="V880" s="4"/>
      <c r="AG880" t="s">
        <v>921</v>
      </c>
      <c r="AM880" s="1"/>
    </row>
    <row r="881" spans="1:39" x14ac:dyDescent="0.35">
      <c r="A881">
        <v>877</v>
      </c>
      <c r="B881">
        <v>878</v>
      </c>
      <c r="C881">
        <v>146.78497612699999</v>
      </c>
      <c r="D881">
        <v>-19.134559449999902</v>
      </c>
      <c r="F881" s="63"/>
      <c r="G881" s="63"/>
      <c r="H881" t="s">
        <v>78</v>
      </c>
      <c r="I881" s="64">
        <v>1</v>
      </c>
      <c r="J881" s="31"/>
      <c r="K881" s="31"/>
      <c r="L881" s="31"/>
      <c r="M881" s="31"/>
      <c r="N881" s="4"/>
      <c r="O881" s="4"/>
      <c r="P881" s="4"/>
      <c r="Q881" s="4"/>
      <c r="U881" s="5"/>
      <c r="V881" s="4"/>
      <c r="AG881" t="s">
        <v>922</v>
      </c>
      <c r="AM881" s="1"/>
    </row>
    <row r="882" spans="1:39" x14ac:dyDescent="0.35">
      <c r="A882">
        <v>878</v>
      </c>
      <c r="B882">
        <v>879</v>
      </c>
      <c r="C882">
        <v>146.78489017000001</v>
      </c>
      <c r="D882">
        <v>-19.134535264</v>
      </c>
      <c r="F882" s="63"/>
      <c r="G882" s="63"/>
      <c r="H882" t="s">
        <v>78</v>
      </c>
      <c r="I882" s="64">
        <v>1</v>
      </c>
      <c r="J882" s="31"/>
      <c r="K882" s="31"/>
      <c r="L882" s="31"/>
      <c r="M882" s="31"/>
      <c r="N882" s="4"/>
      <c r="O882" s="4"/>
      <c r="P882" s="4"/>
      <c r="Q882" s="4"/>
      <c r="U882" s="5"/>
      <c r="V882" s="4"/>
      <c r="AG882" t="s">
        <v>923</v>
      </c>
      <c r="AM882" s="1"/>
    </row>
    <row r="883" spans="1:39" x14ac:dyDescent="0.35">
      <c r="A883">
        <v>879</v>
      </c>
      <c r="B883">
        <v>880</v>
      </c>
      <c r="C883">
        <v>146.78480362100001</v>
      </c>
      <c r="D883">
        <v>-19.134512530999899</v>
      </c>
      <c r="E883">
        <v>50</v>
      </c>
      <c r="F883" s="63"/>
      <c r="G883" s="63"/>
      <c r="H883" t="s">
        <v>78</v>
      </c>
      <c r="I883" s="64">
        <v>1</v>
      </c>
      <c r="J883" s="31"/>
      <c r="K883" s="31"/>
      <c r="L883" s="31"/>
      <c r="M883" s="31"/>
      <c r="N883" s="4"/>
      <c r="O883" s="4"/>
      <c r="P883" s="4"/>
      <c r="Q883" s="4"/>
      <c r="U883" s="5"/>
      <c r="V883" s="4"/>
      <c r="AG883" t="s">
        <v>924</v>
      </c>
      <c r="AM883" s="1"/>
    </row>
    <row r="884" spans="1:39" x14ac:dyDescent="0.35">
      <c r="A884">
        <v>880</v>
      </c>
      <c r="B884">
        <v>881</v>
      </c>
      <c r="C884">
        <v>146.78471707200001</v>
      </c>
      <c r="D884">
        <v>-19.134489797000001</v>
      </c>
      <c r="F884" s="63"/>
      <c r="G884" s="63"/>
      <c r="H884" t="s">
        <v>78</v>
      </c>
      <c r="I884" s="64">
        <v>1</v>
      </c>
      <c r="J884" s="31"/>
      <c r="K884" s="31"/>
      <c r="L884" s="31"/>
      <c r="M884" s="31"/>
      <c r="N884" s="4"/>
      <c r="O884" s="4"/>
      <c r="P884" s="4"/>
      <c r="Q884" s="4"/>
      <c r="U884" s="5"/>
      <c r="V884" s="4"/>
      <c r="AG884" t="s">
        <v>925</v>
      </c>
      <c r="AM884" s="1"/>
    </row>
    <row r="885" spans="1:39" x14ac:dyDescent="0.35">
      <c r="A885">
        <v>881</v>
      </c>
      <c r="B885">
        <v>882</v>
      </c>
      <c r="C885">
        <v>146.78463052399999</v>
      </c>
      <c r="D885">
        <v>-19.134467062999899</v>
      </c>
      <c r="F885" s="63"/>
      <c r="G885" s="63"/>
      <c r="H885" t="s">
        <v>78</v>
      </c>
      <c r="I885" s="64">
        <v>1</v>
      </c>
      <c r="J885" s="31"/>
      <c r="K885" s="31"/>
      <c r="L885" s="31"/>
      <c r="M885" s="31"/>
      <c r="N885" s="4"/>
      <c r="O885" s="4"/>
      <c r="P885" s="4"/>
      <c r="Q885" s="4"/>
      <c r="U885" s="5"/>
      <c r="V885" s="4"/>
      <c r="AG885" t="s">
        <v>926</v>
      </c>
      <c r="AM885" s="1"/>
    </row>
    <row r="886" spans="1:39" x14ac:dyDescent="0.35">
      <c r="A886">
        <v>882</v>
      </c>
      <c r="B886">
        <v>883</v>
      </c>
      <c r="C886">
        <v>146.78454397499999</v>
      </c>
      <c r="D886">
        <v>-19.134444329000001</v>
      </c>
      <c r="F886" s="63"/>
      <c r="G886" s="63"/>
      <c r="H886" t="s">
        <v>78</v>
      </c>
      <c r="I886" s="64">
        <v>1</v>
      </c>
      <c r="J886" s="31"/>
      <c r="K886" s="31"/>
      <c r="L886" s="31"/>
      <c r="M886" s="31"/>
      <c r="N886" s="4"/>
      <c r="O886" s="4"/>
      <c r="P886" s="4"/>
      <c r="Q886" s="4"/>
      <c r="U886" s="5"/>
      <c r="V886" s="4"/>
      <c r="AG886" t="s">
        <v>927</v>
      </c>
      <c r="AM886" s="1"/>
    </row>
    <row r="887" spans="1:39" x14ac:dyDescent="0.35">
      <c r="A887">
        <v>883</v>
      </c>
      <c r="B887">
        <v>884</v>
      </c>
      <c r="C887">
        <v>146.78445742700001</v>
      </c>
      <c r="D887">
        <v>-19.1344215949999</v>
      </c>
      <c r="F887" s="63"/>
      <c r="G887" s="63"/>
      <c r="H887" t="s">
        <v>78</v>
      </c>
      <c r="I887" s="64">
        <v>1</v>
      </c>
      <c r="J887" s="31"/>
      <c r="K887" s="31"/>
      <c r="L887" s="31"/>
      <c r="M887" s="31"/>
      <c r="N887" s="4"/>
      <c r="O887" s="4"/>
      <c r="P887" s="4"/>
      <c r="Q887" s="4"/>
      <c r="U887" s="5"/>
      <c r="V887" s="4"/>
      <c r="AG887" t="s">
        <v>928</v>
      </c>
      <c r="AM887" s="1"/>
    </row>
    <row r="888" spans="1:39" x14ac:dyDescent="0.35">
      <c r="A888">
        <v>884</v>
      </c>
      <c r="B888">
        <v>885</v>
      </c>
      <c r="C888">
        <v>146.78436972099999</v>
      </c>
      <c r="D888">
        <v>-19.134403615999901</v>
      </c>
      <c r="E888">
        <v>50</v>
      </c>
      <c r="F888" s="63"/>
      <c r="G888" s="63"/>
      <c r="H888" t="s">
        <v>78</v>
      </c>
      <c r="I888" s="64">
        <v>1</v>
      </c>
      <c r="J888" s="31"/>
      <c r="K888" s="31"/>
      <c r="L888" s="31"/>
      <c r="M888" s="31"/>
      <c r="N888" s="4"/>
      <c r="O888" s="4"/>
      <c r="P888" s="4"/>
      <c r="Q888" s="4"/>
      <c r="U888" s="5"/>
      <c r="V888" s="4"/>
      <c r="AG888" t="s">
        <v>929</v>
      </c>
      <c r="AM888" s="1"/>
    </row>
    <row r="889" spans="1:39" x14ac:dyDescent="0.35">
      <c r="A889">
        <v>885</v>
      </c>
      <c r="B889">
        <v>886</v>
      </c>
      <c r="C889">
        <v>146.784281354</v>
      </c>
      <c r="D889">
        <v>-19.134388354999899</v>
      </c>
      <c r="F889" s="63"/>
      <c r="G889" s="63"/>
      <c r="H889" t="s">
        <v>78</v>
      </c>
      <c r="I889" s="64">
        <v>1</v>
      </c>
      <c r="J889" s="31"/>
      <c r="K889" s="31"/>
      <c r="L889" s="31"/>
      <c r="M889" s="31"/>
      <c r="N889" s="4"/>
      <c r="O889" s="4"/>
      <c r="P889" s="4"/>
      <c r="Q889" s="4"/>
      <c r="U889" s="5"/>
      <c r="V889" s="4"/>
      <c r="AG889" t="s">
        <v>930</v>
      </c>
      <c r="AM889" s="1"/>
    </row>
    <row r="890" spans="1:39" x14ac:dyDescent="0.35">
      <c r="A890">
        <v>886</v>
      </c>
      <c r="B890">
        <v>887</v>
      </c>
      <c r="C890">
        <v>146.78419298700001</v>
      </c>
      <c r="D890">
        <v>-19.134373093000001</v>
      </c>
      <c r="F890" s="63"/>
      <c r="G890" s="63"/>
      <c r="H890" t="s">
        <v>78</v>
      </c>
      <c r="I890" s="64">
        <v>1</v>
      </c>
      <c r="J890" s="31"/>
      <c r="K890" s="31"/>
      <c r="L890" s="31"/>
      <c r="M890" s="31"/>
      <c r="N890" s="4"/>
      <c r="O890" s="4"/>
      <c r="P890" s="4"/>
      <c r="Q890" s="4"/>
      <c r="U890" s="5"/>
      <c r="V890" s="4"/>
      <c r="AG890" t="s">
        <v>931</v>
      </c>
      <c r="AM890" s="1"/>
    </row>
    <row r="891" spans="1:39" x14ac:dyDescent="0.35">
      <c r="A891">
        <v>887</v>
      </c>
      <c r="B891">
        <v>888</v>
      </c>
      <c r="C891">
        <v>146.784104619</v>
      </c>
      <c r="D891">
        <v>-19.134357831999999</v>
      </c>
      <c r="F891" s="63"/>
      <c r="G891" s="63"/>
      <c r="H891" t="s">
        <v>78</v>
      </c>
      <c r="I891" s="64">
        <v>1</v>
      </c>
      <c r="J891" s="31"/>
      <c r="K891" s="31"/>
      <c r="L891" s="31"/>
      <c r="M891" s="31"/>
      <c r="N891" s="4"/>
      <c r="O891" s="4"/>
      <c r="P891" s="4"/>
      <c r="Q891" s="4"/>
      <c r="U891" s="5"/>
      <c r="V891" s="4"/>
      <c r="AG891" t="s">
        <v>932</v>
      </c>
      <c r="AM891" s="1"/>
    </row>
    <row r="892" spans="1:39" x14ac:dyDescent="0.35">
      <c r="A892">
        <v>888</v>
      </c>
      <c r="B892">
        <v>889</v>
      </c>
      <c r="C892">
        <v>146.78401625199999</v>
      </c>
      <c r="D892">
        <v>-19.134342569999902</v>
      </c>
      <c r="F892" s="63"/>
      <c r="G892" s="63"/>
      <c r="H892" t="s">
        <v>78</v>
      </c>
      <c r="I892" s="64">
        <v>1</v>
      </c>
      <c r="J892" s="31"/>
      <c r="K892" s="31"/>
      <c r="L892" s="31"/>
      <c r="M892" s="31"/>
      <c r="N892" s="4"/>
      <c r="O892" s="4"/>
      <c r="P892" s="4"/>
      <c r="Q892" s="4"/>
      <c r="U892" s="5"/>
      <c r="V892" s="4"/>
      <c r="AG892" t="s">
        <v>933</v>
      </c>
      <c r="AM892" s="1"/>
    </row>
    <row r="893" spans="1:39" x14ac:dyDescent="0.35">
      <c r="A893">
        <v>889</v>
      </c>
      <c r="B893">
        <v>890</v>
      </c>
      <c r="C893">
        <v>146.78392877900001</v>
      </c>
      <c r="D893">
        <v>-19.1343232729999</v>
      </c>
      <c r="E893">
        <v>50</v>
      </c>
      <c r="F893" s="63"/>
      <c r="G893" s="63"/>
      <c r="H893" t="s">
        <v>78</v>
      </c>
      <c r="I893" s="64">
        <v>1</v>
      </c>
      <c r="J893" s="31"/>
      <c r="K893" s="31"/>
      <c r="L893" s="31"/>
      <c r="M893" s="31"/>
      <c r="N893" s="4"/>
      <c r="O893" s="4"/>
      <c r="P893" s="4"/>
      <c r="Q893" s="4"/>
      <c r="U893" s="5"/>
      <c r="V893" s="4"/>
      <c r="AG893" t="s">
        <v>934</v>
      </c>
      <c r="AM893" s="1"/>
    </row>
    <row r="894" spans="1:39" x14ac:dyDescent="0.35">
      <c r="A894">
        <v>890</v>
      </c>
      <c r="B894">
        <v>891</v>
      </c>
      <c r="C894">
        <v>146.783841352</v>
      </c>
      <c r="D894">
        <v>-19.134303768999899</v>
      </c>
      <c r="F894" s="63"/>
      <c r="G894" s="63"/>
      <c r="H894" t="s">
        <v>78</v>
      </c>
      <c r="I894" s="64">
        <v>1</v>
      </c>
      <c r="J894" s="31"/>
      <c r="K894" s="31"/>
      <c r="L894" s="31"/>
      <c r="M894" s="31"/>
      <c r="N894" s="4"/>
      <c r="O894" s="4"/>
      <c r="P894" s="4"/>
      <c r="Q894" s="4"/>
      <c r="U894" s="5"/>
      <c r="V894" s="4"/>
      <c r="AG894" t="s">
        <v>935</v>
      </c>
      <c r="AM894" s="1"/>
    </row>
    <row r="895" spans="1:39" x14ac:dyDescent="0.35">
      <c r="A895">
        <v>891</v>
      </c>
      <c r="B895">
        <v>892</v>
      </c>
      <c r="C895">
        <v>146.78375392500001</v>
      </c>
      <c r="D895">
        <v>-19.134284265000002</v>
      </c>
      <c r="F895" s="63"/>
      <c r="G895" s="63"/>
      <c r="H895" t="s">
        <v>78</v>
      </c>
      <c r="I895" s="64">
        <v>1</v>
      </c>
      <c r="J895" s="31"/>
      <c r="K895" s="31"/>
      <c r="L895" s="31"/>
      <c r="M895" s="31"/>
      <c r="N895" s="4"/>
      <c r="O895" s="4"/>
      <c r="P895" s="4"/>
      <c r="Q895" s="4"/>
      <c r="U895" s="5"/>
      <c r="V895" s="4"/>
      <c r="AG895" t="s">
        <v>936</v>
      </c>
      <c r="AM895" s="1"/>
    </row>
    <row r="896" spans="1:39" x14ac:dyDescent="0.35">
      <c r="A896">
        <v>892</v>
      </c>
      <c r="B896">
        <v>893</v>
      </c>
      <c r="C896">
        <v>146.783666498</v>
      </c>
      <c r="D896">
        <v>-19.134264760999901</v>
      </c>
      <c r="F896" s="63"/>
      <c r="G896" s="63"/>
      <c r="H896" t="s">
        <v>78</v>
      </c>
      <c r="I896" s="64">
        <v>1</v>
      </c>
      <c r="J896" s="31"/>
      <c r="K896" s="31"/>
      <c r="L896" s="31"/>
      <c r="M896" s="31"/>
      <c r="N896" s="4"/>
      <c r="O896" s="4"/>
      <c r="P896" s="4"/>
      <c r="Q896" s="4"/>
      <c r="U896" s="5"/>
      <c r="V896" s="4"/>
      <c r="AG896" t="s">
        <v>937</v>
      </c>
      <c r="AM896" s="1"/>
    </row>
    <row r="897" spans="1:39" x14ac:dyDescent="0.35">
      <c r="A897">
        <v>893</v>
      </c>
      <c r="B897">
        <v>894</v>
      </c>
      <c r="C897">
        <v>146.78358020499999</v>
      </c>
      <c r="D897">
        <v>-19.134241457000002</v>
      </c>
      <c r="F897" s="63"/>
      <c r="G897" s="63"/>
      <c r="H897" t="s">
        <v>78</v>
      </c>
      <c r="I897" s="64">
        <v>1</v>
      </c>
      <c r="J897" s="31"/>
      <c r="K897" s="31"/>
      <c r="L897" s="31"/>
      <c r="M897" s="31"/>
      <c r="N897" s="4"/>
      <c r="O897" s="4"/>
      <c r="P897" s="4"/>
      <c r="Q897" s="4"/>
      <c r="U897" s="5"/>
      <c r="V897" s="4"/>
      <c r="AG897" t="s">
        <v>938</v>
      </c>
      <c r="AM897" s="1"/>
    </row>
    <row r="898" spans="1:39" x14ac:dyDescent="0.35">
      <c r="A898">
        <v>894</v>
      </c>
      <c r="B898">
        <v>895</v>
      </c>
      <c r="C898">
        <v>146.78349487</v>
      </c>
      <c r="D898">
        <v>-19.134214941</v>
      </c>
      <c r="E898">
        <v>50</v>
      </c>
      <c r="F898" s="63"/>
      <c r="G898" s="63"/>
      <c r="H898" t="s">
        <v>78</v>
      </c>
      <c r="I898" s="64">
        <v>1</v>
      </c>
      <c r="J898" s="31"/>
      <c r="K898" s="31"/>
      <c r="L898" s="31"/>
      <c r="M898" s="31"/>
      <c r="N898" s="4"/>
      <c r="O898" s="4"/>
      <c r="P898" s="4"/>
      <c r="Q898" s="4"/>
      <c r="U898" s="5"/>
      <c r="V898" s="4"/>
      <c r="AG898" t="s">
        <v>939</v>
      </c>
      <c r="AM898" s="1"/>
    </row>
    <row r="899" spans="1:39" x14ac:dyDescent="0.35">
      <c r="A899">
        <v>895</v>
      </c>
      <c r="B899">
        <v>896</v>
      </c>
      <c r="C899">
        <v>146.78340953599999</v>
      </c>
      <c r="D899">
        <v>-19.134188424999898</v>
      </c>
      <c r="F899" s="63"/>
      <c r="G899" s="63"/>
      <c r="H899" t="s">
        <v>78</v>
      </c>
      <c r="I899" s="64">
        <v>1</v>
      </c>
      <c r="J899" s="31"/>
      <c r="K899" s="31"/>
      <c r="L899" s="31"/>
      <c r="M899" s="31"/>
      <c r="N899" s="4"/>
      <c r="O899" s="4"/>
      <c r="P899" s="4"/>
      <c r="Q899" s="4"/>
      <c r="U899" s="5"/>
      <c r="V899" s="4"/>
      <c r="AG899" t="s">
        <v>940</v>
      </c>
      <c r="AM899" s="1"/>
    </row>
    <row r="900" spans="1:39" x14ac:dyDescent="0.35">
      <c r="A900">
        <v>896</v>
      </c>
      <c r="B900">
        <v>897</v>
      </c>
      <c r="C900">
        <v>146.78336603700001</v>
      </c>
      <c r="D900">
        <v>-19.134117960000001</v>
      </c>
      <c r="F900" s="63"/>
      <c r="G900" s="63"/>
      <c r="H900" t="s">
        <v>78</v>
      </c>
      <c r="I900" s="64">
        <v>1</v>
      </c>
      <c r="J900" s="31"/>
      <c r="K900" s="31"/>
      <c r="L900" s="31"/>
      <c r="M900" s="31"/>
      <c r="N900" s="4"/>
      <c r="O900" s="4"/>
      <c r="P900" s="4"/>
      <c r="Q900" s="4"/>
      <c r="U900" s="5"/>
      <c r="V900" s="4"/>
      <c r="AG900" t="s">
        <v>941</v>
      </c>
      <c r="AM900" s="1"/>
    </row>
    <row r="901" spans="1:39" x14ac:dyDescent="0.35">
      <c r="A901">
        <v>897</v>
      </c>
      <c r="B901">
        <v>898</v>
      </c>
      <c r="C901">
        <v>146.78332546300001</v>
      </c>
      <c r="D901">
        <v>-19.134042485999899</v>
      </c>
      <c r="F901" s="63"/>
      <c r="G901" s="63"/>
      <c r="H901" t="s">
        <v>78</v>
      </c>
      <c r="I901" s="64">
        <v>1</v>
      </c>
      <c r="J901" s="31"/>
      <c r="K901" s="31"/>
      <c r="L901" s="31"/>
      <c r="M901" s="31"/>
      <c r="N901" s="4"/>
      <c r="O901" s="4"/>
      <c r="P901" s="4"/>
      <c r="Q901" s="4"/>
      <c r="U901" s="5"/>
      <c r="V901" s="4"/>
      <c r="AG901" t="s">
        <v>942</v>
      </c>
      <c r="AM901" s="1"/>
    </row>
    <row r="902" spans="1:39" x14ac:dyDescent="0.35">
      <c r="A902">
        <v>898</v>
      </c>
      <c r="B902">
        <v>899</v>
      </c>
      <c r="C902">
        <v>146.783276134</v>
      </c>
      <c r="D902">
        <v>-19.133971557999899</v>
      </c>
      <c r="F902" s="63"/>
      <c r="G902" s="63"/>
      <c r="H902" t="s">
        <v>78</v>
      </c>
      <c r="I902" s="64">
        <v>1</v>
      </c>
      <c r="J902" s="31"/>
      <c r="K902" s="31"/>
      <c r="L902" s="31"/>
      <c r="M902" s="31"/>
      <c r="N902" s="4"/>
      <c r="O902" s="4"/>
      <c r="P902" s="4"/>
      <c r="Q902" s="4"/>
      <c r="U902" s="5"/>
      <c r="V902" s="4"/>
      <c r="AG902" t="s">
        <v>943</v>
      </c>
      <c r="AM902" s="1"/>
    </row>
    <row r="903" spans="1:39" x14ac:dyDescent="0.35">
      <c r="A903">
        <v>899</v>
      </c>
      <c r="B903">
        <v>900</v>
      </c>
      <c r="C903">
        <v>146.783209296</v>
      </c>
      <c r="D903">
        <v>-19.133918848</v>
      </c>
      <c r="E903">
        <v>50</v>
      </c>
      <c r="F903" s="63"/>
      <c r="G903" s="63"/>
      <c r="H903" t="s">
        <v>78</v>
      </c>
      <c r="I903" s="64">
        <v>1</v>
      </c>
      <c r="J903" s="31"/>
      <c r="K903" s="31"/>
      <c r="L903" s="31"/>
      <c r="M903" s="31"/>
      <c r="N903" s="4"/>
      <c r="O903" s="4"/>
      <c r="P903" s="4"/>
      <c r="Q903" s="4"/>
      <c r="U903" s="5"/>
      <c r="V903" s="4"/>
      <c r="AG903" t="s">
        <v>944</v>
      </c>
      <c r="AM903" s="1"/>
    </row>
    <row r="904" spans="1:39" x14ac:dyDescent="0.35">
      <c r="A904">
        <v>900</v>
      </c>
      <c r="B904">
        <v>901</v>
      </c>
      <c r="C904">
        <v>146.78312847999999</v>
      </c>
      <c r="D904">
        <v>-19.133886383999901</v>
      </c>
      <c r="F904" s="63"/>
      <c r="G904" s="63"/>
      <c r="H904" t="s">
        <v>78</v>
      </c>
      <c r="I904" s="64">
        <v>1</v>
      </c>
      <c r="J904" s="31"/>
      <c r="K904" s="31"/>
      <c r="L904" s="31"/>
      <c r="M904" s="31"/>
      <c r="N904" s="4"/>
      <c r="O904" s="4"/>
      <c r="P904" s="4"/>
      <c r="Q904" s="4"/>
      <c r="U904" s="5"/>
      <c r="V904" s="4"/>
      <c r="AG904" t="s">
        <v>945</v>
      </c>
      <c r="AM904" s="1"/>
    </row>
    <row r="905" spans="1:39" x14ac:dyDescent="0.35">
      <c r="A905">
        <v>901</v>
      </c>
      <c r="B905">
        <v>902</v>
      </c>
      <c r="C905">
        <v>146.78303942100001</v>
      </c>
      <c r="D905">
        <v>-19.133897491999999</v>
      </c>
      <c r="F905" s="63"/>
      <c r="G905" s="63"/>
      <c r="H905" t="s">
        <v>78</v>
      </c>
      <c r="I905" s="64">
        <v>1</v>
      </c>
      <c r="J905" s="31"/>
      <c r="K905" s="31"/>
      <c r="L905" s="31"/>
      <c r="M905" s="31"/>
      <c r="N905" s="4"/>
      <c r="O905" s="4"/>
      <c r="P905" s="4"/>
      <c r="Q905" s="4"/>
      <c r="U905" s="5"/>
      <c r="V905" s="4"/>
      <c r="AG905" t="s">
        <v>946</v>
      </c>
      <c r="AM905" s="1"/>
    </row>
    <row r="906" spans="1:39" x14ac:dyDescent="0.35">
      <c r="A906">
        <v>902</v>
      </c>
      <c r="B906">
        <v>903</v>
      </c>
      <c r="C906">
        <v>146.78295036200001</v>
      </c>
      <c r="D906">
        <v>-19.133908599999899</v>
      </c>
      <c r="F906" s="63"/>
      <c r="G906" s="63"/>
      <c r="H906" t="s">
        <v>78</v>
      </c>
      <c r="I906" s="64">
        <v>1</v>
      </c>
      <c r="J906" s="31"/>
      <c r="K906" s="31"/>
      <c r="L906" s="31"/>
      <c r="M906" s="31"/>
      <c r="N906" s="4"/>
      <c r="O906" s="4"/>
      <c r="P906" s="4"/>
      <c r="Q906" s="4"/>
      <c r="U906" s="5"/>
      <c r="V906" s="4"/>
      <c r="AG906" t="s">
        <v>947</v>
      </c>
      <c r="AM906" s="1"/>
    </row>
    <row r="907" spans="1:39" x14ac:dyDescent="0.35">
      <c r="A907">
        <v>903</v>
      </c>
      <c r="B907">
        <v>904</v>
      </c>
      <c r="C907">
        <v>146.78286296100001</v>
      </c>
      <c r="D907">
        <v>-19.133927098000001</v>
      </c>
      <c r="F907" s="63"/>
      <c r="G907" s="63"/>
      <c r="H907" t="s">
        <v>78</v>
      </c>
      <c r="I907" s="64">
        <v>1</v>
      </c>
      <c r="J907" s="31"/>
      <c r="K907" s="31"/>
      <c r="L907" s="31"/>
      <c r="M907" s="31"/>
      <c r="N907" s="4"/>
      <c r="O907" s="4"/>
      <c r="P907" s="4"/>
      <c r="Q907" s="4"/>
      <c r="U907" s="5"/>
      <c r="V907" s="4"/>
      <c r="AG907" t="s">
        <v>948</v>
      </c>
      <c r="AM907" s="1"/>
    </row>
    <row r="908" spans="1:39" x14ac:dyDescent="0.35">
      <c r="A908">
        <v>904</v>
      </c>
      <c r="B908">
        <v>905</v>
      </c>
      <c r="C908">
        <v>146.78277678800001</v>
      </c>
      <c r="D908">
        <v>-19.133951071999899</v>
      </c>
      <c r="E908">
        <v>50</v>
      </c>
      <c r="F908" s="63"/>
      <c r="G908" s="63"/>
      <c r="H908" t="s">
        <v>78</v>
      </c>
      <c r="I908" s="64">
        <v>1</v>
      </c>
      <c r="J908" s="31"/>
      <c r="K908" s="31"/>
      <c r="L908" s="31"/>
      <c r="M908" s="31"/>
      <c r="N908" s="4"/>
      <c r="O908" s="4"/>
      <c r="P908" s="4"/>
      <c r="Q908" s="4"/>
      <c r="U908" s="5"/>
      <c r="V908" s="4"/>
      <c r="AG908" t="s">
        <v>949</v>
      </c>
      <c r="AM908" s="1"/>
    </row>
    <row r="909" spans="1:39" x14ac:dyDescent="0.35">
      <c r="A909">
        <v>905</v>
      </c>
      <c r="B909">
        <v>906</v>
      </c>
      <c r="C909">
        <v>146.78269061500001</v>
      </c>
      <c r="D909">
        <v>-19.1339750459999</v>
      </c>
      <c r="F909" s="63"/>
      <c r="G909" s="63"/>
      <c r="H909" t="s">
        <v>78</v>
      </c>
      <c r="I909" s="64">
        <v>1</v>
      </c>
      <c r="J909" s="31"/>
      <c r="K909" s="31"/>
      <c r="L909" s="31"/>
      <c r="M909" s="31"/>
      <c r="N909" s="4"/>
      <c r="O909" s="4"/>
      <c r="P909" s="4"/>
      <c r="Q909" s="4"/>
      <c r="U909" s="5"/>
      <c r="V909" s="4"/>
      <c r="AG909" t="s">
        <v>950</v>
      </c>
      <c r="AM909" s="1"/>
    </row>
    <row r="910" spans="1:39" x14ac:dyDescent="0.35">
      <c r="A910">
        <v>906</v>
      </c>
      <c r="B910">
        <v>907</v>
      </c>
      <c r="C910">
        <v>146.78260241300001</v>
      </c>
      <c r="D910">
        <v>-19.133988422000002</v>
      </c>
      <c r="F910" s="63"/>
      <c r="G910" s="63"/>
      <c r="H910" t="s">
        <v>78</v>
      </c>
      <c r="I910" s="64">
        <v>1</v>
      </c>
      <c r="J910" s="31"/>
      <c r="K910" s="31"/>
      <c r="L910" s="31"/>
      <c r="M910" s="31"/>
      <c r="N910" s="4"/>
      <c r="O910" s="4"/>
      <c r="P910" s="4"/>
      <c r="Q910" s="4"/>
      <c r="U910" s="5"/>
      <c r="V910" s="4"/>
      <c r="AG910" t="s">
        <v>951</v>
      </c>
      <c r="AM910" s="1"/>
    </row>
    <row r="911" spans="1:39" x14ac:dyDescent="0.35">
      <c r="A911">
        <v>907</v>
      </c>
      <c r="B911">
        <v>908</v>
      </c>
      <c r="C911">
        <v>146.782512811</v>
      </c>
      <c r="D911">
        <v>-19.1339944929999</v>
      </c>
      <c r="F911" s="63"/>
      <c r="G911" s="63"/>
      <c r="H911" t="s">
        <v>78</v>
      </c>
      <c r="I911" s="64">
        <v>1</v>
      </c>
      <c r="J911" s="31"/>
      <c r="K911" s="31"/>
      <c r="L911" s="31"/>
      <c r="M911" s="31"/>
      <c r="N911" s="4"/>
      <c r="O911" s="4"/>
      <c r="P911" s="4"/>
      <c r="Q911" s="4"/>
      <c r="U911" s="5"/>
      <c r="V911" s="4"/>
      <c r="AG911" t="s">
        <v>952</v>
      </c>
      <c r="AM911" s="1"/>
    </row>
    <row r="912" spans="1:39" x14ac:dyDescent="0.35">
      <c r="A912">
        <v>908</v>
      </c>
      <c r="B912">
        <v>909</v>
      </c>
      <c r="C912">
        <v>146.78242510699999</v>
      </c>
      <c r="D912">
        <v>-19.133991575</v>
      </c>
      <c r="F912" s="63"/>
      <c r="G912" s="63"/>
      <c r="H912" t="s">
        <v>78</v>
      </c>
      <c r="I912" s="64">
        <v>1</v>
      </c>
      <c r="J912" s="31"/>
      <c r="K912" s="31"/>
      <c r="L912" s="31"/>
      <c r="M912" s="31"/>
      <c r="N912" s="4"/>
      <c r="O912" s="4"/>
      <c r="P912" s="4"/>
      <c r="Q912" s="4"/>
      <c r="U912" s="5"/>
      <c r="V912" s="4"/>
      <c r="AG912" t="s">
        <v>953</v>
      </c>
      <c r="AM912" s="1"/>
    </row>
    <row r="913" spans="1:39" x14ac:dyDescent="0.35">
      <c r="A913">
        <v>909</v>
      </c>
      <c r="B913">
        <v>910</v>
      </c>
      <c r="C913">
        <v>146.78234481999999</v>
      </c>
      <c r="D913">
        <v>-19.133953505000001</v>
      </c>
      <c r="E913">
        <v>50</v>
      </c>
      <c r="F913" s="63"/>
      <c r="G913" s="63"/>
      <c r="H913" t="s">
        <v>78</v>
      </c>
      <c r="I913" s="64">
        <v>1</v>
      </c>
      <c r="J913" s="31"/>
      <c r="K913" s="31"/>
      <c r="L913" s="31"/>
      <c r="M913" s="31"/>
      <c r="N913" s="4"/>
      <c r="O913" s="4"/>
      <c r="P913" s="4"/>
      <c r="Q913" s="4"/>
      <c r="U913" s="5"/>
      <c r="V913" s="4"/>
      <c r="AG913" t="s">
        <v>954</v>
      </c>
      <c r="AM913" s="1"/>
    </row>
    <row r="914" spans="1:39" x14ac:dyDescent="0.35">
      <c r="A914">
        <v>910</v>
      </c>
      <c r="B914">
        <v>911</v>
      </c>
      <c r="C914">
        <v>146.78226453299999</v>
      </c>
      <c r="D914">
        <v>-19.133915435999899</v>
      </c>
      <c r="F914" s="63"/>
      <c r="G914" s="63"/>
      <c r="H914" t="s">
        <v>78</v>
      </c>
      <c r="I914" s="64">
        <v>1</v>
      </c>
      <c r="J914" s="31"/>
      <c r="K914" s="31"/>
      <c r="L914" s="31"/>
      <c r="M914" s="31"/>
      <c r="N914" s="4"/>
      <c r="O914" s="4"/>
      <c r="P914" s="4"/>
      <c r="Q914" s="4"/>
      <c r="U914" s="5"/>
      <c r="V914" s="4"/>
      <c r="AG914" t="s">
        <v>955</v>
      </c>
      <c r="AM914" s="1"/>
    </row>
    <row r="915" spans="1:39" x14ac:dyDescent="0.35">
      <c r="A915">
        <v>911</v>
      </c>
      <c r="B915">
        <v>912</v>
      </c>
      <c r="C915">
        <v>146.782184247</v>
      </c>
      <c r="D915">
        <v>-19.133877366</v>
      </c>
      <c r="F915" s="63"/>
      <c r="G915" s="63"/>
      <c r="H915" t="s">
        <v>78</v>
      </c>
      <c r="I915" s="64">
        <v>1</v>
      </c>
      <c r="J915" s="31"/>
      <c r="K915" s="31"/>
      <c r="L915" s="31"/>
      <c r="M915" s="31"/>
      <c r="N915" s="4"/>
      <c r="O915" s="4"/>
      <c r="P915" s="4"/>
      <c r="Q915" s="4"/>
      <c r="U915" s="5"/>
      <c r="V915" s="4"/>
      <c r="AG915" t="s">
        <v>956</v>
      </c>
      <c r="AM915" s="1"/>
    </row>
    <row r="916" spans="1:39" x14ac:dyDescent="0.35">
      <c r="A916">
        <v>912</v>
      </c>
      <c r="B916">
        <v>913</v>
      </c>
      <c r="C916">
        <v>146.782142454</v>
      </c>
      <c r="D916">
        <v>-19.133805703999901</v>
      </c>
      <c r="F916" s="63"/>
      <c r="G916" s="63"/>
      <c r="H916" t="s">
        <v>78</v>
      </c>
      <c r="I916" s="64">
        <v>1</v>
      </c>
      <c r="J916" s="31"/>
      <c r="K916" s="31"/>
      <c r="L916" s="31"/>
      <c r="M916" s="31"/>
      <c r="N916" s="4"/>
      <c r="O916" s="4"/>
      <c r="P916" s="4"/>
      <c r="Q916" s="4"/>
      <c r="U916" s="5"/>
      <c r="V916" s="4"/>
      <c r="AG916" t="s">
        <v>957</v>
      </c>
      <c r="AM916" s="1"/>
    </row>
    <row r="917" spans="1:39" x14ac:dyDescent="0.35">
      <c r="A917">
        <v>913</v>
      </c>
      <c r="B917">
        <v>914</v>
      </c>
      <c r="C917">
        <v>146.782108644</v>
      </c>
      <c r="D917">
        <v>-19.133727074999999</v>
      </c>
      <c r="F917" s="63"/>
      <c r="G917" s="63"/>
      <c r="H917" t="s">
        <v>78</v>
      </c>
      <c r="I917" s="64">
        <v>1</v>
      </c>
      <c r="J917" s="31"/>
      <c r="K917" s="31"/>
      <c r="L917" s="31"/>
      <c r="M917" s="31"/>
      <c r="N917" s="4"/>
      <c r="O917" s="4"/>
      <c r="P917" s="4"/>
      <c r="Q917" s="4"/>
      <c r="U917" s="5"/>
      <c r="V917" s="4"/>
      <c r="AG917" t="s">
        <v>958</v>
      </c>
      <c r="AM917" s="1"/>
    </row>
    <row r="918" spans="1:39" x14ac:dyDescent="0.35">
      <c r="A918">
        <v>914</v>
      </c>
      <c r="B918">
        <v>915</v>
      </c>
      <c r="C918">
        <v>146.78208013599999</v>
      </c>
      <c r="D918">
        <v>-19.133647018000001</v>
      </c>
      <c r="E918">
        <v>50</v>
      </c>
      <c r="F918" s="63"/>
      <c r="G918" s="63"/>
      <c r="H918" t="s">
        <v>78</v>
      </c>
      <c r="I918" s="64">
        <v>1</v>
      </c>
      <c r="J918" s="31"/>
      <c r="K918" s="31"/>
      <c r="L918" s="31"/>
      <c r="M918" s="31"/>
      <c r="N918" s="4"/>
      <c r="O918" s="4"/>
      <c r="P918" s="4"/>
      <c r="Q918" s="4"/>
      <c r="U918" s="5"/>
      <c r="V918" s="4"/>
      <c r="AG918" t="s">
        <v>959</v>
      </c>
      <c r="AM918" s="1"/>
    </row>
    <row r="919" spans="1:39" x14ac:dyDescent="0.35">
      <c r="A919">
        <v>915</v>
      </c>
      <c r="B919">
        <v>916</v>
      </c>
      <c r="C919">
        <v>146.782064951</v>
      </c>
      <c r="D919">
        <v>-19.133563371000001</v>
      </c>
      <c r="F919" s="63"/>
      <c r="G919" s="63"/>
      <c r="H919" t="s">
        <v>78</v>
      </c>
      <c r="I919" s="64">
        <v>1</v>
      </c>
      <c r="J919" s="31"/>
      <c r="K919" s="31"/>
      <c r="L919" s="31"/>
      <c r="M919" s="31"/>
      <c r="N919" s="4"/>
      <c r="O919" s="4"/>
      <c r="P919" s="4"/>
      <c r="Q919" s="4"/>
      <c r="U919" s="5"/>
      <c r="V919" s="4"/>
      <c r="AG919" t="s">
        <v>960</v>
      </c>
      <c r="AM919" s="1"/>
    </row>
    <row r="920" spans="1:39" x14ac:dyDescent="0.35">
      <c r="A920">
        <v>916</v>
      </c>
      <c r="B920">
        <v>917</v>
      </c>
      <c r="C920">
        <v>146.78204976699999</v>
      </c>
      <c r="D920">
        <v>-19.133479722999901</v>
      </c>
      <c r="F920" s="63"/>
      <c r="G920" s="63"/>
      <c r="H920" t="s">
        <v>78</v>
      </c>
      <c r="I920" s="64">
        <v>1</v>
      </c>
      <c r="J920" s="31"/>
      <c r="K920" s="31"/>
      <c r="L920" s="31"/>
      <c r="M920" s="31"/>
      <c r="N920" s="4"/>
      <c r="O920" s="4"/>
      <c r="P920" s="4"/>
      <c r="Q920" s="4"/>
      <c r="U920" s="5"/>
      <c r="V920" s="4"/>
      <c r="AG920" t="s">
        <v>961</v>
      </c>
      <c r="AM920" s="1"/>
    </row>
    <row r="921" spans="1:39" x14ac:dyDescent="0.35">
      <c r="A921">
        <v>917</v>
      </c>
      <c r="B921">
        <v>918</v>
      </c>
      <c r="C921">
        <v>146.78203458300001</v>
      </c>
      <c r="D921">
        <v>-19.133396075</v>
      </c>
      <c r="F921" s="63"/>
      <c r="G921" s="63"/>
      <c r="H921" t="s">
        <v>78</v>
      </c>
      <c r="I921" s="64">
        <v>1</v>
      </c>
      <c r="J921" s="31"/>
      <c r="K921" s="31"/>
      <c r="L921" s="31"/>
      <c r="M921" s="31"/>
      <c r="N921" s="4"/>
      <c r="O921" s="4"/>
      <c r="P921" s="4"/>
      <c r="Q921" s="4"/>
      <c r="U921" s="5"/>
      <c r="V921" s="4"/>
      <c r="AG921" t="s">
        <v>962</v>
      </c>
      <c r="AM921" s="1"/>
    </row>
    <row r="922" spans="1:39" x14ac:dyDescent="0.35">
      <c r="A922">
        <v>918</v>
      </c>
      <c r="B922">
        <v>919</v>
      </c>
      <c r="C922">
        <v>146.782030279</v>
      </c>
      <c r="D922">
        <v>-19.133311857999999</v>
      </c>
      <c r="F922" s="63"/>
      <c r="G922" s="63"/>
      <c r="H922" t="s">
        <v>78</v>
      </c>
      <c r="I922" s="64">
        <v>1</v>
      </c>
      <c r="J922" s="31"/>
      <c r="K922" s="31"/>
      <c r="L922" s="31"/>
      <c r="M922" s="31"/>
      <c r="N922" s="4"/>
      <c r="O922" s="4"/>
      <c r="P922" s="4"/>
      <c r="Q922" s="4"/>
      <c r="U922" s="5"/>
      <c r="V922" s="4"/>
      <c r="AG922" t="s">
        <v>963</v>
      </c>
      <c r="AM922" s="1"/>
    </row>
    <row r="923" spans="1:39" x14ac:dyDescent="0.35">
      <c r="A923">
        <v>919</v>
      </c>
      <c r="B923">
        <v>920</v>
      </c>
      <c r="C923">
        <v>146.78203559299999</v>
      </c>
      <c r="D923">
        <v>-19.133227136999899</v>
      </c>
      <c r="E923">
        <v>50</v>
      </c>
      <c r="F923" s="63"/>
      <c r="G923" s="63"/>
      <c r="H923" t="s">
        <v>78</v>
      </c>
      <c r="I923" s="64">
        <v>1</v>
      </c>
      <c r="J923" s="31"/>
      <c r="K923" s="31"/>
      <c r="L923" s="31"/>
      <c r="M923" s="31"/>
      <c r="N923" s="4"/>
      <c r="O923" s="4"/>
      <c r="P923" s="4"/>
      <c r="Q923" s="4"/>
      <c r="U923" s="5"/>
      <c r="V923" s="4"/>
      <c r="AG923" t="s">
        <v>964</v>
      </c>
      <c r="AM923" s="1"/>
    </row>
    <row r="924" spans="1:39" x14ac:dyDescent="0.35">
      <c r="A924">
        <v>920</v>
      </c>
      <c r="B924">
        <v>921</v>
      </c>
      <c r="C924">
        <v>146.782040908</v>
      </c>
      <c r="D924">
        <v>-19.133142416999899</v>
      </c>
      <c r="F924" s="63"/>
      <c r="G924" s="63"/>
      <c r="H924" t="s">
        <v>78</v>
      </c>
      <c r="I924" s="64">
        <v>1</v>
      </c>
      <c r="J924" s="31"/>
      <c r="K924" s="31"/>
      <c r="L924" s="31"/>
      <c r="M924" s="31"/>
      <c r="N924" s="4"/>
      <c r="O924" s="4"/>
      <c r="P924" s="4"/>
      <c r="Q924" s="4"/>
      <c r="U924" s="5"/>
      <c r="V924" s="4"/>
      <c r="AG924" t="s">
        <v>965</v>
      </c>
      <c r="AM924" s="1"/>
    </row>
    <row r="925" spans="1:39" x14ac:dyDescent="0.35">
      <c r="A925">
        <v>921</v>
      </c>
      <c r="B925">
        <v>922</v>
      </c>
      <c r="C925">
        <v>146.78204622199999</v>
      </c>
      <c r="D925">
        <v>-19.133057696000002</v>
      </c>
      <c r="F925" s="63"/>
      <c r="G925" s="63"/>
      <c r="H925" t="s">
        <v>78</v>
      </c>
      <c r="I925" s="64">
        <v>1</v>
      </c>
      <c r="J925" s="31"/>
      <c r="K925" s="31"/>
      <c r="L925" s="31"/>
      <c r="M925" s="31"/>
      <c r="N925" s="4"/>
      <c r="O925" s="4"/>
      <c r="P925" s="4"/>
      <c r="Q925" s="4"/>
      <c r="U925" s="5"/>
      <c r="V925" s="4"/>
      <c r="AG925" t="s">
        <v>966</v>
      </c>
      <c r="AM925" s="1"/>
    </row>
    <row r="926" spans="1:39" x14ac:dyDescent="0.35">
      <c r="A926">
        <v>922</v>
      </c>
      <c r="B926">
        <v>923</v>
      </c>
      <c r="C926">
        <v>146.78205153600001</v>
      </c>
      <c r="D926">
        <v>-19.132972976000001</v>
      </c>
      <c r="F926" s="63"/>
      <c r="G926" s="63"/>
      <c r="H926" t="s">
        <v>78</v>
      </c>
      <c r="I926" s="64">
        <v>1</v>
      </c>
      <c r="J926" s="31"/>
      <c r="K926" s="31"/>
      <c r="L926" s="31"/>
      <c r="M926" s="31"/>
      <c r="N926" s="4"/>
      <c r="O926" s="4"/>
      <c r="P926" s="4"/>
      <c r="Q926" s="4"/>
      <c r="U926" s="5"/>
      <c r="V926" s="4"/>
      <c r="AG926" t="s">
        <v>967</v>
      </c>
      <c r="AM926" s="1"/>
    </row>
    <row r="927" spans="1:39" x14ac:dyDescent="0.35">
      <c r="A927">
        <v>923</v>
      </c>
      <c r="B927">
        <v>924</v>
      </c>
      <c r="C927">
        <v>146.78205685099999</v>
      </c>
      <c r="D927">
        <v>-19.132888255000001</v>
      </c>
      <c r="F927" s="63"/>
      <c r="G927" s="63"/>
      <c r="H927" t="s">
        <v>78</v>
      </c>
      <c r="I927" s="64">
        <v>1</v>
      </c>
      <c r="J927" s="31"/>
      <c r="K927" s="31"/>
      <c r="L927" s="31"/>
      <c r="M927" s="31"/>
      <c r="N927" s="4"/>
      <c r="O927" s="4"/>
      <c r="P927" s="4"/>
      <c r="Q927" s="4"/>
      <c r="U927" s="5"/>
      <c r="V927" s="4"/>
      <c r="AG927" t="s">
        <v>968</v>
      </c>
      <c r="AM927" s="1"/>
    </row>
    <row r="928" spans="1:39" x14ac:dyDescent="0.35">
      <c r="A928">
        <v>924</v>
      </c>
      <c r="B928">
        <v>925</v>
      </c>
      <c r="C928">
        <v>146.78206216500001</v>
      </c>
      <c r="D928">
        <v>-19.132803533999901</v>
      </c>
      <c r="E928">
        <v>50</v>
      </c>
      <c r="F928" s="63"/>
      <c r="G928" s="63"/>
      <c r="H928" t="s">
        <v>78</v>
      </c>
      <c r="I928" s="64">
        <v>1</v>
      </c>
      <c r="J928" s="31"/>
      <c r="K928" s="31"/>
      <c r="L928" s="31"/>
      <c r="M928" s="31"/>
      <c r="N928" s="4"/>
      <c r="O928" s="4"/>
      <c r="P928" s="4"/>
      <c r="Q928" s="4"/>
      <c r="U928" s="5"/>
      <c r="V928" s="4"/>
      <c r="AG928" t="s">
        <v>969</v>
      </c>
      <c r="AM928" s="1"/>
    </row>
    <row r="929" spans="1:39" x14ac:dyDescent="0.35">
      <c r="A929">
        <v>925</v>
      </c>
      <c r="B929">
        <v>926</v>
      </c>
      <c r="C929">
        <v>146.78206747900001</v>
      </c>
      <c r="D929">
        <v>-19.132718813999901</v>
      </c>
      <c r="F929" s="63"/>
      <c r="G929" s="63"/>
      <c r="H929" t="s">
        <v>78</v>
      </c>
      <c r="I929" s="64">
        <v>1</v>
      </c>
      <c r="J929" s="31"/>
      <c r="K929" s="31"/>
      <c r="L929" s="31"/>
      <c r="M929" s="31"/>
      <c r="N929" s="4"/>
      <c r="O929" s="4"/>
      <c r="P929" s="4"/>
      <c r="Q929" s="4"/>
      <c r="U929" s="5"/>
      <c r="V929" s="4"/>
      <c r="AG929" t="s">
        <v>970</v>
      </c>
      <c r="AM929" s="1"/>
    </row>
    <row r="930" spans="1:39" x14ac:dyDescent="0.35">
      <c r="A930">
        <v>926</v>
      </c>
      <c r="B930">
        <v>927</v>
      </c>
      <c r="C930">
        <v>146.78205706599999</v>
      </c>
      <c r="D930">
        <v>-19.132636239</v>
      </c>
      <c r="F930" s="63"/>
      <c r="G930" s="63"/>
      <c r="H930" t="s">
        <v>78</v>
      </c>
      <c r="I930" s="64">
        <v>1</v>
      </c>
      <c r="J930" s="31"/>
      <c r="K930" s="31"/>
      <c r="L930" s="31"/>
      <c r="M930" s="31"/>
      <c r="N930" s="4"/>
      <c r="O930" s="4"/>
      <c r="P930" s="4"/>
      <c r="Q930" s="4"/>
      <c r="U930" s="5"/>
      <c r="V930" s="4"/>
      <c r="AG930" t="s">
        <v>971</v>
      </c>
      <c r="AM930" s="1"/>
    </row>
    <row r="931" spans="1:39" x14ac:dyDescent="0.35">
      <c r="A931">
        <v>927</v>
      </c>
      <c r="B931">
        <v>928</v>
      </c>
      <c r="C931">
        <v>146.782026594</v>
      </c>
      <c r="D931">
        <v>-19.132556400999899</v>
      </c>
      <c r="F931" s="63"/>
      <c r="G931" s="63"/>
      <c r="H931" t="s">
        <v>78</v>
      </c>
      <c r="I931" s="64">
        <v>1</v>
      </c>
      <c r="J931" s="31"/>
      <c r="K931" s="31"/>
      <c r="L931" s="31"/>
      <c r="M931" s="31"/>
      <c r="N931" s="4"/>
      <c r="O931" s="4"/>
      <c r="P931" s="4"/>
      <c r="Q931" s="4"/>
      <c r="U931" s="5"/>
      <c r="V931" s="4"/>
      <c r="AG931" t="s">
        <v>972</v>
      </c>
      <c r="AM931" s="1"/>
    </row>
    <row r="932" spans="1:39" x14ac:dyDescent="0.35">
      <c r="A932">
        <v>928</v>
      </c>
      <c r="B932">
        <v>929</v>
      </c>
      <c r="C932">
        <v>146.781996123</v>
      </c>
      <c r="D932">
        <v>-19.132476563000001</v>
      </c>
      <c r="F932" s="63"/>
      <c r="G932" s="63"/>
      <c r="H932" t="s">
        <v>78</v>
      </c>
      <c r="I932" s="64">
        <v>1</v>
      </c>
      <c r="J932" s="31"/>
      <c r="K932" s="31"/>
      <c r="L932" s="31"/>
      <c r="M932" s="31"/>
      <c r="N932" s="4"/>
      <c r="O932" s="4"/>
      <c r="P932" s="4"/>
      <c r="Q932" s="4"/>
      <c r="U932" s="5"/>
      <c r="V932" s="4"/>
      <c r="AG932" t="s">
        <v>973</v>
      </c>
      <c r="AM932" s="1"/>
    </row>
    <row r="933" spans="1:39" x14ac:dyDescent="0.35">
      <c r="A933">
        <v>929</v>
      </c>
      <c r="B933">
        <v>930</v>
      </c>
      <c r="C933">
        <v>146.781965652</v>
      </c>
      <c r="D933">
        <v>-19.132396726</v>
      </c>
      <c r="E933">
        <v>50</v>
      </c>
      <c r="F933" s="63"/>
      <c r="G933" s="63"/>
      <c r="H933" t="s">
        <v>78</v>
      </c>
      <c r="I933" s="64">
        <v>1</v>
      </c>
      <c r="J933" s="31"/>
      <c r="K933" s="31"/>
      <c r="L933" s="31"/>
      <c r="M933" s="31"/>
      <c r="N933" s="4"/>
      <c r="O933" s="4"/>
      <c r="P933" s="4"/>
      <c r="Q933" s="4"/>
      <c r="U933" s="5"/>
      <c r="V933" s="4"/>
      <c r="AG933" t="s">
        <v>974</v>
      </c>
      <c r="AM933" s="1"/>
    </row>
    <row r="934" spans="1:39" x14ac:dyDescent="0.35">
      <c r="A934">
        <v>930</v>
      </c>
      <c r="B934">
        <v>931</v>
      </c>
      <c r="C934">
        <v>146.78190757799999</v>
      </c>
      <c r="D934">
        <v>-19.1323358339999</v>
      </c>
      <c r="F934" s="63"/>
      <c r="G934" s="63"/>
      <c r="H934" t="s">
        <v>78</v>
      </c>
      <c r="I934" s="64">
        <v>1</v>
      </c>
      <c r="J934" s="31"/>
      <c r="K934" s="31"/>
      <c r="L934" s="31"/>
      <c r="M934" s="31"/>
      <c r="N934" s="4"/>
      <c r="O934" s="4"/>
      <c r="P934" s="4"/>
      <c r="Q934" s="4"/>
      <c r="U934" s="5"/>
      <c r="V934" s="4"/>
      <c r="AG934" t="s">
        <v>975</v>
      </c>
      <c r="AM934" s="1"/>
    </row>
    <row r="935" spans="1:39" x14ac:dyDescent="0.35">
      <c r="A935">
        <v>931</v>
      </c>
      <c r="B935">
        <v>932</v>
      </c>
      <c r="C935">
        <v>146.781836626</v>
      </c>
      <c r="D935">
        <v>-19.132283780000002</v>
      </c>
      <c r="F935" s="63"/>
      <c r="G935" s="63"/>
      <c r="H935" t="s">
        <v>78</v>
      </c>
      <c r="I935" s="64">
        <v>1</v>
      </c>
      <c r="J935" s="31"/>
      <c r="K935" s="31"/>
      <c r="L935" s="31"/>
      <c r="M935" s="31"/>
      <c r="N935" s="4"/>
      <c r="O935" s="4"/>
      <c r="P935" s="4"/>
      <c r="Q935" s="4"/>
      <c r="U935" s="5"/>
      <c r="V935" s="4"/>
      <c r="AG935" t="s">
        <v>976</v>
      </c>
      <c r="AM935" s="1"/>
    </row>
    <row r="936" spans="1:39" x14ac:dyDescent="0.35">
      <c r="A936">
        <v>932</v>
      </c>
      <c r="B936">
        <v>933</v>
      </c>
      <c r="C936">
        <v>146.781765675</v>
      </c>
      <c r="D936">
        <v>-19.132231727000001</v>
      </c>
      <c r="F936" s="63"/>
      <c r="G936" s="63"/>
      <c r="H936" t="s">
        <v>78</v>
      </c>
      <c r="I936" s="64">
        <v>1</v>
      </c>
      <c r="J936" s="31"/>
      <c r="K936" s="31"/>
      <c r="L936" s="31"/>
      <c r="M936" s="31"/>
      <c r="N936" s="4"/>
      <c r="O936" s="4"/>
      <c r="P936" s="4"/>
      <c r="Q936" s="4"/>
      <c r="U936" s="5"/>
      <c r="V936" s="4"/>
      <c r="AG936" t="s">
        <v>977</v>
      </c>
      <c r="AM936" s="1"/>
    </row>
    <row r="937" spans="1:39" x14ac:dyDescent="0.35">
      <c r="A937">
        <v>933</v>
      </c>
      <c r="B937">
        <v>934</v>
      </c>
      <c r="C937">
        <v>146.781692206</v>
      </c>
      <c r="D937">
        <v>-19.132182976999999</v>
      </c>
      <c r="F937" s="63"/>
      <c r="G937" s="63"/>
      <c r="H937" t="s">
        <v>78</v>
      </c>
      <c r="I937" s="64">
        <v>1</v>
      </c>
      <c r="J937" s="31"/>
      <c r="K937" s="31"/>
      <c r="L937" s="31"/>
      <c r="M937" s="31"/>
      <c r="N937" s="4"/>
      <c r="O937" s="4"/>
      <c r="P937" s="4"/>
      <c r="Q937" s="4"/>
      <c r="U937" s="5"/>
      <c r="V937" s="4"/>
      <c r="AG937" t="s">
        <v>978</v>
      </c>
      <c r="AM937" s="1"/>
    </row>
    <row r="938" spans="1:39" x14ac:dyDescent="0.35">
      <c r="A938">
        <v>934</v>
      </c>
      <c r="B938">
        <v>935</v>
      </c>
      <c r="C938">
        <v>146.78161747199999</v>
      </c>
      <c r="D938">
        <v>-19.132135884</v>
      </c>
      <c r="E938">
        <v>50</v>
      </c>
      <c r="F938" s="63"/>
      <c r="G938" s="63"/>
      <c r="H938" t="s">
        <v>78</v>
      </c>
      <c r="I938" s="64">
        <v>1</v>
      </c>
      <c r="J938" s="31"/>
      <c r="K938" s="31"/>
      <c r="L938" s="31"/>
      <c r="M938" s="31"/>
      <c r="N938" s="4"/>
      <c r="O938" s="4"/>
      <c r="P938" s="4"/>
      <c r="Q938" s="4"/>
      <c r="U938" s="5"/>
      <c r="V938" s="4"/>
      <c r="AG938" t="s">
        <v>979</v>
      </c>
      <c r="AM938" s="1"/>
    </row>
    <row r="939" spans="1:39" x14ac:dyDescent="0.35">
      <c r="A939">
        <v>935</v>
      </c>
      <c r="B939">
        <v>936</v>
      </c>
      <c r="C939">
        <v>146.781542739</v>
      </c>
      <c r="D939">
        <v>-19.132088791999902</v>
      </c>
      <c r="F939" s="63"/>
      <c r="G939" s="63"/>
      <c r="H939" t="s">
        <v>78</v>
      </c>
      <c r="I939" s="64">
        <v>1</v>
      </c>
      <c r="J939" s="31"/>
      <c r="K939" s="31"/>
      <c r="L939" s="31"/>
      <c r="M939" s="31"/>
      <c r="N939" s="4"/>
      <c r="O939" s="4"/>
      <c r="P939" s="4"/>
      <c r="Q939" s="4"/>
      <c r="U939" s="5"/>
      <c r="V939" s="4"/>
      <c r="AG939" t="s">
        <v>980</v>
      </c>
      <c r="AM939" s="1"/>
    </row>
    <row r="940" spans="1:39" x14ac:dyDescent="0.35">
      <c r="A940">
        <v>936</v>
      </c>
      <c r="B940">
        <v>937</v>
      </c>
      <c r="C940">
        <v>146.78146800499999</v>
      </c>
      <c r="D940">
        <v>-19.132041699999899</v>
      </c>
      <c r="F940" s="63"/>
      <c r="G940" s="63"/>
      <c r="H940" t="s">
        <v>78</v>
      </c>
      <c r="I940" s="64">
        <v>1</v>
      </c>
      <c r="J940" s="31"/>
      <c r="K940" s="31"/>
      <c r="L940" s="31"/>
      <c r="M940" s="31"/>
      <c r="N940" s="4"/>
      <c r="O940" s="4"/>
      <c r="P940" s="4"/>
      <c r="Q940" s="4"/>
      <c r="U940" s="5"/>
      <c r="V940" s="4"/>
      <c r="AG940" t="s">
        <v>981</v>
      </c>
      <c r="AM940" s="1"/>
    </row>
    <row r="941" spans="1:39" x14ac:dyDescent="0.35">
      <c r="A941">
        <v>937</v>
      </c>
      <c r="B941">
        <v>938</v>
      </c>
      <c r="C941">
        <v>146.78139327100001</v>
      </c>
      <c r="D941">
        <v>-19.131994606999999</v>
      </c>
      <c r="F941" s="63"/>
      <c r="G941" s="63"/>
      <c r="H941" t="s">
        <v>78</v>
      </c>
      <c r="I941" s="64">
        <v>1</v>
      </c>
      <c r="J941" s="31"/>
      <c r="K941" s="31"/>
      <c r="L941" s="31"/>
      <c r="M941" s="31"/>
      <c r="N941" s="4"/>
      <c r="O941" s="4"/>
      <c r="P941" s="4"/>
      <c r="Q941" s="4"/>
      <c r="U941" s="5"/>
      <c r="V941" s="4"/>
      <c r="AG941" t="s">
        <v>982</v>
      </c>
      <c r="AM941" s="1"/>
    </row>
    <row r="942" spans="1:39" x14ac:dyDescent="0.35">
      <c r="A942">
        <v>938</v>
      </c>
      <c r="B942">
        <v>939</v>
      </c>
      <c r="C942">
        <v>146.78131853799999</v>
      </c>
      <c r="D942">
        <v>-19.131947515</v>
      </c>
      <c r="F942" s="63"/>
      <c r="G942" s="63"/>
      <c r="H942" t="s">
        <v>78</v>
      </c>
      <c r="I942" s="64">
        <v>1</v>
      </c>
      <c r="J942" s="31"/>
      <c r="K942" s="31"/>
      <c r="L942" s="31"/>
      <c r="M942" s="31"/>
      <c r="N942" s="4"/>
      <c r="O942" s="4"/>
      <c r="P942" s="4"/>
      <c r="Q942" s="4"/>
      <c r="U942" s="5"/>
      <c r="V942" s="4"/>
      <c r="AG942" t="s">
        <v>983</v>
      </c>
      <c r="AM942" s="1"/>
    </row>
    <row r="943" spans="1:39" x14ac:dyDescent="0.35">
      <c r="A943">
        <v>939</v>
      </c>
      <c r="B943">
        <v>940</v>
      </c>
      <c r="C943">
        <v>146.78124380400001</v>
      </c>
      <c r="D943">
        <v>-19.131900421999902</v>
      </c>
      <c r="E943">
        <v>50</v>
      </c>
      <c r="F943" s="63"/>
      <c r="G943" s="63"/>
      <c r="H943" t="s">
        <v>78</v>
      </c>
      <c r="I943" s="64">
        <v>1</v>
      </c>
      <c r="J943" s="31"/>
      <c r="K943" s="31"/>
      <c r="L943" s="31"/>
      <c r="M943" s="31"/>
      <c r="N943" s="4"/>
      <c r="O943" s="4"/>
      <c r="P943" s="4"/>
      <c r="Q943" s="4"/>
      <c r="U943" s="5"/>
      <c r="V943" s="4"/>
      <c r="AG943" t="s">
        <v>984</v>
      </c>
      <c r="AM943" s="1"/>
    </row>
    <row r="944" spans="1:39" x14ac:dyDescent="0.35">
      <c r="A944">
        <v>940</v>
      </c>
      <c r="B944">
        <v>941</v>
      </c>
      <c r="C944">
        <v>146.78116907</v>
      </c>
      <c r="D944">
        <v>-19.131853329999998</v>
      </c>
      <c r="F944" s="63"/>
      <c r="G944" s="63"/>
      <c r="H944" t="s">
        <v>78</v>
      </c>
      <c r="I944" s="64">
        <v>1</v>
      </c>
      <c r="J944" s="31"/>
      <c r="K944" s="31"/>
      <c r="L944" s="31"/>
      <c r="M944" s="31"/>
      <c r="N944" s="4"/>
      <c r="O944" s="4"/>
      <c r="P944" s="4"/>
      <c r="Q944" s="4"/>
      <c r="U944" s="5"/>
      <c r="V944" s="4"/>
      <c r="AG944" t="s">
        <v>985</v>
      </c>
      <c r="AM944" s="1"/>
    </row>
    <row r="945" spans="1:39" x14ac:dyDescent="0.35">
      <c r="A945">
        <v>941</v>
      </c>
      <c r="B945">
        <v>942</v>
      </c>
      <c r="C945">
        <v>146.78109433700001</v>
      </c>
      <c r="D945">
        <v>-19.131806236999999</v>
      </c>
      <c r="F945" s="63"/>
      <c r="G945" s="63"/>
      <c r="H945" t="s">
        <v>78</v>
      </c>
      <c r="I945" s="64">
        <v>1</v>
      </c>
      <c r="J945" s="31"/>
      <c r="K945" s="31"/>
      <c r="L945" s="31"/>
      <c r="M945" s="31"/>
      <c r="N945" s="4"/>
      <c r="O945" s="4"/>
      <c r="P945" s="4"/>
      <c r="Q945" s="4"/>
      <c r="U945" s="5"/>
      <c r="V945" s="4"/>
      <c r="AG945" t="s">
        <v>986</v>
      </c>
      <c r="AM945" s="1"/>
    </row>
    <row r="946" spans="1:39" x14ac:dyDescent="0.35">
      <c r="A946">
        <v>942</v>
      </c>
      <c r="B946">
        <v>943</v>
      </c>
      <c r="C946">
        <v>146.781033364</v>
      </c>
      <c r="D946">
        <v>-19.131744358999999</v>
      </c>
      <c r="F946" s="63"/>
      <c r="G946" s="63"/>
      <c r="H946" t="s">
        <v>78</v>
      </c>
      <c r="I946" s="64">
        <v>1</v>
      </c>
      <c r="J946" s="31"/>
      <c r="K946" s="31"/>
      <c r="L946" s="31"/>
      <c r="M946" s="31"/>
      <c r="N946" s="4"/>
      <c r="O946" s="4"/>
      <c r="P946" s="4"/>
      <c r="Q946" s="4"/>
      <c r="U946" s="5"/>
      <c r="V946" s="4"/>
      <c r="AG946" t="s">
        <v>987</v>
      </c>
      <c r="AM946" s="1"/>
    </row>
    <row r="947" spans="1:39" x14ac:dyDescent="0.35">
      <c r="A947">
        <v>943</v>
      </c>
      <c r="B947">
        <v>944</v>
      </c>
      <c r="C947">
        <v>146.78097436600001</v>
      </c>
      <c r="D947">
        <v>-19.131680358000001</v>
      </c>
      <c r="F947" s="63"/>
      <c r="G947" s="63"/>
      <c r="H947" t="s">
        <v>78</v>
      </c>
      <c r="I947" s="64">
        <v>1</v>
      </c>
      <c r="J947" s="31"/>
      <c r="K947" s="31"/>
      <c r="L947" s="31"/>
      <c r="M947" s="31"/>
      <c r="N947" s="4"/>
      <c r="O947" s="4"/>
      <c r="P947" s="4"/>
      <c r="Q947" s="4"/>
      <c r="U947" s="5"/>
      <c r="V947" s="4"/>
      <c r="AG947" t="s">
        <v>988</v>
      </c>
      <c r="AM947" s="1"/>
    </row>
    <row r="948" spans="1:39" x14ac:dyDescent="0.35">
      <c r="A948">
        <v>944</v>
      </c>
      <c r="B948">
        <v>945</v>
      </c>
      <c r="C948">
        <v>146.78091536900001</v>
      </c>
      <c r="D948">
        <v>-19.131616357999999</v>
      </c>
      <c r="E948">
        <v>50</v>
      </c>
      <c r="F948" s="63"/>
      <c r="G948" s="63"/>
      <c r="H948" t="s">
        <v>78</v>
      </c>
      <c r="I948" s="64">
        <v>1</v>
      </c>
      <c r="J948" s="31"/>
      <c r="K948" s="31"/>
      <c r="L948" s="31"/>
      <c r="M948" s="31"/>
      <c r="N948" s="4"/>
      <c r="O948" s="4"/>
      <c r="P948" s="4"/>
      <c r="Q948" s="4"/>
      <c r="U948" s="5"/>
      <c r="V948" s="4"/>
      <c r="AG948" t="s">
        <v>989</v>
      </c>
      <c r="AM948" s="1"/>
    </row>
    <row r="949" spans="1:39" x14ac:dyDescent="0.35">
      <c r="A949">
        <v>945</v>
      </c>
      <c r="B949">
        <v>946</v>
      </c>
      <c r="C949">
        <v>146.78088395500001</v>
      </c>
      <c r="D949">
        <v>-19.131536986999901</v>
      </c>
      <c r="F949" s="63"/>
      <c r="G949" s="63"/>
      <c r="H949" t="s">
        <v>78</v>
      </c>
      <c r="I949" s="64">
        <v>1</v>
      </c>
      <c r="J949" s="31"/>
      <c r="K949" s="31"/>
      <c r="L949" s="31"/>
      <c r="M949" s="31"/>
      <c r="N949" s="4"/>
      <c r="O949" s="4"/>
      <c r="P949" s="4"/>
      <c r="Q949" s="4"/>
      <c r="U949" s="5"/>
      <c r="V949" s="4"/>
      <c r="AG949" t="s">
        <v>990</v>
      </c>
      <c r="AM949" s="1"/>
    </row>
    <row r="950" spans="1:39" x14ac:dyDescent="0.35">
      <c r="A950">
        <v>946</v>
      </c>
      <c r="B950">
        <v>947</v>
      </c>
      <c r="C950">
        <v>146.78085321699999</v>
      </c>
      <c r="D950">
        <v>-19.13145724</v>
      </c>
      <c r="F950" s="63"/>
      <c r="G950" s="63"/>
      <c r="H950" t="s">
        <v>78</v>
      </c>
      <c r="I950" s="64">
        <v>1</v>
      </c>
      <c r="J950" s="31"/>
      <c r="K950" s="31"/>
      <c r="L950" s="31"/>
      <c r="M950" s="31"/>
      <c r="N950" s="4"/>
      <c r="O950" s="4"/>
      <c r="P950" s="4"/>
      <c r="Q950" s="4"/>
      <c r="U950" s="5"/>
      <c r="V950" s="4"/>
      <c r="AG950" t="s">
        <v>991</v>
      </c>
      <c r="AM950" s="1"/>
    </row>
    <row r="951" spans="1:39" x14ac:dyDescent="0.35">
      <c r="A951">
        <v>947</v>
      </c>
      <c r="B951">
        <v>948</v>
      </c>
      <c r="C951">
        <v>146.78083905299999</v>
      </c>
      <c r="D951">
        <v>-19.131374256999901</v>
      </c>
      <c r="F951" s="63"/>
      <c r="G951" s="63"/>
      <c r="H951" t="s">
        <v>78</v>
      </c>
      <c r="I951" s="64">
        <v>1</v>
      </c>
      <c r="J951" s="31"/>
      <c r="K951" s="31"/>
      <c r="L951" s="31"/>
      <c r="M951" s="31"/>
      <c r="N951" s="4"/>
      <c r="O951" s="4"/>
      <c r="P951" s="4"/>
      <c r="Q951" s="4"/>
      <c r="U951" s="5"/>
      <c r="V951" s="4"/>
      <c r="AG951" t="s">
        <v>992</v>
      </c>
      <c r="AM951" s="1"/>
    </row>
    <row r="952" spans="1:39" x14ac:dyDescent="0.35">
      <c r="A952">
        <v>948</v>
      </c>
      <c r="B952">
        <v>949</v>
      </c>
      <c r="C952">
        <v>146.78083381499999</v>
      </c>
      <c r="D952">
        <v>-19.131289532</v>
      </c>
      <c r="F952" s="63"/>
      <c r="G952" s="63"/>
      <c r="H952" t="s">
        <v>78</v>
      </c>
      <c r="I952" s="64">
        <v>1</v>
      </c>
      <c r="J952" s="31"/>
      <c r="K952" s="31"/>
      <c r="L952" s="31"/>
      <c r="M952" s="31"/>
      <c r="N952" s="4"/>
      <c r="O952" s="4"/>
      <c r="P952" s="4"/>
      <c r="Q952" s="4"/>
      <c r="U952" s="5"/>
      <c r="V952" s="4"/>
      <c r="AG952" t="s">
        <v>993</v>
      </c>
      <c r="AM952" s="1"/>
    </row>
    <row r="953" spans="1:39" x14ac:dyDescent="0.35">
      <c r="A953">
        <v>949</v>
      </c>
      <c r="B953">
        <v>950</v>
      </c>
      <c r="C953">
        <v>146.780808622</v>
      </c>
      <c r="D953">
        <v>-19.131211021999899</v>
      </c>
      <c r="E953">
        <v>50</v>
      </c>
      <c r="F953" s="63"/>
      <c r="G953" s="63"/>
      <c r="H953" t="s">
        <v>78</v>
      </c>
      <c r="I953" s="64">
        <v>1</v>
      </c>
      <c r="J953" s="31"/>
      <c r="K953" s="31"/>
      <c r="L953" s="31"/>
      <c r="M953" s="31"/>
      <c r="N953" s="4"/>
      <c r="O953" s="4"/>
      <c r="P953" s="4"/>
      <c r="Q953" s="4"/>
      <c r="U953" s="5"/>
      <c r="V953" s="4"/>
      <c r="AG953" t="s">
        <v>994</v>
      </c>
      <c r="AM953" s="1"/>
    </row>
    <row r="954" spans="1:39" x14ac:dyDescent="0.35">
      <c r="A954">
        <v>950</v>
      </c>
      <c r="B954">
        <v>951</v>
      </c>
      <c r="C954">
        <v>146.78075949399999</v>
      </c>
      <c r="D954">
        <v>-19.131139967999999</v>
      </c>
      <c r="F954" s="63"/>
      <c r="G954" s="63"/>
      <c r="H954" t="s">
        <v>78</v>
      </c>
      <c r="I954" s="64">
        <v>1</v>
      </c>
      <c r="J954" s="31"/>
      <c r="K954" s="31"/>
      <c r="L954" s="31"/>
      <c r="M954" s="31"/>
      <c r="N954" s="4"/>
      <c r="O954" s="4"/>
      <c r="P954" s="4"/>
      <c r="Q954" s="4"/>
      <c r="U954" s="5"/>
      <c r="V954" s="4"/>
      <c r="AG954" t="s">
        <v>995</v>
      </c>
      <c r="AM954" s="1"/>
    </row>
    <row r="955" spans="1:39" x14ac:dyDescent="0.35">
      <c r="A955">
        <v>951</v>
      </c>
      <c r="B955">
        <v>952</v>
      </c>
      <c r="C955">
        <v>146.78070492699999</v>
      </c>
      <c r="D955">
        <v>-19.131072710999899</v>
      </c>
      <c r="F955" s="63"/>
      <c r="G955" s="63"/>
      <c r="H955" t="s">
        <v>78</v>
      </c>
      <c r="I955" s="64">
        <v>1</v>
      </c>
      <c r="J955" s="31"/>
      <c r="K955" s="31"/>
      <c r="L955" s="31"/>
      <c r="M955" s="31"/>
      <c r="N955" s="4"/>
      <c r="O955" s="4"/>
      <c r="P955" s="4"/>
      <c r="Q955" s="4"/>
      <c r="U955" s="5"/>
      <c r="V955" s="4"/>
      <c r="AG955" t="s">
        <v>996</v>
      </c>
      <c r="AM955" s="1"/>
    </row>
    <row r="956" spans="1:39" x14ac:dyDescent="0.35">
      <c r="A956">
        <v>952</v>
      </c>
      <c r="B956">
        <v>953</v>
      </c>
      <c r="C956">
        <v>146.780647472</v>
      </c>
      <c r="D956">
        <v>-19.131007469999901</v>
      </c>
      <c r="F956" s="63"/>
      <c r="G956" s="63"/>
      <c r="H956" t="s">
        <v>78</v>
      </c>
      <c r="I956" s="64">
        <v>1</v>
      </c>
      <c r="J956" s="31"/>
      <c r="K956" s="31"/>
      <c r="L956" s="31"/>
      <c r="M956" s="31"/>
      <c r="N956" s="4"/>
      <c r="O956" s="4"/>
      <c r="P956" s="4"/>
      <c r="Q956" s="4"/>
      <c r="U956" s="5"/>
      <c r="V956" s="4"/>
      <c r="AG956" t="s">
        <v>997</v>
      </c>
      <c r="AM956" s="1"/>
    </row>
    <row r="957" spans="1:39" x14ac:dyDescent="0.35">
      <c r="A957">
        <v>953</v>
      </c>
      <c r="B957">
        <v>954</v>
      </c>
      <c r="C957">
        <v>146.78059001700001</v>
      </c>
      <c r="D957">
        <v>-19.130942227999999</v>
      </c>
      <c r="F957" s="63"/>
      <c r="G957" s="63"/>
      <c r="H957" t="s">
        <v>78</v>
      </c>
      <c r="I957" s="64">
        <v>1</v>
      </c>
      <c r="J957" s="31"/>
      <c r="K957" s="31"/>
      <c r="L957" s="31"/>
      <c r="M957" s="31"/>
      <c r="N957" s="4"/>
      <c r="O957" s="4"/>
      <c r="P957" s="4"/>
      <c r="Q957" s="4"/>
      <c r="U957" s="5"/>
      <c r="V957" s="4"/>
      <c r="AG957" t="s">
        <v>998</v>
      </c>
      <c r="AM957" s="1"/>
    </row>
    <row r="958" spans="1:39" x14ac:dyDescent="0.35">
      <c r="A958">
        <v>954</v>
      </c>
      <c r="B958">
        <v>955</v>
      </c>
      <c r="C958">
        <v>146.780532561</v>
      </c>
      <c r="D958">
        <v>-19.130876987000001</v>
      </c>
      <c r="E958">
        <v>50</v>
      </c>
      <c r="F958" s="63"/>
      <c r="G958" s="63"/>
      <c r="H958" t="s">
        <v>78</v>
      </c>
      <c r="I958" s="64">
        <v>1</v>
      </c>
      <c r="J958" s="31"/>
      <c r="K958" s="31"/>
      <c r="L958" s="31"/>
      <c r="M958" s="31"/>
      <c r="N958" s="4"/>
      <c r="O958" s="4"/>
      <c r="P958" s="4"/>
      <c r="Q958" s="4"/>
      <c r="U958" s="5"/>
      <c r="V958" s="4"/>
      <c r="AG958" t="s">
        <v>999</v>
      </c>
      <c r="AM958" s="1"/>
    </row>
    <row r="959" spans="1:39" x14ac:dyDescent="0.35">
      <c r="A959">
        <v>955</v>
      </c>
      <c r="B959">
        <v>956</v>
      </c>
      <c r="C959">
        <v>146.78046824899999</v>
      </c>
      <c r="D959">
        <v>-19.130817782999902</v>
      </c>
      <c r="F959" s="63"/>
      <c r="G959" s="63"/>
      <c r="H959" t="s">
        <v>78</v>
      </c>
      <c r="I959" s="64">
        <v>1</v>
      </c>
      <c r="J959" s="31"/>
      <c r="K959" s="31"/>
      <c r="L959" s="31"/>
      <c r="M959" s="31"/>
      <c r="N959" s="4"/>
      <c r="O959" s="4"/>
      <c r="P959" s="4"/>
      <c r="Q959" s="4"/>
      <c r="U959" s="5"/>
      <c r="V959" s="4"/>
      <c r="AG959" t="s">
        <v>1000</v>
      </c>
      <c r="AM959" s="1"/>
    </row>
    <row r="960" spans="1:39" x14ac:dyDescent="0.35">
      <c r="A960">
        <v>956</v>
      </c>
      <c r="B960">
        <v>957</v>
      </c>
      <c r="C960">
        <v>146.780403409</v>
      </c>
      <c r="D960">
        <v>-19.130759043999898</v>
      </c>
      <c r="F960" s="63"/>
      <c r="G960" s="63"/>
      <c r="H960" t="s">
        <v>78</v>
      </c>
      <c r="I960" s="64">
        <v>1</v>
      </c>
      <c r="J960" s="31"/>
      <c r="K960" s="31"/>
      <c r="L960" s="31"/>
      <c r="M960" s="31"/>
      <c r="N960" s="4"/>
      <c r="O960" s="4"/>
      <c r="P960" s="4"/>
      <c r="Q960" s="4"/>
      <c r="U960" s="5"/>
      <c r="V960" s="4"/>
      <c r="AG960" t="s">
        <v>1001</v>
      </c>
      <c r="AM960" s="1"/>
    </row>
    <row r="961" spans="1:39" x14ac:dyDescent="0.35">
      <c r="A961">
        <v>957</v>
      </c>
      <c r="B961">
        <v>958</v>
      </c>
      <c r="C961">
        <v>146.78033856799999</v>
      </c>
      <c r="D961">
        <v>-19.130700304999898</v>
      </c>
      <c r="F961" s="63"/>
      <c r="G961" s="63"/>
      <c r="H961" t="s">
        <v>78</v>
      </c>
      <c r="I961" s="64">
        <v>1</v>
      </c>
      <c r="J961" s="31"/>
      <c r="K961" s="31"/>
      <c r="L961" s="31"/>
      <c r="M961" s="31"/>
      <c r="N961" s="4"/>
      <c r="O961" s="4"/>
      <c r="P961" s="4"/>
      <c r="Q961" s="4"/>
      <c r="U961" s="5"/>
      <c r="V961" s="4"/>
      <c r="AG961" t="s">
        <v>1002</v>
      </c>
      <c r="AM961" s="1"/>
    </row>
    <row r="962" spans="1:39" x14ac:dyDescent="0.35">
      <c r="A962">
        <v>958</v>
      </c>
      <c r="B962">
        <v>959</v>
      </c>
      <c r="C962">
        <v>146.780273728</v>
      </c>
      <c r="D962">
        <v>-19.130641566000001</v>
      </c>
      <c r="F962" s="63"/>
      <c r="G962" s="63"/>
      <c r="H962" t="s">
        <v>78</v>
      </c>
      <c r="I962" s="64">
        <v>1</v>
      </c>
      <c r="J962" s="31"/>
      <c r="K962" s="31"/>
      <c r="L962" s="31"/>
      <c r="M962" s="31"/>
      <c r="N962" s="4"/>
      <c r="O962" s="4"/>
      <c r="P962" s="4"/>
      <c r="Q962" s="4"/>
      <c r="U962" s="5"/>
      <c r="V962" s="4"/>
      <c r="AG962" t="s">
        <v>1003</v>
      </c>
      <c r="AM962" s="1"/>
    </row>
    <row r="963" spans="1:39" x14ac:dyDescent="0.35">
      <c r="A963">
        <v>959</v>
      </c>
      <c r="B963">
        <v>960</v>
      </c>
      <c r="C963">
        <v>146.780208888</v>
      </c>
      <c r="D963">
        <v>-19.130582827000001</v>
      </c>
      <c r="E963">
        <v>50</v>
      </c>
      <c r="F963" s="63"/>
      <c r="G963" s="63"/>
      <c r="H963" t="s">
        <v>78</v>
      </c>
      <c r="I963" s="64">
        <v>1</v>
      </c>
      <c r="J963" s="31"/>
      <c r="K963" s="31"/>
      <c r="L963" s="31"/>
      <c r="M963" s="31"/>
      <c r="N963" s="4"/>
      <c r="O963" s="4"/>
      <c r="P963" s="4"/>
      <c r="Q963" s="4"/>
      <c r="U963" s="5"/>
      <c r="V963" s="4"/>
      <c r="AG963" t="s">
        <v>1004</v>
      </c>
      <c r="AM963" s="1"/>
    </row>
    <row r="964" spans="1:39" x14ac:dyDescent="0.35">
      <c r="A964">
        <v>960</v>
      </c>
      <c r="B964">
        <v>961</v>
      </c>
      <c r="C964">
        <v>146.78014404800001</v>
      </c>
      <c r="D964">
        <v>-19.130524087000001</v>
      </c>
      <c r="F964" s="63"/>
      <c r="G964" s="63"/>
      <c r="H964" t="s">
        <v>78</v>
      </c>
      <c r="I964" s="64">
        <v>1</v>
      </c>
      <c r="J964" s="31"/>
      <c r="K964" s="31"/>
      <c r="L964" s="31"/>
      <c r="M964" s="31"/>
      <c r="N964" s="4"/>
      <c r="O964" s="4"/>
      <c r="P964" s="4"/>
      <c r="Q964" s="4"/>
      <c r="U964" s="5"/>
      <c r="V964" s="4"/>
      <c r="AG964" t="s">
        <v>1005</v>
      </c>
      <c r="AM964" s="1"/>
    </row>
    <row r="965" spans="1:39" x14ac:dyDescent="0.35">
      <c r="A965">
        <v>961</v>
      </c>
      <c r="B965">
        <v>962</v>
      </c>
      <c r="C965">
        <v>146.78007920799999</v>
      </c>
      <c r="D965">
        <v>-19.130465348000001</v>
      </c>
      <c r="F965" s="63"/>
      <c r="G965" s="63"/>
      <c r="H965" t="s">
        <v>78</v>
      </c>
      <c r="I965" s="64">
        <v>1</v>
      </c>
      <c r="J965" s="31"/>
      <c r="K965" s="31"/>
      <c r="L965" s="31"/>
      <c r="M965" s="31"/>
      <c r="N965" s="4"/>
      <c r="O965" s="4"/>
      <c r="P965" s="4"/>
      <c r="Q965" s="4"/>
      <c r="U965" s="5"/>
      <c r="V965" s="4"/>
      <c r="AG965" t="s">
        <v>1006</v>
      </c>
      <c r="AM965" s="1"/>
    </row>
    <row r="966" spans="1:39" x14ac:dyDescent="0.35">
      <c r="A966">
        <v>962</v>
      </c>
      <c r="B966">
        <v>963</v>
      </c>
      <c r="C966">
        <v>146.780023758</v>
      </c>
      <c r="D966">
        <v>-19.130398718999999</v>
      </c>
      <c r="F966" s="63"/>
      <c r="G966" s="63"/>
      <c r="H966" t="s">
        <v>78</v>
      </c>
      <c r="I966" s="64">
        <v>1</v>
      </c>
      <c r="J966" s="31"/>
      <c r="K966" s="31"/>
      <c r="L966" s="31"/>
      <c r="M966" s="31"/>
      <c r="N966" s="4"/>
      <c r="O966" s="4"/>
      <c r="P966" s="4"/>
      <c r="Q966" s="4"/>
      <c r="U966" s="5"/>
      <c r="V966" s="4"/>
      <c r="AG966" t="s">
        <v>1007</v>
      </c>
      <c r="AM966" s="1"/>
    </row>
    <row r="967" spans="1:39" x14ac:dyDescent="0.35">
      <c r="A967">
        <v>963</v>
      </c>
      <c r="B967">
        <v>964</v>
      </c>
      <c r="C967">
        <v>146.77996958200001</v>
      </c>
      <c r="D967">
        <v>-19.13033102</v>
      </c>
      <c r="F967" s="63"/>
      <c r="G967" s="63"/>
      <c r="H967" t="s">
        <v>78</v>
      </c>
      <c r="I967" s="64">
        <v>1</v>
      </c>
      <c r="J967" s="31"/>
      <c r="K967" s="31"/>
      <c r="L967" s="31"/>
      <c r="M967" s="31"/>
      <c r="N967" s="4"/>
      <c r="O967" s="4"/>
      <c r="P967" s="4"/>
      <c r="Q967" s="4"/>
      <c r="U967" s="5"/>
      <c r="V967" s="4"/>
      <c r="AG967" t="s">
        <v>1008</v>
      </c>
      <c r="AM967" s="1"/>
    </row>
    <row r="968" spans="1:39" x14ac:dyDescent="0.35">
      <c r="A968">
        <v>964</v>
      </c>
      <c r="B968">
        <v>965</v>
      </c>
      <c r="C968">
        <v>146.77991540599999</v>
      </c>
      <c r="D968">
        <v>-19.130263319999901</v>
      </c>
      <c r="E968">
        <v>50</v>
      </c>
      <c r="F968" s="63"/>
      <c r="G968" s="63"/>
      <c r="H968" t="s">
        <v>78</v>
      </c>
      <c r="I968" s="64">
        <v>1</v>
      </c>
      <c r="J968" s="31"/>
      <c r="K968" s="31"/>
      <c r="L968" s="31"/>
      <c r="M968" s="31"/>
      <c r="N968" s="4"/>
      <c r="O968" s="4"/>
      <c r="P968" s="4"/>
      <c r="Q968" s="4"/>
      <c r="U968" s="5"/>
      <c r="V968" s="4"/>
      <c r="AG968" t="s">
        <v>78</v>
      </c>
      <c r="AM968" s="1"/>
    </row>
    <row r="969" spans="1:39" x14ac:dyDescent="0.35">
      <c r="A969">
        <v>965</v>
      </c>
      <c r="B969">
        <v>966</v>
      </c>
      <c r="C969">
        <v>146.77986123100001</v>
      </c>
      <c r="D969">
        <v>-19.130195619999899</v>
      </c>
      <c r="F969" s="63"/>
      <c r="G969" s="63"/>
      <c r="H969" t="s">
        <v>78</v>
      </c>
      <c r="I969" s="64">
        <v>1</v>
      </c>
      <c r="J969" s="31"/>
      <c r="K969" s="31"/>
      <c r="L969" s="31"/>
      <c r="M969" s="31"/>
      <c r="N969" s="4"/>
      <c r="O969" s="4"/>
      <c r="P969" s="4"/>
      <c r="Q969" s="4"/>
      <c r="U969" s="5"/>
      <c r="V969" s="4"/>
      <c r="AG969" t="s">
        <v>1009</v>
      </c>
      <c r="AM969" s="1"/>
    </row>
    <row r="970" spans="1:39" x14ac:dyDescent="0.35">
      <c r="A970">
        <v>966</v>
      </c>
      <c r="B970">
        <v>967</v>
      </c>
      <c r="C970">
        <v>146.77980705499999</v>
      </c>
      <c r="D970">
        <v>-19.1301279209999</v>
      </c>
      <c r="F970" s="63"/>
      <c r="G970" s="63"/>
      <c r="H970" t="s">
        <v>78</v>
      </c>
      <c r="I970" s="64">
        <v>1</v>
      </c>
      <c r="J970" s="31"/>
      <c r="K970" s="31"/>
      <c r="L970" s="31"/>
      <c r="M970" s="31"/>
      <c r="N970" s="4"/>
      <c r="O970" s="4"/>
      <c r="P970" s="4"/>
      <c r="Q970" s="4"/>
      <c r="U970" s="5"/>
      <c r="V970" s="4"/>
      <c r="AG970" t="s">
        <v>1010</v>
      </c>
      <c r="AM970" s="1"/>
    </row>
    <row r="971" spans="1:39" x14ac:dyDescent="0.35">
      <c r="A971">
        <v>967</v>
      </c>
      <c r="B971">
        <v>968</v>
      </c>
      <c r="C971">
        <v>146.77975287999999</v>
      </c>
      <c r="D971">
        <v>-19.130060221000001</v>
      </c>
      <c r="F971" s="63"/>
      <c r="G971" s="63"/>
      <c r="H971" t="s">
        <v>78</v>
      </c>
      <c r="I971" s="64">
        <v>1</v>
      </c>
      <c r="J971" s="31"/>
      <c r="K971" s="31"/>
      <c r="L971" s="31"/>
      <c r="M971" s="31"/>
      <c r="N971" s="4"/>
      <c r="O971" s="4"/>
      <c r="P971" s="4"/>
      <c r="Q971" s="4"/>
      <c r="U971" s="5"/>
      <c r="V971" s="4"/>
      <c r="AG971" t="s">
        <v>1011</v>
      </c>
      <c r="AM971" s="1"/>
    </row>
    <row r="972" spans="1:39" x14ac:dyDescent="0.35">
      <c r="A972">
        <v>968</v>
      </c>
      <c r="B972">
        <v>969</v>
      </c>
      <c r="C972">
        <v>146.77970253699999</v>
      </c>
      <c r="D972">
        <v>-19.129990037999999</v>
      </c>
      <c r="F972" s="63"/>
      <c r="G972" s="63"/>
      <c r="H972" t="s">
        <v>78</v>
      </c>
      <c r="I972" s="64">
        <v>1</v>
      </c>
      <c r="J972" s="31"/>
      <c r="K972" s="31"/>
      <c r="L972" s="31"/>
      <c r="M972" s="31"/>
      <c r="N972" s="4"/>
      <c r="O972" s="4"/>
      <c r="P972" s="4"/>
      <c r="Q972" s="4"/>
      <c r="U972" s="5"/>
      <c r="V972" s="4"/>
      <c r="AG972" t="s">
        <v>1012</v>
      </c>
      <c r="AM972" s="1"/>
    </row>
    <row r="973" spans="1:39" x14ac:dyDescent="0.35">
      <c r="A973">
        <v>969</v>
      </c>
      <c r="B973">
        <v>970</v>
      </c>
      <c r="C973">
        <v>146.77965522400001</v>
      </c>
      <c r="D973">
        <v>-19.129917892999998</v>
      </c>
      <c r="E973">
        <v>50</v>
      </c>
      <c r="F973" s="63"/>
      <c r="G973" s="63"/>
      <c r="H973" t="s">
        <v>78</v>
      </c>
      <c r="I973" s="64">
        <v>1</v>
      </c>
      <c r="J973" s="31"/>
      <c r="K973" s="31"/>
      <c r="L973" s="31"/>
      <c r="M973" s="31"/>
      <c r="N973" s="4"/>
      <c r="O973" s="4"/>
      <c r="P973" s="4"/>
      <c r="Q973" s="4"/>
      <c r="U973" s="5"/>
      <c r="V973" s="4"/>
      <c r="AG973" t="s">
        <v>1013</v>
      </c>
      <c r="AM973" s="1"/>
    </row>
    <row r="974" spans="1:39" x14ac:dyDescent="0.35">
      <c r="A974">
        <v>970</v>
      </c>
      <c r="B974">
        <v>971</v>
      </c>
      <c r="C974">
        <v>146.779607911</v>
      </c>
      <c r="D974">
        <v>-19.129845746999901</v>
      </c>
      <c r="F974" s="63"/>
      <c r="G974" s="63"/>
      <c r="H974" t="s">
        <v>78</v>
      </c>
      <c r="I974" s="64">
        <v>1</v>
      </c>
      <c r="J974" s="31"/>
      <c r="K974" s="31"/>
      <c r="L974" s="31"/>
      <c r="M974" s="31"/>
      <c r="N974" s="4"/>
      <c r="O974" s="4"/>
      <c r="P974" s="4"/>
      <c r="Q974" s="4"/>
      <c r="U974" s="5"/>
      <c r="V974" s="4"/>
      <c r="AG974" t="s">
        <v>1014</v>
      </c>
      <c r="AM974" s="1"/>
    </row>
    <row r="975" spans="1:39" x14ac:dyDescent="0.35">
      <c r="A975">
        <v>971</v>
      </c>
      <c r="B975">
        <v>972</v>
      </c>
      <c r="C975">
        <v>146.77956059799999</v>
      </c>
      <c r="D975">
        <v>-19.129773601999901</v>
      </c>
      <c r="F975" s="63"/>
      <c r="G975" s="63"/>
      <c r="H975" t="s">
        <v>78</v>
      </c>
      <c r="I975" s="64">
        <v>1</v>
      </c>
      <c r="J975" s="31"/>
      <c r="K975" s="31"/>
      <c r="L975" s="31"/>
      <c r="M975" s="31"/>
      <c r="N975" s="4"/>
      <c r="O975" s="4"/>
      <c r="P975" s="4"/>
      <c r="Q975" s="4"/>
      <c r="U975" s="5"/>
      <c r="V975" s="4"/>
      <c r="AG975" t="s">
        <v>1015</v>
      </c>
      <c r="AM975" s="1"/>
    </row>
    <row r="976" spans="1:39" x14ac:dyDescent="0.35">
      <c r="A976">
        <v>972</v>
      </c>
      <c r="B976">
        <v>973</v>
      </c>
      <c r="C976">
        <v>146.77951328500001</v>
      </c>
      <c r="D976">
        <v>-19.129701456999999</v>
      </c>
      <c r="F976" s="63"/>
      <c r="G976" s="63"/>
      <c r="H976" t="s">
        <v>78</v>
      </c>
      <c r="I976" s="64">
        <v>1</v>
      </c>
      <c r="J976" s="31"/>
      <c r="K976" s="31"/>
      <c r="L976" s="31"/>
      <c r="M976" s="31"/>
      <c r="N976" s="4"/>
      <c r="O976" s="4"/>
      <c r="P976" s="4"/>
      <c r="Q976" s="4"/>
      <c r="U976" s="5"/>
      <c r="V976" s="4"/>
      <c r="AG976" t="s">
        <v>1016</v>
      </c>
      <c r="AM976" s="1"/>
    </row>
    <row r="977" spans="1:39" x14ac:dyDescent="0.35">
      <c r="A977">
        <v>973</v>
      </c>
      <c r="B977">
        <v>974</v>
      </c>
      <c r="C977">
        <v>146.77946597299999</v>
      </c>
      <c r="D977">
        <v>-19.129629310999999</v>
      </c>
      <c r="F977" s="63"/>
      <c r="G977" s="63"/>
      <c r="H977" t="s">
        <v>78</v>
      </c>
      <c r="I977" s="64">
        <v>1</v>
      </c>
      <c r="J977" s="31"/>
      <c r="K977" s="31"/>
      <c r="L977" s="31"/>
      <c r="M977" s="31"/>
      <c r="N977" s="4"/>
      <c r="O977" s="4"/>
      <c r="P977" s="4"/>
      <c r="Q977" s="4"/>
      <c r="U977" s="5"/>
      <c r="V977" s="4"/>
      <c r="AG977" t="s">
        <v>1017</v>
      </c>
      <c r="AM977" s="1"/>
    </row>
    <row r="978" spans="1:39" x14ac:dyDescent="0.35">
      <c r="A978">
        <v>974</v>
      </c>
      <c r="B978">
        <v>975</v>
      </c>
      <c r="C978">
        <v>146.77942708699999</v>
      </c>
      <c r="D978">
        <v>-19.129552920999998</v>
      </c>
      <c r="E978">
        <v>50</v>
      </c>
      <c r="F978" s="63"/>
      <c r="G978" s="63"/>
      <c r="H978" t="s">
        <v>78</v>
      </c>
      <c r="I978" s="64">
        <v>1</v>
      </c>
      <c r="J978" s="31"/>
      <c r="K978" s="31"/>
      <c r="L978" s="31"/>
      <c r="M978" s="31"/>
      <c r="N978" s="4"/>
      <c r="O978" s="4"/>
      <c r="P978" s="4"/>
      <c r="Q978" s="4"/>
      <c r="U978" s="5"/>
      <c r="V978" s="4"/>
      <c r="AG978" t="s">
        <v>1018</v>
      </c>
      <c r="AM978" s="1"/>
    </row>
    <row r="979" spans="1:39" x14ac:dyDescent="0.35">
      <c r="A979">
        <v>975</v>
      </c>
      <c r="B979">
        <v>976</v>
      </c>
      <c r="C979">
        <v>146.77939004999999</v>
      </c>
      <c r="D979">
        <v>-19.1294755989999</v>
      </c>
      <c r="F979" s="63"/>
      <c r="G979" s="63"/>
      <c r="H979" t="s">
        <v>78</v>
      </c>
      <c r="I979" s="64">
        <v>1</v>
      </c>
      <c r="J979" s="31"/>
      <c r="K979" s="31"/>
      <c r="L979" s="31"/>
      <c r="M979" s="31"/>
      <c r="N979" s="4"/>
      <c r="O979" s="4"/>
      <c r="P979" s="4"/>
      <c r="Q979" s="4"/>
      <c r="U979" s="5"/>
      <c r="V979" s="4"/>
      <c r="AG979" t="s">
        <v>1019</v>
      </c>
      <c r="AM979" s="1"/>
    </row>
    <row r="980" spans="1:39" x14ac:dyDescent="0.35">
      <c r="A980">
        <v>976</v>
      </c>
      <c r="B980">
        <v>977</v>
      </c>
      <c r="C980">
        <v>146.77935301299999</v>
      </c>
      <c r="D980">
        <v>-19.129398277</v>
      </c>
      <c r="F980" s="63"/>
      <c r="G980" s="63"/>
      <c r="H980" t="s">
        <v>78</v>
      </c>
      <c r="I980" s="64">
        <v>1</v>
      </c>
      <c r="J980" s="31"/>
      <c r="K980" s="31"/>
      <c r="L980" s="31"/>
      <c r="M980" s="31"/>
      <c r="N980" s="4"/>
      <c r="O980" s="4"/>
      <c r="P980" s="4"/>
      <c r="Q980" s="4"/>
      <c r="U980" s="5"/>
      <c r="V980" s="4"/>
      <c r="AG980" t="s">
        <v>1020</v>
      </c>
      <c r="AM980" s="1"/>
    </row>
    <row r="981" spans="1:39" x14ac:dyDescent="0.35">
      <c r="A981">
        <v>977</v>
      </c>
      <c r="B981">
        <v>978</v>
      </c>
      <c r="C981">
        <v>146.77931597700001</v>
      </c>
      <c r="D981">
        <v>-19.129320954000001</v>
      </c>
      <c r="F981" s="63"/>
      <c r="G981" s="63"/>
      <c r="H981" t="s">
        <v>78</v>
      </c>
      <c r="I981" s="64">
        <v>1</v>
      </c>
      <c r="J981" s="31"/>
      <c r="K981" s="31"/>
      <c r="L981" s="31"/>
      <c r="M981" s="31"/>
      <c r="N981" s="4"/>
      <c r="O981" s="4"/>
      <c r="P981" s="4"/>
      <c r="Q981" s="4"/>
      <c r="U981" s="5"/>
      <c r="V981" s="4"/>
      <c r="AG981" t="s">
        <v>1021</v>
      </c>
      <c r="AM981" s="1"/>
    </row>
    <row r="982" spans="1:39" x14ac:dyDescent="0.35">
      <c r="A982">
        <v>978</v>
      </c>
      <c r="B982">
        <v>979</v>
      </c>
      <c r="C982">
        <v>146.779286458</v>
      </c>
      <c r="D982">
        <v>-19.1292420999999</v>
      </c>
      <c r="F982" s="63"/>
      <c r="G982" s="63"/>
      <c r="H982" t="s">
        <v>78</v>
      </c>
      <c r="I982" s="64">
        <v>1</v>
      </c>
      <c r="J982" s="31"/>
      <c r="K982" s="31"/>
      <c r="L982" s="31"/>
      <c r="M982" s="31"/>
      <c r="N982" s="4"/>
      <c r="O982" s="4"/>
      <c r="P982" s="4"/>
      <c r="Q982" s="4"/>
      <c r="U982" s="5"/>
      <c r="V982" s="4"/>
      <c r="AG982" t="s">
        <v>1022</v>
      </c>
      <c r="AM982" s="1"/>
    </row>
    <row r="983" spans="1:39" x14ac:dyDescent="0.35">
      <c r="A983">
        <v>979</v>
      </c>
      <c r="B983">
        <v>980</v>
      </c>
      <c r="C983">
        <v>146.779286458</v>
      </c>
      <c r="D983">
        <v>-19.129157228999901</v>
      </c>
      <c r="E983">
        <v>50</v>
      </c>
      <c r="F983" s="63"/>
      <c r="G983" s="63"/>
      <c r="H983" t="s">
        <v>78</v>
      </c>
      <c r="I983" s="64">
        <v>1</v>
      </c>
      <c r="J983" s="31"/>
      <c r="K983" s="31"/>
      <c r="L983" s="31"/>
      <c r="M983" s="31"/>
      <c r="N983" s="4"/>
      <c r="O983" s="4"/>
      <c r="P983" s="4"/>
      <c r="Q983" s="4"/>
      <c r="U983" s="5"/>
      <c r="V983" s="4"/>
      <c r="AG983" t="s">
        <v>1023</v>
      </c>
      <c r="AM983" s="1"/>
    </row>
    <row r="984" spans="1:39" x14ac:dyDescent="0.35">
      <c r="A984">
        <v>980</v>
      </c>
      <c r="B984">
        <v>981</v>
      </c>
      <c r="C984">
        <v>146.779286458</v>
      </c>
      <c r="D984">
        <v>-19.129072356999899</v>
      </c>
      <c r="F984" s="63"/>
      <c r="G984" s="63"/>
      <c r="H984" t="s">
        <v>78</v>
      </c>
      <c r="I984" s="64">
        <v>1</v>
      </c>
      <c r="J984" s="31"/>
      <c r="K984" s="31"/>
      <c r="L984" s="31"/>
      <c r="M984" s="31"/>
      <c r="N984" s="4"/>
      <c r="O984" s="4"/>
      <c r="P984" s="4"/>
      <c r="Q984" s="4"/>
      <c r="U984" s="5"/>
      <c r="V984" s="4"/>
      <c r="AG984" t="s">
        <v>1024</v>
      </c>
      <c r="AM984" s="1"/>
    </row>
    <row r="985" spans="1:39" x14ac:dyDescent="0.35">
      <c r="A985">
        <v>981</v>
      </c>
      <c r="B985">
        <v>982</v>
      </c>
      <c r="F985" s="63"/>
      <c r="G985" s="63"/>
      <c r="H985" t="s">
        <v>78</v>
      </c>
      <c r="I985" s="64">
        <v>1</v>
      </c>
      <c r="J985" s="31"/>
      <c r="K985" s="31"/>
      <c r="L985" s="31"/>
      <c r="M985" s="31"/>
      <c r="N985" s="4"/>
      <c r="AG985" t="s">
        <v>1025</v>
      </c>
      <c r="AM985" s="1"/>
    </row>
    <row r="986" spans="1:39" x14ac:dyDescent="0.35">
      <c r="A986">
        <v>982</v>
      </c>
      <c r="B986">
        <v>983</v>
      </c>
      <c r="F986" s="63"/>
      <c r="G986" s="63"/>
      <c r="H986" t="s">
        <v>78</v>
      </c>
      <c r="I986" s="64">
        <v>1</v>
      </c>
      <c r="J986" s="31"/>
      <c r="K986" s="31"/>
      <c r="L986" s="31"/>
      <c r="M986" s="31"/>
      <c r="N986" s="4"/>
      <c r="AG986" t="s">
        <v>1026</v>
      </c>
      <c r="AM986" s="1"/>
    </row>
    <row r="987" spans="1:39" x14ac:dyDescent="0.35">
      <c r="A987">
        <v>983</v>
      </c>
      <c r="B987">
        <v>984</v>
      </c>
      <c r="F987" s="63"/>
      <c r="G987" s="63"/>
      <c r="H987" t="s">
        <v>78</v>
      </c>
      <c r="I987" s="64">
        <v>1</v>
      </c>
      <c r="J987" s="31"/>
      <c r="K987" s="31"/>
      <c r="L987" s="31"/>
      <c r="M987" s="31"/>
      <c r="N987" s="4"/>
      <c r="AG987" t="s">
        <v>1027</v>
      </c>
      <c r="AM987" s="1"/>
    </row>
    <row r="988" spans="1:39" x14ac:dyDescent="0.35">
      <c r="A988">
        <v>984</v>
      </c>
      <c r="B988">
        <v>985</v>
      </c>
      <c r="F988" s="63"/>
      <c r="G988" s="63"/>
      <c r="H988" t="s">
        <v>78</v>
      </c>
      <c r="I988" s="64">
        <v>1</v>
      </c>
      <c r="J988" s="31"/>
      <c r="K988" s="31"/>
      <c r="L988" s="31"/>
      <c r="M988" s="31"/>
      <c r="N988" s="4"/>
      <c r="AG988" t="s">
        <v>1028</v>
      </c>
      <c r="AM988" s="1"/>
    </row>
    <row r="989" spans="1:39" x14ac:dyDescent="0.35">
      <c r="A989">
        <v>985</v>
      </c>
      <c r="B989">
        <v>986</v>
      </c>
      <c r="F989" s="63"/>
      <c r="G989" s="63"/>
      <c r="H989" t="s">
        <v>78</v>
      </c>
      <c r="I989" s="64">
        <v>1</v>
      </c>
      <c r="J989" s="31"/>
      <c r="K989" s="31"/>
      <c r="L989" s="31"/>
      <c r="M989" s="31"/>
      <c r="N989" s="4"/>
      <c r="AG989" t="s">
        <v>1029</v>
      </c>
      <c r="AM989" s="1"/>
    </row>
    <row r="990" spans="1:39" x14ac:dyDescent="0.35">
      <c r="A990">
        <v>986</v>
      </c>
      <c r="B990">
        <v>987</v>
      </c>
      <c r="F990" s="63"/>
      <c r="G990" s="63"/>
      <c r="H990" t="s">
        <v>78</v>
      </c>
      <c r="I990" s="64">
        <v>1</v>
      </c>
      <c r="J990" s="31"/>
      <c r="K990" s="31"/>
      <c r="L990" s="31"/>
      <c r="M990" s="31"/>
      <c r="N990" s="4"/>
      <c r="AG990" t="s">
        <v>1030</v>
      </c>
      <c r="AM990" s="1"/>
    </row>
    <row r="991" spans="1:39" x14ac:dyDescent="0.35">
      <c r="A991">
        <v>987</v>
      </c>
      <c r="B991">
        <v>988</v>
      </c>
      <c r="F991" s="63"/>
      <c r="G991" s="63"/>
      <c r="H991" t="s">
        <v>78</v>
      </c>
      <c r="I991" s="64">
        <v>1</v>
      </c>
      <c r="J991" s="31"/>
      <c r="K991" s="31"/>
      <c r="L991" s="31"/>
      <c r="M991" s="31"/>
      <c r="N991" s="4"/>
      <c r="AG991" t="s">
        <v>1031</v>
      </c>
      <c r="AM991" s="1"/>
    </row>
    <row r="992" spans="1:39" x14ac:dyDescent="0.35">
      <c r="A992">
        <v>988</v>
      </c>
      <c r="B992">
        <v>989</v>
      </c>
      <c r="F992" s="63"/>
      <c r="G992" s="63"/>
      <c r="H992" t="s">
        <v>78</v>
      </c>
      <c r="I992" s="64">
        <v>1</v>
      </c>
      <c r="J992" s="31"/>
      <c r="K992" s="31"/>
      <c r="L992" s="31"/>
      <c r="M992" s="31"/>
      <c r="N992" s="4"/>
      <c r="AG992" t="s">
        <v>1032</v>
      </c>
      <c r="AM992" s="1"/>
    </row>
    <row r="993" spans="1:39" x14ac:dyDescent="0.35">
      <c r="A993">
        <v>989</v>
      </c>
      <c r="B993">
        <v>990</v>
      </c>
      <c r="F993" s="63"/>
      <c r="G993" s="63"/>
      <c r="H993" t="s">
        <v>78</v>
      </c>
      <c r="I993" s="64">
        <v>1</v>
      </c>
      <c r="J993" s="31"/>
      <c r="K993" s="31"/>
      <c r="L993" s="31"/>
      <c r="M993" s="31"/>
      <c r="N993" s="4"/>
      <c r="AG993" t="s">
        <v>1033</v>
      </c>
      <c r="AM993" s="1"/>
    </row>
    <row r="994" spans="1:39" x14ac:dyDescent="0.35">
      <c r="A994">
        <v>990</v>
      </c>
      <c r="B994">
        <v>991</v>
      </c>
      <c r="F994" s="63"/>
      <c r="G994" s="63"/>
      <c r="H994" t="s">
        <v>78</v>
      </c>
      <c r="I994" s="64">
        <v>1</v>
      </c>
      <c r="J994" s="31"/>
      <c r="K994" s="31"/>
      <c r="L994" s="31"/>
      <c r="M994" s="31"/>
      <c r="N994" s="4"/>
      <c r="AG994" t="s">
        <v>1034</v>
      </c>
      <c r="AM994" s="1"/>
    </row>
    <row r="995" spans="1:39" x14ac:dyDescent="0.35">
      <c r="A995">
        <v>991</v>
      </c>
      <c r="B995">
        <v>992</v>
      </c>
      <c r="F995" s="63"/>
      <c r="G995" s="63"/>
      <c r="H995" t="s">
        <v>78</v>
      </c>
      <c r="I995" s="64">
        <v>1</v>
      </c>
      <c r="J995" s="31"/>
      <c r="K995" s="31"/>
      <c r="L995" s="31"/>
      <c r="M995" s="31"/>
      <c r="N995" s="4"/>
      <c r="AG995" t="s">
        <v>1035</v>
      </c>
      <c r="AM995" s="1"/>
    </row>
    <row r="996" spans="1:39" x14ac:dyDescent="0.35">
      <c r="A996">
        <v>992</v>
      </c>
      <c r="B996">
        <v>993</v>
      </c>
      <c r="F996" s="63"/>
      <c r="G996" s="63"/>
      <c r="H996" t="s">
        <v>78</v>
      </c>
      <c r="I996" s="64">
        <v>1</v>
      </c>
      <c r="J996" s="31"/>
      <c r="K996" s="31"/>
      <c r="L996" s="31"/>
      <c r="M996" s="31"/>
      <c r="N996" s="4"/>
      <c r="AG996" t="s">
        <v>1036</v>
      </c>
      <c r="AM996" s="1"/>
    </row>
    <row r="997" spans="1:39" x14ac:dyDescent="0.35">
      <c r="A997">
        <v>993</v>
      </c>
      <c r="B997">
        <v>994</v>
      </c>
      <c r="F997" s="63"/>
      <c r="G997" s="63"/>
      <c r="H997" t="s">
        <v>78</v>
      </c>
      <c r="I997" s="64">
        <v>1</v>
      </c>
      <c r="J997" s="31"/>
      <c r="K997" s="31"/>
      <c r="L997" s="31"/>
      <c r="M997" s="31"/>
      <c r="N997" s="4"/>
      <c r="AG997" t="s">
        <v>1037</v>
      </c>
      <c r="AM997" s="1"/>
    </row>
    <row r="998" spans="1:39" x14ac:dyDescent="0.35">
      <c r="A998">
        <v>994</v>
      </c>
      <c r="B998">
        <v>995</v>
      </c>
      <c r="F998" s="63"/>
      <c r="G998" s="63"/>
      <c r="H998" t="s">
        <v>78</v>
      </c>
      <c r="I998" s="64">
        <v>1</v>
      </c>
      <c r="J998" s="31"/>
      <c r="K998" s="31"/>
      <c r="L998" s="31"/>
      <c r="M998" s="31"/>
      <c r="N998" s="4"/>
      <c r="AG998" t="s">
        <v>1038</v>
      </c>
      <c r="AM998" s="1"/>
    </row>
    <row r="999" spans="1:39" x14ac:dyDescent="0.35">
      <c r="A999">
        <v>995</v>
      </c>
      <c r="B999">
        <v>996</v>
      </c>
      <c r="F999" s="63"/>
      <c r="G999" s="63"/>
      <c r="H999" t="s">
        <v>78</v>
      </c>
      <c r="I999" s="64">
        <v>1</v>
      </c>
      <c r="J999" s="31"/>
      <c r="K999" s="31"/>
      <c r="L999" s="31"/>
      <c r="M999" s="31"/>
      <c r="N999" s="4"/>
      <c r="AG999" t="s">
        <v>1039</v>
      </c>
      <c r="AM999" s="1"/>
    </row>
    <row r="1000" spans="1:39" x14ac:dyDescent="0.35">
      <c r="A1000">
        <v>996</v>
      </c>
      <c r="B1000">
        <v>997</v>
      </c>
      <c r="F1000" s="63"/>
      <c r="G1000" s="63"/>
      <c r="H1000" t="s">
        <v>78</v>
      </c>
      <c r="I1000" s="64">
        <v>1</v>
      </c>
      <c r="J1000" s="31"/>
      <c r="K1000" s="31"/>
      <c r="L1000" s="31"/>
      <c r="M1000" s="31"/>
      <c r="N1000" s="4"/>
      <c r="AG1000" t="s">
        <v>1040</v>
      </c>
      <c r="AM1000" s="1"/>
    </row>
    <row r="1001" spans="1:39" x14ac:dyDescent="0.35">
      <c r="A1001">
        <v>997</v>
      </c>
      <c r="B1001">
        <v>998</v>
      </c>
      <c r="F1001" s="63"/>
      <c r="G1001" s="63"/>
      <c r="H1001" t="s">
        <v>78</v>
      </c>
      <c r="I1001" s="64">
        <v>1</v>
      </c>
      <c r="J1001" s="31"/>
      <c r="K1001" s="31"/>
      <c r="L1001" s="31"/>
      <c r="M1001" s="31"/>
      <c r="N1001" s="4"/>
      <c r="AG1001" t="s">
        <v>1041</v>
      </c>
      <c r="AM1001" s="1"/>
    </row>
    <row r="1002" spans="1:39" x14ac:dyDescent="0.35">
      <c r="A1002">
        <v>998</v>
      </c>
      <c r="B1002">
        <v>999</v>
      </c>
      <c r="F1002" s="63"/>
      <c r="G1002" s="63"/>
      <c r="H1002" t="s">
        <v>78</v>
      </c>
      <c r="I1002" s="64">
        <v>1</v>
      </c>
      <c r="J1002" s="31"/>
      <c r="K1002" s="31"/>
      <c r="L1002" s="31"/>
      <c r="M1002" s="31"/>
      <c r="N1002" s="4"/>
      <c r="AG1002" t="s">
        <v>1042</v>
      </c>
      <c r="AM1002" s="1"/>
    </row>
    <row r="1003" spans="1:39" x14ac:dyDescent="0.35">
      <c r="A1003">
        <v>999</v>
      </c>
      <c r="B1003">
        <v>1000</v>
      </c>
      <c r="F1003" s="63"/>
      <c r="G1003" s="63"/>
      <c r="H1003" t="s">
        <v>78</v>
      </c>
      <c r="I1003" s="64">
        <v>1</v>
      </c>
      <c r="J1003" s="31"/>
      <c r="K1003" s="31"/>
      <c r="L1003" s="31"/>
      <c r="M1003" s="31"/>
      <c r="N1003" s="4"/>
      <c r="AG1003" t="s">
        <v>1043</v>
      </c>
      <c r="AM1003" s="1"/>
    </row>
    <row r="1004" spans="1:39" x14ac:dyDescent="0.35">
      <c r="A1004">
        <v>1000</v>
      </c>
      <c r="B1004">
        <v>1001</v>
      </c>
      <c r="F1004" s="63"/>
      <c r="G1004" s="63"/>
      <c r="H1004" t="s">
        <v>78</v>
      </c>
      <c r="I1004" s="64">
        <v>1</v>
      </c>
      <c r="J1004" s="31"/>
      <c r="K1004" s="31"/>
      <c r="L1004" s="31"/>
      <c r="M1004" s="31"/>
      <c r="N1004" s="4"/>
      <c r="AG1004" t="s">
        <v>1044</v>
      </c>
      <c r="AM1004" s="1"/>
    </row>
    <row r="1005" spans="1:39" x14ac:dyDescent="0.35">
      <c r="A1005">
        <v>1001</v>
      </c>
      <c r="B1005">
        <v>1002</v>
      </c>
      <c r="F1005" s="63"/>
      <c r="G1005" s="63"/>
      <c r="H1005" t="s">
        <v>78</v>
      </c>
      <c r="I1005" s="64">
        <v>1</v>
      </c>
      <c r="J1005" s="31"/>
      <c r="K1005" s="31"/>
      <c r="L1005" s="31"/>
      <c r="M1005" s="31"/>
      <c r="N1005" s="4"/>
      <c r="AG1005" t="s">
        <v>1045</v>
      </c>
      <c r="AM1005" s="1"/>
    </row>
    <row r="1006" spans="1:39" x14ac:dyDescent="0.35">
      <c r="A1006">
        <v>1002</v>
      </c>
      <c r="B1006">
        <v>1003</v>
      </c>
      <c r="F1006" s="63"/>
      <c r="G1006" s="63"/>
      <c r="H1006" t="s">
        <v>78</v>
      </c>
      <c r="I1006" s="64">
        <v>1</v>
      </c>
      <c r="J1006" s="31"/>
      <c r="K1006" s="31"/>
      <c r="L1006" s="31"/>
      <c r="M1006" s="31"/>
      <c r="N1006" s="4"/>
      <c r="AG1006" t="s">
        <v>1046</v>
      </c>
      <c r="AM1006" s="1"/>
    </row>
    <row r="1007" spans="1:39" x14ac:dyDescent="0.35">
      <c r="A1007">
        <v>1003</v>
      </c>
      <c r="B1007">
        <v>1004</v>
      </c>
      <c r="F1007" s="63"/>
      <c r="G1007" s="63"/>
      <c r="H1007" t="s">
        <v>78</v>
      </c>
      <c r="I1007" s="64">
        <v>1</v>
      </c>
      <c r="J1007" s="31"/>
      <c r="K1007" s="31"/>
      <c r="L1007" s="31"/>
      <c r="M1007" s="31"/>
      <c r="N1007" s="4"/>
      <c r="AG1007" t="s">
        <v>1047</v>
      </c>
      <c r="AM1007" s="1"/>
    </row>
    <row r="1008" spans="1:39" x14ac:dyDescent="0.35">
      <c r="A1008">
        <v>1004</v>
      </c>
      <c r="B1008">
        <v>1005</v>
      </c>
      <c r="F1008" s="63"/>
      <c r="G1008" s="63"/>
      <c r="H1008" t="s">
        <v>78</v>
      </c>
      <c r="I1008" s="64">
        <v>1</v>
      </c>
      <c r="J1008" s="31"/>
      <c r="K1008" s="31"/>
      <c r="L1008" s="31"/>
      <c r="M1008" s="31"/>
      <c r="N1008" s="4"/>
      <c r="AG1008" t="s">
        <v>1048</v>
      </c>
      <c r="AM1008" s="1"/>
    </row>
    <row r="1009" spans="1:39" x14ac:dyDescent="0.35">
      <c r="A1009">
        <v>1005</v>
      </c>
      <c r="B1009">
        <v>1006</v>
      </c>
      <c r="F1009" s="63"/>
      <c r="G1009" s="63"/>
      <c r="H1009" t="s">
        <v>78</v>
      </c>
      <c r="I1009" s="64">
        <v>1</v>
      </c>
      <c r="J1009" s="31"/>
      <c r="K1009" s="31"/>
      <c r="L1009" s="31"/>
      <c r="M1009" s="31"/>
      <c r="N1009" s="4"/>
      <c r="AG1009" t="s">
        <v>1049</v>
      </c>
      <c r="AM1009" s="1"/>
    </row>
    <row r="1010" spans="1:39" x14ac:dyDescent="0.35">
      <c r="A1010">
        <v>1006</v>
      </c>
      <c r="B1010">
        <v>1007</v>
      </c>
      <c r="F1010" s="63"/>
      <c r="G1010" s="63"/>
      <c r="H1010" t="s">
        <v>78</v>
      </c>
      <c r="I1010" s="64">
        <v>1</v>
      </c>
      <c r="J1010" s="31"/>
      <c r="K1010" s="31"/>
      <c r="L1010" s="31"/>
      <c r="M1010" s="31"/>
      <c r="N1010" s="4"/>
      <c r="AG1010" t="s">
        <v>1050</v>
      </c>
      <c r="AM1010" s="1"/>
    </row>
    <row r="1011" spans="1:39" x14ac:dyDescent="0.35">
      <c r="A1011">
        <v>1007</v>
      </c>
      <c r="B1011">
        <v>1008</v>
      </c>
      <c r="F1011" s="63"/>
      <c r="G1011" s="63"/>
      <c r="H1011" t="s">
        <v>78</v>
      </c>
      <c r="I1011" s="64">
        <v>1</v>
      </c>
      <c r="J1011" s="31"/>
      <c r="K1011" s="31"/>
      <c r="L1011" s="31"/>
      <c r="M1011" s="31"/>
      <c r="N1011" s="4"/>
      <c r="AG1011" t="s">
        <v>1051</v>
      </c>
      <c r="AM1011" s="1"/>
    </row>
    <row r="1012" spans="1:39" x14ac:dyDescent="0.35">
      <c r="A1012">
        <v>1008</v>
      </c>
      <c r="B1012">
        <v>1009</v>
      </c>
      <c r="F1012" s="63"/>
      <c r="G1012" s="63"/>
      <c r="H1012" t="s">
        <v>78</v>
      </c>
      <c r="I1012" s="64">
        <v>0</v>
      </c>
      <c r="J1012" s="31"/>
      <c r="K1012" s="31"/>
      <c r="L1012" s="31"/>
      <c r="M1012" s="31"/>
      <c r="N1012" s="4"/>
      <c r="AG1012" t="s">
        <v>1052</v>
      </c>
      <c r="AM1012" s="1"/>
    </row>
    <row r="1013" spans="1:39" x14ac:dyDescent="0.35">
      <c r="A1013">
        <v>1009</v>
      </c>
      <c r="B1013">
        <v>1010</v>
      </c>
      <c r="F1013" s="63"/>
      <c r="G1013" s="63"/>
      <c r="H1013" t="s">
        <v>78</v>
      </c>
      <c r="I1013" s="64">
        <v>0</v>
      </c>
      <c r="J1013" s="31"/>
      <c r="K1013" s="31"/>
      <c r="L1013" s="31"/>
      <c r="M1013" s="31"/>
      <c r="N1013" s="4"/>
      <c r="AG1013" t="s">
        <v>1053</v>
      </c>
      <c r="AM1013" s="1"/>
    </row>
    <row r="1014" spans="1:39" x14ac:dyDescent="0.35">
      <c r="A1014">
        <v>1010</v>
      </c>
      <c r="B1014">
        <v>1011</v>
      </c>
      <c r="F1014" s="63"/>
      <c r="G1014" s="63"/>
      <c r="H1014" t="s">
        <v>78</v>
      </c>
      <c r="I1014" s="64">
        <v>1</v>
      </c>
      <c r="J1014" s="31"/>
      <c r="K1014" s="31"/>
      <c r="L1014" s="31"/>
      <c r="M1014" s="31"/>
      <c r="N1014" s="4"/>
      <c r="AG1014" t="s">
        <v>1054</v>
      </c>
      <c r="AM1014" s="1"/>
    </row>
    <row r="1015" spans="1:39" x14ac:dyDescent="0.35">
      <c r="A1015">
        <v>1011</v>
      </c>
      <c r="B1015">
        <v>1012</v>
      </c>
      <c r="F1015" s="63"/>
      <c r="G1015" s="63"/>
      <c r="H1015" t="s">
        <v>78</v>
      </c>
      <c r="I1015" s="64">
        <v>1</v>
      </c>
      <c r="J1015" s="31"/>
      <c r="K1015" s="31"/>
      <c r="L1015" s="31"/>
      <c r="M1015" s="31"/>
      <c r="N1015" s="4"/>
      <c r="AG1015" t="s">
        <v>1055</v>
      </c>
      <c r="AM1015" s="1">
        <f t="shared" ref="AM1015:AM1078" si="13">HYPERLINK("E:\CAFNEC_GBRF\2023\JohnstoneRiver\Frames_for_Analysis\" &amp; F1016, F1016)</f>
        <v>0</v>
      </c>
    </row>
    <row r="1016" spans="1:39" x14ac:dyDescent="0.35">
      <c r="A1016">
        <v>1012</v>
      </c>
      <c r="B1016">
        <v>1013</v>
      </c>
      <c r="F1016" s="63"/>
      <c r="G1016" s="63"/>
      <c r="H1016" t="s">
        <v>78</v>
      </c>
      <c r="I1016" s="64">
        <v>0</v>
      </c>
      <c r="J1016" s="31"/>
      <c r="K1016" s="31"/>
      <c r="L1016" s="31"/>
      <c r="M1016" s="31"/>
      <c r="N1016" s="4"/>
      <c r="AG1016" t="s">
        <v>1056</v>
      </c>
      <c r="AM1016" s="1">
        <f t="shared" si="13"/>
        <v>0</v>
      </c>
    </row>
    <row r="1017" spans="1:39" x14ac:dyDescent="0.35">
      <c r="A1017">
        <v>1013</v>
      </c>
      <c r="B1017">
        <v>1014</v>
      </c>
      <c r="F1017" s="63"/>
      <c r="G1017" s="63"/>
      <c r="H1017" t="s">
        <v>78</v>
      </c>
      <c r="I1017" s="64">
        <v>0</v>
      </c>
      <c r="J1017" s="31"/>
      <c r="K1017" s="31"/>
      <c r="L1017" s="31"/>
      <c r="M1017" s="31"/>
      <c r="N1017" s="4"/>
      <c r="AG1017" t="s">
        <v>1057</v>
      </c>
      <c r="AM1017" s="1">
        <f t="shared" si="13"/>
        <v>0</v>
      </c>
    </row>
    <row r="1018" spans="1:39" x14ac:dyDescent="0.35">
      <c r="A1018">
        <v>1014</v>
      </c>
      <c r="B1018">
        <v>1015</v>
      </c>
      <c r="F1018" s="63"/>
      <c r="G1018" s="63"/>
      <c r="H1018" t="s">
        <v>78</v>
      </c>
      <c r="I1018" s="64">
        <v>1</v>
      </c>
      <c r="J1018" s="31"/>
      <c r="K1018" s="31"/>
      <c r="L1018" s="31"/>
      <c r="M1018" s="31"/>
      <c r="N1018" s="4"/>
      <c r="AG1018" t="s">
        <v>1058</v>
      </c>
      <c r="AM1018" s="1">
        <f t="shared" si="13"/>
        <v>0</v>
      </c>
    </row>
    <row r="1019" spans="1:39" x14ac:dyDescent="0.35">
      <c r="A1019">
        <v>1015</v>
      </c>
      <c r="B1019">
        <v>1016</v>
      </c>
      <c r="F1019" s="63"/>
      <c r="G1019" s="63"/>
      <c r="H1019" t="s">
        <v>78</v>
      </c>
      <c r="I1019" s="64">
        <v>1</v>
      </c>
      <c r="J1019" s="31"/>
      <c r="K1019" s="31"/>
      <c r="L1019" s="31"/>
      <c r="M1019" s="31"/>
      <c r="N1019" s="4"/>
      <c r="AG1019" t="s">
        <v>1059</v>
      </c>
      <c r="AM1019" s="1">
        <f t="shared" si="13"/>
        <v>0</v>
      </c>
    </row>
    <row r="1020" spans="1:39" x14ac:dyDescent="0.35">
      <c r="A1020">
        <v>1016</v>
      </c>
      <c r="B1020">
        <v>1017</v>
      </c>
      <c r="F1020" s="63"/>
      <c r="G1020" s="63"/>
      <c r="H1020" t="s">
        <v>78</v>
      </c>
      <c r="I1020" s="64">
        <v>1</v>
      </c>
      <c r="J1020" s="31"/>
      <c r="K1020" s="31"/>
      <c r="L1020" s="31"/>
      <c r="M1020" s="31"/>
      <c r="N1020" s="4"/>
      <c r="AG1020" t="s">
        <v>1060</v>
      </c>
      <c r="AM1020" s="1">
        <f t="shared" si="13"/>
        <v>0</v>
      </c>
    </row>
    <row r="1021" spans="1:39" x14ac:dyDescent="0.35">
      <c r="A1021">
        <v>1017</v>
      </c>
      <c r="B1021">
        <v>1018</v>
      </c>
      <c r="F1021" s="63"/>
      <c r="G1021" s="63"/>
      <c r="H1021" t="s">
        <v>78</v>
      </c>
      <c r="I1021" s="64">
        <v>1</v>
      </c>
      <c r="J1021" s="31"/>
      <c r="K1021" s="31"/>
      <c r="L1021" s="31"/>
      <c r="M1021" s="31"/>
      <c r="N1021" s="4"/>
      <c r="AG1021" t="s">
        <v>1061</v>
      </c>
      <c r="AM1021" s="1">
        <f t="shared" si="13"/>
        <v>0</v>
      </c>
    </row>
    <row r="1022" spans="1:39" x14ac:dyDescent="0.35">
      <c r="A1022">
        <v>1018</v>
      </c>
      <c r="B1022">
        <v>1019</v>
      </c>
      <c r="F1022" s="63"/>
      <c r="G1022" s="63"/>
      <c r="H1022" t="s">
        <v>78</v>
      </c>
      <c r="I1022" s="64">
        <v>0</v>
      </c>
      <c r="J1022" s="31"/>
      <c r="K1022" s="31"/>
      <c r="L1022" s="31"/>
      <c r="M1022" s="31"/>
      <c r="N1022" s="4"/>
      <c r="AG1022" t="s">
        <v>1062</v>
      </c>
      <c r="AM1022" s="1">
        <f t="shared" si="13"/>
        <v>0</v>
      </c>
    </row>
    <row r="1023" spans="1:39" x14ac:dyDescent="0.35">
      <c r="A1023">
        <v>1019</v>
      </c>
      <c r="B1023">
        <v>1020</v>
      </c>
      <c r="F1023" s="63"/>
      <c r="G1023" s="63"/>
      <c r="H1023" t="s">
        <v>78</v>
      </c>
      <c r="I1023" s="64">
        <v>0</v>
      </c>
      <c r="J1023" s="31"/>
      <c r="K1023" s="31"/>
      <c r="L1023" s="31"/>
      <c r="M1023" s="31"/>
      <c r="N1023" s="4"/>
      <c r="AG1023" t="s">
        <v>1063</v>
      </c>
      <c r="AM1023" s="1">
        <f t="shared" si="13"/>
        <v>0</v>
      </c>
    </row>
    <row r="1024" spans="1:39" x14ac:dyDescent="0.35">
      <c r="A1024">
        <v>1020</v>
      </c>
      <c r="B1024">
        <v>1021</v>
      </c>
      <c r="F1024" s="63"/>
      <c r="G1024" s="63"/>
      <c r="H1024" t="s">
        <v>26</v>
      </c>
      <c r="I1024" s="64"/>
      <c r="J1024" s="31"/>
      <c r="K1024" s="31"/>
      <c r="L1024" s="31"/>
      <c r="M1024" s="31"/>
      <c r="N1024" s="4"/>
      <c r="AG1024" t="s">
        <v>1064</v>
      </c>
      <c r="AM1024" s="1">
        <f t="shared" si="13"/>
        <v>0</v>
      </c>
    </row>
    <row r="1025" spans="1:39" x14ac:dyDescent="0.35">
      <c r="A1025">
        <v>1021</v>
      </c>
      <c r="B1025">
        <v>1022</v>
      </c>
      <c r="F1025" s="63"/>
      <c r="G1025" s="63"/>
      <c r="H1025" t="s">
        <v>78</v>
      </c>
      <c r="I1025" s="64">
        <v>0</v>
      </c>
      <c r="J1025" s="31"/>
      <c r="K1025" s="31"/>
      <c r="L1025" s="31"/>
      <c r="M1025" s="31"/>
      <c r="N1025" s="4"/>
      <c r="AG1025" t="s">
        <v>1065</v>
      </c>
      <c r="AM1025" s="1">
        <f t="shared" si="13"/>
        <v>0</v>
      </c>
    </row>
    <row r="1026" spans="1:39" x14ac:dyDescent="0.35">
      <c r="A1026">
        <v>1022</v>
      </c>
      <c r="B1026">
        <v>1023</v>
      </c>
      <c r="F1026" s="63"/>
      <c r="G1026" s="63"/>
      <c r="H1026" t="s">
        <v>78</v>
      </c>
      <c r="I1026" s="64">
        <v>0</v>
      </c>
      <c r="J1026" s="31"/>
      <c r="K1026" s="31"/>
      <c r="L1026" s="31"/>
      <c r="M1026" s="31"/>
      <c r="N1026" s="4"/>
      <c r="AG1026" t="s">
        <v>1066</v>
      </c>
      <c r="AM1026" s="1">
        <f t="shared" si="13"/>
        <v>0</v>
      </c>
    </row>
    <row r="1027" spans="1:39" x14ac:dyDescent="0.35">
      <c r="A1027">
        <v>1023</v>
      </c>
      <c r="B1027">
        <v>1024</v>
      </c>
      <c r="F1027" s="63"/>
      <c r="G1027" s="63"/>
      <c r="H1027" t="s">
        <v>78</v>
      </c>
      <c r="I1027" s="64">
        <v>1</v>
      </c>
      <c r="J1027" s="31"/>
      <c r="K1027" s="31"/>
      <c r="L1027" s="31"/>
      <c r="M1027" s="31"/>
      <c r="N1027" s="4"/>
      <c r="AG1027" t="s">
        <v>1067</v>
      </c>
      <c r="AM1027" s="1">
        <f t="shared" si="13"/>
        <v>0</v>
      </c>
    </row>
    <row r="1028" spans="1:39" x14ac:dyDescent="0.35">
      <c r="A1028">
        <v>1024</v>
      </c>
      <c r="B1028">
        <v>1025</v>
      </c>
      <c r="F1028" s="63"/>
      <c r="G1028" s="63"/>
      <c r="H1028" t="s">
        <v>78</v>
      </c>
      <c r="I1028" s="64">
        <v>1</v>
      </c>
      <c r="J1028" s="31"/>
      <c r="K1028" s="31"/>
      <c r="L1028" s="31"/>
      <c r="M1028" s="31"/>
      <c r="N1028" s="4"/>
      <c r="AG1028" t="s">
        <v>1068</v>
      </c>
      <c r="AM1028" s="1">
        <f t="shared" si="13"/>
        <v>0</v>
      </c>
    </row>
    <row r="1029" spans="1:39" x14ac:dyDescent="0.35">
      <c r="A1029">
        <v>1025</v>
      </c>
      <c r="B1029">
        <v>1026</v>
      </c>
      <c r="F1029" s="63"/>
      <c r="G1029" s="63"/>
      <c r="H1029" t="s">
        <v>78</v>
      </c>
      <c r="I1029" s="64">
        <v>0</v>
      </c>
      <c r="J1029" s="31"/>
      <c r="K1029" s="31"/>
      <c r="L1029" s="31"/>
      <c r="M1029" s="31"/>
      <c r="N1029" s="4"/>
      <c r="AG1029" t="s">
        <v>1069</v>
      </c>
      <c r="AM1029" s="1">
        <f t="shared" si="13"/>
        <v>0</v>
      </c>
    </row>
    <row r="1030" spans="1:39" x14ac:dyDescent="0.35">
      <c r="A1030">
        <v>1026</v>
      </c>
      <c r="B1030">
        <v>1027</v>
      </c>
      <c r="F1030" s="63"/>
      <c r="G1030" s="63"/>
      <c r="H1030" t="s">
        <v>78</v>
      </c>
      <c r="I1030" s="64">
        <v>0</v>
      </c>
      <c r="J1030" s="31"/>
      <c r="K1030" s="31"/>
      <c r="L1030" s="31"/>
      <c r="M1030" s="31"/>
      <c r="N1030" s="4"/>
      <c r="AG1030" t="s">
        <v>1070</v>
      </c>
      <c r="AM1030" s="1">
        <f t="shared" si="13"/>
        <v>0</v>
      </c>
    </row>
    <row r="1031" spans="1:39" x14ac:dyDescent="0.35">
      <c r="A1031">
        <v>1027</v>
      </c>
      <c r="B1031">
        <v>1028</v>
      </c>
      <c r="F1031" s="63"/>
      <c r="G1031" s="63"/>
      <c r="H1031">
        <v>1</v>
      </c>
      <c r="I1031" s="64">
        <v>0</v>
      </c>
      <c r="J1031" s="31"/>
      <c r="K1031" s="31"/>
      <c r="L1031" s="31"/>
      <c r="M1031" s="31"/>
      <c r="N1031" s="4"/>
      <c r="AG1031" t="s">
        <v>1071</v>
      </c>
      <c r="AM1031" s="1">
        <f t="shared" si="13"/>
        <v>0</v>
      </c>
    </row>
    <row r="1032" spans="1:39" x14ac:dyDescent="0.35">
      <c r="A1032">
        <v>1028</v>
      </c>
      <c r="B1032">
        <v>1029</v>
      </c>
      <c r="F1032" s="63"/>
      <c r="G1032" s="63"/>
      <c r="H1032">
        <v>1</v>
      </c>
      <c r="I1032" s="64">
        <v>0</v>
      </c>
      <c r="J1032" s="31"/>
      <c r="K1032" s="31"/>
      <c r="L1032" s="31"/>
      <c r="M1032" s="31"/>
      <c r="N1032" s="4"/>
      <c r="AG1032" t="s">
        <v>1072</v>
      </c>
      <c r="AM1032" s="1">
        <f t="shared" si="13"/>
        <v>0</v>
      </c>
    </row>
    <row r="1033" spans="1:39" x14ac:dyDescent="0.35">
      <c r="A1033">
        <v>1029</v>
      </c>
      <c r="B1033">
        <v>1030</v>
      </c>
      <c r="F1033" s="63"/>
      <c r="G1033" s="63"/>
      <c r="H1033">
        <v>1</v>
      </c>
      <c r="I1033" s="64">
        <v>0</v>
      </c>
      <c r="J1033" s="31"/>
      <c r="K1033" s="31"/>
      <c r="L1033" s="31"/>
      <c r="M1033" s="31"/>
      <c r="N1033" s="4"/>
      <c r="AG1033" t="s">
        <v>1073</v>
      </c>
      <c r="AM1033" s="1">
        <f t="shared" si="13"/>
        <v>0</v>
      </c>
    </row>
    <row r="1034" spans="1:39" x14ac:dyDescent="0.35">
      <c r="A1034">
        <v>1030</v>
      </c>
      <c r="B1034">
        <v>1031</v>
      </c>
      <c r="F1034" s="63"/>
      <c r="G1034" s="63"/>
      <c r="H1034" t="s">
        <v>78</v>
      </c>
      <c r="I1034" s="64">
        <v>0</v>
      </c>
      <c r="J1034" s="31"/>
      <c r="K1034" s="31"/>
      <c r="L1034" s="31"/>
      <c r="M1034" s="31"/>
      <c r="N1034" s="4"/>
      <c r="AG1034" t="s">
        <v>1074</v>
      </c>
      <c r="AM1034" s="1">
        <f t="shared" si="13"/>
        <v>0</v>
      </c>
    </row>
    <row r="1035" spans="1:39" x14ac:dyDescent="0.35">
      <c r="A1035">
        <v>1031</v>
      </c>
      <c r="B1035">
        <v>1032</v>
      </c>
      <c r="F1035" s="63"/>
      <c r="G1035" s="63"/>
      <c r="H1035" t="s">
        <v>78</v>
      </c>
      <c r="I1035" s="64">
        <v>0</v>
      </c>
      <c r="J1035" s="31"/>
      <c r="K1035" s="31"/>
      <c r="L1035" s="31"/>
      <c r="M1035" s="31"/>
      <c r="N1035" s="4"/>
      <c r="AG1035" t="s">
        <v>1075</v>
      </c>
      <c r="AM1035" s="1">
        <f t="shared" si="13"/>
        <v>0</v>
      </c>
    </row>
    <row r="1036" spans="1:39" x14ac:dyDescent="0.35">
      <c r="A1036">
        <v>1032</v>
      </c>
      <c r="B1036">
        <v>1033</v>
      </c>
      <c r="F1036" s="63"/>
      <c r="G1036" s="63"/>
      <c r="H1036">
        <v>1</v>
      </c>
      <c r="I1036" s="64">
        <v>0</v>
      </c>
      <c r="J1036" s="31"/>
      <c r="K1036" s="31"/>
      <c r="L1036" s="31"/>
      <c r="M1036" s="31"/>
      <c r="N1036" s="4"/>
      <c r="AG1036" t="s">
        <v>1076</v>
      </c>
      <c r="AM1036" s="1">
        <f t="shared" si="13"/>
        <v>0</v>
      </c>
    </row>
    <row r="1037" spans="1:39" x14ac:dyDescent="0.35">
      <c r="A1037">
        <v>1033</v>
      </c>
      <c r="B1037">
        <v>1034</v>
      </c>
      <c r="F1037" s="63"/>
      <c r="G1037" s="63"/>
      <c r="H1037">
        <v>1</v>
      </c>
      <c r="I1037" s="64">
        <v>1</v>
      </c>
      <c r="J1037" s="31"/>
      <c r="K1037" s="31"/>
      <c r="L1037" s="31"/>
      <c r="M1037" s="31"/>
      <c r="N1037" s="4"/>
      <c r="AG1037" t="s">
        <v>1077</v>
      </c>
      <c r="AM1037" s="1">
        <f t="shared" si="13"/>
        <v>0</v>
      </c>
    </row>
    <row r="1038" spans="1:39" x14ac:dyDescent="0.35">
      <c r="A1038">
        <v>1034</v>
      </c>
      <c r="B1038">
        <v>1035</v>
      </c>
      <c r="F1038" s="63"/>
      <c r="G1038" s="63"/>
      <c r="H1038">
        <v>1</v>
      </c>
      <c r="I1038" s="64">
        <v>0</v>
      </c>
      <c r="J1038" s="31"/>
      <c r="K1038" s="31"/>
      <c r="L1038" s="31"/>
      <c r="M1038" s="31"/>
      <c r="N1038" s="4"/>
      <c r="AG1038" t="s">
        <v>1078</v>
      </c>
      <c r="AM1038" s="1">
        <f t="shared" si="13"/>
        <v>0</v>
      </c>
    </row>
    <row r="1039" spans="1:39" x14ac:dyDescent="0.35">
      <c r="A1039">
        <v>1035</v>
      </c>
      <c r="B1039">
        <v>1036</v>
      </c>
      <c r="F1039" s="63"/>
      <c r="G1039" s="63"/>
      <c r="H1039">
        <v>1</v>
      </c>
      <c r="I1039" s="64">
        <v>0</v>
      </c>
      <c r="J1039" s="31"/>
      <c r="K1039" s="31"/>
      <c r="L1039" s="31"/>
      <c r="M1039" s="31"/>
      <c r="N1039" s="4"/>
      <c r="AG1039" t="s">
        <v>1079</v>
      </c>
      <c r="AM1039" s="1">
        <f t="shared" si="13"/>
        <v>0</v>
      </c>
    </row>
    <row r="1040" spans="1:39" x14ac:dyDescent="0.35">
      <c r="A1040">
        <v>1036</v>
      </c>
      <c r="B1040">
        <v>1037</v>
      </c>
      <c r="F1040" s="63"/>
      <c r="G1040" s="63"/>
      <c r="H1040">
        <v>1</v>
      </c>
      <c r="I1040" s="64">
        <v>1</v>
      </c>
      <c r="J1040" s="31"/>
      <c r="K1040" s="31"/>
      <c r="L1040" s="31"/>
      <c r="M1040" s="31"/>
      <c r="N1040" s="4"/>
      <c r="AG1040" t="s">
        <v>1080</v>
      </c>
      <c r="AM1040" s="1">
        <f t="shared" si="13"/>
        <v>0</v>
      </c>
    </row>
    <row r="1041" spans="1:39" x14ac:dyDescent="0.35">
      <c r="A1041">
        <v>1037</v>
      </c>
      <c r="B1041">
        <v>1038</v>
      </c>
      <c r="F1041" s="63"/>
      <c r="G1041" s="63"/>
      <c r="H1041">
        <v>1</v>
      </c>
      <c r="I1041" s="64">
        <v>0</v>
      </c>
      <c r="J1041" s="31"/>
      <c r="K1041" s="31"/>
      <c r="L1041" s="31"/>
      <c r="M1041" s="31"/>
      <c r="N1041" s="4"/>
      <c r="AG1041" t="s">
        <v>1081</v>
      </c>
      <c r="AM1041" s="1">
        <f t="shared" si="13"/>
        <v>0</v>
      </c>
    </row>
    <row r="1042" spans="1:39" x14ac:dyDescent="0.35">
      <c r="A1042">
        <v>1038</v>
      </c>
      <c r="B1042">
        <v>1039</v>
      </c>
      <c r="F1042" s="63"/>
      <c r="G1042" s="63"/>
      <c r="H1042">
        <v>1</v>
      </c>
      <c r="I1042" s="64">
        <v>0</v>
      </c>
      <c r="J1042" s="31"/>
      <c r="K1042" s="31"/>
      <c r="L1042" s="31"/>
      <c r="M1042" s="31"/>
      <c r="N1042" s="4"/>
      <c r="AG1042" t="s">
        <v>1082</v>
      </c>
      <c r="AM1042" s="1">
        <f t="shared" si="13"/>
        <v>0</v>
      </c>
    </row>
    <row r="1043" spans="1:39" x14ac:dyDescent="0.35">
      <c r="A1043">
        <v>1039</v>
      </c>
      <c r="B1043">
        <v>1040</v>
      </c>
      <c r="F1043" s="63"/>
      <c r="G1043" s="63"/>
      <c r="H1043">
        <v>1</v>
      </c>
      <c r="I1043" s="64">
        <v>0</v>
      </c>
      <c r="J1043" s="31"/>
      <c r="K1043" s="31"/>
      <c r="L1043" s="31"/>
      <c r="M1043" s="31"/>
      <c r="N1043" s="4"/>
      <c r="AG1043" t="s">
        <v>1083</v>
      </c>
      <c r="AM1043" s="1">
        <f t="shared" si="13"/>
        <v>0</v>
      </c>
    </row>
    <row r="1044" spans="1:39" x14ac:dyDescent="0.35">
      <c r="A1044">
        <v>1040</v>
      </c>
      <c r="B1044">
        <v>1041</v>
      </c>
      <c r="F1044" s="63"/>
      <c r="G1044" s="63"/>
      <c r="H1044">
        <v>1</v>
      </c>
      <c r="I1044" s="64">
        <v>0</v>
      </c>
      <c r="J1044" s="31"/>
      <c r="K1044" s="31"/>
      <c r="L1044" s="31"/>
      <c r="M1044" s="31"/>
      <c r="N1044" s="4"/>
      <c r="AG1044" t="s">
        <v>1084</v>
      </c>
      <c r="AM1044" s="1">
        <f t="shared" si="13"/>
        <v>0</v>
      </c>
    </row>
    <row r="1045" spans="1:39" x14ac:dyDescent="0.35">
      <c r="A1045">
        <v>1041</v>
      </c>
      <c r="B1045">
        <v>1042</v>
      </c>
      <c r="F1045" s="63"/>
      <c r="G1045" s="63"/>
      <c r="H1045">
        <v>1</v>
      </c>
      <c r="I1045" s="64">
        <v>0</v>
      </c>
      <c r="J1045" s="31"/>
      <c r="K1045" s="31"/>
      <c r="L1045" s="31"/>
      <c r="M1045" s="31"/>
      <c r="N1045" s="4"/>
      <c r="AG1045" t="s">
        <v>1085</v>
      </c>
      <c r="AM1045" s="1">
        <f t="shared" si="13"/>
        <v>0</v>
      </c>
    </row>
    <row r="1046" spans="1:39" x14ac:dyDescent="0.35">
      <c r="A1046">
        <v>1042</v>
      </c>
      <c r="B1046">
        <v>1043</v>
      </c>
      <c r="F1046" s="63"/>
      <c r="G1046" s="63"/>
      <c r="H1046">
        <v>1</v>
      </c>
      <c r="I1046" s="64">
        <v>0</v>
      </c>
      <c r="J1046" s="31"/>
      <c r="K1046" s="31"/>
      <c r="L1046" s="31"/>
      <c r="M1046" s="31"/>
      <c r="N1046" s="4"/>
      <c r="AG1046" t="s">
        <v>1086</v>
      </c>
      <c r="AM1046" s="1">
        <f t="shared" si="13"/>
        <v>0</v>
      </c>
    </row>
    <row r="1047" spans="1:39" x14ac:dyDescent="0.35">
      <c r="A1047">
        <v>1043</v>
      </c>
      <c r="B1047">
        <v>1044</v>
      </c>
      <c r="F1047" s="63"/>
      <c r="G1047" s="63"/>
      <c r="H1047">
        <v>1</v>
      </c>
      <c r="I1047" s="64">
        <v>0</v>
      </c>
      <c r="J1047" s="31"/>
      <c r="K1047" s="31"/>
      <c r="L1047" s="31"/>
      <c r="M1047" s="31"/>
      <c r="N1047" s="4"/>
      <c r="AG1047" t="s">
        <v>1087</v>
      </c>
      <c r="AM1047" s="1">
        <f t="shared" si="13"/>
        <v>0</v>
      </c>
    </row>
    <row r="1048" spans="1:39" x14ac:dyDescent="0.35">
      <c r="A1048">
        <v>1044</v>
      </c>
      <c r="B1048">
        <v>1045</v>
      </c>
      <c r="F1048" s="63"/>
      <c r="G1048" s="63"/>
      <c r="H1048">
        <v>1</v>
      </c>
      <c r="I1048" s="64">
        <v>0</v>
      </c>
      <c r="J1048" s="31"/>
      <c r="K1048" s="31"/>
      <c r="L1048" s="31"/>
      <c r="M1048" s="31"/>
      <c r="N1048" s="4"/>
      <c r="AG1048" t="s">
        <v>1088</v>
      </c>
      <c r="AM1048" s="1">
        <f t="shared" si="13"/>
        <v>0</v>
      </c>
    </row>
    <row r="1049" spans="1:39" x14ac:dyDescent="0.35">
      <c r="A1049">
        <v>1045</v>
      </c>
      <c r="B1049">
        <v>1046</v>
      </c>
      <c r="F1049" s="63"/>
      <c r="G1049" s="63"/>
      <c r="H1049">
        <v>1</v>
      </c>
      <c r="I1049" s="64">
        <v>0</v>
      </c>
      <c r="J1049" s="31"/>
      <c r="K1049" s="31"/>
      <c r="L1049" s="31"/>
      <c r="M1049" s="31"/>
      <c r="N1049" s="4"/>
      <c r="AG1049" t="s">
        <v>1089</v>
      </c>
      <c r="AM1049" s="1">
        <f t="shared" si="13"/>
        <v>0</v>
      </c>
    </row>
    <row r="1050" spans="1:39" x14ac:dyDescent="0.35">
      <c r="A1050">
        <v>1046</v>
      </c>
      <c r="B1050">
        <v>1047</v>
      </c>
      <c r="F1050" s="63"/>
      <c r="G1050" s="63"/>
      <c r="H1050">
        <v>1</v>
      </c>
      <c r="I1050" s="64">
        <v>0</v>
      </c>
      <c r="J1050" s="31"/>
      <c r="K1050" s="31"/>
      <c r="L1050" s="31"/>
      <c r="M1050" s="31"/>
      <c r="N1050" s="4"/>
      <c r="AG1050" t="s">
        <v>1090</v>
      </c>
      <c r="AM1050" s="1">
        <f t="shared" si="13"/>
        <v>0</v>
      </c>
    </row>
    <row r="1051" spans="1:39" x14ac:dyDescent="0.35">
      <c r="A1051">
        <v>1047</v>
      </c>
      <c r="B1051">
        <v>1048</v>
      </c>
      <c r="F1051" s="63"/>
      <c r="G1051" s="63"/>
      <c r="H1051">
        <v>1</v>
      </c>
      <c r="I1051" s="64">
        <v>0</v>
      </c>
      <c r="J1051" s="31"/>
      <c r="K1051" s="31"/>
      <c r="L1051" s="31"/>
      <c r="M1051" s="31"/>
      <c r="N1051" s="4"/>
      <c r="AG1051" t="s">
        <v>1091</v>
      </c>
      <c r="AM1051" s="1">
        <f t="shared" si="13"/>
        <v>0</v>
      </c>
    </row>
    <row r="1052" spans="1:39" x14ac:dyDescent="0.35">
      <c r="A1052">
        <v>1048</v>
      </c>
      <c r="B1052">
        <v>1049</v>
      </c>
      <c r="F1052" s="63"/>
      <c r="G1052" s="63"/>
      <c r="H1052">
        <v>1</v>
      </c>
      <c r="I1052" s="64">
        <v>0</v>
      </c>
      <c r="J1052" s="31"/>
      <c r="K1052" s="31"/>
      <c r="L1052" s="31"/>
      <c r="M1052" s="31"/>
      <c r="N1052" s="4"/>
      <c r="AG1052" t="s">
        <v>1092</v>
      </c>
      <c r="AM1052" s="1">
        <f t="shared" si="13"/>
        <v>0</v>
      </c>
    </row>
    <row r="1053" spans="1:39" x14ac:dyDescent="0.35">
      <c r="A1053">
        <v>1049</v>
      </c>
      <c r="B1053">
        <v>1050</v>
      </c>
      <c r="F1053" s="63"/>
      <c r="G1053" s="63"/>
      <c r="H1053">
        <v>1</v>
      </c>
      <c r="I1053" s="64">
        <v>0</v>
      </c>
      <c r="J1053" s="31"/>
      <c r="K1053" s="31"/>
      <c r="L1053" s="31"/>
      <c r="M1053" s="31"/>
      <c r="N1053" s="4"/>
      <c r="AG1053" t="s">
        <v>1093</v>
      </c>
      <c r="AM1053" s="1">
        <f t="shared" si="13"/>
        <v>0</v>
      </c>
    </row>
    <row r="1054" spans="1:39" x14ac:dyDescent="0.35">
      <c r="A1054">
        <v>1050</v>
      </c>
      <c r="B1054">
        <v>1051</v>
      </c>
      <c r="F1054" s="63"/>
      <c r="G1054" s="63"/>
      <c r="H1054">
        <v>1</v>
      </c>
      <c r="I1054" s="64">
        <v>0</v>
      </c>
      <c r="J1054" s="31"/>
      <c r="K1054" s="31"/>
      <c r="L1054" s="31"/>
      <c r="M1054" s="31"/>
      <c r="N1054" s="4"/>
      <c r="AG1054" t="s">
        <v>1094</v>
      </c>
      <c r="AM1054" s="1">
        <f t="shared" si="13"/>
        <v>0</v>
      </c>
    </row>
    <row r="1055" spans="1:39" x14ac:dyDescent="0.35">
      <c r="A1055">
        <v>1051</v>
      </c>
      <c r="B1055">
        <v>1052</v>
      </c>
      <c r="F1055" s="63"/>
      <c r="G1055" s="63"/>
      <c r="H1055">
        <v>1</v>
      </c>
      <c r="I1055" s="64">
        <v>0</v>
      </c>
      <c r="J1055" s="31"/>
      <c r="K1055" s="31"/>
      <c r="L1055" s="31"/>
      <c r="M1055" s="31"/>
      <c r="N1055" s="4"/>
      <c r="AG1055" t="s">
        <v>1095</v>
      </c>
      <c r="AM1055" s="1">
        <f t="shared" si="13"/>
        <v>0</v>
      </c>
    </row>
    <row r="1056" spans="1:39" x14ac:dyDescent="0.35">
      <c r="A1056">
        <v>1052</v>
      </c>
      <c r="B1056">
        <v>1053</v>
      </c>
      <c r="F1056" s="63"/>
      <c r="G1056" s="63"/>
      <c r="H1056">
        <v>1</v>
      </c>
      <c r="I1056" s="64">
        <v>0</v>
      </c>
      <c r="J1056" s="31"/>
      <c r="K1056" s="31"/>
      <c r="L1056" s="31"/>
      <c r="M1056" s="31"/>
      <c r="N1056" s="4"/>
      <c r="AG1056" t="s">
        <v>1096</v>
      </c>
      <c r="AM1056" s="1">
        <f t="shared" si="13"/>
        <v>0</v>
      </c>
    </row>
    <row r="1057" spans="1:39" x14ac:dyDescent="0.35">
      <c r="A1057">
        <v>1053</v>
      </c>
      <c r="B1057">
        <v>1054</v>
      </c>
      <c r="F1057" s="63"/>
      <c r="G1057" s="63"/>
      <c r="H1057">
        <v>1</v>
      </c>
      <c r="I1057" s="64">
        <v>0</v>
      </c>
      <c r="J1057" s="31"/>
      <c r="K1057" s="31"/>
      <c r="L1057" s="31"/>
      <c r="M1057" s="31"/>
      <c r="N1057" s="4"/>
      <c r="AG1057" t="s">
        <v>1097</v>
      </c>
      <c r="AM1057" s="1">
        <f t="shared" si="13"/>
        <v>0</v>
      </c>
    </row>
    <row r="1058" spans="1:39" x14ac:dyDescent="0.35">
      <c r="A1058">
        <v>1054</v>
      </c>
      <c r="B1058">
        <v>1055</v>
      </c>
      <c r="F1058" s="63"/>
      <c r="G1058" s="63"/>
      <c r="H1058">
        <v>1</v>
      </c>
      <c r="I1058" s="64">
        <v>0</v>
      </c>
      <c r="J1058" s="31"/>
      <c r="K1058" s="31"/>
      <c r="L1058" s="31"/>
      <c r="M1058" s="31"/>
      <c r="N1058" s="4"/>
      <c r="AG1058" t="s">
        <v>1098</v>
      </c>
      <c r="AM1058" s="1">
        <f t="shared" si="13"/>
        <v>0</v>
      </c>
    </row>
    <row r="1059" spans="1:39" x14ac:dyDescent="0.35">
      <c r="A1059">
        <v>1055</v>
      </c>
      <c r="B1059">
        <v>1056</v>
      </c>
      <c r="F1059" s="63"/>
      <c r="G1059" s="63"/>
      <c r="H1059">
        <v>1</v>
      </c>
      <c r="I1059" s="64">
        <v>1</v>
      </c>
      <c r="J1059" s="31"/>
      <c r="K1059" s="31"/>
      <c r="L1059" s="31"/>
      <c r="M1059" s="31"/>
      <c r="N1059" s="4"/>
      <c r="AG1059" t="s">
        <v>1099</v>
      </c>
      <c r="AM1059" s="1">
        <f t="shared" si="13"/>
        <v>0</v>
      </c>
    </row>
    <row r="1060" spans="1:39" x14ac:dyDescent="0.35">
      <c r="A1060">
        <v>1056</v>
      </c>
      <c r="B1060">
        <v>1057</v>
      </c>
      <c r="F1060" s="63"/>
      <c r="G1060" s="63"/>
      <c r="H1060">
        <v>1</v>
      </c>
      <c r="I1060" s="64">
        <v>1</v>
      </c>
      <c r="J1060" s="31"/>
      <c r="K1060" s="31"/>
      <c r="L1060" s="31"/>
      <c r="M1060" s="31"/>
      <c r="N1060" s="4"/>
      <c r="AG1060" t="s">
        <v>1100</v>
      </c>
      <c r="AM1060" s="1">
        <f t="shared" si="13"/>
        <v>0</v>
      </c>
    </row>
    <row r="1061" spans="1:39" x14ac:dyDescent="0.35">
      <c r="A1061">
        <v>1057</v>
      </c>
      <c r="B1061">
        <v>1058</v>
      </c>
      <c r="F1061" s="63"/>
      <c r="G1061" s="63"/>
      <c r="H1061">
        <v>1</v>
      </c>
      <c r="I1061" s="64">
        <v>1</v>
      </c>
      <c r="J1061" s="31"/>
      <c r="K1061" s="31"/>
      <c r="L1061" s="31"/>
      <c r="M1061" s="31"/>
      <c r="N1061" s="4"/>
      <c r="AG1061" t="s">
        <v>1101</v>
      </c>
      <c r="AM1061" s="1">
        <f t="shared" si="13"/>
        <v>0</v>
      </c>
    </row>
    <row r="1062" spans="1:39" x14ac:dyDescent="0.35">
      <c r="A1062">
        <v>1058</v>
      </c>
      <c r="B1062">
        <v>1059</v>
      </c>
      <c r="F1062" s="63"/>
      <c r="G1062" s="63"/>
      <c r="H1062">
        <v>1</v>
      </c>
      <c r="I1062" s="64">
        <v>1</v>
      </c>
      <c r="J1062" s="31"/>
      <c r="K1062" s="31"/>
      <c r="L1062" s="31"/>
      <c r="M1062" s="31"/>
      <c r="N1062" s="4"/>
      <c r="AG1062" t="s">
        <v>1102</v>
      </c>
      <c r="AM1062" s="1">
        <f t="shared" si="13"/>
        <v>0</v>
      </c>
    </row>
    <row r="1063" spans="1:39" x14ac:dyDescent="0.35">
      <c r="A1063">
        <v>1059</v>
      </c>
      <c r="B1063">
        <v>1060</v>
      </c>
      <c r="F1063" s="63"/>
      <c r="G1063" s="63"/>
      <c r="H1063">
        <v>1</v>
      </c>
      <c r="I1063" s="64">
        <v>0</v>
      </c>
      <c r="J1063" s="31"/>
      <c r="K1063" s="31"/>
      <c r="L1063" s="31"/>
      <c r="M1063" s="31"/>
      <c r="N1063" s="4"/>
      <c r="AG1063" t="s">
        <v>1103</v>
      </c>
      <c r="AM1063" s="1">
        <f t="shared" si="13"/>
        <v>0</v>
      </c>
    </row>
    <row r="1064" spans="1:39" x14ac:dyDescent="0.35">
      <c r="A1064">
        <v>1060</v>
      </c>
      <c r="B1064">
        <v>1061</v>
      </c>
      <c r="F1064" s="63"/>
      <c r="G1064" s="63"/>
      <c r="H1064">
        <v>1</v>
      </c>
      <c r="I1064" s="64">
        <v>0</v>
      </c>
      <c r="J1064" s="31"/>
      <c r="K1064" s="31"/>
      <c r="L1064" s="31"/>
      <c r="M1064" s="31"/>
      <c r="N1064" s="4"/>
      <c r="AG1064" t="s">
        <v>1104</v>
      </c>
      <c r="AM1064" s="1">
        <f t="shared" si="13"/>
        <v>0</v>
      </c>
    </row>
    <row r="1065" spans="1:39" x14ac:dyDescent="0.35">
      <c r="A1065">
        <v>1061</v>
      </c>
      <c r="B1065">
        <v>1062</v>
      </c>
      <c r="F1065" s="63"/>
      <c r="G1065" s="63"/>
      <c r="H1065">
        <v>1</v>
      </c>
      <c r="I1065" s="64">
        <v>0</v>
      </c>
      <c r="J1065" s="31"/>
      <c r="K1065" s="31"/>
      <c r="L1065" s="31"/>
      <c r="M1065" s="31"/>
      <c r="N1065" s="4"/>
      <c r="AG1065" t="s">
        <v>1105</v>
      </c>
      <c r="AM1065" s="1">
        <f t="shared" si="13"/>
        <v>0</v>
      </c>
    </row>
    <row r="1066" spans="1:39" x14ac:dyDescent="0.35">
      <c r="A1066">
        <v>1062</v>
      </c>
      <c r="B1066">
        <v>1063</v>
      </c>
      <c r="F1066" s="63"/>
      <c r="G1066" s="63"/>
      <c r="H1066">
        <v>1</v>
      </c>
      <c r="I1066" s="64">
        <v>0</v>
      </c>
      <c r="J1066" s="31"/>
      <c r="K1066" s="31"/>
      <c r="L1066" s="31"/>
      <c r="M1066" s="31"/>
      <c r="N1066" s="4"/>
      <c r="AG1066" t="s">
        <v>1106</v>
      </c>
      <c r="AM1066" s="1">
        <f t="shared" si="13"/>
        <v>0</v>
      </c>
    </row>
    <row r="1067" spans="1:39" x14ac:dyDescent="0.35">
      <c r="A1067">
        <v>1063</v>
      </c>
      <c r="B1067">
        <v>1064</v>
      </c>
      <c r="F1067" s="63"/>
      <c r="G1067" s="63"/>
      <c r="H1067">
        <v>1</v>
      </c>
      <c r="I1067" s="64">
        <v>0</v>
      </c>
      <c r="J1067" s="31"/>
      <c r="K1067" s="31"/>
      <c r="L1067" s="31"/>
      <c r="M1067" s="31"/>
      <c r="N1067" s="4"/>
      <c r="AG1067" t="s">
        <v>1107</v>
      </c>
      <c r="AM1067" s="1">
        <f t="shared" si="13"/>
        <v>0</v>
      </c>
    </row>
    <row r="1068" spans="1:39" x14ac:dyDescent="0.35">
      <c r="A1068">
        <v>1064</v>
      </c>
      <c r="B1068">
        <v>1065</v>
      </c>
      <c r="F1068" s="63"/>
      <c r="G1068" s="63"/>
      <c r="H1068">
        <v>1</v>
      </c>
      <c r="I1068" s="64">
        <v>0</v>
      </c>
      <c r="J1068" s="31"/>
      <c r="K1068" s="31"/>
      <c r="L1068" s="31"/>
      <c r="M1068" s="31"/>
      <c r="N1068" s="4"/>
      <c r="AG1068" t="s">
        <v>1108</v>
      </c>
      <c r="AM1068" s="1">
        <f t="shared" si="13"/>
        <v>0</v>
      </c>
    </row>
    <row r="1069" spans="1:39" x14ac:dyDescent="0.35">
      <c r="A1069">
        <v>1065</v>
      </c>
      <c r="B1069">
        <v>1066</v>
      </c>
      <c r="F1069" s="63"/>
      <c r="G1069" s="63"/>
      <c r="H1069">
        <v>1</v>
      </c>
      <c r="I1069" s="64">
        <v>0</v>
      </c>
      <c r="J1069" s="31"/>
      <c r="K1069" s="31"/>
      <c r="L1069" s="31"/>
      <c r="M1069" s="31"/>
      <c r="N1069" s="4"/>
      <c r="AG1069" t="s">
        <v>1109</v>
      </c>
      <c r="AM1069" s="1">
        <f t="shared" si="13"/>
        <v>0</v>
      </c>
    </row>
    <row r="1070" spans="1:39" x14ac:dyDescent="0.35">
      <c r="A1070">
        <v>1066</v>
      </c>
      <c r="B1070">
        <v>1067</v>
      </c>
      <c r="F1070" s="63"/>
      <c r="G1070" s="63"/>
      <c r="H1070">
        <v>1</v>
      </c>
      <c r="I1070" s="64">
        <v>0</v>
      </c>
      <c r="J1070" s="31"/>
      <c r="K1070" s="31"/>
      <c r="L1070" s="31"/>
      <c r="M1070" s="31"/>
      <c r="N1070" s="4"/>
      <c r="AG1070" t="s">
        <v>1110</v>
      </c>
      <c r="AM1070" s="1">
        <f t="shared" si="13"/>
        <v>0</v>
      </c>
    </row>
    <row r="1071" spans="1:39" x14ac:dyDescent="0.35">
      <c r="A1071">
        <v>1067</v>
      </c>
      <c r="B1071">
        <v>1068</v>
      </c>
      <c r="F1071" s="63"/>
      <c r="G1071" s="63"/>
      <c r="H1071">
        <v>1</v>
      </c>
      <c r="I1071" s="64">
        <v>0</v>
      </c>
      <c r="J1071" s="31"/>
      <c r="K1071" s="31"/>
      <c r="L1071" s="31"/>
      <c r="M1071" s="31"/>
      <c r="N1071" s="4"/>
      <c r="AG1071" t="s">
        <v>1111</v>
      </c>
      <c r="AM1071" s="1">
        <f t="shared" si="13"/>
        <v>0</v>
      </c>
    </row>
    <row r="1072" spans="1:39" x14ac:dyDescent="0.35">
      <c r="A1072">
        <v>1068</v>
      </c>
      <c r="B1072">
        <v>1069</v>
      </c>
      <c r="F1072" s="63"/>
      <c r="G1072" s="63"/>
      <c r="H1072">
        <v>1</v>
      </c>
      <c r="I1072" s="64">
        <v>0</v>
      </c>
      <c r="J1072" s="31"/>
      <c r="K1072" s="31"/>
      <c r="L1072" s="31"/>
      <c r="M1072" s="31"/>
      <c r="N1072" s="4"/>
      <c r="AG1072" t="s">
        <v>1112</v>
      </c>
      <c r="AM1072" s="1">
        <f t="shared" si="13"/>
        <v>0</v>
      </c>
    </row>
    <row r="1073" spans="1:39" x14ac:dyDescent="0.35">
      <c r="A1073">
        <v>1069</v>
      </c>
      <c r="B1073">
        <v>1070</v>
      </c>
      <c r="F1073" s="63"/>
      <c r="G1073" s="63"/>
      <c r="H1073">
        <v>1</v>
      </c>
      <c r="I1073" s="64">
        <v>0</v>
      </c>
      <c r="J1073" s="31"/>
      <c r="K1073" s="31"/>
      <c r="L1073" s="31"/>
      <c r="M1073" s="31"/>
      <c r="N1073" s="4"/>
      <c r="AG1073" t="s">
        <v>1113</v>
      </c>
      <c r="AM1073" s="1">
        <f t="shared" si="13"/>
        <v>0</v>
      </c>
    </row>
    <row r="1074" spans="1:39" x14ac:dyDescent="0.35">
      <c r="A1074">
        <v>1070</v>
      </c>
      <c r="B1074">
        <v>1071</v>
      </c>
      <c r="F1074" s="63"/>
      <c r="G1074" s="63"/>
      <c r="H1074">
        <v>1</v>
      </c>
      <c r="I1074" s="64">
        <v>0</v>
      </c>
      <c r="J1074" s="31"/>
      <c r="K1074" s="31"/>
      <c r="L1074" s="31"/>
      <c r="M1074" s="31"/>
      <c r="N1074" s="4"/>
      <c r="AG1074" t="s">
        <v>1114</v>
      </c>
      <c r="AM1074" s="1">
        <f t="shared" si="13"/>
        <v>0</v>
      </c>
    </row>
    <row r="1075" spans="1:39" x14ac:dyDescent="0.35">
      <c r="A1075">
        <v>1071</v>
      </c>
      <c r="B1075">
        <v>1072</v>
      </c>
      <c r="F1075" s="63"/>
      <c r="G1075" s="63"/>
      <c r="H1075">
        <v>1</v>
      </c>
      <c r="I1075" s="64">
        <v>0</v>
      </c>
      <c r="J1075" s="31"/>
      <c r="K1075" s="31"/>
      <c r="L1075" s="31"/>
      <c r="M1075" s="31"/>
      <c r="N1075" s="4"/>
      <c r="AG1075" t="s">
        <v>1115</v>
      </c>
      <c r="AM1075" s="1">
        <f t="shared" si="13"/>
        <v>0</v>
      </c>
    </row>
    <row r="1076" spans="1:39" x14ac:dyDescent="0.35">
      <c r="A1076">
        <v>1072</v>
      </c>
      <c r="B1076">
        <v>1073</v>
      </c>
      <c r="F1076" s="63"/>
      <c r="G1076" s="63"/>
      <c r="H1076">
        <v>1</v>
      </c>
      <c r="I1076" s="64">
        <v>0</v>
      </c>
      <c r="J1076" s="31"/>
      <c r="K1076" s="31"/>
      <c r="L1076" s="31"/>
      <c r="M1076" s="31"/>
      <c r="N1076" s="4"/>
      <c r="AG1076" t="s">
        <v>1116</v>
      </c>
      <c r="AM1076" s="1">
        <f t="shared" si="13"/>
        <v>0</v>
      </c>
    </row>
    <row r="1077" spans="1:39" x14ac:dyDescent="0.35">
      <c r="A1077">
        <v>1073</v>
      </c>
      <c r="B1077">
        <v>1074</v>
      </c>
      <c r="F1077" s="63"/>
      <c r="G1077" s="63"/>
      <c r="H1077">
        <v>1</v>
      </c>
      <c r="I1077" s="64">
        <v>0</v>
      </c>
      <c r="J1077" s="31"/>
      <c r="K1077" s="31"/>
      <c r="L1077" s="31"/>
      <c r="M1077" s="31"/>
      <c r="N1077" s="4"/>
      <c r="AG1077" t="s">
        <v>1117</v>
      </c>
      <c r="AM1077" s="1">
        <f t="shared" si="13"/>
        <v>0</v>
      </c>
    </row>
    <row r="1078" spans="1:39" x14ac:dyDescent="0.35">
      <c r="A1078">
        <v>1074</v>
      </c>
      <c r="B1078">
        <v>1075</v>
      </c>
      <c r="F1078" s="63"/>
      <c r="G1078" s="63"/>
      <c r="H1078">
        <v>1</v>
      </c>
      <c r="I1078" s="64">
        <v>0</v>
      </c>
      <c r="J1078" s="31"/>
      <c r="K1078" s="31"/>
      <c r="L1078" s="31"/>
      <c r="M1078" s="31"/>
      <c r="N1078" s="4"/>
      <c r="AG1078" t="s">
        <v>1118</v>
      </c>
      <c r="AM1078" s="1">
        <f t="shared" si="13"/>
        <v>0</v>
      </c>
    </row>
    <row r="1079" spans="1:39" x14ac:dyDescent="0.35">
      <c r="A1079">
        <v>1075</v>
      </c>
      <c r="B1079">
        <v>1076</v>
      </c>
      <c r="F1079" s="63"/>
      <c r="G1079" s="63"/>
      <c r="H1079">
        <v>1</v>
      </c>
      <c r="I1079" s="64">
        <v>0</v>
      </c>
      <c r="J1079" s="31"/>
      <c r="K1079" s="31"/>
      <c r="L1079" s="31"/>
      <c r="M1079" s="31"/>
      <c r="N1079" s="4"/>
      <c r="AG1079" t="s">
        <v>1119</v>
      </c>
      <c r="AM1079" s="1">
        <f t="shared" ref="AM1079:AM1142" si="14">HYPERLINK("E:\CAFNEC_GBRF\2023\JohnstoneRiver\Frames_for_Analysis\" &amp; F1080, F1080)</f>
        <v>0</v>
      </c>
    </row>
    <row r="1080" spans="1:39" x14ac:dyDescent="0.35">
      <c r="A1080">
        <v>1076</v>
      </c>
      <c r="B1080">
        <v>1077</v>
      </c>
      <c r="F1080" s="63"/>
      <c r="G1080" s="63"/>
      <c r="H1080">
        <v>1</v>
      </c>
      <c r="I1080" s="64">
        <v>0</v>
      </c>
      <c r="J1080" s="31"/>
      <c r="K1080" s="31"/>
      <c r="L1080" s="31"/>
      <c r="M1080" s="31"/>
      <c r="N1080" s="4"/>
      <c r="AG1080" t="s">
        <v>1120</v>
      </c>
      <c r="AM1080" s="1">
        <f t="shared" si="14"/>
        <v>0</v>
      </c>
    </row>
    <row r="1081" spans="1:39" x14ac:dyDescent="0.35">
      <c r="A1081">
        <v>1077</v>
      </c>
      <c r="B1081">
        <v>1078</v>
      </c>
      <c r="F1081" s="63"/>
      <c r="G1081" s="63"/>
      <c r="H1081">
        <v>1</v>
      </c>
      <c r="I1081" s="64">
        <v>0</v>
      </c>
      <c r="J1081" s="31"/>
      <c r="K1081" s="31"/>
      <c r="L1081" s="31"/>
      <c r="M1081" s="31"/>
      <c r="N1081" s="4"/>
      <c r="AG1081" t="s">
        <v>1121</v>
      </c>
      <c r="AM1081" s="1">
        <f t="shared" si="14"/>
        <v>0</v>
      </c>
    </row>
    <row r="1082" spans="1:39" x14ac:dyDescent="0.35">
      <c r="A1082">
        <v>1078</v>
      </c>
      <c r="B1082">
        <v>1079</v>
      </c>
      <c r="F1082" s="63"/>
      <c r="G1082" s="63"/>
      <c r="H1082">
        <v>1</v>
      </c>
      <c r="I1082" s="64">
        <v>0</v>
      </c>
      <c r="J1082" s="31"/>
      <c r="K1082" s="31"/>
      <c r="L1082" s="31"/>
      <c r="M1082" s="31"/>
      <c r="N1082" s="4"/>
      <c r="AG1082" t="s">
        <v>1122</v>
      </c>
      <c r="AM1082" s="1">
        <f t="shared" si="14"/>
        <v>0</v>
      </c>
    </row>
    <row r="1083" spans="1:39" x14ac:dyDescent="0.35">
      <c r="A1083">
        <v>1079</v>
      </c>
      <c r="B1083">
        <v>1080</v>
      </c>
      <c r="F1083" s="63"/>
      <c r="G1083" s="63"/>
      <c r="H1083">
        <v>1</v>
      </c>
      <c r="I1083" s="64">
        <v>0</v>
      </c>
      <c r="J1083" s="31"/>
      <c r="K1083" s="31"/>
      <c r="L1083" s="31"/>
      <c r="M1083" s="31"/>
      <c r="N1083" s="4"/>
      <c r="AG1083" t="s">
        <v>1123</v>
      </c>
      <c r="AM1083" s="1">
        <f t="shared" si="14"/>
        <v>0</v>
      </c>
    </row>
    <row r="1084" spans="1:39" x14ac:dyDescent="0.35">
      <c r="A1084">
        <v>1080</v>
      </c>
      <c r="B1084">
        <v>1081</v>
      </c>
      <c r="F1084" s="63"/>
      <c r="G1084" s="63"/>
      <c r="H1084">
        <v>1</v>
      </c>
      <c r="I1084" s="64">
        <v>0</v>
      </c>
      <c r="J1084" s="31"/>
      <c r="K1084" s="31"/>
      <c r="L1084" s="31"/>
      <c r="M1084" s="31"/>
      <c r="N1084" s="4"/>
      <c r="AG1084" t="s">
        <v>1124</v>
      </c>
      <c r="AM1084" s="1">
        <f t="shared" si="14"/>
        <v>0</v>
      </c>
    </row>
    <row r="1085" spans="1:39" x14ac:dyDescent="0.35">
      <c r="A1085">
        <v>1081</v>
      </c>
      <c r="B1085">
        <v>1082</v>
      </c>
      <c r="F1085" s="63"/>
      <c r="G1085" s="63"/>
      <c r="H1085">
        <v>1</v>
      </c>
      <c r="I1085" s="64">
        <v>0</v>
      </c>
      <c r="J1085" s="31"/>
      <c r="K1085" s="31"/>
      <c r="L1085" s="31"/>
      <c r="M1085" s="31"/>
      <c r="N1085" s="4"/>
      <c r="AG1085" t="s">
        <v>1125</v>
      </c>
      <c r="AM1085" s="1">
        <f t="shared" si="14"/>
        <v>0</v>
      </c>
    </row>
    <row r="1086" spans="1:39" x14ac:dyDescent="0.35">
      <c r="A1086">
        <v>1082</v>
      </c>
      <c r="B1086">
        <v>1083</v>
      </c>
      <c r="F1086" s="63"/>
      <c r="G1086" s="63"/>
      <c r="H1086">
        <v>1</v>
      </c>
      <c r="I1086" s="64">
        <v>0</v>
      </c>
      <c r="J1086" s="31"/>
      <c r="K1086" s="31"/>
      <c r="L1086" s="31"/>
      <c r="M1086" s="31"/>
      <c r="N1086" s="4"/>
      <c r="AG1086" t="s">
        <v>1126</v>
      </c>
      <c r="AM1086" s="1">
        <f t="shared" si="14"/>
        <v>0</v>
      </c>
    </row>
    <row r="1087" spans="1:39" x14ac:dyDescent="0.35">
      <c r="A1087">
        <v>1083</v>
      </c>
      <c r="B1087">
        <v>1084</v>
      </c>
      <c r="F1087" s="63"/>
      <c r="G1087" s="63"/>
      <c r="H1087">
        <v>1</v>
      </c>
      <c r="I1087" s="64">
        <v>0</v>
      </c>
      <c r="J1087" s="31"/>
      <c r="K1087" s="31"/>
      <c r="L1087" s="31"/>
      <c r="M1087" s="31"/>
      <c r="N1087" s="4"/>
      <c r="AG1087" t="s">
        <v>1127</v>
      </c>
      <c r="AM1087" s="1">
        <f t="shared" si="14"/>
        <v>0</v>
      </c>
    </row>
    <row r="1088" spans="1:39" x14ac:dyDescent="0.35">
      <c r="A1088">
        <v>1084</v>
      </c>
      <c r="B1088">
        <v>1085</v>
      </c>
      <c r="F1088" s="63"/>
      <c r="G1088" s="63"/>
      <c r="H1088">
        <v>1</v>
      </c>
      <c r="I1088" s="64">
        <v>0</v>
      </c>
      <c r="J1088" s="31"/>
      <c r="K1088" s="31"/>
      <c r="L1088" s="31"/>
      <c r="M1088" s="31"/>
      <c r="N1088" s="4"/>
      <c r="AG1088" t="s">
        <v>1128</v>
      </c>
      <c r="AM1088" s="1">
        <f t="shared" si="14"/>
        <v>0</v>
      </c>
    </row>
    <row r="1089" spans="1:39" x14ac:dyDescent="0.35">
      <c r="A1089">
        <v>1085</v>
      </c>
      <c r="B1089">
        <v>1086</v>
      </c>
      <c r="F1089" s="63"/>
      <c r="G1089" s="63"/>
      <c r="H1089">
        <v>1</v>
      </c>
      <c r="I1089" s="64">
        <v>0</v>
      </c>
      <c r="J1089" s="31"/>
      <c r="K1089" s="31"/>
      <c r="L1089" s="31"/>
      <c r="M1089" s="31"/>
      <c r="N1089" s="4"/>
      <c r="AG1089" t="s">
        <v>1129</v>
      </c>
      <c r="AM1089" s="1">
        <f t="shared" si="14"/>
        <v>0</v>
      </c>
    </row>
    <row r="1090" spans="1:39" x14ac:dyDescent="0.35">
      <c r="A1090">
        <v>1086</v>
      </c>
      <c r="B1090">
        <v>1087</v>
      </c>
      <c r="F1090" s="63"/>
      <c r="G1090" s="63"/>
      <c r="H1090">
        <v>1</v>
      </c>
      <c r="I1090" s="64">
        <v>0</v>
      </c>
      <c r="J1090" s="31"/>
      <c r="K1090" s="31"/>
      <c r="L1090" s="31"/>
      <c r="M1090" s="31"/>
      <c r="N1090" s="4"/>
      <c r="AG1090" t="s">
        <v>1130</v>
      </c>
      <c r="AM1090" s="1">
        <f t="shared" si="14"/>
        <v>0</v>
      </c>
    </row>
    <row r="1091" spans="1:39" x14ac:dyDescent="0.35">
      <c r="A1091">
        <v>1087</v>
      </c>
      <c r="B1091">
        <v>1088</v>
      </c>
      <c r="F1091" s="63"/>
      <c r="G1091" s="63"/>
      <c r="H1091">
        <v>1</v>
      </c>
      <c r="I1091" s="64">
        <v>0</v>
      </c>
      <c r="J1091" s="31"/>
      <c r="K1091" s="31"/>
      <c r="L1091" s="31"/>
      <c r="M1091" s="31"/>
      <c r="N1091" s="4"/>
      <c r="AG1091" t="s">
        <v>1131</v>
      </c>
      <c r="AM1091" s="1">
        <f t="shared" si="14"/>
        <v>0</v>
      </c>
    </row>
    <row r="1092" spans="1:39" x14ac:dyDescent="0.35">
      <c r="A1092">
        <v>1088</v>
      </c>
      <c r="B1092">
        <v>1089</v>
      </c>
      <c r="F1092" s="63"/>
      <c r="G1092" s="63"/>
      <c r="H1092">
        <v>1</v>
      </c>
      <c r="I1092" s="64">
        <v>0</v>
      </c>
      <c r="J1092" s="31"/>
      <c r="K1092" s="31"/>
      <c r="L1092" s="31"/>
      <c r="M1092" s="31"/>
      <c r="N1092" s="4"/>
      <c r="AG1092" t="s">
        <v>1132</v>
      </c>
      <c r="AM1092" s="1">
        <f t="shared" si="14"/>
        <v>0</v>
      </c>
    </row>
    <row r="1093" spans="1:39" x14ac:dyDescent="0.35">
      <c r="A1093">
        <v>1089</v>
      </c>
      <c r="B1093">
        <v>1090</v>
      </c>
      <c r="F1093" s="63"/>
      <c r="G1093" s="63"/>
      <c r="H1093">
        <v>1</v>
      </c>
      <c r="I1093" s="64">
        <v>0</v>
      </c>
      <c r="J1093" s="31"/>
      <c r="K1093" s="31"/>
      <c r="L1093" s="31"/>
      <c r="M1093" s="31"/>
      <c r="N1093" s="4"/>
      <c r="AG1093" t="s">
        <v>1133</v>
      </c>
      <c r="AM1093" s="1">
        <f t="shared" si="14"/>
        <v>0</v>
      </c>
    </row>
    <row r="1094" spans="1:39" x14ac:dyDescent="0.35">
      <c r="A1094">
        <v>1090</v>
      </c>
      <c r="B1094">
        <v>1091</v>
      </c>
      <c r="F1094" s="63"/>
      <c r="G1094" s="63"/>
      <c r="H1094">
        <v>1</v>
      </c>
      <c r="I1094" s="64">
        <v>0</v>
      </c>
      <c r="J1094" s="31"/>
      <c r="K1094" s="31"/>
      <c r="L1094" s="31"/>
      <c r="M1094" s="31"/>
      <c r="N1094" s="4"/>
      <c r="AG1094" t="s">
        <v>1134</v>
      </c>
      <c r="AM1094" s="1">
        <f t="shared" si="14"/>
        <v>0</v>
      </c>
    </row>
    <row r="1095" spans="1:39" x14ac:dyDescent="0.35">
      <c r="A1095">
        <v>1091</v>
      </c>
      <c r="B1095">
        <v>1092</v>
      </c>
      <c r="F1095" s="63"/>
      <c r="G1095" s="63"/>
      <c r="H1095">
        <v>1</v>
      </c>
      <c r="I1095" s="64">
        <v>0</v>
      </c>
      <c r="J1095" s="31"/>
      <c r="K1095" s="31"/>
      <c r="L1095" s="31"/>
      <c r="M1095" s="31"/>
      <c r="N1095" s="4"/>
      <c r="AG1095" t="s">
        <v>1135</v>
      </c>
      <c r="AM1095" s="1">
        <f t="shared" si="14"/>
        <v>0</v>
      </c>
    </row>
    <row r="1096" spans="1:39" x14ac:dyDescent="0.35">
      <c r="A1096">
        <v>1092</v>
      </c>
      <c r="B1096">
        <v>1093</v>
      </c>
      <c r="F1096" s="63"/>
      <c r="G1096" s="63"/>
      <c r="H1096">
        <v>1</v>
      </c>
      <c r="I1096" s="64">
        <v>0</v>
      </c>
      <c r="J1096" s="31"/>
      <c r="K1096" s="31"/>
      <c r="L1096" s="31"/>
      <c r="M1096" s="31"/>
      <c r="N1096" s="4"/>
      <c r="AG1096" t="s">
        <v>1136</v>
      </c>
      <c r="AM1096" s="1">
        <f t="shared" si="14"/>
        <v>0</v>
      </c>
    </row>
    <row r="1097" spans="1:39" x14ac:dyDescent="0.35">
      <c r="A1097">
        <v>1093</v>
      </c>
      <c r="B1097">
        <v>1094</v>
      </c>
      <c r="F1097" s="63"/>
      <c r="G1097" s="63"/>
      <c r="H1097">
        <v>1</v>
      </c>
      <c r="I1097" s="64">
        <v>0</v>
      </c>
      <c r="J1097" s="31"/>
      <c r="K1097" s="31"/>
      <c r="L1097" s="31"/>
      <c r="M1097" s="31"/>
      <c r="N1097" s="4"/>
      <c r="AG1097" t="s">
        <v>1137</v>
      </c>
      <c r="AM1097" s="1">
        <f t="shared" si="14"/>
        <v>0</v>
      </c>
    </row>
    <row r="1098" spans="1:39" x14ac:dyDescent="0.35">
      <c r="A1098">
        <v>1094</v>
      </c>
      <c r="B1098">
        <v>1095</v>
      </c>
      <c r="F1098" s="63"/>
      <c r="G1098" s="63"/>
      <c r="H1098">
        <v>1</v>
      </c>
      <c r="I1098" s="64">
        <v>0</v>
      </c>
      <c r="J1098" s="31"/>
      <c r="K1098" s="31"/>
      <c r="L1098" s="31"/>
      <c r="M1098" s="31"/>
      <c r="N1098" s="4"/>
      <c r="AG1098" t="s">
        <v>1138</v>
      </c>
      <c r="AM1098" s="1">
        <f t="shared" si="14"/>
        <v>0</v>
      </c>
    </row>
    <row r="1099" spans="1:39" x14ac:dyDescent="0.35">
      <c r="A1099">
        <v>1095</v>
      </c>
      <c r="B1099">
        <v>1096</v>
      </c>
      <c r="F1099" s="63"/>
      <c r="G1099" s="63"/>
      <c r="H1099">
        <v>1</v>
      </c>
      <c r="I1099" s="64">
        <v>0</v>
      </c>
      <c r="J1099" s="31"/>
      <c r="K1099" s="31"/>
      <c r="L1099" s="31"/>
      <c r="M1099" s="31"/>
      <c r="N1099" s="4"/>
      <c r="AG1099" t="s">
        <v>1139</v>
      </c>
      <c r="AM1099" s="1">
        <f t="shared" si="14"/>
        <v>0</v>
      </c>
    </row>
    <row r="1100" spans="1:39" x14ac:dyDescent="0.35">
      <c r="A1100">
        <v>1096</v>
      </c>
      <c r="B1100">
        <v>1097</v>
      </c>
      <c r="F1100" s="63"/>
      <c r="G1100" s="63"/>
      <c r="H1100">
        <v>1</v>
      </c>
      <c r="I1100" s="64">
        <v>0</v>
      </c>
      <c r="J1100" s="31"/>
      <c r="K1100" s="31"/>
      <c r="L1100" s="31"/>
      <c r="M1100" s="31"/>
      <c r="N1100" s="4"/>
      <c r="AG1100" t="s">
        <v>1140</v>
      </c>
      <c r="AM1100" s="1">
        <f t="shared" si="14"/>
        <v>0</v>
      </c>
    </row>
    <row r="1101" spans="1:39" x14ac:dyDescent="0.35">
      <c r="A1101">
        <v>1097</v>
      </c>
      <c r="B1101">
        <v>1098</v>
      </c>
      <c r="F1101" s="63"/>
      <c r="G1101" s="63"/>
      <c r="H1101">
        <v>1</v>
      </c>
      <c r="I1101" s="64">
        <v>0</v>
      </c>
      <c r="J1101" s="31"/>
      <c r="K1101" s="31"/>
      <c r="L1101" s="31"/>
      <c r="M1101" s="31"/>
      <c r="N1101" s="4"/>
      <c r="AG1101" t="s">
        <v>1141</v>
      </c>
      <c r="AM1101" s="1">
        <f t="shared" si="14"/>
        <v>0</v>
      </c>
    </row>
    <row r="1102" spans="1:39" x14ac:dyDescent="0.35">
      <c r="A1102">
        <v>1098</v>
      </c>
      <c r="B1102">
        <v>1099</v>
      </c>
      <c r="F1102" s="63"/>
      <c r="G1102" s="63"/>
      <c r="H1102">
        <v>1</v>
      </c>
      <c r="I1102" s="64">
        <v>0</v>
      </c>
      <c r="J1102" s="31"/>
      <c r="K1102" s="31"/>
      <c r="L1102" s="31"/>
      <c r="M1102" s="31"/>
      <c r="N1102" s="4"/>
      <c r="AG1102" t="s">
        <v>1142</v>
      </c>
      <c r="AM1102" s="1">
        <f t="shared" si="14"/>
        <v>0</v>
      </c>
    </row>
    <row r="1103" spans="1:39" x14ac:dyDescent="0.35">
      <c r="A1103">
        <v>1099</v>
      </c>
      <c r="B1103">
        <v>1100</v>
      </c>
      <c r="F1103" s="63"/>
      <c r="G1103" s="63"/>
      <c r="H1103">
        <v>1</v>
      </c>
      <c r="I1103" s="64">
        <v>0</v>
      </c>
      <c r="J1103" s="31"/>
      <c r="K1103" s="31"/>
      <c r="L1103" s="31"/>
      <c r="M1103" s="31"/>
      <c r="N1103" s="4"/>
      <c r="AG1103" t="s">
        <v>1143</v>
      </c>
      <c r="AM1103" s="1">
        <f t="shared" si="14"/>
        <v>0</v>
      </c>
    </row>
    <row r="1104" spans="1:39" x14ac:dyDescent="0.35">
      <c r="A1104">
        <v>1100</v>
      </c>
      <c r="B1104">
        <v>1101</v>
      </c>
      <c r="F1104" s="63"/>
      <c r="G1104" s="63"/>
      <c r="H1104">
        <v>1</v>
      </c>
      <c r="I1104" s="64">
        <v>0</v>
      </c>
      <c r="J1104" s="31"/>
      <c r="K1104" s="31"/>
      <c r="L1104" s="31"/>
      <c r="M1104" s="31"/>
      <c r="N1104" s="4"/>
      <c r="AG1104" t="s">
        <v>1144</v>
      </c>
      <c r="AM1104" s="1">
        <f t="shared" si="14"/>
        <v>0</v>
      </c>
    </row>
    <row r="1105" spans="1:39" x14ac:dyDescent="0.35">
      <c r="A1105">
        <v>1101</v>
      </c>
      <c r="B1105">
        <v>1102</v>
      </c>
      <c r="F1105" s="63"/>
      <c r="G1105" s="63"/>
      <c r="H1105">
        <v>1</v>
      </c>
      <c r="I1105" s="64">
        <v>0</v>
      </c>
      <c r="J1105" s="31"/>
      <c r="K1105" s="31"/>
      <c r="L1105" s="31"/>
      <c r="M1105" s="31"/>
      <c r="N1105" s="4"/>
      <c r="AG1105" t="s">
        <v>1145</v>
      </c>
      <c r="AM1105" s="1">
        <f t="shared" si="14"/>
        <v>0</v>
      </c>
    </row>
    <row r="1106" spans="1:39" x14ac:dyDescent="0.35">
      <c r="A1106">
        <v>1102</v>
      </c>
      <c r="B1106">
        <v>1103</v>
      </c>
      <c r="F1106" s="63"/>
      <c r="G1106" s="63"/>
      <c r="H1106">
        <v>1</v>
      </c>
      <c r="I1106" s="64">
        <v>0</v>
      </c>
      <c r="J1106" s="31"/>
      <c r="K1106" s="31"/>
      <c r="L1106" s="31"/>
      <c r="M1106" s="31"/>
      <c r="N1106" s="4"/>
      <c r="AG1106" t="s">
        <v>1146</v>
      </c>
      <c r="AM1106" s="1">
        <f t="shared" si="14"/>
        <v>0</v>
      </c>
    </row>
    <row r="1107" spans="1:39" x14ac:dyDescent="0.35">
      <c r="A1107">
        <v>1103</v>
      </c>
      <c r="B1107">
        <v>1104</v>
      </c>
      <c r="F1107" s="63"/>
      <c r="G1107" s="63"/>
      <c r="H1107">
        <v>1</v>
      </c>
      <c r="I1107" s="64">
        <v>0</v>
      </c>
      <c r="J1107" s="31"/>
      <c r="K1107" s="31"/>
      <c r="L1107" s="31"/>
      <c r="M1107" s="31"/>
      <c r="N1107" s="4"/>
      <c r="AG1107" t="s">
        <v>1147</v>
      </c>
      <c r="AM1107" s="1">
        <f t="shared" si="14"/>
        <v>0</v>
      </c>
    </row>
    <row r="1108" spans="1:39" x14ac:dyDescent="0.35">
      <c r="A1108">
        <v>1104</v>
      </c>
      <c r="B1108">
        <v>1105</v>
      </c>
      <c r="F1108" s="63"/>
      <c r="G1108" s="63"/>
      <c r="H1108">
        <v>1</v>
      </c>
      <c r="I1108" s="64">
        <v>0</v>
      </c>
      <c r="J1108" s="31"/>
      <c r="K1108" s="31"/>
      <c r="L1108" s="31"/>
      <c r="M1108" s="31"/>
      <c r="N1108" s="4"/>
      <c r="AG1108" t="s">
        <v>1148</v>
      </c>
      <c r="AM1108" s="1">
        <f t="shared" si="14"/>
        <v>0</v>
      </c>
    </row>
    <row r="1109" spans="1:39" x14ac:dyDescent="0.35">
      <c r="A1109">
        <v>1105</v>
      </c>
      <c r="B1109">
        <v>1106</v>
      </c>
      <c r="F1109" s="63"/>
      <c r="G1109" s="63"/>
      <c r="H1109">
        <v>1</v>
      </c>
      <c r="I1109" s="64">
        <v>0</v>
      </c>
      <c r="J1109" s="31"/>
      <c r="K1109" s="31"/>
      <c r="L1109" s="31"/>
      <c r="M1109" s="31"/>
      <c r="N1109" s="4"/>
      <c r="AG1109" t="s">
        <v>1149</v>
      </c>
      <c r="AM1109" s="1">
        <f t="shared" si="14"/>
        <v>0</v>
      </c>
    </row>
    <row r="1110" spans="1:39" x14ac:dyDescent="0.35">
      <c r="A1110">
        <v>1106</v>
      </c>
      <c r="B1110">
        <v>1107</v>
      </c>
      <c r="F1110" s="63"/>
      <c r="G1110" s="63"/>
      <c r="H1110">
        <v>1</v>
      </c>
      <c r="I1110" s="64">
        <v>0</v>
      </c>
      <c r="J1110" s="31"/>
      <c r="K1110" s="31"/>
      <c r="L1110" s="31"/>
      <c r="M1110" s="31"/>
      <c r="N1110" s="4"/>
      <c r="AG1110" t="s">
        <v>1150</v>
      </c>
      <c r="AM1110" s="1">
        <f t="shared" si="14"/>
        <v>0</v>
      </c>
    </row>
    <row r="1111" spans="1:39" x14ac:dyDescent="0.35">
      <c r="A1111">
        <v>1107</v>
      </c>
      <c r="B1111">
        <v>1108</v>
      </c>
      <c r="F1111" s="63"/>
      <c r="G1111" s="63"/>
      <c r="H1111">
        <v>1</v>
      </c>
      <c r="I1111" s="64">
        <v>0</v>
      </c>
      <c r="J1111" s="31"/>
      <c r="K1111" s="31"/>
      <c r="L1111" s="31"/>
      <c r="M1111" s="31"/>
      <c r="N1111" s="4"/>
      <c r="AG1111" t="s">
        <v>1151</v>
      </c>
      <c r="AM1111" s="1">
        <f t="shared" si="14"/>
        <v>0</v>
      </c>
    </row>
    <row r="1112" spans="1:39" x14ac:dyDescent="0.35">
      <c r="A1112">
        <v>1108</v>
      </c>
      <c r="B1112">
        <v>1109</v>
      </c>
      <c r="F1112" s="63"/>
      <c r="G1112" s="63"/>
      <c r="H1112">
        <v>1</v>
      </c>
      <c r="I1112" s="64">
        <v>0</v>
      </c>
      <c r="J1112" s="31"/>
      <c r="K1112" s="31"/>
      <c r="L1112" s="31"/>
      <c r="M1112" s="31"/>
      <c r="N1112" s="4"/>
      <c r="AG1112" t="s">
        <v>1152</v>
      </c>
      <c r="AM1112" s="1">
        <f t="shared" si="14"/>
        <v>0</v>
      </c>
    </row>
    <row r="1113" spans="1:39" x14ac:dyDescent="0.35">
      <c r="A1113">
        <v>1109</v>
      </c>
      <c r="B1113">
        <v>1110</v>
      </c>
      <c r="F1113" s="63"/>
      <c r="G1113" s="63"/>
      <c r="H1113">
        <v>1</v>
      </c>
      <c r="I1113" s="64">
        <v>0</v>
      </c>
      <c r="J1113" s="31"/>
      <c r="K1113" s="31"/>
      <c r="L1113" s="31"/>
      <c r="M1113" s="31"/>
      <c r="N1113" s="4"/>
      <c r="AG1113" t="s">
        <v>1153</v>
      </c>
      <c r="AM1113" s="1">
        <f t="shared" si="14"/>
        <v>0</v>
      </c>
    </row>
    <row r="1114" spans="1:39" x14ac:dyDescent="0.35">
      <c r="A1114">
        <v>1110</v>
      </c>
      <c r="B1114">
        <v>1111</v>
      </c>
      <c r="F1114" s="63"/>
      <c r="G1114" s="63"/>
      <c r="H1114">
        <v>1</v>
      </c>
      <c r="I1114" s="64">
        <v>0</v>
      </c>
      <c r="J1114" s="31"/>
      <c r="K1114" s="31"/>
      <c r="L1114" s="31"/>
      <c r="M1114" s="31"/>
      <c r="N1114" s="4"/>
      <c r="AG1114" t="s">
        <v>1154</v>
      </c>
      <c r="AM1114" s="1">
        <f t="shared" si="14"/>
        <v>0</v>
      </c>
    </row>
    <row r="1115" spans="1:39" x14ac:dyDescent="0.35">
      <c r="A1115">
        <v>1111</v>
      </c>
      <c r="B1115">
        <v>1112</v>
      </c>
      <c r="F1115" s="63"/>
      <c r="G1115" s="63"/>
      <c r="H1115">
        <v>1</v>
      </c>
      <c r="I1115" s="64">
        <v>0</v>
      </c>
      <c r="J1115" s="31"/>
      <c r="K1115" s="31"/>
      <c r="L1115" s="31"/>
      <c r="M1115" s="31"/>
      <c r="N1115" s="4"/>
      <c r="AG1115" t="s">
        <v>1155</v>
      </c>
      <c r="AM1115" s="1">
        <f t="shared" si="14"/>
        <v>0</v>
      </c>
    </row>
    <row r="1116" spans="1:39" x14ac:dyDescent="0.35">
      <c r="A1116">
        <v>1112</v>
      </c>
      <c r="B1116">
        <v>1113</v>
      </c>
      <c r="F1116" s="63"/>
      <c r="G1116" s="63"/>
      <c r="H1116">
        <v>1</v>
      </c>
      <c r="I1116" s="64">
        <v>0</v>
      </c>
      <c r="J1116" s="31"/>
      <c r="K1116" s="31"/>
      <c r="L1116" s="31"/>
      <c r="M1116" s="31"/>
      <c r="N1116" s="4"/>
      <c r="AG1116" t="s">
        <v>1156</v>
      </c>
      <c r="AM1116" s="1">
        <f t="shared" si="14"/>
        <v>0</v>
      </c>
    </row>
    <row r="1117" spans="1:39" x14ac:dyDescent="0.35">
      <c r="A1117">
        <v>1113</v>
      </c>
      <c r="B1117">
        <v>1114</v>
      </c>
      <c r="F1117" s="63"/>
      <c r="G1117" s="63"/>
      <c r="H1117">
        <v>1</v>
      </c>
      <c r="I1117" s="64">
        <v>0</v>
      </c>
      <c r="J1117" s="31"/>
      <c r="K1117" s="31"/>
      <c r="L1117" s="31"/>
      <c r="M1117" s="31"/>
      <c r="N1117" s="4"/>
      <c r="AG1117" t="s">
        <v>1157</v>
      </c>
      <c r="AM1117" s="1">
        <f t="shared" si="14"/>
        <v>0</v>
      </c>
    </row>
    <row r="1118" spans="1:39" x14ac:dyDescent="0.35">
      <c r="A1118">
        <v>1114</v>
      </c>
      <c r="B1118">
        <v>1115</v>
      </c>
      <c r="F1118" s="63"/>
      <c r="G1118" s="63"/>
      <c r="H1118">
        <v>1</v>
      </c>
      <c r="I1118" s="64">
        <v>0</v>
      </c>
      <c r="J1118" s="31"/>
      <c r="K1118" s="31"/>
      <c r="L1118" s="31"/>
      <c r="M1118" s="31"/>
      <c r="N1118" s="4"/>
      <c r="AG1118" t="s">
        <v>1158</v>
      </c>
      <c r="AM1118" s="1">
        <f t="shared" si="14"/>
        <v>0</v>
      </c>
    </row>
    <row r="1119" spans="1:39" x14ac:dyDescent="0.35">
      <c r="A1119">
        <v>1115</v>
      </c>
      <c r="B1119">
        <v>1116</v>
      </c>
      <c r="F1119" s="63"/>
      <c r="G1119" s="63"/>
      <c r="H1119">
        <v>1</v>
      </c>
      <c r="I1119" s="64">
        <v>0</v>
      </c>
      <c r="J1119" s="31"/>
      <c r="K1119" s="31"/>
      <c r="L1119" s="31"/>
      <c r="M1119" s="31"/>
      <c r="N1119" s="4"/>
      <c r="AG1119" t="s">
        <v>1159</v>
      </c>
      <c r="AM1119" s="1">
        <f t="shared" si="14"/>
        <v>0</v>
      </c>
    </row>
    <row r="1120" spans="1:39" x14ac:dyDescent="0.35">
      <c r="A1120">
        <v>1116</v>
      </c>
      <c r="B1120">
        <v>1117</v>
      </c>
      <c r="F1120" s="63"/>
      <c r="G1120" s="63"/>
      <c r="H1120">
        <v>1</v>
      </c>
      <c r="I1120" s="64">
        <v>0</v>
      </c>
      <c r="J1120" s="31"/>
      <c r="K1120" s="31"/>
      <c r="L1120" s="31"/>
      <c r="M1120" s="31"/>
      <c r="N1120" s="4"/>
      <c r="AG1120" t="s">
        <v>1160</v>
      </c>
      <c r="AM1120" s="1">
        <f t="shared" si="14"/>
        <v>0</v>
      </c>
    </row>
    <row r="1121" spans="1:39" x14ac:dyDescent="0.35">
      <c r="A1121">
        <v>1117</v>
      </c>
      <c r="B1121">
        <v>1118</v>
      </c>
      <c r="F1121" s="63"/>
      <c r="G1121" s="63"/>
      <c r="H1121">
        <v>1</v>
      </c>
      <c r="I1121" s="64">
        <v>0</v>
      </c>
      <c r="J1121" s="31"/>
      <c r="K1121" s="31"/>
      <c r="L1121" s="31"/>
      <c r="M1121" s="31"/>
      <c r="N1121" s="4"/>
      <c r="AG1121" t="s">
        <v>1161</v>
      </c>
      <c r="AM1121" s="1">
        <f t="shared" si="14"/>
        <v>0</v>
      </c>
    </row>
    <row r="1122" spans="1:39" x14ac:dyDescent="0.35">
      <c r="A1122">
        <v>1118</v>
      </c>
      <c r="B1122">
        <v>1119</v>
      </c>
      <c r="F1122" s="63"/>
      <c r="G1122" s="63"/>
      <c r="H1122">
        <v>1</v>
      </c>
      <c r="I1122" s="64">
        <v>0</v>
      </c>
      <c r="J1122" s="31"/>
      <c r="K1122" s="31"/>
      <c r="L1122" s="31"/>
      <c r="M1122" s="31"/>
      <c r="N1122" s="4"/>
      <c r="AG1122" t="s">
        <v>1162</v>
      </c>
      <c r="AM1122" s="1">
        <f t="shared" si="14"/>
        <v>0</v>
      </c>
    </row>
    <row r="1123" spans="1:39" x14ac:dyDescent="0.35">
      <c r="A1123">
        <v>1119</v>
      </c>
      <c r="B1123">
        <v>1120</v>
      </c>
      <c r="F1123" s="63"/>
      <c r="G1123" s="63"/>
      <c r="H1123">
        <v>1</v>
      </c>
      <c r="I1123" s="64">
        <v>0</v>
      </c>
      <c r="J1123" s="31"/>
      <c r="K1123" s="31"/>
      <c r="L1123" s="31"/>
      <c r="M1123" s="31"/>
      <c r="N1123" s="4"/>
      <c r="AG1123" t="s">
        <v>1163</v>
      </c>
      <c r="AM1123" s="1">
        <f t="shared" si="14"/>
        <v>0</v>
      </c>
    </row>
    <row r="1124" spans="1:39" x14ac:dyDescent="0.35">
      <c r="A1124">
        <v>1120</v>
      </c>
      <c r="B1124">
        <v>1121</v>
      </c>
      <c r="F1124" s="63"/>
      <c r="G1124" s="63"/>
      <c r="H1124">
        <v>1</v>
      </c>
      <c r="I1124" s="64">
        <v>0</v>
      </c>
      <c r="J1124" s="31"/>
      <c r="K1124" s="31"/>
      <c r="L1124" s="31"/>
      <c r="M1124" s="31"/>
      <c r="N1124" s="4"/>
      <c r="AG1124" t="s">
        <v>1164</v>
      </c>
      <c r="AM1124" s="1">
        <f t="shared" si="14"/>
        <v>0</v>
      </c>
    </row>
    <row r="1125" spans="1:39" x14ac:dyDescent="0.35">
      <c r="A1125">
        <v>1121</v>
      </c>
      <c r="B1125">
        <v>1122</v>
      </c>
      <c r="F1125" s="63"/>
      <c r="G1125" s="63"/>
      <c r="H1125">
        <v>1</v>
      </c>
      <c r="I1125" s="64">
        <v>0</v>
      </c>
      <c r="J1125" s="31"/>
      <c r="K1125" s="31"/>
      <c r="L1125" s="31"/>
      <c r="M1125" s="31"/>
      <c r="N1125" s="4"/>
      <c r="AG1125" t="s">
        <v>1165</v>
      </c>
      <c r="AM1125" s="1">
        <f t="shared" si="14"/>
        <v>0</v>
      </c>
    </row>
    <row r="1126" spans="1:39" x14ac:dyDescent="0.35">
      <c r="A1126">
        <v>1122</v>
      </c>
      <c r="B1126">
        <v>1123</v>
      </c>
      <c r="F1126" s="63"/>
      <c r="G1126" s="63"/>
      <c r="H1126">
        <v>1</v>
      </c>
      <c r="I1126" s="64">
        <v>0</v>
      </c>
      <c r="J1126" s="31"/>
      <c r="K1126" s="31"/>
      <c r="L1126" s="31"/>
      <c r="M1126" s="31"/>
      <c r="N1126" s="4"/>
      <c r="AG1126" t="s">
        <v>1166</v>
      </c>
      <c r="AM1126" s="1">
        <f t="shared" si="14"/>
        <v>0</v>
      </c>
    </row>
    <row r="1127" spans="1:39" x14ac:dyDescent="0.35">
      <c r="A1127">
        <v>1123</v>
      </c>
      <c r="B1127">
        <v>1124</v>
      </c>
      <c r="F1127" s="63"/>
      <c r="G1127" s="63"/>
      <c r="H1127">
        <v>1</v>
      </c>
      <c r="I1127" s="64">
        <v>0</v>
      </c>
      <c r="J1127" s="31"/>
      <c r="K1127" s="31"/>
      <c r="L1127" s="31"/>
      <c r="M1127" s="31"/>
      <c r="N1127" s="4"/>
      <c r="AG1127" t="s">
        <v>1167</v>
      </c>
      <c r="AM1127" s="1">
        <f t="shared" si="14"/>
        <v>0</v>
      </c>
    </row>
    <row r="1128" spans="1:39" x14ac:dyDescent="0.35">
      <c r="A1128">
        <v>1124</v>
      </c>
      <c r="B1128">
        <v>1125</v>
      </c>
      <c r="F1128" s="63"/>
      <c r="G1128" s="63"/>
      <c r="H1128">
        <v>1</v>
      </c>
      <c r="I1128" s="64">
        <v>0</v>
      </c>
      <c r="J1128" s="31"/>
      <c r="K1128" s="31"/>
      <c r="L1128" s="31"/>
      <c r="M1128" s="31"/>
      <c r="N1128" s="4"/>
      <c r="AG1128" t="s">
        <v>1168</v>
      </c>
      <c r="AM1128" s="1">
        <f t="shared" si="14"/>
        <v>0</v>
      </c>
    </row>
    <row r="1129" spans="1:39" x14ac:dyDescent="0.35">
      <c r="A1129">
        <v>1125</v>
      </c>
      <c r="B1129">
        <v>1126</v>
      </c>
      <c r="F1129" s="63"/>
      <c r="G1129" s="63"/>
      <c r="H1129">
        <v>1</v>
      </c>
      <c r="I1129" s="64">
        <v>0</v>
      </c>
      <c r="J1129" s="31"/>
      <c r="K1129" s="31"/>
      <c r="L1129" s="31"/>
      <c r="M1129" s="31"/>
      <c r="N1129" s="4"/>
      <c r="AG1129" t="s">
        <v>1169</v>
      </c>
      <c r="AM1129" s="1">
        <f t="shared" si="14"/>
        <v>0</v>
      </c>
    </row>
    <row r="1130" spans="1:39" x14ac:dyDescent="0.35">
      <c r="A1130">
        <v>1126</v>
      </c>
      <c r="B1130">
        <v>1127</v>
      </c>
      <c r="F1130" s="63"/>
      <c r="G1130" s="63"/>
      <c r="H1130" t="s">
        <v>26</v>
      </c>
      <c r="I1130" s="64"/>
      <c r="J1130" s="31"/>
      <c r="K1130" s="31"/>
      <c r="L1130" s="31"/>
      <c r="M1130" s="31"/>
      <c r="N1130" s="4"/>
      <c r="AG1130" t="s">
        <v>1170</v>
      </c>
      <c r="AM1130" s="1">
        <f t="shared" si="14"/>
        <v>0</v>
      </c>
    </row>
    <row r="1131" spans="1:39" x14ac:dyDescent="0.35">
      <c r="A1131">
        <v>1127</v>
      </c>
      <c r="B1131">
        <v>1128</v>
      </c>
      <c r="F1131" s="63"/>
      <c r="G1131" s="63"/>
      <c r="H1131" t="s">
        <v>26</v>
      </c>
      <c r="I1131" s="64"/>
      <c r="J1131" s="31"/>
      <c r="K1131" s="31"/>
      <c r="L1131" s="31"/>
      <c r="M1131" s="31"/>
      <c r="N1131" s="4"/>
      <c r="AG1131" t="s">
        <v>1171</v>
      </c>
      <c r="AM1131" s="1">
        <f t="shared" si="14"/>
        <v>0</v>
      </c>
    </row>
    <row r="1132" spans="1:39" x14ac:dyDescent="0.35">
      <c r="A1132">
        <v>1128</v>
      </c>
      <c r="B1132">
        <v>1129</v>
      </c>
      <c r="F1132" s="63"/>
      <c r="G1132" s="63"/>
      <c r="H1132" t="s">
        <v>26</v>
      </c>
      <c r="I1132" s="64"/>
      <c r="J1132" s="31"/>
      <c r="K1132" s="31"/>
      <c r="L1132" s="31"/>
      <c r="M1132" s="31"/>
      <c r="N1132" s="4"/>
      <c r="AG1132" t="s">
        <v>1172</v>
      </c>
      <c r="AM1132" s="1">
        <f t="shared" si="14"/>
        <v>0</v>
      </c>
    </row>
    <row r="1133" spans="1:39" x14ac:dyDescent="0.35">
      <c r="A1133">
        <v>1129</v>
      </c>
      <c r="B1133">
        <v>1130</v>
      </c>
      <c r="F1133" s="63"/>
      <c r="G1133" s="63"/>
      <c r="H1133" t="s">
        <v>26</v>
      </c>
      <c r="I1133" s="64"/>
      <c r="J1133" s="31"/>
      <c r="K1133" s="31"/>
      <c r="L1133" s="31"/>
      <c r="M1133" s="31"/>
      <c r="N1133" s="4"/>
      <c r="AG1133" t="s">
        <v>1173</v>
      </c>
      <c r="AM1133" s="1">
        <f t="shared" si="14"/>
        <v>0</v>
      </c>
    </row>
    <row r="1134" spans="1:39" x14ac:dyDescent="0.35">
      <c r="A1134">
        <v>1130</v>
      </c>
      <c r="B1134">
        <v>1131</v>
      </c>
      <c r="F1134" s="63"/>
      <c r="G1134" s="63"/>
      <c r="H1134" t="s">
        <v>26</v>
      </c>
      <c r="I1134" s="64"/>
      <c r="J1134" s="31"/>
      <c r="K1134" s="31"/>
      <c r="L1134" s="31"/>
      <c r="M1134" s="31"/>
      <c r="N1134" s="4"/>
      <c r="AG1134" t="s">
        <v>1174</v>
      </c>
      <c r="AM1134" s="1">
        <f t="shared" si="14"/>
        <v>0</v>
      </c>
    </row>
    <row r="1135" spans="1:39" x14ac:dyDescent="0.35">
      <c r="A1135">
        <v>1131</v>
      </c>
      <c r="B1135">
        <v>1132</v>
      </c>
      <c r="F1135" s="63"/>
      <c r="G1135" s="63"/>
      <c r="H1135" t="s">
        <v>26</v>
      </c>
      <c r="I1135" s="64"/>
      <c r="J1135" s="31"/>
      <c r="K1135" s="31"/>
      <c r="L1135" s="31"/>
      <c r="M1135" s="31"/>
      <c r="N1135" s="4"/>
      <c r="AG1135" t="s">
        <v>1175</v>
      </c>
      <c r="AM1135" s="1">
        <f t="shared" si="14"/>
        <v>0</v>
      </c>
    </row>
    <row r="1136" spans="1:39" x14ac:dyDescent="0.35">
      <c r="A1136">
        <v>1132</v>
      </c>
      <c r="B1136">
        <v>1133</v>
      </c>
      <c r="F1136" s="63"/>
      <c r="G1136" s="63"/>
      <c r="H1136" t="s">
        <v>26</v>
      </c>
      <c r="I1136" s="64"/>
      <c r="J1136" s="31"/>
      <c r="K1136" s="31"/>
      <c r="L1136" s="31"/>
      <c r="M1136" s="31"/>
      <c r="N1136" s="4"/>
      <c r="AG1136" t="s">
        <v>1176</v>
      </c>
      <c r="AM1136" s="1">
        <f t="shared" si="14"/>
        <v>0</v>
      </c>
    </row>
    <row r="1137" spans="1:39" x14ac:dyDescent="0.35">
      <c r="A1137">
        <v>1133</v>
      </c>
      <c r="B1137">
        <v>1134</v>
      </c>
      <c r="F1137" s="63"/>
      <c r="G1137" s="63"/>
      <c r="H1137" t="s">
        <v>26</v>
      </c>
      <c r="I1137" s="64"/>
      <c r="J1137" s="31"/>
      <c r="K1137" s="31"/>
      <c r="L1137" s="31"/>
      <c r="M1137" s="31"/>
      <c r="N1137" s="4"/>
      <c r="AG1137" t="s">
        <v>1177</v>
      </c>
      <c r="AM1137" s="1">
        <f t="shared" si="14"/>
        <v>0</v>
      </c>
    </row>
    <row r="1138" spans="1:39" x14ac:dyDescent="0.35">
      <c r="A1138">
        <v>1134</v>
      </c>
      <c r="B1138">
        <v>1135</v>
      </c>
      <c r="F1138" s="63"/>
      <c r="G1138" s="63"/>
      <c r="H1138" t="s">
        <v>26</v>
      </c>
      <c r="I1138" s="64"/>
      <c r="J1138" s="31"/>
      <c r="K1138" s="31"/>
      <c r="L1138" s="31"/>
      <c r="M1138" s="31"/>
      <c r="N1138" s="4"/>
      <c r="AG1138" t="s">
        <v>1178</v>
      </c>
      <c r="AM1138" s="1">
        <f t="shared" si="14"/>
        <v>0</v>
      </c>
    </row>
    <row r="1139" spans="1:39" x14ac:dyDescent="0.35">
      <c r="A1139">
        <v>1135</v>
      </c>
      <c r="B1139">
        <v>1136</v>
      </c>
      <c r="F1139" s="63"/>
      <c r="G1139" s="63"/>
      <c r="H1139" t="s">
        <v>26</v>
      </c>
      <c r="I1139" s="64"/>
      <c r="J1139" s="31"/>
      <c r="K1139" s="31"/>
      <c r="L1139" s="31"/>
      <c r="M1139" s="31"/>
      <c r="N1139" s="4"/>
      <c r="AG1139" t="s">
        <v>1179</v>
      </c>
      <c r="AM1139" s="1">
        <f t="shared" si="14"/>
        <v>0</v>
      </c>
    </row>
    <row r="1140" spans="1:39" x14ac:dyDescent="0.35">
      <c r="A1140">
        <v>1136</v>
      </c>
      <c r="B1140">
        <v>1137</v>
      </c>
      <c r="F1140" s="63"/>
      <c r="G1140" s="63"/>
      <c r="H1140" t="s">
        <v>26</v>
      </c>
      <c r="I1140" s="64"/>
      <c r="J1140" s="31"/>
      <c r="K1140" s="31"/>
      <c r="L1140" s="31"/>
      <c r="M1140" s="31"/>
      <c r="N1140" s="4"/>
      <c r="AG1140" t="s">
        <v>1180</v>
      </c>
      <c r="AM1140" s="1">
        <f t="shared" si="14"/>
        <v>0</v>
      </c>
    </row>
    <row r="1141" spans="1:39" x14ac:dyDescent="0.35">
      <c r="A1141">
        <v>1137</v>
      </c>
      <c r="B1141">
        <v>1138</v>
      </c>
      <c r="F1141" s="63"/>
      <c r="G1141" s="63"/>
      <c r="H1141" t="s">
        <v>26</v>
      </c>
      <c r="I1141" s="64"/>
      <c r="J1141" s="31"/>
      <c r="K1141" s="31"/>
      <c r="L1141" s="31"/>
      <c r="M1141" s="31"/>
      <c r="N1141" s="4"/>
      <c r="AG1141" t="s">
        <v>1181</v>
      </c>
      <c r="AM1141" s="1">
        <f t="shared" si="14"/>
        <v>0</v>
      </c>
    </row>
    <row r="1142" spans="1:39" x14ac:dyDescent="0.35">
      <c r="A1142">
        <v>1138</v>
      </c>
      <c r="B1142">
        <v>1139</v>
      </c>
      <c r="F1142" s="63"/>
      <c r="G1142" s="63"/>
      <c r="H1142" t="s">
        <v>26</v>
      </c>
      <c r="I1142" s="64"/>
      <c r="J1142" s="31"/>
      <c r="K1142" s="31"/>
      <c r="L1142" s="31"/>
      <c r="M1142" s="31"/>
      <c r="N1142" s="4"/>
      <c r="AG1142" t="s">
        <v>1182</v>
      </c>
      <c r="AM1142" s="1">
        <f t="shared" si="14"/>
        <v>0</v>
      </c>
    </row>
    <row r="1143" spans="1:39" x14ac:dyDescent="0.35">
      <c r="A1143">
        <v>1139</v>
      </c>
      <c r="B1143">
        <v>1140</v>
      </c>
      <c r="F1143" s="63"/>
      <c r="G1143" s="63"/>
      <c r="H1143" t="s">
        <v>26</v>
      </c>
      <c r="I1143" s="64"/>
      <c r="J1143" s="31"/>
      <c r="K1143" s="31"/>
      <c r="L1143" s="31"/>
      <c r="M1143" s="31"/>
      <c r="N1143" s="4"/>
      <c r="AG1143" t="s">
        <v>1183</v>
      </c>
      <c r="AM1143" s="1">
        <f t="shared" ref="AM1143:AM1206" si="15">HYPERLINK("E:\CAFNEC_GBRF\2023\JohnstoneRiver\Frames_for_Analysis\" &amp; F1144, F1144)</f>
        <v>0</v>
      </c>
    </row>
    <row r="1144" spans="1:39" x14ac:dyDescent="0.35">
      <c r="A1144">
        <v>1140</v>
      </c>
      <c r="B1144">
        <v>1141</v>
      </c>
      <c r="F1144" s="63"/>
      <c r="G1144" s="63"/>
      <c r="H1144" t="s">
        <v>26</v>
      </c>
      <c r="I1144" s="64"/>
      <c r="J1144" s="31"/>
      <c r="K1144" s="31"/>
      <c r="L1144" s="31"/>
      <c r="M1144" s="31"/>
      <c r="N1144" s="4"/>
      <c r="AG1144" t="s">
        <v>1184</v>
      </c>
      <c r="AM1144" s="1">
        <f t="shared" si="15"/>
        <v>0</v>
      </c>
    </row>
    <row r="1145" spans="1:39" x14ac:dyDescent="0.35">
      <c r="A1145">
        <v>1141</v>
      </c>
      <c r="B1145">
        <v>1142</v>
      </c>
      <c r="F1145" s="63"/>
      <c r="G1145" s="63"/>
      <c r="H1145" t="s">
        <v>26</v>
      </c>
      <c r="I1145" s="64"/>
      <c r="J1145" s="31"/>
      <c r="K1145" s="31"/>
      <c r="L1145" s="31"/>
      <c r="M1145" s="31"/>
      <c r="N1145" s="4"/>
      <c r="AG1145" t="s">
        <v>1185</v>
      </c>
      <c r="AM1145" s="1">
        <f t="shared" si="15"/>
        <v>0</v>
      </c>
    </row>
    <row r="1146" spans="1:39" x14ac:dyDescent="0.35">
      <c r="A1146">
        <v>1142</v>
      </c>
      <c r="B1146">
        <v>1143</v>
      </c>
      <c r="F1146" s="63"/>
      <c r="G1146" s="63"/>
      <c r="H1146" t="s">
        <v>26</v>
      </c>
      <c r="I1146" s="64"/>
      <c r="J1146" s="31"/>
      <c r="K1146" s="31"/>
      <c r="L1146" s="31"/>
      <c r="M1146" s="31"/>
      <c r="N1146" s="4"/>
      <c r="AG1146" t="s">
        <v>1186</v>
      </c>
      <c r="AM1146" s="1">
        <f t="shared" si="15"/>
        <v>0</v>
      </c>
    </row>
    <row r="1147" spans="1:39" x14ac:dyDescent="0.35">
      <c r="A1147">
        <v>1143</v>
      </c>
      <c r="B1147">
        <v>1144</v>
      </c>
      <c r="F1147" s="63"/>
      <c r="G1147" s="63"/>
      <c r="H1147" t="s">
        <v>26</v>
      </c>
      <c r="I1147" s="64"/>
      <c r="J1147" s="31"/>
      <c r="K1147" s="31"/>
      <c r="L1147" s="31"/>
      <c r="M1147" s="31"/>
      <c r="N1147" s="4"/>
      <c r="AG1147" t="s">
        <v>1187</v>
      </c>
      <c r="AM1147" s="1">
        <f t="shared" si="15"/>
        <v>0</v>
      </c>
    </row>
    <row r="1148" spans="1:39" x14ac:dyDescent="0.35">
      <c r="A1148">
        <v>1144</v>
      </c>
      <c r="B1148">
        <v>1145</v>
      </c>
      <c r="F1148" s="63"/>
      <c r="G1148" s="63"/>
      <c r="H1148" t="s">
        <v>26</v>
      </c>
      <c r="I1148" s="64"/>
      <c r="J1148" s="31"/>
      <c r="K1148" s="31"/>
      <c r="L1148" s="31"/>
      <c r="M1148" s="31"/>
      <c r="N1148" s="4"/>
      <c r="AG1148" t="s">
        <v>1188</v>
      </c>
      <c r="AM1148" s="1">
        <f t="shared" si="15"/>
        <v>0</v>
      </c>
    </row>
    <row r="1149" spans="1:39" x14ac:dyDescent="0.35">
      <c r="A1149">
        <v>1145</v>
      </c>
      <c r="B1149">
        <v>1146</v>
      </c>
      <c r="F1149" s="63"/>
      <c r="G1149" s="63"/>
      <c r="H1149" t="s">
        <v>26</v>
      </c>
      <c r="I1149" s="64"/>
      <c r="J1149" s="31"/>
      <c r="K1149" s="31"/>
      <c r="L1149" s="31"/>
      <c r="M1149" s="31"/>
      <c r="N1149" s="4"/>
      <c r="AG1149" t="s">
        <v>1189</v>
      </c>
      <c r="AM1149" s="1">
        <f t="shared" si="15"/>
        <v>0</v>
      </c>
    </row>
    <row r="1150" spans="1:39" x14ac:dyDescent="0.35">
      <c r="A1150">
        <v>1146</v>
      </c>
      <c r="B1150">
        <v>1147</v>
      </c>
      <c r="F1150" s="63"/>
      <c r="G1150" s="63"/>
      <c r="H1150" t="s">
        <v>26</v>
      </c>
      <c r="I1150" s="64"/>
      <c r="J1150" s="31"/>
      <c r="K1150" s="31"/>
      <c r="L1150" s="31"/>
      <c r="M1150" s="31"/>
      <c r="N1150" s="4"/>
      <c r="AG1150" t="s">
        <v>1190</v>
      </c>
      <c r="AM1150" s="1">
        <f t="shared" si="15"/>
        <v>0</v>
      </c>
    </row>
    <row r="1151" spans="1:39" x14ac:dyDescent="0.35">
      <c r="A1151">
        <v>1147</v>
      </c>
      <c r="B1151">
        <v>1148</v>
      </c>
      <c r="F1151" s="63"/>
      <c r="G1151" s="63"/>
      <c r="H1151" t="s">
        <v>26</v>
      </c>
      <c r="I1151" s="64"/>
      <c r="J1151" s="31"/>
      <c r="K1151" s="31"/>
      <c r="L1151" s="31"/>
      <c r="M1151" s="31"/>
      <c r="N1151" s="4"/>
      <c r="AG1151" t="s">
        <v>1191</v>
      </c>
      <c r="AM1151" s="1">
        <f t="shared" si="15"/>
        <v>0</v>
      </c>
    </row>
    <row r="1152" spans="1:39" x14ac:dyDescent="0.35">
      <c r="A1152">
        <v>1148</v>
      </c>
      <c r="B1152">
        <v>1149</v>
      </c>
      <c r="F1152" s="63"/>
      <c r="G1152" s="63"/>
      <c r="H1152" t="s">
        <v>26</v>
      </c>
      <c r="I1152" s="64"/>
      <c r="J1152" s="31"/>
      <c r="K1152" s="31"/>
      <c r="L1152" s="31"/>
      <c r="M1152" s="31"/>
      <c r="N1152" s="4"/>
      <c r="AG1152" t="s">
        <v>1192</v>
      </c>
      <c r="AM1152" s="1">
        <f t="shared" si="15"/>
        <v>0</v>
      </c>
    </row>
    <row r="1153" spans="1:39" x14ac:dyDescent="0.35">
      <c r="A1153">
        <v>1149</v>
      </c>
      <c r="B1153">
        <v>1150</v>
      </c>
      <c r="F1153" s="63"/>
      <c r="G1153" s="63"/>
      <c r="H1153" t="s">
        <v>26</v>
      </c>
      <c r="I1153" s="64"/>
      <c r="J1153" s="31"/>
      <c r="K1153" s="31"/>
      <c r="L1153" s="31"/>
      <c r="M1153" s="31"/>
      <c r="N1153" s="4"/>
      <c r="AG1153" t="s">
        <v>1193</v>
      </c>
      <c r="AM1153" s="1">
        <f t="shared" si="15"/>
        <v>0</v>
      </c>
    </row>
    <row r="1154" spans="1:39" x14ac:dyDescent="0.35">
      <c r="A1154">
        <v>1150</v>
      </c>
      <c r="B1154">
        <v>1151</v>
      </c>
      <c r="F1154" s="63"/>
      <c r="G1154" s="63"/>
      <c r="H1154" t="s">
        <v>26</v>
      </c>
      <c r="I1154" s="64"/>
      <c r="J1154" s="31"/>
      <c r="K1154" s="31"/>
      <c r="L1154" s="31"/>
      <c r="M1154" s="31"/>
      <c r="N1154" s="4"/>
      <c r="AG1154" t="s">
        <v>1194</v>
      </c>
      <c r="AM1154" s="1">
        <f t="shared" si="15"/>
        <v>0</v>
      </c>
    </row>
    <row r="1155" spans="1:39" x14ac:dyDescent="0.35">
      <c r="A1155">
        <v>1151</v>
      </c>
      <c r="B1155">
        <v>1152</v>
      </c>
      <c r="F1155" s="63"/>
      <c r="G1155" s="63"/>
      <c r="H1155" t="s">
        <v>78</v>
      </c>
      <c r="I1155" s="64">
        <v>1</v>
      </c>
      <c r="J1155" s="31"/>
      <c r="K1155" s="31"/>
      <c r="L1155" s="31"/>
      <c r="M1155" s="31"/>
      <c r="N1155" s="4"/>
      <c r="AG1155" t="s">
        <v>1195</v>
      </c>
      <c r="AM1155" s="1">
        <f t="shared" si="15"/>
        <v>0</v>
      </c>
    </row>
    <row r="1156" spans="1:39" x14ac:dyDescent="0.35">
      <c r="A1156">
        <v>1152</v>
      </c>
      <c r="B1156">
        <v>1153</v>
      </c>
      <c r="F1156" s="63"/>
      <c r="G1156" s="63"/>
      <c r="H1156" t="s">
        <v>78</v>
      </c>
      <c r="I1156" s="64">
        <v>1</v>
      </c>
      <c r="J1156" s="31"/>
      <c r="K1156" s="31"/>
      <c r="L1156" s="31"/>
      <c r="M1156" s="31"/>
      <c r="N1156" s="4"/>
      <c r="AG1156" t="s">
        <v>1196</v>
      </c>
      <c r="AM1156" s="1">
        <f t="shared" si="15"/>
        <v>0</v>
      </c>
    </row>
    <row r="1157" spans="1:39" x14ac:dyDescent="0.35">
      <c r="A1157">
        <v>1153</v>
      </c>
      <c r="B1157">
        <v>1154</v>
      </c>
      <c r="F1157" s="63"/>
      <c r="G1157" s="63"/>
      <c r="H1157" t="s">
        <v>78</v>
      </c>
      <c r="I1157" s="64">
        <v>1</v>
      </c>
      <c r="J1157" s="31"/>
      <c r="K1157" s="31"/>
      <c r="L1157" s="31"/>
      <c r="M1157" s="31"/>
      <c r="N1157" s="4"/>
      <c r="AG1157" t="s">
        <v>1197</v>
      </c>
      <c r="AM1157" s="1">
        <f t="shared" si="15"/>
        <v>0</v>
      </c>
    </row>
    <row r="1158" spans="1:39" x14ac:dyDescent="0.35">
      <c r="A1158">
        <v>1154</v>
      </c>
      <c r="B1158">
        <v>1155</v>
      </c>
      <c r="F1158" s="63"/>
      <c r="G1158" s="63"/>
      <c r="H1158" t="s">
        <v>78</v>
      </c>
      <c r="I1158" s="64">
        <v>1</v>
      </c>
      <c r="J1158" s="31"/>
      <c r="K1158" s="31"/>
      <c r="L1158" s="31"/>
      <c r="M1158" s="31"/>
      <c r="N1158" s="4"/>
      <c r="AG1158" t="s">
        <v>1198</v>
      </c>
      <c r="AM1158" s="1">
        <f t="shared" si="15"/>
        <v>0</v>
      </c>
    </row>
    <row r="1159" spans="1:39" x14ac:dyDescent="0.35">
      <c r="A1159">
        <v>1155</v>
      </c>
      <c r="B1159">
        <v>1156</v>
      </c>
      <c r="F1159" s="63"/>
      <c r="G1159" s="63"/>
      <c r="H1159" t="s">
        <v>78</v>
      </c>
      <c r="I1159" s="64">
        <v>1</v>
      </c>
      <c r="J1159" s="31"/>
      <c r="K1159" s="31"/>
      <c r="L1159" s="31"/>
      <c r="M1159" s="31"/>
      <c r="N1159" s="4"/>
      <c r="AG1159" t="s">
        <v>1199</v>
      </c>
      <c r="AM1159" s="1">
        <f t="shared" si="15"/>
        <v>0</v>
      </c>
    </row>
    <row r="1160" spans="1:39" x14ac:dyDescent="0.35">
      <c r="A1160">
        <v>1156</v>
      </c>
      <c r="B1160">
        <v>1157</v>
      </c>
      <c r="F1160" s="63"/>
      <c r="G1160" s="63"/>
      <c r="H1160" t="s">
        <v>78</v>
      </c>
      <c r="I1160" s="64">
        <v>1</v>
      </c>
      <c r="J1160" s="31"/>
      <c r="K1160" s="31"/>
      <c r="L1160" s="31"/>
      <c r="M1160" s="31"/>
      <c r="N1160" s="4"/>
      <c r="AG1160" t="s">
        <v>1200</v>
      </c>
      <c r="AM1160" s="1">
        <f t="shared" si="15"/>
        <v>0</v>
      </c>
    </row>
    <row r="1161" spans="1:39" x14ac:dyDescent="0.35">
      <c r="A1161">
        <v>1157</v>
      </c>
      <c r="B1161">
        <v>1158</v>
      </c>
      <c r="F1161" s="63"/>
      <c r="G1161" s="63"/>
      <c r="H1161" t="s">
        <v>78</v>
      </c>
      <c r="I1161" s="64">
        <v>1</v>
      </c>
      <c r="J1161" s="31"/>
      <c r="K1161" s="31"/>
      <c r="L1161" s="31"/>
      <c r="M1161" s="31"/>
      <c r="N1161" s="4"/>
      <c r="AG1161" t="s">
        <v>1201</v>
      </c>
      <c r="AM1161" s="1">
        <f t="shared" si="15"/>
        <v>0</v>
      </c>
    </row>
    <row r="1162" spans="1:39" x14ac:dyDescent="0.35">
      <c r="A1162">
        <v>1158</v>
      </c>
      <c r="B1162">
        <v>1159</v>
      </c>
      <c r="F1162" s="63"/>
      <c r="G1162" s="63"/>
      <c r="H1162" t="s">
        <v>78</v>
      </c>
      <c r="I1162" s="64">
        <v>1</v>
      </c>
      <c r="J1162" s="31"/>
      <c r="K1162" s="31"/>
      <c r="L1162" s="31"/>
      <c r="M1162" s="31"/>
      <c r="N1162" s="4"/>
      <c r="AG1162" t="s">
        <v>1202</v>
      </c>
      <c r="AM1162" s="1">
        <f t="shared" si="15"/>
        <v>0</v>
      </c>
    </row>
    <row r="1163" spans="1:39" x14ac:dyDescent="0.35">
      <c r="A1163">
        <v>1159</v>
      </c>
      <c r="B1163">
        <v>1160</v>
      </c>
      <c r="F1163" s="63"/>
      <c r="G1163" s="63"/>
      <c r="H1163" t="s">
        <v>78</v>
      </c>
      <c r="I1163" s="64">
        <v>1</v>
      </c>
      <c r="J1163" s="31"/>
      <c r="K1163" s="31"/>
      <c r="L1163" s="31"/>
      <c r="M1163" s="31"/>
      <c r="N1163" s="4"/>
      <c r="AG1163" t="s">
        <v>1203</v>
      </c>
      <c r="AM1163" s="1">
        <f t="shared" si="15"/>
        <v>0</v>
      </c>
    </row>
    <row r="1164" spans="1:39" x14ac:dyDescent="0.35">
      <c r="A1164">
        <v>1160</v>
      </c>
      <c r="B1164">
        <v>1161</v>
      </c>
      <c r="F1164" s="63"/>
      <c r="G1164" s="63"/>
      <c r="H1164" t="s">
        <v>78</v>
      </c>
      <c r="I1164" s="64">
        <v>1</v>
      </c>
      <c r="J1164" s="31"/>
      <c r="K1164" s="31"/>
      <c r="L1164" s="31"/>
      <c r="M1164" s="31"/>
      <c r="N1164" s="4"/>
      <c r="AG1164" t="s">
        <v>1204</v>
      </c>
      <c r="AM1164" s="1">
        <f t="shared" si="15"/>
        <v>0</v>
      </c>
    </row>
    <row r="1165" spans="1:39" x14ac:dyDescent="0.35">
      <c r="A1165">
        <v>1161</v>
      </c>
      <c r="B1165">
        <v>1162</v>
      </c>
      <c r="F1165" s="63"/>
      <c r="G1165" s="63"/>
      <c r="H1165" t="s">
        <v>78</v>
      </c>
      <c r="I1165" s="64">
        <v>1</v>
      </c>
      <c r="J1165" s="31"/>
      <c r="K1165" s="31"/>
      <c r="L1165" s="31"/>
      <c r="M1165" s="31"/>
      <c r="N1165" s="4"/>
      <c r="AG1165" t="s">
        <v>1205</v>
      </c>
      <c r="AM1165" s="1">
        <f t="shared" si="15"/>
        <v>0</v>
      </c>
    </row>
    <row r="1166" spans="1:39" x14ac:dyDescent="0.35">
      <c r="A1166">
        <v>1162</v>
      </c>
      <c r="B1166">
        <v>1163</v>
      </c>
      <c r="F1166" s="63"/>
      <c r="G1166" s="63"/>
      <c r="H1166" t="s">
        <v>78</v>
      </c>
      <c r="I1166" s="64">
        <v>1</v>
      </c>
      <c r="J1166" s="31"/>
      <c r="K1166" s="31"/>
      <c r="L1166" s="31"/>
      <c r="M1166" s="31"/>
      <c r="N1166" s="4"/>
      <c r="AG1166" t="s">
        <v>1206</v>
      </c>
      <c r="AM1166" s="1">
        <f t="shared" si="15"/>
        <v>0</v>
      </c>
    </row>
    <row r="1167" spans="1:39" x14ac:dyDescent="0.35">
      <c r="A1167">
        <v>1163</v>
      </c>
      <c r="B1167">
        <v>1164</v>
      </c>
      <c r="F1167" s="63"/>
      <c r="G1167" s="63"/>
      <c r="H1167" t="s">
        <v>78</v>
      </c>
      <c r="I1167" s="64">
        <v>1</v>
      </c>
      <c r="J1167" s="31"/>
      <c r="K1167" s="31"/>
      <c r="L1167" s="31"/>
      <c r="M1167" s="31"/>
      <c r="N1167" s="4"/>
      <c r="AG1167" t="s">
        <v>1207</v>
      </c>
      <c r="AM1167" s="1">
        <f t="shared" si="15"/>
        <v>0</v>
      </c>
    </row>
    <row r="1168" spans="1:39" x14ac:dyDescent="0.35">
      <c r="A1168">
        <v>1164</v>
      </c>
      <c r="B1168">
        <v>1165</v>
      </c>
      <c r="F1168" s="63"/>
      <c r="G1168" s="63"/>
      <c r="H1168" t="s">
        <v>78</v>
      </c>
      <c r="I1168" s="64">
        <v>1</v>
      </c>
      <c r="J1168" s="31"/>
      <c r="K1168" s="31"/>
      <c r="L1168" s="31"/>
      <c r="M1168" s="31"/>
      <c r="N1168" s="4"/>
      <c r="AG1168" t="s">
        <v>1208</v>
      </c>
      <c r="AM1168" s="1">
        <f t="shared" si="15"/>
        <v>0</v>
      </c>
    </row>
    <row r="1169" spans="1:39" x14ac:dyDescent="0.35">
      <c r="A1169">
        <v>1165</v>
      </c>
      <c r="B1169">
        <v>1166</v>
      </c>
      <c r="F1169" s="63"/>
      <c r="G1169" s="63"/>
      <c r="H1169" t="s">
        <v>78</v>
      </c>
      <c r="I1169" s="64">
        <v>1</v>
      </c>
      <c r="J1169" s="31"/>
      <c r="K1169" s="31"/>
      <c r="L1169" s="31"/>
      <c r="M1169" s="31"/>
      <c r="N1169" s="4"/>
      <c r="AG1169" t="s">
        <v>1209</v>
      </c>
      <c r="AM1169" s="1">
        <f t="shared" si="15"/>
        <v>0</v>
      </c>
    </row>
    <row r="1170" spans="1:39" x14ac:dyDescent="0.35">
      <c r="A1170">
        <v>1166</v>
      </c>
      <c r="B1170">
        <v>1167</v>
      </c>
      <c r="F1170" s="63"/>
      <c r="G1170" s="63"/>
      <c r="H1170" t="s">
        <v>78</v>
      </c>
      <c r="I1170" s="64">
        <v>1</v>
      </c>
      <c r="J1170" s="31"/>
      <c r="K1170" s="31"/>
      <c r="L1170" s="31"/>
      <c r="M1170" s="31"/>
      <c r="N1170" s="4"/>
      <c r="AG1170" t="s">
        <v>1210</v>
      </c>
      <c r="AM1170" s="1">
        <f t="shared" si="15"/>
        <v>0</v>
      </c>
    </row>
    <row r="1171" spans="1:39" x14ac:dyDescent="0.35">
      <c r="A1171">
        <v>1167</v>
      </c>
      <c r="B1171">
        <v>1168</v>
      </c>
      <c r="F1171" s="63"/>
      <c r="G1171" s="63"/>
      <c r="H1171" t="s">
        <v>78</v>
      </c>
      <c r="I1171" s="64">
        <v>1</v>
      </c>
      <c r="J1171" s="31"/>
      <c r="K1171" s="31"/>
      <c r="L1171" s="31"/>
      <c r="M1171" s="31"/>
      <c r="N1171" s="4"/>
      <c r="AG1171" t="s">
        <v>1211</v>
      </c>
      <c r="AM1171" s="1">
        <f t="shared" si="15"/>
        <v>0</v>
      </c>
    </row>
    <row r="1172" spans="1:39" x14ac:dyDescent="0.35">
      <c r="A1172">
        <v>1168</v>
      </c>
      <c r="B1172">
        <v>1169</v>
      </c>
      <c r="F1172" s="63"/>
      <c r="G1172" s="63"/>
      <c r="H1172" t="s">
        <v>78</v>
      </c>
      <c r="I1172" s="64">
        <v>1</v>
      </c>
      <c r="J1172" s="31"/>
      <c r="K1172" s="31"/>
      <c r="L1172" s="31"/>
      <c r="M1172" s="31"/>
      <c r="N1172" s="4"/>
      <c r="AG1172" t="s">
        <v>1212</v>
      </c>
      <c r="AM1172" s="1">
        <f t="shared" si="15"/>
        <v>0</v>
      </c>
    </row>
    <row r="1173" spans="1:39" x14ac:dyDescent="0.35">
      <c r="A1173">
        <v>1169</v>
      </c>
      <c r="B1173">
        <v>1170</v>
      </c>
      <c r="F1173" s="63"/>
      <c r="G1173" s="63"/>
      <c r="H1173" t="s">
        <v>78</v>
      </c>
      <c r="I1173" s="64">
        <v>1</v>
      </c>
      <c r="J1173" s="31"/>
      <c r="K1173" s="31"/>
      <c r="L1173" s="31"/>
      <c r="M1173" s="31"/>
      <c r="N1173" s="4"/>
      <c r="AG1173" t="s">
        <v>1213</v>
      </c>
      <c r="AM1173" s="1">
        <f t="shared" si="15"/>
        <v>0</v>
      </c>
    </row>
    <row r="1174" spans="1:39" x14ac:dyDescent="0.35">
      <c r="A1174">
        <v>1170</v>
      </c>
      <c r="B1174">
        <v>1171</v>
      </c>
      <c r="F1174" s="63"/>
      <c r="G1174" s="63"/>
      <c r="H1174" t="s">
        <v>78</v>
      </c>
      <c r="I1174" s="64">
        <v>1</v>
      </c>
      <c r="J1174" s="31"/>
      <c r="K1174" s="31"/>
      <c r="L1174" s="31"/>
      <c r="M1174" s="31"/>
      <c r="N1174" s="4"/>
      <c r="AG1174" t="s">
        <v>1214</v>
      </c>
      <c r="AM1174" s="1">
        <f t="shared" si="15"/>
        <v>0</v>
      </c>
    </row>
    <row r="1175" spans="1:39" x14ac:dyDescent="0.35">
      <c r="A1175">
        <v>1171</v>
      </c>
      <c r="B1175">
        <v>1172</v>
      </c>
      <c r="F1175" s="63"/>
      <c r="G1175" s="63"/>
      <c r="H1175" t="s">
        <v>78</v>
      </c>
      <c r="I1175" s="64">
        <v>1</v>
      </c>
      <c r="J1175" s="31"/>
      <c r="K1175" s="31"/>
      <c r="L1175" s="31"/>
      <c r="M1175" s="31"/>
      <c r="N1175" s="4"/>
      <c r="AG1175" t="s">
        <v>1215</v>
      </c>
      <c r="AM1175" s="1">
        <f t="shared" si="15"/>
        <v>0</v>
      </c>
    </row>
    <row r="1176" spans="1:39" x14ac:dyDescent="0.35">
      <c r="A1176">
        <v>1172</v>
      </c>
      <c r="B1176">
        <v>1173</v>
      </c>
      <c r="F1176" s="63"/>
      <c r="G1176" s="63"/>
      <c r="H1176" t="s">
        <v>78</v>
      </c>
      <c r="I1176" s="64">
        <v>1</v>
      </c>
      <c r="J1176" s="31"/>
      <c r="K1176" s="31"/>
      <c r="L1176" s="31"/>
      <c r="M1176" s="31"/>
      <c r="N1176" s="4"/>
      <c r="AG1176" t="s">
        <v>1216</v>
      </c>
      <c r="AM1176" s="1">
        <f t="shared" si="15"/>
        <v>0</v>
      </c>
    </row>
    <row r="1177" spans="1:39" x14ac:dyDescent="0.35">
      <c r="A1177">
        <v>1173</v>
      </c>
      <c r="B1177">
        <v>1174</v>
      </c>
      <c r="F1177" s="63"/>
      <c r="G1177" s="63"/>
      <c r="H1177" t="s">
        <v>78</v>
      </c>
      <c r="I1177" s="64">
        <v>1</v>
      </c>
      <c r="J1177" s="31"/>
      <c r="K1177" s="31"/>
      <c r="L1177" s="31"/>
      <c r="M1177" s="31"/>
      <c r="N1177" s="4"/>
      <c r="AG1177" t="s">
        <v>1217</v>
      </c>
      <c r="AM1177" s="1">
        <f t="shared" si="15"/>
        <v>0</v>
      </c>
    </row>
    <row r="1178" spans="1:39" x14ac:dyDescent="0.35">
      <c r="A1178">
        <v>1174</v>
      </c>
      <c r="B1178">
        <v>1175</v>
      </c>
      <c r="F1178" s="63"/>
      <c r="G1178" s="63"/>
      <c r="H1178" t="s">
        <v>78</v>
      </c>
      <c r="I1178" s="64">
        <v>1</v>
      </c>
      <c r="J1178" s="31"/>
      <c r="K1178" s="31"/>
      <c r="L1178" s="31"/>
      <c r="M1178" s="31"/>
      <c r="N1178" s="4"/>
      <c r="AG1178" t="s">
        <v>1218</v>
      </c>
      <c r="AM1178" s="1">
        <f t="shared" si="15"/>
        <v>0</v>
      </c>
    </row>
    <row r="1179" spans="1:39" x14ac:dyDescent="0.35">
      <c r="A1179">
        <v>1175</v>
      </c>
      <c r="B1179">
        <v>1176</v>
      </c>
      <c r="F1179" s="63"/>
      <c r="G1179" s="63"/>
      <c r="H1179" t="s">
        <v>78</v>
      </c>
      <c r="I1179" s="64">
        <v>1</v>
      </c>
      <c r="J1179" s="31"/>
      <c r="K1179" s="31"/>
      <c r="L1179" s="31"/>
      <c r="M1179" s="31"/>
      <c r="N1179" s="4"/>
      <c r="AG1179" t="s">
        <v>1219</v>
      </c>
      <c r="AM1179" s="1">
        <f t="shared" si="15"/>
        <v>0</v>
      </c>
    </row>
    <row r="1180" spans="1:39" x14ac:dyDescent="0.35">
      <c r="A1180">
        <v>1176</v>
      </c>
      <c r="B1180">
        <v>1177</v>
      </c>
      <c r="F1180" s="63"/>
      <c r="G1180" s="63"/>
      <c r="H1180" t="s">
        <v>78</v>
      </c>
      <c r="I1180" s="64">
        <v>1</v>
      </c>
      <c r="J1180" s="31"/>
      <c r="K1180" s="31"/>
      <c r="L1180" s="31"/>
      <c r="M1180" s="31"/>
      <c r="N1180" s="4"/>
      <c r="AG1180" t="s">
        <v>1220</v>
      </c>
      <c r="AM1180" s="1">
        <f t="shared" si="15"/>
        <v>0</v>
      </c>
    </row>
    <row r="1181" spans="1:39" x14ac:dyDescent="0.35">
      <c r="A1181">
        <v>1177</v>
      </c>
      <c r="B1181">
        <v>1178</v>
      </c>
      <c r="F1181" s="63"/>
      <c r="G1181" s="63"/>
      <c r="H1181" t="s">
        <v>78</v>
      </c>
      <c r="I1181" s="64">
        <v>1</v>
      </c>
      <c r="J1181" s="31"/>
      <c r="K1181" s="31"/>
      <c r="L1181" s="31"/>
      <c r="M1181" s="31"/>
      <c r="N1181" s="4"/>
      <c r="AG1181" t="s">
        <v>1221</v>
      </c>
      <c r="AM1181" s="1">
        <f t="shared" si="15"/>
        <v>0</v>
      </c>
    </row>
    <row r="1182" spans="1:39" x14ac:dyDescent="0.35">
      <c r="A1182">
        <v>1178</v>
      </c>
      <c r="B1182">
        <v>1179</v>
      </c>
      <c r="F1182" s="63"/>
      <c r="G1182" s="63"/>
      <c r="H1182" t="s">
        <v>78</v>
      </c>
      <c r="I1182" s="64">
        <v>1</v>
      </c>
      <c r="J1182" s="31"/>
      <c r="K1182" s="31"/>
      <c r="L1182" s="31"/>
      <c r="M1182" s="31"/>
      <c r="N1182" s="4"/>
      <c r="AG1182" t="s">
        <v>1222</v>
      </c>
      <c r="AM1182" s="1">
        <f t="shared" si="15"/>
        <v>0</v>
      </c>
    </row>
    <row r="1183" spans="1:39" x14ac:dyDescent="0.35">
      <c r="A1183">
        <v>1179</v>
      </c>
      <c r="B1183">
        <v>1180</v>
      </c>
      <c r="F1183" s="63"/>
      <c r="G1183" s="63"/>
      <c r="H1183" t="s">
        <v>78</v>
      </c>
      <c r="I1183" s="64">
        <v>1</v>
      </c>
      <c r="J1183" s="31"/>
      <c r="K1183" s="31"/>
      <c r="L1183" s="31"/>
      <c r="M1183" s="31"/>
      <c r="N1183" s="4"/>
      <c r="AG1183" t="s">
        <v>1223</v>
      </c>
      <c r="AM1183" s="1">
        <f t="shared" si="15"/>
        <v>0</v>
      </c>
    </row>
    <row r="1184" spans="1:39" x14ac:dyDescent="0.35">
      <c r="A1184">
        <v>1180</v>
      </c>
      <c r="B1184">
        <v>1181</v>
      </c>
      <c r="F1184" s="63"/>
      <c r="G1184" s="63"/>
      <c r="H1184" t="s">
        <v>78</v>
      </c>
      <c r="I1184" s="64">
        <v>1</v>
      </c>
      <c r="J1184" s="31"/>
      <c r="K1184" s="31"/>
      <c r="L1184" s="31"/>
      <c r="M1184" s="31"/>
      <c r="N1184" s="4"/>
      <c r="AG1184" t="s">
        <v>1224</v>
      </c>
      <c r="AM1184" s="1">
        <f t="shared" si="15"/>
        <v>0</v>
      </c>
    </row>
    <row r="1185" spans="1:39" x14ac:dyDescent="0.35">
      <c r="A1185">
        <v>1181</v>
      </c>
      <c r="B1185">
        <v>1182</v>
      </c>
      <c r="F1185" s="63"/>
      <c r="G1185" s="63"/>
      <c r="H1185" t="s">
        <v>78</v>
      </c>
      <c r="I1185" s="64">
        <v>1</v>
      </c>
      <c r="J1185" s="31"/>
      <c r="K1185" s="31"/>
      <c r="L1185" s="31"/>
      <c r="M1185" s="31"/>
      <c r="N1185" s="4"/>
      <c r="AG1185" t="s">
        <v>1225</v>
      </c>
      <c r="AM1185" s="1">
        <f t="shared" si="15"/>
        <v>0</v>
      </c>
    </row>
    <row r="1186" spans="1:39" x14ac:dyDescent="0.35">
      <c r="A1186">
        <v>1182</v>
      </c>
      <c r="B1186">
        <v>1183</v>
      </c>
      <c r="F1186" s="63"/>
      <c r="G1186" s="63"/>
      <c r="H1186" t="s">
        <v>78</v>
      </c>
      <c r="I1186" s="64">
        <v>1</v>
      </c>
      <c r="J1186" s="31"/>
      <c r="K1186" s="31"/>
      <c r="L1186" s="31"/>
      <c r="M1186" s="31"/>
      <c r="N1186" s="4"/>
      <c r="AG1186" t="s">
        <v>1226</v>
      </c>
      <c r="AM1186" s="1">
        <f t="shared" si="15"/>
        <v>0</v>
      </c>
    </row>
    <row r="1187" spans="1:39" x14ac:dyDescent="0.35">
      <c r="A1187">
        <v>1183</v>
      </c>
      <c r="B1187">
        <v>1184</v>
      </c>
      <c r="F1187" s="63"/>
      <c r="G1187" s="63"/>
      <c r="H1187" t="s">
        <v>78</v>
      </c>
      <c r="I1187" s="64">
        <v>1</v>
      </c>
      <c r="J1187" s="31"/>
      <c r="K1187" s="31"/>
      <c r="L1187" s="31"/>
      <c r="M1187" s="31"/>
      <c r="N1187" s="4"/>
      <c r="AG1187" t="s">
        <v>1227</v>
      </c>
      <c r="AM1187" s="1">
        <f t="shared" si="15"/>
        <v>0</v>
      </c>
    </row>
    <row r="1188" spans="1:39" x14ac:dyDescent="0.35">
      <c r="A1188">
        <v>1184</v>
      </c>
      <c r="B1188">
        <v>1185</v>
      </c>
      <c r="F1188" s="63"/>
      <c r="G1188" s="63"/>
      <c r="H1188" t="s">
        <v>78</v>
      </c>
      <c r="I1188" s="64">
        <v>1</v>
      </c>
      <c r="J1188" s="31"/>
      <c r="K1188" s="31"/>
      <c r="L1188" s="31"/>
      <c r="M1188" s="31"/>
      <c r="N1188" s="4"/>
      <c r="AG1188" t="s">
        <v>1228</v>
      </c>
      <c r="AM1188" s="1">
        <f t="shared" si="15"/>
        <v>0</v>
      </c>
    </row>
    <row r="1189" spans="1:39" x14ac:dyDescent="0.35">
      <c r="A1189">
        <v>1185</v>
      </c>
      <c r="B1189">
        <v>1186</v>
      </c>
      <c r="F1189" s="63"/>
      <c r="G1189" s="63"/>
      <c r="H1189" t="s">
        <v>78</v>
      </c>
      <c r="I1189" s="64">
        <v>1</v>
      </c>
      <c r="J1189" s="31"/>
      <c r="K1189" s="31"/>
      <c r="L1189" s="31"/>
      <c r="M1189" s="31"/>
      <c r="N1189" s="4"/>
      <c r="AG1189" t="s">
        <v>1229</v>
      </c>
      <c r="AM1189" s="1">
        <f t="shared" si="15"/>
        <v>0</v>
      </c>
    </row>
    <row r="1190" spans="1:39" x14ac:dyDescent="0.35">
      <c r="A1190">
        <v>1186</v>
      </c>
      <c r="B1190">
        <v>1187</v>
      </c>
      <c r="F1190" s="63"/>
      <c r="G1190" s="63"/>
      <c r="H1190" t="s">
        <v>78</v>
      </c>
      <c r="I1190" s="64">
        <v>1</v>
      </c>
      <c r="J1190" s="31"/>
      <c r="K1190" s="31"/>
      <c r="L1190" s="31"/>
      <c r="M1190" s="31"/>
      <c r="N1190" s="4"/>
      <c r="AG1190" t="s">
        <v>1230</v>
      </c>
      <c r="AM1190" s="1">
        <f t="shared" si="15"/>
        <v>0</v>
      </c>
    </row>
    <row r="1191" spans="1:39" x14ac:dyDescent="0.35">
      <c r="A1191">
        <v>1187</v>
      </c>
      <c r="B1191">
        <v>1188</v>
      </c>
      <c r="F1191" s="63"/>
      <c r="G1191" s="63"/>
      <c r="H1191" t="s">
        <v>78</v>
      </c>
      <c r="I1191" s="64">
        <v>1</v>
      </c>
      <c r="J1191" s="31"/>
      <c r="K1191" s="31"/>
      <c r="L1191" s="31"/>
      <c r="M1191" s="31"/>
      <c r="N1191" s="4"/>
      <c r="AG1191" t="s">
        <v>1231</v>
      </c>
      <c r="AM1191" s="1">
        <f t="shared" si="15"/>
        <v>0</v>
      </c>
    </row>
    <row r="1192" spans="1:39" x14ac:dyDescent="0.35">
      <c r="A1192">
        <v>1188</v>
      </c>
      <c r="B1192">
        <v>1189</v>
      </c>
      <c r="F1192" s="63"/>
      <c r="G1192" s="63"/>
      <c r="H1192" t="s">
        <v>78</v>
      </c>
      <c r="I1192" s="64">
        <v>1</v>
      </c>
      <c r="J1192" s="31"/>
      <c r="K1192" s="31"/>
      <c r="L1192" s="31"/>
      <c r="M1192" s="31"/>
      <c r="N1192" s="4"/>
      <c r="AG1192" t="s">
        <v>1232</v>
      </c>
      <c r="AM1192" s="1">
        <f t="shared" si="15"/>
        <v>0</v>
      </c>
    </row>
    <row r="1193" spans="1:39" x14ac:dyDescent="0.35">
      <c r="A1193">
        <v>1189</v>
      </c>
      <c r="B1193">
        <v>1190</v>
      </c>
      <c r="F1193" s="63"/>
      <c r="G1193" s="63"/>
      <c r="H1193" t="s">
        <v>78</v>
      </c>
      <c r="I1193" s="64">
        <v>1</v>
      </c>
      <c r="J1193" s="31"/>
      <c r="K1193" s="31"/>
      <c r="L1193" s="31"/>
      <c r="M1193" s="31"/>
      <c r="N1193" s="4"/>
      <c r="AG1193" t="s">
        <v>1233</v>
      </c>
      <c r="AM1193" s="1">
        <f t="shared" si="15"/>
        <v>0</v>
      </c>
    </row>
    <row r="1194" spans="1:39" x14ac:dyDescent="0.35">
      <c r="A1194">
        <v>1190</v>
      </c>
      <c r="B1194">
        <v>1191</v>
      </c>
      <c r="F1194" s="63"/>
      <c r="G1194" s="63"/>
      <c r="H1194" t="s">
        <v>78</v>
      </c>
      <c r="I1194" s="64">
        <v>1</v>
      </c>
      <c r="J1194" s="31"/>
      <c r="K1194" s="31"/>
      <c r="L1194" s="31"/>
      <c r="M1194" s="31"/>
      <c r="N1194" s="4"/>
      <c r="AG1194" t="s">
        <v>1234</v>
      </c>
      <c r="AM1194" s="1">
        <f t="shared" si="15"/>
        <v>0</v>
      </c>
    </row>
    <row r="1195" spans="1:39" x14ac:dyDescent="0.35">
      <c r="A1195">
        <v>1191</v>
      </c>
      <c r="B1195">
        <v>1192</v>
      </c>
      <c r="F1195" s="63"/>
      <c r="G1195" s="63"/>
      <c r="H1195" t="s">
        <v>78</v>
      </c>
      <c r="I1195" s="64">
        <v>1</v>
      </c>
      <c r="J1195" s="31"/>
      <c r="K1195" s="31"/>
      <c r="L1195" s="31"/>
      <c r="M1195" s="31"/>
      <c r="N1195" s="4"/>
      <c r="AG1195" t="s">
        <v>1235</v>
      </c>
      <c r="AM1195" s="1">
        <f t="shared" si="15"/>
        <v>0</v>
      </c>
    </row>
    <row r="1196" spans="1:39" x14ac:dyDescent="0.35">
      <c r="A1196">
        <v>1192</v>
      </c>
      <c r="B1196">
        <v>1193</v>
      </c>
      <c r="F1196" s="63"/>
      <c r="G1196" s="63"/>
      <c r="H1196" t="s">
        <v>78</v>
      </c>
      <c r="I1196" s="64">
        <v>1</v>
      </c>
      <c r="J1196" s="31"/>
      <c r="K1196" s="31"/>
      <c r="L1196" s="31"/>
      <c r="M1196" s="31"/>
      <c r="N1196" s="4"/>
      <c r="AG1196" t="s">
        <v>1236</v>
      </c>
      <c r="AM1196" s="1">
        <f t="shared" si="15"/>
        <v>0</v>
      </c>
    </row>
    <row r="1197" spans="1:39" x14ac:dyDescent="0.35">
      <c r="A1197">
        <v>1193</v>
      </c>
      <c r="B1197">
        <v>1194</v>
      </c>
      <c r="F1197" s="63"/>
      <c r="G1197" s="63"/>
      <c r="H1197" t="s">
        <v>78</v>
      </c>
      <c r="I1197" s="64">
        <v>1</v>
      </c>
      <c r="J1197" s="31"/>
      <c r="K1197" s="31"/>
      <c r="L1197" s="31"/>
      <c r="M1197" s="31"/>
      <c r="N1197" s="4"/>
      <c r="AG1197" t="s">
        <v>1237</v>
      </c>
      <c r="AM1197" s="1">
        <f t="shared" si="15"/>
        <v>0</v>
      </c>
    </row>
    <row r="1198" spans="1:39" x14ac:dyDescent="0.35">
      <c r="A1198">
        <v>1194</v>
      </c>
      <c r="B1198">
        <v>1195</v>
      </c>
      <c r="F1198" s="63"/>
      <c r="G1198" s="63"/>
      <c r="H1198" t="s">
        <v>78</v>
      </c>
      <c r="I1198" s="64">
        <v>1</v>
      </c>
      <c r="J1198" s="31"/>
      <c r="K1198" s="31"/>
      <c r="L1198" s="31"/>
      <c r="M1198" s="31"/>
      <c r="N1198" s="4"/>
      <c r="AG1198" t="s">
        <v>1238</v>
      </c>
      <c r="AM1198" s="1">
        <f t="shared" si="15"/>
        <v>0</v>
      </c>
    </row>
    <row r="1199" spans="1:39" x14ac:dyDescent="0.35">
      <c r="A1199">
        <v>1195</v>
      </c>
      <c r="B1199">
        <v>1196</v>
      </c>
      <c r="F1199" s="63"/>
      <c r="G1199" s="63"/>
      <c r="H1199" t="s">
        <v>78</v>
      </c>
      <c r="I1199" s="64">
        <v>1</v>
      </c>
      <c r="J1199" s="31"/>
      <c r="K1199" s="31"/>
      <c r="L1199" s="31"/>
      <c r="M1199" s="31"/>
      <c r="N1199" s="4"/>
      <c r="AG1199" t="s">
        <v>1239</v>
      </c>
      <c r="AM1199" s="1">
        <f t="shared" si="15"/>
        <v>0</v>
      </c>
    </row>
    <row r="1200" spans="1:39" x14ac:dyDescent="0.35">
      <c r="A1200">
        <v>1196</v>
      </c>
      <c r="B1200">
        <v>1197</v>
      </c>
      <c r="F1200" s="63"/>
      <c r="G1200" s="63"/>
      <c r="H1200" t="s">
        <v>78</v>
      </c>
      <c r="I1200" s="64">
        <v>1</v>
      </c>
      <c r="J1200" s="31"/>
      <c r="K1200" s="31"/>
      <c r="L1200" s="31"/>
      <c r="M1200" s="31"/>
      <c r="N1200" s="4"/>
      <c r="AG1200" t="s">
        <v>1240</v>
      </c>
      <c r="AM1200" s="1">
        <f t="shared" si="15"/>
        <v>0</v>
      </c>
    </row>
    <row r="1201" spans="1:39" x14ac:dyDescent="0.35">
      <c r="A1201">
        <v>1197</v>
      </c>
      <c r="B1201">
        <v>1198</v>
      </c>
      <c r="F1201" s="63"/>
      <c r="G1201" s="63"/>
      <c r="H1201" t="s">
        <v>78</v>
      </c>
      <c r="I1201" s="64">
        <v>1</v>
      </c>
      <c r="J1201" s="31"/>
      <c r="K1201" s="31"/>
      <c r="L1201" s="31"/>
      <c r="M1201" s="31"/>
      <c r="N1201" s="4"/>
      <c r="AG1201" t="s">
        <v>1241</v>
      </c>
      <c r="AM1201" s="1">
        <f t="shared" si="15"/>
        <v>0</v>
      </c>
    </row>
    <row r="1202" spans="1:39" x14ac:dyDescent="0.35">
      <c r="A1202">
        <v>1198</v>
      </c>
      <c r="B1202">
        <v>1199</v>
      </c>
      <c r="F1202" s="63"/>
      <c r="G1202" s="63"/>
      <c r="H1202" t="s">
        <v>78</v>
      </c>
      <c r="I1202" s="64">
        <v>1</v>
      </c>
      <c r="J1202" s="31"/>
      <c r="K1202" s="31"/>
      <c r="L1202" s="31"/>
      <c r="M1202" s="31"/>
      <c r="N1202" s="4"/>
      <c r="AG1202" t="s">
        <v>1242</v>
      </c>
      <c r="AM1202" s="1">
        <f t="shared" si="15"/>
        <v>0</v>
      </c>
    </row>
    <row r="1203" spans="1:39" x14ac:dyDescent="0.35">
      <c r="A1203">
        <v>1199</v>
      </c>
      <c r="B1203">
        <v>1200</v>
      </c>
      <c r="F1203" s="63"/>
      <c r="G1203" s="63"/>
      <c r="H1203" t="s">
        <v>78</v>
      </c>
      <c r="I1203" s="64">
        <v>1</v>
      </c>
      <c r="J1203" s="31"/>
      <c r="K1203" s="31"/>
      <c r="L1203" s="31"/>
      <c r="M1203" s="31"/>
      <c r="N1203" s="4"/>
      <c r="AG1203" t="s">
        <v>1243</v>
      </c>
      <c r="AM1203" s="1">
        <f t="shared" si="15"/>
        <v>0</v>
      </c>
    </row>
    <row r="1204" spans="1:39" x14ac:dyDescent="0.35">
      <c r="A1204">
        <v>1200</v>
      </c>
      <c r="B1204">
        <v>1201</v>
      </c>
      <c r="F1204" s="63"/>
      <c r="G1204" s="63"/>
      <c r="H1204" t="s">
        <v>78</v>
      </c>
      <c r="I1204" s="64">
        <v>1</v>
      </c>
      <c r="J1204" s="31"/>
      <c r="K1204" s="31"/>
      <c r="L1204" s="31"/>
      <c r="M1204" s="31"/>
      <c r="N1204" s="4"/>
      <c r="AG1204" t="s">
        <v>1244</v>
      </c>
      <c r="AM1204" s="1">
        <f t="shared" si="15"/>
        <v>0</v>
      </c>
    </row>
    <row r="1205" spans="1:39" x14ac:dyDescent="0.35">
      <c r="A1205">
        <v>1201</v>
      </c>
      <c r="B1205">
        <v>1202</v>
      </c>
      <c r="F1205" s="63"/>
      <c r="G1205" s="63"/>
      <c r="H1205" t="s">
        <v>78</v>
      </c>
      <c r="I1205" s="64">
        <v>1</v>
      </c>
      <c r="J1205" s="31"/>
      <c r="K1205" s="31"/>
      <c r="L1205" s="31"/>
      <c r="M1205" s="31"/>
      <c r="N1205" s="4"/>
      <c r="AG1205" t="s">
        <v>1245</v>
      </c>
      <c r="AM1205" s="1">
        <f t="shared" si="15"/>
        <v>0</v>
      </c>
    </row>
    <row r="1206" spans="1:39" x14ac:dyDescent="0.35">
      <c r="A1206">
        <v>1202</v>
      </c>
      <c r="B1206">
        <v>1203</v>
      </c>
      <c r="F1206" s="63"/>
      <c r="G1206" s="63"/>
      <c r="H1206" t="s">
        <v>78</v>
      </c>
      <c r="I1206" s="64">
        <v>1</v>
      </c>
      <c r="J1206" s="31"/>
      <c r="K1206" s="31"/>
      <c r="L1206" s="31"/>
      <c r="M1206" s="31"/>
      <c r="N1206" s="4"/>
      <c r="AG1206" t="s">
        <v>1246</v>
      </c>
      <c r="AM1206" s="1">
        <f t="shared" si="15"/>
        <v>0</v>
      </c>
    </row>
    <row r="1207" spans="1:39" x14ac:dyDescent="0.35">
      <c r="A1207">
        <v>1203</v>
      </c>
      <c r="B1207">
        <v>1204</v>
      </c>
      <c r="F1207" s="63"/>
      <c r="G1207" s="63"/>
      <c r="H1207" t="s">
        <v>78</v>
      </c>
      <c r="I1207" s="64">
        <v>1</v>
      </c>
      <c r="J1207" s="31"/>
      <c r="K1207" s="31"/>
      <c r="L1207" s="31"/>
      <c r="M1207" s="31"/>
      <c r="N1207" s="4"/>
      <c r="AG1207" t="s">
        <v>1247</v>
      </c>
      <c r="AM1207" s="1">
        <f t="shared" ref="AM1207:AM1270" si="16">HYPERLINK("E:\CAFNEC_GBRF\2023\JohnstoneRiver\Frames_for_Analysis\" &amp; F1208, F1208)</f>
        <v>0</v>
      </c>
    </row>
    <row r="1208" spans="1:39" x14ac:dyDescent="0.35">
      <c r="A1208">
        <v>1204</v>
      </c>
      <c r="B1208">
        <v>1205</v>
      </c>
      <c r="F1208" s="63"/>
      <c r="G1208" s="63"/>
      <c r="H1208" t="s">
        <v>78</v>
      </c>
      <c r="I1208" s="64">
        <v>1</v>
      </c>
      <c r="J1208" s="31"/>
      <c r="K1208" s="31"/>
      <c r="L1208" s="31"/>
      <c r="M1208" s="31"/>
      <c r="N1208" s="4"/>
      <c r="AG1208" t="s">
        <v>1248</v>
      </c>
      <c r="AM1208" s="1">
        <f t="shared" si="16"/>
        <v>0</v>
      </c>
    </row>
    <row r="1209" spans="1:39" x14ac:dyDescent="0.35">
      <c r="A1209">
        <v>1205</v>
      </c>
      <c r="B1209">
        <v>1206</v>
      </c>
      <c r="F1209" s="63"/>
      <c r="G1209" s="63"/>
      <c r="H1209" t="s">
        <v>78</v>
      </c>
      <c r="I1209" s="64">
        <v>1</v>
      </c>
      <c r="J1209" s="31"/>
      <c r="K1209" s="31"/>
      <c r="L1209" s="31"/>
      <c r="M1209" s="31"/>
      <c r="N1209" s="4"/>
      <c r="AG1209" t="s">
        <v>1249</v>
      </c>
      <c r="AM1209" s="1">
        <f t="shared" si="16"/>
        <v>0</v>
      </c>
    </row>
    <row r="1210" spans="1:39" x14ac:dyDescent="0.35">
      <c r="A1210">
        <v>1206</v>
      </c>
      <c r="B1210">
        <v>1207</v>
      </c>
      <c r="F1210" s="63"/>
      <c r="G1210" s="63"/>
      <c r="H1210" t="s">
        <v>78</v>
      </c>
      <c r="I1210" s="64">
        <v>1</v>
      </c>
      <c r="J1210" s="31"/>
      <c r="K1210" s="31"/>
      <c r="L1210" s="31"/>
      <c r="M1210" s="31"/>
      <c r="N1210" s="4"/>
      <c r="AG1210" t="s">
        <v>1250</v>
      </c>
      <c r="AM1210" s="1">
        <f t="shared" si="16"/>
        <v>0</v>
      </c>
    </row>
    <row r="1211" spans="1:39" x14ac:dyDescent="0.35">
      <c r="A1211">
        <v>1207</v>
      </c>
      <c r="B1211">
        <v>1208</v>
      </c>
      <c r="F1211" s="63"/>
      <c r="G1211" s="63"/>
      <c r="H1211" t="s">
        <v>78</v>
      </c>
      <c r="I1211" s="64">
        <v>1</v>
      </c>
      <c r="J1211" s="31"/>
      <c r="K1211" s="31"/>
      <c r="L1211" s="31"/>
      <c r="M1211" s="31"/>
      <c r="N1211" s="4"/>
      <c r="AG1211" t="s">
        <v>1251</v>
      </c>
      <c r="AM1211" s="1">
        <f t="shared" si="16"/>
        <v>0</v>
      </c>
    </row>
    <row r="1212" spans="1:39" x14ac:dyDescent="0.35">
      <c r="A1212">
        <v>1208</v>
      </c>
      <c r="B1212">
        <v>1209</v>
      </c>
      <c r="F1212" s="63"/>
      <c r="G1212" s="63"/>
      <c r="H1212" t="s">
        <v>78</v>
      </c>
      <c r="I1212" s="64">
        <v>1</v>
      </c>
      <c r="J1212" s="31"/>
      <c r="K1212" s="31"/>
      <c r="L1212" s="31"/>
      <c r="M1212" s="31"/>
      <c r="N1212" s="4"/>
      <c r="AG1212" t="s">
        <v>1252</v>
      </c>
      <c r="AM1212" s="1">
        <f t="shared" si="16"/>
        <v>0</v>
      </c>
    </row>
    <row r="1213" spans="1:39" x14ac:dyDescent="0.35">
      <c r="A1213">
        <v>1209</v>
      </c>
      <c r="B1213">
        <v>1210</v>
      </c>
      <c r="F1213" s="63"/>
      <c r="G1213" s="63"/>
      <c r="H1213" t="s">
        <v>78</v>
      </c>
      <c r="I1213" s="64">
        <v>1</v>
      </c>
      <c r="J1213" s="31"/>
      <c r="K1213" s="31"/>
      <c r="L1213" s="31"/>
      <c r="M1213" s="31"/>
      <c r="N1213" s="4"/>
      <c r="AG1213" t="s">
        <v>1253</v>
      </c>
      <c r="AM1213" s="1">
        <f t="shared" si="16"/>
        <v>0</v>
      </c>
    </row>
    <row r="1214" spans="1:39" x14ac:dyDescent="0.35">
      <c r="A1214">
        <v>1210</v>
      </c>
      <c r="B1214">
        <v>1211</v>
      </c>
      <c r="F1214" s="63"/>
      <c r="G1214" s="63"/>
      <c r="H1214" t="s">
        <v>78</v>
      </c>
      <c r="I1214" s="64">
        <v>1</v>
      </c>
      <c r="J1214" s="31"/>
      <c r="K1214" s="31"/>
      <c r="L1214" s="31"/>
      <c r="M1214" s="31"/>
      <c r="N1214" s="4"/>
      <c r="AG1214" t="s">
        <v>1254</v>
      </c>
      <c r="AM1214" s="1">
        <f t="shared" si="16"/>
        <v>0</v>
      </c>
    </row>
    <row r="1215" spans="1:39" x14ac:dyDescent="0.35">
      <c r="A1215">
        <v>1211</v>
      </c>
      <c r="B1215">
        <v>1212</v>
      </c>
      <c r="F1215" s="63"/>
      <c r="G1215" s="63"/>
      <c r="H1215" t="s">
        <v>78</v>
      </c>
      <c r="I1215" s="64">
        <v>1</v>
      </c>
      <c r="J1215" s="31"/>
      <c r="K1215" s="31"/>
      <c r="L1215" s="31"/>
      <c r="M1215" s="31"/>
      <c r="N1215" s="4"/>
      <c r="AG1215" t="s">
        <v>1255</v>
      </c>
      <c r="AM1215" s="1">
        <f t="shared" si="16"/>
        <v>0</v>
      </c>
    </row>
    <row r="1216" spans="1:39" x14ac:dyDescent="0.35">
      <c r="A1216">
        <v>1212</v>
      </c>
      <c r="B1216">
        <v>1213</v>
      </c>
      <c r="F1216" s="63"/>
      <c r="G1216" s="63"/>
      <c r="H1216" t="s">
        <v>78</v>
      </c>
      <c r="I1216" s="64">
        <v>1</v>
      </c>
      <c r="J1216" s="31"/>
      <c r="K1216" s="31"/>
      <c r="L1216" s="31"/>
      <c r="M1216" s="31"/>
      <c r="N1216" s="4"/>
      <c r="AG1216" t="s">
        <v>1256</v>
      </c>
      <c r="AM1216" s="1">
        <f t="shared" si="16"/>
        <v>0</v>
      </c>
    </row>
    <row r="1217" spans="1:39" x14ac:dyDescent="0.35">
      <c r="A1217">
        <v>1213</v>
      </c>
      <c r="B1217">
        <v>1214</v>
      </c>
      <c r="F1217" s="63"/>
      <c r="G1217" s="63"/>
      <c r="H1217" t="s">
        <v>78</v>
      </c>
      <c r="I1217" s="64">
        <v>1</v>
      </c>
      <c r="J1217" s="31"/>
      <c r="K1217" s="31"/>
      <c r="L1217" s="31"/>
      <c r="M1217" s="31"/>
      <c r="N1217" s="4"/>
      <c r="AG1217" t="s">
        <v>1257</v>
      </c>
      <c r="AM1217" s="1">
        <f t="shared" si="16"/>
        <v>0</v>
      </c>
    </row>
    <row r="1218" spans="1:39" x14ac:dyDescent="0.35">
      <c r="A1218">
        <v>1214</v>
      </c>
      <c r="B1218">
        <v>1215</v>
      </c>
      <c r="F1218" s="63"/>
      <c r="G1218" s="63"/>
      <c r="H1218" t="s">
        <v>78</v>
      </c>
      <c r="I1218" s="64">
        <v>1</v>
      </c>
      <c r="J1218" s="31"/>
      <c r="K1218" s="31"/>
      <c r="L1218" s="31"/>
      <c r="M1218" s="31"/>
      <c r="N1218" s="4"/>
      <c r="AG1218" t="s">
        <v>1258</v>
      </c>
      <c r="AM1218" s="1">
        <f t="shared" si="16"/>
        <v>0</v>
      </c>
    </row>
    <row r="1219" spans="1:39" x14ac:dyDescent="0.35">
      <c r="A1219">
        <v>1215</v>
      </c>
      <c r="B1219">
        <v>1216</v>
      </c>
      <c r="F1219" s="63"/>
      <c r="G1219" s="63"/>
      <c r="H1219" t="s">
        <v>78</v>
      </c>
      <c r="I1219" s="64">
        <v>1</v>
      </c>
      <c r="J1219" s="31"/>
      <c r="K1219" s="31"/>
      <c r="L1219" s="31"/>
      <c r="M1219" s="31"/>
      <c r="N1219" s="4"/>
      <c r="AG1219" t="s">
        <v>1259</v>
      </c>
      <c r="AM1219" s="1">
        <f t="shared" si="16"/>
        <v>0</v>
      </c>
    </row>
    <row r="1220" spans="1:39" x14ac:dyDescent="0.35">
      <c r="A1220">
        <v>1216</v>
      </c>
      <c r="B1220">
        <v>1217</v>
      </c>
      <c r="F1220" s="63"/>
      <c r="G1220" s="63"/>
      <c r="H1220" t="s">
        <v>78</v>
      </c>
      <c r="I1220" s="64">
        <v>1</v>
      </c>
      <c r="J1220" s="31"/>
      <c r="K1220" s="31"/>
      <c r="L1220" s="31"/>
      <c r="M1220" s="31"/>
      <c r="N1220" s="4"/>
      <c r="AG1220" t="s">
        <v>1260</v>
      </c>
      <c r="AM1220" s="1">
        <f t="shared" si="16"/>
        <v>0</v>
      </c>
    </row>
    <row r="1221" spans="1:39" x14ac:dyDescent="0.35">
      <c r="A1221">
        <v>1217</v>
      </c>
      <c r="B1221">
        <v>1218</v>
      </c>
      <c r="F1221" s="63"/>
      <c r="G1221" s="63"/>
      <c r="H1221" t="s">
        <v>78</v>
      </c>
      <c r="I1221" s="64">
        <v>1</v>
      </c>
      <c r="J1221" s="31"/>
      <c r="K1221" s="31"/>
      <c r="L1221" s="31"/>
      <c r="M1221" s="31"/>
      <c r="N1221" s="4"/>
      <c r="AG1221" t="s">
        <v>1261</v>
      </c>
      <c r="AM1221" s="1">
        <f t="shared" si="16"/>
        <v>0</v>
      </c>
    </row>
    <row r="1222" spans="1:39" x14ac:dyDescent="0.35">
      <c r="A1222">
        <v>1218</v>
      </c>
      <c r="B1222">
        <v>1219</v>
      </c>
      <c r="F1222" s="63"/>
      <c r="G1222" s="63"/>
      <c r="H1222" t="s">
        <v>78</v>
      </c>
      <c r="I1222" s="64">
        <v>1</v>
      </c>
      <c r="J1222" s="31"/>
      <c r="K1222" s="31"/>
      <c r="L1222" s="31"/>
      <c r="M1222" s="31"/>
      <c r="N1222" s="4"/>
      <c r="AG1222" t="s">
        <v>1262</v>
      </c>
      <c r="AM1222" s="1">
        <f t="shared" si="16"/>
        <v>0</v>
      </c>
    </row>
    <row r="1223" spans="1:39" x14ac:dyDescent="0.35">
      <c r="A1223">
        <v>1219</v>
      </c>
      <c r="B1223">
        <v>1220</v>
      </c>
      <c r="F1223" s="63"/>
      <c r="G1223" s="63"/>
      <c r="H1223" t="s">
        <v>78</v>
      </c>
      <c r="I1223" s="64">
        <v>1</v>
      </c>
      <c r="J1223" s="31"/>
      <c r="K1223" s="31"/>
      <c r="L1223" s="31"/>
      <c r="M1223" s="31"/>
      <c r="N1223" s="4"/>
      <c r="AG1223" t="s">
        <v>1263</v>
      </c>
      <c r="AM1223" s="1">
        <f t="shared" si="16"/>
        <v>0</v>
      </c>
    </row>
    <row r="1224" spans="1:39" x14ac:dyDescent="0.35">
      <c r="A1224">
        <v>1220</v>
      </c>
      <c r="B1224">
        <v>1221</v>
      </c>
      <c r="F1224" s="63"/>
      <c r="G1224" s="63"/>
      <c r="H1224" t="s">
        <v>78</v>
      </c>
      <c r="I1224" s="64">
        <v>1</v>
      </c>
      <c r="J1224" s="31"/>
      <c r="K1224" s="31"/>
      <c r="L1224" s="31"/>
      <c r="M1224" s="31"/>
      <c r="N1224" s="4"/>
      <c r="AG1224" t="s">
        <v>1264</v>
      </c>
      <c r="AM1224" s="1">
        <f t="shared" si="16"/>
        <v>0</v>
      </c>
    </row>
    <row r="1225" spans="1:39" x14ac:dyDescent="0.35">
      <c r="A1225">
        <v>1221</v>
      </c>
      <c r="B1225">
        <v>1222</v>
      </c>
      <c r="F1225" s="63"/>
      <c r="G1225" s="63"/>
      <c r="H1225" t="s">
        <v>78</v>
      </c>
      <c r="I1225" s="64">
        <v>1</v>
      </c>
      <c r="J1225" s="31"/>
      <c r="K1225" s="31"/>
      <c r="L1225" s="31"/>
      <c r="M1225" s="31"/>
      <c r="N1225" s="4"/>
      <c r="AG1225" t="s">
        <v>1265</v>
      </c>
      <c r="AM1225" s="1">
        <f t="shared" si="16"/>
        <v>0</v>
      </c>
    </row>
    <row r="1226" spans="1:39" x14ac:dyDescent="0.35">
      <c r="A1226">
        <v>1222</v>
      </c>
      <c r="B1226">
        <v>1223</v>
      </c>
      <c r="F1226" s="63"/>
      <c r="G1226" s="63"/>
      <c r="H1226" t="s">
        <v>78</v>
      </c>
      <c r="I1226" s="64">
        <v>1</v>
      </c>
      <c r="J1226" s="31"/>
      <c r="K1226" s="31"/>
      <c r="L1226" s="31"/>
      <c r="M1226" s="31"/>
      <c r="N1226" s="4"/>
      <c r="AG1226" t="s">
        <v>1266</v>
      </c>
      <c r="AM1226" s="1">
        <f t="shared" si="16"/>
        <v>0</v>
      </c>
    </row>
    <row r="1227" spans="1:39" x14ac:dyDescent="0.35">
      <c r="A1227">
        <v>1223</v>
      </c>
      <c r="B1227">
        <v>1224</v>
      </c>
      <c r="F1227" s="63"/>
      <c r="G1227" s="63"/>
      <c r="H1227" t="s">
        <v>78</v>
      </c>
      <c r="I1227" s="64">
        <v>1</v>
      </c>
      <c r="J1227" s="31"/>
      <c r="K1227" s="31"/>
      <c r="L1227" s="31"/>
      <c r="M1227" s="31"/>
      <c r="N1227" s="4"/>
      <c r="AG1227" t="s">
        <v>1267</v>
      </c>
      <c r="AM1227" s="1">
        <f t="shared" si="16"/>
        <v>0</v>
      </c>
    </row>
    <row r="1228" spans="1:39" x14ac:dyDescent="0.35">
      <c r="A1228">
        <v>1224</v>
      </c>
      <c r="B1228">
        <v>1225</v>
      </c>
      <c r="F1228" s="63"/>
      <c r="G1228" s="63"/>
      <c r="H1228" t="s">
        <v>78</v>
      </c>
      <c r="I1228" s="64">
        <v>1</v>
      </c>
      <c r="J1228" s="31"/>
      <c r="K1228" s="31"/>
      <c r="L1228" s="31"/>
      <c r="M1228" s="31"/>
      <c r="N1228" s="4"/>
      <c r="AG1228" t="s">
        <v>1268</v>
      </c>
      <c r="AM1228" s="1">
        <f t="shared" si="16"/>
        <v>0</v>
      </c>
    </row>
    <row r="1229" spans="1:39" x14ac:dyDescent="0.35">
      <c r="A1229">
        <v>1225</v>
      </c>
      <c r="B1229">
        <v>1226</v>
      </c>
      <c r="F1229" s="63"/>
      <c r="G1229" s="63"/>
      <c r="H1229" t="s">
        <v>78</v>
      </c>
      <c r="I1229" s="64">
        <v>1</v>
      </c>
      <c r="J1229" s="31"/>
      <c r="K1229" s="31"/>
      <c r="L1229" s="31"/>
      <c r="M1229" s="31"/>
      <c r="N1229" s="4"/>
      <c r="AG1229" t="s">
        <v>1269</v>
      </c>
      <c r="AM1229" s="1">
        <f t="shared" si="16"/>
        <v>0</v>
      </c>
    </row>
    <row r="1230" spans="1:39" x14ac:dyDescent="0.35">
      <c r="A1230">
        <v>1226</v>
      </c>
      <c r="B1230">
        <v>1227</v>
      </c>
      <c r="F1230" s="63"/>
      <c r="G1230" s="63"/>
      <c r="H1230" t="s">
        <v>78</v>
      </c>
      <c r="I1230" s="64">
        <v>1</v>
      </c>
      <c r="J1230" s="31"/>
      <c r="K1230" s="31"/>
      <c r="L1230" s="31"/>
      <c r="M1230" s="31"/>
      <c r="N1230" s="4"/>
      <c r="AG1230" t="s">
        <v>1270</v>
      </c>
      <c r="AM1230" s="1">
        <f t="shared" si="16"/>
        <v>0</v>
      </c>
    </row>
    <row r="1231" spans="1:39" x14ac:dyDescent="0.35">
      <c r="A1231">
        <v>1227</v>
      </c>
      <c r="B1231">
        <v>1228</v>
      </c>
      <c r="F1231" s="63"/>
      <c r="G1231" s="63"/>
      <c r="H1231" t="s">
        <v>78</v>
      </c>
      <c r="I1231" s="64">
        <v>1</v>
      </c>
      <c r="J1231" s="31"/>
      <c r="K1231" s="31"/>
      <c r="L1231" s="31"/>
      <c r="M1231" s="31"/>
      <c r="N1231" s="4"/>
      <c r="AG1231" t="s">
        <v>1271</v>
      </c>
      <c r="AM1231" s="1">
        <f t="shared" si="16"/>
        <v>0</v>
      </c>
    </row>
    <row r="1232" spans="1:39" x14ac:dyDescent="0.35">
      <c r="A1232">
        <v>1228</v>
      </c>
      <c r="B1232">
        <v>1229</v>
      </c>
      <c r="F1232" s="63"/>
      <c r="G1232" s="63"/>
      <c r="H1232" t="s">
        <v>78</v>
      </c>
      <c r="I1232" s="64">
        <v>1</v>
      </c>
      <c r="J1232" s="31"/>
      <c r="K1232" s="31"/>
      <c r="L1232" s="31"/>
      <c r="M1232" s="31"/>
      <c r="N1232" s="4"/>
      <c r="AG1232" t="s">
        <v>1272</v>
      </c>
      <c r="AM1232" s="1">
        <f t="shared" si="16"/>
        <v>0</v>
      </c>
    </row>
    <row r="1233" spans="1:39" x14ac:dyDescent="0.35">
      <c r="A1233">
        <v>1229</v>
      </c>
      <c r="B1233">
        <v>1230</v>
      </c>
      <c r="F1233" s="63"/>
      <c r="G1233" s="63"/>
      <c r="H1233" t="s">
        <v>78</v>
      </c>
      <c r="I1233" s="64">
        <v>1</v>
      </c>
      <c r="J1233" s="31"/>
      <c r="K1233" s="31"/>
      <c r="L1233" s="31"/>
      <c r="M1233" s="31"/>
      <c r="N1233" s="4"/>
      <c r="AG1233" t="s">
        <v>1273</v>
      </c>
      <c r="AM1233" s="1">
        <f t="shared" si="16"/>
        <v>0</v>
      </c>
    </row>
    <row r="1234" spans="1:39" x14ac:dyDescent="0.35">
      <c r="A1234">
        <v>1230</v>
      </c>
      <c r="B1234">
        <v>1231</v>
      </c>
      <c r="F1234" s="63"/>
      <c r="G1234" s="63"/>
      <c r="H1234" t="s">
        <v>78</v>
      </c>
      <c r="I1234" s="64">
        <v>1</v>
      </c>
      <c r="J1234" s="31"/>
      <c r="K1234" s="31"/>
      <c r="L1234" s="31"/>
      <c r="M1234" s="31"/>
      <c r="N1234" s="4"/>
      <c r="AG1234" t="s">
        <v>1274</v>
      </c>
      <c r="AM1234" s="1">
        <f t="shared" si="16"/>
        <v>0</v>
      </c>
    </row>
    <row r="1235" spans="1:39" x14ac:dyDescent="0.35">
      <c r="A1235">
        <v>1231</v>
      </c>
      <c r="B1235">
        <v>1232</v>
      </c>
      <c r="F1235" s="63"/>
      <c r="G1235" s="63"/>
      <c r="H1235" t="s">
        <v>78</v>
      </c>
      <c r="I1235" s="64">
        <v>1</v>
      </c>
      <c r="J1235" s="31"/>
      <c r="K1235" s="31"/>
      <c r="L1235" s="31"/>
      <c r="M1235" s="31"/>
      <c r="N1235" s="4"/>
      <c r="AG1235" t="s">
        <v>1275</v>
      </c>
      <c r="AM1235" s="1">
        <f t="shared" si="16"/>
        <v>0</v>
      </c>
    </row>
    <row r="1236" spans="1:39" x14ac:dyDescent="0.35">
      <c r="A1236">
        <v>1232</v>
      </c>
      <c r="B1236">
        <v>1233</v>
      </c>
      <c r="F1236" s="63"/>
      <c r="G1236" s="63"/>
      <c r="H1236" t="s">
        <v>78</v>
      </c>
      <c r="I1236" s="64">
        <v>1</v>
      </c>
      <c r="J1236" s="31"/>
      <c r="K1236" s="31"/>
      <c r="L1236" s="31"/>
      <c r="M1236" s="31"/>
      <c r="N1236" s="4"/>
      <c r="AG1236" t="s">
        <v>1276</v>
      </c>
      <c r="AM1236" s="1">
        <f t="shared" si="16"/>
        <v>0</v>
      </c>
    </row>
    <row r="1237" spans="1:39" x14ac:dyDescent="0.35">
      <c r="A1237">
        <v>1233</v>
      </c>
      <c r="B1237">
        <v>1234</v>
      </c>
      <c r="F1237" s="63"/>
      <c r="G1237" s="63"/>
      <c r="H1237" t="s">
        <v>78</v>
      </c>
      <c r="I1237" s="64">
        <v>1</v>
      </c>
      <c r="J1237" s="31"/>
      <c r="K1237" s="31"/>
      <c r="L1237" s="31"/>
      <c r="M1237" s="31"/>
      <c r="N1237" s="4"/>
      <c r="AG1237" t="s">
        <v>1277</v>
      </c>
      <c r="AM1237" s="1">
        <f t="shared" si="16"/>
        <v>0</v>
      </c>
    </row>
    <row r="1238" spans="1:39" x14ac:dyDescent="0.35">
      <c r="A1238">
        <v>1234</v>
      </c>
      <c r="B1238">
        <v>1235</v>
      </c>
      <c r="F1238" s="63"/>
      <c r="G1238" s="63"/>
      <c r="H1238" t="s">
        <v>78</v>
      </c>
      <c r="I1238" s="64">
        <v>1</v>
      </c>
      <c r="J1238" s="31"/>
      <c r="K1238" s="31"/>
      <c r="L1238" s="31"/>
      <c r="M1238" s="31"/>
      <c r="N1238" s="4"/>
      <c r="AG1238" t="s">
        <v>1278</v>
      </c>
      <c r="AM1238" s="1">
        <f t="shared" si="16"/>
        <v>0</v>
      </c>
    </row>
    <row r="1239" spans="1:39" x14ac:dyDescent="0.35">
      <c r="A1239">
        <v>1235</v>
      </c>
      <c r="B1239">
        <v>1236</v>
      </c>
      <c r="F1239" s="63"/>
      <c r="G1239" s="63"/>
      <c r="H1239" t="s">
        <v>78</v>
      </c>
      <c r="I1239" s="64">
        <v>1</v>
      </c>
      <c r="J1239" s="31"/>
      <c r="K1239" s="31"/>
      <c r="L1239" s="31"/>
      <c r="M1239" s="31"/>
      <c r="N1239" s="4"/>
      <c r="AG1239" t="s">
        <v>1279</v>
      </c>
      <c r="AM1239" s="1">
        <f t="shared" si="16"/>
        <v>0</v>
      </c>
    </row>
    <row r="1240" spans="1:39" x14ac:dyDescent="0.35">
      <c r="A1240">
        <v>1236</v>
      </c>
      <c r="B1240">
        <v>1237</v>
      </c>
      <c r="F1240" s="63"/>
      <c r="G1240" s="63"/>
      <c r="H1240" t="s">
        <v>78</v>
      </c>
      <c r="I1240" s="64">
        <v>1</v>
      </c>
      <c r="J1240" s="31"/>
      <c r="K1240" s="31"/>
      <c r="L1240" s="31"/>
      <c r="M1240" s="31"/>
      <c r="N1240" s="4"/>
      <c r="AG1240" t="s">
        <v>1280</v>
      </c>
      <c r="AM1240" s="1">
        <f t="shared" si="16"/>
        <v>0</v>
      </c>
    </row>
    <row r="1241" spans="1:39" x14ac:dyDescent="0.35">
      <c r="A1241">
        <v>1237</v>
      </c>
      <c r="B1241">
        <v>1238</v>
      </c>
      <c r="F1241" s="63"/>
      <c r="G1241" s="63"/>
      <c r="H1241" t="s">
        <v>78</v>
      </c>
      <c r="I1241" s="64">
        <v>1</v>
      </c>
      <c r="J1241" s="31"/>
      <c r="K1241" s="31"/>
      <c r="L1241" s="31"/>
      <c r="M1241" s="31"/>
      <c r="N1241" s="4"/>
      <c r="AG1241" t="s">
        <v>1281</v>
      </c>
      <c r="AM1241" s="1">
        <f t="shared" si="16"/>
        <v>0</v>
      </c>
    </row>
    <row r="1242" spans="1:39" x14ac:dyDescent="0.35">
      <c r="A1242">
        <v>1238</v>
      </c>
      <c r="B1242">
        <v>1239</v>
      </c>
      <c r="F1242" s="63"/>
      <c r="G1242" s="63"/>
      <c r="H1242" t="s">
        <v>78</v>
      </c>
      <c r="I1242" s="64">
        <v>1</v>
      </c>
      <c r="J1242" s="31"/>
      <c r="K1242" s="31"/>
      <c r="L1242" s="31"/>
      <c r="M1242" s="31"/>
      <c r="N1242" s="4"/>
      <c r="AG1242" t="s">
        <v>1282</v>
      </c>
      <c r="AM1242" s="1">
        <f t="shared" si="16"/>
        <v>0</v>
      </c>
    </row>
    <row r="1243" spans="1:39" x14ac:dyDescent="0.35">
      <c r="A1243">
        <v>1239</v>
      </c>
      <c r="B1243">
        <v>1240</v>
      </c>
      <c r="F1243" s="63"/>
      <c r="G1243" s="63"/>
      <c r="H1243" t="s">
        <v>78</v>
      </c>
      <c r="I1243" s="64">
        <v>1</v>
      </c>
      <c r="J1243" s="31"/>
      <c r="K1243" s="31"/>
      <c r="L1243" s="31"/>
      <c r="M1243" s="31"/>
      <c r="N1243" s="4"/>
      <c r="AG1243" t="s">
        <v>1283</v>
      </c>
      <c r="AM1243" s="1">
        <f t="shared" si="16"/>
        <v>0</v>
      </c>
    </row>
    <row r="1244" spans="1:39" x14ac:dyDescent="0.35">
      <c r="A1244">
        <v>1240</v>
      </c>
      <c r="B1244">
        <v>1241</v>
      </c>
      <c r="F1244" s="63"/>
      <c r="G1244" s="63"/>
      <c r="H1244" t="s">
        <v>78</v>
      </c>
      <c r="I1244" s="64">
        <v>1</v>
      </c>
      <c r="J1244" s="31"/>
      <c r="K1244" s="31"/>
      <c r="L1244" s="31"/>
      <c r="M1244" s="31"/>
      <c r="N1244" s="4"/>
      <c r="AG1244" t="s">
        <v>1284</v>
      </c>
      <c r="AM1244" s="1">
        <f t="shared" si="16"/>
        <v>0</v>
      </c>
    </row>
    <row r="1245" spans="1:39" x14ac:dyDescent="0.35">
      <c r="A1245">
        <v>1241</v>
      </c>
      <c r="B1245">
        <v>1242</v>
      </c>
      <c r="F1245" s="63"/>
      <c r="G1245" s="63"/>
      <c r="H1245" t="s">
        <v>78</v>
      </c>
      <c r="I1245" s="64">
        <v>1</v>
      </c>
      <c r="J1245" s="31"/>
      <c r="K1245" s="31"/>
      <c r="L1245" s="31"/>
      <c r="M1245" s="31"/>
      <c r="N1245" s="4"/>
      <c r="AG1245" t="s">
        <v>1285</v>
      </c>
      <c r="AM1245" s="1">
        <f t="shared" si="16"/>
        <v>0</v>
      </c>
    </row>
    <row r="1246" spans="1:39" x14ac:dyDescent="0.35">
      <c r="A1246">
        <v>1242</v>
      </c>
      <c r="B1246">
        <v>1243</v>
      </c>
      <c r="F1246" s="63"/>
      <c r="G1246" s="63"/>
      <c r="H1246" t="s">
        <v>78</v>
      </c>
      <c r="I1246" s="64">
        <v>1</v>
      </c>
      <c r="J1246" s="31"/>
      <c r="K1246" s="31"/>
      <c r="L1246" s="31"/>
      <c r="M1246" s="31"/>
      <c r="N1246" s="4"/>
      <c r="AG1246" t="s">
        <v>1286</v>
      </c>
      <c r="AM1246" s="1">
        <f t="shared" si="16"/>
        <v>0</v>
      </c>
    </row>
    <row r="1247" spans="1:39" x14ac:dyDescent="0.35">
      <c r="A1247">
        <v>1243</v>
      </c>
      <c r="B1247">
        <v>1244</v>
      </c>
      <c r="F1247" s="63"/>
      <c r="G1247" s="63"/>
      <c r="H1247" t="s">
        <v>78</v>
      </c>
      <c r="I1247" s="64">
        <v>1</v>
      </c>
      <c r="J1247" s="31"/>
      <c r="K1247" s="31"/>
      <c r="L1247" s="31"/>
      <c r="M1247" s="31"/>
      <c r="N1247" s="4"/>
      <c r="AG1247" t="s">
        <v>1287</v>
      </c>
      <c r="AM1247" s="1">
        <f t="shared" si="16"/>
        <v>0</v>
      </c>
    </row>
    <row r="1248" spans="1:39" x14ac:dyDescent="0.35">
      <c r="A1248">
        <v>1244</v>
      </c>
      <c r="B1248">
        <v>1245</v>
      </c>
      <c r="F1248" s="63"/>
      <c r="G1248" s="63"/>
      <c r="H1248" t="s">
        <v>78</v>
      </c>
      <c r="I1248" s="64">
        <v>1</v>
      </c>
      <c r="J1248" s="31"/>
      <c r="K1248" s="31"/>
      <c r="L1248" s="31"/>
      <c r="M1248" s="31"/>
      <c r="N1248" s="4"/>
      <c r="AG1248" t="s">
        <v>1288</v>
      </c>
      <c r="AM1248" s="1">
        <f t="shared" si="16"/>
        <v>0</v>
      </c>
    </row>
    <row r="1249" spans="1:39" x14ac:dyDescent="0.35">
      <c r="A1249">
        <v>1245</v>
      </c>
      <c r="B1249">
        <v>1246</v>
      </c>
      <c r="F1249" s="63"/>
      <c r="G1249" s="63"/>
      <c r="H1249" t="s">
        <v>78</v>
      </c>
      <c r="I1249" s="64">
        <v>1</v>
      </c>
      <c r="J1249" s="31"/>
      <c r="K1249" s="31"/>
      <c r="L1249" s="31"/>
      <c r="M1249" s="31"/>
      <c r="N1249" s="4"/>
      <c r="AG1249" t="s">
        <v>1289</v>
      </c>
      <c r="AM1249" s="1">
        <f t="shared" si="16"/>
        <v>0</v>
      </c>
    </row>
    <row r="1250" spans="1:39" x14ac:dyDescent="0.35">
      <c r="A1250">
        <v>1246</v>
      </c>
      <c r="B1250">
        <v>1247</v>
      </c>
      <c r="F1250" s="63"/>
      <c r="G1250" s="63"/>
      <c r="H1250" t="s">
        <v>78</v>
      </c>
      <c r="I1250" s="64">
        <v>1</v>
      </c>
      <c r="J1250" s="31"/>
      <c r="K1250" s="31"/>
      <c r="L1250" s="31"/>
      <c r="M1250" s="31"/>
      <c r="N1250" s="4"/>
      <c r="AG1250" t="s">
        <v>1290</v>
      </c>
      <c r="AM1250" s="1">
        <f t="shared" si="16"/>
        <v>0</v>
      </c>
    </row>
    <row r="1251" spans="1:39" x14ac:dyDescent="0.35">
      <c r="A1251">
        <v>1247</v>
      </c>
      <c r="B1251">
        <v>1248</v>
      </c>
      <c r="F1251" s="63"/>
      <c r="G1251" s="63"/>
      <c r="H1251" t="s">
        <v>78</v>
      </c>
      <c r="I1251" s="64">
        <v>1</v>
      </c>
      <c r="J1251" s="31"/>
      <c r="K1251" s="31"/>
      <c r="L1251" s="31"/>
      <c r="M1251" s="31"/>
      <c r="N1251" s="4"/>
      <c r="AG1251" t="s">
        <v>1291</v>
      </c>
      <c r="AM1251" s="1">
        <f t="shared" si="16"/>
        <v>0</v>
      </c>
    </row>
    <row r="1252" spans="1:39" x14ac:dyDescent="0.35">
      <c r="A1252">
        <v>1248</v>
      </c>
      <c r="B1252">
        <v>1249</v>
      </c>
      <c r="F1252" s="63"/>
      <c r="G1252" s="63"/>
      <c r="H1252" t="s">
        <v>78</v>
      </c>
      <c r="I1252" s="64">
        <v>1</v>
      </c>
      <c r="J1252" s="31"/>
      <c r="K1252" s="31"/>
      <c r="L1252" s="31"/>
      <c r="M1252" s="31"/>
      <c r="N1252" s="4"/>
      <c r="AG1252" t="s">
        <v>1292</v>
      </c>
      <c r="AM1252" s="1">
        <f t="shared" si="16"/>
        <v>0</v>
      </c>
    </row>
    <row r="1253" spans="1:39" x14ac:dyDescent="0.35">
      <c r="A1253">
        <v>1249</v>
      </c>
      <c r="B1253">
        <v>1250</v>
      </c>
      <c r="F1253" s="63"/>
      <c r="G1253" s="63"/>
      <c r="H1253" t="s">
        <v>78</v>
      </c>
      <c r="I1253" s="64">
        <v>1</v>
      </c>
      <c r="J1253" s="31"/>
      <c r="K1253" s="31"/>
      <c r="L1253" s="31"/>
      <c r="M1253" s="31"/>
      <c r="N1253" s="4"/>
      <c r="AG1253" t="s">
        <v>1293</v>
      </c>
      <c r="AM1253" s="1">
        <f t="shared" si="16"/>
        <v>0</v>
      </c>
    </row>
    <row r="1254" spans="1:39" x14ac:dyDescent="0.35">
      <c r="A1254">
        <v>1250</v>
      </c>
      <c r="B1254">
        <v>1251</v>
      </c>
      <c r="F1254" s="63"/>
      <c r="G1254" s="63"/>
      <c r="H1254" t="s">
        <v>78</v>
      </c>
      <c r="I1254" s="64">
        <v>1</v>
      </c>
      <c r="J1254" s="31"/>
      <c r="K1254" s="31"/>
      <c r="L1254" s="31"/>
      <c r="M1254" s="31"/>
      <c r="N1254" s="4"/>
      <c r="AG1254" t="s">
        <v>1294</v>
      </c>
      <c r="AM1254" s="1">
        <f t="shared" si="16"/>
        <v>0</v>
      </c>
    </row>
    <row r="1255" spans="1:39" x14ac:dyDescent="0.35">
      <c r="A1255">
        <v>1251</v>
      </c>
      <c r="B1255">
        <v>1252</v>
      </c>
      <c r="F1255" s="63"/>
      <c r="G1255" s="63"/>
      <c r="H1255" t="s">
        <v>78</v>
      </c>
      <c r="I1255" s="64">
        <v>1</v>
      </c>
      <c r="J1255" s="31"/>
      <c r="K1255" s="31"/>
      <c r="L1255" s="31"/>
      <c r="M1255" s="31"/>
      <c r="N1255" s="4"/>
      <c r="AG1255" t="s">
        <v>1295</v>
      </c>
      <c r="AM1255" s="1">
        <f t="shared" si="16"/>
        <v>0</v>
      </c>
    </row>
    <row r="1256" spans="1:39" x14ac:dyDescent="0.35">
      <c r="A1256">
        <v>1252</v>
      </c>
      <c r="B1256">
        <v>1253</v>
      </c>
      <c r="F1256" s="63"/>
      <c r="G1256" s="63"/>
      <c r="H1256" t="s">
        <v>78</v>
      </c>
      <c r="I1256" s="64">
        <v>1</v>
      </c>
      <c r="J1256" s="31"/>
      <c r="K1256" s="31"/>
      <c r="L1256" s="31"/>
      <c r="M1256" s="31"/>
      <c r="N1256" s="4"/>
      <c r="AG1256" t="s">
        <v>1296</v>
      </c>
      <c r="AM1256" s="1">
        <f t="shared" si="16"/>
        <v>0</v>
      </c>
    </row>
    <row r="1257" spans="1:39" x14ac:dyDescent="0.35">
      <c r="A1257">
        <v>1253</v>
      </c>
      <c r="B1257">
        <v>1254</v>
      </c>
      <c r="F1257" s="63"/>
      <c r="G1257" s="63"/>
      <c r="H1257" t="s">
        <v>78</v>
      </c>
      <c r="I1257" s="64">
        <v>1</v>
      </c>
      <c r="J1257" s="31"/>
      <c r="K1257" s="31"/>
      <c r="L1257" s="31"/>
      <c r="M1257" s="31"/>
      <c r="N1257" s="4"/>
      <c r="AG1257" t="s">
        <v>1297</v>
      </c>
      <c r="AM1257" s="1">
        <f t="shared" si="16"/>
        <v>0</v>
      </c>
    </row>
    <row r="1258" spans="1:39" x14ac:dyDescent="0.35">
      <c r="A1258">
        <v>1254</v>
      </c>
      <c r="B1258">
        <v>1255</v>
      </c>
      <c r="F1258" s="63"/>
      <c r="G1258" s="63"/>
      <c r="H1258" t="s">
        <v>78</v>
      </c>
      <c r="I1258" s="64">
        <v>1</v>
      </c>
      <c r="J1258" s="31"/>
      <c r="K1258" s="31"/>
      <c r="L1258" s="31"/>
      <c r="M1258" s="31"/>
      <c r="N1258" s="4"/>
      <c r="AG1258" t="s">
        <v>1298</v>
      </c>
      <c r="AM1258" s="1">
        <f t="shared" si="16"/>
        <v>0</v>
      </c>
    </row>
    <row r="1259" spans="1:39" x14ac:dyDescent="0.35">
      <c r="A1259">
        <v>1255</v>
      </c>
      <c r="B1259">
        <v>1256</v>
      </c>
      <c r="F1259" s="63"/>
      <c r="G1259" s="63"/>
      <c r="H1259" t="s">
        <v>78</v>
      </c>
      <c r="I1259" s="64">
        <v>1</v>
      </c>
      <c r="J1259" s="31"/>
      <c r="K1259" s="31"/>
      <c r="L1259" s="31"/>
      <c r="M1259" s="31"/>
      <c r="N1259" s="4"/>
      <c r="AG1259" t="s">
        <v>1299</v>
      </c>
      <c r="AM1259" s="1">
        <f t="shared" si="16"/>
        <v>0</v>
      </c>
    </row>
    <row r="1260" spans="1:39" x14ac:dyDescent="0.35">
      <c r="A1260">
        <v>1256</v>
      </c>
      <c r="B1260">
        <v>1257</v>
      </c>
      <c r="F1260" s="63"/>
      <c r="G1260" s="63"/>
      <c r="H1260" t="s">
        <v>78</v>
      </c>
      <c r="I1260" s="64">
        <v>1</v>
      </c>
      <c r="J1260" s="31"/>
      <c r="K1260" s="31"/>
      <c r="L1260" s="31"/>
      <c r="M1260" s="31"/>
      <c r="N1260" s="4"/>
      <c r="AG1260" t="s">
        <v>1300</v>
      </c>
      <c r="AM1260" s="1">
        <f t="shared" si="16"/>
        <v>0</v>
      </c>
    </row>
    <row r="1261" spans="1:39" x14ac:dyDescent="0.35">
      <c r="A1261">
        <v>1257</v>
      </c>
      <c r="B1261">
        <v>1258</v>
      </c>
      <c r="F1261" s="63"/>
      <c r="G1261" s="63"/>
      <c r="H1261" t="s">
        <v>78</v>
      </c>
      <c r="I1261" s="64">
        <v>1</v>
      </c>
      <c r="J1261" s="31"/>
      <c r="K1261" s="31"/>
      <c r="L1261" s="31"/>
      <c r="M1261" s="31"/>
      <c r="N1261" s="4"/>
      <c r="AG1261" t="s">
        <v>1301</v>
      </c>
      <c r="AM1261" s="1">
        <f t="shared" si="16"/>
        <v>0</v>
      </c>
    </row>
    <row r="1262" spans="1:39" x14ac:dyDescent="0.35">
      <c r="A1262">
        <v>1258</v>
      </c>
      <c r="B1262">
        <v>1259</v>
      </c>
      <c r="F1262" s="63"/>
      <c r="G1262" s="63"/>
      <c r="H1262" t="s">
        <v>78</v>
      </c>
      <c r="I1262" s="64">
        <v>1</v>
      </c>
      <c r="J1262" s="31"/>
      <c r="K1262" s="31"/>
      <c r="L1262" s="31"/>
      <c r="M1262" s="31"/>
      <c r="N1262" s="4"/>
      <c r="AG1262" t="s">
        <v>1302</v>
      </c>
      <c r="AM1262" s="1">
        <f t="shared" si="16"/>
        <v>0</v>
      </c>
    </row>
    <row r="1263" spans="1:39" x14ac:dyDescent="0.35">
      <c r="A1263">
        <v>1259</v>
      </c>
      <c r="B1263">
        <v>1260</v>
      </c>
      <c r="F1263" s="63"/>
      <c r="G1263" s="63"/>
      <c r="H1263" t="s">
        <v>78</v>
      </c>
      <c r="I1263" s="64">
        <v>1</v>
      </c>
      <c r="J1263" s="31"/>
      <c r="K1263" s="31"/>
      <c r="L1263" s="31"/>
      <c r="M1263" s="31"/>
      <c r="N1263" s="4"/>
      <c r="AG1263" t="s">
        <v>1303</v>
      </c>
      <c r="AM1263" s="1">
        <f t="shared" si="16"/>
        <v>0</v>
      </c>
    </row>
    <row r="1264" spans="1:39" x14ac:dyDescent="0.35">
      <c r="A1264">
        <v>1260</v>
      </c>
      <c r="B1264">
        <v>1261</v>
      </c>
      <c r="F1264" s="63"/>
      <c r="G1264" s="63"/>
      <c r="H1264" t="s">
        <v>78</v>
      </c>
      <c r="I1264" s="64">
        <v>1</v>
      </c>
      <c r="J1264" s="31"/>
      <c r="K1264" s="31"/>
      <c r="L1264" s="31"/>
      <c r="M1264" s="31"/>
      <c r="N1264" s="4"/>
      <c r="AG1264" t="s">
        <v>1304</v>
      </c>
      <c r="AM1264" s="1">
        <f t="shared" si="16"/>
        <v>0</v>
      </c>
    </row>
    <row r="1265" spans="1:39" x14ac:dyDescent="0.35">
      <c r="A1265">
        <v>1261</v>
      </c>
      <c r="B1265">
        <v>1262</v>
      </c>
      <c r="F1265" s="63"/>
      <c r="G1265" s="63"/>
      <c r="H1265" t="s">
        <v>78</v>
      </c>
      <c r="I1265" s="64">
        <v>1</v>
      </c>
      <c r="J1265" s="31"/>
      <c r="K1265" s="31"/>
      <c r="L1265" s="31"/>
      <c r="M1265" s="31"/>
      <c r="N1265" s="4"/>
      <c r="AG1265" t="s">
        <v>1305</v>
      </c>
      <c r="AM1265" s="1">
        <f t="shared" si="16"/>
        <v>0</v>
      </c>
    </row>
    <row r="1266" spans="1:39" x14ac:dyDescent="0.35">
      <c r="A1266">
        <v>1262</v>
      </c>
      <c r="B1266">
        <v>1263</v>
      </c>
      <c r="F1266" s="63"/>
      <c r="G1266" s="63"/>
      <c r="H1266" t="s">
        <v>78</v>
      </c>
      <c r="I1266" s="64">
        <v>1</v>
      </c>
      <c r="J1266" s="31"/>
      <c r="K1266" s="31"/>
      <c r="L1266" s="31"/>
      <c r="M1266" s="31"/>
      <c r="N1266" s="4"/>
      <c r="AG1266" t="s">
        <v>1306</v>
      </c>
      <c r="AM1266" s="1">
        <f t="shared" si="16"/>
        <v>0</v>
      </c>
    </row>
    <row r="1267" spans="1:39" x14ac:dyDescent="0.35">
      <c r="A1267">
        <v>1263</v>
      </c>
      <c r="B1267">
        <v>1264</v>
      </c>
      <c r="F1267" s="63"/>
      <c r="G1267" s="63"/>
      <c r="H1267" t="s">
        <v>78</v>
      </c>
      <c r="I1267" s="64">
        <v>1</v>
      </c>
      <c r="J1267" s="31"/>
      <c r="K1267" s="31"/>
      <c r="L1267" s="31"/>
      <c r="M1267" s="31"/>
      <c r="N1267" s="4"/>
      <c r="AG1267" t="s">
        <v>1307</v>
      </c>
      <c r="AM1267" s="1">
        <f t="shared" si="16"/>
        <v>0</v>
      </c>
    </row>
    <row r="1268" spans="1:39" x14ac:dyDescent="0.35">
      <c r="A1268">
        <v>1264</v>
      </c>
      <c r="B1268">
        <v>1265</v>
      </c>
      <c r="F1268" s="63"/>
      <c r="G1268" s="63"/>
      <c r="H1268" t="s">
        <v>78</v>
      </c>
      <c r="I1268" s="64">
        <v>1</v>
      </c>
      <c r="J1268" s="31"/>
      <c r="K1268" s="31"/>
      <c r="L1268" s="31"/>
      <c r="M1268" s="31"/>
      <c r="N1268" s="4"/>
      <c r="AG1268" t="s">
        <v>1308</v>
      </c>
      <c r="AM1268" s="1">
        <f t="shared" si="16"/>
        <v>0</v>
      </c>
    </row>
    <row r="1269" spans="1:39" x14ac:dyDescent="0.35">
      <c r="A1269">
        <v>1265</v>
      </c>
      <c r="B1269">
        <v>1266</v>
      </c>
      <c r="F1269" s="63"/>
      <c r="G1269" s="63"/>
      <c r="H1269" t="s">
        <v>78</v>
      </c>
      <c r="I1269" s="64">
        <v>1</v>
      </c>
      <c r="J1269" s="31"/>
      <c r="K1269" s="31"/>
      <c r="L1269" s="31"/>
      <c r="M1269" s="31"/>
      <c r="N1269" s="4"/>
      <c r="AG1269" t="s">
        <v>1309</v>
      </c>
      <c r="AM1269" s="1">
        <f t="shared" si="16"/>
        <v>0</v>
      </c>
    </row>
    <row r="1270" spans="1:39" x14ac:dyDescent="0.35">
      <c r="A1270">
        <v>1266</v>
      </c>
      <c r="B1270">
        <v>1267</v>
      </c>
      <c r="F1270" s="63"/>
      <c r="G1270" s="63"/>
      <c r="H1270" t="s">
        <v>78</v>
      </c>
      <c r="I1270" s="64">
        <v>1</v>
      </c>
      <c r="J1270" s="31"/>
      <c r="K1270" s="31"/>
      <c r="L1270" s="31"/>
      <c r="M1270" s="31"/>
      <c r="N1270" s="4"/>
      <c r="AG1270" t="s">
        <v>1310</v>
      </c>
      <c r="AM1270" s="1">
        <f t="shared" si="16"/>
        <v>0</v>
      </c>
    </row>
    <row r="1271" spans="1:39" x14ac:dyDescent="0.35">
      <c r="A1271">
        <v>1267</v>
      </c>
      <c r="B1271">
        <v>1268</v>
      </c>
      <c r="F1271" s="63"/>
      <c r="G1271" s="63"/>
      <c r="H1271" t="s">
        <v>78</v>
      </c>
      <c r="I1271" s="64">
        <v>1</v>
      </c>
      <c r="J1271" s="31"/>
      <c r="K1271" s="31"/>
      <c r="L1271" s="31"/>
      <c r="M1271" s="31"/>
      <c r="N1271" s="4"/>
      <c r="AG1271" t="s">
        <v>1311</v>
      </c>
      <c r="AM1271" s="1">
        <f t="shared" ref="AM1271:AM1278" si="17">HYPERLINK("E:\CAFNEC_GBRF\2023\JohnstoneRiver\Frames_for_Analysis\" &amp; F1272, F1272)</f>
        <v>0</v>
      </c>
    </row>
    <row r="1272" spans="1:39" x14ac:dyDescent="0.35">
      <c r="A1272">
        <v>1268</v>
      </c>
      <c r="B1272">
        <v>1269</v>
      </c>
      <c r="F1272" s="63"/>
      <c r="G1272" s="63"/>
      <c r="H1272" t="s">
        <v>78</v>
      </c>
      <c r="I1272" s="64">
        <v>1</v>
      </c>
      <c r="J1272" s="31"/>
      <c r="K1272" s="31"/>
      <c r="L1272" s="31"/>
      <c r="M1272" s="31"/>
      <c r="N1272" s="4"/>
      <c r="AG1272" t="s">
        <v>1312</v>
      </c>
      <c r="AM1272" s="1">
        <f t="shared" si="17"/>
        <v>0</v>
      </c>
    </row>
    <row r="1273" spans="1:39" x14ac:dyDescent="0.35">
      <c r="A1273">
        <v>1269</v>
      </c>
      <c r="B1273">
        <v>1270</v>
      </c>
      <c r="F1273" s="63"/>
      <c r="G1273" s="63"/>
      <c r="H1273" t="s">
        <v>78</v>
      </c>
      <c r="I1273" s="64">
        <v>1</v>
      </c>
      <c r="J1273" s="31"/>
      <c r="K1273" s="31"/>
      <c r="L1273" s="31"/>
      <c r="M1273" s="31"/>
      <c r="N1273" s="4"/>
      <c r="AG1273" t="s">
        <v>1313</v>
      </c>
      <c r="AM1273" s="1">
        <f t="shared" si="17"/>
        <v>0</v>
      </c>
    </row>
    <row r="1274" spans="1:39" x14ac:dyDescent="0.35">
      <c r="A1274">
        <v>1270</v>
      </c>
      <c r="B1274">
        <v>1271</v>
      </c>
      <c r="F1274" s="63"/>
      <c r="G1274" s="63"/>
      <c r="H1274" t="s">
        <v>78</v>
      </c>
      <c r="I1274" s="64">
        <v>1</v>
      </c>
      <c r="J1274" s="31"/>
      <c r="K1274" s="31"/>
      <c r="L1274" s="31"/>
      <c r="M1274" s="31"/>
      <c r="N1274" s="4"/>
      <c r="AG1274" t="s">
        <v>1314</v>
      </c>
      <c r="AM1274" s="1">
        <f t="shared" si="17"/>
        <v>0</v>
      </c>
    </row>
    <row r="1275" spans="1:39" x14ac:dyDescent="0.35">
      <c r="A1275">
        <v>1271</v>
      </c>
      <c r="B1275">
        <v>1272</v>
      </c>
      <c r="F1275" s="63"/>
      <c r="G1275" s="63"/>
      <c r="H1275" t="s">
        <v>78</v>
      </c>
      <c r="I1275" s="64">
        <v>1</v>
      </c>
      <c r="J1275" s="31"/>
      <c r="K1275" s="31"/>
      <c r="L1275" s="31"/>
      <c r="M1275" s="31"/>
      <c r="N1275" s="4"/>
      <c r="AG1275" t="s">
        <v>1315</v>
      </c>
      <c r="AM1275" s="1">
        <f t="shared" si="17"/>
        <v>0</v>
      </c>
    </row>
    <row r="1276" spans="1:39" x14ac:dyDescent="0.35">
      <c r="A1276">
        <v>1272</v>
      </c>
      <c r="B1276">
        <v>1273</v>
      </c>
      <c r="F1276" s="63"/>
      <c r="G1276" s="63"/>
      <c r="H1276" t="s">
        <v>78</v>
      </c>
      <c r="I1276" s="64">
        <v>1</v>
      </c>
      <c r="J1276" s="31"/>
      <c r="K1276" s="31"/>
      <c r="L1276" s="31"/>
      <c r="M1276" s="31"/>
      <c r="N1276" s="4"/>
      <c r="AG1276" t="s">
        <v>1316</v>
      </c>
      <c r="AM1276" s="1">
        <f t="shared" si="17"/>
        <v>0</v>
      </c>
    </row>
    <row r="1277" spans="1:39" x14ac:dyDescent="0.35">
      <c r="A1277">
        <v>1273</v>
      </c>
      <c r="B1277">
        <v>1274</v>
      </c>
      <c r="F1277" s="63"/>
      <c r="G1277" s="63"/>
      <c r="H1277" t="s">
        <v>78</v>
      </c>
      <c r="I1277" s="64">
        <v>1</v>
      </c>
      <c r="J1277" s="31"/>
      <c r="K1277" s="31"/>
      <c r="L1277" s="31"/>
      <c r="M1277" s="31"/>
      <c r="N1277" s="4"/>
      <c r="AG1277" t="s">
        <v>1317</v>
      </c>
      <c r="AM1277" s="1">
        <f t="shared" si="17"/>
        <v>0</v>
      </c>
    </row>
    <row r="1278" spans="1:39" x14ac:dyDescent="0.35">
      <c r="A1278">
        <v>1274</v>
      </c>
      <c r="B1278">
        <v>1275</v>
      </c>
      <c r="F1278" s="63"/>
      <c r="G1278" s="63"/>
      <c r="H1278" t="s">
        <v>78</v>
      </c>
      <c r="I1278" s="64">
        <v>1</v>
      </c>
      <c r="J1278" s="31"/>
      <c r="K1278" s="31"/>
      <c r="L1278" s="31"/>
      <c r="M1278" s="31"/>
      <c r="N1278" s="4"/>
      <c r="AG1278" t="s">
        <v>1318</v>
      </c>
      <c r="AM1278" s="1">
        <f t="shared" si="17"/>
        <v>0</v>
      </c>
    </row>
    <row r="1279" spans="1:39" x14ac:dyDescent="0.35">
      <c r="A1279">
        <v>1275</v>
      </c>
      <c r="B1279">
        <v>1276</v>
      </c>
      <c r="F1279" s="63"/>
      <c r="G1279" s="63"/>
      <c r="H1279" t="s">
        <v>78</v>
      </c>
      <c r="I1279" s="64">
        <v>1</v>
      </c>
      <c r="J1279" s="31"/>
      <c r="K1279" s="31"/>
      <c r="L1279" s="31"/>
      <c r="M1279" s="31"/>
      <c r="N1279" s="4"/>
      <c r="AG1279" t="s">
        <v>1319</v>
      </c>
      <c r="AM1279" s="1"/>
    </row>
    <row r="1280" spans="1:39" x14ac:dyDescent="0.35">
      <c r="A1280">
        <v>1276</v>
      </c>
      <c r="B1280">
        <v>1277</v>
      </c>
      <c r="F1280" s="63"/>
      <c r="G1280" s="63"/>
      <c r="H1280" t="s">
        <v>78</v>
      </c>
      <c r="I1280" s="64">
        <v>1</v>
      </c>
      <c r="J1280" s="31"/>
      <c r="K1280" s="31"/>
      <c r="L1280" s="31"/>
      <c r="M1280" s="31"/>
      <c r="N1280" s="4"/>
      <c r="AG1280" t="s">
        <v>1320</v>
      </c>
      <c r="AM1280" s="1"/>
    </row>
    <row r="1281" spans="1:39" x14ac:dyDescent="0.35">
      <c r="A1281">
        <v>1277</v>
      </c>
      <c r="B1281">
        <v>1278</v>
      </c>
      <c r="F1281" s="63"/>
      <c r="G1281" s="63"/>
      <c r="H1281" t="s">
        <v>78</v>
      </c>
      <c r="I1281" s="64">
        <v>1</v>
      </c>
      <c r="J1281" s="31"/>
      <c r="K1281" s="31"/>
      <c r="L1281" s="31"/>
      <c r="M1281" s="31"/>
      <c r="N1281" s="4"/>
      <c r="AG1281" t="s">
        <v>1321</v>
      </c>
      <c r="AM1281" s="1"/>
    </row>
    <row r="1282" spans="1:39" x14ac:dyDescent="0.35">
      <c r="A1282">
        <v>1278</v>
      </c>
      <c r="B1282">
        <v>1279</v>
      </c>
      <c r="F1282" s="63"/>
      <c r="G1282" s="63"/>
      <c r="H1282" t="s">
        <v>78</v>
      </c>
      <c r="I1282" s="64">
        <v>1</v>
      </c>
      <c r="J1282" s="31"/>
      <c r="K1282" s="31"/>
      <c r="L1282" s="31"/>
      <c r="M1282" s="31"/>
      <c r="N1282" s="4"/>
      <c r="AG1282" t="s">
        <v>1322</v>
      </c>
      <c r="AM1282" s="1"/>
    </row>
    <row r="1283" spans="1:39" x14ac:dyDescent="0.35">
      <c r="A1283">
        <v>1279</v>
      </c>
      <c r="B1283">
        <v>1280</v>
      </c>
      <c r="F1283" s="63"/>
      <c r="G1283" s="63"/>
      <c r="H1283" t="s">
        <v>78</v>
      </c>
      <c r="I1283" s="64">
        <v>1</v>
      </c>
      <c r="J1283" s="31"/>
      <c r="K1283" s="31"/>
      <c r="L1283" s="31"/>
      <c r="M1283" s="31"/>
      <c r="N1283" s="4"/>
      <c r="AG1283" t="s">
        <v>1323</v>
      </c>
      <c r="AM1283" s="1"/>
    </row>
    <row r="1284" spans="1:39" x14ac:dyDescent="0.35">
      <c r="A1284">
        <v>1280</v>
      </c>
      <c r="B1284">
        <v>1281</v>
      </c>
      <c r="F1284" s="63"/>
      <c r="G1284" s="63"/>
      <c r="H1284" t="s">
        <v>78</v>
      </c>
      <c r="I1284" s="64">
        <v>1</v>
      </c>
      <c r="J1284" s="31"/>
      <c r="K1284" s="31"/>
      <c r="L1284" s="31"/>
      <c r="M1284" s="31"/>
      <c r="N1284" s="4"/>
      <c r="AG1284" t="s">
        <v>1324</v>
      </c>
      <c r="AM1284" s="1"/>
    </row>
    <row r="1285" spans="1:39" x14ac:dyDescent="0.35">
      <c r="A1285">
        <v>1281</v>
      </c>
      <c r="B1285">
        <v>1282</v>
      </c>
      <c r="F1285" s="63"/>
      <c r="G1285" s="63"/>
      <c r="H1285" t="s">
        <v>78</v>
      </c>
      <c r="I1285" s="64">
        <v>1</v>
      </c>
      <c r="J1285" s="31"/>
      <c r="K1285" s="31"/>
      <c r="L1285" s="31"/>
      <c r="M1285" s="31"/>
      <c r="N1285" s="4"/>
      <c r="AG1285" t="s">
        <v>78</v>
      </c>
      <c r="AM1285" s="1"/>
    </row>
    <row r="1286" spans="1:39" x14ac:dyDescent="0.35">
      <c r="A1286">
        <v>1282</v>
      </c>
      <c r="B1286">
        <v>1283</v>
      </c>
      <c r="F1286" s="63"/>
      <c r="G1286" s="63"/>
      <c r="H1286" t="s">
        <v>78</v>
      </c>
      <c r="I1286" s="64">
        <v>1</v>
      </c>
      <c r="J1286" s="31"/>
      <c r="K1286" s="31"/>
      <c r="L1286" s="31"/>
      <c r="M1286" s="31"/>
      <c r="N1286" s="4"/>
      <c r="AG1286" t="s">
        <v>1325</v>
      </c>
      <c r="AM1286" s="1"/>
    </row>
    <row r="1287" spans="1:39" x14ac:dyDescent="0.35">
      <c r="A1287">
        <v>1283</v>
      </c>
      <c r="B1287">
        <v>1284</v>
      </c>
      <c r="F1287" s="63"/>
      <c r="G1287" s="63"/>
      <c r="H1287" t="s">
        <v>78</v>
      </c>
      <c r="I1287" s="64">
        <v>1</v>
      </c>
      <c r="J1287" s="31"/>
      <c r="K1287" s="31"/>
      <c r="L1287" s="31"/>
      <c r="M1287" s="31"/>
      <c r="N1287" s="4"/>
      <c r="AG1287" t="s">
        <v>1326</v>
      </c>
      <c r="AM1287" s="1"/>
    </row>
    <row r="1288" spans="1:39" x14ac:dyDescent="0.35">
      <c r="A1288">
        <v>1284</v>
      </c>
      <c r="B1288">
        <v>1285</v>
      </c>
      <c r="F1288" s="63"/>
      <c r="G1288" s="63"/>
      <c r="H1288" t="s">
        <v>78</v>
      </c>
      <c r="I1288" s="64">
        <v>1</v>
      </c>
      <c r="J1288" s="31"/>
      <c r="K1288" s="31"/>
      <c r="L1288" s="31"/>
      <c r="M1288" s="31"/>
      <c r="N1288" s="4"/>
      <c r="AG1288" t="s">
        <v>1327</v>
      </c>
      <c r="AM1288" s="1"/>
    </row>
    <row r="1289" spans="1:39" x14ac:dyDescent="0.35">
      <c r="A1289">
        <v>1285</v>
      </c>
      <c r="B1289">
        <v>1286</v>
      </c>
      <c r="F1289" s="63"/>
      <c r="G1289" s="63"/>
      <c r="H1289" t="s">
        <v>78</v>
      </c>
      <c r="I1289" s="64">
        <v>1</v>
      </c>
      <c r="J1289" s="31"/>
      <c r="K1289" s="31"/>
      <c r="L1289" s="31"/>
      <c r="M1289" s="31"/>
      <c r="N1289" s="4"/>
      <c r="AG1289" t="s">
        <v>1328</v>
      </c>
      <c r="AM1289" s="1"/>
    </row>
    <row r="1290" spans="1:39" x14ac:dyDescent="0.35">
      <c r="A1290">
        <v>1286</v>
      </c>
      <c r="B1290">
        <v>1287</v>
      </c>
      <c r="F1290" s="63"/>
      <c r="G1290" s="63"/>
      <c r="H1290" t="s">
        <v>78</v>
      </c>
      <c r="I1290" s="64">
        <v>1</v>
      </c>
      <c r="J1290" s="31"/>
      <c r="K1290" s="31"/>
      <c r="L1290" s="31"/>
      <c r="M1290" s="31"/>
      <c r="N1290" s="4"/>
      <c r="AG1290" t="s">
        <v>1329</v>
      </c>
      <c r="AM1290" s="1"/>
    </row>
    <row r="1291" spans="1:39" x14ac:dyDescent="0.35">
      <c r="A1291">
        <v>1287</v>
      </c>
      <c r="B1291">
        <v>1288</v>
      </c>
      <c r="F1291" s="63"/>
      <c r="G1291" s="63"/>
      <c r="H1291" t="s">
        <v>78</v>
      </c>
      <c r="I1291" s="64">
        <v>1</v>
      </c>
      <c r="J1291" s="31"/>
      <c r="K1291" s="31"/>
      <c r="L1291" s="31"/>
      <c r="M1291" s="31"/>
      <c r="N1291" s="4"/>
      <c r="AG1291" t="s">
        <v>1330</v>
      </c>
      <c r="AM1291" s="1"/>
    </row>
    <row r="1292" spans="1:39" x14ac:dyDescent="0.35">
      <c r="A1292">
        <v>1288</v>
      </c>
      <c r="B1292">
        <v>1289</v>
      </c>
      <c r="F1292" s="63"/>
      <c r="G1292" s="63"/>
      <c r="H1292" t="s">
        <v>78</v>
      </c>
      <c r="I1292" s="64">
        <v>1</v>
      </c>
      <c r="J1292" s="31"/>
      <c r="K1292" s="31"/>
      <c r="L1292" s="31"/>
      <c r="M1292" s="31"/>
      <c r="N1292" s="4"/>
      <c r="AG1292" t="s">
        <v>1331</v>
      </c>
      <c r="AM1292" s="1"/>
    </row>
    <row r="1293" spans="1:39" x14ac:dyDescent="0.35">
      <c r="A1293">
        <v>1289</v>
      </c>
      <c r="B1293">
        <v>1290</v>
      </c>
      <c r="F1293" s="63"/>
      <c r="G1293" s="63"/>
      <c r="H1293" t="s">
        <v>78</v>
      </c>
      <c r="I1293" s="64">
        <v>1</v>
      </c>
      <c r="J1293" s="31"/>
      <c r="K1293" s="31"/>
      <c r="L1293" s="31"/>
      <c r="M1293" s="31"/>
      <c r="N1293" s="4"/>
      <c r="AG1293" t="s">
        <v>1332</v>
      </c>
      <c r="AM1293" s="1"/>
    </row>
    <row r="1294" spans="1:39" x14ac:dyDescent="0.35">
      <c r="A1294">
        <v>1290</v>
      </c>
      <c r="B1294">
        <v>1291</v>
      </c>
      <c r="F1294" s="63"/>
      <c r="G1294" s="63"/>
      <c r="H1294" t="s">
        <v>78</v>
      </c>
      <c r="I1294" s="64">
        <v>1</v>
      </c>
      <c r="J1294" s="31"/>
      <c r="K1294" s="31"/>
      <c r="L1294" s="31"/>
      <c r="M1294" s="31"/>
      <c r="N1294" s="4"/>
      <c r="AG1294" t="s">
        <v>1333</v>
      </c>
      <c r="AM1294" s="1"/>
    </row>
    <row r="1295" spans="1:39" x14ac:dyDescent="0.35">
      <c r="A1295">
        <v>1291</v>
      </c>
      <c r="B1295">
        <v>1292</v>
      </c>
      <c r="F1295" s="63"/>
      <c r="G1295" s="63"/>
      <c r="H1295" t="s">
        <v>78</v>
      </c>
      <c r="I1295" s="64">
        <v>1</v>
      </c>
      <c r="J1295" s="31"/>
      <c r="K1295" s="31"/>
      <c r="L1295" s="31"/>
      <c r="M1295" s="31"/>
      <c r="N1295" s="4"/>
      <c r="AG1295" t="s">
        <v>1334</v>
      </c>
      <c r="AM1295" s="1"/>
    </row>
    <row r="1296" spans="1:39" x14ac:dyDescent="0.35">
      <c r="A1296">
        <v>1292</v>
      </c>
      <c r="B1296">
        <v>1293</v>
      </c>
      <c r="F1296" s="63"/>
      <c r="G1296" s="63"/>
      <c r="H1296" t="s">
        <v>78</v>
      </c>
      <c r="I1296" s="64">
        <v>1</v>
      </c>
      <c r="J1296" s="31"/>
      <c r="K1296" s="31"/>
      <c r="L1296" s="31"/>
      <c r="M1296" s="31"/>
      <c r="N1296" s="4"/>
      <c r="AG1296" t="s">
        <v>1335</v>
      </c>
      <c r="AM1296" s="1"/>
    </row>
    <row r="1297" spans="1:39" x14ac:dyDescent="0.35">
      <c r="A1297">
        <v>1293</v>
      </c>
      <c r="B1297">
        <v>1294</v>
      </c>
      <c r="F1297" s="63"/>
      <c r="G1297" s="63"/>
      <c r="H1297" t="s">
        <v>78</v>
      </c>
      <c r="I1297" s="64">
        <v>1</v>
      </c>
      <c r="J1297" s="31"/>
      <c r="K1297" s="31"/>
      <c r="L1297" s="31"/>
      <c r="M1297" s="31"/>
      <c r="N1297" s="4"/>
      <c r="AG1297" t="s">
        <v>1336</v>
      </c>
      <c r="AM1297" s="1"/>
    </row>
    <row r="1298" spans="1:39" x14ac:dyDescent="0.35">
      <c r="A1298">
        <v>1294</v>
      </c>
      <c r="B1298">
        <v>1295</v>
      </c>
      <c r="F1298" s="63"/>
      <c r="G1298" s="63"/>
      <c r="H1298" t="s">
        <v>78</v>
      </c>
      <c r="I1298" s="64">
        <v>1</v>
      </c>
      <c r="J1298" s="31"/>
      <c r="K1298" s="31"/>
      <c r="L1298" s="31"/>
      <c r="M1298" s="31"/>
      <c r="N1298" s="4"/>
      <c r="AG1298" t="s">
        <v>1337</v>
      </c>
      <c r="AM1298" s="1"/>
    </row>
    <row r="1299" spans="1:39" x14ac:dyDescent="0.35">
      <c r="A1299">
        <v>1295</v>
      </c>
      <c r="B1299">
        <v>1296</v>
      </c>
      <c r="F1299" s="63"/>
      <c r="G1299" s="63"/>
      <c r="H1299" t="s">
        <v>78</v>
      </c>
      <c r="I1299" s="64">
        <v>1</v>
      </c>
      <c r="J1299" s="31"/>
      <c r="K1299" s="31"/>
      <c r="L1299" s="31"/>
      <c r="M1299" s="31"/>
      <c r="N1299" s="4"/>
      <c r="AG1299" t="s">
        <v>1338</v>
      </c>
      <c r="AM1299" s="1"/>
    </row>
    <row r="1300" spans="1:39" x14ac:dyDescent="0.35">
      <c r="A1300">
        <v>1296</v>
      </c>
      <c r="B1300">
        <v>1297</v>
      </c>
      <c r="F1300" s="63"/>
      <c r="G1300" s="63"/>
      <c r="H1300" t="s">
        <v>78</v>
      </c>
      <c r="I1300" s="64">
        <v>1</v>
      </c>
      <c r="J1300" s="31"/>
      <c r="K1300" s="31"/>
      <c r="L1300" s="31"/>
      <c r="M1300" s="31"/>
      <c r="N1300" s="4"/>
      <c r="AG1300" t="s">
        <v>1339</v>
      </c>
      <c r="AM1300" s="1"/>
    </row>
    <row r="1301" spans="1:39" x14ac:dyDescent="0.35">
      <c r="A1301">
        <v>1297</v>
      </c>
      <c r="B1301">
        <v>1298</v>
      </c>
      <c r="F1301" s="63"/>
      <c r="G1301" s="63"/>
      <c r="H1301" t="s">
        <v>78</v>
      </c>
      <c r="I1301" s="64">
        <v>1</v>
      </c>
      <c r="J1301" s="31"/>
      <c r="K1301" s="31"/>
      <c r="L1301" s="31"/>
      <c r="M1301" s="31"/>
      <c r="N1301" s="4"/>
      <c r="AG1301" t="s">
        <v>1340</v>
      </c>
      <c r="AM1301" s="1"/>
    </row>
    <row r="1302" spans="1:39" x14ac:dyDescent="0.35">
      <c r="A1302">
        <v>1298</v>
      </c>
      <c r="B1302">
        <v>1299</v>
      </c>
      <c r="F1302" s="63"/>
      <c r="G1302" s="63"/>
      <c r="H1302" t="s">
        <v>78</v>
      </c>
      <c r="I1302" s="64">
        <v>1</v>
      </c>
      <c r="J1302" s="31"/>
      <c r="K1302" s="31"/>
      <c r="L1302" s="31"/>
      <c r="M1302" s="31"/>
      <c r="N1302" s="4"/>
      <c r="AG1302" t="s">
        <v>1341</v>
      </c>
      <c r="AM1302" s="1"/>
    </row>
    <row r="1303" spans="1:39" x14ac:dyDescent="0.35">
      <c r="A1303">
        <v>1299</v>
      </c>
      <c r="B1303">
        <v>1300</v>
      </c>
      <c r="F1303" s="63"/>
      <c r="G1303" s="63"/>
      <c r="H1303" t="s">
        <v>78</v>
      </c>
      <c r="I1303" s="64">
        <v>1</v>
      </c>
      <c r="J1303" s="31"/>
      <c r="K1303" s="31"/>
      <c r="L1303" s="31"/>
      <c r="M1303" s="31"/>
      <c r="N1303" s="4"/>
      <c r="AG1303" t="s">
        <v>1342</v>
      </c>
      <c r="AM1303" s="1"/>
    </row>
    <row r="1304" spans="1:39" x14ac:dyDescent="0.35">
      <c r="A1304">
        <v>1300</v>
      </c>
      <c r="B1304">
        <v>1301</v>
      </c>
      <c r="F1304" s="63"/>
      <c r="G1304" s="63"/>
      <c r="H1304" t="s">
        <v>78</v>
      </c>
      <c r="I1304" s="64">
        <v>1</v>
      </c>
      <c r="J1304" s="31"/>
      <c r="K1304" s="31"/>
      <c r="L1304" s="31"/>
      <c r="M1304" s="31"/>
      <c r="N1304" s="4"/>
      <c r="AG1304" t="s">
        <v>1343</v>
      </c>
      <c r="AM1304" s="1"/>
    </row>
    <row r="1305" spans="1:39" x14ac:dyDescent="0.35">
      <c r="A1305">
        <v>1301</v>
      </c>
      <c r="B1305">
        <v>1302</v>
      </c>
      <c r="F1305" s="63"/>
      <c r="G1305" s="63"/>
      <c r="H1305" t="s">
        <v>78</v>
      </c>
      <c r="I1305" s="64">
        <v>1</v>
      </c>
      <c r="J1305" s="31"/>
      <c r="K1305" s="31"/>
      <c r="L1305" s="31"/>
      <c r="M1305" s="31"/>
      <c r="N1305" s="4"/>
      <c r="AG1305" t="s">
        <v>1344</v>
      </c>
      <c r="AM1305" s="1"/>
    </row>
    <row r="1306" spans="1:39" x14ac:dyDescent="0.35">
      <c r="A1306">
        <v>1302</v>
      </c>
      <c r="B1306">
        <v>1303</v>
      </c>
      <c r="F1306" s="63"/>
      <c r="G1306" s="63"/>
      <c r="H1306" t="s">
        <v>78</v>
      </c>
      <c r="I1306" s="64">
        <v>1</v>
      </c>
      <c r="J1306" s="31"/>
      <c r="K1306" s="31"/>
      <c r="L1306" s="31"/>
      <c r="M1306" s="31"/>
      <c r="N1306" s="4"/>
      <c r="AG1306" t="s">
        <v>1345</v>
      </c>
      <c r="AM1306" s="1"/>
    </row>
    <row r="1307" spans="1:39" x14ac:dyDescent="0.35">
      <c r="A1307">
        <v>1303</v>
      </c>
      <c r="B1307">
        <v>1304</v>
      </c>
      <c r="F1307" s="63"/>
      <c r="G1307" s="63"/>
      <c r="H1307" t="s">
        <v>78</v>
      </c>
      <c r="I1307" s="64">
        <v>1</v>
      </c>
      <c r="J1307" s="31"/>
      <c r="K1307" s="31"/>
      <c r="L1307" s="31"/>
      <c r="M1307" s="31"/>
      <c r="N1307" s="4"/>
      <c r="AG1307" t="s">
        <v>1346</v>
      </c>
      <c r="AM1307" s="1"/>
    </row>
    <row r="1308" spans="1:39" x14ac:dyDescent="0.35">
      <c r="A1308">
        <v>1304</v>
      </c>
      <c r="B1308">
        <v>1305</v>
      </c>
      <c r="F1308" s="63"/>
      <c r="G1308" s="63"/>
      <c r="H1308" t="s">
        <v>78</v>
      </c>
      <c r="I1308" s="64">
        <v>1</v>
      </c>
      <c r="J1308" s="31"/>
      <c r="K1308" s="31"/>
      <c r="L1308" s="31"/>
      <c r="M1308" s="31"/>
      <c r="N1308" s="4"/>
      <c r="AG1308" t="s">
        <v>1347</v>
      </c>
      <c r="AM1308" s="1"/>
    </row>
    <row r="1309" spans="1:39" x14ac:dyDescent="0.35">
      <c r="A1309">
        <v>1305</v>
      </c>
      <c r="B1309">
        <v>1306</v>
      </c>
      <c r="F1309" s="63"/>
      <c r="G1309" s="63"/>
      <c r="H1309" t="s">
        <v>78</v>
      </c>
      <c r="I1309" s="64">
        <v>1</v>
      </c>
      <c r="J1309" s="31"/>
      <c r="K1309" s="31"/>
      <c r="L1309" s="31"/>
      <c r="M1309" s="31"/>
      <c r="N1309" s="4"/>
      <c r="AG1309" t="s">
        <v>1348</v>
      </c>
      <c r="AM1309" s="1"/>
    </row>
    <row r="1310" spans="1:39" x14ac:dyDescent="0.35">
      <c r="A1310">
        <v>1306</v>
      </c>
      <c r="B1310">
        <v>1307</v>
      </c>
      <c r="F1310" s="63"/>
      <c r="G1310" s="63"/>
      <c r="H1310" t="s">
        <v>78</v>
      </c>
      <c r="I1310" s="64">
        <v>1</v>
      </c>
      <c r="J1310" s="31"/>
      <c r="K1310" s="31"/>
      <c r="L1310" s="31"/>
      <c r="M1310" s="31"/>
      <c r="N1310" s="4"/>
      <c r="AG1310" t="s">
        <v>1349</v>
      </c>
      <c r="AM1310" s="1"/>
    </row>
    <row r="1311" spans="1:39" x14ac:dyDescent="0.35">
      <c r="A1311">
        <v>1307</v>
      </c>
      <c r="B1311">
        <v>1308</v>
      </c>
      <c r="F1311" s="63"/>
      <c r="G1311" s="63"/>
      <c r="H1311" t="s">
        <v>78</v>
      </c>
      <c r="I1311" s="64">
        <v>1</v>
      </c>
      <c r="J1311" s="31"/>
      <c r="K1311" s="31"/>
      <c r="L1311" s="31"/>
      <c r="M1311" s="31"/>
      <c r="N1311" s="4"/>
      <c r="AG1311" t="s">
        <v>1350</v>
      </c>
      <c r="AM1311" s="1"/>
    </row>
    <row r="1312" spans="1:39" x14ac:dyDescent="0.35">
      <c r="A1312">
        <v>1308</v>
      </c>
      <c r="B1312">
        <v>1309</v>
      </c>
      <c r="F1312" s="63"/>
      <c r="G1312" s="63"/>
      <c r="H1312" t="s">
        <v>78</v>
      </c>
      <c r="I1312" s="64">
        <v>1</v>
      </c>
      <c r="J1312" s="31"/>
      <c r="K1312" s="31"/>
      <c r="L1312" s="31"/>
      <c r="M1312" s="31"/>
      <c r="N1312" s="4"/>
      <c r="AG1312" t="s">
        <v>1351</v>
      </c>
      <c r="AM1312" s="1"/>
    </row>
    <row r="1313" spans="1:39" x14ac:dyDescent="0.35">
      <c r="A1313">
        <v>1309</v>
      </c>
      <c r="B1313">
        <v>1310</v>
      </c>
      <c r="F1313" s="63"/>
      <c r="G1313" s="63"/>
      <c r="H1313" t="s">
        <v>78</v>
      </c>
      <c r="I1313" s="64">
        <v>1</v>
      </c>
      <c r="J1313" s="31"/>
      <c r="K1313" s="31"/>
      <c r="L1313" s="31"/>
      <c r="M1313" s="31"/>
      <c r="N1313" s="4"/>
      <c r="AG1313" t="s">
        <v>1352</v>
      </c>
      <c r="AM1313" s="1"/>
    </row>
    <row r="1314" spans="1:39" x14ac:dyDescent="0.35">
      <c r="A1314">
        <v>1310</v>
      </c>
      <c r="B1314">
        <v>1311</v>
      </c>
      <c r="F1314" s="63"/>
      <c r="G1314" s="63"/>
      <c r="H1314" t="s">
        <v>78</v>
      </c>
      <c r="I1314" s="64">
        <v>1</v>
      </c>
      <c r="J1314" s="31"/>
      <c r="K1314" s="31"/>
      <c r="L1314" s="31"/>
      <c r="M1314" s="31"/>
      <c r="N1314" s="4"/>
      <c r="AG1314" t="s">
        <v>1353</v>
      </c>
      <c r="AM1314" s="1"/>
    </row>
    <row r="1315" spans="1:39" x14ac:dyDescent="0.35">
      <c r="A1315">
        <v>1311</v>
      </c>
      <c r="B1315">
        <v>1312</v>
      </c>
      <c r="F1315" s="63"/>
      <c r="G1315" s="63"/>
      <c r="H1315" t="s">
        <v>78</v>
      </c>
      <c r="I1315" s="64">
        <v>1</v>
      </c>
      <c r="J1315" s="31"/>
      <c r="K1315" s="31"/>
      <c r="L1315" s="31"/>
      <c r="M1315" s="31"/>
      <c r="N1315" s="4"/>
      <c r="AG1315" t="s">
        <v>1354</v>
      </c>
      <c r="AM1315" s="1"/>
    </row>
    <row r="1316" spans="1:39" x14ac:dyDescent="0.35">
      <c r="A1316">
        <v>1312</v>
      </c>
      <c r="B1316">
        <v>1313</v>
      </c>
      <c r="F1316" s="63"/>
      <c r="G1316" s="63"/>
      <c r="H1316" t="s">
        <v>78</v>
      </c>
      <c r="I1316" s="64">
        <v>1</v>
      </c>
      <c r="J1316" s="31"/>
      <c r="K1316" s="31"/>
      <c r="L1316" s="31"/>
      <c r="M1316" s="31"/>
      <c r="N1316" s="4"/>
      <c r="AG1316" t="s">
        <v>1355</v>
      </c>
      <c r="AM1316" s="1"/>
    </row>
    <row r="1317" spans="1:39" x14ac:dyDescent="0.35">
      <c r="A1317">
        <v>1313</v>
      </c>
      <c r="B1317">
        <v>1314</v>
      </c>
      <c r="F1317" s="63"/>
      <c r="G1317" s="63"/>
      <c r="H1317" t="s">
        <v>78</v>
      </c>
      <c r="I1317" s="64">
        <v>1</v>
      </c>
      <c r="J1317" s="31"/>
      <c r="K1317" s="31"/>
      <c r="L1317" s="31"/>
      <c r="M1317" s="31"/>
      <c r="N1317" s="4"/>
      <c r="AG1317" t="s">
        <v>1356</v>
      </c>
      <c r="AM1317" s="1"/>
    </row>
    <row r="1318" spans="1:39" x14ac:dyDescent="0.35">
      <c r="A1318">
        <v>1314</v>
      </c>
      <c r="B1318">
        <v>1315</v>
      </c>
      <c r="F1318" s="63"/>
      <c r="G1318" s="63"/>
      <c r="H1318" t="s">
        <v>78</v>
      </c>
      <c r="I1318" s="64">
        <v>1</v>
      </c>
      <c r="J1318" s="31"/>
      <c r="K1318" s="31"/>
      <c r="L1318" s="31"/>
      <c r="M1318" s="31"/>
      <c r="N1318" s="4"/>
      <c r="AG1318" t="s">
        <v>1357</v>
      </c>
      <c r="AM1318" s="1"/>
    </row>
    <row r="1319" spans="1:39" x14ac:dyDescent="0.35">
      <c r="A1319">
        <v>1315</v>
      </c>
      <c r="B1319">
        <v>1316</v>
      </c>
      <c r="F1319" s="63"/>
      <c r="G1319" s="63"/>
      <c r="H1319" t="s">
        <v>78</v>
      </c>
      <c r="I1319" s="64">
        <v>1</v>
      </c>
      <c r="J1319" s="31"/>
      <c r="K1319" s="31"/>
      <c r="L1319" s="31"/>
      <c r="M1319" s="31"/>
      <c r="N1319" s="4"/>
      <c r="AG1319" t="s">
        <v>1358</v>
      </c>
      <c r="AM1319" s="1"/>
    </row>
    <row r="1320" spans="1:39" x14ac:dyDescent="0.35">
      <c r="A1320">
        <v>1316</v>
      </c>
      <c r="B1320">
        <v>1317</v>
      </c>
      <c r="F1320" s="63"/>
      <c r="G1320" s="63"/>
      <c r="H1320" t="s">
        <v>78</v>
      </c>
      <c r="I1320" s="64">
        <v>1</v>
      </c>
      <c r="J1320" s="31"/>
      <c r="K1320" s="31"/>
      <c r="L1320" s="31"/>
      <c r="M1320" s="31"/>
      <c r="N1320" s="4"/>
      <c r="AG1320" t="s">
        <v>1359</v>
      </c>
      <c r="AM1320" s="1"/>
    </row>
    <row r="1321" spans="1:39" x14ac:dyDescent="0.35">
      <c r="A1321">
        <v>1317</v>
      </c>
      <c r="B1321">
        <v>1318</v>
      </c>
      <c r="F1321" s="63"/>
      <c r="G1321" s="63"/>
      <c r="H1321" t="s">
        <v>78</v>
      </c>
      <c r="I1321" s="64">
        <v>1</v>
      </c>
      <c r="J1321" s="31"/>
      <c r="K1321" s="31"/>
      <c r="L1321" s="31"/>
      <c r="M1321" s="31"/>
      <c r="N1321" s="4"/>
      <c r="AG1321" t="s">
        <v>1360</v>
      </c>
      <c r="AM1321" s="1"/>
    </row>
    <row r="1322" spans="1:39" x14ac:dyDescent="0.35">
      <c r="A1322">
        <v>1318</v>
      </c>
      <c r="B1322">
        <v>1319</v>
      </c>
      <c r="F1322" s="63"/>
      <c r="G1322" s="63"/>
      <c r="H1322" t="s">
        <v>78</v>
      </c>
      <c r="I1322" s="64">
        <v>1</v>
      </c>
      <c r="J1322" s="31"/>
      <c r="K1322" s="31"/>
      <c r="L1322" s="31"/>
      <c r="M1322" s="31"/>
      <c r="N1322" s="4"/>
      <c r="AG1322" t="s">
        <v>1361</v>
      </c>
      <c r="AM1322" s="1"/>
    </row>
    <row r="1323" spans="1:39" x14ac:dyDescent="0.35">
      <c r="A1323">
        <v>1319</v>
      </c>
      <c r="B1323">
        <v>1320</v>
      </c>
      <c r="F1323" s="63"/>
      <c r="G1323" s="63"/>
      <c r="H1323" t="s">
        <v>78</v>
      </c>
      <c r="I1323" s="64">
        <v>1</v>
      </c>
      <c r="J1323" s="31"/>
      <c r="K1323" s="31"/>
      <c r="L1323" s="31"/>
      <c r="M1323" s="31"/>
      <c r="N1323" s="4"/>
      <c r="AG1323" t="s">
        <v>1362</v>
      </c>
      <c r="AM1323" s="1"/>
    </row>
    <row r="1324" spans="1:39" x14ac:dyDescent="0.35">
      <c r="A1324">
        <v>1320</v>
      </c>
      <c r="B1324">
        <v>1321</v>
      </c>
      <c r="F1324" s="63"/>
      <c r="G1324" s="63"/>
      <c r="H1324" t="s">
        <v>78</v>
      </c>
      <c r="I1324" s="64">
        <v>1</v>
      </c>
      <c r="J1324" s="31"/>
      <c r="K1324" s="31"/>
      <c r="L1324" s="31"/>
      <c r="M1324" s="31"/>
      <c r="N1324" s="4"/>
      <c r="AG1324" t="s">
        <v>1363</v>
      </c>
      <c r="AM1324" s="1"/>
    </row>
    <row r="1325" spans="1:39" x14ac:dyDescent="0.35">
      <c r="A1325">
        <v>1321</v>
      </c>
      <c r="B1325">
        <v>1322</v>
      </c>
      <c r="F1325" s="63"/>
      <c r="G1325" s="63"/>
      <c r="H1325" t="s">
        <v>78</v>
      </c>
      <c r="I1325" s="64">
        <v>1</v>
      </c>
      <c r="J1325" s="31"/>
      <c r="K1325" s="31"/>
      <c r="L1325" s="31"/>
      <c r="M1325" s="31"/>
      <c r="N1325" s="4"/>
      <c r="AG1325" t="s">
        <v>1364</v>
      </c>
      <c r="AM1325" s="1"/>
    </row>
    <row r="1326" spans="1:39" x14ac:dyDescent="0.35">
      <c r="A1326">
        <v>1322</v>
      </c>
      <c r="B1326">
        <v>1323</v>
      </c>
      <c r="F1326" s="63"/>
      <c r="G1326" s="63"/>
      <c r="H1326" t="s">
        <v>78</v>
      </c>
      <c r="I1326" s="64">
        <v>1</v>
      </c>
      <c r="J1326" s="31"/>
      <c r="K1326" s="31"/>
      <c r="L1326" s="31"/>
      <c r="M1326" s="31"/>
      <c r="N1326" s="4"/>
      <c r="AG1326" t="s">
        <v>1365</v>
      </c>
      <c r="AM1326" s="1"/>
    </row>
    <row r="1327" spans="1:39" x14ac:dyDescent="0.35">
      <c r="A1327">
        <v>1323</v>
      </c>
      <c r="B1327">
        <v>1324</v>
      </c>
      <c r="F1327" s="63"/>
      <c r="G1327" s="63"/>
      <c r="H1327" t="s">
        <v>78</v>
      </c>
      <c r="I1327" s="64">
        <v>1</v>
      </c>
      <c r="J1327" s="31"/>
      <c r="K1327" s="31"/>
      <c r="L1327" s="31"/>
      <c r="M1327" s="31"/>
      <c r="N1327" s="4"/>
      <c r="AG1327" t="s">
        <v>1366</v>
      </c>
      <c r="AM1327" s="1"/>
    </row>
    <row r="1328" spans="1:39" x14ac:dyDescent="0.35">
      <c r="A1328">
        <v>1324</v>
      </c>
      <c r="B1328">
        <v>1325</v>
      </c>
      <c r="F1328" s="63"/>
      <c r="G1328" s="63"/>
      <c r="H1328" t="s">
        <v>78</v>
      </c>
      <c r="I1328" s="64">
        <v>1</v>
      </c>
      <c r="J1328" s="31"/>
      <c r="K1328" s="31"/>
      <c r="L1328" s="31"/>
      <c r="M1328" s="31"/>
      <c r="N1328" s="4"/>
      <c r="AG1328" t="s">
        <v>1367</v>
      </c>
      <c r="AM1328" s="1"/>
    </row>
    <row r="1329" spans="1:39" x14ac:dyDescent="0.35">
      <c r="A1329">
        <v>1325</v>
      </c>
      <c r="B1329">
        <v>1326</v>
      </c>
      <c r="F1329" s="63"/>
      <c r="G1329" s="63"/>
      <c r="H1329" t="s">
        <v>78</v>
      </c>
      <c r="I1329" s="64">
        <v>1</v>
      </c>
      <c r="J1329" s="31"/>
      <c r="K1329" s="31"/>
      <c r="L1329" s="31"/>
      <c r="M1329" s="31"/>
      <c r="N1329" s="4"/>
      <c r="AG1329" t="s">
        <v>1368</v>
      </c>
      <c r="AM1329" s="1"/>
    </row>
    <row r="1330" spans="1:39" x14ac:dyDescent="0.35">
      <c r="A1330">
        <v>1326</v>
      </c>
      <c r="B1330">
        <v>1327</v>
      </c>
      <c r="F1330" s="63"/>
      <c r="G1330" s="63"/>
      <c r="H1330" t="s">
        <v>78</v>
      </c>
      <c r="I1330" s="64">
        <v>1</v>
      </c>
      <c r="J1330" s="31"/>
      <c r="K1330" s="31"/>
      <c r="L1330" s="31"/>
      <c r="M1330" s="31"/>
      <c r="N1330" s="4"/>
      <c r="AG1330" t="s">
        <v>1369</v>
      </c>
      <c r="AM1330" s="1"/>
    </row>
    <row r="1331" spans="1:39" x14ac:dyDescent="0.35">
      <c r="A1331">
        <v>1327</v>
      </c>
      <c r="B1331">
        <v>1328</v>
      </c>
      <c r="F1331" s="63"/>
      <c r="G1331" s="63"/>
      <c r="H1331" t="s">
        <v>78</v>
      </c>
      <c r="I1331" s="64">
        <v>1</v>
      </c>
      <c r="J1331" s="31"/>
      <c r="K1331" s="31"/>
      <c r="L1331" s="31"/>
      <c r="M1331" s="31"/>
      <c r="N1331" s="4"/>
      <c r="AG1331" t="s">
        <v>1370</v>
      </c>
      <c r="AM1331" s="1"/>
    </row>
    <row r="1332" spans="1:39" x14ac:dyDescent="0.35">
      <c r="A1332">
        <v>1328</v>
      </c>
      <c r="B1332">
        <v>1329</v>
      </c>
      <c r="F1332" s="63"/>
      <c r="G1332" s="63"/>
      <c r="H1332" t="s">
        <v>78</v>
      </c>
      <c r="I1332" s="64">
        <v>1</v>
      </c>
      <c r="J1332" s="31"/>
      <c r="K1332" s="31"/>
      <c r="L1332" s="31"/>
      <c r="M1332" s="31"/>
      <c r="N1332" s="4"/>
      <c r="AG1332" t="s">
        <v>1371</v>
      </c>
      <c r="AM1332" s="1"/>
    </row>
    <row r="1333" spans="1:39" x14ac:dyDescent="0.35">
      <c r="A1333">
        <v>1329</v>
      </c>
      <c r="B1333">
        <v>1330</v>
      </c>
      <c r="F1333" s="63"/>
      <c r="G1333" s="63"/>
      <c r="H1333" t="s">
        <v>78</v>
      </c>
      <c r="I1333" s="64">
        <v>1</v>
      </c>
      <c r="J1333" s="31"/>
      <c r="K1333" s="31"/>
      <c r="L1333" s="31"/>
      <c r="M1333" s="31"/>
      <c r="N1333" s="4"/>
      <c r="AG1333" t="s">
        <v>1372</v>
      </c>
      <c r="AM1333" s="1"/>
    </row>
    <row r="1334" spans="1:39" x14ac:dyDescent="0.35">
      <c r="A1334">
        <v>1330</v>
      </c>
      <c r="B1334">
        <v>1331</v>
      </c>
      <c r="F1334" s="63"/>
      <c r="G1334" s="63"/>
      <c r="H1334" t="s">
        <v>78</v>
      </c>
      <c r="I1334" s="64">
        <v>1</v>
      </c>
      <c r="J1334" s="31"/>
      <c r="K1334" s="31"/>
      <c r="L1334" s="31"/>
      <c r="M1334" s="31"/>
      <c r="N1334" s="4"/>
      <c r="AG1334" t="s">
        <v>1373</v>
      </c>
      <c r="AM1334" s="1"/>
    </row>
    <row r="1335" spans="1:39" x14ac:dyDescent="0.35">
      <c r="A1335">
        <v>1331</v>
      </c>
      <c r="B1335">
        <v>1332</v>
      </c>
      <c r="F1335" s="63"/>
      <c r="G1335" s="63"/>
      <c r="H1335" t="s">
        <v>78</v>
      </c>
      <c r="I1335" s="64">
        <v>1</v>
      </c>
      <c r="J1335" s="31"/>
      <c r="K1335" s="31"/>
      <c r="L1335" s="31"/>
      <c r="M1335" s="31"/>
      <c r="N1335" s="4"/>
      <c r="AG1335" t="s">
        <v>1374</v>
      </c>
      <c r="AM1335" s="1"/>
    </row>
    <row r="1336" spans="1:39" x14ac:dyDescent="0.35">
      <c r="A1336">
        <v>1332</v>
      </c>
      <c r="B1336">
        <v>1333</v>
      </c>
      <c r="F1336" s="63"/>
      <c r="G1336" s="63"/>
      <c r="H1336" t="s">
        <v>78</v>
      </c>
      <c r="I1336" s="64">
        <v>1</v>
      </c>
      <c r="J1336" s="31"/>
      <c r="K1336" s="31"/>
      <c r="L1336" s="31"/>
      <c r="M1336" s="31"/>
      <c r="N1336" s="4"/>
      <c r="AG1336" t="s">
        <v>1375</v>
      </c>
      <c r="AM1336" s="1"/>
    </row>
    <row r="1337" spans="1:39" x14ac:dyDescent="0.35">
      <c r="A1337">
        <v>1333</v>
      </c>
      <c r="B1337">
        <v>1334</v>
      </c>
      <c r="F1337" s="63"/>
      <c r="G1337" s="63"/>
      <c r="H1337" t="s">
        <v>78</v>
      </c>
      <c r="I1337" s="64">
        <v>1</v>
      </c>
      <c r="J1337" s="31"/>
      <c r="K1337" s="31"/>
      <c r="L1337" s="31"/>
      <c r="M1337" s="31"/>
      <c r="N1337" s="4"/>
      <c r="AG1337" t="s">
        <v>1376</v>
      </c>
      <c r="AM1337" s="1"/>
    </row>
    <row r="1338" spans="1:39" x14ac:dyDescent="0.35">
      <c r="A1338">
        <v>1334</v>
      </c>
      <c r="B1338">
        <v>1335</v>
      </c>
      <c r="F1338" s="63"/>
      <c r="G1338" s="63"/>
      <c r="H1338" t="s">
        <v>78</v>
      </c>
      <c r="I1338" s="64">
        <v>1</v>
      </c>
      <c r="J1338" s="31"/>
      <c r="K1338" s="31"/>
      <c r="L1338" s="31"/>
      <c r="M1338" s="31"/>
      <c r="N1338" s="4"/>
      <c r="AG1338" t="s">
        <v>1377</v>
      </c>
      <c r="AM1338" s="1"/>
    </row>
    <row r="1339" spans="1:39" x14ac:dyDescent="0.35">
      <c r="A1339">
        <v>1335</v>
      </c>
      <c r="B1339">
        <v>1336</v>
      </c>
      <c r="F1339" s="63"/>
      <c r="G1339" s="63"/>
      <c r="H1339" t="s">
        <v>78</v>
      </c>
      <c r="I1339" s="64">
        <v>1</v>
      </c>
      <c r="J1339" s="31"/>
      <c r="K1339" s="31"/>
      <c r="L1339" s="31"/>
      <c r="M1339" s="31"/>
      <c r="N1339" s="4"/>
      <c r="AG1339" t="s">
        <v>1378</v>
      </c>
      <c r="AM1339" s="1"/>
    </row>
    <row r="1340" spans="1:39" x14ac:dyDescent="0.35">
      <c r="A1340">
        <v>1336</v>
      </c>
      <c r="B1340">
        <v>1337</v>
      </c>
      <c r="F1340" s="63"/>
      <c r="G1340" s="63"/>
      <c r="H1340" t="s">
        <v>78</v>
      </c>
      <c r="I1340" s="64">
        <v>1</v>
      </c>
      <c r="J1340" s="31"/>
      <c r="K1340" s="31"/>
      <c r="L1340" s="31"/>
      <c r="M1340" s="31"/>
      <c r="N1340" s="4"/>
      <c r="AG1340" t="s">
        <v>1379</v>
      </c>
      <c r="AM1340" s="1"/>
    </row>
    <row r="1341" spans="1:39" x14ac:dyDescent="0.35">
      <c r="A1341">
        <v>1337</v>
      </c>
      <c r="B1341">
        <v>1338</v>
      </c>
      <c r="F1341" s="63"/>
      <c r="G1341" s="63"/>
      <c r="H1341" t="s">
        <v>78</v>
      </c>
      <c r="I1341" s="64">
        <v>1</v>
      </c>
      <c r="J1341" s="31"/>
      <c r="K1341" s="31"/>
      <c r="L1341" s="31"/>
      <c r="M1341" s="31"/>
      <c r="N1341" s="4"/>
      <c r="AG1341" t="s">
        <v>1380</v>
      </c>
      <c r="AM1341" s="1"/>
    </row>
    <row r="1342" spans="1:39" x14ac:dyDescent="0.35">
      <c r="A1342">
        <v>1338</v>
      </c>
      <c r="B1342">
        <v>1339</v>
      </c>
      <c r="F1342" s="63"/>
      <c r="G1342" s="63"/>
      <c r="H1342" t="s">
        <v>78</v>
      </c>
      <c r="I1342" s="64">
        <v>1</v>
      </c>
      <c r="J1342" s="31"/>
      <c r="K1342" s="31"/>
      <c r="L1342" s="31"/>
      <c r="M1342" s="31"/>
      <c r="N1342" s="4"/>
      <c r="AG1342" t="s">
        <v>1381</v>
      </c>
      <c r="AM1342" s="1"/>
    </row>
    <row r="1343" spans="1:39" x14ac:dyDescent="0.35">
      <c r="A1343">
        <v>1339</v>
      </c>
      <c r="B1343">
        <v>1340</v>
      </c>
      <c r="F1343" s="63"/>
      <c r="G1343" s="63"/>
      <c r="H1343" t="s">
        <v>78</v>
      </c>
      <c r="I1343" s="64">
        <v>1</v>
      </c>
      <c r="J1343" s="31"/>
      <c r="K1343" s="31"/>
      <c r="L1343" s="31"/>
      <c r="M1343" s="31"/>
      <c r="N1343" s="4"/>
      <c r="AG1343" t="s">
        <v>1382</v>
      </c>
      <c r="AM1343" s="1"/>
    </row>
    <row r="1344" spans="1:39" x14ac:dyDescent="0.35">
      <c r="A1344">
        <v>1340</v>
      </c>
      <c r="B1344">
        <v>1341</v>
      </c>
      <c r="F1344" s="63"/>
      <c r="G1344" s="63"/>
      <c r="H1344" t="s">
        <v>78</v>
      </c>
      <c r="I1344" s="64">
        <v>1</v>
      </c>
      <c r="J1344" s="31"/>
      <c r="K1344" s="31"/>
      <c r="L1344" s="31"/>
      <c r="M1344" s="31"/>
      <c r="N1344" s="4"/>
      <c r="AG1344" t="s">
        <v>1383</v>
      </c>
      <c r="AM1344" s="1"/>
    </row>
    <row r="1345" spans="1:39" x14ac:dyDescent="0.35">
      <c r="A1345">
        <v>1341</v>
      </c>
      <c r="B1345">
        <v>1342</v>
      </c>
      <c r="F1345" s="63"/>
      <c r="G1345" s="63"/>
      <c r="H1345" t="s">
        <v>78</v>
      </c>
      <c r="I1345" s="64">
        <v>1</v>
      </c>
      <c r="J1345" s="31"/>
      <c r="K1345" s="31"/>
      <c r="L1345" s="31"/>
      <c r="M1345" s="31"/>
      <c r="N1345" s="4"/>
      <c r="AG1345" t="s">
        <v>1384</v>
      </c>
      <c r="AM1345" s="1"/>
    </row>
    <row r="1346" spans="1:39" x14ac:dyDescent="0.35">
      <c r="A1346">
        <v>1342</v>
      </c>
      <c r="B1346">
        <v>1343</v>
      </c>
      <c r="F1346" s="63"/>
      <c r="G1346" s="63"/>
      <c r="H1346" t="s">
        <v>78</v>
      </c>
      <c r="I1346" s="64">
        <v>1</v>
      </c>
      <c r="J1346" s="31"/>
      <c r="K1346" s="31"/>
      <c r="L1346" s="31"/>
      <c r="M1346" s="31"/>
      <c r="N1346" s="4"/>
      <c r="AG1346" t="s">
        <v>1385</v>
      </c>
      <c r="AM1346" s="1"/>
    </row>
    <row r="1347" spans="1:39" x14ac:dyDescent="0.35">
      <c r="A1347">
        <v>1343</v>
      </c>
      <c r="B1347">
        <v>1344</v>
      </c>
      <c r="F1347" s="63"/>
      <c r="G1347" s="63"/>
      <c r="H1347" t="s">
        <v>78</v>
      </c>
      <c r="I1347" s="64">
        <v>1</v>
      </c>
      <c r="J1347" s="31"/>
      <c r="K1347" s="31"/>
      <c r="L1347" s="31"/>
      <c r="M1347" s="31"/>
      <c r="N1347" s="4"/>
      <c r="AG1347" t="s">
        <v>1386</v>
      </c>
      <c r="AM1347" s="1"/>
    </row>
    <row r="1348" spans="1:39" x14ac:dyDescent="0.35">
      <c r="A1348">
        <v>1344</v>
      </c>
      <c r="B1348">
        <v>1345</v>
      </c>
      <c r="F1348" s="63"/>
      <c r="G1348" s="63"/>
      <c r="H1348" t="s">
        <v>78</v>
      </c>
      <c r="I1348" s="64">
        <v>1</v>
      </c>
      <c r="J1348" s="31"/>
      <c r="K1348" s="31"/>
      <c r="L1348" s="31"/>
      <c r="M1348" s="31"/>
      <c r="N1348" s="4"/>
      <c r="AG1348" t="s">
        <v>1387</v>
      </c>
      <c r="AM1348" s="1"/>
    </row>
    <row r="1349" spans="1:39" x14ac:dyDescent="0.35">
      <c r="A1349">
        <v>1345</v>
      </c>
      <c r="B1349">
        <v>1346</v>
      </c>
      <c r="F1349" s="63"/>
      <c r="G1349" s="63"/>
      <c r="H1349" t="s">
        <v>78</v>
      </c>
      <c r="I1349" s="64">
        <v>1</v>
      </c>
      <c r="J1349" s="31"/>
      <c r="K1349" s="31"/>
      <c r="L1349" s="31"/>
      <c r="M1349" s="31"/>
      <c r="N1349" s="4"/>
      <c r="AG1349" t="s">
        <v>1388</v>
      </c>
      <c r="AM1349" s="1"/>
    </row>
    <row r="1350" spans="1:39" x14ac:dyDescent="0.35">
      <c r="A1350">
        <v>1346</v>
      </c>
      <c r="B1350">
        <v>1347</v>
      </c>
      <c r="F1350" s="63"/>
      <c r="G1350" s="63"/>
      <c r="H1350" t="s">
        <v>78</v>
      </c>
      <c r="I1350" s="64">
        <v>1</v>
      </c>
      <c r="J1350" s="31"/>
      <c r="K1350" s="31"/>
      <c r="L1350" s="31"/>
      <c r="M1350" s="31"/>
      <c r="N1350" s="4"/>
      <c r="AG1350" t="s">
        <v>1389</v>
      </c>
      <c r="AM1350" s="1"/>
    </row>
    <row r="1351" spans="1:39" x14ac:dyDescent="0.35">
      <c r="A1351">
        <v>1347</v>
      </c>
      <c r="B1351">
        <v>1348</v>
      </c>
      <c r="F1351" s="63"/>
      <c r="G1351" s="63"/>
      <c r="H1351" t="s">
        <v>78</v>
      </c>
      <c r="I1351" s="64">
        <v>1</v>
      </c>
      <c r="J1351" s="31"/>
      <c r="K1351" s="31"/>
      <c r="L1351" s="31"/>
      <c r="M1351" s="31"/>
      <c r="N1351" s="4"/>
      <c r="AG1351" t="s">
        <v>1390</v>
      </c>
      <c r="AM1351" s="1"/>
    </row>
    <row r="1352" spans="1:39" x14ac:dyDescent="0.35">
      <c r="A1352">
        <v>1348</v>
      </c>
      <c r="B1352">
        <v>1349</v>
      </c>
      <c r="F1352" s="63"/>
      <c r="G1352" s="63"/>
      <c r="H1352" t="s">
        <v>78</v>
      </c>
      <c r="I1352" s="64">
        <v>1</v>
      </c>
      <c r="J1352" s="31"/>
      <c r="K1352" s="31"/>
      <c r="L1352" s="31"/>
      <c r="M1352" s="31"/>
      <c r="N1352" s="4"/>
      <c r="AG1352" t="s">
        <v>1391</v>
      </c>
      <c r="AM1352" s="1"/>
    </row>
    <row r="1353" spans="1:39" x14ac:dyDescent="0.35">
      <c r="A1353">
        <v>1349</v>
      </c>
      <c r="B1353">
        <v>1350</v>
      </c>
      <c r="F1353" s="63"/>
      <c r="G1353" s="63"/>
      <c r="H1353" t="s">
        <v>78</v>
      </c>
      <c r="I1353" s="64">
        <v>1</v>
      </c>
      <c r="J1353" s="31"/>
      <c r="K1353" s="31"/>
      <c r="L1353" s="31"/>
      <c r="M1353" s="31"/>
      <c r="N1353" s="4"/>
      <c r="AG1353" t="s">
        <v>1392</v>
      </c>
      <c r="AM1353" s="1"/>
    </row>
    <row r="1354" spans="1:39" x14ac:dyDescent="0.35">
      <c r="A1354">
        <v>1350</v>
      </c>
      <c r="B1354">
        <v>1351</v>
      </c>
      <c r="F1354" s="63"/>
      <c r="G1354" s="63"/>
      <c r="H1354" t="s">
        <v>78</v>
      </c>
      <c r="I1354" s="64">
        <v>1</v>
      </c>
      <c r="J1354" s="31"/>
      <c r="K1354" s="31"/>
      <c r="L1354" s="31"/>
      <c r="M1354" s="31"/>
      <c r="N1354" s="4"/>
      <c r="AG1354" t="s">
        <v>1393</v>
      </c>
      <c r="AM1354" s="1"/>
    </row>
    <row r="1355" spans="1:39" x14ac:dyDescent="0.35">
      <c r="A1355">
        <v>1351</v>
      </c>
      <c r="B1355">
        <v>1352</v>
      </c>
      <c r="F1355" s="63"/>
      <c r="G1355" s="63"/>
      <c r="H1355" t="s">
        <v>78</v>
      </c>
      <c r="I1355" s="64">
        <v>1</v>
      </c>
      <c r="J1355" s="31"/>
      <c r="K1355" s="31"/>
      <c r="L1355" s="31"/>
      <c r="M1355" s="31"/>
      <c r="N1355" s="4"/>
      <c r="AG1355" t="s">
        <v>1394</v>
      </c>
      <c r="AM1355" s="1"/>
    </row>
    <row r="1356" spans="1:39" x14ac:dyDescent="0.35">
      <c r="A1356">
        <v>1352</v>
      </c>
      <c r="B1356">
        <v>1353</v>
      </c>
      <c r="F1356" s="63"/>
      <c r="G1356" s="63"/>
      <c r="H1356" t="s">
        <v>78</v>
      </c>
      <c r="I1356" s="64">
        <v>1</v>
      </c>
      <c r="J1356" s="31"/>
      <c r="K1356" s="31"/>
      <c r="L1356" s="31"/>
      <c r="M1356" s="31"/>
      <c r="N1356" s="4"/>
      <c r="AG1356" t="s">
        <v>1395</v>
      </c>
      <c r="AM1356" s="1"/>
    </row>
    <row r="1357" spans="1:39" x14ac:dyDescent="0.35">
      <c r="A1357">
        <v>1353</v>
      </c>
      <c r="B1357">
        <v>1354</v>
      </c>
      <c r="F1357" s="63"/>
      <c r="G1357" s="63"/>
      <c r="H1357" t="s">
        <v>78</v>
      </c>
      <c r="I1357" s="64">
        <v>1</v>
      </c>
      <c r="J1357" s="31"/>
      <c r="K1357" s="31"/>
      <c r="L1357" s="31"/>
      <c r="M1357" s="31"/>
      <c r="N1357" s="4"/>
      <c r="AG1357" t="s">
        <v>1396</v>
      </c>
      <c r="AM1357" s="1"/>
    </row>
    <row r="1358" spans="1:39" x14ac:dyDescent="0.35">
      <c r="A1358">
        <v>1354</v>
      </c>
      <c r="B1358">
        <v>1355</v>
      </c>
      <c r="F1358" s="63"/>
      <c r="G1358" s="63"/>
      <c r="H1358" t="s">
        <v>78</v>
      </c>
      <c r="I1358" s="64">
        <v>1</v>
      </c>
      <c r="J1358" s="31"/>
      <c r="K1358" s="31"/>
      <c r="L1358" s="31"/>
      <c r="M1358" s="31"/>
      <c r="N1358" s="4"/>
      <c r="AG1358" t="s">
        <v>1397</v>
      </c>
      <c r="AM1358" s="1"/>
    </row>
    <row r="1359" spans="1:39" x14ac:dyDescent="0.35">
      <c r="A1359">
        <v>1355</v>
      </c>
      <c r="B1359">
        <v>1356</v>
      </c>
      <c r="F1359" s="63"/>
      <c r="G1359" s="63"/>
      <c r="H1359" t="s">
        <v>78</v>
      </c>
      <c r="I1359" s="64">
        <v>1</v>
      </c>
      <c r="J1359" s="31"/>
      <c r="K1359" s="31"/>
      <c r="L1359" s="31"/>
      <c r="M1359" s="31"/>
      <c r="N1359" s="4"/>
      <c r="AG1359" t="s">
        <v>78</v>
      </c>
      <c r="AM1359" s="1"/>
    </row>
    <row r="1360" spans="1:39" x14ac:dyDescent="0.35">
      <c r="A1360">
        <v>1356</v>
      </c>
      <c r="B1360">
        <v>1357</v>
      </c>
      <c r="F1360" s="63"/>
      <c r="G1360" s="63"/>
      <c r="H1360" t="s">
        <v>78</v>
      </c>
      <c r="I1360" s="64">
        <v>1</v>
      </c>
      <c r="J1360" s="31"/>
      <c r="K1360" s="31"/>
      <c r="L1360" s="31"/>
      <c r="M1360" s="31"/>
      <c r="N1360" s="4"/>
      <c r="AG1360" t="s">
        <v>78</v>
      </c>
      <c r="AM1360" s="1"/>
    </row>
    <row r="1361" spans="1:39" x14ac:dyDescent="0.35">
      <c r="A1361">
        <v>1357</v>
      </c>
      <c r="B1361">
        <v>1358</v>
      </c>
      <c r="F1361" s="63"/>
      <c r="G1361" s="63"/>
      <c r="H1361" t="s">
        <v>78</v>
      </c>
      <c r="I1361" s="64">
        <v>1</v>
      </c>
      <c r="J1361" s="31"/>
      <c r="K1361" s="31"/>
      <c r="L1361" s="31"/>
      <c r="M1361" s="31"/>
      <c r="N1361" s="4"/>
      <c r="AG1361" t="s">
        <v>78</v>
      </c>
      <c r="AM1361" s="1"/>
    </row>
    <row r="1362" spans="1:39" x14ac:dyDescent="0.35">
      <c r="A1362">
        <v>1358</v>
      </c>
      <c r="B1362">
        <v>1359</v>
      </c>
      <c r="F1362" s="63"/>
      <c r="G1362" s="63"/>
      <c r="H1362" t="s">
        <v>78</v>
      </c>
      <c r="I1362" s="64">
        <v>1</v>
      </c>
      <c r="J1362" s="31"/>
      <c r="K1362" s="31"/>
      <c r="L1362" s="31"/>
      <c r="M1362" s="31"/>
      <c r="N1362" s="4"/>
      <c r="AG1362" t="s">
        <v>1398</v>
      </c>
      <c r="AM1362" s="1"/>
    </row>
    <row r="1363" spans="1:39" x14ac:dyDescent="0.35">
      <c r="A1363">
        <v>1359</v>
      </c>
      <c r="B1363">
        <v>1360</v>
      </c>
      <c r="F1363" s="63"/>
      <c r="G1363" s="63"/>
      <c r="H1363" t="s">
        <v>78</v>
      </c>
      <c r="I1363" s="64">
        <v>1</v>
      </c>
      <c r="J1363" s="31"/>
      <c r="K1363" s="31"/>
      <c r="L1363" s="31"/>
      <c r="M1363" s="31"/>
      <c r="N1363" s="4"/>
      <c r="AG1363" t="s">
        <v>78</v>
      </c>
      <c r="AM1363" s="1"/>
    </row>
    <row r="1364" spans="1:39" x14ac:dyDescent="0.35">
      <c r="A1364">
        <v>1360</v>
      </c>
      <c r="B1364">
        <v>1361</v>
      </c>
      <c r="F1364" s="63"/>
      <c r="G1364" s="63"/>
      <c r="H1364" t="s">
        <v>78</v>
      </c>
      <c r="I1364" s="64">
        <v>1</v>
      </c>
      <c r="J1364" s="31"/>
      <c r="K1364" s="31"/>
      <c r="L1364" s="31"/>
      <c r="M1364" s="31"/>
      <c r="N1364" s="4"/>
      <c r="AG1364" t="s">
        <v>78</v>
      </c>
      <c r="AM1364" s="1"/>
    </row>
    <row r="1365" spans="1:39" x14ac:dyDescent="0.35">
      <c r="A1365">
        <v>1361</v>
      </c>
      <c r="B1365">
        <v>1362</v>
      </c>
      <c r="F1365" s="63"/>
      <c r="G1365" s="63"/>
      <c r="H1365" t="s">
        <v>78</v>
      </c>
      <c r="I1365" s="64">
        <v>1</v>
      </c>
      <c r="J1365" s="31"/>
      <c r="K1365" s="31"/>
      <c r="L1365" s="31"/>
      <c r="M1365" s="31"/>
      <c r="N1365" s="4"/>
      <c r="AG1365" t="s">
        <v>78</v>
      </c>
      <c r="AM1365" s="1"/>
    </row>
    <row r="1366" spans="1:39" x14ac:dyDescent="0.35">
      <c r="A1366">
        <v>1362</v>
      </c>
      <c r="B1366">
        <v>1363</v>
      </c>
      <c r="F1366" s="63"/>
      <c r="G1366" s="63"/>
      <c r="H1366" t="s">
        <v>78</v>
      </c>
      <c r="I1366" s="64">
        <v>1</v>
      </c>
      <c r="J1366" s="31"/>
      <c r="K1366" s="31"/>
      <c r="L1366" s="31"/>
      <c r="M1366" s="31"/>
      <c r="N1366" s="4"/>
      <c r="AG1366" t="s">
        <v>78</v>
      </c>
      <c r="AM1366" s="1"/>
    </row>
    <row r="1367" spans="1:39" x14ac:dyDescent="0.35">
      <c r="A1367">
        <v>1363</v>
      </c>
      <c r="B1367">
        <v>1364</v>
      </c>
      <c r="F1367" s="63"/>
      <c r="G1367" s="63"/>
      <c r="H1367" t="s">
        <v>78</v>
      </c>
      <c r="I1367" s="64">
        <v>1</v>
      </c>
      <c r="J1367" s="31"/>
      <c r="K1367" s="31"/>
      <c r="L1367" s="31"/>
      <c r="M1367" s="31"/>
      <c r="N1367" s="4"/>
      <c r="AG1367" t="s">
        <v>78</v>
      </c>
      <c r="AM1367" s="1"/>
    </row>
    <row r="1368" spans="1:39" x14ac:dyDescent="0.35">
      <c r="A1368">
        <v>1364</v>
      </c>
      <c r="B1368">
        <v>1365</v>
      </c>
      <c r="F1368" s="63"/>
      <c r="G1368" s="63"/>
      <c r="H1368" t="s">
        <v>78</v>
      </c>
      <c r="I1368" s="64">
        <v>1</v>
      </c>
      <c r="J1368" s="31"/>
      <c r="K1368" s="31"/>
      <c r="L1368" s="31"/>
      <c r="M1368" s="31"/>
      <c r="N1368" s="4"/>
      <c r="AG1368" t="s">
        <v>78</v>
      </c>
      <c r="AM1368" s="1"/>
    </row>
    <row r="1369" spans="1:39" x14ac:dyDescent="0.35">
      <c r="A1369">
        <v>1365</v>
      </c>
      <c r="B1369">
        <v>1366</v>
      </c>
      <c r="F1369" s="63"/>
      <c r="G1369" s="63"/>
      <c r="H1369" t="s">
        <v>78</v>
      </c>
      <c r="I1369" s="64">
        <v>1</v>
      </c>
      <c r="J1369" s="31"/>
      <c r="K1369" s="31"/>
      <c r="L1369" s="31"/>
      <c r="M1369" s="31"/>
      <c r="N1369" s="4"/>
      <c r="AG1369" t="s">
        <v>1399</v>
      </c>
      <c r="AM1369" s="1"/>
    </row>
    <row r="1370" spans="1:39" x14ac:dyDescent="0.35">
      <c r="A1370">
        <v>1366</v>
      </c>
      <c r="B1370">
        <v>1367</v>
      </c>
      <c r="F1370" s="63"/>
      <c r="G1370" s="63"/>
      <c r="H1370" t="s">
        <v>78</v>
      </c>
      <c r="I1370" s="64">
        <v>1</v>
      </c>
      <c r="J1370" s="31"/>
      <c r="K1370" s="31"/>
      <c r="L1370" s="31"/>
      <c r="M1370" s="31"/>
      <c r="N1370" s="4"/>
      <c r="AG1370" t="s">
        <v>78</v>
      </c>
      <c r="AM1370" s="1"/>
    </row>
    <row r="1371" spans="1:39" x14ac:dyDescent="0.35">
      <c r="A1371">
        <v>1367</v>
      </c>
      <c r="B1371">
        <v>1368</v>
      </c>
      <c r="F1371" s="63"/>
      <c r="G1371" s="63"/>
      <c r="H1371" t="s">
        <v>78</v>
      </c>
      <c r="I1371" s="64">
        <v>1</v>
      </c>
      <c r="J1371" s="31"/>
      <c r="K1371" s="31"/>
      <c r="L1371" s="31"/>
      <c r="M1371" s="31"/>
      <c r="N1371" s="4"/>
      <c r="AG1371" t="s">
        <v>78</v>
      </c>
      <c r="AM1371" s="1"/>
    </row>
    <row r="1372" spans="1:39" x14ac:dyDescent="0.35">
      <c r="A1372">
        <v>1368</v>
      </c>
      <c r="B1372">
        <v>1369</v>
      </c>
      <c r="F1372" s="63"/>
      <c r="G1372" s="63"/>
      <c r="H1372" t="s">
        <v>78</v>
      </c>
      <c r="I1372" s="64">
        <v>1</v>
      </c>
      <c r="J1372" s="31"/>
      <c r="K1372" s="31"/>
      <c r="L1372" s="31"/>
      <c r="M1372" s="31"/>
      <c r="N1372" s="4"/>
      <c r="AG1372" t="s">
        <v>78</v>
      </c>
      <c r="AM1372" s="1"/>
    </row>
    <row r="1373" spans="1:39" x14ac:dyDescent="0.35">
      <c r="A1373">
        <v>1369</v>
      </c>
      <c r="B1373">
        <v>1370</v>
      </c>
      <c r="F1373" s="63"/>
      <c r="G1373" s="63"/>
      <c r="H1373" t="s">
        <v>78</v>
      </c>
      <c r="I1373" s="64">
        <v>1</v>
      </c>
      <c r="J1373" s="31"/>
      <c r="K1373" s="31"/>
      <c r="L1373" s="31"/>
      <c r="M1373" s="31"/>
      <c r="N1373" s="4"/>
      <c r="AG1373" t="s">
        <v>78</v>
      </c>
      <c r="AM1373" s="1"/>
    </row>
    <row r="1374" spans="1:39" x14ac:dyDescent="0.35">
      <c r="A1374">
        <v>1370</v>
      </c>
      <c r="B1374">
        <v>1371</v>
      </c>
      <c r="F1374" s="63"/>
      <c r="G1374" s="63"/>
      <c r="H1374" t="s">
        <v>78</v>
      </c>
      <c r="I1374" s="64">
        <v>1</v>
      </c>
      <c r="J1374" s="31"/>
      <c r="K1374" s="31"/>
      <c r="L1374" s="31"/>
      <c r="M1374" s="31"/>
      <c r="N1374" s="4"/>
      <c r="AG1374" t="s">
        <v>78</v>
      </c>
      <c r="AM1374" s="1"/>
    </row>
    <row r="1375" spans="1:39" x14ac:dyDescent="0.35">
      <c r="A1375">
        <v>1371</v>
      </c>
      <c r="B1375">
        <v>1372</v>
      </c>
      <c r="F1375" s="63"/>
      <c r="G1375" s="63"/>
      <c r="H1375" t="s">
        <v>78</v>
      </c>
      <c r="I1375" s="64">
        <v>1</v>
      </c>
      <c r="J1375" s="31"/>
      <c r="K1375" s="31"/>
      <c r="L1375" s="31"/>
      <c r="M1375" s="31"/>
      <c r="N1375" s="4"/>
      <c r="AG1375" t="s">
        <v>78</v>
      </c>
      <c r="AM1375" s="1"/>
    </row>
    <row r="1376" spans="1:39" x14ac:dyDescent="0.35">
      <c r="A1376">
        <v>1372</v>
      </c>
      <c r="B1376">
        <v>1373</v>
      </c>
      <c r="F1376" s="63"/>
      <c r="G1376" s="63"/>
      <c r="H1376" t="s">
        <v>78</v>
      </c>
      <c r="I1376" s="64">
        <v>1</v>
      </c>
      <c r="J1376" s="31"/>
      <c r="K1376" s="31"/>
      <c r="L1376" s="31"/>
      <c r="M1376" s="31"/>
      <c r="N1376" s="4"/>
      <c r="AG1376" t="s">
        <v>78</v>
      </c>
      <c r="AM1376" s="1"/>
    </row>
    <row r="1377" spans="1:39" x14ac:dyDescent="0.35">
      <c r="A1377">
        <v>1373</v>
      </c>
      <c r="B1377">
        <v>1374</v>
      </c>
      <c r="F1377" s="63"/>
      <c r="G1377" s="63"/>
      <c r="H1377" t="s">
        <v>78</v>
      </c>
      <c r="I1377" s="64">
        <v>1</v>
      </c>
      <c r="J1377" s="31"/>
      <c r="K1377" s="31"/>
      <c r="L1377" s="31"/>
      <c r="M1377" s="31"/>
      <c r="N1377" s="4"/>
      <c r="AG1377" t="s">
        <v>78</v>
      </c>
      <c r="AM1377" s="1"/>
    </row>
    <row r="1378" spans="1:39" x14ac:dyDescent="0.35">
      <c r="A1378">
        <v>1374</v>
      </c>
      <c r="B1378">
        <v>1375</v>
      </c>
      <c r="F1378" s="63"/>
      <c r="G1378" s="63"/>
      <c r="H1378" t="s">
        <v>78</v>
      </c>
      <c r="I1378" s="64">
        <v>1</v>
      </c>
      <c r="J1378" s="31"/>
      <c r="K1378" s="31"/>
      <c r="L1378" s="31"/>
      <c r="M1378" s="31"/>
      <c r="N1378" s="4"/>
      <c r="AG1378" t="s">
        <v>78</v>
      </c>
      <c r="AM1378" s="1"/>
    </row>
    <row r="1379" spans="1:39" x14ac:dyDescent="0.35">
      <c r="A1379">
        <v>1375</v>
      </c>
      <c r="B1379">
        <v>1376</v>
      </c>
      <c r="F1379" s="63"/>
      <c r="G1379" s="63"/>
      <c r="H1379" t="s">
        <v>78</v>
      </c>
      <c r="I1379" s="64">
        <v>1</v>
      </c>
      <c r="J1379" s="31"/>
      <c r="K1379" s="31"/>
      <c r="L1379" s="31"/>
      <c r="M1379" s="31"/>
      <c r="N1379" s="4"/>
      <c r="AG1379" t="s">
        <v>78</v>
      </c>
      <c r="AM1379" s="1"/>
    </row>
    <row r="1380" spans="1:39" x14ac:dyDescent="0.35">
      <c r="A1380">
        <v>1376</v>
      </c>
      <c r="B1380">
        <v>1377</v>
      </c>
      <c r="F1380" s="63"/>
      <c r="G1380" s="63"/>
      <c r="H1380" t="s">
        <v>78</v>
      </c>
      <c r="I1380" s="64">
        <v>1</v>
      </c>
      <c r="J1380" s="31"/>
      <c r="K1380" s="31"/>
      <c r="L1380" s="31"/>
      <c r="M1380" s="31"/>
      <c r="N1380" s="4"/>
      <c r="AG1380" t="s">
        <v>78</v>
      </c>
      <c r="AM1380" s="1"/>
    </row>
    <row r="1381" spans="1:39" x14ac:dyDescent="0.35">
      <c r="A1381">
        <v>1377</v>
      </c>
      <c r="B1381">
        <v>1378</v>
      </c>
      <c r="F1381" s="63"/>
      <c r="G1381" s="63"/>
      <c r="H1381" t="s">
        <v>78</v>
      </c>
      <c r="I1381" s="64">
        <v>1</v>
      </c>
      <c r="J1381" s="31"/>
      <c r="K1381" s="31"/>
      <c r="L1381" s="31"/>
      <c r="M1381" s="31"/>
      <c r="N1381" s="4"/>
      <c r="AG1381" t="s">
        <v>78</v>
      </c>
      <c r="AM1381" s="1"/>
    </row>
    <row r="1382" spans="1:39" x14ac:dyDescent="0.35">
      <c r="A1382">
        <v>1378</v>
      </c>
      <c r="B1382">
        <v>1379</v>
      </c>
      <c r="F1382" s="63"/>
      <c r="G1382" s="63"/>
      <c r="H1382" t="s">
        <v>78</v>
      </c>
      <c r="I1382" s="64">
        <v>1</v>
      </c>
      <c r="J1382" s="31"/>
      <c r="K1382" s="31"/>
      <c r="L1382" s="31"/>
      <c r="M1382" s="31"/>
      <c r="N1382" s="4"/>
      <c r="AG1382" t="s">
        <v>78</v>
      </c>
      <c r="AM1382" s="1"/>
    </row>
    <row r="1383" spans="1:39" x14ac:dyDescent="0.35">
      <c r="A1383">
        <v>1379</v>
      </c>
      <c r="B1383">
        <v>1380</v>
      </c>
      <c r="F1383" s="63"/>
      <c r="G1383" s="63"/>
      <c r="H1383" t="s">
        <v>78</v>
      </c>
      <c r="I1383" s="64">
        <v>1</v>
      </c>
      <c r="J1383" s="31"/>
      <c r="K1383" s="31"/>
      <c r="L1383" s="31"/>
      <c r="M1383" s="31"/>
      <c r="N1383" s="4"/>
      <c r="AG1383" t="s">
        <v>78</v>
      </c>
      <c r="AM1383" s="1"/>
    </row>
    <row r="1384" spans="1:39" x14ac:dyDescent="0.35">
      <c r="A1384">
        <v>1380</v>
      </c>
      <c r="B1384">
        <v>1381</v>
      </c>
      <c r="F1384" s="63"/>
      <c r="G1384" s="63"/>
      <c r="H1384" t="s">
        <v>78</v>
      </c>
      <c r="I1384" s="64">
        <v>1</v>
      </c>
      <c r="J1384" s="31"/>
      <c r="K1384" s="31"/>
      <c r="L1384" s="31"/>
      <c r="M1384" s="31"/>
      <c r="N1384" s="4"/>
      <c r="AG1384" t="s">
        <v>78</v>
      </c>
      <c r="AM1384" s="1"/>
    </row>
    <row r="1385" spans="1:39" x14ac:dyDescent="0.35">
      <c r="A1385">
        <v>1381</v>
      </c>
      <c r="B1385">
        <v>1382</v>
      </c>
      <c r="F1385" s="63"/>
      <c r="G1385" s="63"/>
      <c r="H1385" t="s">
        <v>78</v>
      </c>
      <c r="I1385" s="64">
        <v>1</v>
      </c>
      <c r="J1385" s="31"/>
      <c r="K1385" s="31"/>
      <c r="L1385" s="31"/>
      <c r="M1385" s="31"/>
      <c r="N1385" s="4"/>
      <c r="AG1385" t="s">
        <v>78</v>
      </c>
      <c r="AM1385" s="1"/>
    </row>
    <row r="1386" spans="1:39" x14ac:dyDescent="0.35">
      <c r="A1386">
        <v>1382</v>
      </c>
      <c r="B1386">
        <v>1383</v>
      </c>
      <c r="F1386" s="63"/>
      <c r="G1386" s="63"/>
      <c r="H1386" t="s">
        <v>78</v>
      </c>
      <c r="I1386" s="64">
        <v>1</v>
      </c>
      <c r="J1386" s="31"/>
      <c r="K1386" s="31"/>
      <c r="L1386" s="31"/>
      <c r="M1386" s="31"/>
      <c r="N1386" s="4"/>
      <c r="AG1386" t="s">
        <v>78</v>
      </c>
      <c r="AM1386" s="1"/>
    </row>
    <row r="1387" spans="1:39" x14ac:dyDescent="0.35">
      <c r="A1387">
        <v>1383</v>
      </c>
      <c r="B1387">
        <v>1384</v>
      </c>
      <c r="F1387" s="63"/>
      <c r="G1387" s="63"/>
      <c r="H1387" t="s">
        <v>78</v>
      </c>
      <c r="I1387" s="64">
        <v>1</v>
      </c>
      <c r="J1387" s="31"/>
      <c r="K1387" s="31"/>
      <c r="L1387" s="31"/>
      <c r="M1387" s="31"/>
      <c r="N1387" s="4"/>
      <c r="AG1387" t="s">
        <v>78</v>
      </c>
      <c r="AM1387" s="1"/>
    </row>
    <row r="1388" spans="1:39" x14ac:dyDescent="0.35">
      <c r="A1388">
        <v>1384</v>
      </c>
      <c r="B1388">
        <v>1385</v>
      </c>
      <c r="F1388" s="63"/>
      <c r="G1388" s="63"/>
      <c r="H1388" t="s">
        <v>78</v>
      </c>
      <c r="I1388" s="64">
        <v>1</v>
      </c>
      <c r="J1388" s="31"/>
      <c r="K1388" s="31"/>
      <c r="L1388" s="31"/>
      <c r="M1388" s="31"/>
      <c r="N1388" s="4"/>
      <c r="AG1388" t="s">
        <v>78</v>
      </c>
      <c r="AM1388" s="1"/>
    </row>
    <row r="1389" spans="1:39" x14ac:dyDescent="0.35">
      <c r="A1389">
        <v>1385</v>
      </c>
      <c r="B1389">
        <v>1386</v>
      </c>
      <c r="F1389" s="63"/>
      <c r="G1389" s="63"/>
      <c r="H1389" t="s">
        <v>78</v>
      </c>
      <c r="I1389" s="64">
        <v>1</v>
      </c>
      <c r="J1389" s="31"/>
      <c r="K1389" s="31"/>
      <c r="L1389" s="31"/>
      <c r="M1389" s="31"/>
      <c r="N1389" s="4"/>
      <c r="AG1389" t="s">
        <v>78</v>
      </c>
      <c r="AM1389" s="1"/>
    </row>
    <row r="1390" spans="1:39" x14ac:dyDescent="0.35">
      <c r="A1390">
        <v>1386</v>
      </c>
      <c r="B1390">
        <v>1387</v>
      </c>
      <c r="F1390" s="63"/>
      <c r="G1390" s="63"/>
      <c r="H1390" t="s">
        <v>78</v>
      </c>
      <c r="I1390" s="64">
        <v>1</v>
      </c>
      <c r="J1390" s="31"/>
      <c r="K1390" s="31"/>
      <c r="L1390" s="31"/>
      <c r="M1390" s="31"/>
      <c r="N1390" s="4"/>
      <c r="AG1390" t="s">
        <v>78</v>
      </c>
      <c r="AM1390" s="1"/>
    </row>
    <row r="1391" spans="1:39" x14ac:dyDescent="0.35">
      <c r="A1391">
        <v>1387</v>
      </c>
      <c r="B1391">
        <v>1388</v>
      </c>
      <c r="F1391" s="63"/>
      <c r="G1391" s="63"/>
      <c r="H1391" t="s">
        <v>78</v>
      </c>
      <c r="I1391" s="64">
        <v>1</v>
      </c>
      <c r="J1391" s="31"/>
      <c r="K1391" s="31"/>
      <c r="L1391" s="31"/>
      <c r="M1391" s="31"/>
      <c r="N1391" s="4"/>
      <c r="AG1391" t="s">
        <v>78</v>
      </c>
      <c r="AM1391" s="1"/>
    </row>
    <row r="1392" spans="1:39" x14ac:dyDescent="0.35">
      <c r="A1392">
        <v>1388</v>
      </c>
      <c r="B1392">
        <v>1389</v>
      </c>
      <c r="F1392" s="63"/>
      <c r="G1392" s="63"/>
      <c r="H1392" t="s">
        <v>78</v>
      </c>
      <c r="I1392" s="64">
        <v>1</v>
      </c>
      <c r="J1392" s="31"/>
      <c r="K1392" s="31"/>
      <c r="L1392" s="31"/>
      <c r="M1392" s="31"/>
      <c r="N1392" s="4"/>
      <c r="AG1392" t="s">
        <v>78</v>
      </c>
      <c r="AM1392" s="1"/>
    </row>
    <row r="1393" spans="1:39" x14ac:dyDescent="0.35">
      <c r="A1393">
        <v>1389</v>
      </c>
      <c r="B1393">
        <v>1390</v>
      </c>
      <c r="F1393" s="63"/>
      <c r="G1393" s="63"/>
      <c r="H1393" t="s">
        <v>78</v>
      </c>
      <c r="I1393" s="64">
        <v>1</v>
      </c>
      <c r="J1393" s="31"/>
      <c r="K1393" s="31"/>
      <c r="L1393" s="31"/>
      <c r="M1393" s="31"/>
      <c r="N1393" s="4"/>
      <c r="AG1393" t="s">
        <v>78</v>
      </c>
      <c r="AM1393" s="1"/>
    </row>
    <row r="1394" spans="1:39" x14ac:dyDescent="0.35">
      <c r="A1394">
        <v>1390</v>
      </c>
      <c r="B1394">
        <v>1391</v>
      </c>
      <c r="F1394" s="63"/>
      <c r="G1394" s="63"/>
      <c r="H1394" t="s">
        <v>78</v>
      </c>
      <c r="I1394" s="64">
        <v>1</v>
      </c>
      <c r="J1394" s="31"/>
      <c r="K1394" s="31"/>
      <c r="L1394" s="31"/>
      <c r="M1394" s="31"/>
      <c r="N1394" s="4"/>
      <c r="AG1394" t="s">
        <v>78</v>
      </c>
      <c r="AM1394" s="1"/>
    </row>
    <row r="1395" spans="1:39" x14ac:dyDescent="0.35">
      <c r="A1395">
        <v>1391</v>
      </c>
      <c r="B1395">
        <v>1392</v>
      </c>
      <c r="F1395" s="63"/>
      <c r="G1395" s="63"/>
      <c r="H1395" t="s">
        <v>78</v>
      </c>
      <c r="I1395" s="64">
        <v>1</v>
      </c>
      <c r="J1395" s="31"/>
      <c r="K1395" s="31"/>
      <c r="L1395" s="31"/>
      <c r="M1395" s="31"/>
      <c r="N1395" s="4"/>
      <c r="AG1395" t="s">
        <v>78</v>
      </c>
      <c r="AM1395" s="1"/>
    </row>
    <row r="1396" spans="1:39" x14ac:dyDescent="0.35">
      <c r="A1396">
        <v>1392</v>
      </c>
      <c r="B1396">
        <v>1393</v>
      </c>
      <c r="F1396" s="63"/>
      <c r="G1396" s="63"/>
      <c r="H1396" t="s">
        <v>78</v>
      </c>
      <c r="I1396" s="64">
        <v>1</v>
      </c>
      <c r="J1396" s="31"/>
      <c r="K1396" s="31"/>
      <c r="L1396" s="31"/>
      <c r="M1396" s="31"/>
      <c r="N1396" s="4"/>
      <c r="AG1396" t="s">
        <v>78</v>
      </c>
      <c r="AM1396" s="1">
        <f t="shared" ref="AM1396:AM1427" si="18">HYPERLINK("E:\CAFNEC_GBRF\2023\JohnstoneRiver\Frames_for_Analysis\" &amp; F1397, F1397)</f>
        <v>0</v>
      </c>
    </row>
    <row r="1397" spans="1:39" x14ac:dyDescent="0.35">
      <c r="A1397">
        <v>1393</v>
      </c>
      <c r="B1397">
        <v>1394</v>
      </c>
      <c r="F1397" s="63"/>
      <c r="G1397" s="63"/>
      <c r="H1397" t="s">
        <v>78</v>
      </c>
      <c r="I1397" s="64">
        <v>1</v>
      </c>
      <c r="J1397" s="31"/>
      <c r="K1397" s="31"/>
      <c r="L1397" s="31"/>
      <c r="M1397" s="31"/>
      <c r="N1397" s="4"/>
      <c r="AG1397" t="s">
        <v>78</v>
      </c>
      <c r="AM1397" s="1">
        <f t="shared" si="18"/>
        <v>0</v>
      </c>
    </row>
    <row r="1398" spans="1:39" x14ac:dyDescent="0.35">
      <c r="A1398">
        <v>1394</v>
      </c>
      <c r="B1398">
        <v>1395</v>
      </c>
      <c r="F1398" s="63"/>
      <c r="G1398" s="63"/>
      <c r="H1398" t="s">
        <v>78</v>
      </c>
      <c r="I1398" s="64">
        <v>1</v>
      </c>
      <c r="J1398" s="31"/>
      <c r="K1398" s="31"/>
      <c r="L1398" s="31"/>
      <c r="M1398" s="31"/>
      <c r="N1398" s="4"/>
      <c r="AG1398" t="s">
        <v>78</v>
      </c>
      <c r="AM1398" s="1">
        <f t="shared" si="18"/>
        <v>0</v>
      </c>
    </row>
    <row r="1399" spans="1:39" x14ac:dyDescent="0.35">
      <c r="A1399">
        <v>1395</v>
      </c>
      <c r="B1399">
        <v>1396</v>
      </c>
      <c r="F1399" s="63"/>
      <c r="G1399" s="63"/>
      <c r="H1399" t="s">
        <v>78</v>
      </c>
      <c r="I1399" s="64">
        <v>1</v>
      </c>
      <c r="J1399" s="31"/>
      <c r="K1399" s="31"/>
      <c r="L1399" s="31"/>
      <c r="M1399" s="31"/>
      <c r="N1399" s="4"/>
      <c r="AG1399" t="s">
        <v>78</v>
      </c>
      <c r="AM1399" s="1">
        <f t="shared" si="18"/>
        <v>0</v>
      </c>
    </row>
    <row r="1400" spans="1:39" x14ac:dyDescent="0.35">
      <c r="A1400">
        <v>1396</v>
      </c>
      <c r="B1400">
        <v>1397</v>
      </c>
      <c r="F1400" s="63"/>
      <c r="G1400" s="63"/>
      <c r="H1400" t="s">
        <v>78</v>
      </c>
      <c r="I1400" s="64">
        <v>1</v>
      </c>
      <c r="J1400" s="31"/>
      <c r="K1400" s="31"/>
      <c r="L1400" s="31"/>
      <c r="M1400" s="31"/>
      <c r="N1400" s="4"/>
      <c r="AG1400" t="s">
        <v>78</v>
      </c>
      <c r="AM1400" s="1">
        <f t="shared" si="18"/>
        <v>0</v>
      </c>
    </row>
    <row r="1401" spans="1:39" x14ac:dyDescent="0.35">
      <c r="A1401">
        <v>1397</v>
      </c>
      <c r="B1401">
        <v>1398</v>
      </c>
      <c r="F1401" s="63"/>
      <c r="G1401" s="63"/>
      <c r="H1401" t="s">
        <v>78</v>
      </c>
      <c r="I1401" s="64">
        <v>1</v>
      </c>
      <c r="J1401" s="31"/>
      <c r="K1401" s="31"/>
      <c r="L1401" s="31"/>
      <c r="M1401" s="31"/>
      <c r="N1401" s="4"/>
      <c r="AG1401" t="s">
        <v>78</v>
      </c>
      <c r="AM1401" s="1">
        <f t="shared" si="18"/>
        <v>0</v>
      </c>
    </row>
    <row r="1402" spans="1:39" x14ac:dyDescent="0.35">
      <c r="A1402">
        <v>1398</v>
      </c>
      <c r="B1402">
        <v>1399</v>
      </c>
      <c r="F1402" s="63"/>
      <c r="G1402" s="63"/>
      <c r="H1402" t="s">
        <v>78</v>
      </c>
      <c r="I1402" s="64">
        <v>1</v>
      </c>
      <c r="J1402" s="31"/>
      <c r="K1402" s="31"/>
      <c r="L1402" s="31"/>
      <c r="M1402" s="31"/>
      <c r="N1402" s="4"/>
      <c r="AG1402" t="s">
        <v>78</v>
      </c>
      <c r="AM1402" s="1">
        <f t="shared" si="18"/>
        <v>0</v>
      </c>
    </row>
    <row r="1403" spans="1:39" x14ac:dyDescent="0.35">
      <c r="A1403">
        <v>1399</v>
      </c>
      <c r="B1403">
        <v>1400</v>
      </c>
      <c r="F1403" s="63"/>
      <c r="G1403" s="63"/>
      <c r="H1403" t="s">
        <v>78</v>
      </c>
      <c r="I1403" s="64">
        <v>1</v>
      </c>
      <c r="J1403" s="31"/>
      <c r="K1403" s="31"/>
      <c r="L1403" s="31"/>
      <c r="M1403" s="31"/>
      <c r="N1403" s="4"/>
      <c r="AG1403" t="s">
        <v>78</v>
      </c>
      <c r="AM1403" s="1">
        <f t="shared" si="18"/>
        <v>0</v>
      </c>
    </row>
    <row r="1404" spans="1:39" x14ac:dyDescent="0.35">
      <c r="A1404">
        <v>1400</v>
      </c>
      <c r="B1404">
        <v>1401</v>
      </c>
      <c r="F1404" s="63"/>
      <c r="G1404" s="63"/>
      <c r="H1404" t="s">
        <v>78</v>
      </c>
      <c r="I1404" s="64">
        <v>1</v>
      </c>
      <c r="J1404" s="31"/>
      <c r="K1404" s="31"/>
      <c r="L1404" s="31"/>
      <c r="M1404" s="31"/>
      <c r="N1404" s="4"/>
      <c r="AG1404" t="s">
        <v>78</v>
      </c>
      <c r="AM1404" s="1">
        <f t="shared" si="18"/>
        <v>0</v>
      </c>
    </row>
    <row r="1405" spans="1:39" x14ac:dyDescent="0.35">
      <c r="A1405">
        <v>1401</v>
      </c>
      <c r="B1405">
        <v>1402</v>
      </c>
      <c r="F1405" s="63"/>
      <c r="G1405" s="63"/>
      <c r="H1405" t="s">
        <v>78</v>
      </c>
      <c r="I1405" s="64">
        <v>1</v>
      </c>
      <c r="J1405" s="31"/>
      <c r="K1405" s="31"/>
      <c r="L1405" s="31"/>
      <c r="M1405" s="31"/>
      <c r="N1405" s="4"/>
      <c r="AG1405" t="s">
        <v>78</v>
      </c>
      <c r="AM1405" s="1">
        <f t="shared" si="18"/>
        <v>0</v>
      </c>
    </row>
    <row r="1406" spans="1:39" x14ac:dyDescent="0.35">
      <c r="A1406">
        <v>1402</v>
      </c>
      <c r="B1406">
        <v>1403</v>
      </c>
      <c r="F1406" s="63"/>
      <c r="G1406" s="63"/>
      <c r="H1406" t="s">
        <v>78</v>
      </c>
      <c r="I1406" s="64">
        <v>1</v>
      </c>
      <c r="J1406" s="31"/>
      <c r="K1406" s="31"/>
      <c r="L1406" s="31"/>
      <c r="M1406" s="31"/>
      <c r="N1406" s="4"/>
      <c r="AG1406" t="s">
        <v>78</v>
      </c>
      <c r="AM1406" s="1">
        <f t="shared" si="18"/>
        <v>0</v>
      </c>
    </row>
    <row r="1407" spans="1:39" x14ac:dyDescent="0.35">
      <c r="A1407">
        <v>1403</v>
      </c>
      <c r="B1407">
        <v>1404</v>
      </c>
      <c r="F1407" s="63"/>
      <c r="G1407" s="63"/>
      <c r="H1407" t="s">
        <v>78</v>
      </c>
      <c r="I1407" s="64">
        <v>1</v>
      </c>
      <c r="J1407" s="31"/>
      <c r="K1407" s="31"/>
      <c r="L1407" s="31"/>
      <c r="M1407" s="31"/>
      <c r="N1407" s="4"/>
      <c r="AG1407" t="s">
        <v>78</v>
      </c>
      <c r="AM1407" s="1">
        <f t="shared" si="18"/>
        <v>0</v>
      </c>
    </row>
    <row r="1408" spans="1:39" x14ac:dyDescent="0.35">
      <c r="A1408">
        <v>1404</v>
      </c>
      <c r="B1408">
        <v>1405</v>
      </c>
      <c r="F1408" s="63"/>
      <c r="G1408" s="63"/>
      <c r="H1408" t="s">
        <v>78</v>
      </c>
      <c r="I1408" s="64">
        <v>1</v>
      </c>
      <c r="J1408" s="31"/>
      <c r="K1408" s="31"/>
      <c r="L1408" s="31"/>
      <c r="M1408" s="31"/>
      <c r="N1408" s="4"/>
      <c r="AG1408" t="s">
        <v>78</v>
      </c>
      <c r="AM1408" s="1">
        <f t="shared" si="18"/>
        <v>0</v>
      </c>
    </row>
    <row r="1409" spans="1:39" x14ac:dyDescent="0.35">
      <c r="A1409">
        <v>1405</v>
      </c>
      <c r="B1409">
        <v>1406</v>
      </c>
      <c r="F1409" s="63"/>
      <c r="G1409" s="63"/>
      <c r="H1409" t="s">
        <v>78</v>
      </c>
      <c r="I1409" s="64">
        <v>1</v>
      </c>
      <c r="J1409" s="31"/>
      <c r="K1409" s="31"/>
      <c r="L1409" s="31"/>
      <c r="M1409" s="31"/>
      <c r="N1409" s="4"/>
      <c r="AG1409" t="s">
        <v>78</v>
      </c>
      <c r="AM1409" s="1">
        <f t="shared" si="18"/>
        <v>0</v>
      </c>
    </row>
    <row r="1410" spans="1:39" x14ac:dyDescent="0.35">
      <c r="A1410">
        <v>1406</v>
      </c>
      <c r="B1410">
        <v>1407</v>
      </c>
      <c r="F1410" s="63"/>
      <c r="G1410" s="63"/>
      <c r="H1410" t="s">
        <v>78</v>
      </c>
      <c r="I1410" s="64">
        <v>1</v>
      </c>
      <c r="J1410" s="31"/>
      <c r="K1410" s="31"/>
      <c r="L1410" s="31"/>
      <c r="M1410" s="31"/>
      <c r="N1410" s="4"/>
      <c r="AG1410" t="s">
        <v>78</v>
      </c>
      <c r="AM1410" s="1">
        <f t="shared" si="18"/>
        <v>0</v>
      </c>
    </row>
    <row r="1411" spans="1:39" x14ac:dyDescent="0.35">
      <c r="A1411">
        <v>1407</v>
      </c>
      <c r="B1411">
        <v>1408</v>
      </c>
      <c r="F1411" s="63"/>
      <c r="G1411" s="63"/>
      <c r="H1411" t="s">
        <v>78</v>
      </c>
      <c r="I1411" s="64">
        <v>1</v>
      </c>
      <c r="J1411" s="31"/>
      <c r="K1411" s="31"/>
      <c r="L1411" s="31"/>
      <c r="M1411" s="31"/>
      <c r="N1411" s="4"/>
      <c r="AG1411" t="s">
        <v>78</v>
      </c>
      <c r="AM1411" s="1">
        <f t="shared" si="18"/>
        <v>0</v>
      </c>
    </row>
    <row r="1412" spans="1:39" x14ac:dyDescent="0.35">
      <c r="A1412">
        <v>1408</v>
      </c>
      <c r="B1412">
        <v>1409</v>
      </c>
      <c r="F1412" s="63"/>
      <c r="G1412" s="63"/>
      <c r="H1412" t="s">
        <v>78</v>
      </c>
      <c r="I1412" s="64">
        <v>1</v>
      </c>
      <c r="J1412" s="31"/>
      <c r="K1412" s="31"/>
      <c r="L1412" s="31"/>
      <c r="M1412" s="31"/>
      <c r="N1412" s="4"/>
      <c r="AG1412" t="s">
        <v>78</v>
      </c>
      <c r="AM1412" s="1">
        <f t="shared" si="18"/>
        <v>0</v>
      </c>
    </row>
    <row r="1413" spans="1:39" x14ac:dyDescent="0.35">
      <c r="A1413">
        <v>1409</v>
      </c>
      <c r="B1413">
        <v>1410</v>
      </c>
      <c r="F1413" s="63"/>
      <c r="G1413" s="63"/>
      <c r="H1413" t="s">
        <v>78</v>
      </c>
      <c r="I1413" s="64">
        <v>1</v>
      </c>
      <c r="J1413" s="31"/>
      <c r="K1413" s="31"/>
      <c r="L1413" s="31"/>
      <c r="M1413" s="31"/>
      <c r="N1413" s="4"/>
      <c r="AG1413" t="s">
        <v>78</v>
      </c>
      <c r="AM1413" s="1">
        <f t="shared" si="18"/>
        <v>0</v>
      </c>
    </row>
    <row r="1414" spans="1:39" x14ac:dyDescent="0.35">
      <c r="A1414">
        <v>1410</v>
      </c>
      <c r="B1414">
        <v>1411</v>
      </c>
      <c r="F1414" s="63"/>
      <c r="G1414" s="63"/>
      <c r="H1414" t="s">
        <v>78</v>
      </c>
      <c r="I1414" s="64">
        <v>1</v>
      </c>
      <c r="J1414" s="31"/>
      <c r="K1414" s="31"/>
      <c r="L1414" s="31"/>
      <c r="M1414" s="31"/>
      <c r="N1414" s="4"/>
      <c r="AG1414" t="s">
        <v>78</v>
      </c>
      <c r="AM1414" s="1">
        <f t="shared" si="18"/>
        <v>0</v>
      </c>
    </row>
    <row r="1415" spans="1:39" x14ac:dyDescent="0.35">
      <c r="A1415">
        <v>1411</v>
      </c>
      <c r="B1415">
        <v>1412</v>
      </c>
      <c r="F1415" s="63"/>
      <c r="G1415" s="63"/>
      <c r="H1415" t="s">
        <v>78</v>
      </c>
      <c r="I1415" s="64">
        <v>1</v>
      </c>
      <c r="J1415" s="31"/>
      <c r="K1415" s="31"/>
      <c r="L1415" s="31"/>
      <c r="M1415" s="31"/>
      <c r="N1415" s="4"/>
      <c r="AG1415" t="s">
        <v>78</v>
      </c>
      <c r="AM1415" s="1">
        <f t="shared" si="18"/>
        <v>0</v>
      </c>
    </row>
    <row r="1416" spans="1:39" x14ac:dyDescent="0.35">
      <c r="A1416">
        <v>1412</v>
      </c>
      <c r="B1416">
        <v>1413</v>
      </c>
      <c r="F1416" s="63"/>
      <c r="G1416" s="63"/>
      <c r="H1416" t="s">
        <v>78</v>
      </c>
      <c r="I1416" s="64">
        <v>1</v>
      </c>
      <c r="J1416" s="31"/>
      <c r="K1416" s="31"/>
      <c r="L1416" s="31"/>
      <c r="M1416" s="31"/>
      <c r="N1416" s="4"/>
      <c r="AG1416" t="s">
        <v>78</v>
      </c>
      <c r="AM1416" s="1">
        <f t="shared" si="18"/>
        <v>0</v>
      </c>
    </row>
    <row r="1417" spans="1:39" x14ac:dyDescent="0.35">
      <c r="A1417">
        <v>1413</v>
      </c>
      <c r="B1417">
        <v>1414</v>
      </c>
      <c r="F1417" s="63"/>
      <c r="G1417" s="63"/>
      <c r="H1417" t="s">
        <v>78</v>
      </c>
      <c r="I1417" s="64">
        <v>1</v>
      </c>
      <c r="J1417" s="31"/>
      <c r="K1417" s="31"/>
      <c r="L1417" s="31"/>
      <c r="M1417" s="31"/>
      <c r="N1417" s="4"/>
      <c r="AG1417" t="s">
        <v>78</v>
      </c>
      <c r="AM1417" s="1">
        <f t="shared" si="18"/>
        <v>0</v>
      </c>
    </row>
    <row r="1418" spans="1:39" x14ac:dyDescent="0.35">
      <c r="A1418">
        <v>1414</v>
      </c>
      <c r="B1418">
        <v>1415</v>
      </c>
      <c r="F1418" s="63"/>
      <c r="G1418" s="63"/>
      <c r="H1418" t="s">
        <v>78</v>
      </c>
      <c r="I1418" s="64">
        <v>1</v>
      </c>
      <c r="J1418" s="31"/>
      <c r="K1418" s="31"/>
      <c r="L1418" s="31"/>
      <c r="M1418" s="31"/>
      <c r="N1418" s="4"/>
      <c r="AG1418" t="s">
        <v>78</v>
      </c>
      <c r="AM1418" s="1">
        <f t="shared" si="18"/>
        <v>0</v>
      </c>
    </row>
    <row r="1419" spans="1:39" x14ac:dyDescent="0.35">
      <c r="A1419">
        <v>1415</v>
      </c>
      <c r="B1419">
        <v>1416</v>
      </c>
      <c r="F1419" s="63"/>
      <c r="G1419" s="63"/>
      <c r="H1419" t="s">
        <v>78</v>
      </c>
      <c r="I1419" s="64">
        <v>1</v>
      </c>
      <c r="J1419" s="31"/>
      <c r="K1419" s="31"/>
      <c r="L1419" s="31"/>
      <c r="M1419" s="31"/>
      <c r="N1419" s="4"/>
      <c r="AG1419" t="s">
        <v>78</v>
      </c>
      <c r="AM1419" s="1">
        <f t="shared" si="18"/>
        <v>0</v>
      </c>
    </row>
    <row r="1420" spans="1:39" x14ac:dyDescent="0.35">
      <c r="A1420">
        <v>1416</v>
      </c>
      <c r="B1420">
        <v>1417</v>
      </c>
      <c r="F1420" s="63"/>
      <c r="G1420" s="63"/>
      <c r="H1420" t="s">
        <v>78</v>
      </c>
      <c r="I1420" s="64">
        <v>1</v>
      </c>
      <c r="J1420" s="31"/>
      <c r="K1420" s="31"/>
      <c r="L1420" s="31"/>
      <c r="M1420" s="31"/>
      <c r="N1420" s="4"/>
      <c r="AG1420" t="s">
        <v>78</v>
      </c>
      <c r="AM1420" s="1">
        <f t="shared" si="18"/>
        <v>0</v>
      </c>
    </row>
    <row r="1421" spans="1:39" x14ac:dyDescent="0.35">
      <c r="A1421">
        <v>1417</v>
      </c>
      <c r="B1421">
        <v>1418</v>
      </c>
      <c r="F1421" s="63"/>
      <c r="G1421" s="63"/>
      <c r="H1421" t="s">
        <v>78</v>
      </c>
      <c r="I1421" s="64">
        <v>1</v>
      </c>
      <c r="J1421" s="31"/>
      <c r="K1421" s="31"/>
      <c r="L1421" s="31"/>
      <c r="M1421" s="31"/>
      <c r="N1421" s="4"/>
      <c r="AG1421" t="s">
        <v>78</v>
      </c>
      <c r="AM1421" s="1">
        <f t="shared" si="18"/>
        <v>0</v>
      </c>
    </row>
    <row r="1422" spans="1:39" x14ac:dyDescent="0.35">
      <c r="A1422">
        <v>1418</v>
      </c>
      <c r="B1422">
        <v>1419</v>
      </c>
      <c r="F1422" s="63"/>
      <c r="G1422" s="63"/>
      <c r="H1422" t="s">
        <v>78</v>
      </c>
      <c r="I1422" s="64">
        <v>1</v>
      </c>
      <c r="J1422" s="31"/>
      <c r="K1422" s="31"/>
      <c r="L1422" s="31"/>
      <c r="M1422" s="31"/>
      <c r="N1422" s="4"/>
      <c r="AG1422" t="s">
        <v>78</v>
      </c>
      <c r="AM1422" s="1">
        <f t="shared" si="18"/>
        <v>0</v>
      </c>
    </row>
    <row r="1423" spans="1:39" x14ac:dyDescent="0.35">
      <c r="A1423">
        <v>1419</v>
      </c>
      <c r="B1423">
        <v>1420</v>
      </c>
      <c r="F1423" s="63"/>
      <c r="G1423" s="63"/>
      <c r="H1423" t="s">
        <v>78</v>
      </c>
      <c r="I1423" s="64">
        <v>1</v>
      </c>
      <c r="J1423" s="31"/>
      <c r="K1423" s="31"/>
      <c r="L1423" s="31"/>
      <c r="M1423" s="31"/>
      <c r="N1423" s="4"/>
      <c r="AG1423" t="s">
        <v>78</v>
      </c>
      <c r="AM1423" s="1">
        <f t="shared" si="18"/>
        <v>0</v>
      </c>
    </row>
    <row r="1424" spans="1:39" x14ac:dyDescent="0.35">
      <c r="A1424">
        <v>1420</v>
      </c>
      <c r="B1424">
        <v>1421</v>
      </c>
      <c r="F1424" s="63"/>
      <c r="G1424" s="63"/>
      <c r="H1424" t="s">
        <v>78</v>
      </c>
      <c r="I1424" s="64">
        <v>1</v>
      </c>
      <c r="J1424" s="31"/>
      <c r="K1424" s="31"/>
      <c r="L1424" s="31"/>
      <c r="M1424" s="31"/>
      <c r="N1424" s="4"/>
      <c r="AG1424" t="s">
        <v>78</v>
      </c>
      <c r="AM1424" s="1">
        <f t="shared" si="18"/>
        <v>0</v>
      </c>
    </row>
    <row r="1425" spans="1:39" x14ac:dyDescent="0.35">
      <c r="A1425">
        <v>1421</v>
      </c>
      <c r="B1425">
        <v>1422</v>
      </c>
      <c r="F1425" s="63"/>
      <c r="G1425" s="63"/>
      <c r="H1425" t="s">
        <v>78</v>
      </c>
      <c r="I1425" s="64">
        <v>1</v>
      </c>
      <c r="J1425" s="31"/>
      <c r="K1425" s="31"/>
      <c r="L1425" s="31"/>
      <c r="M1425" s="31"/>
      <c r="N1425" s="4"/>
      <c r="AG1425" t="s">
        <v>78</v>
      </c>
      <c r="AM1425" s="1">
        <f t="shared" si="18"/>
        <v>0</v>
      </c>
    </row>
    <row r="1426" spans="1:39" x14ac:dyDescent="0.35">
      <c r="A1426">
        <v>1422</v>
      </c>
      <c r="B1426">
        <v>1423</v>
      </c>
      <c r="F1426" s="63"/>
      <c r="G1426" s="63"/>
      <c r="H1426" t="s">
        <v>78</v>
      </c>
      <c r="I1426" s="64">
        <v>1</v>
      </c>
      <c r="J1426" s="31"/>
      <c r="K1426" s="31"/>
      <c r="L1426" s="31"/>
      <c r="M1426" s="31"/>
      <c r="N1426" s="4"/>
      <c r="AG1426" t="s">
        <v>78</v>
      </c>
      <c r="AM1426" s="1">
        <f t="shared" si="18"/>
        <v>0</v>
      </c>
    </row>
    <row r="1427" spans="1:39" x14ac:dyDescent="0.35">
      <c r="A1427">
        <v>1423</v>
      </c>
      <c r="B1427">
        <v>1424</v>
      </c>
      <c r="F1427" s="63"/>
      <c r="G1427" s="63"/>
      <c r="H1427" t="s">
        <v>78</v>
      </c>
      <c r="I1427" s="64">
        <v>1</v>
      </c>
      <c r="J1427" s="31"/>
      <c r="K1427" s="31"/>
      <c r="L1427" s="31"/>
      <c r="M1427" s="31"/>
      <c r="N1427" s="4"/>
      <c r="AG1427" t="s">
        <v>78</v>
      </c>
      <c r="AM1427" s="1">
        <f t="shared" si="18"/>
        <v>0</v>
      </c>
    </row>
    <row r="1428" spans="1:39" x14ac:dyDescent="0.35">
      <c r="A1428">
        <v>1424</v>
      </c>
      <c r="B1428">
        <v>1425</v>
      </c>
      <c r="F1428" s="63"/>
      <c r="G1428" s="63"/>
      <c r="H1428" t="s">
        <v>78</v>
      </c>
      <c r="I1428" s="64">
        <v>1</v>
      </c>
      <c r="J1428" s="31"/>
      <c r="K1428" s="31"/>
      <c r="L1428" s="31"/>
      <c r="M1428" s="31"/>
      <c r="N1428" s="4"/>
      <c r="AG1428" t="s">
        <v>78</v>
      </c>
      <c r="AM1428" s="1">
        <f t="shared" ref="AM1428:AM1459" si="19">HYPERLINK("E:\CAFNEC_GBRF\2023\JohnstoneRiver\Frames_for_Analysis\" &amp; F1429, F1429)</f>
        <v>0</v>
      </c>
    </row>
    <row r="1429" spans="1:39" x14ac:dyDescent="0.35">
      <c r="A1429">
        <v>1425</v>
      </c>
      <c r="B1429">
        <v>1426</v>
      </c>
      <c r="F1429" s="63"/>
      <c r="G1429" s="63"/>
      <c r="H1429" t="s">
        <v>78</v>
      </c>
      <c r="I1429" s="64">
        <v>1</v>
      </c>
      <c r="J1429" s="31"/>
      <c r="K1429" s="31"/>
      <c r="L1429" s="31"/>
      <c r="M1429" s="31"/>
      <c r="N1429" s="4"/>
      <c r="AG1429" t="s">
        <v>78</v>
      </c>
      <c r="AM1429" s="1">
        <f t="shared" si="19"/>
        <v>0</v>
      </c>
    </row>
    <row r="1430" spans="1:39" x14ac:dyDescent="0.35">
      <c r="A1430">
        <v>1426</v>
      </c>
      <c r="B1430">
        <v>1427</v>
      </c>
      <c r="F1430" s="63"/>
      <c r="G1430" s="63"/>
      <c r="H1430" t="s">
        <v>78</v>
      </c>
      <c r="I1430" s="64">
        <v>1</v>
      </c>
      <c r="J1430" s="31"/>
      <c r="K1430" s="31"/>
      <c r="L1430" s="31"/>
      <c r="M1430" s="31"/>
      <c r="N1430" s="4"/>
      <c r="AG1430" t="s">
        <v>78</v>
      </c>
      <c r="AM1430" s="1">
        <f t="shared" si="19"/>
        <v>0</v>
      </c>
    </row>
    <row r="1431" spans="1:39" x14ac:dyDescent="0.35">
      <c r="A1431">
        <v>1427</v>
      </c>
      <c r="B1431">
        <v>1428</v>
      </c>
      <c r="F1431" s="63"/>
      <c r="G1431" s="63"/>
      <c r="H1431" t="s">
        <v>78</v>
      </c>
      <c r="I1431" s="64">
        <v>1</v>
      </c>
      <c r="J1431" s="31"/>
      <c r="K1431" s="31"/>
      <c r="L1431" s="31"/>
      <c r="M1431" s="31"/>
      <c r="N1431" s="4"/>
      <c r="AG1431" t="s">
        <v>78</v>
      </c>
      <c r="AM1431" s="1">
        <f t="shared" si="19"/>
        <v>0</v>
      </c>
    </row>
    <row r="1432" spans="1:39" x14ac:dyDescent="0.35">
      <c r="A1432">
        <v>1428</v>
      </c>
      <c r="B1432">
        <v>1429</v>
      </c>
      <c r="F1432" s="63"/>
      <c r="G1432" s="63"/>
      <c r="H1432" t="s">
        <v>78</v>
      </c>
      <c r="I1432" s="64">
        <v>1</v>
      </c>
      <c r="J1432" s="31"/>
      <c r="K1432" s="31"/>
      <c r="L1432" s="31"/>
      <c r="M1432" s="31"/>
      <c r="N1432" s="4"/>
      <c r="AG1432" t="s">
        <v>78</v>
      </c>
      <c r="AM1432" s="1">
        <f t="shared" si="19"/>
        <v>0</v>
      </c>
    </row>
    <row r="1433" spans="1:39" x14ac:dyDescent="0.35">
      <c r="A1433">
        <v>1429</v>
      </c>
      <c r="B1433">
        <v>1430</v>
      </c>
      <c r="F1433" s="63"/>
      <c r="G1433" s="63"/>
      <c r="H1433" t="s">
        <v>78</v>
      </c>
      <c r="I1433" s="64">
        <v>1</v>
      </c>
      <c r="J1433" s="31"/>
      <c r="K1433" s="31"/>
      <c r="L1433" s="31"/>
      <c r="M1433" s="31"/>
      <c r="N1433" s="4"/>
      <c r="AG1433" t="s">
        <v>78</v>
      </c>
      <c r="AM1433" s="1">
        <f t="shared" si="19"/>
        <v>0</v>
      </c>
    </row>
    <row r="1434" spans="1:39" x14ac:dyDescent="0.35">
      <c r="A1434">
        <v>1430</v>
      </c>
      <c r="B1434">
        <v>1431</v>
      </c>
      <c r="F1434" s="63"/>
      <c r="G1434" s="63"/>
      <c r="H1434" t="s">
        <v>78</v>
      </c>
      <c r="I1434" s="64">
        <v>1</v>
      </c>
      <c r="J1434" s="31"/>
      <c r="K1434" s="31"/>
      <c r="L1434" s="31"/>
      <c r="M1434" s="31"/>
      <c r="N1434" s="4"/>
      <c r="AG1434" t="s">
        <v>78</v>
      </c>
      <c r="AM1434" s="1">
        <f t="shared" si="19"/>
        <v>0</v>
      </c>
    </row>
    <row r="1435" spans="1:39" x14ac:dyDescent="0.35">
      <c r="A1435">
        <v>1431</v>
      </c>
      <c r="B1435">
        <v>1432</v>
      </c>
      <c r="F1435" s="63"/>
      <c r="G1435" s="63"/>
      <c r="H1435" t="s">
        <v>78</v>
      </c>
      <c r="I1435" s="64">
        <v>1</v>
      </c>
      <c r="J1435" s="31"/>
      <c r="K1435" s="31"/>
      <c r="L1435" s="31"/>
      <c r="M1435" s="31"/>
      <c r="N1435" s="4"/>
      <c r="AG1435" t="s">
        <v>78</v>
      </c>
      <c r="AM1435" s="1">
        <f t="shared" si="19"/>
        <v>0</v>
      </c>
    </row>
    <row r="1436" spans="1:39" x14ac:dyDescent="0.35">
      <c r="A1436">
        <v>1432</v>
      </c>
      <c r="B1436">
        <v>1433</v>
      </c>
      <c r="F1436" s="63"/>
      <c r="G1436" s="63"/>
      <c r="H1436" t="s">
        <v>78</v>
      </c>
      <c r="I1436" s="64">
        <v>1</v>
      </c>
      <c r="J1436" s="31"/>
      <c r="K1436" s="31"/>
      <c r="L1436" s="31"/>
      <c r="M1436" s="31"/>
      <c r="N1436" s="4"/>
      <c r="AG1436" t="s">
        <v>78</v>
      </c>
      <c r="AM1436" s="1">
        <f t="shared" si="19"/>
        <v>0</v>
      </c>
    </row>
    <row r="1437" spans="1:39" x14ac:dyDescent="0.35">
      <c r="A1437">
        <v>1433</v>
      </c>
      <c r="B1437">
        <v>1434</v>
      </c>
      <c r="F1437" s="63"/>
      <c r="G1437" s="63"/>
      <c r="H1437" t="s">
        <v>78</v>
      </c>
      <c r="I1437" s="64">
        <v>1</v>
      </c>
      <c r="J1437" s="31"/>
      <c r="K1437" s="31"/>
      <c r="L1437" s="31"/>
      <c r="M1437" s="31"/>
      <c r="N1437" s="4"/>
      <c r="AG1437" t="s">
        <v>78</v>
      </c>
      <c r="AM1437" s="1">
        <f t="shared" si="19"/>
        <v>0</v>
      </c>
    </row>
    <row r="1438" spans="1:39" x14ac:dyDescent="0.35">
      <c r="A1438">
        <v>1434</v>
      </c>
      <c r="B1438">
        <v>1435</v>
      </c>
      <c r="F1438" s="63"/>
      <c r="G1438" s="63"/>
      <c r="H1438" t="s">
        <v>78</v>
      </c>
      <c r="I1438" s="64">
        <v>1</v>
      </c>
      <c r="J1438" s="31"/>
      <c r="K1438" s="31"/>
      <c r="L1438" s="31"/>
      <c r="M1438" s="31"/>
      <c r="N1438" s="4"/>
      <c r="AG1438" t="s">
        <v>78</v>
      </c>
      <c r="AM1438" s="1">
        <f t="shared" si="19"/>
        <v>0</v>
      </c>
    </row>
    <row r="1439" spans="1:39" x14ac:dyDescent="0.35">
      <c r="A1439">
        <v>1435</v>
      </c>
      <c r="B1439">
        <v>1436</v>
      </c>
      <c r="F1439" s="63"/>
      <c r="G1439" s="63"/>
      <c r="H1439" t="s">
        <v>78</v>
      </c>
      <c r="I1439" s="64">
        <v>1</v>
      </c>
      <c r="J1439" s="31"/>
      <c r="K1439" s="31"/>
      <c r="L1439" s="31"/>
      <c r="M1439" s="31"/>
      <c r="N1439" s="4"/>
      <c r="AG1439" t="s">
        <v>78</v>
      </c>
      <c r="AM1439" s="1">
        <f t="shared" si="19"/>
        <v>0</v>
      </c>
    </row>
    <row r="1440" spans="1:39" x14ac:dyDescent="0.35">
      <c r="A1440">
        <v>1436</v>
      </c>
      <c r="B1440">
        <v>1437</v>
      </c>
      <c r="F1440" s="63"/>
      <c r="G1440" s="63"/>
      <c r="H1440" t="s">
        <v>78</v>
      </c>
      <c r="I1440" s="64">
        <v>1</v>
      </c>
      <c r="J1440" s="31"/>
      <c r="K1440" s="31"/>
      <c r="L1440" s="31"/>
      <c r="M1440" s="31"/>
      <c r="N1440" s="4"/>
      <c r="AG1440" t="s">
        <v>78</v>
      </c>
      <c r="AM1440" s="1">
        <f t="shared" si="19"/>
        <v>0</v>
      </c>
    </row>
    <row r="1441" spans="1:39" x14ac:dyDescent="0.35">
      <c r="A1441">
        <v>1437</v>
      </c>
      <c r="B1441">
        <v>1438</v>
      </c>
      <c r="F1441" s="63"/>
      <c r="G1441" s="63"/>
      <c r="H1441" t="s">
        <v>78</v>
      </c>
      <c r="I1441" s="64">
        <v>1</v>
      </c>
      <c r="J1441" s="31"/>
      <c r="K1441" s="31"/>
      <c r="L1441" s="31"/>
      <c r="M1441" s="31"/>
      <c r="N1441" s="4"/>
      <c r="AG1441" t="s">
        <v>78</v>
      </c>
      <c r="AM1441" s="1">
        <f t="shared" si="19"/>
        <v>0</v>
      </c>
    </row>
    <row r="1442" spans="1:39" x14ac:dyDescent="0.35">
      <c r="A1442">
        <v>1438</v>
      </c>
      <c r="B1442">
        <v>1439</v>
      </c>
      <c r="F1442" s="63"/>
      <c r="G1442" s="63"/>
      <c r="H1442" t="s">
        <v>78</v>
      </c>
      <c r="I1442" s="64">
        <v>1</v>
      </c>
      <c r="J1442" s="31"/>
      <c r="K1442" s="31"/>
      <c r="L1442" s="31"/>
      <c r="M1442" s="31"/>
      <c r="N1442" s="4"/>
      <c r="AG1442" t="s">
        <v>78</v>
      </c>
      <c r="AM1442" s="1">
        <f t="shared" si="19"/>
        <v>0</v>
      </c>
    </row>
    <row r="1443" spans="1:39" x14ac:dyDescent="0.35">
      <c r="A1443">
        <v>1439</v>
      </c>
      <c r="B1443">
        <v>1440</v>
      </c>
      <c r="F1443" s="63"/>
      <c r="G1443" s="63"/>
      <c r="H1443" t="s">
        <v>78</v>
      </c>
      <c r="I1443" s="64">
        <v>1</v>
      </c>
      <c r="J1443" s="31"/>
      <c r="K1443" s="31"/>
      <c r="L1443" s="31"/>
      <c r="M1443" s="31"/>
      <c r="N1443" s="4"/>
      <c r="AG1443" t="s">
        <v>78</v>
      </c>
      <c r="AM1443" s="1">
        <f t="shared" si="19"/>
        <v>0</v>
      </c>
    </row>
    <row r="1444" spans="1:39" x14ac:dyDescent="0.35">
      <c r="A1444">
        <v>1440</v>
      </c>
      <c r="B1444">
        <v>1441</v>
      </c>
      <c r="F1444" s="63"/>
      <c r="G1444" s="63"/>
      <c r="H1444" t="s">
        <v>78</v>
      </c>
      <c r="I1444" s="64">
        <v>1</v>
      </c>
      <c r="J1444" s="31"/>
      <c r="K1444" s="31"/>
      <c r="L1444" s="31"/>
      <c r="M1444" s="31"/>
      <c r="N1444" s="4"/>
      <c r="AG1444" t="s">
        <v>78</v>
      </c>
      <c r="AM1444" s="1">
        <f t="shared" si="19"/>
        <v>0</v>
      </c>
    </row>
    <row r="1445" spans="1:39" x14ac:dyDescent="0.35">
      <c r="A1445">
        <v>1441</v>
      </c>
      <c r="B1445">
        <v>1442</v>
      </c>
      <c r="F1445" s="63"/>
      <c r="G1445" s="63"/>
      <c r="H1445" t="s">
        <v>78</v>
      </c>
      <c r="I1445" s="64">
        <v>1</v>
      </c>
      <c r="J1445" s="31"/>
      <c r="K1445" s="31"/>
      <c r="L1445" s="31"/>
      <c r="M1445" s="31"/>
      <c r="N1445" s="4"/>
      <c r="AG1445" t="s">
        <v>78</v>
      </c>
      <c r="AM1445" s="1">
        <f t="shared" si="19"/>
        <v>0</v>
      </c>
    </row>
    <row r="1446" spans="1:39" x14ac:dyDescent="0.35">
      <c r="A1446">
        <v>1442</v>
      </c>
      <c r="B1446">
        <v>1443</v>
      </c>
      <c r="F1446" s="63"/>
      <c r="G1446" s="63"/>
      <c r="H1446" t="s">
        <v>78</v>
      </c>
      <c r="I1446" s="64">
        <v>1</v>
      </c>
      <c r="J1446" s="31"/>
      <c r="K1446" s="31"/>
      <c r="L1446" s="31"/>
      <c r="M1446" s="31"/>
      <c r="N1446" s="4"/>
      <c r="AG1446" t="s">
        <v>78</v>
      </c>
      <c r="AM1446" s="1">
        <f t="shared" si="19"/>
        <v>0</v>
      </c>
    </row>
    <row r="1447" spans="1:39" x14ac:dyDescent="0.35">
      <c r="A1447">
        <v>1443</v>
      </c>
      <c r="B1447">
        <v>1444</v>
      </c>
      <c r="F1447" s="63"/>
      <c r="G1447" s="63"/>
      <c r="H1447" t="s">
        <v>78</v>
      </c>
      <c r="I1447" s="64">
        <v>1</v>
      </c>
      <c r="J1447" s="31"/>
      <c r="K1447" s="31"/>
      <c r="L1447" s="31"/>
      <c r="M1447" s="31"/>
      <c r="N1447" s="4"/>
      <c r="AG1447" t="s">
        <v>78</v>
      </c>
      <c r="AM1447" s="1">
        <f t="shared" si="19"/>
        <v>0</v>
      </c>
    </row>
    <row r="1448" spans="1:39" x14ac:dyDescent="0.35">
      <c r="A1448">
        <v>1444</v>
      </c>
      <c r="B1448">
        <v>1445</v>
      </c>
      <c r="F1448" s="63"/>
      <c r="G1448" s="63"/>
      <c r="H1448" t="s">
        <v>78</v>
      </c>
      <c r="I1448" s="64">
        <v>1</v>
      </c>
      <c r="J1448" s="31"/>
      <c r="K1448" s="31"/>
      <c r="L1448" s="31"/>
      <c r="M1448" s="31"/>
      <c r="N1448" s="4"/>
      <c r="AG1448" t="s">
        <v>78</v>
      </c>
      <c r="AM1448" s="1">
        <f t="shared" si="19"/>
        <v>0</v>
      </c>
    </row>
    <row r="1449" spans="1:39" x14ac:dyDescent="0.35">
      <c r="A1449">
        <v>1445</v>
      </c>
      <c r="B1449">
        <v>1446</v>
      </c>
      <c r="F1449" s="63"/>
      <c r="G1449" s="63"/>
      <c r="H1449" t="s">
        <v>78</v>
      </c>
      <c r="I1449" s="64">
        <v>1</v>
      </c>
      <c r="J1449" s="31"/>
      <c r="K1449" s="31"/>
      <c r="L1449" s="31"/>
      <c r="M1449" s="31"/>
      <c r="N1449" s="4"/>
      <c r="AG1449" t="s">
        <v>78</v>
      </c>
      <c r="AM1449" s="1">
        <f t="shared" si="19"/>
        <v>0</v>
      </c>
    </row>
    <row r="1450" spans="1:39" x14ac:dyDescent="0.35">
      <c r="A1450">
        <v>1446</v>
      </c>
      <c r="B1450">
        <v>1447</v>
      </c>
      <c r="F1450" s="63"/>
      <c r="G1450" s="63"/>
      <c r="H1450" t="s">
        <v>78</v>
      </c>
      <c r="I1450" s="64">
        <v>1</v>
      </c>
      <c r="J1450" s="31"/>
      <c r="K1450" s="31"/>
      <c r="L1450" s="31"/>
      <c r="M1450" s="31"/>
      <c r="N1450" s="4"/>
      <c r="AG1450" t="s">
        <v>78</v>
      </c>
      <c r="AM1450" s="1">
        <f t="shared" si="19"/>
        <v>0</v>
      </c>
    </row>
    <row r="1451" spans="1:39" x14ac:dyDescent="0.35">
      <c r="A1451">
        <v>1447</v>
      </c>
      <c r="B1451">
        <v>1448</v>
      </c>
      <c r="F1451" s="63"/>
      <c r="G1451" s="63"/>
      <c r="H1451" t="s">
        <v>78</v>
      </c>
      <c r="I1451" s="64">
        <v>1</v>
      </c>
      <c r="J1451" s="31"/>
      <c r="K1451" s="31"/>
      <c r="L1451" s="31"/>
      <c r="M1451" s="31"/>
      <c r="N1451" s="4"/>
      <c r="AG1451" t="s">
        <v>78</v>
      </c>
      <c r="AM1451" s="1">
        <f t="shared" si="19"/>
        <v>0</v>
      </c>
    </row>
    <row r="1452" spans="1:39" x14ac:dyDescent="0.35">
      <c r="A1452">
        <v>1448</v>
      </c>
      <c r="B1452">
        <v>1449</v>
      </c>
      <c r="F1452" s="63"/>
      <c r="G1452" s="63"/>
      <c r="H1452" t="s">
        <v>78</v>
      </c>
      <c r="I1452" s="64">
        <v>1</v>
      </c>
      <c r="J1452" s="31"/>
      <c r="K1452" s="31"/>
      <c r="L1452" s="31"/>
      <c r="M1452" s="31"/>
      <c r="N1452" s="4"/>
      <c r="AG1452" t="s">
        <v>78</v>
      </c>
      <c r="AM1452" s="1">
        <f t="shared" si="19"/>
        <v>0</v>
      </c>
    </row>
    <row r="1453" spans="1:39" x14ac:dyDescent="0.35">
      <c r="A1453">
        <v>1449</v>
      </c>
      <c r="B1453">
        <v>1450</v>
      </c>
      <c r="F1453" s="63"/>
      <c r="G1453" s="63"/>
      <c r="H1453" t="s">
        <v>78</v>
      </c>
      <c r="I1453" s="64">
        <v>1</v>
      </c>
      <c r="J1453" s="31"/>
      <c r="K1453" s="31"/>
      <c r="L1453" s="31"/>
      <c r="M1453" s="31"/>
      <c r="N1453" s="4"/>
      <c r="AG1453" t="s">
        <v>78</v>
      </c>
      <c r="AM1453" s="1">
        <f t="shared" si="19"/>
        <v>0</v>
      </c>
    </row>
    <row r="1454" spans="1:39" x14ac:dyDescent="0.35">
      <c r="A1454">
        <v>1450</v>
      </c>
      <c r="B1454">
        <v>1451</v>
      </c>
      <c r="F1454" s="63"/>
      <c r="G1454" s="63"/>
      <c r="H1454" t="s">
        <v>78</v>
      </c>
      <c r="I1454" s="64">
        <v>1</v>
      </c>
      <c r="J1454" s="31"/>
      <c r="K1454" s="31"/>
      <c r="L1454" s="31"/>
      <c r="M1454" s="31"/>
      <c r="N1454" s="4"/>
      <c r="AG1454" t="s">
        <v>78</v>
      </c>
      <c r="AM1454" s="1">
        <f t="shared" si="19"/>
        <v>0</v>
      </c>
    </row>
    <row r="1455" spans="1:39" x14ac:dyDescent="0.35">
      <c r="A1455">
        <v>1451</v>
      </c>
      <c r="B1455">
        <v>1452</v>
      </c>
      <c r="F1455" s="63"/>
      <c r="G1455" s="63"/>
      <c r="H1455" t="s">
        <v>78</v>
      </c>
      <c r="I1455" s="64">
        <v>1</v>
      </c>
      <c r="J1455" s="31"/>
      <c r="K1455" s="31"/>
      <c r="L1455" s="31"/>
      <c r="M1455" s="31"/>
      <c r="N1455" s="4"/>
      <c r="AG1455" t="s">
        <v>78</v>
      </c>
      <c r="AM1455" s="1">
        <f t="shared" si="19"/>
        <v>0</v>
      </c>
    </row>
    <row r="1456" spans="1:39" x14ac:dyDescent="0.35">
      <c r="A1456">
        <v>1452</v>
      </c>
      <c r="B1456">
        <v>1453</v>
      </c>
      <c r="F1456" s="63"/>
      <c r="G1456" s="63"/>
      <c r="H1456" t="s">
        <v>78</v>
      </c>
      <c r="I1456" s="64">
        <v>1</v>
      </c>
      <c r="J1456" s="31"/>
      <c r="K1456" s="31"/>
      <c r="L1456" s="31"/>
      <c r="M1456" s="31"/>
      <c r="N1456" s="4"/>
      <c r="AG1456" t="s">
        <v>78</v>
      </c>
      <c r="AM1456" s="1">
        <f t="shared" si="19"/>
        <v>0</v>
      </c>
    </row>
    <row r="1457" spans="1:39" x14ac:dyDescent="0.35">
      <c r="A1457">
        <v>1453</v>
      </c>
      <c r="B1457">
        <v>1454</v>
      </c>
      <c r="F1457" s="63"/>
      <c r="G1457" s="63"/>
      <c r="H1457" t="s">
        <v>78</v>
      </c>
      <c r="I1457" s="64">
        <v>1</v>
      </c>
      <c r="J1457" s="31"/>
      <c r="K1457" s="31"/>
      <c r="L1457" s="31"/>
      <c r="M1457" s="31"/>
      <c r="N1457" s="4"/>
      <c r="AG1457" t="s">
        <v>78</v>
      </c>
      <c r="AM1457" s="1">
        <f t="shared" si="19"/>
        <v>0</v>
      </c>
    </row>
    <row r="1458" spans="1:39" x14ac:dyDescent="0.35">
      <c r="A1458">
        <v>1454</v>
      </c>
      <c r="B1458">
        <v>1455</v>
      </c>
      <c r="F1458" s="63"/>
      <c r="G1458" s="63"/>
      <c r="H1458" t="s">
        <v>78</v>
      </c>
      <c r="I1458" s="64">
        <v>1</v>
      </c>
      <c r="J1458" s="31"/>
      <c r="K1458" s="31"/>
      <c r="L1458" s="31"/>
      <c r="M1458" s="31"/>
      <c r="N1458" s="4"/>
      <c r="AG1458" t="s">
        <v>78</v>
      </c>
      <c r="AM1458" s="1">
        <f t="shared" si="19"/>
        <v>0</v>
      </c>
    </row>
    <row r="1459" spans="1:39" x14ac:dyDescent="0.35">
      <c r="A1459">
        <v>1455</v>
      </c>
      <c r="B1459">
        <v>1456</v>
      </c>
      <c r="F1459" s="63"/>
      <c r="G1459" s="63"/>
      <c r="H1459" t="s">
        <v>78</v>
      </c>
      <c r="I1459" s="64">
        <v>1</v>
      </c>
      <c r="J1459" s="31"/>
      <c r="K1459" s="31"/>
      <c r="L1459" s="31"/>
      <c r="M1459" s="31"/>
      <c r="N1459" s="4"/>
      <c r="AG1459" t="s">
        <v>78</v>
      </c>
      <c r="AM1459" s="1">
        <f t="shared" si="19"/>
        <v>0</v>
      </c>
    </row>
    <row r="1460" spans="1:39" x14ac:dyDescent="0.35">
      <c r="A1460">
        <v>1456</v>
      </c>
      <c r="B1460">
        <v>1457</v>
      </c>
      <c r="F1460" s="63"/>
      <c r="G1460" s="63"/>
      <c r="H1460" t="s">
        <v>78</v>
      </c>
      <c r="I1460" s="64">
        <v>1</v>
      </c>
      <c r="J1460" s="31"/>
      <c r="K1460" s="31"/>
      <c r="L1460" s="31"/>
      <c r="M1460" s="31"/>
      <c r="N1460" s="4"/>
      <c r="AG1460" t="s">
        <v>78</v>
      </c>
      <c r="AM1460" s="1">
        <f t="shared" ref="AM1460:AM1491" si="20">HYPERLINK("E:\CAFNEC_GBRF\2023\JohnstoneRiver\Frames_for_Analysis\" &amp; F1461, F1461)</f>
        <v>0</v>
      </c>
    </row>
    <row r="1461" spans="1:39" x14ac:dyDescent="0.35">
      <c r="A1461">
        <v>1457</v>
      </c>
      <c r="B1461">
        <v>1458</v>
      </c>
      <c r="F1461" s="63"/>
      <c r="G1461" s="63"/>
      <c r="H1461" t="s">
        <v>78</v>
      </c>
      <c r="I1461" s="64">
        <v>1</v>
      </c>
      <c r="J1461" s="31"/>
      <c r="K1461" s="31"/>
      <c r="L1461" s="31"/>
      <c r="M1461" s="31"/>
      <c r="N1461" s="4"/>
      <c r="AG1461" t="s">
        <v>78</v>
      </c>
      <c r="AM1461" s="1">
        <f t="shared" si="20"/>
        <v>0</v>
      </c>
    </row>
    <row r="1462" spans="1:39" x14ac:dyDescent="0.35">
      <c r="A1462">
        <v>1458</v>
      </c>
      <c r="B1462">
        <v>1459</v>
      </c>
      <c r="F1462" s="63"/>
      <c r="G1462" s="63"/>
      <c r="H1462" t="s">
        <v>78</v>
      </c>
      <c r="I1462" s="64">
        <v>1</v>
      </c>
      <c r="J1462" s="31"/>
      <c r="K1462" s="31"/>
      <c r="L1462" s="31"/>
      <c r="M1462" s="31"/>
      <c r="N1462" s="4"/>
      <c r="AG1462" t="s">
        <v>78</v>
      </c>
      <c r="AM1462" s="1">
        <f t="shared" si="20"/>
        <v>0</v>
      </c>
    </row>
    <row r="1463" spans="1:39" x14ac:dyDescent="0.35">
      <c r="A1463">
        <v>1459</v>
      </c>
      <c r="B1463">
        <v>1460</v>
      </c>
      <c r="F1463" s="63"/>
      <c r="G1463" s="63"/>
      <c r="H1463" t="s">
        <v>78</v>
      </c>
      <c r="I1463" s="64">
        <v>1</v>
      </c>
      <c r="J1463" s="31"/>
      <c r="K1463" s="31"/>
      <c r="L1463" s="31"/>
      <c r="M1463" s="31"/>
      <c r="N1463" s="4"/>
      <c r="AG1463" t="s">
        <v>78</v>
      </c>
      <c r="AM1463" s="1">
        <f t="shared" si="20"/>
        <v>0</v>
      </c>
    </row>
    <row r="1464" spans="1:39" x14ac:dyDescent="0.35">
      <c r="A1464">
        <v>1460</v>
      </c>
      <c r="B1464">
        <v>1461</v>
      </c>
      <c r="F1464" s="63"/>
      <c r="G1464" s="63"/>
      <c r="H1464" t="s">
        <v>78</v>
      </c>
      <c r="I1464" s="64">
        <v>1</v>
      </c>
      <c r="J1464" s="31"/>
      <c r="K1464" s="31"/>
      <c r="L1464" s="31"/>
      <c r="M1464" s="31"/>
      <c r="N1464" s="4"/>
      <c r="AG1464" t="s">
        <v>78</v>
      </c>
      <c r="AM1464" s="1">
        <f t="shared" si="20"/>
        <v>0</v>
      </c>
    </row>
    <row r="1465" spans="1:39" x14ac:dyDescent="0.35">
      <c r="A1465">
        <v>1461</v>
      </c>
      <c r="B1465">
        <v>1462</v>
      </c>
      <c r="F1465" s="63"/>
      <c r="G1465" s="63"/>
      <c r="H1465" t="s">
        <v>78</v>
      </c>
      <c r="I1465" s="64">
        <v>1</v>
      </c>
      <c r="J1465" s="31"/>
      <c r="K1465" s="31"/>
      <c r="L1465" s="31"/>
      <c r="M1465" s="31"/>
      <c r="N1465" s="4"/>
      <c r="AG1465" t="s">
        <v>78</v>
      </c>
      <c r="AM1465" s="1">
        <f t="shared" si="20"/>
        <v>0</v>
      </c>
    </row>
    <row r="1466" spans="1:39" x14ac:dyDescent="0.35">
      <c r="A1466">
        <v>1462</v>
      </c>
      <c r="B1466">
        <v>1463</v>
      </c>
      <c r="F1466" s="63"/>
      <c r="G1466" s="63"/>
      <c r="H1466" t="s">
        <v>78</v>
      </c>
      <c r="I1466" s="64">
        <v>1</v>
      </c>
      <c r="J1466" s="31"/>
      <c r="K1466" s="31"/>
      <c r="L1466" s="31"/>
      <c r="M1466" s="31"/>
      <c r="N1466" s="4"/>
      <c r="AG1466" t="s">
        <v>78</v>
      </c>
      <c r="AM1466" s="1">
        <f t="shared" si="20"/>
        <v>0</v>
      </c>
    </row>
    <row r="1467" spans="1:39" x14ac:dyDescent="0.35">
      <c r="A1467">
        <v>1463</v>
      </c>
      <c r="B1467">
        <v>1464</v>
      </c>
      <c r="F1467" s="63"/>
      <c r="G1467" s="63"/>
      <c r="H1467" t="s">
        <v>78</v>
      </c>
      <c r="I1467" s="64">
        <v>1</v>
      </c>
      <c r="J1467" s="31"/>
      <c r="K1467" s="31"/>
      <c r="L1467" s="31"/>
      <c r="M1467" s="31"/>
      <c r="N1467" s="4"/>
      <c r="AG1467" t="s">
        <v>78</v>
      </c>
      <c r="AM1467" s="1">
        <f t="shared" si="20"/>
        <v>0</v>
      </c>
    </row>
    <row r="1468" spans="1:39" x14ac:dyDescent="0.35">
      <c r="A1468">
        <v>1464</v>
      </c>
      <c r="B1468">
        <v>1465</v>
      </c>
      <c r="F1468" s="63"/>
      <c r="G1468" s="63"/>
      <c r="H1468" t="s">
        <v>78</v>
      </c>
      <c r="I1468" s="64">
        <v>1</v>
      </c>
      <c r="J1468" s="31"/>
      <c r="K1468" s="31"/>
      <c r="L1468" s="31"/>
      <c r="M1468" s="31"/>
      <c r="N1468" s="4"/>
      <c r="AG1468" t="s">
        <v>78</v>
      </c>
      <c r="AM1468" s="1">
        <f t="shared" si="20"/>
        <v>0</v>
      </c>
    </row>
    <row r="1469" spans="1:39" x14ac:dyDescent="0.35">
      <c r="A1469">
        <v>1465</v>
      </c>
      <c r="B1469">
        <v>1466</v>
      </c>
      <c r="F1469" s="63"/>
      <c r="G1469" s="63"/>
      <c r="H1469" t="s">
        <v>78</v>
      </c>
      <c r="I1469" s="64">
        <v>1</v>
      </c>
      <c r="J1469" s="31"/>
      <c r="K1469" s="31"/>
      <c r="L1469" s="31"/>
      <c r="M1469" s="31"/>
      <c r="N1469" s="4"/>
      <c r="AG1469" t="s">
        <v>78</v>
      </c>
      <c r="AM1469" s="1">
        <f t="shared" si="20"/>
        <v>0</v>
      </c>
    </row>
    <row r="1470" spans="1:39" x14ac:dyDescent="0.35">
      <c r="A1470">
        <v>1466</v>
      </c>
      <c r="B1470">
        <v>1467</v>
      </c>
      <c r="F1470" s="63"/>
      <c r="G1470" s="63"/>
      <c r="H1470" t="s">
        <v>78</v>
      </c>
      <c r="I1470" s="64">
        <v>1</v>
      </c>
      <c r="J1470" s="31"/>
      <c r="K1470" s="31"/>
      <c r="L1470" s="31"/>
      <c r="M1470" s="31"/>
      <c r="N1470" s="4"/>
      <c r="AG1470" t="s">
        <v>78</v>
      </c>
      <c r="AM1470" s="1">
        <f t="shared" si="20"/>
        <v>0</v>
      </c>
    </row>
    <row r="1471" spans="1:39" x14ac:dyDescent="0.35">
      <c r="A1471">
        <v>1467</v>
      </c>
      <c r="B1471">
        <v>1468</v>
      </c>
      <c r="F1471" s="63"/>
      <c r="G1471" s="63"/>
      <c r="H1471" t="s">
        <v>78</v>
      </c>
      <c r="I1471" s="64">
        <v>1</v>
      </c>
      <c r="J1471" s="31"/>
      <c r="K1471" s="31"/>
      <c r="L1471" s="31"/>
      <c r="M1471" s="31"/>
      <c r="N1471" s="4"/>
      <c r="AG1471" t="s">
        <v>78</v>
      </c>
      <c r="AM1471" s="1">
        <f t="shared" si="20"/>
        <v>0</v>
      </c>
    </row>
    <row r="1472" spans="1:39" x14ac:dyDescent="0.35">
      <c r="A1472">
        <v>1468</v>
      </c>
      <c r="B1472">
        <v>1469</v>
      </c>
      <c r="F1472" s="63"/>
      <c r="G1472" s="63"/>
      <c r="H1472" t="s">
        <v>78</v>
      </c>
      <c r="I1472" s="64">
        <v>1</v>
      </c>
      <c r="J1472" s="31"/>
      <c r="K1472" s="31"/>
      <c r="L1472" s="31"/>
      <c r="M1472" s="31"/>
      <c r="N1472" s="4"/>
      <c r="AG1472" t="s">
        <v>78</v>
      </c>
      <c r="AM1472" s="1">
        <f t="shared" si="20"/>
        <v>0</v>
      </c>
    </row>
    <row r="1473" spans="1:39" x14ac:dyDescent="0.35">
      <c r="A1473">
        <v>1469</v>
      </c>
      <c r="B1473">
        <v>1470</v>
      </c>
      <c r="F1473" s="63"/>
      <c r="G1473" s="63"/>
      <c r="H1473" t="s">
        <v>78</v>
      </c>
      <c r="I1473" s="64">
        <v>1</v>
      </c>
      <c r="J1473" s="31"/>
      <c r="K1473" s="31"/>
      <c r="L1473" s="31"/>
      <c r="M1473" s="31"/>
      <c r="N1473" s="4"/>
      <c r="AG1473" t="s">
        <v>78</v>
      </c>
      <c r="AM1473" s="1">
        <f t="shared" si="20"/>
        <v>0</v>
      </c>
    </row>
    <row r="1474" spans="1:39" x14ac:dyDescent="0.35">
      <c r="A1474">
        <v>1470</v>
      </c>
      <c r="B1474">
        <v>1471</v>
      </c>
      <c r="F1474" s="63"/>
      <c r="G1474" s="63"/>
      <c r="H1474" t="s">
        <v>78</v>
      </c>
      <c r="I1474" s="64">
        <v>1</v>
      </c>
      <c r="J1474" s="31"/>
      <c r="K1474" s="31"/>
      <c r="L1474" s="31"/>
      <c r="M1474" s="31"/>
      <c r="N1474" s="4"/>
      <c r="AG1474" t="s">
        <v>78</v>
      </c>
      <c r="AM1474" s="1">
        <f t="shared" si="20"/>
        <v>0</v>
      </c>
    </row>
    <row r="1475" spans="1:39" x14ac:dyDescent="0.35">
      <c r="A1475">
        <v>1471</v>
      </c>
      <c r="B1475">
        <v>1472</v>
      </c>
      <c r="F1475" s="63"/>
      <c r="G1475" s="63"/>
      <c r="H1475" t="s">
        <v>78</v>
      </c>
      <c r="I1475" s="64">
        <v>1</v>
      </c>
      <c r="J1475" s="31"/>
      <c r="K1475" s="31"/>
      <c r="L1475" s="31"/>
      <c r="M1475" s="31"/>
      <c r="N1475" s="4"/>
      <c r="AG1475" t="s">
        <v>78</v>
      </c>
      <c r="AM1475" s="1">
        <f t="shared" si="20"/>
        <v>0</v>
      </c>
    </row>
    <row r="1476" spans="1:39" x14ac:dyDescent="0.35">
      <c r="A1476">
        <v>1472</v>
      </c>
      <c r="B1476">
        <v>1473</v>
      </c>
      <c r="F1476" s="63"/>
      <c r="G1476" s="63"/>
      <c r="H1476" t="s">
        <v>78</v>
      </c>
      <c r="I1476" s="64">
        <v>1</v>
      </c>
      <c r="J1476" s="31"/>
      <c r="K1476" s="31"/>
      <c r="L1476" s="31"/>
      <c r="M1476" s="31"/>
      <c r="N1476" s="4"/>
      <c r="AG1476" t="s">
        <v>78</v>
      </c>
      <c r="AM1476" s="1">
        <f t="shared" si="20"/>
        <v>0</v>
      </c>
    </row>
    <row r="1477" spans="1:39" x14ac:dyDescent="0.35">
      <c r="A1477">
        <v>1473</v>
      </c>
      <c r="B1477">
        <v>1474</v>
      </c>
      <c r="F1477" s="63"/>
      <c r="G1477" s="63"/>
      <c r="H1477" t="s">
        <v>78</v>
      </c>
      <c r="I1477" s="64">
        <v>1</v>
      </c>
      <c r="J1477" s="31"/>
      <c r="K1477" s="31"/>
      <c r="L1477" s="31"/>
      <c r="M1477" s="31"/>
      <c r="N1477" s="4"/>
      <c r="AG1477" t="s">
        <v>78</v>
      </c>
      <c r="AM1477" s="1">
        <f t="shared" si="20"/>
        <v>0</v>
      </c>
    </row>
    <row r="1478" spans="1:39" x14ac:dyDescent="0.35">
      <c r="A1478">
        <v>1474</v>
      </c>
      <c r="B1478">
        <v>1475</v>
      </c>
      <c r="F1478" s="63"/>
      <c r="G1478" s="63"/>
      <c r="H1478" t="s">
        <v>78</v>
      </c>
      <c r="I1478" s="64">
        <v>1</v>
      </c>
      <c r="J1478" s="31"/>
      <c r="K1478" s="31"/>
      <c r="L1478" s="31"/>
      <c r="M1478" s="31"/>
      <c r="N1478" s="4"/>
      <c r="AG1478" t="s">
        <v>78</v>
      </c>
      <c r="AM1478" s="1">
        <f t="shared" si="20"/>
        <v>0</v>
      </c>
    </row>
    <row r="1479" spans="1:39" x14ac:dyDescent="0.35">
      <c r="A1479">
        <v>1475</v>
      </c>
      <c r="B1479">
        <v>1476</v>
      </c>
      <c r="F1479" s="63"/>
      <c r="G1479" s="63"/>
      <c r="H1479" t="s">
        <v>78</v>
      </c>
      <c r="I1479" s="64">
        <v>1</v>
      </c>
      <c r="J1479" s="31"/>
      <c r="K1479" s="31"/>
      <c r="L1479" s="31"/>
      <c r="M1479" s="31"/>
      <c r="N1479" s="4"/>
      <c r="AG1479" t="s">
        <v>78</v>
      </c>
      <c r="AM1479" s="1">
        <f t="shared" si="20"/>
        <v>0</v>
      </c>
    </row>
    <row r="1480" spans="1:39" x14ac:dyDescent="0.35">
      <c r="A1480">
        <v>1476</v>
      </c>
      <c r="B1480">
        <v>1477</v>
      </c>
      <c r="F1480" s="63"/>
      <c r="G1480" s="63"/>
      <c r="H1480" t="s">
        <v>78</v>
      </c>
      <c r="I1480" s="64">
        <v>1</v>
      </c>
      <c r="J1480" s="31"/>
      <c r="K1480" s="31"/>
      <c r="L1480" s="31"/>
      <c r="M1480" s="31"/>
      <c r="N1480" s="4"/>
      <c r="AG1480" t="s">
        <v>78</v>
      </c>
      <c r="AM1480" s="1">
        <f t="shared" si="20"/>
        <v>0</v>
      </c>
    </row>
    <row r="1481" spans="1:39" x14ac:dyDescent="0.35">
      <c r="A1481">
        <v>1477</v>
      </c>
      <c r="B1481">
        <v>1478</v>
      </c>
      <c r="F1481" s="63"/>
      <c r="G1481" s="63"/>
      <c r="H1481" t="s">
        <v>78</v>
      </c>
      <c r="I1481" s="64">
        <v>1</v>
      </c>
      <c r="J1481" s="31"/>
      <c r="K1481" s="31"/>
      <c r="L1481" s="31"/>
      <c r="M1481" s="31"/>
      <c r="N1481" s="4"/>
      <c r="AG1481" t="s">
        <v>78</v>
      </c>
      <c r="AM1481" s="1">
        <f t="shared" si="20"/>
        <v>0</v>
      </c>
    </row>
    <row r="1482" spans="1:39" x14ac:dyDescent="0.35">
      <c r="A1482">
        <v>1478</v>
      </c>
      <c r="B1482">
        <v>1479</v>
      </c>
      <c r="F1482" s="63"/>
      <c r="G1482" s="63"/>
      <c r="H1482" t="s">
        <v>78</v>
      </c>
      <c r="I1482" s="64">
        <v>1</v>
      </c>
      <c r="J1482" s="31"/>
      <c r="K1482" s="31"/>
      <c r="L1482" s="31"/>
      <c r="M1482" s="31"/>
      <c r="N1482" s="4"/>
      <c r="AG1482" t="s">
        <v>78</v>
      </c>
      <c r="AM1482" s="1">
        <f t="shared" si="20"/>
        <v>0</v>
      </c>
    </row>
    <row r="1483" spans="1:39" x14ac:dyDescent="0.35">
      <c r="A1483">
        <v>1479</v>
      </c>
      <c r="B1483">
        <v>1480</v>
      </c>
      <c r="F1483" s="63"/>
      <c r="G1483" s="63"/>
      <c r="H1483" t="s">
        <v>78</v>
      </c>
      <c r="I1483" s="64">
        <v>1</v>
      </c>
      <c r="J1483" s="31"/>
      <c r="K1483" s="31"/>
      <c r="L1483" s="31"/>
      <c r="M1483" s="31"/>
      <c r="N1483" s="4"/>
      <c r="AG1483" t="s">
        <v>78</v>
      </c>
      <c r="AM1483" s="1">
        <f t="shared" si="20"/>
        <v>0</v>
      </c>
    </row>
    <row r="1484" spans="1:39" x14ac:dyDescent="0.35">
      <c r="A1484">
        <v>1480</v>
      </c>
      <c r="B1484">
        <v>1481</v>
      </c>
      <c r="F1484" s="63"/>
      <c r="G1484" s="63"/>
      <c r="H1484" t="s">
        <v>78</v>
      </c>
      <c r="I1484" s="64">
        <v>1</v>
      </c>
      <c r="J1484" s="31"/>
      <c r="K1484" s="31"/>
      <c r="L1484" s="31"/>
      <c r="M1484" s="31"/>
      <c r="N1484" s="4"/>
      <c r="AG1484" t="s">
        <v>78</v>
      </c>
      <c r="AM1484" s="1">
        <f t="shared" si="20"/>
        <v>0</v>
      </c>
    </row>
    <row r="1485" spans="1:39" x14ac:dyDescent="0.35">
      <c r="A1485">
        <v>1481</v>
      </c>
      <c r="B1485">
        <v>1482</v>
      </c>
      <c r="F1485" s="63"/>
      <c r="G1485" s="63"/>
      <c r="H1485" t="s">
        <v>78</v>
      </c>
      <c r="I1485" s="64">
        <v>1</v>
      </c>
      <c r="J1485" s="31"/>
      <c r="K1485" s="31"/>
      <c r="L1485" s="31"/>
      <c r="M1485" s="31"/>
      <c r="N1485" s="4"/>
      <c r="AG1485" t="s">
        <v>78</v>
      </c>
      <c r="AM1485" s="1">
        <f t="shared" si="20"/>
        <v>0</v>
      </c>
    </row>
    <row r="1486" spans="1:39" x14ac:dyDescent="0.35">
      <c r="A1486">
        <v>1482</v>
      </c>
      <c r="B1486">
        <v>1483</v>
      </c>
      <c r="F1486" s="63"/>
      <c r="G1486" s="63"/>
      <c r="H1486" t="s">
        <v>78</v>
      </c>
      <c r="I1486" s="64">
        <v>1</v>
      </c>
      <c r="J1486" s="31"/>
      <c r="K1486" s="31"/>
      <c r="L1486" s="31"/>
      <c r="M1486" s="31"/>
      <c r="N1486" s="4"/>
      <c r="AG1486" t="s">
        <v>78</v>
      </c>
      <c r="AM1486" s="1">
        <f t="shared" si="20"/>
        <v>0</v>
      </c>
    </row>
    <row r="1487" spans="1:39" x14ac:dyDescent="0.35">
      <c r="A1487">
        <v>1483</v>
      </c>
      <c r="B1487">
        <v>1484</v>
      </c>
      <c r="F1487" s="63"/>
      <c r="G1487" s="63"/>
      <c r="H1487" t="s">
        <v>78</v>
      </c>
      <c r="I1487" s="64">
        <v>1</v>
      </c>
      <c r="J1487" s="31"/>
      <c r="K1487" s="31"/>
      <c r="L1487" s="31"/>
      <c r="M1487" s="31"/>
      <c r="N1487" s="4"/>
      <c r="AG1487" t="s">
        <v>78</v>
      </c>
      <c r="AM1487" s="1">
        <f t="shared" si="20"/>
        <v>0</v>
      </c>
    </row>
    <row r="1488" spans="1:39" x14ac:dyDescent="0.35">
      <c r="A1488">
        <v>1484</v>
      </c>
      <c r="B1488">
        <v>1485</v>
      </c>
      <c r="F1488" s="63"/>
      <c r="G1488" s="63"/>
      <c r="H1488" t="s">
        <v>78</v>
      </c>
      <c r="I1488" s="64">
        <v>1</v>
      </c>
      <c r="J1488" s="31"/>
      <c r="K1488" s="31"/>
      <c r="L1488" s="31"/>
      <c r="M1488" s="31"/>
      <c r="N1488" s="4"/>
      <c r="AG1488" t="s">
        <v>78</v>
      </c>
      <c r="AM1488" s="1">
        <f t="shared" si="20"/>
        <v>0</v>
      </c>
    </row>
    <row r="1489" spans="1:39" x14ac:dyDescent="0.35">
      <c r="A1489">
        <v>1485</v>
      </c>
      <c r="B1489">
        <v>1486</v>
      </c>
      <c r="F1489" s="63"/>
      <c r="G1489" s="63"/>
      <c r="H1489" t="s">
        <v>78</v>
      </c>
      <c r="I1489" s="64">
        <v>1</v>
      </c>
      <c r="J1489" s="31"/>
      <c r="K1489" s="31"/>
      <c r="L1489" s="31"/>
      <c r="M1489" s="31"/>
      <c r="N1489" s="4"/>
      <c r="AG1489" t="s">
        <v>78</v>
      </c>
      <c r="AM1489" s="1">
        <f t="shared" si="20"/>
        <v>0</v>
      </c>
    </row>
    <row r="1490" spans="1:39" x14ac:dyDescent="0.35">
      <c r="A1490">
        <v>1486</v>
      </c>
      <c r="B1490">
        <v>1487</v>
      </c>
      <c r="F1490" s="63"/>
      <c r="G1490" s="63"/>
      <c r="H1490" t="s">
        <v>78</v>
      </c>
      <c r="I1490" s="64">
        <v>1</v>
      </c>
      <c r="J1490" s="31"/>
      <c r="K1490" s="31"/>
      <c r="L1490" s="31"/>
      <c r="M1490" s="31"/>
      <c r="N1490" s="4"/>
      <c r="AG1490" t="s">
        <v>78</v>
      </c>
      <c r="AM1490" s="1">
        <f t="shared" si="20"/>
        <v>0</v>
      </c>
    </row>
    <row r="1491" spans="1:39" x14ac:dyDescent="0.35">
      <c r="A1491">
        <v>1487</v>
      </c>
      <c r="B1491">
        <v>1488</v>
      </c>
      <c r="F1491" s="63"/>
      <c r="G1491" s="63"/>
      <c r="H1491" t="s">
        <v>78</v>
      </c>
      <c r="I1491" s="64">
        <v>1</v>
      </c>
      <c r="J1491" s="31"/>
      <c r="K1491" s="31"/>
      <c r="L1491" s="31"/>
      <c r="M1491" s="31"/>
      <c r="N1491" s="4"/>
      <c r="AG1491" t="s">
        <v>78</v>
      </c>
      <c r="AM1491" s="1">
        <f t="shared" si="20"/>
        <v>0</v>
      </c>
    </row>
    <row r="1492" spans="1:39" x14ac:dyDescent="0.35">
      <c r="A1492">
        <v>1488</v>
      </c>
      <c r="B1492">
        <v>1489</v>
      </c>
      <c r="F1492" s="63"/>
      <c r="G1492" s="63"/>
      <c r="H1492" t="s">
        <v>78</v>
      </c>
      <c r="I1492" s="64">
        <v>1</v>
      </c>
      <c r="J1492" s="31"/>
      <c r="K1492" s="31"/>
      <c r="L1492" s="31"/>
      <c r="M1492" s="31"/>
      <c r="N1492" s="4"/>
      <c r="AG1492" t="s">
        <v>78</v>
      </c>
      <c r="AM1492" s="1">
        <f t="shared" ref="AM1492:AM1523" si="21">HYPERLINK("E:\CAFNEC_GBRF\2023\JohnstoneRiver\Frames_for_Analysis\" &amp; F1493, F1493)</f>
        <v>0</v>
      </c>
    </row>
    <row r="1493" spans="1:39" x14ac:dyDescent="0.35">
      <c r="A1493">
        <v>1489</v>
      </c>
      <c r="B1493">
        <v>1490</v>
      </c>
      <c r="F1493" s="63"/>
      <c r="G1493" s="63"/>
      <c r="H1493" t="s">
        <v>78</v>
      </c>
      <c r="I1493" s="64">
        <v>1</v>
      </c>
      <c r="J1493" s="31"/>
      <c r="K1493" s="31"/>
      <c r="L1493" s="31"/>
      <c r="M1493" s="31"/>
      <c r="N1493" s="4"/>
      <c r="AG1493" t="s">
        <v>78</v>
      </c>
      <c r="AM1493" s="1">
        <f t="shared" si="21"/>
        <v>0</v>
      </c>
    </row>
    <row r="1494" spans="1:39" x14ac:dyDescent="0.35">
      <c r="A1494">
        <v>1490</v>
      </c>
      <c r="B1494">
        <v>1491</v>
      </c>
      <c r="F1494" s="63"/>
      <c r="G1494" s="63"/>
      <c r="H1494" t="s">
        <v>78</v>
      </c>
      <c r="I1494" s="64">
        <v>1</v>
      </c>
      <c r="J1494" s="31"/>
      <c r="K1494" s="31"/>
      <c r="L1494" s="31"/>
      <c r="M1494" s="31"/>
      <c r="N1494" s="4"/>
      <c r="AG1494" t="s">
        <v>78</v>
      </c>
      <c r="AM1494" s="1">
        <f t="shared" si="21"/>
        <v>0</v>
      </c>
    </row>
    <row r="1495" spans="1:39" x14ac:dyDescent="0.35">
      <c r="A1495">
        <v>1491</v>
      </c>
      <c r="B1495">
        <v>1492</v>
      </c>
      <c r="F1495" s="63"/>
      <c r="G1495" s="63"/>
      <c r="H1495" t="s">
        <v>78</v>
      </c>
      <c r="I1495" s="64">
        <v>1</v>
      </c>
      <c r="J1495" s="31"/>
      <c r="K1495" s="31"/>
      <c r="L1495" s="31"/>
      <c r="M1495" s="31"/>
      <c r="N1495" s="4"/>
      <c r="AG1495" t="s">
        <v>78</v>
      </c>
      <c r="AM1495" s="1">
        <f t="shared" si="21"/>
        <v>0</v>
      </c>
    </row>
    <row r="1496" spans="1:39" x14ac:dyDescent="0.35">
      <c r="A1496">
        <v>1492</v>
      </c>
      <c r="B1496">
        <v>1493</v>
      </c>
      <c r="F1496" s="63"/>
      <c r="G1496" s="63"/>
      <c r="H1496" t="s">
        <v>78</v>
      </c>
      <c r="I1496" s="64">
        <v>1</v>
      </c>
      <c r="J1496" s="31"/>
      <c r="K1496" s="31"/>
      <c r="L1496" s="31"/>
      <c r="M1496" s="31"/>
      <c r="N1496" s="4"/>
      <c r="AG1496" t="s">
        <v>78</v>
      </c>
      <c r="AM1496" s="1">
        <f t="shared" si="21"/>
        <v>0</v>
      </c>
    </row>
    <row r="1497" spans="1:39" x14ac:dyDescent="0.35">
      <c r="A1497">
        <v>1493</v>
      </c>
      <c r="B1497">
        <v>1494</v>
      </c>
      <c r="F1497" s="63"/>
      <c r="G1497" s="63"/>
      <c r="H1497" t="s">
        <v>78</v>
      </c>
      <c r="I1497" s="64">
        <v>1</v>
      </c>
      <c r="J1497" s="31"/>
      <c r="K1497" s="31"/>
      <c r="L1497" s="31"/>
      <c r="M1497" s="31"/>
      <c r="N1497" s="4"/>
      <c r="AG1497" t="s">
        <v>78</v>
      </c>
      <c r="AM1497" s="1">
        <f t="shared" si="21"/>
        <v>0</v>
      </c>
    </row>
    <row r="1498" spans="1:39" x14ac:dyDescent="0.35">
      <c r="A1498">
        <v>1494</v>
      </c>
      <c r="B1498">
        <v>1495</v>
      </c>
      <c r="F1498" s="63"/>
      <c r="G1498" s="63"/>
      <c r="H1498" t="s">
        <v>78</v>
      </c>
      <c r="I1498" s="64">
        <v>1</v>
      </c>
      <c r="J1498" s="31"/>
      <c r="K1498" s="31"/>
      <c r="L1498" s="31"/>
      <c r="M1498" s="31"/>
      <c r="N1498" s="4"/>
      <c r="AG1498" t="s">
        <v>78</v>
      </c>
      <c r="AM1498" s="1">
        <f t="shared" si="21"/>
        <v>0</v>
      </c>
    </row>
    <row r="1499" spans="1:39" x14ac:dyDescent="0.35">
      <c r="A1499">
        <v>1495</v>
      </c>
      <c r="B1499">
        <v>1496</v>
      </c>
      <c r="F1499" s="63"/>
      <c r="G1499" s="63"/>
      <c r="H1499" t="s">
        <v>78</v>
      </c>
      <c r="I1499" s="64">
        <v>1</v>
      </c>
      <c r="J1499" s="31"/>
      <c r="K1499" s="31"/>
      <c r="L1499" s="31"/>
      <c r="M1499" s="31"/>
      <c r="N1499" s="4"/>
      <c r="AG1499" t="s">
        <v>78</v>
      </c>
      <c r="AM1499" s="1">
        <f t="shared" si="21"/>
        <v>0</v>
      </c>
    </row>
    <row r="1500" spans="1:39" x14ac:dyDescent="0.35">
      <c r="A1500">
        <v>1496</v>
      </c>
      <c r="B1500">
        <v>1497</v>
      </c>
      <c r="F1500" s="63"/>
      <c r="G1500" s="63"/>
      <c r="H1500" t="s">
        <v>78</v>
      </c>
      <c r="I1500" s="64">
        <v>1</v>
      </c>
      <c r="J1500" s="31"/>
      <c r="K1500" s="31"/>
      <c r="L1500" s="31"/>
      <c r="M1500" s="31"/>
      <c r="N1500" s="4"/>
      <c r="AG1500" t="s">
        <v>78</v>
      </c>
      <c r="AM1500" s="1">
        <f t="shared" si="21"/>
        <v>0</v>
      </c>
    </row>
    <row r="1501" spans="1:39" x14ac:dyDescent="0.35">
      <c r="A1501">
        <v>1497</v>
      </c>
      <c r="B1501">
        <v>1498</v>
      </c>
      <c r="F1501" s="63"/>
      <c r="G1501" s="63"/>
      <c r="H1501" t="s">
        <v>78</v>
      </c>
      <c r="I1501" s="64">
        <v>1</v>
      </c>
      <c r="J1501" s="31"/>
      <c r="K1501" s="31"/>
      <c r="L1501" s="31"/>
      <c r="M1501" s="31"/>
      <c r="N1501" s="4"/>
      <c r="AG1501" t="s">
        <v>78</v>
      </c>
      <c r="AM1501" s="1">
        <f t="shared" si="21"/>
        <v>0</v>
      </c>
    </row>
    <row r="1502" spans="1:39" x14ac:dyDescent="0.35">
      <c r="A1502">
        <v>1498</v>
      </c>
      <c r="B1502">
        <v>1499</v>
      </c>
      <c r="F1502" s="63"/>
      <c r="G1502" s="63"/>
      <c r="H1502" t="s">
        <v>78</v>
      </c>
      <c r="I1502" s="64">
        <v>1</v>
      </c>
      <c r="J1502" s="31"/>
      <c r="K1502" s="31"/>
      <c r="L1502" s="31"/>
      <c r="M1502" s="31"/>
      <c r="N1502" s="4"/>
      <c r="AG1502" t="s">
        <v>78</v>
      </c>
      <c r="AM1502" s="1">
        <f t="shared" si="21"/>
        <v>0</v>
      </c>
    </row>
    <row r="1503" spans="1:39" x14ac:dyDescent="0.35">
      <c r="A1503">
        <v>1499</v>
      </c>
      <c r="B1503">
        <v>1500</v>
      </c>
      <c r="F1503" s="63"/>
      <c r="G1503" s="63"/>
      <c r="H1503" t="s">
        <v>78</v>
      </c>
      <c r="I1503" s="64">
        <v>1</v>
      </c>
      <c r="J1503" s="31"/>
      <c r="K1503" s="31"/>
      <c r="L1503" s="31"/>
      <c r="M1503" s="31"/>
      <c r="N1503" s="4"/>
      <c r="AG1503" t="s">
        <v>78</v>
      </c>
      <c r="AM1503" s="1">
        <f t="shared" si="21"/>
        <v>0</v>
      </c>
    </row>
    <row r="1504" spans="1:39" x14ac:dyDescent="0.35">
      <c r="A1504">
        <v>1500</v>
      </c>
      <c r="B1504">
        <v>1501</v>
      </c>
      <c r="F1504" s="63"/>
      <c r="G1504" s="63"/>
      <c r="H1504" t="s">
        <v>78</v>
      </c>
      <c r="I1504" s="64">
        <v>1</v>
      </c>
      <c r="J1504" s="31"/>
      <c r="K1504" s="31"/>
      <c r="L1504" s="31"/>
      <c r="M1504" s="31"/>
      <c r="N1504" s="4"/>
      <c r="AG1504" t="s">
        <v>78</v>
      </c>
      <c r="AM1504" s="1">
        <f t="shared" si="21"/>
        <v>0</v>
      </c>
    </row>
    <row r="1505" spans="1:39" x14ac:dyDescent="0.35">
      <c r="A1505">
        <v>1501</v>
      </c>
      <c r="B1505">
        <v>1502</v>
      </c>
      <c r="F1505" s="63"/>
      <c r="G1505" s="63"/>
      <c r="H1505" t="s">
        <v>78</v>
      </c>
      <c r="I1505" s="64">
        <v>1</v>
      </c>
      <c r="J1505" s="31"/>
      <c r="K1505" s="31"/>
      <c r="L1505" s="31"/>
      <c r="M1505" s="31"/>
      <c r="N1505" s="4"/>
      <c r="AG1505" t="s">
        <v>78</v>
      </c>
      <c r="AM1505" s="1">
        <f t="shared" si="21"/>
        <v>0</v>
      </c>
    </row>
    <row r="1506" spans="1:39" x14ac:dyDescent="0.35">
      <c r="A1506">
        <v>1502</v>
      </c>
      <c r="B1506">
        <v>1503</v>
      </c>
      <c r="F1506" s="63"/>
      <c r="G1506" s="63"/>
      <c r="H1506" t="s">
        <v>78</v>
      </c>
      <c r="I1506" s="64">
        <v>1</v>
      </c>
      <c r="J1506" s="31"/>
      <c r="K1506" s="31"/>
      <c r="L1506" s="31"/>
      <c r="M1506" s="31"/>
      <c r="N1506" s="4"/>
      <c r="AG1506" t="s">
        <v>78</v>
      </c>
      <c r="AM1506" s="1">
        <f t="shared" si="21"/>
        <v>0</v>
      </c>
    </row>
    <row r="1507" spans="1:39" x14ac:dyDescent="0.35">
      <c r="A1507">
        <v>1503</v>
      </c>
      <c r="B1507">
        <v>1504</v>
      </c>
      <c r="F1507" s="63"/>
      <c r="G1507" s="63"/>
      <c r="H1507" t="s">
        <v>78</v>
      </c>
      <c r="I1507" s="64">
        <v>1</v>
      </c>
      <c r="J1507" s="31"/>
      <c r="K1507" s="31"/>
      <c r="L1507" s="31"/>
      <c r="M1507" s="31"/>
      <c r="N1507" s="4"/>
      <c r="AG1507" t="s">
        <v>78</v>
      </c>
      <c r="AM1507" s="1">
        <f t="shared" si="21"/>
        <v>0</v>
      </c>
    </row>
    <row r="1508" spans="1:39" x14ac:dyDescent="0.35">
      <c r="A1508">
        <v>1504</v>
      </c>
      <c r="B1508">
        <v>1505</v>
      </c>
      <c r="F1508" s="63"/>
      <c r="G1508" s="63"/>
      <c r="H1508" t="s">
        <v>78</v>
      </c>
      <c r="I1508" s="64">
        <v>1</v>
      </c>
      <c r="J1508" s="31"/>
      <c r="K1508" s="31"/>
      <c r="L1508" s="31"/>
      <c r="M1508" s="31"/>
      <c r="N1508" s="4"/>
      <c r="AG1508" t="s">
        <v>78</v>
      </c>
      <c r="AM1508" s="1">
        <f t="shared" si="21"/>
        <v>0</v>
      </c>
    </row>
    <row r="1509" spans="1:39" x14ac:dyDescent="0.35">
      <c r="A1509">
        <v>1505</v>
      </c>
      <c r="B1509">
        <v>1506</v>
      </c>
      <c r="F1509" s="63"/>
      <c r="G1509" s="63"/>
      <c r="H1509" t="s">
        <v>78</v>
      </c>
      <c r="I1509" s="64">
        <v>1</v>
      </c>
      <c r="J1509" s="31"/>
      <c r="K1509" s="31"/>
      <c r="L1509" s="31"/>
      <c r="M1509" s="31"/>
      <c r="N1509" s="4"/>
      <c r="AG1509" t="s">
        <v>78</v>
      </c>
      <c r="AM1509" s="1">
        <f t="shared" si="21"/>
        <v>0</v>
      </c>
    </row>
    <row r="1510" spans="1:39" x14ac:dyDescent="0.35">
      <c r="A1510">
        <v>1506</v>
      </c>
      <c r="B1510">
        <v>1507</v>
      </c>
      <c r="F1510" s="63"/>
      <c r="G1510" s="63"/>
      <c r="H1510" t="s">
        <v>78</v>
      </c>
      <c r="I1510" s="64">
        <v>1</v>
      </c>
      <c r="J1510" s="31"/>
      <c r="K1510" s="31"/>
      <c r="L1510" s="31"/>
      <c r="M1510" s="31"/>
      <c r="N1510" s="4"/>
      <c r="AG1510" t="s">
        <v>78</v>
      </c>
      <c r="AM1510" s="1">
        <f t="shared" si="21"/>
        <v>0</v>
      </c>
    </row>
    <row r="1511" spans="1:39" x14ac:dyDescent="0.35">
      <c r="A1511">
        <v>1507</v>
      </c>
      <c r="B1511">
        <v>1508</v>
      </c>
      <c r="F1511" s="63"/>
      <c r="G1511" s="63"/>
      <c r="H1511" t="s">
        <v>78</v>
      </c>
      <c r="I1511" s="64">
        <v>1</v>
      </c>
      <c r="J1511" s="31"/>
      <c r="K1511" s="31"/>
      <c r="L1511" s="31"/>
      <c r="M1511" s="31"/>
      <c r="N1511" s="4"/>
      <c r="AG1511" t="s">
        <v>78</v>
      </c>
      <c r="AM1511" s="1">
        <f t="shared" si="21"/>
        <v>0</v>
      </c>
    </row>
    <row r="1512" spans="1:39" x14ac:dyDescent="0.35">
      <c r="A1512">
        <v>1508</v>
      </c>
      <c r="B1512">
        <v>1509</v>
      </c>
      <c r="F1512" s="63"/>
      <c r="G1512" s="63"/>
      <c r="H1512" t="s">
        <v>78</v>
      </c>
      <c r="I1512" s="64">
        <v>1</v>
      </c>
      <c r="J1512" s="31"/>
      <c r="K1512" s="31"/>
      <c r="L1512" s="31"/>
      <c r="M1512" s="31"/>
      <c r="N1512" s="4"/>
      <c r="AG1512" t="s">
        <v>78</v>
      </c>
      <c r="AM1512" s="1">
        <f t="shared" si="21"/>
        <v>0</v>
      </c>
    </row>
    <row r="1513" spans="1:39" x14ac:dyDescent="0.35">
      <c r="A1513">
        <v>1509</v>
      </c>
      <c r="B1513">
        <v>1510</v>
      </c>
      <c r="F1513" s="63"/>
      <c r="G1513" s="63"/>
      <c r="H1513" t="s">
        <v>78</v>
      </c>
      <c r="I1513" s="64">
        <v>1</v>
      </c>
      <c r="J1513" s="31"/>
      <c r="K1513" s="31"/>
      <c r="L1513" s="31"/>
      <c r="M1513" s="31"/>
      <c r="N1513" s="4"/>
      <c r="AG1513" t="s">
        <v>78</v>
      </c>
      <c r="AM1513" s="1">
        <f t="shared" si="21"/>
        <v>0</v>
      </c>
    </row>
    <row r="1514" spans="1:39" x14ac:dyDescent="0.35">
      <c r="A1514">
        <v>1510</v>
      </c>
      <c r="B1514">
        <v>1511</v>
      </c>
      <c r="F1514" s="63"/>
      <c r="G1514" s="63"/>
      <c r="H1514" t="s">
        <v>78</v>
      </c>
      <c r="I1514" s="64">
        <v>1</v>
      </c>
      <c r="J1514" s="31"/>
      <c r="K1514" s="31"/>
      <c r="L1514" s="31"/>
      <c r="M1514" s="31"/>
      <c r="N1514" s="4"/>
      <c r="AG1514" t="s">
        <v>78</v>
      </c>
      <c r="AM1514" s="1">
        <f t="shared" si="21"/>
        <v>0</v>
      </c>
    </row>
    <row r="1515" spans="1:39" x14ac:dyDescent="0.35">
      <c r="A1515">
        <v>1511</v>
      </c>
      <c r="B1515">
        <v>1512</v>
      </c>
      <c r="F1515" s="63"/>
      <c r="G1515" s="63"/>
      <c r="H1515" t="s">
        <v>78</v>
      </c>
      <c r="I1515" s="64">
        <v>1</v>
      </c>
      <c r="J1515" s="31"/>
      <c r="K1515" s="31"/>
      <c r="L1515" s="31"/>
      <c r="M1515" s="31"/>
      <c r="N1515" s="4"/>
      <c r="AG1515" t="s">
        <v>78</v>
      </c>
      <c r="AM1515" s="1">
        <f t="shared" si="21"/>
        <v>0</v>
      </c>
    </row>
    <row r="1516" spans="1:39" x14ac:dyDescent="0.35">
      <c r="A1516">
        <v>1512</v>
      </c>
      <c r="B1516">
        <v>1513</v>
      </c>
      <c r="F1516" s="63"/>
      <c r="G1516" s="63"/>
      <c r="H1516" t="s">
        <v>78</v>
      </c>
      <c r="I1516" s="64">
        <v>1</v>
      </c>
      <c r="J1516" s="31"/>
      <c r="K1516" s="31"/>
      <c r="L1516" s="31"/>
      <c r="M1516" s="31"/>
      <c r="N1516" s="4"/>
      <c r="AG1516" t="s">
        <v>78</v>
      </c>
      <c r="AM1516" s="1">
        <f t="shared" si="21"/>
        <v>0</v>
      </c>
    </row>
    <row r="1517" spans="1:39" x14ac:dyDescent="0.35">
      <c r="A1517">
        <v>1513</v>
      </c>
      <c r="B1517">
        <v>1514</v>
      </c>
      <c r="F1517" s="63"/>
      <c r="G1517" s="63"/>
      <c r="H1517" t="s">
        <v>78</v>
      </c>
      <c r="I1517" s="64">
        <v>1</v>
      </c>
      <c r="J1517" s="31"/>
      <c r="K1517" s="31"/>
      <c r="L1517" s="31"/>
      <c r="M1517" s="31"/>
      <c r="N1517" s="4"/>
      <c r="AG1517" t="s">
        <v>78</v>
      </c>
      <c r="AM1517" s="1">
        <f t="shared" si="21"/>
        <v>0</v>
      </c>
    </row>
    <row r="1518" spans="1:39" x14ac:dyDescent="0.35">
      <c r="A1518">
        <v>1514</v>
      </c>
      <c r="B1518">
        <v>1515</v>
      </c>
      <c r="F1518" s="63"/>
      <c r="G1518" s="63"/>
      <c r="H1518" t="s">
        <v>78</v>
      </c>
      <c r="I1518" s="64">
        <v>1</v>
      </c>
      <c r="J1518" s="31"/>
      <c r="K1518" s="31"/>
      <c r="L1518" s="31"/>
      <c r="M1518" s="31"/>
      <c r="N1518" s="4"/>
      <c r="AG1518" t="s">
        <v>78</v>
      </c>
      <c r="AM1518" s="1">
        <f t="shared" si="21"/>
        <v>0</v>
      </c>
    </row>
    <row r="1519" spans="1:39" x14ac:dyDescent="0.35">
      <c r="A1519">
        <v>1515</v>
      </c>
      <c r="B1519">
        <v>1516</v>
      </c>
      <c r="F1519" s="63"/>
      <c r="G1519" s="63"/>
      <c r="H1519" t="s">
        <v>78</v>
      </c>
      <c r="I1519" s="64">
        <v>1</v>
      </c>
      <c r="J1519" s="31"/>
      <c r="K1519" s="31"/>
      <c r="L1519" s="31"/>
      <c r="M1519" s="31"/>
      <c r="N1519" s="4"/>
      <c r="AG1519" t="s">
        <v>78</v>
      </c>
      <c r="AM1519" s="1">
        <f t="shared" si="21"/>
        <v>0</v>
      </c>
    </row>
    <row r="1520" spans="1:39" x14ac:dyDescent="0.35">
      <c r="A1520">
        <v>1516</v>
      </c>
      <c r="B1520">
        <v>1517</v>
      </c>
      <c r="F1520" s="63"/>
      <c r="G1520" s="63"/>
      <c r="H1520" t="s">
        <v>78</v>
      </c>
      <c r="I1520" s="64">
        <v>1</v>
      </c>
      <c r="J1520" s="31"/>
      <c r="K1520" s="31"/>
      <c r="L1520" s="31"/>
      <c r="M1520" s="31"/>
      <c r="N1520" s="4"/>
      <c r="AG1520" t="s">
        <v>78</v>
      </c>
      <c r="AM1520" s="1">
        <f t="shared" si="21"/>
        <v>0</v>
      </c>
    </row>
    <row r="1521" spans="1:39" x14ac:dyDescent="0.35">
      <c r="A1521">
        <v>1517</v>
      </c>
      <c r="B1521">
        <v>1518</v>
      </c>
      <c r="F1521" s="63"/>
      <c r="G1521" s="63"/>
      <c r="H1521" t="s">
        <v>78</v>
      </c>
      <c r="I1521" s="64">
        <v>1</v>
      </c>
      <c r="J1521" s="31"/>
      <c r="K1521" s="31"/>
      <c r="L1521" s="31"/>
      <c r="M1521" s="31"/>
      <c r="N1521" s="4"/>
      <c r="AG1521" t="s">
        <v>78</v>
      </c>
      <c r="AM1521" s="1">
        <f t="shared" si="21"/>
        <v>0</v>
      </c>
    </row>
    <row r="1522" spans="1:39" x14ac:dyDescent="0.35">
      <c r="A1522">
        <v>1518</v>
      </c>
      <c r="B1522">
        <v>1519</v>
      </c>
      <c r="F1522" s="63"/>
      <c r="G1522" s="63"/>
      <c r="H1522" t="s">
        <v>78</v>
      </c>
      <c r="I1522" s="64">
        <v>1</v>
      </c>
      <c r="J1522" s="31"/>
      <c r="K1522" s="31"/>
      <c r="L1522" s="31"/>
      <c r="M1522" s="31"/>
      <c r="N1522" s="4"/>
      <c r="AG1522" t="s">
        <v>78</v>
      </c>
      <c r="AM1522" s="1">
        <f t="shared" si="21"/>
        <v>0</v>
      </c>
    </row>
    <row r="1523" spans="1:39" x14ac:dyDescent="0.35">
      <c r="A1523">
        <v>1519</v>
      </c>
      <c r="B1523">
        <v>1520</v>
      </c>
      <c r="F1523" s="63"/>
      <c r="G1523" s="63"/>
      <c r="H1523" t="s">
        <v>78</v>
      </c>
      <c r="I1523" s="64">
        <v>1</v>
      </c>
      <c r="J1523" s="31"/>
      <c r="K1523" s="31"/>
      <c r="L1523" s="31"/>
      <c r="M1523" s="31"/>
      <c r="N1523" s="4"/>
      <c r="AG1523" t="s">
        <v>78</v>
      </c>
      <c r="AM1523" s="1">
        <f t="shared" si="21"/>
        <v>0</v>
      </c>
    </row>
    <row r="1524" spans="1:39" x14ac:dyDescent="0.35">
      <c r="A1524">
        <v>1520</v>
      </c>
      <c r="B1524">
        <v>1521</v>
      </c>
      <c r="F1524" s="63"/>
      <c r="G1524" s="63"/>
      <c r="H1524" t="s">
        <v>78</v>
      </c>
      <c r="I1524" s="64">
        <v>1</v>
      </c>
      <c r="J1524" s="31"/>
      <c r="K1524" s="31"/>
      <c r="L1524" s="31"/>
      <c r="M1524" s="31"/>
      <c r="N1524" s="4"/>
      <c r="AG1524" t="s">
        <v>78</v>
      </c>
      <c r="AM1524" s="1">
        <f t="shared" ref="AM1524:AM1547" si="22">HYPERLINK("E:\CAFNEC_GBRF\2023\JohnstoneRiver\Frames_for_Analysis\" &amp; F1525, F1525)</f>
        <v>0</v>
      </c>
    </row>
    <row r="1525" spans="1:39" x14ac:dyDescent="0.35">
      <c r="A1525">
        <v>1521</v>
      </c>
      <c r="B1525">
        <v>1522</v>
      </c>
      <c r="F1525" s="63"/>
      <c r="G1525" s="63"/>
      <c r="H1525" t="s">
        <v>78</v>
      </c>
      <c r="I1525" s="64">
        <v>1</v>
      </c>
      <c r="J1525" s="31"/>
      <c r="K1525" s="31"/>
      <c r="L1525" s="31"/>
      <c r="M1525" s="31"/>
      <c r="N1525" s="4"/>
      <c r="AG1525" t="s">
        <v>78</v>
      </c>
      <c r="AM1525" s="1">
        <f t="shared" si="22"/>
        <v>0</v>
      </c>
    </row>
    <row r="1526" spans="1:39" x14ac:dyDescent="0.35">
      <c r="A1526">
        <v>1522</v>
      </c>
      <c r="B1526">
        <v>1523</v>
      </c>
      <c r="F1526" s="63"/>
      <c r="G1526" s="63"/>
      <c r="H1526" t="s">
        <v>78</v>
      </c>
      <c r="I1526" s="64">
        <v>1</v>
      </c>
      <c r="J1526" s="31"/>
      <c r="K1526" s="31"/>
      <c r="L1526" s="31"/>
      <c r="M1526" s="31"/>
      <c r="N1526" s="4"/>
      <c r="AG1526" t="s">
        <v>78</v>
      </c>
      <c r="AM1526" s="1">
        <f t="shared" si="22"/>
        <v>0</v>
      </c>
    </row>
    <row r="1527" spans="1:39" x14ac:dyDescent="0.35">
      <c r="A1527">
        <v>1523</v>
      </c>
      <c r="B1527">
        <v>1524</v>
      </c>
      <c r="F1527" s="63"/>
      <c r="G1527" s="63"/>
      <c r="H1527" t="s">
        <v>78</v>
      </c>
      <c r="I1527" s="64">
        <v>1</v>
      </c>
      <c r="J1527" s="31"/>
      <c r="K1527" s="31"/>
      <c r="L1527" s="31"/>
      <c r="M1527" s="31"/>
      <c r="N1527" s="4"/>
      <c r="AG1527" t="s">
        <v>78</v>
      </c>
      <c r="AM1527" s="1">
        <f t="shared" si="22"/>
        <v>0</v>
      </c>
    </row>
    <row r="1528" spans="1:39" x14ac:dyDescent="0.35">
      <c r="A1528">
        <v>1524</v>
      </c>
      <c r="B1528">
        <v>1525</v>
      </c>
      <c r="F1528" s="63"/>
      <c r="G1528" s="63"/>
      <c r="H1528" t="s">
        <v>78</v>
      </c>
      <c r="I1528" s="64">
        <v>1</v>
      </c>
      <c r="J1528" s="31"/>
      <c r="K1528" s="31"/>
      <c r="L1528" s="31"/>
      <c r="M1528" s="31"/>
      <c r="N1528" s="4"/>
      <c r="AG1528" t="s">
        <v>78</v>
      </c>
      <c r="AM1528" s="1">
        <f t="shared" si="22"/>
        <v>0</v>
      </c>
    </row>
    <row r="1529" spans="1:39" x14ac:dyDescent="0.35">
      <c r="A1529">
        <v>1525</v>
      </c>
      <c r="B1529">
        <v>1526</v>
      </c>
      <c r="F1529" s="63"/>
      <c r="G1529" s="63"/>
      <c r="H1529" t="s">
        <v>78</v>
      </c>
      <c r="I1529" s="64">
        <v>1</v>
      </c>
      <c r="J1529" s="31"/>
      <c r="K1529" s="31"/>
      <c r="L1529" s="31"/>
      <c r="M1529" s="31"/>
      <c r="N1529" s="4"/>
      <c r="AG1529" t="s">
        <v>78</v>
      </c>
      <c r="AM1529" s="1">
        <f t="shared" si="22"/>
        <v>0</v>
      </c>
    </row>
    <row r="1530" spans="1:39" x14ac:dyDescent="0.35">
      <c r="A1530">
        <v>1526</v>
      </c>
      <c r="B1530">
        <v>1527</v>
      </c>
      <c r="F1530" s="63"/>
      <c r="G1530" s="63"/>
      <c r="H1530" t="s">
        <v>78</v>
      </c>
      <c r="I1530" s="64">
        <v>1</v>
      </c>
      <c r="J1530" s="31"/>
      <c r="K1530" s="31"/>
      <c r="L1530" s="31"/>
      <c r="M1530" s="31"/>
      <c r="N1530" s="4"/>
      <c r="AG1530" t="s">
        <v>78</v>
      </c>
      <c r="AM1530" s="1">
        <f t="shared" si="22"/>
        <v>0</v>
      </c>
    </row>
    <row r="1531" spans="1:39" x14ac:dyDescent="0.35">
      <c r="A1531">
        <v>1527</v>
      </c>
      <c r="B1531">
        <v>1528</v>
      </c>
      <c r="F1531" s="63"/>
      <c r="G1531" s="63"/>
      <c r="H1531" t="s">
        <v>78</v>
      </c>
      <c r="I1531" s="64">
        <v>1</v>
      </c>
      <c r="J1531" s="31"/>
      <c r="K1531" s="31"/>
      <c r="L1531" s="31"/>
      <c r="M1531" s="31"/>
      <c r="N1531" s="4"/>
      <c r="AG1531" t="s">
        <v>78</v>
      </c>
      <c r="AM1531" s="1">
        <f t="shared" si="22"/>
        <v>0</v>
      </c>
    </row>
    <row r="1532" spans="1:39" x14ac:dyDescent="0.35">
      <c r="A1532">
        <v>1528</v>
      </c>
      <c r="B1532">
        <v>1529</v>
      </c>
      <c r="F1532" s="63"/>
      <c r="G1532" s="63"/>
      <c r="H1532" t="s">
        <v>78</v>
      </c>
      <c r="I1532" s="64">
        <v>1</v>
      </c>
      <c r="J1532" s="31"/>
      <c r="K1532" s="31"/>
      <c r="L1532" s="31"/>
      <c r="M1532" s="31"/>
      <c r="N1532" s="4"/>
      <c r="AG1532" t="s">
        <v>78</v>
      </c>
      <c r="AM1532" s="1">
        <f t="shared" si="22"/>
        <v>0</v>
      </c>
    </row>
    <row r="1533" spans="1:39" x14ac:dyDescent="0.35">
      <c r="A1533">
        <v>1529</v>
      </c>
      <c r="B1533">
        <v>1530</v>
      </c>
      <c r="F1533" s="63"/>
      <c r="G1533" s="63"/>
      <c r="H1533" t="s">
        <v>78</v>
      </c>
      <c r="I1533" s="64">
        <v>1</v>
      </c>
      <c r="J1533" s="31"/>
      <c r="K1533" s="31"/>
      <c r="L1533" s="31"/>
      <c r="M1533" s="31"/>
      <c r="N1533" s="4"/>
      <c r="AG1533" t="s">
        <v>78</v>
      </c>
      <c r="AM1533" s="1">
        <f t="shared" si="22"/>
        <v>0</v>
      </c>
    </row>
    <row r="1534" spans="1:39" x14ac:dyDescent="0.35">
      <c r="A1534">
        <v>1530</v>
      </c>
      <c r="B1534">
        <v>1531</v>
      </c>
      <c r="F1534" s="63"/>
      <c r="G1534" s="63"/>
      <c r="H1534" t="s">
        <v>78</v>
      </c>
      <c r="I1534" s="64">
        <v>1</v>
      </c>
      <c r="J1534" s="31"/>
      <c r="K1534" s="31"/>
      <c r="L1534" s="31"/>
      <c r="M1534" s="31"/>
      <c r="N1534" s="4"/>
      <c r="AG1534" t="s">
        <v>78</v>
      </c>
      <c r="AM1534" s="1">
        <f t="shared" si="22"/>
        <v>0</v>
      </c>
    </row>
    <row r="1535" spans="1:39" x14ac:dyDescent="0.35">
      <c r="A1535">
        <v>1531</v>
      </c>
      <c r="B1535">
        <v>1532</v>
      </c>
      <c r="F1535" s="63"/>
      <c r="G1535" s="63"/>
      <c r="H1535" t="s">
        <v>78</v>
      </c>
      <c r="I1535" s="64">
        <v>1</v>
      </c>
      <c r="J1535" s="31"/>
      <c r="K1535" s="31"/>
      <c r="L1535" s="31"/>
      <c r="M1535" s="31"/>
      <c r="N1535" s="4"/>
      <c r="AG1535" t="s">
        <v>78</v>
      </c>
      <c r="AM1535" s="1">
        <f t="shared" si="22"/>
        <v>0</v>
      </c>
    </row>
    <row r="1536" spans="1:39" x14ac:dyDescent="0.35">
      <c r="A1536">
        <v>1532</v>
      </c>
      <c r="B1536">
        <v>1533</v>
      </c>
      <c r="F1536" s="63"/>
      <c r="G1536" s="63"/>
      <c r="H1536" t="s">
        <v>78</v>
      </c>
      <c r="I1536" s="64">
        <v>1</v>
      </c>
      <c r="J1536" s="31"/>
      <c r="K1536" s="31"/>
      <c r="L1536" s="31"/>
      <c r="M1536" s="31"/>
      <c r="N1536" s="4"/>
      <c r="AG1536" t="s">
        <v>78</v>
      </c>
      <c r="AM1536" s="1">
        <f t="shared" si="22"/>
        <v>0</v>
      </c>
    </row>
    <row r="1537" spans="1:39" x14ac:dyDescent="0.35">
      <c r="A1537">
        <v>1533</v>
      </c>
      <c r="B1537">
        <v>1534</v>
      </c>
      <c r="F1537" s="63"/>
      <c r="G1537" s="63"/>
      <c r="H1537" t="s">
        <v>78</v>
      </c>
      <c r="I1537" s="64">
        <v>1</v>
      </c>
      <c r="J1537" s="31"/>
      <c r="K1537" s="31"/>
      <c r="L1537" s="31"/>
      <c r="M1537" s="31"/>
      <c r="N1537" s="4"/>
      <c r="AG1537" t="s">
        <v>78</v>
      </c>
      <c r="AM1537" s="1">
        <f t="shared" si="22"/>
        <v>0</v>
      </c>
    </row>
    <row r="1538" spans="1:39" x14ac:dyDescent="0.35">
      <c r="A1538">
        <v>1534</v>
      </c>
      <c r="B1538">
        <v>1535</v>
      </c>
      <c r="F1538" s="63"/>
      <c r="G1538" s="63"/>
      <c r="H1538" t="s">
        <v>78</v>
      </c>
      <c r="I1538" s="64">
        <v>1</v>
      </c>
      <c r="J1538" s="31"/>
      <c r="K1538" s="31"/>
      <c r="L1538" s="31"/>
      <c r="M1538" s="31"/>
      <c r="N1538" s="4"/>
      <c r="AG1538" t="s">
        <v>78</v>
      </c>
      <c r="AM1538" s="1">
        <f t="shared" si="22"/>
        <v>0</v>
      </c>
    </row>
    <row r="1539" spans="1:39" x14ac:dyDescent="0.35">
      <c r="A1539">
        <v>1535</v>
      </c>
      <c r="B1539">
        <v>1536</v>
      </c>
      <c r="F1539" s="63"/>
      <c r="G1539" s="63"/>
      <c r="H1539" t="s">
        <v>78</v>
      </c>
      <c r="I1539" s="64">
        <v>1</v>
      </c>
      <c r="J1539" s="31"/>
      <c r="K1539" s="31"/>
      <c r="L1539" s="31"/>
      <c r="M1539" s="31"/>
      <c r="N1539" s="4"/>
      <c r="AG1539" t="s">
        <v>78</v>
      </c>
      <c r="AM1539" s="1">
        <f t="shared" si="22"/>
        <v>0</v>
      </c>
    </row>
    <row r="1540" spans="1:39" x14ac:dyDescent="0.35">
      <c r="A1540">
        <v>1536</v>
      </c>
      <c r="B1540">
        <v>1537</v>
      </c>
      <c r="F1540" s="63"/>
      <c r="G1540" s="63"/>
      <c r="H1540" t="s">
        <v>78</v>
      </c>
      <c r="I1540" s="64">
        <v>1</v>
      </c>
      <c r="J1540" s="31"/>
      <c r="K1540" s="31"/>
      <c r="L1540" s="31"/>
      <c r="M1540" s="31"/>
      <c r="N1540" s="4"/>
      <c r="AG1540" t="s">
        <v>78</v>
      </c>
      <c r="AM1540" s="1">
        <f t="shared" si="22"/>
        <v>0</v>
      </c>
    </row>
    <row r="1541" spans="1:39" x14ac:dyDescent="0.35">
      <c r="A1541">
        <v>1537</v>
      </c>
      <c r="B1541">
        <v>1538</v>
      </c>
      <c r="F1541" s="63"/>
      <c r="G1541" s="63"/>
      <c r="H1541" t="s">
        <v>78</v>
      </c>
      <c r="I1541" s="64">
        <v>1</v>
      </c>
      <c r="J1541" s="31"/>
      <c r="K1541" s="31"/>
      <c r="L1541" s="31"/>
      <c r="M1541" s="31"/>
      <c r="N1541" s="4"/>
      <c r="AG1541" t="s">
        <v>78</v>
      </c>
      <c r="AM1541" s="1">
        <f t="shared" si="22"/>
        <v>0</v>
      </c>
    </row>
    <row r="1542" spans="1:39" x14ac:dyDescent="0.35">
      <c r="A1542">
        <v>1538</v>
      </c>
      <c r="B1542">
        <v>1539</v>
      </c>
      <c r="F1542" s="63"/>
      <c r="G1542" s="63"/>
      <c r="H1542" t="s">
        <v>78</v>
      </c>
      <c r="I1542" s="64">
        <v>1</v>
      </c>
      <c r="J1542" s="31"/>
      <c r="K1542" s="31"/>
      <c r="L1542" s="31"/>
      <c r="M1542" s="31"/>
      <c r="N1542" s="4"/>
      <c r="AG1542" t="s">
        <v>78</v>
      </c>
      <c r="AM1542" s="1">
        <f t="shared" si="22"/>
        <v>0</v>
      </c>
    </row>
    <row r="1543" spans="1:39" x14ac:dyDescent="0.35">
      <c r="A1543">
        <v>1539</v>
      </c>
      <c r="B1543">
        <v>1540</v>
      </c>
      <c r="F1543" s="63"/>
      <c r="G1543" s="63"/>
      <c r="H1543" t="s">
        <v>78</v>
      </c>
      <c r="I1543" s="64">
        <v>1</v>
      </c>
      <c r="J1543" s="31"/>
      <c r="K1543" s="31"/>
      <c r="L1543" s="31"/>
      <c r="M1543" s="31"/>
      <c r="N1543" s="4"/>
      <c r="AG1543" t="s">
        <v>78</v>
      </c>
      <c r="AM1543" s="1">
        <f t="shared" si="22"/>
        <v>0</v>
      </c>
    </row>
    <row r="1544" spans="1:39" x14ac:dyDescent="0.35">
      <c r="A1544">
        <v>1540</v>
      </c>
      <c r="B1544">
        <v>1541</v>
      </c>
      <c r="F1544" s="63"/>
      <c r="G1544" s="63"/>
      <c r="H1544" t="s">
        <v>78</v>
      </c>
      <c r="I1544" s="64">
        <v>1</v>
      </c>
      <c r="J1544" s="31"/>
      <c r="K1544" s="31"/>
      <c r="L1544" s="31"/>
      <c r="M1544" s="31"/>
      <c r="N1544" s="4"/>
      <c r="AG1544" t="s">
        <v>78</v>
      </c>
      <c r="AM1544" s="1">
        <f t="shared" si="22"/>
        <v>0</v>
      </c>
    </row>
    <row r="1545" spans="1:39" x14ac:dyDescent="0.35">
      <c r="A1545">
        <v>1541</v>
      </c>
      <c r="B1545">
        <v>1542</v>
      </c>
      <c r="F1545" s="63"/>
      <c r="G1545" s="63"/>
      <c r="H1545" t="s">
        <v>78</v>
      </c>
      <c r="I1545" s="64">
        <v>1</v>
      </c>
      <c r="J1545" s="31"/>
      <c r="K1545" s="31"/>
      <c r="L1545" s="31"/>
      <c r="M1545" s="31"/>
      <c r="N1545" s="4"/>
      <c r="AG1545" t="s">
        <v>78</v>
      </c>
      <c r="AM1545" s="1">
        <f t="shared" si="22"/>
        <v>0</v>
      </c>
    </row>
    <row r="1546" spans="1:39" x14ac:dyDescent="0.35">
      <c r="A1546">
        <v>1542</v>
      </c>
      <c r="B1546">
        <v>1543</v>
      </c>
      <c r="F1546" s="63"/>
      <c r="G1546" s="63"/>
      <c r="H1546" t="s">
        <v>78</v>
      </c>
      <c r="I1546" s="64">
        <v>1</v>
      </c>
      <c r="J1546" s="31"/>
      <c r="K1546" s="31"/>
      <c r="L1546" s="31"/>
      <c r="M1546" s="31"/>
      <c r="N1546" s="4"/>
      <c r="AG1546" t="s">
        <v>78</v>
      </c>
      <c r="AM1546" s="1">
        <f t="shared" si="22"/>
        <v>0</v>
      </c>
    </row>
    <row r="1547" spans="1:39" x14ac:dyDescent="0.35">
      <c r="A1547">
        <v>1543</v>
      </c>
      <c r="B1547">
        <v>1544</v>
      </c>
      <c r="F1547" s="63"/>
      <c r="G1547" s="63"/>
      <c r="H1547" t="s">
        <v>78</v>
      </c>
      <c r="I1547" s="64">
        <v>1</v>
      </c>
      <c r="J1547" s="31"/>
      <c r="K1547" s="31"/>
      <c r="L1547" s="31"/>
      <c r="M1547" s="31"/>
      <c r="N1547" s="4"/>
      <c r="AG1547" t="s">
        <v>78</v>
      </c>
      <c r="AM1547" s="1">
        <f t="shared" si="22"/>
        <v>0</v>
      </c>
    </row>
    <row r="1548" spans="1:39" x14ac:dyDescent="0.35">
      <c r="A1548">
        <v>1544</v>
      </c>
      <c r="B1548">
        <v>1545</v>
      </c>
      <c r="F1548" s="63"/>
      <c r="G1548" s="63"/>
      <c r="H1548" t="s">
        <v>78</v>
      </c>
      <c r="I1548" s="64">
        <v>1</v>
      </c>
      <c r="J1548" s="31"/>
      <c r="K1548" s="31"/>
      <c r="L1548" s="31"/>
      <c r="M1548" s="31"/>
      <c r="N1548" s="4"/>
      <c r="AG1548" t="s">
        <v>78</v>
      </c>
      <c r="AM1548" s="1"/>
    </row>
    <row r="1549" spans="1:39" x14ac:dyDescent="0.35">
      <c r="A1549">
        <v>1545</v>
      </c>
      <c r="B1549">
        <v>1546</v>
      </c>
      <c r="F1549" s="63"/>
      <c r="G1549" s="63"/>
      <c r="H1549" t="s">
        <v>78</v>
      </c>
      <c r="I1549" s="64">
        <v>1</v>
      </c>
      <c r="J1549" s="31"/>
      <c r="K1549" s="31"/>
      <c r="L1549" s="31"/>
      <c r="M1549" s="31"/>
      <c r="N1549" s="4"/>
      <c r="AG1549" t="s">
        <v>78</v>
      </c>
      <c r="AM1549" s="1">
        <f t="shared" ref="AM1549:AM1556" si="23">HYPERLINK("E:\CAFNEC_GBRF\2023\JohnstoneRiver\Frames_for_Analysis\" &amp; F1550, F1550)</f>
        <v>0</v>
      </c>
    </row>
    <row r="1550" spans="1:39" x14ac:dyDescent="0.35">
      <c r="A1550">
        <v>1546</v>
      </c>
      <c r="B1550">
        <v>1547</v>
      </c>
      <c r="F1550" s="63"/>
      <c r="G1550" s="63"/>
      <c r="H1550" t="s">
        <v>78</v>
      </c>
      <c r="I1550" s="64">
        <v>1</v>
      </c>
      <c r="J1550" s="31"/>
      <c r="K1550" s="31"/>
      <c r="L1550" s="31"/>
      <c r="M1550" s="31"/>
      <c r="N1550" s="4"/>
      <c r="AG1550" t="s">
        <v>78</v>
      </c>
      <c r="AM1550" s="1">
        <f t="shared" si="23"/>
        <v>0</v>
      </c>
    </row>
    <row r="1551" spans="1:39" x14ac:dyDescent="0.35">
      <c r="A1551">
        <v>1547</v>
      </c>
      <c r="B1551">
        <v>1548</v>
      </c>
      <c r="F1551" s="63"/>
      <c r="G1551" s="63"/>
      <c r="H1551" t="s">
        <v>78</v>
      </c>
      <c r="I1551" s="64">
        <v>1</v>
      </c>
      <c r="J1551" s="31"/>
      <c r="K1551" s="31"/>
      <c r="L1551" s="31"/>
      <c r="M1551" s="31"/>
      <c r="N1551" s="4"/>
      <c r="AG1551" t="s">
        <v>78</v>
      </c>
      <c r="AM1551" s="1">
        <f t="shared" si="23"/>
        <v>0</v>
      </c>
    </row>
    <row r="1552" spans="1:39" x14ac:dyDescent="0.35">
      <c r="A1552">
        <v>1548</v>
      </c>
      <c r="B1552">
        <v>1549</v>
      </c>
      <c r="F1552" s="63"/>
      <c r="G1552" s="63"/>
      <c r="H1552" t="s">
        <v>78</v>
      </c>
      <c r="I1552" s="64">
        <v>1</v>
      </c>
      <c r="J1552" s="31"/>
      <c r="K1552" s="31"/>
      <c r="L1552" s="31"/>
      <c r="M1552" s="31"/>
      <c r="N1552" s="4"/>
      <c r="AG1552" t="s">
        <v>78</v>
      </c>
      <c r="AM1552" s="1">
        <f t="shared" si="23"/>
        <v>0</v>
      </c>
    </row>
    <row r="1553" spans="1:39" x14ac:dyDescent="0.35">
      <c r="A1553">
        <v>1549</v>
      </c>
      <c r="B1553">
        <v>1550</v>
      </c>
      <c r="F1553" s="63"/>
      <c r="G1553" s="63"/>
      <c r="H1553" t="s">
        <v>78</v>
      </c>
      <c r="I1553" s="64">
        <v>1</v>
      </c>
      <c r="J1553" s="31"/>
      <c r="K1553" s="31"/>
      <c r="L1553" s="31"/>
      <c r="M1553" s="31"/>
      <c r="N1553" s="4"/>
      <c r="AG1553" t="s">
        <v>78</v>
      </c>
      <c r="AM1553" s="1">
        <f t="shared" si="23"/>
        <v>0</v>
      </c>
    </row>
    <row r="1554" spans="1:39" x14ac:dyDescent="0.35">
      <c r="A1554">
        <v>1550</v>
      </c>
      <c r="B1554">
        <v>1551</v>
      </c>
      <c r="F1554" s="63"/>
      <c r="G1554" s="63"/>
      <c r="H1554" t="s">
        <v>78</v>
      </c>
      <c r="I1554" s="64">
        <v>1</v>
      </c>
      <c r="J1554" s="31"/>
      <c r="K1554" s="31"/>
      <c r="L1554" s="31"/>
      <c r="M1554" s="31"/>
      <c r="N1554" s="4"/>
      <c r="AG1554" t="s">
        <v>78</v>
      </c>
      <c r="AM1554" s="1">
        <f t="shared" si="23"/>
        <v>0</v>
      </c>
    </row>
    <row r="1555" spans="1:39" x14ac:dyDescent="0.35">
      <c r="A1555">
        <v>1551</v>
      </c>
      <c r="B1555">
        <v>1552</v>
      </c>
      <c r="F1555" s="63"/>
      <c r="G1555" s="63"/>
      <c r="H1555" t="s">
        <v>78</v>
      </c>
      <c r="I1555" s="64">
        <v>1</v>
      </c>
      <c r="J1555" s="31"/>
      <c r="K1555" s="31"/>
      <c r="L1555" s="31"/>
      <c r="M1555" s="31"/>
      <c r="N1555" s="4"/>
      <c r="AG1555" t="s">
        <v>78</v>
      </c>
      <c r="AM1555" s="1">
        <f t="shared" si="23"/>
        <v>0</v>
      </c>
    </row>
    <row r="1556" spans="1:39" x14ac:dyDescent="0.35">
      <c r="A1556">
        <v>1552</v>
      </c>
      <c r="B1556">
        <v>1553</v>
      </c>
      <c r="F1556" s="63"/>
      <c r="G1556" s="63"/>
      <c r="H1556" t="s">
        <v>78</v>
      </c>
      <c r="I1556" s="64">
        <v>1</v>
      </c>
      <c r="J1556" s="31"/>
      <c r="K1556" s="31"/>
      <c r="L1556" s="31"/>
      <c r="M1556" s="31"/>
      <c r="N1556" s="4"/>
      <c r="AG1556" t="s">
        <v>78</v>
      </c>
      <c r="AM1556" s="1">
        <f t="shared" si="23"/>
        <v>0</v>
      </c>
    </row>
    <row r="1557" spans="1:39" x14ac:dyDescent="0.35">
      <c r="A1557">
        <v>1553</v>
      </c>
      <c r="B1557">
        <v>1554</v>
      </c>
      <c r="F1557" s="63"/>
      <c r="G1557" s="63"/>
      <c r="H1557" t="s">
        <v>78</v>
      </c>
      <c r="I1557" s="64">
        <v>1</v>
      </c>
      <c r="J1557" s="31"/>
      <c r="K1557" s="31"/>
      <c r="L1557" s="31"/>
      <c r="M1557" s="31"/>
      <c r="N1557" s="4"/>
      <c r="AG1557" t="s">
        <v>78</v>
      </c>
      <c r="AM1557" s="1"/>
    </row>
    <row r="1558" spans="1:39" x14ac:dyDescent="0.35">
      <c r="A1558">
        <v>1554</v>
      </c>
      <c r="B1558">
        <v>1555</v>
      </c>
      <c r="F1558" s="63"/>
      <c r="G1558" s="63"/>
      <c r="H1558" t="s">
        <v>78</v>
      </c>
      <c r="I1558" s="64">
        <v>1</v>
      </c>
      <c r="J1558" s="31"/>
      <c r="K1558" s="31"/>
      <c r="L1558" s="31"/>
      <c r="M1558" s="31"/>
      <c r="N1558" s="4"/>
      <c r="AG1558" t="s">
        <v>78</v>
      </c>
      <c r="AM1558" s="1"/>
    </row>
    <row r="1559" spans="1:39" x14ac:dyDescent="0.35">
      <c r="A1559">
        <v>1555</v>
      </c>
      <c r="B1559">
        <v>1556</v>
      </c>
      <c r="F1559" s="63"/>
      <c r="G1559" s="63"/>
      <c r="H1559" t="s">
        <v>78</v>
      </c>
      <c r="I1559" s="64">
        <v>1</v>
      </c>
      <c r="J1559" s="31"/>
      <c r="K1559" s="31"/>
      <c r="L1559" s="31"/>
      <c r="M1559" s="31"/>
      <c r="N1559" s="4"/>
      <c r="AG1559" t="s">
        <v>78</v>
      </c>
      <c r="AM1559" s="1">
        <f>HYPERLINK("E:\CAFNEC_GBRF\2023\JohnstoneRiver\Frames_for_Analysis\" &amp; F1560, F1560)</f>
        <v>0</v>
      </c>
    </row>
    <row r="1560" spans="1:39" x14ac:dyDescent="0.35">
      <c r="A1560">
        <v>1556</v>
      </c>
      <c r="B1560">
        <v>1557</v>
      </c>
      <c r="F1560" s="63"/>
      <c r="G1560" s="63"/>
      <c r="H1560" t="s">
        <v>78</v>
      </c>
      <c r="I1560" s="64">
        <v>1</v>
      </c>
      <c r="J1560" s="31"/>
      <c r="K1560" s="31"/>
      <c r="L1560" s="31"/>
      <c r="M1560" s="31"/>
      <c r="N1560" s="4"/>
      <c r="AG1560" t="s">
        <v>78</v>
      </c>
      <c r="AM1560" s="1">
        <f>HYPERLINK("E:\CAFNEC_GBRF\2023\JohnstoneRiver\Frames_for_Analysis\" &amp; F1561, F1561)</f>
        <v>0</v>
      </c>
    </row>
    <row r="1561" spans="1:39" x14ac:dyDescent="0.35">
      <c r="A1561">
        <v>1557</v>
      </c>
      <c r="B1561">
        <v>1558</v>
      </c>
      <c r="F1561" s="63"/>
      <c r="G1561" s="63"/>
      <c r="H1561" t="s">
        <v>78</v>
      </c>
      <c r="I1561" s="64">
        <v>1</v>
      </c>
      <c r="J1561" s="31"/>
      <c r="K1561" s="31"/>
      <c r="L1561" s="31"/>
      <c r="M1561" s="31"/>
      <c r="N1561" s="4"/>
      <c r="AG1561" t="s">
        <v>78</v>
      </c>
      <c r="AM1561" s="1"/>
    </row>
    <row r="1562" spans="1:39" x14ac:dyDescent="0.35">
      <c r="A1562">
        <v>1558</v>
      </c>
      <c r="B1562">
        <v>1559</v>
      </c>
      <c r="F1562" s="63"/>
      <c r="G1562" s="63"/>
      <c r="H1562" t="s">
        <v>78</v>
      </c>
      <c r="I1562" s="64">
        <v>1</v>
      </c>
      <c r="J1562" s="31"/>
      <c r="K1562" s="31"/>
      <c r="L1562" s="31"/>
      <c r="M1562" s="31"/>
      <c r="N1562" s="4"/>
      <c r="AG1562" t="s">
        <v>78</v>
      </c>
      <c r="AM1562" s="1"/>
    </row>
    <row r="1563" spans="1:39" x14ac:dyDescent="0.35">
      <c r="A1563">
        <v>1559</v>
      </c>
      <c r="B1563">
        <v>1560</v>
      </c>
      <c r="F1563" s="63"/>
      <c r="G1563" s="63"/>
      <c r="H1563" t="s">
        <v>78</v>
      </c>
      <c r="I1563" s="64">
        <v>1</v>
      </c>
      <c r="J1563" s="31"/>
      <c r="K1563" s="31"/>
      <c r="L1563" s="31"/>
      <c r="M1563" s="31"/>
      <c r="N1563" s="4"/>
      <c r="AG1563" t="s">
        <v>78</v>
      </c>
      <c r="AM1563" s="1">
        <f>HYPERLINK("E:\CAFNEC_GBRF\2023\JohnstoneRiver\Frames_for_Analysis\" &amp; F1564, F1564)</f>
        <v>0</v>
      </c>
    </row>
    <row r="1564" spans="1:39" x14ac:dyDescent="0.35">
      <c r="A1564">
        <v>1560</v>
      </c>
      <c r="B1564">
        <v>1561</v>
      </c>
      <c r="F1564" s="63"/>
      <c r="G1564" s="63"/>
      <c r="H1564" t="s">
        <v>78</v>
      </c>
      <c r="I1564" s="64">
        <v>1</v>
      </c>
      <c r="J1564" s="31"/>
      <c r="K1564" s="31"/>
      <c r="L1564" s="31"/>
      <c r="M1564" s="31"/>
      <c r="N1564" s="4"/>
      <c r="AG1564" t="s">
        <v>78</v>
      </c>
      <c r="AM1564" s="1"/>
    </row>
    <row r="1565" spans="1:39" x14ac:dyDescent="0.35">
      <c r="A1565">
        <v>1561</v>
      </c>
      <c r="B1565">
        <v>1562</v>
      </c>
      <c r="F1565" s="63"/>
      <c r="G1565" s="63"/>
      <c r="H1565" t="s">
        <v>78</v>
      </c>
      <c r="I1565" s="64">
        <v>1</v>
      </c>
      <c r="J1565" s="31"/>
      <c r="K1565" s="31"/>
      <c r="L1565" s="31"/>
      <c r="M1565" s="31"/>
      <c r="N1565" s="4"/>
      <c r="AG1565" t="s">
        <v>78</v>
      </c>
      <c r="AM1565" s="1"/>
    </row>
    <row r="1566" spans="1:39" x14ac:dyDescent="0.35">
      <c r="A1566">
        <v>1562</v>
      </c>
      <c r="B1566">
        <v>1563</v>
      </c>
      <c r="F1566" s="63"/>
      <c r="G1566" s="63"/>
      <c r="H1566" t="s">
        <v>78</v>
      </c>
      <c r="I1566" s="64">
        <v>1</v>
      </c>
      <c r="J1566" s="31"/>
      <c r="K1566" s="31"/>
      <c r="L1566" s="31"/>
      <c r="M1566" s="31"/>
      <c r="N1566" s="4"/>
      <c r="AG1566" t="s">
        <v>78</v>
      </c>
      <c r="AM1566" s="1"/>
    </row>
    <row r="1567" spans="1:39" x14ac:dyDescent="0.35">
      <c r="A1567">
        <v>1563</v>
      </c>
      <c r="B1567">
        <v>1564</v>
      </c>
      <c r="F1567" s="63"/>
      <c r="G1567" s="63"/>
      <c r="H1567" t="s">
        <v>78</v>
      </c>
      <c r="I1567" s="64">
        <v>1</v>
      </c>
      <c r="J1567" s="31"/>
      <c r="K1567" s="31"/>
      <c r="L1567" s="31"/>
      <c r="M1567" s="31"/>
      <c r="N1567" s="4"/>
      <c r="AG1567" t="s">
        <v>78</v>
      </c>
      <c r="AM1567" s="1"/>
    </row>
    <row r="1568" spans="1:39" x14ac:dyDescent="0.35">
      <c r="A1568">
        <v>1564</v>
      </c>
      <c r="B1568">
        <v>1565</v>
      </c>
      <c r="F1568" s="63"/>
      <c r="G1568" s="63"/>
      <c r="H1568" t="s">
        <v>78</v>
      </c>
      <c r="I1568" s="64">
        <v>1</v>
      </c>
      <c r="J1568" s="31"/>
      <c r="K1568" s="31"/>
      <c r="L1568" s="31"/>
      <c r="M1568" s="31"/>
      <c r="N1568" s="4"/>
      <c r="AG1568" t="s">
        <v>78</v>
      </c>
      <c r="AM1568" s="1"/>
    </row>
    <row r="1569" spans="1:39" x14ac:dyDescent="0.35">
      <c r="A1569">
        <v>1565</v>
      </c>
      <c r="B1569">
        <v>1566</v>
      </c>
      <c r="F1569" s="63"/>
      <c r="G1569" s="63"/>
      <c r="H1569" t="s">
        <v>78</v>
      </c>
      <c r="I1569" s="64">
        <v>1</v>
      </c>
      <c r="J1569" s="31"/>
      <c r="K1569" s="31"/>
      <c r="L1569" s="31"/>
      <c r="M1569" s="31"/>
      <c r="N1569" s="4"/>
      <c r="AG1569" t="s">
        <v>78</v>
      </c>
      <c r="AM1569" s="1">
        <f>HYPERLINK("E:\CAFNEC_GBRF\2023\JohnstoneRiver\Frames_for_Analysis\" &amp; F1570, F1570)</f>
        <v>0</v>
      </c>
    </row>
    <row r="1570" spans="1:39" x14ac:dyDescent="0.35">
      <c r="A1570">
        <v>1566</v>
      </c>
      <c r="B1570">
        <v>1567</v>
      </c>
      <c r="F1570" s="63"/>
      <c r="G1570" s="63"/>
      <c r="H1570" t="s">
        <v>78</v>
      </c>
      <c r="I1570" s="64">
        <v>1</v>
      </c>
      <c r="J1570" s="31"/>
      <c r="K1570" s="31"/>
      <c r="L1570" s="31"/>
      <c r="M1570" s="31"/>
      <c r="N1570" s="4"/>
      <c r="AG1570" t="s">
        <v>78</v>
      </c>
      <c r="AM1570" s="1"/>
    </row>
    <row r="1571" spans="1:39" x14ac:dyDescent="0.35">
      <c r="A1571">
        <v>1567</v>
      </c>
      <c r="B1571">
        <v>1568</v>
      </c>
      <c r="F1571" s="63"/>
      <c r="G1571" s="63"/>
      <c r="H1571" t="s">
        <v>78</v>
      </c>
      <c r="I1571" s="64">
        <v>1</v>
      </c>
      <c r="J1571" s="31"/>
      <c r="K1571" s="31"/>
      <c r="L1571" s="31"/>
      <c r="M1571" s="31"/>
      <c r="N1571" s="4"/>
      <c r="AG1571" t="s">
        <v>78</v>
      </c>
      <c r="AM1571" s="1"/>
    </row>
    <row r="1572" spans="1:39" x14ac:dyDescent="0.35">
      <c r="A1572">
        <v>1568</v>
      </c>
      <c r="B1572">
        <v>1569</v>
      </c>
      <c r="F1572" s="63"/>
      <c r="G1572" s="63"/>
      <c r="H1572" t="s">
        <v>78</v>
      </c>
      <c r="I1572" s="64">
        <v>1</v>
      </c>
      <c r="J1572" s="31"/>
      <c r="K1572" s="31"/>
      <c r="L1572" s="31"/>
      <c r="M1572" s="31"/>
      <c r="N1572" s="4"/>
      <c r="AG1572" t="s">
        <v>78</v>
      </c>
      <c r="AM1572" s="1"/>
    </row>
    <row r="1573" spans="1:39" x14ac:dyDescent="0.35">
      <c r="A1573">
        <v>1569</v>
      </c>
      <c r="B1573">
        <v>1570</v>
      </c>
      <c r="F1573" s="63"/>
      <c r="G1573" s="63"/>
      <c r="H1573" t="s">
        <v>78</v>
      </c>
      <c r="I1573" s="64">
        <v>1</v>
      </c>
      <c r="J1573" s="31"/>
      <c r="K1573" s="31"/>
      <c r="L1573" s="31"/>
      <c r="M1573" s="31"/>
      <c r="N1573" s="4"/>
      <c r="AG1573" t="s">
        <v>78</v>
      </c>
      <c r="AM1573" s="1"/>
    </row>
    <row r="1574" spans="1:39" x14ac:dyDescent="0.35">
      <c r="A1574">
        <v>1570</v>
      </c>
      <c r="B1574">
        <v>1571</v>
      </c>
      <c r="F1574" s="63"/>
      <c r="G1574" s="63"/>
      <c r="H1574" t="s">
        <v>78</v>
      </c>
      <c r="I1574" s="64">
        <v>1</v>
      </c>
      <c r="J1574" s="31"/>
      <c r="K1574" s="31"/>
      <c r="L1574" s="31"/>
      <c r="M1574" s="31"/>
      <c r="N1574" s="4"/>
      <c r="AG1574" t="s">
        <v>78</v>
      </c>
      <c r="AM1574" s="1"/>
    </row>
    <row r="1575" spans="1:39" x14ac:dyDescent="0.35">
      <c r="A1575">
        <v>1571</v>
      </c>
      <c r="B1575">
        <v>1572</v>
      </c>
      <c r="F1575" s="63"/>
      <c r="G1575" s="63"/>
      <c r="H1575" t="s">
        <v>78</v>
      </c>
      <c r="I1575" s="64">
        <v>1</v>
      </c>
      <c r="J1575" s="31"/>
      <c r="K1575" s="31"/>
      <c r="L1575" s="31"/>
      <c r="M1575" s="31"/>
      <c r="N1575" s="4"/>
      <c r="AG1575" t="s">
        <v>78</v>
      </c>
      <c r="AM1575" s="1"/>
    </row>
    <row r="1576" spans="1:39" x14ac:dyDescent="0.35">
      <c r="A1576">
        <v>1572</v>
      </c>
      <c r="B1576">
        <v>1573</v>
      </c>
      <c r="F1576" s="63"/>
      <c r="G1576" s="63"/>
      <c r="H1576" t="s">
        <v>78</v>
      </c>
      <c r="I1576" s="64">
        <v>1</v>
      </c>
      <c r="J1576" s="31"/>
      <c r="K1576" s="31"/>
      <c r="L1576" s="31"/>
      <c r="M1576" s="31"/>
      <c r="N1576" s="4"/>
      <c r="AG1576" t="s">
        <v>78</v>
      </c>
      <c r="AM1576" s="1"/>
    </row>
    <row r="1577" spans="1:39" x14ac:dyDescent="0.35">
      <c r="A1577">
        <v>1573</v>
      </c>
      <c r="B1577">
        <v>1574</v>
      </c>
      <c r="F1577" s="63"/>
      <c r="G1577" s="63"/>
      <c r="H1577" t="s">
        <v>78</v>
      </c>
      <c r="I1577" s="64">
        <v>1</v>
      </c>
      <c r="J1577" s="31"/>
      <c r="K1577" s="31"/>
      <c r="L1577" s="31"/>
      <c r="M1577" s="31"/>
      <c r="N1577" s="4"/>
      <c r="AG1577" t="s">
        <v>78</v>
      </c>
      <c r="AM1577" s="1"/>
    </row>
    <row r="1578" spans="1:39" x14ac:dyDescent="0.35">
      <c r="A1578">
        <v>1574</v>
      </c>
      <c r="B1578">
        <v>1575</v>
      </c>
      <c r="F1578" s="63"/>
      <c r="G1578" s="63"/>
      <c r="H1578" t="s">
        <v>78</v>
      </c>
      <c r="I1578" s="64">
        <v>1</v>
      </c>
      <c r="J1578" s="31"/>
      <c r="K1578" s="31"/>
      <c r="L1578" s="31"/>
      <c r="M1578" s="31"/>
      <c r="N1578" s="4"/>
      <c r="AG1578" t="s">
        <v>78</v>
      </c>
      <c r="AM1578" s="1"/>
    </row>
    <row r="1579" spans="1:39" x14ac:dyDescent="0.35">
      <c r="A1579">
        <v>1575</v>
      </c>
      <c r="B1579">
        <v>1576</v>
      </c>
      <c r="F1579" s="63"/>
      <c r="G1579" s="63"/>
      <c r="H1579" t="s">
        <v>78</v>
      </c>
      <c r="I1579" s="64">
        <v>1</v>
      </c>
      <c r="J1579" s="31"/>
      <c r="K1579" s="31"/>
      <c r="L1579" s="31"/>
      <c r="M1579" s="31"/>
      <c r="N1579" s="4"/>
      <c r="AG1579" t="s">
        <v>78</v>
      </c>
      <c r="AM1579" s="1"/>
    </row>
    <row r="1580" spans="1:39" x14ac:dyDescent="0.35">
      <c r="A1580">
        <v>1576</v>
      </c>
      <c r="B1580">
        <v>1577</v>
      </c>
      <c r="F1580" s="63"/>
      <c r="G1580" s="63"/>
      <c r="H1580" t="s">
        <v>78</v>
      </c>
      <c r="I1580" s="64">
        <v>1</v>
      </c>
      <c r="J1580" s="31"/>
      <c r="K1580" s="31"/>
      <c r="L1580" s="31"/>
      <c r="M1580" s="31"/>
      <c r="N1580" s="4"/>
      <c r="AG1580" t="s">
        <v>78</v>
      </c>
      <c r="AM1580" s="1"/>
    </row>
    <row r="1581" spans="1:39" x14ac:dyDescent="0.35">
      <c r="A1581">
        <v>1577</v>
      </c>
      <c r="B1581">
        <v>1578</v>
      </c>
      <c r="F1581" s="63"/>
      <c r="G1581" s="63"/>
      <c r="H1581" t="s">
        <v>78</v>
      </c>
      <c r="I1581" s="64">
        <v>1</v>
      </c>
      <c r="J1581" s="31"/>
      <c r="K1581" s="31"/>
      <c r="L1581" s="31"/>
      <c r="M1581" s="31"/>
      <c r="N1581" s="4"/>
      <c r="AG1581" t="s">
        <v>78</v>
      </c>
      <c r="AM1581" s="1"/>
    </row>
    <row r="1582" spans="1:39" x14ac:dyDescent="0.35">
      <c r="A1582">
        <v>1578</v>
      </c>
      <c r="B1582">
        <v>1579</v>
      </c>
      <c r="F1582" s="63"/>
      <c r="G1582" s="63"/>
      <c r="H1582" t="s">
        <v>78</v>
      </c>
      <c r="I1582" s="64">
        <v>1</v>
      </c>
      <c r="J1582" s="31"/>
      <c r="K1582" s="31"/>
      <c r="L1582" s="31"/>
      <c r="M1582" s="31"/>
      <c r="N1582" s="4"/>
      <c r="AG1582" t="s">
        <v>78</v>
      </c>
      <c r="AM1582" s="1"/>
    </row>
    <row r="1583" spans="1:39" x14ac:dyDescent="0.35">
      <c r="A1583">
        <v>1579</v>
      </c>
      <c r="B1583">
        <v>1580</v>
      </c>
      <c r="F1583" s="63"/>
      <c r="G1583" s="63"/>
      <c r="H1583" t="s">
        <v>78</v>
      </c>
      <c r="I1583" s="64">
        <v>1</v>
      </c>
      <c r="J1583" s="31"/>
      <c r="K1583" s="31"/>
      <c r="L1583" s="31"/>
      <c r="M1583" s="31"/>
      <c r="N1583" s="4"/>
      <c r="AG1583" t="s">
        <v>78</v>
      </c>
      <c r="AM1583" s="1"/>
    </row>
    <row r="1584" spans="1:39" x14ac:dyDescent="0.35">
      <c r="A1584">
        <v>1580</v>
      </c>
      <c r="B1584">
        <v>1581</v>
      </c>
      <c r="F1584" s="63"/>
      <c r="G1584" s="63"/>
      <c r="H1584" t="s">
        <v>78</v>
      </c>
      <c r="I1584" s="64">
        <v>1</v>
      </c>
      <c r="J1584" s="31"/>
      <c r="K1584" s="31"/>
      <c r="L1584" s="31"/>
      <c r="M1584" s="31"/>
      <c r="N1584" s="4"/>
      <c r="AG1584" t="s">
        <v>78</v>
      </c>
      <c r="AM1584" s="1"/>
    </row>
    <row r="1585" spans="1:39" x14ac:dyDescent="0.35">
      <c r="A1585">
        <v>1581</v>
      </c>
      <c r="B1585">
        <v>1582</v>
      </c>
      <c r="F1585" s="63"/>
      <c r="G1585" s="63"/>
      <c r="H1585" t="s">
        <v>78</v>
      </c>
      <c r="I1585" s="64">
        <v>1</v>
      </c>
      <c r="J1585" s="31"/>
      <c r="K1585" s="31"/>
      <c r="L1585" s="31"/>
      <c r="M1585" s="31"/>
      <c r="N1585" s="4"/>
      <c r="AG1585" t="s">
        <v>78</v>
      </c>
      <c r="AM1585" s="1"/>
    </row>
    <row r="1586" spans="1:39" x14ac:dyDescent="0.35">
      <c r="A1586">
        <v>1582</v>
      </c>
      <c r="B1586">
        <v>1583</v>
      </c>
      <c r="F1586" s="63"/>
      <c r="G1586" s="63"/>
      <c r="H1586" t="s">
        <v>78</v>
      </c>
      <c r="I1586" s="64">
        <v>1</v>
      </c>
      <c r="J1586" s="31"/>
      <c r="K1586" s="31"/>
      <c r="L1586" s="31"/>
      <c r="M1586" s="31"/>
      <c r="N1586" s="4"/>
      <c r="AG1586" t="s">
        <v>78</v>
      </c>
      <c r="AM1586" s="1"/>
    </row>
    <row r="1587" spans="1:39" x14ac:dyDescent="0.35">
      <c r="A1587">
        <v>1583</v>
      </c>
      <c r="B1587">
        <v>1584</v>
      </c>
      <c r="F1587" s="63"/>
      <c r="G1587" s="63"/>
      <c r="H1587" t="s">
        <v>78</v>
      </c>
      <c r="I1587" s="64">
        <v>1</v>
      </c>
      <c r="J1587" s="31"/>
      <c r="K1587" s="31"/>
      <c r="L1587" s="31"/>
      <c r="M1587" s="31"/>
      <c r="N1587" s="4"/>
      <c r="AG1587" t="s">
        <v>78</v>
      </c>
      <c r="AM1587" s="1"/>
    </row>
    <row r="1588" spans="1:39" x14ac:dyDescent="0.35">
      <c r="A1588">
        <v>1584</v>
      </c>
      <c r="B1588">
        <v>1585</v>
      </c>
      <c r="F1588" s="63"/>
      <c r="G1588" s="63"/>
      <c r="H1588" t="s">
        <v>78</v>
      </c>
      <c r="I1588" s="64">
        <v>1</v>
      </c>
      <c r="J1588" s="31"/>
      <c r="K1588" s="31"/>
      <c r="L1588" s="31"/>
      <c r="M1588" s="31"/>
      <c r="N1588" s="4"/>
      <c r="AG1588" t="s">
        <v>78</v>
      </c>
      <c r="AM1588" s="1"/>
    </row>
    <row r="1589" spans="1:39" x14ac:dyDescent="0.35">
      <c r="A1589">
        <v>1585</v>
      </c>
      <c r="B1589">
        <v>1586</v>
      </c>
      <c r="F1589" s="63"/>
      <c r="G1589" s="63"/>
      <c r="H1589" t="s">
        <v>78</v>
      </c>
      <c r="I1589" s="64">
        <v>1</v>
      </c>
      <c r="J1589" s="31"/>
      <c r="K1589" s="31"/>
      <c r="L1589" s="31"/>
      <c r="M1589" s="31"/>
      <c r="N1589" s="4"/>
      <c r="AG1589" t="s">
        <v>78</v>
      </c>
      <c r="AM1589" s="1"/>
    </row>
    <row r="1590" spans="1:39" x14ac:dyDescent="0.35">
      <c r="A1590">
        <v>1586</v>
      </c>
      <c r="B1590">
        <v>1587</v>
      </c>
      <c r="F1590" s="63"/>
      <c r="G1590" s="63"/>
      <c r="H1590" t="s">
        <v>78</v>
      </c>
      <c r="I1590" s="64">
        <v>1</v>
      </c>
      <c r="J1590" s="31"/>
      <c r="K1590" s="31"/>
      <c r="L1590" s="31"/>
      <c r="M1590" s="31"/>
      <c r="N1590" s="4"/>
      <c r="AG1590" t="s">
        <v>78</v>
      </c>
      <c r="AM1590" s="1"/>
    </row>
    <row r="1591" spans="1:39" x14ac:dyDescent="0.35">
      <c r="A1591">
        <v>1587</v>
      </c>
      <c r="B1591">
        <v>1588</v>
      </c>
      <c r="F1591" s="63"/>
      <c r="G1591" s="63"/>
      <c r="H1591" t="s">
        <v>78</v>
      </c>
      <c r="I1591" s="64">
        <v>1</v>
      </c>
      <c r="J1591" s="31"/>
      <c r="K1591" s="31"/>
      <c r="L1591" s="31"/>
      <c r="M1591" s="31"/>
      <c r="N1591" s="4"/>
      <c r="AG1591" t="s">
        <v>78</v>
      </c>
      <c r="AM1591" s="1"/>
    </row>
    <row r="1592" spans="1:39" x14ac:dyDescent="0.35">
      <c r="A1592">
        <v>1588</v>
      </c>
      <c r="B1592">
        <v>1589</v>
      </c>
      <c r="F1592" s="63"/>
      <c r="G1592" s="63"/>
      <c r="H1592" t="s">
        <v>78</v>
      </c>
      <c r="I1592" s="64">
        <v>1</v>
      </c>
      <c r="J1592" s="31"/>
      <c r="K1592" s="31"/>
      <c r="L1592" s="31"/>
      <c r="M1592" s="31"/>
      <c r="N1592" s="4"/>
      <c r="AG1592" t="s">
        <v>78</v>
      </c>
      <c r="AM1592" s="1"/>
    </row>
    <row r="1593" spans="1:39" x14ac:dyDescent="0.35">
      <c r="A1593">
        <v>1589</v>
      </c>
      <c r="B1593">
        <v>1590</v>
      </c>
      <c r="F1593" s="63"/>
      <c r="G1593" s="63"/>
      <c r="H1593" t="s">
        <v>78</v>
      </c>
      <c r="I1593" s="64">
        <v>1</v>
      </c>
      <c r="J1593" s="31"/>
      <c r="K1593" s="31"/>
      <c r="L1593" s="31"/>
      <c r="M1593" s="31"/>
      <c r="N1593" s="4"/>
      <c r="AG1593" t="s">
        <v>78</v>
      </c>
      <c r="AM1593" s="1"/>
    </row>
    <row r="1594" spans="1:39" x14ac:dyDescent="0.35">
      <c r="A1594">
        <v>1590</v>
      </c>
      <c r="B1594">
        <v>1591</v>
      </c>
      <c r="F1594" s="63"/>
      <c r="G1594" s="63"/>
      <c r="H1594" t="s">
        <v>78</v>
      </c>
      <c r="I1594" s="64">
        <v>1</v>
      </c>
      <c r="J1594" s="31"/>
      <c r="K1594" s="31"/>
      <c r="L1594" s="31"/>
      <c r="M1594" s="31"/>
      <c r="N1594" s="4"/>
      <c r="AG1594" t="s">
        <v>78</v>
      </c>
      <c r="AM1594" s="1"/>
    </row>
    <row r="1595" spans="1:39" x14ac:dyDescent="0.35">
      <c r="A1595">
        <v>1591</v>
      </c>
      <c r="B1595">
        <v>1592</v>
      </c>
      <c r="F1595" s="63"/>
      <c r="G1595" s="63"/>
      <c r="H1595" t="s">
        <v>78</v>
      </c>
      <c r="I1595" s="64">
        <v>1</v>
      </c>
      <c r="J1595" s="31"/>
      <c r="K1595" s="31"/>
      <c r="L1595" s="31"/>
      <c r="M1595" s="31"/>
      <c r="N1595" s="4"/>
      <c r="AG1595" t="s">
        <v>78</v>
      </c>
      <c r="AM1595" s="1"/>
    </row>
    <row r="1596" spans="1:39" x14ac:dyDescent="0.35">
      <c r="A1596">
        <v>1592</v>
      </c>
      <c r="B1596">
        <v>1593</v>
      </c>
      <c r="F1596" s="63"/>
      <c r="G1596" s="63"/>
      <c r="H1596" t="s">
        <v>78</v>
      </c>
      <c r="I1596" s="64">
        <v>1</v>
      </c>
      <c r="J1596" s="31"/>
      <c r="K1596" s="31"/>
      <c r="L1596" s="31"/>
      <c r="M1596" s="31"/>
      <c r="N1596" s="4"/>
      <c r="AG1596" t="s">
        <v>78</v>
      </c>
      <c r="AM1596" s="1"/>
    </row>
    <row r="1597" spans="1:39" x14ac:dyDescent="0.35">
      <c r="A1597">
        <v>1593</v>
      </c>
      <c r="B1597">
        <v>1594</v>
      </c>
      <c r="F1597" s="63"/>
      <c r="G1597" s="63"/>
      <c r="H1597" t="s">
        <v>78</v>
      </c>
      <c r="I1597" s="64">
        <v>1</v>
      </c>
      <c r="J1597" s="31"/>
      <c r="K1597" s="31"/>
      <c r="L1597" s="31"/>
      <c r="M1597" s="31"/>
      <c r="N1597" s="4"/>
      <c r="AG1597" t="s">
        <v>78</v>
      </c>
      <c r="AM1597" s="1"/>
    </row>
    <row r="1598" spans="1:39" x14ac:dyDescent="0.35">
      <c r="A1598">
        <v>1594</v>
      </c>
      <c r="B1598">
        <v>1595</v>
      </c>
      <c r="F1598" s="63"/>
      <c r="G1598" s="63"/>
      <c r="H1598" t="s">
        <v>78</v>
      </c>
      <c r="I1598" s="64">
        <v>1</v>
      </c>
      <c r="J1598" s="31"/>
      <c r="K1598" s="31"/>
      <c r="L1598" s="31"/>
      <c r="M1598" s="31"/>
      <c r="N1598" s="4"/>
      <c r="AG1598" t="s">
        <v>78</v>
      </c>
      <c r="AM1598" s="1"/>
    </row>
    <row r="1599" spans="1:39" x14ac:dyDescent="0.35">
      <c r="A1599">
        <v>1595</v>
      </c>
      <c r="B1599">
        <v>1596</v>
      </c>
      <c r="F1599" s="63"/>
      <c r="G1599" s="63"/>
      <c r="H1599" t="s">
        <v>78</v>
      </c>
      <c r="I1599" s="64">
        <v>1</v>
      </c>
      <c r="J1599" s="31"/>
      <c r="K1599" s="31"/>
      <c r="L1599" s="31"/>
      <c r="M1599" s="31"/>
      <c r="N1599" s="4"/>
      <c r="AG1599" t="s">
        <v>78</v>
      </c>
      <c r="AM1599" s="1"/>
    </row>
    <row r="1600" spans="1:39" x14ac:dyDescent="0.35">
      <c r="A1600">
        <v>1596</v>
      </c>
      <c r="B1600">
        <v>1597</v>
      </c>
      <c r="F1600" s="63"/>
      <c r="G1600" s="63"/>
      <c r="H1600" t="s">
        <v>78</v>
      </c>
      <c r="I1600" s="64">
        <v>1</v>
      </c>
      <c r="J1600" s="31"/>
      <c r="K1600" s="31"/>
      <c r="L1600" s="31"/>
      <c r="M1600" s="31"/>
      <c r="N1600" s="4"/>
      <c r="AG1600" t="s">
        <v>78</v>
      </c>
      <c r="AM1600" s="1"/>
    </row>
    <row r="1601" spans="1:39" x14ac:dyDescent="0.35">
      <c r="A1601">
        <v>1597</v>
      </c>
      <c r="B1601">
        <v>1598</v>
      </c>
      <c r="F1601" s="63"/>
      <c r="G1601" s="63"/>
      <c r="H1601" t="s">
        <v>78</v>
      </c>
      <c r="I1601" s="64">
        <v>1</v>
      </c>
      <c r="J1601" s="31"/>
      <c r="K1601" s="31"/>
      <c r="L1601" s="31"/>
      <c r="M1601" s="31"/>
      <c r="N1601" s="4"/>
      <c r="AG1601" t="s">
        <v>78</v>
      </c>
      <c r="AM1601" s="1"/>
    </row>
    <row r="1602" spans="1:39" x14ac:dyDescent="0.35">
      <c r="A1602">
        <v>1598</v>
      </c>
      <c r="B1602">
        <v>1599</v>
      </c>
      <c r="F1602" s="63"/>
      <c r="G1602" s="63"/>
      <c r="H1602" t="s">
        <v>78</v>
      </c>
      <c r="I1602" s="64">
        <v>1</v>
      </c>
      <c r="J1602" s="31"/>
      <c r="K1602" s="31"/>
      <c r="L1602" s="31"/>
      <c r="M1602" s="31"/>
      <c r="N1602" s="4"/>
      <c r="AG1602" t="s">
        <v>78</v>
      </c>
      <c r="AM1602" s="1"/>
    </row>
    <row r="1603" spans="1:39" x14ac:dyDescent="0.35">
      <c r="A1603">
        <v>1599</v>
      </c>
      <c r="B1603">
        <v>1600</v>
      </c>
      <c r="F1603" s="63"/>
      <c r="G1603" s="63"/>
      <c r="H1603" t="s">
        <v>78</v>
      </c>
      <c r="I1603" s="64">
        <v>1</v>
      </c>
      <c r="J1603" s="31"/>
      <c r="K1603" s="31"/>
      <c r="L1603" s="31"/>
      <c r="M1603" s="31"/>
      <c r="N1603" s="4"/>
      <c r="AG1603" t="s">
        <v>78</v>
      </c>
      <c r="AM1603" s="1"/>
    </row>
    <row r="1604" spans="1:39" x14ac:dyDescent="0.35">
      <c r="A1604">
        <v>1600</v>
      </c>
      <c r="B1604">
        <v>1601</v>
      </c>
      <c r="F1604" s="63"/>
      <c r="G1604" s="63"/>
      <c r="H1604" t="s">
        <v>78</v>
      </c>
      <c r="I1604" s="64">
        <v>1</v>
      </c>
      <c r="J1604" s="31"/>
      <c r="K1604" s="31"/>
      <c r="L1604" s="31"/>
      <c r="M1604" s="31"/>
      <c r="N1604" s="4"/>
      <c r="AG1604" t="s">
        <v>78</v>
      </c>
      <c r="AM1604" s="1"/>
    </row>
    <row r="1605" spans="1:39" x14ac:dyDescent="0.35">
      <c r="A1605">
        <v>1601</v>
      </c>
      <c r="B1605">
        <v>1602</v>
      </c>
      <c r="F1605" s="63"/>
      <c r="G1605" s="63"/>
      <c r="H1605" t="s">
        <v>78</v>
      </c>
      <c r="I1605" s="64">
        <v>1</v>
      </c>
      <c r="J1605" s="31"/>
      <c r="K1605" s="31"/>
      <c r="L1605" s="31"/>
      <c r="M1605" s="31"/>
      <c r="N1605" s="4"/>
      <c r="AG1605" t="s">
        <v>78</v>
      </c>
      <c r="AM1605" s="1"/>
    </row>
    <row r="1606" spans="1:39" x14ac:dyDescent="0.35">
      <c r="A1606">
        <v>1602</v>
      </c>
      <c r="B1606">
        <v>1603</v>
      </c>
      <c r="F1606" s="63"/>
      <c r="G1606" s="63"/>
      <c r="H1606" t="s">
        <v>78</v>
      </c>
      <c r="I1606" s="64">
        <v>1</v>
      </c>
      <c r="J1606" s="31"/>
      <c r="K1606" s="31"/>
      <c r="L1606" s="31"/>
      <c r="M1606" s="31"/>
      <c r="N1606" s="4"/>
      <c r="AG1606" t="s">
        <v>78</v>
      </c>
      <c r="AM1606" s="1"/>
    </row>
    <row r="1607" spans="1:39" x14ac:dyDescent="0.35">
      <c r="A1607">
        <v>1603</v>
      </c>
      <c r="B1607">
        <v>1604</v>
      </c>
      <c r="F1607" s="63"/>
      <c r="G1607" s="63"/>
      <c r="H1607" t="s">
        <v>78</v>
      </c>
      <c r="I1607" s="64">
        <v>1</v>
      </c>
      <c r="J1607" s="31"/>
      <c r="K1607" s="31"/>
      <c r="L1607" s="31"/>
      <c r="M1607" s="31"/>
      <c r="N1607" s="4"/>
      <c r="AG1607" t="s">
        <v>78</v>
      </c>
      <c r="AM1607" s="1"/>
    </row>
    <row r="1608" spans="1:39" x14ac:dyDescent="0.35">
      <c r="A1608">
        <v>1604</v>
      </c>
      <c r="B1608">
        <v>1605</v>
      </c>
      <c r="F1608" s="63"/>
      <c r="G1608" s="63"/>
      <c r="H1608" t="s">
        <v>78</v>
      </c>
      <c r="I1608" s="64">
        <v>1</v>
      </c>
      <c r="J1608" s="31"/>
      <c r="K1608" s="31"/>
      <c r="L1608" s="31"/>
      <c r="M1608" s="31"/>
      <c r="N1608" s="4"/>
      <c r="AG1608" t="s">
        <v>78</v>
      </c>
      <c r="AM1608" s="1"/>
    </row>
    <row r="1609" spans="1:39" x14ac:dyDescent="0.35">
      <c r="A1609">
        <v>1605</v>
      </c>
      <c r="B1609">
        <v>1606</v>
      </c>
      <c r="F1609" s="63"/>
      <c r="G1609" s="63"/>
      <c r="H1609" t="s">
        <v>78</v>
      </c>
      <c r="I1609" s="64">
        <v>1</v>
      </c>
      <c r="J1609" s="31"/>
      <c r="K1609" s="31"/>
      <c r="L1609" s="31"/>
      <c r="M1609" s="31"/>
      <c r="N1609" s="4"/>
      <c r="AG1609" t="s">
        <v>78</v>
      </c>
      <c r="AM1609" s="1"/>
    </row>
    <row r="1610" spans="1:39" x14ac:dyDescent="0.35">
      <c r="A1610">
        <v>1606</v>
      </c>
      <c r="B1610">
        <v>1607</v>
      </c>
      <c r="F1610" s="63"/>
      <c r="G1610" s="63"/>
      <c r="H1610" t="s">
        <v>78</v>
      </c>
      <c r="I1610" s="64">
        <v>1</v>
      </c>
      <c r="J1610" s="31"/>
      <c r="K1610" s="31"/>
      <c r="L1610" s="31"/>
      <c r="M1610" s="31"/>
      <c r="N1610" s="4"/>
      <c r="AG1610" t="s">
        <v>78</v>
      </c>
      <c r="AM1610" s="1"/>
    </row>
    <row r="1611" spans="1:39" x14ac:dyDescent="0.35">
      <c r="A1611">
        <v>1607</v>
      </c>
      <c r="B1611">
        <v>1608</v>
      </c>
      <c r="F1611" s="63"/>
      <c r="G1611" s="63"/>
      <c r="H1611" t="s">
        <v>78</v>
      </c>
      <c r="I1611" s="64">
        <v>1</v>
      </c>
      <c r="J1611" s="31"/>
      <c r="K1611" s="31"/>
      <c r="L1611" s="31"/>
      <c r="M1611" s="31"/>
      <c r="N1611" s="4"/>
      <c r="AG1611" t="s">
        <v>78</v>
      </c>
      <c r="AM1611" s="1"/>
    </row>
    <row r="1612" spans="1:39" x14ac:dyDescent="0.35">
      <c r="A1612">
        <v>1608</v>
      </c>
      <c r="B1612">
        <v>1609</v>
      </c>
      <c r="F1612" s="63"/>
      <c r="G1612" s="63"/>
      <c r="H1612" t="s">
        <v>78</v>
      </c>
      <c r="I1612" s="64">
        <v>1</v>
      </c>
      <c r="J1612" s="31"/>
      <c r="K1612" s="31"/>
      <c r="L1612" s="31"/>
      <c r="M1612" s="31"/>
      <c r="N1612" s="4"/>
      <c r="AG1612" t="s">
        <v>78</v>
      </c>
      <c r="AM1612" s="1"/>
    </row>
    <row r="1613" spans="1:39" x14ac:dyDescent="0.35">
      <c r="A1613">
        <v>1609</v>
      </c>
      <c r="B1613">
        <v>1610</v>
      </c>
      <c r="F1613" s="63"/>
      <c r="G1613" s="63"/>
      <c r="H1613" t="s">
        <v>78</v>
      </c>
      <c r="I1613" s="64">
        <v>1</v>
      </c>
      <c r="J1613" s="31"/>
      <c r="K1613" s="31"/>
      <c r="L1613" s="31"/>
      <c r="M1613" s="31"/>
      <c r="N1613" s="4"/>
      <c r="AG1613" t="s">
        <v>78</v>
      </c>
      <c r="AM1613" s="1"/>
    </row>
    <row r="1614" spans="1:39" x14ac:dyDescent="0.35">
      <c r="A1614">
        <v>1610</v>
      </c>
      <c r="B1614">
        <v>1611</v>
      </c>
      <c r="F1614" s="63"/>
      <c r="G1614" s="63"/>
      <c r="H1614" t="s">
        <v>78</v>
      </c>
      <c r="I1614" s="64">
        <v>1</v>
      </c>
      <c r="J1614" s="31"/>
      <c r="K1614" s="31"/>
      <c r="L1614" s="31"/>
      <c r="M1614" s="31"/>
      <c r="N1614" s="4"/>
      <c r="AG1614" t="s">
        <v>78</v>
      </c>
      <c r="AM1614" s="1"/>
    </row>
    <row r="1615" spans="1:39" x14ac:dyDescent="0.35">
      <c r="A1615">
        <v>1611</v>
      </c>
      <c r="B1615">
        <v>1612</v>
      </c>
      <c r="F1615" s="63"/>
      <c r="G1615" s="63"/>
      <c r="H1615" t="s">
        <v>78</v>
      </c>
      <c r="I1615" s="64">
        <v>1</v>
      </c>
      <c r="J1615" s="31"/>
      <c r="K1615" s="31"/>
      <c r="L1615" s="31"/>
      <c r="M1615" s="31"/>
      <c r="N1615" s="4"/>
      <c r="AG1615" t="s">
        <v>78</v>
      </c>
      <c r="AM1615" s="1"/>
    </row>
    <row r="1616" spans="1:39" x14ac:dyDescent="0.35">
      <c r="A1616">
        <v>1612</v>
      </c>
      <c r="B1616">
        <v>1613</v>
      </c>
      <c r="F1616" s="63"/>
      <c r="G1616" s="63"/>
      <c r="H1616" t="s">
        <v>78</v>
      </c>
      <c r="I1616" s="64">
        <v>1</v>
      </c>
      <c r="J1616" s="31"/>
      <c r="K1616" s="31"/>
      <c r="L1616" s="31"/>
      <c r="M1616" s="31"/>
      <c r="N1616" s="4"/>
      <c r="AG1616" t="s">
        <v>78</v>
      </c>
      <c r="AM1616" s="1"/>
    </row>
    <row r="1617" spans="1:39" x14ac:dyDescent="0.35">
      <c r="A1617">
        <v>1613</v>
      </c>
      <c r="B1617">
        <v>1614</v>
      </c>
      <c r="F1617" s="63"/>
      <c r="G1617" s="63"/>
      <c r="H1617" t="s">
        <v>78</v>
      </c>
      <c r="I1617" s="64">
        <v>1</v>
      </c>
      <c r="J1617" s="31"/>
      <c r="K1617" s="31"/>
      <c r="L1617" s="31"/>
      <c r="M1617" s="31"/>
      <c r="N1617" s="4"/>
      <c r="AG1617" t="s">
        <v>78</v>
      </c>
      <c r="AM1617" s="1"/>
    </row>
    <row r="1618" spans="1:39" x14ac:dyDescent="0.35">
      <c r="A1618">
        <v>1614</v>
      </c>
      <c r="B1618">
        <v>1615</v>
      </c>
      <c r="F1618" s="63"/>
      <c r="G1618" s="63"/>
      <c r="H1618" t="s">
        <v>78</v>
      </c>
      <c r="I1618" s="64">
        <v>1</v>
      </c>
      <c r="J1618" s="31"/>
      <c r="K1618" s="31"/>
      <c r="L1618" s="31"/>
      <c r="M1618" s="31"/>
      <c r="N1618" s="4"/>
      <c r="AG1618" t="s">
        <v>78</v>
      </c>
      <c r="AM1618" s="1"/>
    </row>
    <row r="1619" spans="1:39" x14ac:dyDescent="0.35">
      <c r="A1619">
        <v>1615</v>
      </c>
      <c r="B1619">
        <v>1616</v>
      </c>
      <c r="F1619" s="63"/>
      <c r="G1619" s="63"/>
      <c r="H1619" t="s">
        <v>78</v>
      </c>
      <c r="I1619" s="64">
        <v>1</v>
      </c>
      <c r="J1619" s="31"/>
      <c r="K1619" s="31"/>
      <c r="L1619" s="31"/>
      <c r="M1619" s="31"/>
      <c r="N1619" s="4"/>
      <c r="AG1619" t="s">
        <v>78</v>
      </c>
      <c r="AM1619" s="1"/>
    </row>
    <row r="1620" spans="1:39" x14ac:dyDescent="0.35">
      <c r="A1620">
        <v>1616</v>
      </c>
      <c r="B1620">
        <v>1617</v>
      </c>
      <c r="F1620" s="63"/>
      <c r="G1620" s="63"/>
      <c r="H1620" t="s">
        <v>78</v>
      </c>
      <c r="I1620" s="64">
        <v>1</v>
      </c>
      <c r="J1620" s="31"/>
      <c r="K1620" s="31"/>
      <c r="L1620" s="31"/>
      <c r="M1620" s="31"/>
      <c r="N1620" s="4"/>
      <c r="AG1620" t="s">
        <v>78</v>
      </c>
      <c r="AM1620" s="1"/>
    </row>
    <row r="1621" spans="1:39" x14ac:dyDescent="0.35">
      <c r="A1621">
        <v>1617</v>
      </c>
      <c r="B1621">
        <v>1618</v>
      </c>
      <c r="F1621" s="63"/>
      <c r="G1621" s="63"/>
      <c r="H1621" t="s">
        <v>78</v>
      </c>
      <c r="I1621" s="64">
        <v>1</v>
      </c>
      <c r="J1621" s="31"/>
      <c r="K1621" s="31"/>
      <c r="L1621" s="31"/>
      <c r="M1621" s="31"/>
      <c r="N1621" s="4"/>
      <c r="AG1621" t="s">
        <v>78</v>
      </c>
      <c r="AM1621" s="1"/>
    </row>
    <row r="1622" spans="1:39" x14ac:dyDescent="0.35">
      <c r="A1622">
        <v>1618</v>
      </c>
      <c r="B1622">
        <v>1619</v>
      </c>
      <c r="F1622" s="63"/>
      <c r="G1622" s="63"/>
      <c r="H1622" t="s">
        <v>78</v>
      </c>
      <c r="I1622" s="64">
        <v>1</v>
      </c>
      <c r="J1622" s="31"/>
      <c r="K1622" s="31"/>
      <c r="L1622" s="31"/>
      <c r="M1622" s="31"/>
      <c r="N1622" s="4"/>
      <c r="AG1622" t="s">
        <v>78</v>
      </c>
      <c r="AM1622" s="1"/>
    </row>
    <row r="1623" spans="1:39" x14ac:dyDescent="0.35">
      <c r="A1623">
        <v>1619</v>
      </c>
      <c r="B1623">
        <v>1620</v>
      </c>
      <c r="F1623" s="63"/>
      <c r="G1623" s="63"/>
      <c r="H1623" t="s">
        <v>78</v>
      </c>
      <c r="I1623" s="64">
        <v>1</v>
      </c>
      <c r="J1623" s="31"/>
      <c r="K1623" s="31"/>
      <c r="L1623" s="31"/>
      <c r="M1623" s="31"/>
      <c r="N1623" s="4"/>
      <c r="AG1623" t="s">
        <v>78</v>
      </c>
      <c r="AM1623" s="1"/>
    </row>
    <row r="1624" spans="1:39" x14ac:dyDescent="0.35">
      <c r="A1624">
        <v>1620</v>
      </c>
      <c r="B1624">
        <v>1621</v>
      </c>
      <c r="F1624" s="63"/>
      <c r="G1624" s="63"/>
      <c r="H1624" t="s">
        <v>78</v>
      </c>
      <c r="I1624" s="64">
        <v>1</v>
      </c>
      <c r="J1624" s="31"/>
      <c r="K1624" s="31"/>
      <c r="L1624" s="31"/>
      <c r="M1624" s="31"/>
      <c r="N1624" s="4"/>
      <c r="AG1624" t="s">
        <v>78</v>
      </c>
      <c r="AM1624" s="1"/>
    </row>
    <row r="1625" spans="1:39" x14ac:dyDescent="0.35">
      <c r="A1625">
        <v>1621</v>
      </c>
      <c r="B1625">
        <v>1622</v>
      </c>
      <c r="F1625" s="63"/>
      <c r="G1625" s="63"/>
      <c r="H1625" t="s">
        <v>78</v>
      </c>
      <c r="I1625" s="64">
        <v>1</v>
      </c>
      <c r="J1625" s="31"/>
      <c r="K1625" s="31"/>
      <c r="L1625" s="31"/>
      <c r="M1625" s="31"/>
      <c r="N1625" s="4"/>
      <c r="AG1625" t="s">
        <v>78</v>
      </c>
      <c r="AM1625" s="1"/>
    </row>
    <row r="1626" spans="1:39" x14ac:dyDescent="0.35">
      <c r="A1626">
        <v>1622</v>
      </c>
      <c r="B1626">
        <v>1623</v>
      </c>
      <c r="F1626" s="63"/>
      <c r="G1626" s="63"/>
      <c r="H1626" t="s">
        <v>78</v>
      </c>
      <c r="I1626" s="64">
        <v>1</v>
      </c>
      <c r="J1626" s="31"/>
      <c r="K1626" s="31"/>
      <c r="L1626" s="31"/>
      <c r="M1626" s="31"/>
      <c r="N1626" s="4"/>
      <c r="AG1626" t="s">
        <v>78</v>
      </c>
      <c r="AM1626" s="1"/>
    </row>
    <row r="1627" spans="1:39" x14ac:dyDescent="0.35">
      <c r="A1627">
        <v>1623</v>
      </c>
      <c r="B1627">
        <v>1624</v>
      </c>
      <c r="F1627" s="63"/>
      <c r="G1627" s="63"/>
      <c r="H1627" t="s">
        <v>78</v>
      </c>
      <c r="I1627" s="64">
        <v>1</v>
      </c>
      <c r="J1627" s="31"/>
      <c r="K1627" s="31"/>
      <c r="L1627" s="31"/>
      <c r="M1627" s="31"/>
      <c r="N1627" s="4"/>
      <c r="AG1627" t="s">
        <v>78</v>
      </c>
      <c r="AM1627" s="1"/>
    </row>
    <row r="1628" spans="1:39" x14ac:dyDescent="0.35">
      <c r="A1628">
        <v>1624</v>
      </c>
      <c r="B1628">
        <v>1625</v>
      </c>
      <c r="F1628" s="63"/>
      <c r="G1628" s="63"/>
      <c r="H1628" t="s">
        <v>78</v>
      </c>
      <c r="I1628" s="64">
        <v>1</v>
      </c>
      <c r="J1628" s="31"/>
      <c r="K1628" s="31"/>
      <c r="L1628" s="31"/>
      <c r="M1628" s="31"/>
      <c r="N1628" s="4"/>
      <c r="AG1628" t="s">
        <v>78</v>
      </c>
      <c r="AM1628" s="1"/>
    </row>
    <row r="1629" spans="1:39" x14ac:dyDescent="0.35">
      <c r="A1629">
        <v>1625</v>
      </c>
      <c r="B1629">
        <v>1626</v>
      </c>
      <c r="F1629" s="63"/>
      <c r="G1629" s="63"/>
      <c r="H1629" t="s">
        <v>78</v>
      </c>
      <c r="I1629" s="64">
        <v>1</v>
      </c>
      <c r="J1629" s="31"/>
      <c r="K1629" s="31"/>
      <c r="L1629" s="31"/>
      <c r="M1629" s="31"/>
      <c r="N1629" s="4"/>
      <c r="AG1629" t="s">
        <v>78</v>
      </c>
      <c r="AM1629" s="1"/>
    </row>
    <row r="1630" spans="1:39" x14ac:dyDescent="0.35">
      <c r="A1630">
        <v>1626</v>
      </c>
      <c r="B1630">
        <v>1627</v>
      </c>
      <c r="F1630" s="63"/>
      <c r="G1630" s="63"/>
      <c r="H1630" t="s">
        <v>78</v>
      </c>
      <c r="I1630" s="64">
        <v>1</v>
      </c>
      <c r="J1630" s="31"/>
      <c r="K1630" s="31"/>
      <c r="L1630" s="31"/>
      <c r="M1630" s="31"/>
      <c r="N1630" s="4"/>
      <c r="AG1630" t="s">
        <v>78</v>
      </c>
      <c r="AM1630" s="1"/>
    </row>
    <row r="1631" spans="1:39" x14ac:dyDescent="0.35">
      <c r="A1631">
        <v>1627</v>
      </c>
      <c r="B1631">
        <v>1628</v>
      </c>
      <c r="F1631" s="63"/>
      <c r="G1631" s="63"/>
      <c r="H1631" t="s">
        <v>78</v>
      </c>
      <c r="I1631" s="64">
        <v>1</v>
      </c>
      <c r="J1631" s="31"/>
      <c r="K1631" s="31"/>
      <c r="L1631" s="31"/>
      <c r="M1631" s="31"/>
      <c r="N1631" s="4"/>
      <c r="AG1631" t="s">
        <v>78</v>
      </c>
      <c r="AM1631" s="1"/>
    </row>
    <row r="1632" spans="1:39" x14ac:dyDescent="0.35">
      <c r="A1632">
        <v>1628</v>
      </c>
      <c r="B1632">
        <v>1629</v>
      </c>
      <c r="F1632" s="63"/>
      <c r="G1632" s="63"/>
      <c r="H1632" t="s">
        <v>78</v>
      </c>
      <c r="I1632" s="64">
        <v>1</v>
      </c>
      <c r="J1632" s="31"/>
      <c r="K1632" s="31"/>
      <c r="L1632" s="31"/>
      <c r="M1632" s="31"/>
      <c r="N1632" s="4"/>
      <c r="AG1632" t="s">
        <v>78</v>
      </c>
      <c r="AM1632" s="1"/>
    </row>
    <row r="1633" spans="1:39" x14ac:dyDescent="0.35">
      <c r="A1633">
        <v>1629</v>
      </c>
      <c r="B1633">
        <v>1630</v>
      </c>
      <c r="F1633" s="63"/>
      <c r="G1633" s="63"/>
      <c r="H1633" t="s">
        <v>78</v>
      </c>
      <c r="I1633" s="64">
        <v>1</v>
      </c>
      <c r="J1633" s="31"/>
      <c r="K1633" s="31"/>
      <c r="L1633" s="31"/>
      <c r="M1633" s="31"/>
      <c r="N1633" s="4"/>
      <c r="AG1633" t="s">
        <v>78</v>
      </c>
      <c r="AM1633" s="1"/>
    </row>
    <row r="1634" spans="1:39" x14ac:dyDescent="0.35">
      <c r="A1634">
        <v>1630</v>
      </c>
      <c r="B1634">
        <v>1631</v>
      </c>
      <c r="F1634" s="63"/>
      <c r="G1634" s="63"/>
      <c r="H1634" t="s">
        <v>78</v>
      </c>
      <c r="I1634" s="64">
        <v>1</v>
      </c>
      <c r="J1634" s="31"/>
      <c r="K1634" s="31"/>
      <c r="L1634" s="31"/>
      <c r="M1634" s="31"/>
      <c r="N1634" s="4"/>
      <c r="AG1634" t="s">
        <v>78</v>
      </c>
      <c r="AM1634" s="1"/>
    </row>
    <row r="1635" spans="1:39" x14ac:dyDescent="0.35">
      <c r="A1635">
        <v>1631</v>
      </c>
      <c r="B1635">
        <v>1632</v>
      </c>
      <c r="F1635" s="63"/>
      <c r="G1635" s="63"/>
      <c r="H1635" t="s">
        <v>78</v>
      </c>
      <c r="I1635" s="64">
        <v>1</v>
      </c>
      <c r="J1635" s="31"/>
      <c r="K1635" s="31"/>
      <c r="L1635" s="31"/>
      <c r="M1635" s="31"/>
      <c r="N1635" s="4"/>
      <c r="AG1635" t="s">
        <v>78</v>
      </c>
      <c r="AM1635" s="1"/>
    </row>
    <row r="1636" spans="1:39" x14ac:dyDescent="0.35">
      <c r="A1636">
        <v>1632</v>
      </c>
      <c r="B1636">
        <v>1633</v>
      </c>
      <c r="F1636" s="63"/>
      <c r="G1636" s="63"/>
      <c r="H1636" t="s">
        <v>78</v>
      </c>
      <c r="I1636" s="64">
        <v>1</v>
      </c>
      <c r="J1636" s="31"/>
      <c r="K1636" s="31"/>
      <c r="L1636" s="31"/>
      <c r="M1636" s="31"/>
      <c r="N1636" s="4"/>
      <c r="AG1636" t="s">
        <v>78</v>
      </c>
      <c r="AM1636" s="1"/>
    </row>
    <row r="1637" spans="1:39" x14ac:dyDescent="0.35">
      <c r="A1637">
        <v>1633</v>
      </c>
      <c r="B1637">
        <v>1634</v>
      </c>
      <c r="F1637" s="63"/>
      <c r="G1637" s="63"/>
      <c r="H1637" t="s">
        <v>78</v>
      </c>
      <c r="I1637" s="64">
        <v>1</v>
      </c>
      <c r="J1637" s="31"/>
      <c r="K1637" s="31"/>
      <c r="L1637" s="31"/>
      <c r="M1637" s="31"/>
      <c r="N1637" s="4"/>
      <c r="AG1637" t="s">
        <v>78</v>
      </c>
      <c r="AM1637" s="1"/>
    </row>
    <row r="1638" spans="1:39" x14ac:dyDescent="0.35">
      <c r="A1638">
        <v>1634</v>
      </c>
      <c r="B1638">
        <v>1635</v>
      </c>
      <c r="F1638" s="63"/>
      <c r="G1638" s="63"/>
      <c r="H1638" t="s">
        <v>78</v>
      </c>
      <c r="I1638" s="64">
        <v>1</v>
      </c>
      <c r="J1638" s="31"/>
      <c r="K1638" s="31"/>
      <c r="L1638" s="31"/>
      <c r="M1638" s="31"/>
      <c r="N1638" s="4"/>
      <c r="AG1638" t="s">
        <v>78</v>
      </c>
      <c r="AM1638" s="1"/>
    </row>
    <row r="1639" spans="1:39" x14ac:dyDescent="0.35">
      <c r="A1639">
        <v>1635</v>
      </c>
      <c r="B1639">
        <v>1636</v>
      </c>
      <c r="F1639" s="63"/>
      <c r="G1639" s="63"/>
      <c r="H1639" t="s">
        <v>78</v>
      </c>
      <c r="I1639" s="64">
        <v>1</v>
      </c>
      <c r="J1639" s="31"/>
      <c r="K1639" s="31"/>
      <c r="L1639" s="31"/>
      <c r="M1639" s="31"/>
      <c r="N1639" s="4"/>
      <c r="AG1639" t="s">
        <v>78</v>
      </c>
      <c r="AM1639" s="1"/>
    </row>
    <row r="1640" spans="1:39" x14ac:dyDescent="0.35">
      <c r="A1640">
        <v>1636</v>
      </c>
      <c r="B1640">
        <v>1637</v>
      </c>
      <c r="F1640" s="63"/>
      <c r="G1640" s="63"/>
      <c r="H1640" t="s">
        <v>78</v>
      </c>
      <c r="I1640" s="64">
        <v>1</v>
      </c>
      <c r="J1640" s="31"/>
      <c r="K1640" s="31"/>
      <c r="L1640" s="31"/>
      <c r="M1640" s="31"/>
      <c r="N1640" s="4"/>
      <c r="AG1640" t="s">
        <v>78</v>
      </c>
      <c r="AM1640" s="1"/>
    </row>
    <row r="1641" spans="1:39" x14ac:dyDescent="0.35">
      <c r="A1641">
        <v>1637</v>
      </c>
      <c r="B1641">
        <v>1638</v>
      </c>
      <c r="F1641" s="63"/>
      <c r="G1641" s="63"/>
      <c r="H1641" t="s">
        <v>78</v>
      </c>
      <c r="I1641" s="64">
        <v>1</v>
      </c>
      <c r="J1641" s="31"/>
      <c r="K1641" s="31"/>
      <c r="L1641" s="31"/>
      <c r="M1641" s="31"/>
      <c r="N1641" s="4"/>
      <c r="AG1641" t="s">
        <v>78</v>
      </c>
      <c r="AM1641" s="1"/>
    </row>
    <row r="1642" spans="1:39" x14ac:dyDescent="0.35">
      <c r="A1642">
        <v>1638</v>
      </c>
      <c r="B1642">
        <v>1639</v>
      </c>
      <c r="F1642" s="63"/>
      <c r="G1642" s="63"/>
      <c r="H1642" t="s">
        <v>78</v>
      </c>
      <c r="I1642" s="64">
        <v>1</v>
      </c>
      <c r="J1642" s="31"/>
      <c r="K1642" s="31"/>
      <c r="L1642" s="31"/>
      <c r="M1642" s="31"/>
      <c r="N1642" s="4"/>
      <c r="AG1642" t="s">
        <v>78</v>
      </c>
      <c r="AM1642" s="1"/>
    </row>
    <row r="1643" spans="1:39" x14ac:dyDescent="0.35">
      <c r="A1643">
        <v>1639</v>
      </c>
      <c r="B1643">
        <v>1640</v>
      </c>
      <c r="F1643" s="63"/>
      <c r="G1643" s="63"/>
      <c r="H1643" t="s">
        <v>78</v>
      </c>
      <c r="I1643" s="64">
        <v>1</v>
      </c>
      <c r="J1643" s="31"/>
      <c r="K1643" s="31"/>
      <c r="L1643" s="31"/>
      <c r="M1643" s="31"/>
      <c r="N1643" s="4"/>
      <c r="AG1643" t="s">
        <v>78</v>
      </c>
      <c r="AM1643" s="1"/>
    </row>
    <row r="1644" spans="1:39" x14ac:dyDescent="0.35">
      <c r="A1644">
        <v>1640</v>
      </c>
      <c r="B1644">
        <v>1641</v>
      </c>
      <c r="F1644" s="63"/>
      <c r="G1644" s="63"/>
      <c r="H1644" t="s">
        <v>78</v>
      </c>
      <c r="I1644" s="64">
        <v>1</v>
      </c>
      <c r="J1644" s="31"/>
      <c r="K1644" s="31"/>
      <c r="L1644" s="31"/>
      <c r="M1644" s="31"/>
      <c r="N1644" s="4"/>
      <c r="AG1644" t="s">
        <v>78</v>
      </c>
      <c r="AM1644" s="1"/>
    </row>
    <row r="1645" spans="1:39" x14ac:dyDescent="0.35">
      <c r="A1645">
        <v>1641</v>
      </c>
      <c r="B1645">
        <v>1642</v>
      </c>
      <c r="F1645" s="63"/>
      <c r="G1645" s="63"/>
      <c r="H1645" t="s">
        <v>78</v>
      </c>
      <c r="I1645" s="64">
        <v>1</v>
      </c>
      <c r="J1645" s="31"/>
      <c r="K1645" s="31"/>
      <c r="L1645" s="31"/>
      <c r="M1645" s="31"/>
      <c r="N1645" s="4"/>
      <c r="AG1645" t="s">
        <v>78</v>
      </c>
      <c r="AM1645" s="1"/>
    </row>
    <row r="1646" spans="1:39" x14ac:dyDescent="0.35">
      <c r="A1646">
        <v>1642</v>
      </c>
      <c r="B1646">
        <v>1643</v>
      </c>
      <c r="F1646" s="63"/>
      <c r="G1646" s="63"/>
      <c r="H1646" t="s">
        <v>78</v>
      </c>
      <c r="I1646" s="64">
        <v>1</v>
      </c>
      <c r="J1646" s="31"/>
      <c r="K1646" s="31"/>
      <c r="L1646" s="31"/>
      <c r="M1646" s="31"/>
      <c r="N1646" s="4"/>
      <c r="AG1646" t="s">
        <v>78</v>
      </c>
      <c r="AM1646" s="1"/>
    </row>
    <row r="1647" spans="1:39" x14ac:dyDescent="0.35">
      <c r="A1647">
        <v>1643</v>
      </c>
      <c r="B1647">
        <v>1644</v>
      </c>
      <c r="F1647" s="63"/>
      <c r="G1647" s="63"/>
      <c r="H1647" t="s">
        <v>78</v>
      </c>
      <c r="I1647" s="64">
        <v>1</v>
      </c>
      <c r="J1647" s="31"/>
      <c r="K1647" s="31"/>
      <c r="L1647" s="31"/>
      <c r="M1647" s="31"/>
      <c r="N1647" s="4"/>
      <c r="AG1647" t="s">
        <v>78</v>
      </c>
      <c r="AM1647" s="1"/>
    </row>
    <row r="1648" spans="1:39" x14ac:dyDescent="0.35">
      <c r="A1648">
        <v>1644</v>
      </c>
      <c r="B1648">
        <v>1645</v>
      </c>
      <c r="F1648" s="63"/>
      <c r="G1648" s="63"/>
      <c r="H1648" t="s">
        <v>78</v>
      </c>
      <c r="I1648" s="64">
        <v>1</v>
      </c>
      <c r="J1648" s="31"/>
      <c r="K1648" s="31"/>
      <c r="L1648" s="31"/>
      <c r="M1648" s="31"/>
      <c r="N1648" s="4"/>
      <c r="AG1648" t="s">
        <v>78</v>
      </c>
      <c r="AM1648" s="1"/>
    </row>
    <row r="1649" spans="1:39" x14ac:dyDescent="0.35">
      <c r="A1649">
        <v>1645</v>
      </c>
      <c r="B1649">
        <v>1646</v>
      </c>
      <c r="F1649" s="63"/>
      <c r="G1649" s="63"/>
      <c r="H1649" t="s">
        <v>78</v>
      </c>
      <c r="I1649" s="64">
        <v>1</v>
      </c>
      <c r="J1649" s="31"/>
      <c r="K1649" s="31"/>
      <c r="L1649" s="31"/>
      <c r="M1649" s="31"/>
      <c r="N1649" s="4"/>
      <c r="AG1649" t="s">
        <v>78</v>
      </c>
      <c r="AM1649" s="1"/>
    </row>
    <row r="1650" spans="1:39" x14ac:dyDescent="0.35">
      <c r="A1650">
        <v>1646</v>
      </c>
      <c r="B1650">
        <v>1647</v>
      </c>
      <c r="F1650" s="63"/>
      <c r="G1650" s="63"/>
      <c r="H1650" t="s">
        <v>78</v>
      </c>
      <c r="I1650" s="64">
        <v>1</v>
      </c>
      <c r="J1650" s="31"/>
      <c r="K1650" s="31"/>
      <c r="L1650" s="31"/>
      <c r="M1650" s="31"/>
      <c r="N1650" s="4"/>
      <c r="AG1650" t="s">
        <v>78</v>
      </c>
      <c r="AM1650" s="1"/>
    </row>
    <row r="1651" spans="1:39" x14ac:dyDescent="0.35">
      <c r="A1651">
        <v>1647</v>
      </c>
      <c r="B1651">
        <v>1648</v>
      </c>
      <c r="F1651" s="63"/>
      <c r="G1651" s="63"/>
      <c r="H1651" t="s">
        <v>78</v>
      </c>
      <c r="I1651" s="64">
        <v>1</v>
      </c>
      <c r="J1651" s="31"/>
      <c r="K1651" s="31"/>
      <c r="L1651" s="31"/>
      <c r="M1651" s="31"/>
      <c r="N1651" s="4"/>
      <c r="AG1651" t="s">
        <v>78</v>
      </c>
      <c r="AM1651" s="1"/>
    </row>
    <row r="1652" spans="1:39" x14ac:dyDescent="0.35">
      <c r="A1652">
        <v>1648</v>
      </c>
      <c r="B1652">
        <v>1649</v>
      </c>
      <c r="F1652" s="63"/>
      <c r="G1652" s="63"/>
      <c r="H1652" t="s">
        <v>78</v>
      </c>
      <c r="I1652" s="64">
        <v>1</v>
      </c>
      <c r="J1652" s="31"/>
      <c r="K1652" s="31"/>
      <c r="L1652" s="31"/>
      <c r="M1652" s="31"/>
      <c r="N1652" s="4"/>
      <c r="AG1652" t="s">
        <v>78</v>
      </c>
      <c r="AM1652" s="1"/>
    </row>
    <row r="1653" spans="1:39" x14ac:dyDescent="0.35">
      <c r="A1653">
        <v>1649</v>
      </c>
      <c r="B1653">
        <v>1650</v>
      </c>
      <c r="F1653" s="63"/>
      <c r="G1653" s="63"/>
      <c r="H1653" t="s">
        <v>78</v>
      </c>
      <c r="I1653" s="64">
        <v>1</v>
      </c>
      <c r="J1653" s="31"/>
      <c r="K1653" s="31"/>
      <c r="L1653" s="31"/>
      <c r="M1653" s="31"/>
      <c r="N1653" s="4"/>
      <c r="AG1653" t="s">
        <v>78</v>
      </c>
      <c r="AM1653" s="1"/>
    </row>
    <row r="1654" spans="1:39" x14ac:dyDescent="0.35">
      <c r="A1654">
        <v>1650</v>
      </c>
      <c r="B1654">
        <v>1651</v>
      </c>
      <c r="F1654" s="63"/>
      <c r="G1654" s="63"/>
      <c r="H1654" t="s">
        <v>78</v>
      </c>
      <c r="I1654" s="64">
        <v>1</v>
      </c>
      <c r="J1654" s="31"/>
      <c r="K1654" s="31"/>
      <c r="L1654" s="31"/>
      <c r="M1654" s="31"/>
      <c r="N1654" s="4"/>
      <c r="AG1654" t="s">
        <v>78</v>
      </c>
      <c r="AM1654" s="1"/>
    </row>
    <row r="1655" spans="1:39" x14ac:dyDescent="0.35">
      <c r="A1655">
        <v>1651</v>
      </c>
      <c r="B1655">
        <v>1652</v>
      </c>
      <c r="F1655" s="63"/>
      <c r="G1655" s="63"/>
      <c r="H1655" t="s">
        <v>78</v>
      </c>
      <c r="I1655" s="64">
        <v>1</v>
      </c>
      <c r="J1655" s="31"/>
      <c r="K1655" s="31"/>
      <c r="L1655" s="31"/>
      <c r="M1655" s="31"/>
      <c r="N1655" s="4"/>
      <c r="AG1655" t="s">
        <v>78</v>
      </c>
      <c r="AM1655" s="1"/>
    </row>
    <row r="1656" spans="1:39" x14ac:dyDescent="0.35">
      <c r="A1656">
        <v>1652</v>
      </c>
      <c r="B1656">
        <v>1653</v>
      </c>
      <c r="F1656" s="63"/>
      <c r="G1656" s="63"/>
      <c r="H1656" t="s">
        <v>78</v>
      </c>
      <c r="I1656" s="64">
        <v>1</v>
      </c>
      <c r="J1656" s="31"/>
      <c r="K1656" s="31"/>
      <c r="L1656" s="31"/>
      <c r="M1656" s="31"/>
      <c r="N1656" s="4"/>
      <c r="AG1656" t="s">
        <v>78</v>
      </c>
      <c r="AM1656" s="1"/>
    </row>
    <row r="1657" spans="1:39" x14ac:dyDescent="0.35">
      <c r="A1657">
        <v>1653</v>
      </c>
      <c r="B1657">
        <v>1654</v>
      </c>
      <c r="F1657" s="63"/>
      <c r="G1657" s="63"/>
      <c r="H1657" t="s">
        <v>78</v>
      </c>
      <c r="I1657" s="64">
        <v>1</v>
      </c>
      <c r="J1657" s="31"/>
      <c r="K1657" s="31"/>
      <c r="L1657" s="31"/>
      <c r="M1657" s="31"/>
      <c r="N1657" s="4"/>
      <c r="AG1657" t="s">
        <v>78</v>
      </c>
      <c r="AM1657" s="1"/>
    </row>
    <row r="1658" spans="1:39" x14ac:dyDescent="0.35">
      <c r="A1658">
        <v>1654</v>
      </c>
      <c r="B1658">
        <v>1655</v>
      </c>
      <c r="F1658" s="63"/>
      <c r="G1658" s="63"/>
      <c r="H1658" t="s">
        <v>78</v>
      </c>
      <c r="I1658" s="64">
        <v>1</v>
      </c>
      <c r="J1658" s="31"/>
      <c r="K1658" s="31"/>
      <c r="L1658" s="31"/>
      <c r="M1658" s="31"/>
      <c r="N1658" s="4"/>
      <c r="AG1658" t="s">
        <v>78</v>
      </c>
      <c r="AM1658" s="1"/>
    </row>
    <row r="1659" spans="1:39" x14ac:dyDescent="0.35">
      <c r="A1659">
        <v>1655</v>
      </c>
      <c r="B1659">
        <v>1656</v>
      </c>
      <c r="F1659" s="63"/>
      <c r="G1659" s="63"/>
      <c r="H1659" t="s">
        <v>78</v>
      </c>
      <c r="I1659" s="64">
        <v>1</v>
      </c>
      <c r="J1659" s="31"/>
      <c r="K1659" s="31"/>
      <c r="L1659" s="31"/>
      <c r="M1659" s="31"/>
      <c r="N1659" s="4"/>
      <c r="AG1659" t="s">
        <v>78</v>
      </c>
      <c r="AM1659" s="1"/>
    </row>
    <row r="1660" spans="1:39" x14ac:dyDescent="0.35">
      <c r="A1660">
        <v>1656</v>
      </c>
      <c r="B1660">
        <v>1657</v>
      </c>
      <c r="F1660" s="63"/>
      <c r="G1660" s="63"/>
      <c r="H1660" t="s">
        <v>78</v>
      </c>
      <c r="I1660" s="64">
        <v>1</v>
      </c>
      <c r="J1660" s="31"/>
      <c r="K1660" s="31"/>
      <c r="L1660" s="31"/>
      <c r="M1660" s="31"/>
      <c r="N1660" s="4"/>
      <c r="AG1660" t="s">
        <v>78</v>
      </c>
      <c r="AM1660" s="1"/>
    </row>
    <row r="1661" spans="1:39" x14ac:dyDescent="0.35">
      <c r="A1661">
        <v>1657</v>
      </c>
      <c r="B1661">
        <v>1658</v>
      </c>
      <c r="F1661" s="63"/>
      <c r="G1661" s="63"/>
      <c r="H1661" t="s">
        <v>78</v>
      </c>
      <c r="I1661" s="64">
        <v>1</v>
      </c>
      <c r="J1661" s="31"/>
      <c r="K1661" s="31"/>
      <c r="L1661" s="31"/>
      <c r="M1661" s="31"/>
      <c r="N1661" s="4"/>
      <c r="AG1661" t="s">
        <v>78</v>
      </c>
      <c r="AM1661" s="1"/>
    </row>
    <row r="1662" spans="1:39" x14ac:dyDescent="0.35">
      <c r="A1662">
        <v>1658</v>
      </c>
      <c r="B1662">
        <v>1659</v>
      </c>
      <c r="F1662" s="63"/>
      <c r="G1662" s="63"/>
      <c r="H1662" t="s">
        <v>78</v>
      </c>
      <c r="I1662" s="64">
        <v>1</v>
      </c>
      <c r="J1662" s="31"/>
      <c r="K1662" s="31"/>
      <c r="L1662" s="31"/>
      <c r="M1662" s="31"/>
      <c r="N1662" s="4"/>
      <c r="AG1662" t="s">
        <v>78</v>
      </c>
      <c r="AM1662" s="1"/>
    </row>
    <row r="1663" spans="1:39" x14ac:dyDescent="0.35">
      <c r="A1663">
        <v>1659</v>
      </c>
      <c r="B1663">
        <v>1660</v>
      </c>
      <c r="F1663" s="63"/>
      <c r="G1663" s="63"/>
      <c r="H1663" t="s">
        <v>78</v>
      </c>
      <c r="I1663" s="64">
        <v>1</v>
      </c>
      <c r="J1663" s="31"/>
      <c r="K1663" s="31"/>
      <c r="L1663" s="31"/>
      <c r="M1663" s="31"/>
      <c r="N1663" s="4"/>
      <c r="AG1663" t="s">
        <v>78</v>
      </c>
      <c r="AM1663" s="1"/>
    </row>
    <row r="1664" spans="1:39" x14ac:dyDescent="0.35">
      <c r="A1664">
        <v>1660</v>
      </c>
      <c r="B1664">
        <v>1661</v>
      </c>
      <c r="F1664" s="63"/>
      <c r="G1664" s="63"/>
      <c r="H1664" t="s">
        <v>78</v>
      </c>
      <c r="I1664" s="64">
        <v>1</v>
      </c>
      <c r="J1664" s="31"/>
      <c r="K1664" s="31"/>
      <c r="L1664" s="31"/>
      <c r="M1664" s="31"/>
      <c r="N1664" s="4"/>
      <c r="AG1664" t="s">
        <v>78</v>
      </c>
      <c r="AM1664" s="1"/>
    </row>
    <row r="1665" spans="1:39" x14ac:dyDescent="0.35">
      <c r="A1665">
        <v>1661</v>
      </c>
      <c r="B1665">
        <v>1662</v>
      </c>
      <c r="F1665" s="63"/>
      <c r="G1665" s="63"/>
      <c r="H1665" t="s">
        <v>78</v>
      </c>
      <c r="I1665" s="64">
        <v>1</v>
      </c>
      <c r="J1665" s="31"/>
      <c r="K1665" s="31"/>
      <c r="L1665" s="31"/>
      <c r="M1665" s="31"/>
      <c r="N1665" s="4"/>
      <c r="AG1665" t="s">
        <v>78</v>
      </c>
      <c r="AM1665" s="1"/>
    </row>
    <row r="1666" spans="1:39" x14ac:dyDescent="0.35">
      <c r="A1666">
        <v>1662</v>
      </c>
      <c r="B1666">
        <v>1663</v>
      </c>
      <c r="F1666" s="63"/>
      <c r="G1666" s="63"/>
      <c r="H1666" t="s">
        <v>78</v>
      </c>
      <c r="I1666" s="64">
        <v>1</v>
      </c>
      <c r="J1666" s="31"/>
      <c r="K1666" s="31"/>
      <c r="L1666" s="31"/>
      <c r="M1666" s="31"/>
      <c r="N1666" s="4"/>
      <c r="AG1666" t="s">
        <v>78</v>
      </c>
      <c r="AM1666" s="1"/>
    </row>
    <row r="1667" spans="1:39" x14ac:dyDescent="0.35">
      <c r="A1667">
        <v>1663</v>
      </c>
      <c r="B1667">
        <v>1664</v>
      </c>
      <c r="F1667" s="63"/>
      <c r="G1667" s="63"/>
      <c r="H1667" t="s">
        <v>78</v>
      </c>
      <c r="I1667" s="64">
        <v>1</v>
      </c>
      <c r="J1667" s="31"/>
      <c r="K1667" s="31"/>
      <c r="L1667" s="31"/>
      <c r="M1667" s="31"/>
      <c r="N1667" s="4"/>
      <c r="AG1667" t="s">
        <v>78</v>
      </c>
      <c r="AM1667" s="1"/>
    </row>
    <row r="1668" spans="1:39" x14ac:dyDescent="0.35">
      <c r="A1668">
        <v>1664</v>
      </c>
      <c r="B1668">
        <v>1665</v>
      </c>
      <c r="F1668" s="63"/>
      <c r="G1668" s="63"/>
      <c r="H1668" t="s">
        <v>78</v>
      </c>
      <c r="I1668" s="64">
        <v>1</v>
      </c>
      <c r="J1668" s="31"/>
      <c r="K1668" s="31"/>
      <c r="L1668" s="31"/>
      <c r="M1668" s="31"/>
      <c r="N1668" s="4"/>
      <c r="AG1668" t="s">
        <v>1400</v>
      </c>
      <c r="AM1668" s="1"/>
    </row>
    <row r="1669" spans="1:39" x14ac:dyDescent="0.35">
      <c r="A1669">
        <v>1665</v>
      </c>
      <c r="B1669">
        <v>1666</v>
      </c>
      <c r="F1669" s="63"/>
      <c r="G1669" s="63"/>
      <c r="H1669" t="s">
        <v>78</v>
      </c>
      <c r="I1669" s="64">
        <v>1</v>
      </c>
      <c r="J1669" s="31"/>
      <c r="K1669" s="31"/>
      <c r="L1669" s="31"/>
      <c r="M1669" s="31"/>
      <c r="N1669" s="4"/>
      <c r="AG1669" t="s">
        <v>78</v>
      </c>
      <c r="AM1669" s="1"/>
    </row>
    <row r="1670" spans="1:39" x14ac:dyDescent="0.35">
      <c r="A1670">
        <v>1666</v>
      </c>
      <c r="B1670">
        <v>1667</v>
      </c>
      <c r="F1670" s="63"/>
      <c r="G1670" s="63"/>
      <c r="H1670" t="s">
        <v>78</v>
      </c>
      <c r="I1670" s="64">
        <v>1</v>
      </c>
      <c r="J1670" s="31"/>
      <c r="K1670" s="31"/>
      <c r="L1670" s="31"/>
      <c r="M1670" s="31"/>
      <c r="N1670" s="4"/>
      <c r="AG1670" t="s">
        <v>78</v>
      </c>
      <c r="AM1670" s="1"/>
    </row>
    <row r="1671" spans="1:39" x14ac:dyDescent="0.35">
      <c r="A1671">
        <v>1667</v>
      </c>
      <c r="B1671">
        <v>1668</v>
      </c>
      <c r="F1671" s="63"/>
      <c r="G1671" s="63"/>
      <c r="H1671" t="s">
        <v>78</v>
      </c>
      <c r="I1671" s="64">
        <v>1</v>
      </c>
      <c r="J1671" s="31"/>
      <c r="K1671" s="31"/>
      <c r="L1671" s="31"/>
      <c r="M1671" s="31"/>
      <c r="N1671" s="4"/>
      <c r="AG1671" t="s">
        <v>1401</v>
      </c>
      <c r="AM1671" s="1"/>
    </row>
    <row r="1672" spans="1:39" x14ac:dyDescent="0.35">
      <c r="A1672">
        <v>1668</v>
      </c>
      <c r="B1672">
        <v>1669</v>
      </c>
      <c r="F1672" s="63"/>
      <c r="G1672" s="63"/>
      <c r="H1672" t="s">
        <v>78</v>
      </c>
      <c r="I1672" s="64">
        <v>1</v>
      </c>
      <c r="J1672" s="31"/>
      <c r="K1672" s="31"/>
      <c r="L1672" s="31"/>
      <c r="M1672" s="31"/>
      <c r="N1672" s="4"/>
      <c r="AG1672" t="s">
        <v>78</v>
      </c>
      <c r="AM1672" s="1"/>
    </row>
    <row r="1673" spans="1:39" x14ac:dyDescent="0.35">
      <c r="A1673">
        <v>1669</v>
      </c>
      <c r="B1673">
        <v>1670</v>
      </c>
      <c r="F1673" s="63"/>
      <c r="G1673" s="63"/>
      <c r="H1673" t="s">
        <v>78</v>
      </c>
      <c r="I1673" s="64">
        <v>1</v>
      </c>
      <c r="J1673" s="31"/>
      <c r="K1673" s="31"/>
      <c r="L1673" s="31"/>
      <c r="M1673" s="31"/>
      <c r="N1673" s="4"/>
      <c r="AG1673" t="s">
        <v>78</v>
      </c>
      <c r="AM1673" s="1"/>
    </row>
    <row r="1674" spans="1:39" x14ac:dyDescent="0.35">
      <c r="A1674">
        <v>1670</v>
      </c>
      <c r="B1674">
        <v>1671</v>
      </c>
      <c r="F1674" s="63"/>
      <c r="G1674" s="63"/>
      <c r="H1674" t="s">
        <v>78</v>
      </c>
      <c r="I1674" s="64">
        <v>1</v>
      </c>
      <c r="J1674" s="31"/>
      <c r="K1674" s="31"/>
      <c r="L1674" s="31"/>
      <c r="M1674" s="31"/>
      <c r="N1674" s="4"/>
      <c r="AG1674" t="s">
        <v>78</v>
      </c>
      <c r="AM1674" s="1"/>
    </row>
    <row r="1675" spans="1:39" x14ac:dyDescent="0.35">
      <c r="A1675">
        <v>1671</v>
      </c>
      <c r="B1675">
        <v>1672</v>
      </c>
      <c r="F1675" s="63"/>
      <c r="G1675" s="63"/>
      <c r="H1675" t="s">
        <v>78</v>
      </c>
      <c r="I1675" s="64">
        <v>1</v>
      </c>
      <c r="J1675" s="31"/>
      <c r="K1675" s="31"/>
      <c r="L1675" s="31"/>
      <c r="M1675" s="31"/>
      <c r="N1675" s="4"/>
      <c r="AG1675" t="s">
        <v>1402</v>
      </c>
      <c r="AM1675" s="1"/>
    </row>
    <row r="1676" spans="1:39" x14ac:dyDescent="0.35">
      <c r="A1676">
        <v>1672</v>
      </c>
      <c r="B1676">
        <v>1673</v>
      </c>
      <c r="F1676" s="63"/>
      <c r="G1676" s="63"/>
      <c r="H1676" t="s">
        <v>78</v>
      </c>
      <c r="I1676" s="64">
        <v>1</v>
      </c>
      <c r="J1676" s="31"/>
      <c r="K1676" s="31"/>
      <c r="L1676" s="31"/>
      <c r="M1676" s="31"/>
      <c r="N1676" s="4"/>
      <c r="AG1676" t="s">
        <v>78</v>
      </c>
      <c r="AM1676" s="1"/>
    </row>
    <row r="1677" spans="1:39" x14ac:dyDescent="0.35">
      <c r="A1677">
        <v>1673</v>
      </c>
      <c r="B1677">
        <v>1674</v>
      </c>
      <c r="F1677" s="63"/>
      <c r="G1677" s="63"/>
      <c r="H1677" t="s">
        <v>78</v>
      </c>
      <c r="I1677" s="64">
        <v>1</v>
      </c>
      <c r="J1677" s="31"/>
      <c r="K1677" s="31"/>
      <c r="L1677" s="31"/>
      <c r="M1677" s="31"/>
      <c r="N1677" s="4"/>
      <c r="AG1677" t="s">
        <v>1403</v>
      </c>
      <c r="AM1677" s="1"/>
    </row>
    <row r="1678" spans="1:39" x14ac:dyDescent="0.35">
      <c r="A1678">
        <v>1674</v>
      </c>
      <c r="B1678">
        <v>1675</v>
      </c>
      <c r="F1678" s="63"/>
      <c r="G1678" s="63"/>
      <c r="H1678" t="s">
        <v>78</v>
      </c>
      <c r="I1678" s="64">
        <v>1</v>
      </c>
      <c r="J1678" s="31"/>
      <c r="K1678" s="31"/>
      <c r="L1678" s="31"/>
      <c r="M1678" s="31"/>
      <c r="N1678" s="4"/>
      <c r="AG1678" t="s">
        <v>78</v>
      </c>
      <c r="AM1678" s="1"/>
    </row>
    <row r="1679" spans="1:39" x14ac:dyDescent="0.35">
      <c r="A1679">
        <v>1675</v>
      </c>
      <c r="B1679">
        <v>1676</v>
      </c>
      <c r="F1679" s="63"/>
      <c r="G1679" s="63"/>
      <c r="H1679" t="s">
        <v>78</v>
      </c>
      <c r="I1679" s="64">
        <v>1</v>
      </c>
      <c r="J1679" s="31"/>
      <c r="K1679" s="31"/>
      <c r="L1679" s="31"/>
      <c r="M1679" s="31"/>
      <c r="N1679" s="4"/>
      <c r="AG1679" t="s">
        <v>78</v>
      </c>
      <c r="AM1679" s="1"/>
    </row>
    <row r="1680" spans="1:39" x14ac:dyDescent="0.35">
      <c r="A1680">
        <v>1676</v>
      </c>
      <c r="B1680">
        <v>1677</v>
      </c>
      <c r="F1680" s="63"/>
      <c r="G1680" s="63"/>
      <c r="H1680" t="s">
        <v>78</v>
      </c>
      <c r="I1680" s="64">
        <v>1</v>
      </c>
      <c r="J1680" s="31"/>
      <c r="K1680" s="31"/>
      <c r="L1680" s="31"/>
      <c r="M1680" s="31"/>
      <c r="N1680" s="4"/>
      <c r="AG1680" t="s">
        <v>78</v>
      </c>
      <c r="AM1680" s="1"/>
    </row>
    <row r="1681" spans="1:39" x14ac:dyDescent="0.35">
      <c r="A1681">
        <v>1677</v>
      </c>
      <c r="B1681">
        <v>1678</v>
      </c>
      <c r="F1681" s="63"/>
      <c r="G1681" s="63"/>
      <c r="H1681" t="s">
        <v>78</v>
      </c>
      <c r="I1681" s="64">
        <v>1</v>
      </c>
      <c r="J1681" s="31"/>
      <c r="K1681" s="31"/>
      <c r="L1681" s="31"/>
      <c r="M1681" s="31"/>
      <c r="N1681" s="4"/>
      <c r="AG1681" t="s">
        <v>1404</v>
      </c>
      <c r="AM1681" s="1"/>
    </row>
    <row r="1682" spans="1:39" x14ac:dyDescent="0.35">
      <c r="A1682">
        <v>1678</v>
      </c>
      <c r="B1682">
        <v>1679</v>
      </c>
      <c r="F1682" s="63"/>
      <c r="G1682" s="63"/>
      <c r="H1682" t="s">
        <v>78</v>
      </c>
      <c r="I1682" s="64">
        <v>1</v>
      </c>
      <c r="J1682" s="31"/>
      <c r="K1682" s="31"/>
      <c r="L1682" s="31"/>
      <c r="M1682" s="31"/>
      <c r="N1682" s="4"/>
      <c r="AG1682" t="s">
        <v>1405</v>
      </c>
      <c r="AM1682" s="1"/>
    </row>
    <row r="1683" spans="1:39" x14ac:dyDescent="0.35">
      <c r="A1683">
        <v>1679</v>
      </c>
      <c r="B1683">
        <v>1680</v>
      </c>
      <c r="F1683" s="63"/>
      <c r="G1683" s="63"/>
      <c r="H1683" t="s">
        <v>78</v>
      </c>
      <c r="I1683" s="64">
        <v>1</v>
      </c>
      <c r="J1683" s="31"/>
      <c r="K1683" s="31"/>
      <c r="L1683" s="31"/>
      <c r="M1683" s="31"/>
      <c r="N1683" s="4"/>
      <c r="AG1683" t="s">
        <v>78</v>
      </c>
      <c r="AM1683" s="1"/>
    </row>
    <row r="1684" spans="1:39" x14ac:dyDescent="0.35">
      <c r="A1684">
        <v>1680</v>
      </c>
      <c r="B1684">
        <v>1681</v>
      </c>
      <c r="F1684" s="63"/>
      <c r="G1684" s="63"/>
      <c r="H1684" t="s">
        <v>78</v>
      </c>
      <c r="I1684" s="64">
        <v>1</v>
      </c>
      <c r="J1684" s="31"/>
      <c r="K1684" s="31"/>
      <c r="L1684" s="31"/>
      <c r="M1684" s="31"/>
      <c r="N1684" s="4"/>
      <c r="AG1684" t="s">
        <v>1406</v>
      </c>
      <c r="AM1684" s="1"/>
    </row>
    <row r="1685" spans="1:39" x14ac:dyDescent="0.35">
      <c r="A1685">
        <v>1681</v>
      </c>
      <c r="B1685">
        <v>1682</v>
      </c>
      <c r="F1685" s="63"/>
      <c r="G1685" s="63"/>
      <c r="H1685" t="s">
        <v>78</v>
      </c>
      <c r="I1685" s="64">
        <v>1</v>
      </c>
      <c r="J1685" s="31"/>
      <c r="K1685" s="31"/>
      <c r="L1685" s="31"/>
      <c r="M1685" s="31"/>
      <c r="N1685" s="4"/>
      <c r="AG1685" t="s">
        <v>1407</v>
      </c>
      <c r="AM1685" s="1"/>
    </row>
    <row r="1686" spans="1:39" x14ac:dyDescent="0.35">
      <c r="A1686">
        <v>1682</v>
      </c>
      <c r="B1686">
        <v>1683</v>
      </c>
      <c r="F1686" s="63"/>
      <c r="G1686" s="63"/>
      <c r="H1686" t="s">
        <v>78</v>
      </c>
      <c r="I1686" s="64">
        <v>1</v>
      </c>
      <c r="J1686" s="31"/>
      <c r="K1686" s="31"/>
      <c r="L1686" s="31"/>
      <c r="M1686" s="31"/>
      <c r="N1686" s="4"/>
      <c r="AG1686" t="s">
        <v>1408</v>
      </c>
      <c r="AM1686" s="1"/>
    </row>
    <row r="1687" spans="1:39" x14ac:dyDescent="0.35">
      <c r="A1687">
        <v>1683</v>
      </c>
      <c r="B1687">
        <v>1684</v>
      </c>
      <c r="F1687" s="63"/>
      <c r="G1687" s="63"/>
      <c r="H1687" t="s">
        <v>78</v>
      </c>
      <c r="I1687" s="64">
        <v>1</v>
      </c>
      <c r="J1687" s="31"/>
      <c r="K1687" s="31"/>
      <c r="L1687" s="31"/>
      <c r="M1687" s="31"/>
      <c r="N1687" s="4"/>
      <c r="AG1687" t="s">
        <v>1409</v>
      </c>
      <c r="AM1687" s="1"/>
    </row>
    <row r="1688" spans="1:39" x14ac:dyDescent="0.35">
      <c r="A1688">
        <v>1684</v>
      </c>
      <c r="B1688">
        <v>1685</v>
      </c>
      <c r="F1688" s="63"/>
      <c r="G1688" s="63"/>
      <c r="H1688" t="s">
        <v>78</v>
      </c>
      <c r="I1688" s="64">
        <v>1</v>
      </c>
      <c r="J1688" s="31"/>
      <c r="K1688" s="31"/>
      <c r="L1688" s="31"/>
      <c r="M1688" s="31"/>
      <c r="N1688" s="4"/>
      <c r="AG1688" t="s">
        <v>1410</v>
      </c>
      <c r="AM1688" s="1"/>
    </row>
    <row r="1689" spans="1:39" x14ac:dyDescent="0.35">
      <c r="A1689">
        <v>1685</v>
      </c>
      <c r="B1689">
        <v>1686</v>
      </c>
      <c r="F1689" s="63"/>
      <c r="G1689" s="63"/>
      <c r="H1689" t="s">
        <v>78</v>
      </c>
      <c r="I1689" s="64">
        <v>1</v>
      </c>
      <c r="J1689" s="31"/>
      <c r="K1689" s="31"/>
      <c r="L1689" s="31"/>
      <c r="M1689" s="31"/>
      <c r="N1689" s="4"/>
      <c r="AG1689" t="s">
        <v>1411</v>
      </c>
      <c r="AM1689" s="1"/>
    </row>
    <row r="1690" spans="1:39" x14ac:dyDescent="0.35">
      <c r="A1690">
        <v>1686</v>
      </c>
      <c r="B1690">
        <v>1687</v>
      </c>
      <c r="F1690" s="63"/>
      <c r="G1690" s="63"/>
      <c r="H1690" t="s">
        <v>78</v>
      </c>
      <c r="I1690" s="64">
        <v>1</v>
      </c>
      <c r="J1690" s="31"/>
      <c r="K1690" s="31"/>
      <c r="L1690" s="31"/>
      <c r="M1690" s="31"/>
      <c r="N1690" s="4"/>
      <c r="AG1690" t="s">
        <v>1412</v>
      </c>
      <c r="AM1690" s="1"/>
    </row>
    <row r="1691" spans="1:39" x14ac:dyDescent="0.35">
      <c r="A1691">
        <v>1687</v>
      </c>
      <c r="B1691">
        <v>1688</v>
      </c>
      <c r="F1691" s="63"/>
      <c r="G1691" s="63"/>
      <c r="H1691" t="s">
        <v>78</v>
      </c>
      <c r="I1691" s="64">
        <v>1</v>
      </c>
      <c r="J1691" s="31"/>
      <c r="K1691" s="31"/>
      <c r="L1691" s="31"/>
      <c r="M1691" s="31"/>
      <c r="N1691" s="4"/>
      <c r="AG1691" t="s">
        <v>1413</v>
      </c>
      <c r="AM1691" s="1"/>
    </row>
    <row r="1692" spans="1:39" x14ac:dyDescent="0.35">
      <c r="A1692">
        <v>1688</v>
      </c>
      <c r="B1692">
        <v>1689</v>
      </c>
      <c r="F1692" s="63"/>
      <c r="G1692" s="63"/>
      <c r="H1692" t="s">
        <v>78</v>
      </c>
      <c r="I1692" s="64">
        <v>1</v>
      </c>
      <c r="J1692" s="31"/>
      <c r="K1692" s="31"/>
      <c r="L1692" s="31"/>
      <c r="M1692" s="31"/>
      <c r="N1692" s="4"/>
      <c r="AG1692" t="s">
        <v>1414</v>
      </c>
      <c r="AM1692" s="1"/>
    </row>
    <row r="1693" spans="1:39" x14ac:dyDescent="0.35">
      <c r="A1693">
        <v>1689</v>
      </c>
      <c r="B1693">
        <v>1690</v>
      </c>
      <c r="F1693" s="63"/>
      <c r="G1693" s="63"/>
      <c r="H1693" t="s">
        <v>78</v>
      </c>
      <c r="I1693" s="64">
        <v>1</v>
      </c>
      <c r="J1693" s="31"/>
      <c r="K1693" s="31"/>
      <c r="L1693" s="31"/>
      <c r="M1693" s="31"/>
      <c r="N1693" s="4"/>
      <c r="AG1693" t="s">
        <v>1415</v>
      </c>
      <c r="AM1693" s="1"/>
    </row>
    <row r="1694" spans="1:39" x14ac:dyDescent="0.35">
      <c r="A1694">
        <v>1690</v>
      </c>
      <c r="B1694">
        <v>1691</v>
      </c>
      <c r="F1694" s="63"/>
      <c r="G1694" s="63"/>
      <c r="H1694" t="s">
        <v>78</v>
      </c>
      <c r="I1694" s="64">
        <v>1</v>
      </c>
      <c r="J1694" s="31"/>
      <c r="K1694" s="31"/>
      <c r="L1694" s="31"/>
      <c r="M1694" s="31"/>
      <c r="N1694" s="4"/>
      <c r="AG1694" t="s">
        <v>1416</v>
      </c>
      <c r="AM1694" s="1"/>
    </row>
    <row r="1695" spans="1:39" x14ac:dyDescent="0.35">
      <c r="A1695">
        <v>1691</v>
      </c>
      <c r="B1695">
        <v>1692</v>
      </c>
      <c r="F1695" s="63"/>
      <c r="G1695" s="63"/>
      <c r="H1695" t="s">
        <v>78</v>
      </c>
      <c r="I1695" s="64">
        <v>1</v>
      </c>
      <c r="J1695" s="31"/>
      <c r="K1695" s="31"/>
      <c r="L1695" s="31"/>
      <c r="M1695" s="31"/>
      <c r="N1695" s="4"/>
      <c r="AG1695" t="s">
        <v>1417</v>
      </c>
      <c r="AM1695" s="1"/>
    </row>
    <row r="1696" spans="1:39" x14ac:dyDescent="0.35">
      <c r="A1696">
        <v>1692</v>
      </c>
      <c r="B1696">
        <v>1693</v>
      </c>
      <c r="F1696" s="63"/>
      <c r="G1696" s="63"/>
      <c r="H1696" t="s">
        <v>78</v>
      </c>
      <c r="I1696" s="64">
        <v>1</v>
      </c>
      <c r="J1696" s="31"/>
      <c r="K1696" s="31"/>
      <c r="L1696" s="31"/>
      <c r="M1696" s="31"/>
      <c r="N1696" s="4"/>
      <c r="AG1696" t="s">
        <v>1418</v>
      </c>
      <c r="AM1696" s="1"/>
    </row>
    <row r="1697" spans="1:39" x14ac:dyDescent="0.35">
      <c r="A1697">
        <v>1693</v>
      </c>
      <c r="B1697">
        <v>1694</v>
      </c>
      <c r="F1697" s="63"/>
      <c r="G1697" s="63"/>
      <c r="H1697" t="s">
        <v>78</v>
      </c>
      <c r="I1697" s="64">
        <v>1</v>
      </c>
      <c r="J1697" s="31"/>
      <c r="K1697" s="31"/>
      <c r="L1697" s="31"/>
      <c r="M1697" s="31"/>
      <c r="N1697" s="4"/>
      <c r="AG1697" t="s">
        <v>1419</v>
      </c>
      <c r="AM1697" s="1"/>
    </row>
    <row r="1698" spans="1:39" x14ac:dyDescent="0.35">
      <c r="A1698">
        <v>1694</v>
      </c>
      <c r="B1698">
        <v>1695</v>
      </c>
      <c r="F1698" s="63"/>
      <c r="G1698" s="63"/>
      <c r="H1698" t="s">
        <v>78</v>
      </c>
      <c r="I1698" s="64">
        <v>1</v>
      </c>
      <c r="J1698" s="31"/>
      <c r="K1698" s="31"/>
      <c r="L1698" s="31"/>
      <c r="M1698" s="31"/>
      <c r="N1698" s="4"/>
      <c r="AG1698" t="s">
        <v>1420</v>
      </c>
      <c r="AM1698" s="1"/>
    </row>
    <row r="1699" spans="1:39" x14ac:dyDescent="0.35">
      <c r="A1699">
        <v>1695</v>
      </c>
      <c r="B1699">
        <v>1696</v>
      </c>
      <c r="F1699" s="63"/>
      <c r="G1699" s="63"/>
      <c r="H1699" t="s">
        <v>78</v>
      </c>
      <c r="I1699" s="64">
        <v>1</v>
      </c>
      <c r="J1699" s="31"/>
      <c r="K1699" s="31"/>
      <c r="L1699" s="31"/>
      <c r="M1699" s="31"/>
      <c r="N1699" s="4"/>
      <c r="AG1699" t="s">
        <v>1421</v>
      </c>
      <c r="AM1699" s="1"/>
    </row>
    <row r="1700" spans="1:39" x14ac:dyDescent="0.35">
      <c r="A1700">
        <v>1696</v>
      </c>
      <c r="B1700">
        <v>1697</v>
      </c>
      <c r="F1700" s="63"/>
      <c r="G1700" s="63"/>
      <c r="H1700" t="s">
        <v>78</v>
      </c>
      <c r="I1700" s="64">
        <v>1</v>
      </c>
      <c r="J1700" s="31"/>
      <c r="K1700" s="31"/>
      <c r="L1700" s="31"/>
      <c r="M1700" s="31"/>
      <c r="N1700" s="4"/>
      <c r="AG1700" t="s">
        <v>1422</v>
      </c>
      <c r="AM1700" s="1"/>
    </row>
    <row r="1701" spans="1:39" x14ac:dyDescent="0.35">
      <c r="A1701">
        <v>1697</v>
      </c>
      <c r="B1701">
        <v>1698</v>
      </c>
      <c r="F1701" s="63"/>
      <c r="G1701" s="63"/>
      <c r="H1701" t="s">
        <v>78</v>
      </c>
      <c r="I1701" s="64">
        <v>1</v>
      </c>
      <c r="J1701" s="31"/>
      <c r="K1701" s="31"/>
      <c r="L1701" s="31"/>
      <c r="M1701" s="31"/>
      <c r="N1701" s="4"/>
      <c r="AG1701" t="s">
        <v>1423</v>
      </c>
      <c r="AM1701" s="1"/>
    </row>
    <row r="1702" spans="1:39" x14ac:dyDescent="0.35">
      <c r="A1702">
        <v>1698</v>
      </c>
      <c r="B1702">
        <v>1699</v>
      </c>
      <c r="F1702" s="63"/>
      <c r="G1702" s="63"/>
      <c r="H1702" t="s">
        <v>78</v>
      </c>
      <c r="I1702" s="64">
        <v>1</v>
      </c>
      <c r="J1702" s="31"/>
      <c r="K1702" s="31"/>
      <c r="L1702" s="31"/>
      <c r="M1702" s="31"/>
      <c r="N1702" s="4"/>
      <c r="AG1702" t="s">
        <v>1424</v>
      </c>
      <c r="AM1702" s="1"/>
    </row>
    <row r="1703" spans="1:39" x14ac:dyDescent="0.35">
      <c r="A1703">
        <v>1699</v>
      </c>
      <c r="B1703">
        <v>1700</v>
      </c>
      <c r="F1703" s="63"/>
      <c r="G1703" s="63"/>
      <c r="H1703" t="s">
        <v>78</v>
      </c>
      <c r="I1703" s="64">
        <v>1</v>
      </c>
      <c r="J1703" s="31"/>
      <c r="K1703" s="31"/>
      <c r="L1703" s="31"/>
      <c r="M1703" s="31"/>
      <c r="N1703" s="4"/>
      <c r="AG1703" t="s">
        <v>1425</v>
      </c>
      <c r="AM1703" s="1"/>
    </row>
    <row r="1704" spans="1:39" x14ac:dyDescent="0.35">
      <c r="A1704">
        <v>1700</v>
      </c>
      <c r="B1704">
        <v>1701</v>
      </c>
      <c r="F1704" s="63"/>
      <c r="G1704" s="63"/>
      <c r="H1704" t="s">
        <v>78</v>
      </c>
      <c r="I1704" s="64">
        <v>1</v>
      </c>
      <c r="J1704" s="31"/>
      <c r="K1704" s="31"/>
      <c r="L1704" s="31"/>
      <c r="M1704" s="31"/>
      <c r="N1704" s="4"/>
      <c r="AG1704" t="s">
        <v>1426</v>
      </c>
      <c r="AM1704" s="1"/>
    </row>
    <row r="1705" spans="1:39" x14ac:dyDescent="0.35">
      <c r="A1705">
        <v>1701</v>
      </c>
      <c r="B1705">
        <v>1702</v>
      </c>
      <c r="F1705" s="63"/>
      <c r="G1705" s="63"/>
      <c r="H1705" t="s">
        <v>78</v>
      </c>
      <c r="I1705" s="64">
        <v>1</v>
      </c>
      <c r="J1705" s="31"/>
      <c r="K1705" s="31"/>
      <c r="L1705" s="31"/>
      <c r="M1705" s="31"/>
      <c r="N1705" s="4"/>
      <c r="AG1705" t="s">
        <v>1427</v>
      </c>
      <c r="AM1705" s="1"/>
    </row>
    <row r="1706" spans="1:39" x14ac:dyDescent="0.35">
      <c r="A1706">
        <v>1702</v>
      </c>
      <c r="B1706">
        <v>1703</v>
      </c>
      <c r="F1706" s="63"/>
      <c r="G1706" s="63"/>
      <c r="H1706" t="s">
        <v>78</v>
      </c>
      <c r="I1706" s="64">
        <v>1</v>
      </c>
      <c r="J1706" s="31"/>
      <c r="K1706" s="31"/>
      <c r="L1706" s="31"/>
      <c r="M1706" s="31"/>
      <c r="N1706" s="4"/>
      <c r="AG1706" t="s">
        <v>1428</v>
      </c>
      <c r="AM1706" s="1"/>
    </row>
    <row r="1707" spans="1:39" x14ac:dyDescent="0.35">
      <c r="A1707">
        <v>1703</v>
      </c>
      <c r="B1707">
        <v>1704</v>
      </c>
      <c r="F1707" s="63"/>
      <c r="G1707" s="63"/>
      <c r="H1707" t="s">
        <v>78</v>
      </c>
      <c r="I1707" s="64">
        <v>1</v>
      </c>
      <c r="J1707" s="31"/>
      <c r="K1707" s="31"/>
      <c r="L1707" s="31"/>
      <c r="M1707" s="31"/>
      <c r="N1707" s="4"/>
      <c r="AG1707" t="s">
        <v>1429</v>
      </c>
      <c r="AM1707" s="1"/>
    </row>
    <row r="1708" spans="1:39" x14ac:dyDescent="0.35">
      <c r="A1708">
        <v>1704</v>
      </c>
      <c r="B1708">
        <v>1705</v>
      </c>
      <c r="F1708" s="63"/>
      <c r="G1708" s="63"/>
      <c r="H1708" t="s">
        <v>78</v>
      </c>
      <c r="I1708" s="64">
        <v>1</v>
      </c>
      <c r="J1708" s="31"/>
      <c r="K1708" s="31"/>
      <c r="L1708" s="31"/>
      <c r="M1708" s="31"/>
      <c r="N1708" s="4"/>
      <c r="AG1708" t="s">
        <v>1430</v>
      </c>
      <c r="AM1708" s="1"/>
    </row>
    <row r="1709" spans="1:39" x14ac:dyDescent="0.35">
      <c r="A1709">
        <v>1705</v>
      </c>
      <c r="B1709">
        <v>1706</v>
      </c>
      <c r="F1709" s="63"/>
      <c r="G1709" s="63"/>
      <c r="H1709" t="s">
        <v>78</v>
      </c>
      <c r="I1709" s="64">
        <v>1</v>
      </c>
      <c r="J1709" s="31"/>
      <c r="K1709" s="31"/>
      <c r="L1709" s="31"/>
      <c r="M1709" s="31"/>
      <c r="N1709" s="4"/>
      <c r="AG1709" t="s">
        <v>1431</v>
      </c>
      <c r="AM1709" s="1"/>
    </row>
    <row r="1710" spans="1:39" x14ac:dyDescent="0.35">
      <c r="A1710">
        <v>1706</v>
      </c>
      <c r="B1710">
        <v>1707</v>
      </c>
      <c r="F1710" s="63"/>
      <c r="G1710" s="63"/>
      <c r="H1710" t="s">
        <v>78</v>
      </c>
      <c r="I1710" s="64">
        <v>1</v>
      </c>
      <c r="J1710" s="31"/>
      <c r="K1710" s="31"/>
      <c r="L1710" s="31"/>
      <c r="M1710" s="31"/>
      <c r="N1710" s="4"/>
      <c r="AG1710" t="s">
        <v>1432</v>
      </c>
      <c r="AM1710" s="1"/>
    </row>
    <row r="1711" spans="1:39" x14ac:dyDescent="0.35">
      <c r="A1711">
        <v>1707</v>
      </c>
      <c r="B1711">
        <v>1708</v>
      </c>
      <c r="F1711" s="63"/>
      <c r="G1711" s="63"/>
      <c r="H1711" t="s">
        <v>78</v>
      </c>
      <c r="I1711" s="64">
        <v>1</v>
      </c>
      <c r="J1711" s="31"/>
      <c r="K1711" s="31"/>
      <c r="L1711" s="31"/>
      <c r="M1711" s="31"/>
      <c r="N1711" s="4"/>
      <c r="AG1711" t="s">
        <v>1433</v>
      </c>
      <c r="AM1711" s="1"/>
    </row>
    <row r="1712" spans="1:39" x14ac:dyDescent="0.35">
      <c r="A1712">
        <v>1708</v>
      </c>
      <c r="B1712">
        <v>1709</v>
      </c>
      <c r="F1712" s="63"/>
      <c r="G1712" s="63"/>
      <c r="H1712" t="s">
        <v>78</v>
      </c>
      <c r="I1712" s="64">
        <v>1</v>
      </c>
      <c r="J1712" s="31"/>
      <c r="K1712" s="31"/>
      <c r="L1712" s="31"/>
      <c r="M1712" s="31"/>
      <c r="N1712" s="4"/>
      <c r="AG1712" t="s">
        <v>1434</v>
      </c>
      <c r="AM1712" s="1"/>
    </row>
    <row r="1713" spans="1:39" x14ac:dyDescent="0.35">
      <c r="A1713">
        <v>1709</v>
      </c>
      <c r="B1713">
        <v>1710</v>
      </c>
      <c r="F1713" s="63"/>
      <c r="G1713" s="63"/>
      <c r="H1713" t="s">
        <v>78</v>
      </c>
      <c r="I1713" s="64">
        <v>1</v>
      </c>
      <c r="J1713" s="31"/>
      <c r="K1713" s="31"/>
      <c r="L1713" s="31"/>
      <c r="M1713" s="31"/>
      <c r="N1713" s="4"/>
      <c r="AG1713" t="s">
        <v>1435</v>
      </c>
      <c r="AM1713" s="1"/>
    </row>
    <row r="1714" spans="1:39" x14ac:dyDescent="0.35">
      <c r="A1714">
        <v>1710</v>
      </c>
      <c r="B1714">
        <v>1711</v>
      </c>
      <c r="F1714" s="63"/>
      <c r="G1714" s="63"/>
      <c r="H1714" t="s">
        <v>78</v>
      </c>
      <c r="I1714" s="64">
        <v>1</v>
      </c>
      <c r="J1714" s="31"/>
      <c r="K1714" s="31"/>
      <c r="L1714" s="31"/>
      <c r="M1714" s="31"/>
      <c r="N1714" s="4"/>
      <c r="AG1714" t="s">
        <v>1436</v>
      </c>
      <c r="AM1714" s="1"/>
    </row>
    <row r="1715" spans="1:39" x14ac:dyDescent="0.35">
      <c r="A1715">
        <v>1711</v>
      </c>
      <c r="B1715">
        <v>1712</v>
      </c>
      <c r="F1715" s="63"/>
      <c r="G1715" s="63"/>
      <c r="H1715" t="s">
        <v>78</v>
      </c>
      <c r="I1715" s="64">
        <v>1</v>
      </c>
      <c r="J1715" s="31"/>
      <c r="K1715" s="31"/>
      <c r="L1715" s="31"/>
      <c r="M1715" s="31"/>
      <c r="N1715" s="4"/>
      <c r="AG1715" t="s">
        <v>1437</v>
      </c>
      <c r="AM1715" s="1"/>
    </row>
    <row r="1716" spans="1:39" x14ac:dyDescent="0.35">
      <c r="A1716">
        <v>1712</v>
      </c>
      <c r="B1716">
        <v>1713</v>
      </c>
      <c r="F1716" s="63"/>
      <c r="G1716" s="63"/>
      <c r="H1716" t="s">
        <v>78</v>
      </c>
      <c r="I1716" s="64">
        <v>1</v>
      </c>
      <c r="J1716" s="31"/>
      <c r="K1716" s="31"/>
      <c r="L1716" s="31"/>
      <c r="M1716" s="31"/>
      <c r="N1716" s="4"/>
      <c r="AG1716" t="s">
        <v>1438</v>
      </c>
      <c r="AM1716" s="1"/>
    </row>
    <row r="1717" spans="1:39" x14ac:dyDescent="0.35">
      <c r="A1717">
        <v>1713</v>
      </c>
      <c r="B1717">
        <v>1714</v>
      </c>
      <c r="F1717" s="63"/>
      <c r="G1717" s="63"/>
      <c r="H1717" t="s">
        <v>78</v>
      </c>
      <c r="I1717" s="64">
        <v>1</v>
      </c>
      <c r="J1717" s="31"/>
      <c r="K1717" s="31"/>
      <c r="L1717" s="31"/>
      <c r="M1717" s="31"/>
      <c r="N1717" s="4"/>
      <c r="AG1717" t="s">
        <v>1439</v>
      </c>
      <c r="AM1717" s="1"/>
    </row>
    <row r="1718" spans="1:39" x14ac:dyDescent="0.35">
      <c r="A1718">
        <v>1714</v>
      </c>
      <c r="B1718">
        <v>1715</v>
      </c>
      <c r="F1718" s="63"/>
      <c r="G1718" s="63"/>
      <c r="H1718" t="s">
        <v>78</v>
      </c>
      <c r="I1718" s="64">
        <v>1</v>
      </c>
      <c r="J1718" s="31"/>
      <c r="K1718" s="31"/>
      <c r="L1718" s="31"/>
      <c r="M1718" s="31"/>
      <c r="N1718" s="4"/>
      <c r="AG1718" t="s">
        <v>1440</v>
      </c>
      <c r="AM1718" s="1"/>
    </row>
    <row r="1719" spans="1:39" x14ac:dyDescent="0.35">
      <c r="A1719">
        <v>1715</v>
      </c>
      <c r="B1719">
        <v>1716</v>
      </c>
      <c r="F1719" s="63"/>
      <c r="G1719" s="63"/>
      <c r="H1719" t="s">
        <v>78</v>
      </c>
      <c r="I1719" s="64">
        <v>1</v>
      </c>
      <c r="J1719" s="31"/>
      <c r="K1719" s="31"/>
      <c r="L1719" s="31"/>
      <c r="M1719" s="31"/>
      <c r="N1719" s="4"/>
      <c r="AG1719" t="s">
        <v>1441</v>
      </c>
      <c r="AM1719" s="1"/>
    </row>
    <row r="1720" spans="1:39" x14ac:dyDescent="0.35">
      <c r="A1720">
        <v>1716</v>
      </c>
      <c r="B1720">
        <v>1717</v>
      </c>
      <c r="F1720" s="63"/>
      <c r="G1720" s="63"/>
      <c r="H1720" t="s">
        <v>78</v>
      </c>
      <c r="I1720" s="64">
        <v>1</v>
      </c>
      <c r="J1720" s="31"/>
      <c r="K1720" s="31"/>
      <c r="L1720" s="31"/>
      <c r="M1720" s="31"/>
      <c r="N1720" s="4"/>
      <c r="AG1720" t="s">
        <v>1442</v>
      </c>
      <c r="AM1720" s="1"/>
    </row>
    <row r="1721" spans="1:39" x14ac:dyDescent="0.35">
      <c r="A1721">
        <v>1717</v>
      </c>
      <c r="B1721">
        <v>1718</v>
      </c>
      <c r="F1721" s="63"/>
      <c r="G1721" s="63"/>
      <c r="H1721" t="s">
        <v>78</v>
      </c>
      <c r="I1721" s="64">
        <v>1</v>
      </c>
      <c r="J1721" s="31"/>
      <c r="K1721" s="31"/>
      <c r="L1721" s="31"/>
      <c r="M1721" s="31"/>
      <c r="N1721" s="4"/>
      <c r="AG1721" t="s">
        <v>1443</v>
      </c>
      <c r="AM1721" s="1"/>
    </row>
    <row r="1722" spans="1:39" x14ac:dyDescent="0.35">
      <c r="A1722">
        <v>1718</v>
      </c>
      <c r="B1722">
        <v>1719</v>
      </c>
      <c r="F1722" s="63"/>
      <c r="G1722" s="63"/>
      <c r="H1722" t="s">
        <v>78</v>
      </c>
      <c r="I1722" s="64">
        <v>1</v>
      </c>
      <c r="J1722" s="31"/>
      <c r="K1722" s="31"/>
      <c r="L1722" s="31"/>
      <c r="M1722" s="31"/>
      <c r="N1722" s="4"/>
      <c r="AG1722" t="s">
        <v>1444</v>
      </c>
      <c r="AM1722" s="1"/>
    </row>
    <row r="1723" spans="1:39" x14ac:dyDescent="0.35">
      <c r="A1723">
        <v>1719</v>
      </c>
      <c r="B1723">
        <v>1720</v>
      </c>
      <c r="F1723" s="63"/>
      <c r="G1723" s="63"/>
      <c r="H1723" t="s">
        <v>78</v>
      </c>
      <c r="I1723" s="64">
        <v>1</v>
      </c>
      <c r="J1723" s="31"/>
      <c r="K1723" s="31"/>
      <c r="L1723" s="31"/>
      <c r="M1723" s="31"/>
      <c r="N1723" s="4"/>
      <c r="AG1723" t="s">
        <v>1445</v>
      </c>
      <c r="AM1723" s="1"/>
    </row>
    <row r="1724" spans="1:39" x14ac:dyDescent="0.35">
      <c r="A1724">
        <v>1720</v>
      </c>
      <c r="B1724">
        <v>1721</v>
      </c>
      <c r="F1724" s="63"/>
      <c r="G1724" s="63"/>
      <c r="H1724" t="s">
        <v>78</v>
      </c>
      <c r="I1724" s="64">
        <v>1</v>
      </c>
      <c r="J1724" s="31"/>
      <c r="K1724" s="31"/>
      <c r="L1724" s="31"/>
      <c r="M1724" s="31"/>
      <c r="N1724" s="4"/>
      <c r="AG1724" t="s">
        <v>1446</v>
      </c>
      <c r="AM1724" s="1"/>
    </row>
    <row r="1725" spans="1:39" x14ac:dyDescent="0.35">
      <c r="A1725">
        <v>1721</v>
      </c>
      <c r="B1725">
        <v>1722</v>
      </c>
      <c r="F1725" s="63"/>
      <c r="G1725" s="63"/>
      <c r="H1725" t="s">
        <v>78</v>
      </c>
      <c r="I1725" s="64">
        <v>1</v>
      </c>
      <c r="J1725" s="31"/>
      <c r="K1725" s="31"/>
      <c r="L1725" s="31"/>
      <c r="M1725" s="31"/>
      <c r="N1725" s="4"/>
      <c r="AG1725" t="s">
        <v>1447</v>
      </c>
      <c r="AM1725" s="1"/>
    </row>
    <row r="1726" spans="1:39" x14ac:dyDescent="0.35">
      <c r="A1726">
        <v>1722</v>
      </c>
      <c r="B1726">
        <v>1723</v>
      </c>
      <c r="F1726" s="63"/>
      <c r="G1726" s="63"/>
      <c r="H1726" t="s">
        <v>78</v>
      </c>
      <c r="I1726" s="64">
        <v>1</v>
      </c>
      <c r="J1726" s="31"/>
      <c r="K1726" s="31"/>
      <c r="L1726" s="31"/>
      <c r="M1726" s="31"/>
      <c r="N1726" s="4"/>
      <c r="AG1726" t="s">
        <v>1448</v>
      </c>
      <c r="AM1726" s="1"/>
    </row>
    <row r="1727" spans="1:39" x14ac:dyDescent="0.35">
      <c r="A1727">
        <v>1723</v>
      </c>
      <c r="B1727">
        <v>1724</v>
      </c>
      <c r="F1727" s="63"/>
      <c r="G1727" s="63"/>
      <c r="H1727" t="s">
        <v>78</v>
      </c>
      <c r="I1727" s="64">
        <v>1</v>
      </c>
      <c r="J1727" s="31"/>
      <c r="K1727" s="31"/>
      <c r="L1727" s="31"/>
      <c r="M1727" s="31"/>
      <c r="N1727" s="4"/>
      <c r="AG1727" t="s">
        <v>1449</v>
      </c>
      <c r="AM1727" s="1"/>
    </row>
    <row r="1728" spans="1:39" x14ac:dyDescent="0.35">
      <c r="A1728">
        <v>1724</v>
      </c>
      <c r="B1728">
        <v>1725</v>
      </c>
      <c r="F1728" s="63"/>
      <c r="G1728" s="63"/>
      <c r="H1728" t="s">
        <v>78</v>
      </c>
      <c r="I1728" s="64">
        <v>1</v>
      </c>
      <c r="J1728" s="31"/>
      <c r="K1728" s="31"/>
      <c r="L1728" s="31"/>
      <c r="M1728" s="31"/>
      <c r="N1728" s="4"/>
      <c r="AG1728" t="s">
        <v>1450</v>
      </c>
      <c r="AM1728" s="1"/>
    </row>
    <row r="1729" spans="1:39" x14ac:dyDescent="0.35">
      <c r="A1729">
        <v>1725</v>
      </c>
      <c r="B1729">
        <v>1726</v>
      </c>
      <c r="F1729" s="63"/>
      <c r="G1729" s="63"/>
      <c r="H1729" t="s">
        <v>78</v>
      </c>
      <c r="I1729" s="64">
        <v>1</v>
      </c>
      <c r="J1729" s="31"/>
      <c r="K1729" s="31"/>
      <c r="L1729" s="31"/>
      <c r="M1729" s="31"/>
      <c r="N1729" s="4"/>
      <c r="AG1729" t="s">
        <v>1451</v>
      </c>
      <c r="AM1729" s="1"/>
    </row>
    <row r="1730" spans="1:39" x14ac:dyDescent="0.35">
      <c r="A1730">
        <v>1726</v>
      </c>
      <c r="B1730">
        <v>1727</v>
      </c>
      <c r="F1730" s="63"/>
      <c r="G1730" s="63"/>
      <c r="H1730" t="s">
        <v>78</v>
      </c>
      <c r="I1730" s="64">
        <v>1</v>
      </c>
      <c r="J1730" s="31"/>
      <c r="K1730" s="31"/>
      <c r="L1730" s="31"/>
      <c r="M1730" s="31"/>
      <c r="N1730" s="4"/>
      <c r="AG1730" t="s">
        <v>1452</v>
      </c>
      <c r="AM1730" s="1"/>
    </row>
    <row r="1731" spans="1:39" x14ac:dyDescent="0.35">
      <c r="A1731">
        <v>1727</v>
      </c>
      <c r="B1731">
        <v>1728</v>
      </c>
      <c r="F1731" s="63"/>
      <c r="G1731" s="63"/>
      <c r="H1731" t="s">
        <v>78</v>
      </c>
      <c r="I1731" s="64">
        <v>1</v>
      </c>
      <c r="J1731" s="31"/>
      <c r="K1731" s="31"/>
      <c r="L1731" s="31"/>
      <c r="M1731" s="31"/>
      <c r="N1731" s="4"/>
      <c r="AG1731" t="s">
        <v>1453</v>
      </c>
      <c r="AM1731" s="1"/>
    </row>
    <row r="1732" spans="1:39" x14ac:dyDescent="0.35">
      <c r="A1732">
        <v>1728</v>
      </c>
      <c r="B1732">
        <v>1729</v>
      </c>
      <c r="F1732" s="63"/>
      <c r="G1732" s="63"/>
      <c r="H1732" t="s">
        <v>78</v>
      </c>
      <c r="I1732" s="64">
        <v>1</v>
      </c>
      <c r="J1732" s="31"/>
      <c r="K1732" s="31"/>
      <c r="L1732" s="31"/>
      <c r="M1732" s="31"/>
      <c r="N1732" s="4"/>
      <c r="AG1732" t="s">
        <v>1454</v>
      </c>
      <c r="AM1732" s="1"/>
    </row>
    <row r="1733" spans="1:39" x14ac:dyDescent="0.35">
      <c r="A1733">
        <v>1729</v>
      </c>
      <c r="B1733">
        <v>1730</v>
      </c>
      <c r="F1733" s="63"/>
      <c r="G1733" s="63"/>
      <c r="H1733" t="s">
        <v>78</v>
      </c>
      <c r="I1733" s="64">
        <v>1</v>
      </c>
      <c r="J1733" s="31"/>
      <c r="K1733" s="31"/>
      <c r="L1733" s="31"/>
      <c r="M1733" s="31"/>
      <c r="N1733" s="4"/>
      <c r="AG1733" t="s">
        <v>1455</v>
      </c>
      <c r="AM1733" s="1"/>
    </row>
    <row r="1734" spans="1:39" x14ac:dyDescent="0.35">
      <c r="A1734">
        <v>1730</v>
      </c>
      <c r="B1734">
        <v>1731</v>
      </c>
      <c r="F1734" s="63"/>
      <c r="G1734" s="63"/>
      <c r="H1734" t="s">
        <v>78</v>
      </c>
      <c r="I1734" s="64">
        <v>1</v>
      </c>
      <c r="J1734" s="31"/>
      <c r="K1734" s="31"/>
      <c r="L1734" s="31"/>
      <c r="M1734" s="31"/>
      <c r="N1734" s="4"/>
      <c r="AG1734" t="s">
        <v>1456</v>
      </c>
      <c r="AM1734" s="1">
        <f>HYPERLINK("E:\CAFNEC_GBRF\2023\JohnstoneRiver\Frames_for_Analysis\" &amp; F1735, F1735)</f>
        <v>0</v>
      </c>
    </row>
    <row r="1735" spans="1:39" x14ac:dyDescent="0.35">
      <c r="A1735">
        <v>1731</v>
      </c>
      <c r="B1735">
        <v>1732</v>
      </c>
      <c r="F1735" s="63"/>
      <c r="G1735" s="63"/>
      <c r="H1735" t="s">
        <v>78</v>
      </c>
      <c r="I1735" s="64">
        <v>1</v>
      </c>
      <c r="J1735" s="31"/>
      <c r="K1735" s="31"/>
      <c r="L1735" s="31"/>
      <c r="M1735" s="31"/>
      <c r="N1735" s="4"/>
      <c r="AG1735" t="s">
        <v>1457</v>
      </c>
      <c r="AM1735" s="1">
        <f>HYPERLINK("E:\CAFNEC_GBRF\2023\JohnstoneRiver\Frames_for_Analysis\" &amp; F1736, F1736)</f>
        <v>0</v>
      </c>
    </row>
    <row r="1736" spans="1:39" x14ac:dyDescent="0.35">
      <c r="A1736">
        <v>1732</v>
      </c>
      <c r="B1736">
        <v>1733</v>
      </c>
      <c r="F1736" s="63"/>
      <c r="G1736" s="63"/>
      <c r="H1736" t="s">
        <v>78</v>
      </c>
      <c r="I1736" s="64">
        <v>1</v>
      </c>
      <c r="J1736" s="31"/>
      <c r="K1736" s="31"/>
      <c r="L1736" s="31"/>
      <c r="M1736" s="31"/>
      <c r="N1736" s="4"/>
      <c r="AG1736" t="s">
        <v>1458</v>
      </c>
      <c r="AM1736" s="1"/>
    </row>
    <row r="1737" spans="1:39" x14ac:dyDescent="0.35">
      <c r="A1737">
        <v>1733</v>
      </c>
      <c r="B1737">
        <v>1734</v>
      </c>
      <c r="F1737" s="63"/>
      <c r="G1737" s="63"/>
      <c r="H1737" t="s">
        <v>78</v>
      </c>
      <c r="I1737" s="64">
        <v>1</v>
      </c>
      <c r="J1737" s="31"/>
      <c r="K1737" s="31"/>
      <c r="L1737" s="31"/>
      <c r="M1737" s="31"/>
      <c r="N1737" s="4"/>
      <c r="AG1737" t="s">
        <v>1459</v>
      </c>
      <c r="AM1737" s="1"/>
    </row>
    <row r="1738" spans="1:39" x14ac:dyDescent="0.35">
      <c r="A1738">
        <v>1734</v>
      </c>
      <c r="B1738">
        <v>1735</v>
      </c>
      <c r="F1738" s="63"/>
      <c r="G1738" s="63"/>
      <c r="H1738" t="s">
        <v>78</v>
      </c>
      <c r="I1738" s="64">
        <v>1</v>
      </c>
      <c r="J1738" s="31"/>
      <c r="K1738" s="31"/>
      <c r="L1738" s="31"/>
      <c r="M1738" s="31"/>
      <c r="N1738" s="4"/>
      <c r="AG1738" t="s">
        <v>1460</v>
      </c>
      <c r="AM1738" s="1"/>
    </row>
    <row r="1739" spans="1:39" x14ac:dyDescent="0.35">
      <c r="A1739">
        <v>1735</v>
      </c>
      <c r="B1739">
        <v>1736</v>
      </c>
      <c r="F1739" s="63"/>
      <c r="G1739" s="63"/>
      <c r="H1739" t="s">
        <v>78</v>
      </c>
      <c r="I1739" s="64">
        <v>1</v>
      </c>
      <c r="J1739" s="31"/>
      <c r="K1739" s="31"/>
      <c r="L1739" s="31"/>
      <c r="M1739" s="31"/>
      <c r="N1739" s="4"/>
      <c r="AG1739" t="s">
        <v>1461</v>
      </c>
      <c r="AM1739" s="1">
        <f t="shared" ref="AM1739:AM1802" si="24">HYPERLINK("E:\CAFNEC_GBRF\2023\JohnstoneRiver\Frames_for_Analysis\" &amp; F1740, F1740)</f>
        <v>0</v>
      </c>
    </row>
    <row r="1740" spans="1:39" x14ac:dyDescent="0.35">
      <c r="A1740">
        <v>1736</v>
      </c>
      <c r="B1740">
        <v>1737</v>
      </c>
      <c r="F1740" s="63"/>
      <c r="G1740" s="63"/>
      <c r="H1740" t="s">
        <v>78</v>
      </c>
      <c r="I1740" s="64">
        <v>1</v>
      </c>
      <c r="J1740" s="31"/>
      <c r="K1740" s="31"/>
      <c r="L1740" s="31"/>
      <c r="M1740" s="31"/>
      <c r="N1740" s="4"/>
      <c r="AG1740" t="s">
        <v>1462</v>
      </c>
      <c r="AM1740" s="1">
        <f t="shared" si="24"/>
        <v>0</v>
      </c>
    </row>
    <row r="1741" spans="1:39" x14ac:dyDescent="0.35">
      <c r="A1741">
        <v>1737</v>
      </c>
      <c r="B1741">
        <v>1738</v>
      </c>
      <c r="F1741" s="63"/>
      <c r="G1741" s="63"/>
      <c r="H1741" t="s">
        <v>78</v>
      </c>
      <c r="I1741" s="64">
        <v>1</v>
      </c>
      <c r="J1741" s="31"/>
      <c r="K1741" s="31"/>
      <c r="L1741" s="31"/>
      <c r="M1741" s="31"/>
      <c r="N1741" s="4"/>
      <c r="AG1741" t="s">
        <v>1463</v>
      </c>
      <c r="AM1741" s="1">
        <f t="shared" si="24"/>
        <v>0</v>
      </c>
    </row>
    <row r="1742" spans="1:39" x14ac:dyDescent="0.35">
      <c r="A1742">
        <v>1738</v>
      </c>
      <c r="B1742">
        <v>1739</v>
      </c>
      <c r="F1742" s="63"/>
      <c r="G1742" s="63"/>
      <c r="H1742" t="s">
        <v>78</v>
      </c>
      <c r="I1742" s="64">
        <v>1</v>
      </c>
      <c r="J1742" s="31"/>
      <c r="K1742" s="31"/>
      <c r="L1742" s="31"/>
      <c r="M1742" s="31"/>
      <c r="N1742" s="4"/>
      <c r="AG1742" t="s">
        <v>1464</v>
      </c>
      <c r="AM1742" s="1">
        <f t="shared" si="24"/>
        <v>0</v>
      </c>
    </row>
    <row r="1743" spans="1:39" x14ac:dyDescent="0.35">
      <c r="A1743">
        <v>1739</v>
      </c>
      <c r="B1743">
        <v>1740</v>
      </c>
      <c r="F1743" s="63"/>
      <c r="G1743" s="63"/>
      <c r="H1743" t="s">
        <v>78</v>
      </c>
      <c r="I1743" s="64">
        <v>1</v>
      </c>
      <c r="J1743" s="31"/>
      <c r="K1743" s="31"/>
      <c r="L1743" s="31"/>
      <c r="M1743" s="31"/>
      <c r="N1743" s="4"/>
      <c r="AG1743" t="s">
        <v>1465</v>
      </c>
      <c r="AM1743" s="1">
        <f t="shared" si="24"/>
        <v>0</v>
      </c>
    </row>
    <row r="1744" spans="1:39" x14ac:dyDescent="0.35">
      <c r="A1744">
        <v>1740</v>
      </c>
      <c r="B1744">
        <v>1741</v>
      </c>
      <c r="F1744" s="63"/>
      <c r="G1744" s="63"/>
      <c r="H1744" t="s">
        <v>78</v>
      </c>
      <c r="I1744" s="64">
        <v>1</v>
      </c>
      <c r="J1744" s="31"/>
      <c r="K1744" s="31"/>
      <c r="L1744" s="31"/>
      <c r="M1744" s="31"/>
      <c r="N1744" s="4"/>
      <c r="AG1744" t="s">
        <v>1466</v>
      </c>
      <c r="AM1744" s="1">
        <f t="shared" si="24"/>
        <v>0</v>
      </c>
    </row>
    <row r="1745" spans="1:39" x14ac:dyDescent="0.35">
      <c r="A1745">
        <v>1741</v>
      </c>
      <c r="B1745">
        <v>1742</v>
      </c>
      <c r="F1745" s="63"/>
      <c r="G1745" s="63"/>
      <c r="H1745" t="s">
        <v>78</v>
      </c>
      <c r="I1745" s="64">
        <v>1</v>
      </c>
      <c r="J1745" s="31"/>
      <c r="K1745" s="31"/>
      <c r="L1745" s="31"/>
      <c r="M1745" s="31"/>
      <c r="N1745" s="4"/>
      <c r="AG1745" t="s">
        <v>1467</v>
      </c>
      <c r="AM1745" s="1">
        <f t="shared" si="24"/>
        <v>0</v>
      </c>
    </row>
    <row r="1746" spans="1:39" x14ac:dyDescent="0.35">
      <c r="A1746">
        <v>1742</v>
      </c>
      <c r="B1746">
        <v>1743</v>
      </c>
      <c r="F1746" s="63"/>
      <c r="G1746" s="63"/>
      <c r="H1746" t="s">
        <v>78</v>
      </c>
      <c r="I1746" s="64">
        <v>1</v>
      </c>
      <c r="J1746" s="31"/>
      <c r="K1746" s="31"/>
      <c r="L1746" s="31"/>
      <c r="M1746" s="31"/>
      <c r="N1746" s="4"/>
      <c r="AG1746" t="s">
        <v>1468</v>
      </c>
      <c r="AM1746" s="1">
        <f t="shared" si="24"/>
        <v>0</v>
      </c>
    </row>
    <row r="1747" spans="1:39" x14ac:dyDescent="0.35">
      <c r="A1747">
        <v>1743</v>
      </c>
      <c r="B1747">
        <v>1744</v>
      </c>
      <c r="F1747" s="63"/>
      <c r="G1747" s="63"/>
      <c r="H1747" t="s">
        <v>78</v>
      </c>
      <c r="I1747" s="64">
        <v>1</v>
      </c>
      <c r="J1747" s="31"/>
      <c r="K1747" s="31"/>
      <c r="L1747" s="31"/>
      <c r="M1747" s="31"/>
      <c r="N1747" s="4"/>
      <c r="AG1747" t="s">
        <v>1469</v>
      </c>
      <c r="AM1747" s="1">
        <f t="shared" si="24"/>
        <v>0</v>
      </c>
    </row>
    <row r="1748" spans="1:39" x14ac:dyDescent="0.35">
      <c r="A1748">
        <v>1744</v>
      </c>
      <c r="B1748">
        <v>1745</v>
      </c>
      <c r="F1748" s="63"/>
      <c r="G1748" s="63"/>
      <c r="H1748" t="s">
        <v>78</v>
      </c>
      <c r="I1748" s="64">
        <v>1</v>
      </c>
      <c r="J1748" s="31"/>
      <c r="K1748" s="31"/>
      <c r="L1748" s="31"/>
      <c r="M1748" s="31"/>
      <c r="N1748" s="4"/>
      <c r="AG1748" t="s">
        <v>1470</v>
      </c>
      <c r="AM1748" s="1">
        <f t="shared" si="24"/>
        <v>0</v>
      </c>
    </row>
    <row r="1749" spans="1:39" x14ac:dyDescent="0.35">
      <c r="A1749">
        <v>1745</v>
      </c>
      <c r="B1749">
        <v>1746</v>
      </c>
      <c r="F1749" s="63"/>
      <c r="G1749" s="63"/>
      <c r="H1749" t="s">
        <v>78</v>
      </c>
      <c r="I1749" s="64">
        <v>1</v>
      </c>
      <c r="J1749" s="31"/>
      <c r="K1749" s="31"/>
      <c r="L1749" s="31"/>
      <c r="M1749" s="31"/>
      <c r="N1749" s="4"/>
      <c r="AG1749" t="s">
        <v>1471</v>
      </c>
      <c r="AM1749" s="1">
        <f t="shared" si="24"/>
        <v>0</v>
      </c>
    </row>
    <row r="1750" spans="1:39" x14ac:dyDescent="0.35">
      <c r="A1750">
        <v>1746</v>
      </c>
      <c r="B1750">
        <v>1747</v>
      </c>
      <c r="F1750" s="63"/>
      <c r="G1750" s="63"/>
      <c r="H1750" t="s">
        <v>78</v>
      </c>
      <c r="I1750" s="64">
        <v>1</v>
      </c>
      <c r="J1750" s="31"/>
      <c r="K1750" s="31"/>
      <c r="L1750" s="31"/>
      <c r="M1750" s="31"/>
      <c r="N1750" s="4"/>
      <c r="AG1750" t="s">
        <v>1472</v>
      </c>
      <c r="AM1750" s="1">
        <f t="shared" si="24"/>
        <v>0</v>
      </c>
    </row>
    <row r="1751" spans="1:39" x14ac:dyDescent="0.35">
      <c r="A1751">
        <v>1747</v>
      </c>
      <c r="B1751">
        <v>1748</v>
      </c>
      <c r="F1751" s="63"/>
      <c r="G1751" s="63"/>
      <c r="H1751" t="s">
        <v>78</v>
      </c>
      <c r="I1751" s="64">
        <v>1</v>
      </c>
      <c r="J1751" s="31"/>
      <c r="K1751" s="31"/>
      <c r="L1751" s="31"/>
      <c r="M1751" s="31"/>
      <c r="N1751" s="4"/>
      <c r="AG1751" t="s">
        <v>1473</v>
      </c>
      <c r="AM1751" s="1">
        <f t="shared" si="24"/>
        <v>0</v>
      </c>
    </row>
    <row r="1752" spans="1:39" x14ac:dyDescent="0.35">
      <c r="A1752">
        <v>1748</v>
      </c>
      <c r="B1752">
        <v>1749</v>
      </c>
      <c r="F1752" s="63"/>
      <c r="G1752" s="63"/>
      <c r="H1752" t="s">
        <v>26</v>
      </c>
      <c r="I1752" s="64"/>
      <c r="J1752" s="31"/>
      <c r="K1752" s="31"/>
      <c r="L1752" s="31"/>
      <c r="M1752" s="31"/>
      <c r="N1752" s="4"/>
      <c r="AG1752" t="s">
        <v>1474</v>
      </c>
      <c r="AM1752" s="1">
        <f t="shared" si="24"/>
        <v>0</v>
      </c>
    </row>
    <row r="1753" spans="1:39" x14ac:dyDescent="0.35">
      <c r="A1753">
        <v>1749</v>
      </c>
      <c r="B1753">
        <v>1750</v>
      </c>
      <c r="F1753" s="63"/>
      <c r="G1753" s="63"/>
      <c r="H1753" t="s">
        <v>26</v>
      </c>
      <c r="I1753" s="64"/>
      <c r="J1753" s="31"/>
      <c r="K1753" s="31"/>
      <c r="L1753" s="31"/>
      <c r="M1753" s="31"/>
      <c r="N1753" s="4"/>
      <c r="AG1753" t="s">
        <v>1475</v>
      </c>
      <c r="AM1753" s="1">
        <f t="shared" si="24"/>
        <v>0</v>
      </c>
    </row>
    <row r="1754" spans="1:39" x14ac:dyDescent="0.35">
      <c r="A1754">
        <v>1750</v>
      </c>
      <c r="B1754">
        <v>1751</v>
      </c>
      <c r="F1754" s="63"/>
      <c r="G1754" s="63"/>
      <c r="H1754" t="s">
        <v>26</v>
      </c>
      <c r="I1754" s="64"/>
      <c r="J1754" s="31"/>
      <c r="K1754" s="31"/>
      <c r="L1754" s="31"/>
      <c r="M1754" s="31"/>
      <c r="N1754" s="4"/>
      <c r="AG1754" t="s">
        <v>1476</v>
      </c>
      <c r="AM1754" s="1">
        <f t="shared" si="24"/>
        <v>0</v>
      </c>
    </row>
    <row r="1755" spans="1:39" x14ac:dyDescent="0.35">
      <c r="A1755">
        <v>1751</v>
      </c>
      <c r="B1755">
        <v>1752</v>
      </c>
      <c r="F1755" s="63"/>
      <c r="G1755" s="63"/>
      <c r="H1755" t="s">
        <v>26</v>
      </c>
      <c r="I1755" s="64"/>
      <c r="J1755" s="31"/>
      <c r="K1755" s="31"/>
      <c r="L1755" s="31"/>
      <c r="M1755" s="31"/>
      <c r="N1755" s="4"/>
      <c r="AG1755" t="s">
        <v>1477</v>
      </c>
      <c r="AM1755" s="1">
        <f t="shared" si="24"/>
        <v>0</v>
      </c>
    </row>
    <row r="1756" spans="1:39" x14ac:dyDescent="0.35">
      <c r="A1756">
        <v>1752</v>
      </c>
      <c r="B1756">
        <v>1753</v>
      </c>
      <c r="F1756" s="63"/>
      <c r="G1756" s="63"/>
      <c r="H1756" t="s">
        <v>26</v>
      </c>
      <c r="I1756" s="64"/>
      <c r="J1756" s="31"/>
      <c r="K1756" s="31"/>
      <c r="L1756" s="31"/>
      <c r="M1756" s="31"/>
      <c r="N1756" s="4"/>
      <c r="AG1756" t="s">
        <v>1478</v>
      </c>
      <c r="AM1756" s="1">
        <f t="shared" si="24"/>
        <v>0</v>
      </c>
    </row>
    <row r="1757" spans="1:39" x14ac:dyDescent="0.35">
      <c r="A1757">
        <v>1753</v>
      </c>
      <c r="B1757">
        <v>1754</v>
      </c>
      <c r="F1757" s="63"/>
      <c r="G1757" s="63"/>
      <c r="H1757" t="s">
        <v>26</v>
      </c>
      <c r="I1757" s="64"/>
      <c r="J1757" s="31"/>
      <c r="K1757" s="31"/>
      <c r="L1757" s="31"/>
      <c r="M1757" s="31"/>
      <c r="N1757" s="4"/>
      <c r="AG1757" t="s">
        <v>1479</v>
      </c>
      <c r="AM1757" s="1">
        <f t="shared" si="24"/>
        <v>0</v>
      </c>
    </row>
    <row r="1758" spans="1:39" x14ac:dyDescent="0.35">
      <c r="A1758">
        <v>1754</v>
      </c>
      <c r="B1758">
        <v>1755</v>
      </c>
      <c r="F1758" s="63"/>
      <c r="G1758" s="63"/>
      <c r="I1758" s="64">
        <v>1</v>
      </c>
      <c r="J1758" s="31"/>
      <c r="K1758" s="31"/>
      <c r="L1758" s="31"/>
      <c r="M1758" s="31"/>
      <c r="N1758" s="4"/>
      <c r="AG1758" t="s">
        <v>1480</v>
      </c>
      <c r="AM1758" s="1">
        <f t="shared" si="24"/>
        <v>0</v>
      </c>
    </row>
    <row r="1759" spans="1:39" x14ac:dyDescent="0.35">
      <c r="A1759">
        <v>1755</v>
      </c>
      <c r="B1759">
        <v>1756</v>
      </c>
      <c r="F1759" s="63"/>
      <c r="G1759" s="63"/>
      <c r="H1759" t="s">
        <v>26</v>
      </c>
      <c r="I1759" s="64"/>
      <c r="J1759" s="31"/>
      <c r="K1759" s="31"/>
      <c r="L1759" s="31"/>
      <c r="M1759" s="31"/>
      <c r="N1759" s="4"/>
      <c r="AG1759" t="s">
        <v>1481</v>
      </c>
      <c r="AM1759" s="1">
        <f t="shared" si="24"/>
        <v>0</v>
      </c>
    </row>
    <row r="1760" spans="1:39" x14ac:dyDescent="0.35">
      <c r="A1760">
        <v>1756</v>
      </c>
      <c r="B1760">
        <v>1757</v>
      </c>
      <c r="F1760" s="63"/>
      <c r="G1760" s="63"/>
      <c r="H1760" t="s">
        <v>26</v>
      </c>
      <c r="I1760" s="64"/>
      <c r="J1760" s="31"/>
      <c r="K1760" s="31"/>
      <c r="L1760" s="31"/>
      <c r="M1760" s="31"/>
      <c r="N1760" s="4"/>
      <c r="AG1760" t="s">
        <v>1482</v>
      </c>
      <c r="AM1760" s="1">
        <f t="shared" si="24"/>
        <v>0</v>
      </c>
    </row>
    <row r="1761" spans="1:39" x14ac:dyDescent="0.35">
      <c r="A1761">
        <v>1757</v>
      </c>
      <c r="B1761">
        <v>1758</v>
      </c>
      <c r="F1761" s="63"/>
      <c r="G1761" s="63"/>
      <c r="H1761" t="s">
        <v>26</v>
      </c>
      <c r="I1761" s="64"/>
      <c r="J1761" s="31"/>
      <c r="K1761" s="31"/>
      <c r="L1761" s="31"/>
      <c r="M1761" s="31"/>
      <c r="N1761" s="4"/>
      <c r="AG1761" t="s">
        <v>1483</v>
      </c>
      <c r="AM1761" s="1">
        <f t="shared" si="24"/>
        <v>0</v>
      </c>
    </row>
    <row r="1762" spans="1:39" x14ac:dyDescent="0.35">
      <c r="A1762">
        <v>1758</v>
      </c>
      <c r="B1762">
        <v>1759</v>
      </c>
      <c r="F1762" s="63"/>
      <c r="G1762" s="63"/>
      <c r="I1762" s="64">
        <v>1</v>
      </c>
      <c r="J1762" s="31"/>
      <c r="K1762" s="31"/>
      <c r="L1762" s="31"/>
      <c r="M1762" s="31"/>
      <c r="N1762" s="4"/>
      <c r="AG1762" t="s">
        <v>1484</v>
      </c>
      <c r="AM1762" s="1">
        <f t="shared" si="24"/>
        <v>0</v>
      </c>
    </row>
    <row r="1763" spans="1:39" x14ac:dyDescent="0.35">
      <c r="A1763">
        <v>1759</v>
      </c>
      <c r="B1763">
        <v>1760</v>
      </c>
      <c r="F1763" s="63"/>
      <c r="G1763" s="63"/>
      <c r="I1763" s="64">
        <v>1</v>
      </c>
      <c r="J1763" s="31"/>
      <c r="K1763" s="31"/>
      <c r="L1763" s="31"/>
      <c r="M1763" s="31"/>
      <c r="N1763" s="4"/>
      <c r="AG1763" t="s">
        <v>1485</v>
      </c>
      <c r="AM1763" s="1">
        <f t="shared" si="24"/>
        <v>0</v>
      </c>
    </row>
    <row r="1764" spans="1:39" x14ac:dyDescent="0.35">
      <c r="A1764">
        <v>1760</v>
      </c>
      <c r="B1764">
        <v>1761</v>
      </c>
      <c r="F1764" s="63"/>
      <c r="G1764" s="63"/>
      <c r="H1764" t="s">
        <v>26</v>
      </c>
      <c r="I1764" s="64"/>
      <c r="J1764" s="31"/>
      <c r="K1764" s="31"/>
      <c r="L1764" s="31"/>
      <c r="M1764" s="31"/>
      <c r="N1764" s="4"/>
      <c r="AG1764" t="s">
        <v>1486</v>
      </c>
      <c r="AM1764" s="1">
        <f t="shared" si="24"/>
        <v>0</v>
      </c>
    </row>
    <row r="1765" spans="1:39" x14ac:dyDescent="0.35">
      <c r="A1765">
        <v>1761</v>
      </c>
      <c r="B1765">
        <v>1762</v>
      </c>
      <c r="F1765" s="63"/>
      <c r="G1765" s="63"/>
      <c r="H1765" t="s">
        <v>26</v>
      </c>
      <c r="I1765" s="64"/>
      <c r="J1765" s="31"/>
      <c r="K1765" s="31"/>
      <c r="L1765" s="31"/>
      <c r="M1765" s="31"/>
      <c r="N1765" s="4"/>
      <c r="AG1765" t="s">
        <v>1487</v>
      </c>
      <c r="AM1765" s="1">
        <f t="shared" si="24"/>
        <v>0</v>
      </c>
    </row>
    <row r="1766" spans="1:39" x14ac:dyDescent="0.35">
      <c r="A1766">
        <v>1762</v>
      </c>
      <c r="B1766">
        <v>1763</v>
      </c>
      <c r="F1766" s="63"/>
      <c r="G1766" s="63"/>
      <c r="I1766" s="64">
        <v>1</v>
      </c>
      <c r="J1766" s="31"/>
      <c r="K1766" s="31"/>
      <c r="L1766" s="31"/>
      <c r="M1766" s="31"/>
      <c r="N1766" s="4"/>
      <c r="AG1766" t="s">
        <v>1488</v>
      </c>
      <c r="AM1766" s="1">
        <f t="shared" si="24"/>
        <v>0</v>
      </c>
    </row>
    <row r="1767" spans="1:39" x14ac:dyDescent="0.35">
      <c r="A1767">
        <v>1763</v>
      </c>
      <c r="B1767">
        <v>1764</v>
      </c>
      <c r="F1767" s="63"/>
      <c r="G1767" s="63"/>
      <c r="I1767" s="64">
        <v>1</v>
      </c>
      <c r="J1767" s="31"/>
      <c r="K1767" s="31"/>
      <c r="L1767" s="31"/>
      <c r="M1767" s="31"/>
      <c r="N1767" s="4"/>
      <c r="AG1767" t="s">
        <v>1489</v>
      </c>
      <c r="AM1767" s="1">
        <f t="shared" si="24"/>
        <v>0</v>
      </c>
    </row>
    <row r="1768" spans="1:39" x14ac:dyDescent="0.35">
      <c r="A1768">
        <v>1764</v>
      </c>
      <c r="B1768">
        <v>1765</v>
      </c>
      <c r="F1768" s="63"/>
      <c r="G1768" s="63"/>
      <c r="H1768" t="s">
        <v>26</v>
      </c>
      <c r="I1768" s="64"/>
      <c r="J1768" s="31"/>
      <c r="K1768" s="31"/>
      <c r="L1768" s="31"/>
      <c r="M1768" s="31"/>
      <c r="N1768" s="4"/>
      <c r="AG1768" t="s">
        <v>1490</v>
      </c>
      <c r="AM1768" s="1">
        <f t="shared" si="24"/>
        <v>0</v>
      </c>
    </row>
    <row r="1769" spans="1:39" x14ac:dyDescent="0.35">
      <c r="A1769">
        <v>1765</v>
      </c>
      <c r="B1769">
        <v>1766</v>
      </c>
      <c r="F1769" s="63"/>
      <c r="G1769" s="63"/>
      <c r="H1769" t="s">
        <v>26</v>
      </c>
      <c r="I1769" s="64"/>
      <c r="J1769" s="31"/>
      <c r="K1769" s="31"/>
      <c r="L1769" s="31"/>
      <c r="M1769" s="31"/>
      <c r="N1769" s="4"/>
      <c r="AG1769" t="s">
        <v>1491</v>
      </c>
      <c r="AM1769" s="1">
        <f t="shared" si="24"/>
        <v>0</v>
      </c>
    </row>
    <row r="1770" spans="1:39" x14ac:dyDescent="0.35">
      <c r="A1770">
        <v>1766</v>
      </c>
      <c r="B1770">
        <v>1767</v>
      </c>
      <c r="F1770" s="63"/>
      <c r="G1770" s="63"/>
      <c r="H1770" t="s">
        <v>26</v>
      </c>
      <c r="I1770" s="64"/>
      <c r="J1770" s="31"/>
      <c r="K1770" s="31"/>
      <c r="L1770" s="31"/>
      <c r="M1770" s="31"/>
      <c r="N1770" s="4"/>
      <c r="AG1770" t="s">
        <v>1492</v>
      </c>
      <c r="AM1770" s="1">
        <f t="shared" si="24"/>
        <v>0</v>
      </c>
    </row>
    <row r="1771" spans="1:39" x14ac:dyDescent="0.35">
      <c r="A1771">
        <v>1767</v>
      </c>
      <c r="B1771">
        <v>1768</v>
      </c>
      <c r="F1771" s="63"/>
      <c r="G1771" s="63"/>
      <c r="H1771" t="s">
        <v>26</v>
      </c>
      <c r="I1771" s="64"/>
      <c r="J1771" s="31"/>
      <c r="K1771" s="31"/>
      <c r="L1771" s="31"/>
      <c r="M1771" s="31"/>
      <c r="N1771" s="4"/>
      <c r="AG1771" t="s">
        <v>1493</v>
      </c>
      <c r="AM1771" s="1">
        <f t="shared" si="24"/>
        <v>0</v>
      </c>
    </row>
    <row r="1772" spans="1:39" x14ac:dyDescent="0.35">
      <c r="A1772">
        <v>1768</v>
      </c>
      <c r="B1772">
        <v>1769</v>
      </c>
      <c r="F1772" s="63"/>
      <c r="G1772" s="63"/>
      <c r="H1772" t="s">
        <v>26</v>
      </c>
      <c r="I1772" s="64"/>
      <c r="J1772" s="31"/>
      <c r="K1772" s="31"/>
      <c r="L1772" s="31"/>
      <c r="M1772" s="31"/>
      <c r="N1772" s="4"/>
      <c r="AG1772" t="s">
        <v>1494</v>
      </c>
      <c r="AM1772" s="1">
        <f t="shared" si="24"/>
        <v>0</v>
      </c>
    </row>
    <row r="1773" spans="1:39" x14ac:dyDescent="0.35">
      <c r="A1773">
        <v>1769</v>
      </c>
      <c r="B1773">
        <v>1770</v>
      </c>
      <c r="F1773" s="63"/>
      <c r="G1773" s="63"/>
      <c r="H1773" t="s">
        <v>26</v>
      </c>
      <c r="I1773" s="64"/>
      <c r="J1773" s="31"/>
      <c r="K1773" s="31"/>
      <c r="L1773" s="31"/>
      <c r="M1773" s="31"/>
      <c r="N1773" s="4"/>
      <c r="AG1773" t="s">
        <v>1495</v>
      </c>
      <c r="AM1773" s="1">
        <f t="shared" si="24"/>
        <v>0</v>
      </c>
    </row>
    <row r="1774" spans="1:39" x14ac:dyDescent="0.35">
      <c r="A1774">
        <v>1770</v>
      </c>
      <c r="B1774">
        <v>1771</v>
      </c>
      <c r="F1774" s="63"/>
      <c r="G1774" s="63"/>
      <c r="H1774" t="s">
        <v>26</v>
      </c>
      <c r="I1774" s="64"/>
      <c r="J1774" s="31"/>
      <c r="K1774" s="31"/>
      <c r="L1774" s="31"/>
      <c r="M1774" s="31"/>
      <c r="N1774" s="4"/>
      <c r="AG1774" t="s">
        <v>1496</v>
      </c>
      <c r="AM1774" s="1">
        <f t="shared" si="24"/>
        <v>0</v>
      </c>
    </row>
    <row r="1775" spans="1:39" x14ac:dyDescent="0.35">
      <c r="A1775">
        <v>1771</v>
      </c>
      <c r="B1775">
        <v>1772</v>
      </c>
      <c r="F1775" s="63"/>
      <c r="G1775" s="63"/>
      <c r="H1775" t="s">
        <v>78</v>
      </c>
      <c r="I1775" s="64">
        <v>1</v>
      </c>
      <c r="J1775" s="31"/>
      <c r="K1775" s="31"/>
      <c r="L1775" s="31"/>
      <c r="M1775" s="31"/>
      <c r="N1775" s="4"/>
      <c r="AG1775" t="s">
        <v>1497</v>
      </c>
      <c r="AM1775" s="1">
        <f t="shared" si="24"/>
        <v>0</v>
      </c>
    </row>
    <row r="1776" spans="1:39" x14ac:dyDescent="0.35">
      <c r="A1776">
        <v>1772</v>
      </c>
      <c r="B1776">
        <v>1773</v>
      </c>
      <c r="F1776" s="63"/>
      <c r="G1776" s="63"/>
      <c r="H1776" t="s">
        <v>78</v>
      </c>
      <c r="I1776" s="64">
        <v>1</v>
      </c>
      <c r="J1776" s="31"/>
      <c r="K1776" s="31"/>
      <c r="L1776" s="31"/>
      <c r="M1776" s="31"/>
      <c r="N1776" s="4"/>
      <c r="AG1776" t="s">
        <v>1498</v>
      </c>
      <c r="AM1776" s="1">
        <f t="shared" si="24"/>
        <v>0</v>
      </c>
    </row>
    <row r="1777" spans="1:39" x14ac:dyDescent="0.35">
      <c r="A1777">
        <v>1773</v>
      </c>
      <c r="B1777">
        <v>1774</v>
      </c>
      <c r="F1777" s="63"/>
      <c r="G1777" s="63"/>
      <c r="H1777" t="s">
        <v>78</v>
      </c>
      <c r="I1777" s="64">
        <v>1</v>
      </c>
      <c r="J1777" s="31"/>
      <c r="K1777" s="31"/>
      <c r="L1777" s="31"/>
      <c r="M1777" s="31"/>
      <c r="N1777" s="4"/>
      <c r="AG1777" t="s">
        <v>1499</v>
      </c>
      <c r="AM1777" s="1">
        <f t="shared" si="24"/>
        <v>0</v>
      </c>
    </row>
    <row r="1778" spans="1:39" x14ac:dyDescent="0.35">
      <c r="A1778">
        <v>1774</v>
      </c>
      <c r="B1778">
        <v>1775</v>
      </c>
      <c r="F1778" s="63"/>
      <c r="G1778" s="63"/>
      <c r="H1778" t="s">
        <v>26</v>
      </c>
      <c r="I1778" s="64"/>
      <c r="J1778" s="31"/>
      <c r="K1778" s="31"/>
      <c r="L1778" s="31"/>
      <c r="M1778" s="31"/>
      <c r="N1778" s="4"/>
      <c r="AG1778" t="s">
        <v>1500</v>
      </c>
      <c r="AM1778" s="1">
        <f t="shared" si="24"/>
        <v>0</v>
      </c>
    </row>
    <row r="1779" spans="1:39" x14ac:dyDescent="0.35">
      <c r="A1779">
        <v>1775</v>
      </c>
      <c r="B1779">
        <v>1776</v>
      </c>
      <c r="F1779" s="63"/>
      <c r="G1779" s="63"/>
      <c r="H1779" t="s">
        <v>26</v>
      </c>
      <c r="I1779" s="64"/>
      <c r="J1779" s="31"/>
      <c r="K1779" s="31"/>
      <c r="L1779" s="31"/>
      <c r="M1779" s="31"/>
      <c r="N1779" s="4"/>
      <c r="AG1779" t="s">
        <v>1501</v>
      </c>
      <c r="AM1779" s="1">
        <f t="shared" si="24"/>
        <v>0</v>
      </c>
    </row>
    <row r="1780" spans="1:39" x14ac:dyDescent="0.35">
      <c r="A1780">
        <v>1776</v>
      </c>
      <c r="B1780">
        <v>1777</v>
      </c>
      <c r="F1780" s="63"/>
      <c r="G1780" s="63"/>
      <c r="H1780" t="s">
        <v>26</v>
      </c>
      <c r="I1780" s="64"/>
      <c r="J1780" s="31"/>
      <c r="K1780" s="31"/>
      <c r="L1780" s="31"/>
      <c r="M1780" s="31"/>
      <c r="N1780" s="4"/>
      <c r="AG1780" t="s">
        <v>1502</v>
      </c>
      <c r="AM1780" s="1">
        <f t="shared" si="24"/>
        <v>0</v>
      </c>
    </row>
    <row r="1781" spans="1:39" x14ac:dyDescent="0.35">
      <c r="A1781">
        <v>1777</v>
      </c>
      <c r="B1781">
        <v>1778</v>
      </c>
      <c r="F1781" s="63"/>
      <c r="G1781" s="63"/>
      <c r="H1781" t="s">
        <v>26</v>
      </c>
      <c r="I1781" s="64"/>
      <c r="J1781" s="31"/>
      <c r="K1781" s="31"/>
      <c r="L1781" s="31"/>
      <c r="M1781" s="31"/>
      <c r="N1781" s="4"/>
      <c r="AG1781" t="s">
        <v>1503</v>
      </c>
      <c r="AM1781" s="1">
        <f t="shared" si="24"/>
        <v>0</v>
      </c>
    </row>
    <row r="1782" spans="1:39" x14ac:dyDescent="0.35">
      <c r="A1782">
        <v>1778</v>
      </c>
      <c r="B1782">
        <v>1779</v>
      </c>
      <c r="F1782" s="63"/>
      <c r="G1782" s="63"/>
      <c r="H1782" t="s">
        <v>26</v>
      </c>
      <c r="I1782" s="64"/>
      <c r="J1782" s="31"/>
      <c r="K1782" s="31"/>
      <c r="L1782" s="31"/>
      <c r="M1782" s="31"/>
      <c r="N1782" s="4"/>
      <c r="AG1782" t="s">
        <v>1504</v>
      </c>
      <c r="AM1782" s="1">
        <f t="shared" si="24"/>
        <v>0</v>
      </c>
    </row>
    <row r="1783" spans="1:39" x14ac:dyDescent="0.35">
      <c r="A1783">
        <v>1779</v>
      </c>
      <c r="B1783">
        <v>1780</v>
      </c>
      <c r="F1783" s="63"/>
      <c r="G1783" s="63"/>
      <c r="H1783" t="s">
        <v>78</v>
      </c>
      <c r="I1783" s="64">
        <v>1</v>
      </c>
      <c r="J1783" s="31"/>
      <c r="K1783" s="31"/>
      <c r="L1783" s="31"/>
      <c r="M1783" s="31"/>
      <c r="N1783" s="4"/>
      <c r="AG1783" t="s">
        <v>1505</v>
      </c>
      <c r="AM1783" s="1">
        <f t="shared" si="24"/>
        <v>0</v>
      </c>
    </row>
    <row r="1784" spans="1:39" x14ac:dyDescent="0.35">
      <c r="A1784">
        <v>1780</v>
      </c>
      <c r="B1784">
        <v>1781</v>
      </c>
      <c r="F1784" s="63"/>
      <c r="G1784" s="63"/>
      <c r="H1784" t="s">
        <v>26</v>
      </c>
      <c r="I1784" s="64"/>
      <c r="J1784" s="31"/>
      <c r="K1784" s="31"/>
      <c r="L1784" s="31"/>
      <c r="M1784" s="31"/>
      <c r="N1784" s="4"/>
      <c r="AG1784" t="s">
        <v>1506</v>
      </c>
      <c r="AM1784" s="1">
        <f t="shared" si="24"/>
        <v>0</v>
      </c>
    </row>
    <row r="1785" spans="1:39" x14ac:dyDescent="0.35">
      <c r="A1785">
        <v>1781</v>
      </c>
      <c r="B1785">
        <v>1782</v>
      </c>
      <c r="F1785" s="63"/>
      <c r="G1785" s="63"/>
      <c r="H1785" t="s">
        <v>78</v>
      </c>
      <c r="I1785" s="64">
        <v>1</v>
      </c>
      <c r="J1785" s="31"/>
      <c r="K1785" s="31"/>
      <c r="L1785" s="31"/>
      <c r="M1785" s="31"/>
      <c r="N1785" s="4"/>
      <c r="AG1785" t="s">
        <v>1507</v>
      </c>
      <c r="AM1785" s="1">
        <f t="shared" si="24"/>
        <v>0</v>
      </c>
    </row>
    <row r="1786" spans="1:39" x14ac:dyDescent="0.35">
      <c r="A1786">
        <v>1782</v>
      </c>
      <c r="B1786">
        <v>1783</v>
      </c>
      <c r="F1786" s="63"/>
      <c r="G1786" s="63"/>
      <c r="H1786" t="s">
        <v>78</v>
      </c>
      <c r="I1786" s="64">
        <v>1</v>
      </c>
      <c r="J1786" s="31"/>
      <c r="K1786" s="31"/>
      <c r="L1786" s="31"/>
      <c r="M1786" s="31"/>
      <c r="N1786" s="4"/>
      <c r="AG1786" t="s">
        <v>1508</v>
      </c>
      <c r="AM1786" s="1">
        <f t="shared" si="24"/>
        <v>0</v>
      </c>
    </row>
    <row r="1787" spans="1:39" x14ac:dyDescent="0.35">
      <c r="A1787">
        <v>1783</v>
      </c>
      <c r="B1787">
        <v>1784</v>
      </c>
      <c r="F1787" s="63"/>
      <c r="G1787" s="63"/>
      <c r="H1787" t="s">
        <v>26</v>
      </c>
      <c r="I1787" s="64"/>
      <c r="J1787" s="31"/>
      <c r="K1787" s="31"/>
      <c r="L1787" s="31"/>
      <c r="M1787" s="31"/>
      <c r="N1787" s="4"/>
      <c r="AG1787" t="s">
        <v>1509</v>
      </c>
      <c r="AM1787" s="1">
        <f t="shared" si="24"/>
        <v>0</v>
      </c>
    </row>
    <row r="1788" spans="1:39" x14ac:dyDescent="0.35">
      <c r="A1788">
        <v>1784</v>
      </c>
      <c r="B1788">
        <v>1785</v>
      </c>
      <c r="F1788" s="63"/>
      <c r="G1788" s="63"/>
      <c r="H1788" t="s">
        <v>26</v>
      </c>
      <c r="I1788" s="64"/>
      <c r="J1788" s="31"/>
      <c r="K1788" s="31"/>
      <c r="L1788" s="31"/>
      <c r="M1788" s="31"/>
      <c r="N1788" s="4"/>
      <c r="AG1788" t="s">
        <v>1510</v>
      </c>
      <c r="AM1788" s="1">
        <f t="shared" si="24"/>
        <v>0</v>
      </c>
    </row>
    <row r="1789" spans="1:39" x14ac:dyDescent="0.35">
      <c r="A1789">
        <v>1785</v>
      </c>
      <c r="B1789">
        <v>1786</v>
      </c>
      <c r="F1789" s="63"/>
      <c r="G1789" s="63"/>
      <c r="H1789" t="s">
        <v>26</v>
      </c>
      <c r="I1789" s="64"/>
      <c r="J1789" s="31"/>
      <c r="K1789" s="31"/>
      <c r="L1789" s="31"/>
      <c r="M1789" s="31"/>
      <c r="N1789" s="4"/>
      <c r="AG1789" t="s">
        <v>1511</v>
      </c>
      <c r="AM1789" s="1">
        <f t="shared" si="24"/>
        <v>0</v>
      </c>
    </row>
    <row r="1790" spans="1:39" x14ac:dyDescent="0.35">
      <c r="A1790">
        <v>1786</v>
      </c>
      <c r="B1790">
        <v>1787</v>
      </c>
      <c r="F1790" s="63"/>
      <c r="G1790" s="63"/>
      <c r="H1790" t="s">
        <v>26</v>
      </c>
      <c r="I1790" s="64"/>
      <c r="J1790" s="31"/>
      <c r="K1790" s="31"/>
      <c r="L1790" s="31"/>
      <c r="M1790" s="31"/>
      <c r="N1790" s="4"/>
      <c r="AG1790" t="s">
        <v>1512</v>
      </c>
      <c r="AM1790" s="1">
        <f t="shared" si="24"/>
        <v>0</v>
      </c>
    </row>
    <row r="1791" spans="1:39" x14ac:dyDescent="0.35">
      <c r="A1791">
        <v>1787</v>
      </c>
      <c r="B1791">
        <v>1788</v>
      </c>
      <c r="F1791" s="63"/>
      <c r="G1791" s="63"/>
      <c r="H1791" t="s">
        <v>26</v>
      </c>
      <c r="I1791" s="64"/>
      <c r="J1791" s="31"/>
      <c r="K1791" s="31"/>
      <c r="L1791" s="31"/>
      <c r="M1791" s="31"/>
      <c r="N1791" s="4"/>
      <c r="AG1791" t="s">
        <v>1513</v>
      </c>
      <c r="AM1791" s="1">
        <f t="shared" si="24"/>
        <v>0</v>
      </c>
    </row>
    <row r="1792" spans="1:39" x14ac:dyDescent="0.35">
      <c r="A1792">
        <v>1788</v>
      </c>
      <c r="B1792">
        <v>1789</v>
      </c>
      <c r="F1792" s="63"/>
      <c r="G1792" s="63"/>
      <c r="H1792" t="s">
        <v>26</v>
      </c>
      <c r="I1792" s="64"/>
      <c r="J1792" s="31"/>
      <c r="K1792" s="31"/>
      <c r="L1792" s="31"/>
      <c r="M1792" s="31"/>
      <c r="N1792" s="4"/>
      <c r="AG1792" t="s">
        <v>1514</v>
      </c>
      <c r="AM1792" s="1">
        <f t="shared" si="24"/>
        <v>0</v>
      </c>
    </row>
    <row r="1793" spans="1:39" x14ac:dyDescent="0.35">
      <c r="A1793">
        <v>1789</v>
      </c>
      <c r="B1793">
        <v>1790</v>
      </c>
      <c r="F1793" s="63"/>
      <c r="G1793" s="63"/>
      <c r="H1793" t="s">
        <v>26</v>
      </c>
      <c r="I1793" s="64"/>
      <c r="J1793" s="31"/>
      <c r="K1793" s="31"/>
      <c r="L1793" s="31"/>
      <c r="M1793" s="31"/>
      <c r="N1793" s="4"/>
      <c r="AG1793" t="s">
        <v>1515</v>
      </c>
      <c r="AM1793" s="1">
        <f t="shared" si="24"/>
        <v>0</v>
      </c>
    </row>
    <row r="1794" spans="1:39" x14ac:dyDescent="0.35">
      <c r="A1794">
        <v>1790</v>
      </c>
      <c r="B1794">
        <v>1791</v>
      </c>
      <c r="F1794" s="63"/>
      <c r="G1794" s="63"/>
      <c r="H1794" t="s">
        <v>26</v>
      </c>
      <c r="I1794" s="64"/>
      <c r="J1794" s="31"/>
      <c r="K1794" s="31"/>
      <c r="L1794" s="31"/>
      <c r="M1794" s="31"/>
      <c r="N1794" s="4"/>
      <c r="AG1794" t="s">
        <v>1516</v>
      </c>
      <c r="AM1794" s="1">
        <f t="shared" si="24"/>
        <v>0</v>
      </c>
    </row>
    <row r="1795" spans="1:39" x14ac:dyDescent="0.35">
      <c r="A1795">
        <v>1791</v>
      </c>
      <c r="B1795">
        <v>1792</v>
      </c>
      <c r="F1795" s="63"/>
      <c r="G1795" s="63"/>
      <c r="H1795" t="s">
        <v>26</v>
      </c>
      <c r="I1795" s="64"/>
      <c r="J1795" s="31"/>
      <c r="K1795" s="31"/>
      <c r="L1795" s="31"/>
      <c r="M1795" s="31"/>
      <c r="N1795" s="4"/>
      <c r="AG1795" t="s">
        <v>1517</v>
      </c>
      <c r="AM1795" s="1">
        <f t="shared" si="24"/>
        <v>0</v>
      </c>
    </row>
    <row r="1796" spans="1:39" x14ac:dyDescent="0.35">
      <c r="A1796">
        <v>1792</v>
      </c>
      <c r="B1796">
        <v>1793</v>
      </c>
      <c r="F1796" s="63"/>
      <c r="G1796" s="63"/>
      <c r="H1796" t="s">
        <v>26</v>
      </c>
      <c r="I1796" s="64"/>
      <c r="J1796" s="31"/>
      <c r="K1796" s="31"/>
      <c r="L1796" s="31"/>
      <c r="M1796" s="31"/>
      <c r="N1796" s="4"/>
      <c r="AG1796" t="s">
        <v>1518</v>
      </c>
      <c r="AM1796" s="1">
        <f t="shared" si="24"/>
        <v>0</v>
      </c>
    </row>
    <row r="1797" spans="1:39" x14ac:dyDescent="0.35">
      <c r="A1797">
        <v>1793</v>
      </c>
      <c r="B1797">
        <v>1794</v>
      </c>
      <c r="F1797" s="63"/>
      <c r="G1797" s="63"/>
      <c r="H1797" t="s">
        <v>26</v>
      </c>
      <c r="I1797" s="64"/>
      <c r="J1797" s="31"/>
      <c r="K1797" s="31"/>
      <c r="L1797" s="31"/>
      <c r="M1797" s="31"/>
      <c r="N1797" s="4"/>
      <c r="AG1797" t="s">
        <v>1519</v>
      </c>
      <c r="AM1797" s="1">
        <f t="shared" si="24"/>
        <v>0</v>
      </c>
    </row>
    <row r="1798" spans="1:39" x14ac:dyDescent="0.35">
      <c r="A1798">
        <v>1794</v>
      </c>
      <c r="B1798">
        <v>1795</v>
      </c>
      <c r="F1798" s="63"/>
      <c r="G1798" s="63"/>
      <c r="H1798" t="s">
        <v>26</v>
      </c>
      <c r="I1798" s="64"/>
      <c r="J1798" s="31"/>
      <c r="K1798" s="31"/>
      <c r="L1798" s="31"/>
      <c r="M1798" s="31"/>
      <c r="N1798" s="4"/>
      <c r="AG1798" t="s">
        <v>1520</v>
      </c>
      <c r="AM1798" s="1">
        <f t="shared" si="24"/>
        <v>0</v>
      </c>
    </row>
    <row r="1799" spans="1:39" x14ac:dyDescent="0.35">
      <c r="A1799">
        <v>1795</v>
      </c>
      <c r="B1799">
        <v>1796</v>
      </c>
      <c r="F1799" s="63"/>
      <c r="G1799" s="63"/>
      <c r="H1799" t="s">
        <v>26</v>
      </c>
      <c r="I1799" s="64"/>
      <c r="J1799" s="31"/>
      <c r="K1799" s="31"/>
      <c r="L1799" s="31"/>
      <c r="M1799" s="31"/>
      <c r="N1799" s="4"/>
      <c r="AG1799" t="s">
        <v>1521</v>
      </c>
      <c r="AM1799" s="1">
        <f t="shared" si="24"/>
        <v>0</v>
      </c>
    </row>
    <row r="1800" spans="1:39" x14ac:dyDescent="0.35">
      <c r="A1800">
        <v>1796</v>
      </c>
      <c r="B1800">
        <v>1797</v>
      </c>
      <c r="F1800" s="63"/>
      <c r="G1800" s="63"/>
      <c r="H1800" t="s">
        <v>26</v>
      </c>
      <c r="I1800" s="64"/>
      <c r="J1800" s="31"/>
      <c r="K1800" s="31"/>
      <c r="L1800" s="31"/>
      <c r="M1800" s="31"/>
      <c r="N1800" s="4"/>
      <c r="AG1800" t="s">
        <v>1522</v>
      </c>
      <c r="AM1800" s="1">
        <f t="shared" si="24"/>
        <v>0</v>
      </c>
    </row>
    <row r="1801" spans="1:39" x14ac:dyDescent="0.35">
      <c r="A1801">
        <v>1797</v>
      </c>
      <c r="B1801">
        <v>1798</v>
      </c>
      <c r="F1801" s="63"/>
      <c r="G1801" s="63"/>
      <c r="H1801" t="s">
        <v>26</v>
      </c>
      <c r="I1801" s="64"/>
      <c r="J1801" s="31"/>
      <c r="K1801" s="31"/>
      <c r="L1801" s="31"/>
      <c r="M1801" s="31"/>
      <c r="N1801" s="4"/>
      <c r="AG1801" t="s">
        <v>1523</v>
      </c>
      <c r="AM1801" s="1">
        <f t="shared" si="24"/>
        <v>0</v>
      </c>
    </row>
    <row r="1802" spans="1:39" x14ac:dyDescent="0.35">
      <c r="A1802">
        <v>1798</v>
      </c>
      <c r="B1802">
        <v>1799</v>
      </c>
      <c r="F1802" s="63"/>
      <c r="G1802" s="63"/>
      <c r="H1802" t="s">
        <v>26</v>
      </c>
      <c r="I1802" s="64"/>
      <c r="J1802" s="31"/>
      <c r="K1802" s="31"/>
      <c r="L1802" s="31"/>
      <c r="M1802" s="31"/>
      <c r="N1802" s="4"/>
      <c r="AG1802" t="s">
        <v>1524</v>
      </c>
      <c r="AM1802" s="1">
        <f t="shared" si="24"/>
        <v>0</v>
      </c>
    </row>
    <row r="1803" spans="1:39" x14ac:dyDescent="0.35">
      <c r="A1803">
        <v>1799</v>
      </c>
      <c r="B1803">
        <v>1800</v>
      </c>
      <c r="F1803" s="63"/>
      <c r="G1803" s="63"/>
      <c r="H1803" t="s">
        <v>26</v>
      </c>
      <c r="I1803" s="64"/>
      <c r="J1803" s="31"/>
      <c r="K1803" s="31"/>
      <c r="L1803" s="31"/>
      <c r="M1803" s="31"/>
      <c r="N1803" s="4"/>
      <c r="AG1803" t="s">
        <v>1525</v>
      </c>
      <c r="AM1803" s="1">
        <f t="shared" ref="AM1803:AM1866" si="25">HYPERLINK("E:\CAFNEC_GBRF\2023\JohnstoneRiver\Frames_for_Analysis\" &amp; F1804, F1804)</f>
        <v>0</v>
      </c>
    </row>
    <row r="1804" spans="1:39" x14ac:dyDescent="0.35">
      <c r="A1804">
        <v>1800</v>
      </c>
      <c r="B1804">
        <v>1801</v>
      </c>
      <c r="F1804" s="63"/>
      <c r="G1804" s="63"/>
      <c r="H1804" t="s">
        <v>26</v>
      </c>
      <c r="I1804" s="64"/>
      <c r="J1804" s="31"/>
      <c r="K1804" s="31"/>
      <c r="L1804" s="31"/>
      <c r="M1804" s="31"/>
      <c r="N1804" s="4"/>
      <c r="AG1804" t="s">
        <v>1526</v>
      </c>
      <c r="AM1804" s="1">
        <f t="shared" si="25"/>
        <v>0</v>
      </c>
    </row>
    <row r="1805" spans="1:39" x14ac:dyDescent="0.35">
      <c r="A1805">
        <v>1801</v>
      </c>
      <c r="B1805">
        <v>1802</v>
      </c>
      <c r="F1805" s="63"/>
      <c r="G1805" s="63"/>
      <c r="H1805" t="s">
        <v>26</v>
      </c>
      <c r="I1805" s="64"/>
      <c r="J1805" s="31"/>
      <c r="K1805" s="31"/>
      <c r="L1805" s="31"/>
      <c r="M1805" s="31"/>
      <c r="N1805" s="4"/>
      <c r="AG1805" t="s">
        <v>1527</v>
      </c>
      <c r="AM1805" s="1">
        <f t="shared" si="25"/>
        <v>0</v>
      </c>
    </row>
    <row r="1806" spans="1:39" x14ac:dyDescent="0.35">
      <c r="A1806">
        <v>1802</v>
      </c>
      <c r="B1806">
        <v>1803</v>
      </c>
      <c r="F1806" s="63"/>
      <c r="G1806" s="63"/>
      <c r="H1806" t="s">
        <v>26</v>
      </c>
      <c r="I1806" s="64"/>
      <c r="J1806" s="31"/>
      <c r="K1806" s="31"/>
      <c r="L1806" s="31"/>
      <c r="M1806" s="31"/>
      <c r="N1806" s="4"/>
      <c r="AG1806" t="s">
        <v>1528</v>
      </c>
      <c r="AM1806" s="1">
        <f t="shared" si="25"/>
        <v>0</v>
      </c>
    </row>
    <row r="1807" spans="1:39" x14ac:dyDescent="0.35">
      <c r="A1807">
        <v>1803</v>
      </c>
      <c r="B1807">
        <v>1804</v>
      </c>
      <c r="F1807" s="63"/>
      <c r="G1807" s="63"/>
      <c r="H1807" t="s">
        <v>26</v>
      </c>
      <c r="I1807" s="64"/>
      <c r="J1807" s="31"/>
      <c r="K1807" s="31"/>
      <c r="L1807" s="31"/>
      <c r="M1807" s="31"/>
      <c r="N1807" s="4"/>
      <c r="AG1807" t="s">
        <v>1529</v>
      </c>
      <c r="AM1807" s="1">
        <f t="shared" si="25"/>
        <v>0</v>
      </c>
    </row>
    <row r="1808" spans="1:39" x14ac:dyDescent="0.35">
      <c r="A1808">
        <v>1804</v>
      </c>
      <c r="B1808">
        <v>1805</v>
      </c>
      <c r="F1808" s="63"/>
      <c r="G1808" s="63"/>
      <c r="H1808" t="s">
        <v>26</v>
      </c>
      <c r="I1808" s="64"/>
      <c r="J1808" s="31"/>
      <c r="K1808" s="31"/>
      <c r="L1808" s="31"/>
      <c r="M1808" s="31"/>
      <c r="N1808" s="4"/>
      <c r="AG1808" t="s">
        <v>1530</v>
      </c>
      <c r="AM1808" s="1">
        <f t="shared" si="25"/>
        <v>0</v>
      </c>
    </row>
    <row r="1809" spans="1:39" x14ac:dyDescent="0.35">
      <c r="A1809">
        <v>1805</v>
      </c>
      <c r="B1809">
        <v>1806</v>
      </c>
      <c r="F1809" s="63"/>
      <c r="G1809" s="63"/>
      <c r="H1809" t="s">
        <v>26</v>
      </c>
      <c r="I1809" s="64"/>
      <c r="J1809" s="31"/>
      <c r="K1809" s="31"/>
      <c r="L1809" s="31"/>
      <c r="M1809" s="31"/>
      <c r="N1809" s="4"/>
      <c r="AG1809" t="s">
        <v>1531</v>
      </c>
      <c r="AM1809" s="1">
        <f t="shared" si="25"/>
        <v>0</v>
      </c>
    </row>
    <row r="1810" spans="1:39" x14ac:dyDescent="0.35">
      <c r="A1810">
        <v>1806</v>
      </c>
      <c r="B1810">
        <v>1807</v>
      </c>
      <c r="F1810" s="63"/>
      <c r="G1810" s="63"/>
      <c r="H1810" t="s">
        <v>26</v>
      </c>
      <c r="I1810" s="64"/>
      <c r="J1810" s="31"/>
      <c r="K1810" s="31"/>
      <c r="L1810" s="31"/>
      <c r="M1810" s="31"/>
      <c r="N1810" s="4"/>
      <c r="AG1810" t="s">
        <v>1532</v>
      </c>
      <c r="AM1810" s="1">
        <f t="shared" si="25"/>
        <v>0</v>
      </c>
    </row>
    <row r="1811" spans="1:39" x14ac:dyDescent="0.35">
      <c r="A1811">
        <v>1807</v>
      </c>
      <c r="B1811">
        <v>1808</v>
      </c>
      <c r="F1811" s="63"/>
      <c r="G1811" s="63"/>
      <c r="H1811" t="s">
        <v>26</v>
      </c>
      <c r="I1811" s="64"/>
      <c r="J1811" s="31"/>
      <c r="K1811" s="31"/>
      <c r="L1811" s="31"/>
      <c r="M1811" s="31"/>
      <c r="N1811" s="4"/>
      <c r="AG1811" t="s">
        <v>1533</v>
      </c>
      <c r="AM1811" s="1">
        <f t="shared" si="25"/>
        <v>0</v>
      </c>
    </row>
    <row r="1812" spans="1:39" x14ac:dyDescent="0.35">
      <c r="A1812">
        <v>1808</v>
      </c>
      <c r="B1812">
        <v>1809</v>
      </c>
      <c r="F1812" s="63"/>
      <c r="G1812" s="63"/>
      <c r="H1812" t="s">
        <v>26</v>
      </c>
      <c r="I1812" s="64"/>
      <c r="J1812" s="31"/>
      <c r="K1812" s="31"/>
      <c r="L1812" s="31"/>
      <c r="M1812" s="31"/>
      <c r="N1812" s="4"/>
      <c r="AG1812" t="s">
        <v>1534</v>
      </c>
      <c r="AM1812" s="1">
        <f t="shared" si="25"/>
        <v>0</v>
      </c>
    </row>
    <row r="1813" spans="1:39" x14ac:dyDescent="0.35">
      <c r="A1813">
        <v>1809</v>
      </c>
      <c r="B1813">
        <v>1810</v>
      </c>
      <c r="F1813" s="63"/>
      <c r="G1813" s="63"/>
      <c r="H1813" t="s">
        <v>26</v>
      </c>
      <c r="I1813" s="64"/>
      <c r="J1813" s="31"/>
      <c r="K1813" s="31"/>
      <c r="L1813" s="31"/>
      <c r="M1813" s="31"/>
      <c r="N1813" s="4"/>
      <c r="AG1813" t="s">
        <v>1535</v>
      </c>
      <c r="AM1813" s="1">
        <f t="shared" si="25"/>
        <v>0</v>
      </c>
    </row>
    <row r="1814" spans="1:39" x14ac:dyDescent="0.35">
      <c r="A1814">
        <v>1810</v>
      </c>
      <c r="B1814">
        <v>1811</v>
      </c>
      <c r="F1814" s="63"/>
      <c r="G1814" s="63"/>
      <c r="H1814" t="s">
        <v>26</v>
      </c>
      <c r="I1814" s="64"/>
      <c r="J1814" s="31"/>
      <c r="K1814" s="31"/>
      <c r="L1814" s="31"/>
      <c r="M1814" s="31"/>
      <c r="N1814" s="4"/>
      <c r="AG1814" t="s">
        <v>1536</v>
      </c>
      <c r="AM1814" s="1">
        <f t="shared" si="25"/>
        <v>0</v>
      </c>
    </row>
    <row r="1815" spans="1:39" x14ac:dyDescent="0.35">
      <c r="A1815">
        <v>1811</v>
      </c>
      <c r="B1815">
        <v>1812</v>
      </c>
      <c r="F1815" s="63"/>
      <c r="G1815" s="63"/>
      <c r="H1815" t="s">
        <v>26</v>
      </c>
      <c r="I1815" s="64"/>
      <c r="J1815" s="31"/>
      <c r="K1815" s="31"/>
      <c r="L1815" s="31"/>
      <c r="M1815" s="31"/>
      <c r="N1815" s="4"/>
      <c r="AG1815" t="s">
        <v>1537</v>
      </c>
      <c r="AM1815" s="1">
        <f t="shared" si="25"/>
        <v>0</v>
      </c>
    </row>
    <row r="1816" spans="1:39" x14ac:dyDescent="0.35">
      <c r="A1816">
        <v>1812</v>
      </c>
      <c r="B1816">
        <v>1813</v>
      </c>
      <c r="F1816" s="63"/>
      <c r="G1816" s="63"/>
      <c r="H1816" t="s">
        <v>26</v>
      </c>
      <c r="I1816" s="64"/>
      <c r="J1816" s="31"/>
      <c r="K1816" s="31"/>
      <c r="L1816" s="31"/>
      <c r="M1816" s="31"/>
      <c r="N1816" s="4"/>
      <c r="AG1816" t="s">
        <v>1538</v>
      </c>
      <c r="AM1816" s="1">
        <f t="shared" si="25"/>
        <v>0</v>
      </c>
    </row>
    <row r="1817" spans="1:39" x14ac:dyDescent="0.35">
      <c r="A1817">
        <v>1813</v>
      </c>
      <c r="B1817">
        <v>1814</v>
      </c>
      <c r="F1817" s="63"/>
      <c r="G1817" s="63"/>
      <c r="H1817" t="s">
        <v>26</v>
      </c>
      <c r="I1817" s="64"/>
      <c r="J1817" s="31"/>
      <c r="K1817" s="31"/>
      <c r="L1817" s="31"/>
      <c r="M1817" s="31"/>
      <c r="N1817" s="4"/>
      <c r="AG1817" t="s">
        <v>1539</v>
      </c>
      <c r="AM1817" s="1">
        <f t="shared" si="25"/>
        <v>0</v>
      </c>
    </row>
    <row r="1818" spans="1:39" x14ac:dyDescent="0.35">
      <c r="A1818">
        <v>1814</v>
      </c>
      <c r="B1818">
        <v>1815</v>
      </c>
      <c r="F1818" s="63"/>
      <c r="G1818" s="63"/>
      <c r="H1818" t="s">
        <v>26</v>
      </c>
      <c r="I1818" s="64"/>
      <c r="J1818" s="31"/>
      <c r="K1818" s="31"/>
      <c r="L1818" s="31"/>
      <c r="M1818" s="31"/>
      <c r="N1818" s="4"/>
      <c r="AG1818" t="s">
        <v>1540</v>
      </c>
      <c r="AM1818" s="1">
        <f t="shared" si="25"/>
        <v>0</v>
      </c>
    </row>
    <row r="1819" spans="1:39" x14ac:dyDescent="0.35">
      <c r="A1819">
        <v>1815</v>
      </c>
      <c r="B1819">
        <v>1816</v>
      </c>
      <c r="F1819" s="63"/>
      <c r="G1819" s="63"/>
      <c r="H1819" t="s">
        <v>26</v>
      </c>
      <c r="I1819" s="64"/>
      <c r="J1819" s="31"/>
      <c r="K1819" s="31"/>
      <c r="L1819" s="31"/>
      <c r="M1819" s="31"/>
      <c r="N1819" s="4"/>
      <c r="AG1819" t="s">
        <v>1541</v>
      </c>
      <c r="AM1819" s="1">
        <f t="shared" si="25"/>
        <v>0</v>
      </c>
    </row>
    <row r="1820" spans="1:39" x14ac:dyDescent="0.35">
      <c r="A1820">
        <v>1816</v>
      </c>
      <c r="B1820">
        <v>1817</v>
      </c>
      <c r="F1820" s="63"/>
      <c r="G1820" s="63"/>
      <c r="H1820" t="s">
        <v>26</v>
      </c>
      <c r="I1820" s="64"/>
      <c r="J1820" s="31"/>
      <c r="K1820" s="31"/>
      <c r="L1820" s="31"/>
      <c r="M1820" s="31"/>
      <c r="N1820" s="4"/>
      <c r="AG1820" t="s">
        <v>1542</v>
      </c>
      <c r="AM1820" s="1">
        <f t="shared" si="25"/>
        <v>0</v>
      </c>
    </row>
    <row r="1821" spans="1:39" x14ac:dyDescent="0.35">
      <c r="A1821">
        <v>1817</v>
      </c>
      <c r="B1821">
        <v>1818</v>
      </c>
      <c r="F1821" s="63"/>
      <c r="G1821" s="63"/>
      <c r="H1821" t="s">
        <v>26</v>
      </c>
      <c r="I1821" s="64"/>
      <c r="J1821" s="31"/>
      <c r="K1821" s="31"/>
      <c r="L1821" s="31"/>
      <c r="M1821" s="31"/>
      <c r="N1821" s="4"/>
      <c r="AG1821" t="s">
        <v>1543</v>
      </c>
      <c r="AM1821" s="1">
        <f t="shared" si="25"/>
        <v>0</v>
      </c>
    </row>
    <row r="1822" spans="1:39" x14ac:dyDescent="0.35">
      <c r="A1822">
        <v>1818</v>
      </c>
      <c r="B1822">
        <v>1819</v>
      </c>
      <c r="F1822" s="63"/>
      <c r="G1822" s="63"/>
      <c r="H1822" t="s">
        <v>26</v>
      </c>
      <c r="I1822" s="64"/>
      <c r="J1822" s="31"/>
      <c r="K1822" s="31"/>
      <c r="L1822" s="31"/>
      <c r="M1822" s="31"/>
      <c r="N1822" s="4"/>
      <c r="AG1822" t="s">
        <v>1544</v>
      </c>
      <c r="AM1822" s="1">
        <f t="shared" si="25"/>
        <v>0</v>
      </c>
    </row>
    <row r="1823" spans="1:39" x14ac:dyDescent="0.35">
      <c r="A1823">
        <v>1819</v>
      </c>
      <c r="B1823">
        <v>1820</v>
      </c>
      <c r="F1823" s="63"/>
      <c r="G1823" s="63"/>
      <c r="H1823" t="s">
        <v>26</v>
      </c>
      <c r="I1823" s="64"/>
      <c r="J1823" s="31"/>
      <c r="K1823" s="31"/>
      <c r="L1823" s="31"/>
      <c r="M1823" s="31"/>
      <c r="N1823" s="4"/>
      <c r="AG1823" t="s">
        <v>1545</v>
      </c>
      <c r="AM1823" s="1">
        <f t="shared" si="25"/>
        <v>0</v>
      </c>
    </row>
    <row r="1824" spans="1:39" x14ac:dyDescent="0.35">
      <c r="A1824">
        <v>1820</v>
      </c>
      <c r="B1824">
        <v>1821</v>
      </c>
      <c r="F1824" s="63"/>
      <c r="G1824" s="63"/>
      <c r="H1824" t="s">
        <v>26</v>
      </c>
      <c r="I1824" s="64"/>
      <c r="J1824" s="31"/>
      <c r="K1824" s="31"/>
      <c r="L1824" s="31"/>
      <c r="M1824" s="31"/>
      <c r="N1824" s="4"/>
      <c r="AG1824" t="s">
        <v>1546</v>
      </c>
      <c r="AM1824" s="1">
        <f t="shared" si="25"/>
        <v>0</v>
      </c>
    </row>
    <row r="1825" spans="1:39" x14ac:dyDescent="0.35">
      <c r="A1825">
        <v>1821</v>
      </c>
      <c r="B1825">
        <v>1822</v>
      </c>
      <c r="F1825" s="63"/>
      <c r="G1825" s="63"/>
      <c r="H1825" t="s">
        <v>26</v>
      </c>
      <c r="I1825" s="64"/>
      <c r="J1825" s="31"/>
      <c r="K1825" s="31"/>
      <c r="L1825" s="31"/>
      <c r="M1825" s="31"/>
      <c r="N1825" s="4"/>
      <c r="AG1825" t="s">
        <v>1547</v>
      </c>
      <c r="AM1825" s="1">
        <f t="shared" si="25"/>
        <v>0</v>
      </c>
    </row>
    <row r="1826" spans="1:39" x14ac:dyDescent="0.35">
      <c r="A1826">
        <v>1822</v>
      </c>
      <c r="B1826">
        <v>1823</v>
      </c>
      <c r="F1826" s="63"/>
      <c r="G1826" s="63"/>
      <c r="H1826" t="s">
        <v>26</v>
      </c>
      <c r="I1826" s="64"/>
      <c r="J1826" s="31"/>
      <c r="K1826" s="31"/>
      <c r="L1826" s="31"/>
      <c r="M1826" s="31"/>
      <c r="N1826" s="4"/>
      <c r="AG1826" t="s">
        <v>1548</v>
      </c>
      <c r="AM1826" s="1">
        <f t="shared" si="25"/>
        <v>0</v>
      </c>
    </row>
    <row r="1827" spans="1:39" x14ac:dyDescent="0.35">
      <c r="A1827">
        <v>1823</v>
      </c>
      <c r="B1827">
        <v>1824</v>
      </c>
      <c r="F1827" s="63"/>
      <c r="G1827" s="63"/>
      <c r="H1827" t="s">
        <v>26</v>
      </c>
      <c r="I1827" s="64"/>
      <c r="J1827" s="31"/>
      <c r="K1827" s="31"/>
      <c r="L1827" s="31"/>
      <c r="M1827" s="31"/>
      <c r="N1827" s="4"/>
      <c r="AG1827" t="s">
        <v>1549</v>
      </c>
      <c r="AM1827" s="1">
        <f t="shared" si="25"/>
        <v>0</v>
      </c>
    </row>
    <row r="1828" spans="1:39" x14ac:dyDescent="0.35">
      <c r="A1828">
        <v>1824</v>
      </c>
      <c r="B1828">
        <v>1825</v>
      </c>
      <c r="F1828" s="63"/>
      <c r="G1828" s="63"/>
      <c r="H1828" t="s">
        <v>26</v>
      </c>
      <c r="I1828" s="64"/>
      <c r="J1828" s="31"/>
      <c r="K1828" s="31"/>
      <c r="L1828" s="31"/>
      <c r="M1828" s="31"/>
      <c r="N1828" s="4"/>
      <c r="AG1828" t="s">
        <v>1550</v>
      </c>
      <c r="AM1828" s="1">
        <f t="shared" si="25"/>
        <v>0</v>
      </c>
    </row>
    <row r="1829" spans="1:39" x14ac:dyDescent="0.35">
      <c r="A1829">
        <v>1825</v>
      </c>
      <c r="B1829">
        <v>1826</v>
      </c>
      <c r="F1829" s="63"/>
      <c r="G1829" s="63"/>
      <c r="H1829" t="s">
        <v>26</v>
      </c>
      <c r="I1829" s="64"/>
      <c r="J1829" s="31"/>
      <c r="K1829" s="31"/>
      <c r="L1829" s="31"/>
      <c r="M1829" s="31"/>
      <c r="N1829" s="4"/>
      <c r="AG1829" t="s">
        <v>1551</v>
      </c>
      <c r="AM1829" s="1">
        <f t="shared" si="25"/>
        <v>0</v>
      </c>
    </row>
    <row r="1830" spans="1:39" x14ac:dyDescent="0.35">
      <c r="A1830">
        <v>1826</v>
      </c>
      <c r="B1830">
        <v>1827</v>
      </c>
      <c r="F1830" s="63"/>
      <c r="G1830" s="63"/>
      <c r="H1830" t="s">
        <v>26</v>
      </c>
      <c r="I1830" s="64"/>
      <c r="J1830" s="31"/>
      <c r="K1830" s="31"/>
      <c r="L1830" s="31"/>
      <c r="M1830" s="31"/>
      <c r="N1830" s="4"/>
      <c r="AG1830" t="s">
        <v>1552</v>
      </c>
      <c r="AM1830" s="1">
        <f t="shared" si="25"/>
        <v>0</v>
      </c>
    </row>
    <row r="1831" spans="1:39" x14ac:dyDescent="0.35">
      <c r="A1831">
        <v>1827</v>
      </c>
      <c r="B1831">
        <v>1828</v>
      </c>
      <c r="F1831" s="63"/>
      <c r="G1831" s="63"/>
      <c r="H1831" t="s">
        <v>26</v>
      </c>
      <c r="I1831" s="64"/>
      <c r="J1831" s="31"/>
      <c r="K1831" s="31"/>
      <c r="L1831" s="31"/>
      <c r="M1831" s="31"/>
      <c r="N1831" s="4"/>
      <c r="AG1831" t="s">
        <v>1553</v>
      </c>
      <c r="AM1831" s="1">
        <f t="shared" si="25"/>
        <v>0</v>
      </c>
    </row>
    <row r="1832" spans="1:39" x14ac:dyDescent="0.35">
      <c r="A1832">
        <v>1828</v>
      </c>
      <c r="B1832">
        <v>1829</v>
      </c>
      <c r="F1832" s="63"/>
      <c r="G1832" s="63"/>
      <c r="H1832" t="s">
        <v>26</v>
      </c>
      <c r="I1832" s="64"/>
      <c r="J1832" s="31"/>
      <c r="K1832" s="31"/>
      <c r="L1832" s="31"/>
      <c r="M1832" s="31"/>
      <c r="N1832" s="4"/>
      <c r="AG1832" t="s">
        <v>1554</v>
      </c>
      <c r="AM1832" s="1">
        <f t="shared" si="25"/>
        <v>0</v>
      </c>
    </row>
    <row r="1833" spans="1:39" x14ac:dyDescent="0.35">
      <c r="A1833">
        <v>1829</v>
      </c>
      <c r="B1833">
        <v>1830</v>
      </c>
      <c r="F1833" s="63"/>
      <c r="G1833" s="63"/>
      <c r="H1833" t="s">
        <v>26</v>
      </c>
      <c r="I1833" s="64"/>
      <c r="J1833" s="31"/>
      <c r="K1833" s="31"/>
      <c r="L1833" s="31"/>
      <c r="M1833" s="31"/>
      <c r="N1833" s="4"/>
      <c r="AG1833" t="s">
        <v>1555</v>
      </c>
      <c r="AM1833" s="1">
        <f t="shared" si="25"/>
        <v>0</v>
      </c>
    </row>
    <row r="1834" spans="1:39" x14ac:dyDescent="0.35">
      <c r="A1834">
        <v>1830</v>
      </c>
      <c r="B1834">
        <v>1831</v>
      </c>
      <c r="F1834" s="63"/>
      <c r="G1834" s="63"/>
      <c r="H1834" t="s">
        <v>26</v>
      </c>
      <c r="I1834" s="64"/>
      <c r="J1834" s="31"/>
      <c r="K1834" s="31"/>
      <c r="L1834" s="31"/>
      <c r="M1834" s="31"/>
      <c r="N1834" s="4"/>
      <c r="AG1834" t="s">
        <v>1556</v>
      </c>
      <c r="AM1834" s="1">
        <f t="shared" si="25"/>
        <v>0</v>
      </c>
    </row>
    <row r="1835" spans="1:39" x14ac:dyDescent="0.35">
      <c r="A1835">
        <v>1831</v>
      </c>
      <c r="B1835">
        <v>1832</v>
      </c>
      <c r="F1835" s="63"/>
      <c r="G1835" s="63"/>
      <c r="H1835" t="s">
        <v>26</v>
      </c>
      <c r="I1835" s="64"/>
      <c r="J1835" s="31"/>
      <c r="K1835" s="31"/>
      <c r="L1835" s="31"/>
      <c r="M1835" s="31"/>
      <c r="N1835" s="4"/>
      <c r="AG1835" t="s">
        <v>1557</v>
      </c>
      <c r="AM1835" s="1">
        <f t="shared" si="25"/>
        <v>0</v>
      </c>
    </row>
    <row r="1836" spans="1:39" x14ac:dyDescent="0.35">
      <c r="A1836">
        <v>1832</v>
      </c>
      <c r="B1836">
        <v>1833</v>
      </c>
      <c r="F1836" s="63"/>
      <c r="G1836" s="63"/>
      <c r="H1836" t="s">
        <v>26</v>
      </c>
      <c r="I1836" s="64"/>
      <c r="J1836" s="31"/>
      <c r="K1836" s="31"/>
      <c r="L1836" s="31"/>
      <c r="M1836" s="31"/>
      <c r="N1836" s="4"/>
      <c r="AG1836" t="s">
        <v>1558</v>
      </c>
      <c r="AM1836" s="1">
        <f t="shared" si="25"/>
        <v>0</v>
      </c>
    </row>
    <row r="1837" spans="1:39" x14ac:dyDescent="0.35">
      <c r="A1837">
        <v>1833</v>
      </c>
      <c r="B1837">
        <v>1834</v>
      </c>
      <c r="F1837" s="63"/>
      <c r="G1837" s="63"/>
      <c r="H1837" t="s">
        <v>26</v>
      </c>
      <c r="I1837" s="64"/>
      <c r="J1837" s="31"/>
      <c r="K1837" s="31"/>
      <c r="L1837" s="31"/>
      <c r="M1837" s="31"/>
      <c r="N1837" s="4"/>
      <c r="AG1837" t="s">
        <v>1559</v>
      </c>
      <c r="AM1837" s="1">
        <f t="shared" si="25"/>
        <v>0</v>
      </c>
    </row>
    <row r="1838" spans="1:39" x14ac:dyDescent="0.35">
      <c r="A1838">
        <v>1834</v>
      </c>
      <c r="B1838">
        <v>1835</v>
      </c>
      <c r="F1838" s="63"/>
      <c r="G1838" s="63"/>
      <c r="H1838" t="s">
        <v>26</v>
      </c>
      <c r="I1838" s="64"/>
      <c r="J1838" s="31"/>
      <c r="K1838" s="31"/>
      <c r="L1838" s="31"/>
      <c r="M1838" s="31"/>
      <c r="N1838" s="4"/>
      <c r="AG1838" t="s">
        <v>1560</v>
      </c>
      <c r="AM1838" s="1">
        <f t="shared" si="25"/>
        <v>0</v>
      </c>
    </row>
    <row r="1839" spans="1:39" x14ac:dyDescent="0.35">
      <c r="A1839">
        <v>1835</v>
      </c>
      <c r="B1839">
        <v>1836</v>
      </c>
      <c r="F1839" s="63"/>
      <c r="G1839" s="63"/>
      <c r="H1839" t="s">
        <v>26</v>
      </c>
      <c r="I1839" s="64"/>
      <c r="J1839" s="31"/>
      <c r="K1839" s="31"/>
      <c r="L1839" s="31"/>
      <c r="M1839" s="31"/>
      <c r="N1839" s="4"/>
      <c r="AG1839" t="s">
        <v>1561</v>
      </c>
      <c r="AM1839" s="1">
        <f t="shared" si="25"/>
        <v>0</v>
      </c>
    </row>
    <row r="1840" spans="1:39" x14ac:dyDescent="0.35">
      <c r="A1840">
        <v>1836</v>
      </c>
      <c r="B1840">
        <v>1837</v>
      </c>
      <c r="F1840" s="63"/>
      <c r="G1840" s="63"/>
      <c r="H1840" t="s">
        <v>26</v>
      </c>
      <c r="I1840" s="64"/>
      <c r="J1840" s="31"/>
      <c r="K1840" s="31"/>
      <c r="L1840" s="31"/>
      <c r="M1840" s="31"/>
      <c r="N1840" s="4"/>
      <c r="AG1840" t="s">
        <v>1562</v>
      </c>
      <c r="AM1840" s="1">
        <f t="shared" si="25"/>
        <v>0</v>
      </c>
    </row>
    <row r="1841" spans="1:39" x14ac:dyDescent="0.35">
      <c r="A1841">
        <v>1837</v>
      </c>
      <c r="B1841">
        <v>1838</v>
      </c>
      <c r="F1841" s="63"/>
      <c r="G1841" s="63"/>
      <c r="H1841" t="s">
        <v>26</v>
      </c>
      <c r="I1841" s="64"/>
      <c r="J1841" s="31"/>
      <c r="K1841" s="31"/>
      <c r="L1841" s="31"/>
      <c r="M1841" s="31"/>
      <c r="N1841" s="4"/>
      <c r="AG1841" t="s">
        <v>1563</v>
      </c>
      <c r="AM1841" s="1">
        <f t="shared" si="25"/>
        <v>0</v>
      </c>
    </row>
    <row r="1842" spans="1:39" x14ac:dyDescent="0.35">
      <c r="A1842">
        <v>1838</v>
      </c>
      <c r="B1842">
        <v>1839</v>
      </c>
      <c r="F1842" s="63"/>
      <c r="G1842" s="63"/>
      <c r="H1842" t="s">
        <v>26</v>
      </c>
      <c r="I1842" s="64"/>
      <c r="J1842" s="31"/>
      <c r="K1842" s="31"/>
      <c r="L1842" s="31"/>
      <c r="M1842" s="31"/>
      <c r="N1842" s="4"/>
      <c r="AG1842" t="s">
        <v>1564</v>
      </c>
      <c r="AM1842" s="1">
        <f t="shared" si="25"/>
        <v>0</v>
      </c>
    </row>
    <row r="1843" spans="1:39" x14ac:dyDescent="0.35">
      <c r="A1843">
        <v>1839</v>
      </c>
      <c r="B1843">
        <v>1840</v>
      </c>
      <c r="F1843" s="63"/>
      <c r="G1843" s="63"/>
      <c r="H1843" t="s">
        <v>26</v>
      </c>
      <c r="I1843" s="64"/>
      <c r="J1843" s="31"/>
      <c r="K1843" s="31"/>
      <c r="L1843" s="31"/>
      <c r="M1843" s="31"/>
      <c r="N1843" s="4"/>
      <c r="AG1843" t="s">
        <v>1565</v>
      </c>
      <c r="AM1843" s="1">
        <f t="shared" si="25"/>
        <v>0</v>
      </c>
    </row>
    <row r="1844" spans="1:39" x14ac:dyDescent="0.35">
      <c r="A1844">
        <v>1840</v>
      </c>
      <c r="B1844">
        <v>1841</v>
      </c>
      <c r="F1844" s="63"/>
      <c r="G1844" s="63"/>
      <c r="H1844" t="s">
        <v>26</v>
      </c>
      <c r="I1844" s="64"/>
      <c r="J1844" s="31"/>
      <c r="K1844" s="31"/>
      <c r="L1844" s="31"/>
      <c r="M1844" s="31"/>
      <c r="N1844" s="4"/>
      <c r="AG1844" t="s">
        <v>1566</v>
      </c>
      <c r="AM1844" s="1">
        <f t="shared" si="25"/>
        <v>0</v>
      </c>
    </row>
    <row r="1845" spans="1:39" x14ac:dyDescent="0.35">
      <c r="A1845">
        <v>1841</v>
      </c>
      <c r="B1845">
        <v>1842</v>
      </c>
      <c r="F1845" s="63"/>
      <c r="G1845" s="63"/>
      <c r="H1845" t="s">
        <v>26</v>
      </c>
      <c r="I1845" s="64"/>
      <c r="J1845" s="31"/>
      <c r="K1845" s="31"/>
      <c r="L1845" s="31"/>
      <c r="M1845" s="31"/>
      <c r="N1845" s="4"/>
      <c r="AG1845" t="s">
        <v>1567</v>
      </c>
      <c r="AM1845" s="1">
        <f t="shared" si="25"/>
        <v>0</v>
      </c>
    </row>
    <row r="1846" spans="1:39" x14ac:dyDescent="0.35">
      <c r="A1846">
        <v>1842</v>
      </c>
      <c r="B1846">
        <v>1843</v>
      </c>
      <c r="F1846" s="63"/>
      <c r="G1846" s="63"/>
      <c r="H1846" t="s">
        <v>26</v>
      </c>
      <c r="I1846" s="64"/>
      <c r="J1846" s="31"/>
      <c r="K1846" s="31"/>
      <c r="L1846" s="31"/>
      <c r="M1846" s="31"/>
      <c r="N1846" s="4"/>
      <c r="AG1846" t="s">
        <v>1568</v>
      </c>
      <c r="AM1846" s="1">
        <f t="shared" si="25"/>
        <v>0</v>
      </c>
    </row>
    <row r="1847" spans="1:39" x14ac:dyDescent="0.35">
      <c r="A1847">
        <v>1843</v>
      </c>
      <c r="B1847">
        <v>1844</v>
      </c>
      <c r="F1847" s="63"/>
      <c r="G1847" s="63"/>
      <c r="H1847" t="s">
        <v>26</v>
      </c>
      <c r="I1847" s="64"/>
      <c r="J1847" s="31"/>
      <c r="K1847" s="31"/>
      <c r="L1847" s="31"/>
      <c r="M1847" s="31"/>
      <c r="N1847" s="4"/>
      <c r="AG1847" t="s">
        <v>1569</v>
      </c>
      <c r="AM1847" s="1">
        <f t="shared" si="25"/>
        <v>0</v>
      </c>
    </row>
    <row r="1848" spans="1:39" x14ac:dyDescent="0.35">
      <c r="A1848">
        <v>1844</v>
      </c>
      <c r="B1848">
        <v>1845</v>
      </c>
      <c r="F1848" s="63"/>
      <c r="G1848" s="63"/>
      <c r="H1848" t="s">
        <v>26</v>
      </c>
      <c r="I1848" s="64"/>
      <c r="J1848" s="31"/>
      <c r="K1848" s="31"/>
      <c r="L1848" s="31"/>
      <c r="M1848" s="31"/>
      <c r="N1848" s="4"/>
      <c r="AG1848" t="s">
        <v>1570</v>
      </c>
      <c r="AM1848" s="1">
        <f t="shared" si="25"/>
        <v>0</v>
      </c>
    </row>
    <row r="1849" spans="1:39" x14ac:dyDescent="0.35">
      <c r="A1849">
        <v>1845</v>
      </c>
      <c r="B1849">
        <v>1846</v>
      </c>
      <c r="F1849" s="63"/>
      <c r="G1849" s="63"/>
      <c r="H1849" t="s">
        <v>26</v>
      </c>
      <c r="I1849" s="64"/>
      <c r="J1849" s="31"/>
      <c r="K1849" s="31"/>
      <c r="L1849" s="31"/>
      <c r="M1849" s="31"/>
      <c r="N1849" s="4"/>
      <c r="AG1849" t="s">
        <v>1571</v>
      </c>
      <c r="AM1849" s="1">
        <f t="shared" si="25"/>
        <v>0</v>
      </c>
    </row>
    <row r="1850" spans="1:39" x14ac:dyDescent="0.35">
      <c r="A1850">
        <v>1846</v>
      </c>
      <c r="B1850">
        <v>1847</v>
      </c>
      <c r="F1850" s="63"/>
      <c r="G1850" s="63"/>
      <c r="H1850" t="s">
        <v>26</v>
      </c>
      <c r="I1850" s="64"/>
      <c r="J1850" s="31"/>
      <c r="K1850" s="31"/>
      <c r="L1850" s="31"/>
      <c r="M1850" s="31"/>
      <c r="N1850" s="4"/>
      <c r="AG1850" t="s">
        <v>1572</v>
      </c>
      <c r="AM1850" s="1">
        <f t="shared" si="25"/>
        <v>0</v>
      </c>
    </row>
    <row r="1851" spans="1:39" x14ac:dyDescent="0.35">
      <c r="A1851">
        <v>1847</v>
      </c>
      <c r="B1851">
        <v>1848</v>
      </c>
      <c r="F1851" s="63"/>
      <c r="G1851" s="63"/>
      <c r="H1851" t="s">
        <v>26</v>
      </c>
      <c r="I1851" s="64"/>
      <c r="J1851" s="31"/>
      <c r="K1851" s="31"/>
      <c r="L1851" s="31"/>
      <c r="M1851" s="31"/>
      <c r="N1851" s="4"/>
      <c r="AG1851" t="s">
        <v>1573</v>
      </c>
      <c r="AM1851" s="1">
        <f t="shared" si="25"/>
        <v>0</v>
      </c>
    </row>
    <row r="1852" spans="1:39" x14ac:dyDescent="0.35">
      <c r="A1852">
        <v>1848</v>
      </c>
      <c r="B1852">
        <v>1849</v>
      </c>
      <c r="F1852" s="63"/>
      <c r="G1852" s="63"/>
      <c r="H1852" t="s">
        <v>26</v>
      </c>
      <c r="I1852" s="64"/>
      <c r="J1852" s="31"/>
      <c r="K1852" s="31"/>
      <c r="L1852" s="31"/>
      <c r="M1852" s="31"/>
      <c r="N1852" s="4"/>
      <c r="AG1852" t="s">
        <v>1574</v>
      </c>
      <c r="AM1852" s="1">
        <f t="shared" si="25"/>
        <v>0</v>
      </c>
    </row>
    <row r="1853" spans="1:39" x14ac:dyDescent="0.35">
      <c r="A1853">
        <v>1849</v>
      </c>
      <c r="B1853">
        <v>1850</v>
      </c>
      <c r="F1853" s="63"/>
      <c r="G1853" s="63"/>
      <c r="H1853" t="s">
        <v>26</v>
      </c>
      <c r="I1853" s="64"/>
      <c r="J1853" s="31"/>
      <c r="K1853" s="31"/>
      <c r="L1853" s="31"/>
      <c r="M1853" s="31"/>
      <c r="N1853" s="4"/>
      <c r="AG1853" t="s">
        <v>1575</v>
      </c>
      <c r="AM1853" s="1">
        <f t="shared" si="25"/>
        <v>0</v>
      </c>
    </row>
    <row r="1854" spans="1:39" x14ac:dyDescent="0.35">
      <c r="A1854">
        <v>1850</v>
      </c>
      <c r="B1854">
        <v>1851</v>
      </c>
      <c r="F1854" s="63"/>
      <c r="G1854" s="63"/>
      <c r="H1854" t="s">
        <v>26</v>
      </c>
      <c r="I1854" s="64"/>
      <c r="J1854" s="31"/>
      <c r="K1854" s="31"/>
      <c r="L1854" s="31"/>
      <c r="M1854" s="31"/>
      <c r="N1854" s="4"/>
      <c r="AG1854" t="s">
        <v>1576</v>
      </c>
      <c r="AM1854" s="1">
        <f t="shared" si="25"/>
        <v>0</v>
      </c>
    </row>
    <row r="1855" spans="1:39" x14ac:dyDescent="0.35">
      <c r="A1855">
        <v>1851</v>
      </c>
      <c r="B1855">
        <v>1852</v>
      </c>
      <c r="F1855" s="63"/>
      <c r="G1855" s="63"/>
      <c r="H1855" t="s">
        <v>26</v>
      </c>
      <c r="I1855" s="64"/>
      <c r="J1855" s="31"/>
      <c r="K1855" s="31"/>
      <c r="L1855" s="31"/>
      <c r="M1855" s="31"/>
      <c r="N1855" s="4"/>
      <c r="AG1855" t="s">
        <v>1577</v>
      </c>
      <c r="AM1855" s="1">
        <f t="shared" si="25"/>
        <v>0</v>
      </c>
    </row>
    <row r="1856" spans="1:39" x14ac:dyDescent="0.35">
      <c r="A1856">
        <v>1852</v>
      </c>
      <c r="B1856">
        <v>1853</v>
      </c>
      <c r="F1856" s="63"/>
      <c r="G1856" s="63"/>
      <c r="H1856" t="s">
        <v>26</v>
      </c>
      <c r="I1856" s="64"/>
      <c r="J1856" s="31"/>
      <c r="K1856" s="31"/>
      <c r="L1856" s="31"/>
      <c r="M1856" s="31"/>
      <c r="N1856" s="4"/>
      <c r="AG1856" t="s">
        <v>1578</v>
      </c>
      <c r="AM1856" s="1">
        <f t="shared" si="25"/>
        <v>0</v>
      </c>
    </row>
    <row r="1857" spans="1:39" x14ac:dyDescent="0.35">
      <c r="A1857">
        <v>1853</v>
      </c>
      <c r="B1857">
        <v>1854</v>
      </c>
      <c r="F1857" s="63"/>
      <c r="G1857" s="63"/>
      <c r="H1857" t="s">
        <v>26</v>
      </c>
      <c r="I1857" s="64"/>
      <c r="J1857" s="31"/>
      <c r="K1857" s="31"/>
      <c r="L1857" s="31"/>
      <c r="M1857" s="31"/>
      <c r="N1857" s="4"/>
      <c r="AG1857" t="s">
        <v>1579</v>
      </c>
      <c r="AM1857" s="1">
        <f t="shared" si="25"/>
        <v>0</v>
      </c>
    </row>
    <row r="1858" spans="1:39" x14ac:dyDescent="0.35">
      <c r="A1858">
        <v>1854</v>
      </c>
      <c r="B1858">
        <v>1855</v>
      </c>
      <c r="F1858" s="63"/>
      <c r="G1858" s="63"/>
      <c r="H1858" t="s">
        <v>26</v>
      </c>
      <c r="I1858" s="64"/>
      <c r="J1858" s="31"/>
      <c r="K1858" s="31"/>
      <c r="L1858" s="31"/>
      <c r="M1858" s="31"/>
      <c r="N1858" s="4"/>
      <c r="AG1858" t="s">
        <v>1580</v>
      </c>
      <c r="AM1858" s="1">
        <f t="shared" si="25"/>
        <v>0</v>
      </c>
    </row>
    <row r="1859" spans="1:39" x14ac:dyDescent="0.35">
      <c r="A1859">
        <v>1855</v>
      </c>
      <c r="B1859">
        <v>1856</v>
      </c>
      <c r="F1859" s="63"/>
      <c r="G1859" s="63"/>
      <c r="H1859" t="s">
        <v>26</v>
      </c>
      <c r="I1859" s="64"/>
      <c r="J1859" s="31"/>
      <c r="K1859" s="31"/>
      <c r="L1859" s="31"/>
      <c r="M1859" s="31"/>
      <c r="N1859" s="4"/>
      <c r="AG1859" t="s">
        <v>1581</v>
      </c>
      <c r="AM1859" s="1">
        <f t="shared" si="25"/>
        <v>0</v>
      </c>
    </row>
    <row r="1860" spans="1:39" x14ac:dyDescent="0.35">
      <c r="A1860">
        <v>1856</v>
      </c>
      <c r="B1860">
        <v>1857</v>
      </c>
      <c r="F1860" s="63"/>
      <c r="G1860" s="63"/>
      <c r="H1860" t="s">
        <v>26</v>
      </c>
      <c r="I1860" s="64"/>
      <c r="J1860" s="31"/>
      <c r="K1860" s="31"/>
      <c r="L1860" s="31"/>
      <c r="M1860" s="31"/>
      <c r="N1860" s="4"/>
      <c r="AG1860" t="s">
        <v>1582</v>
      </c>
      <c r="AM1860" s="1">
        <f t="shared" si="25"/>
        <v>0</v>
      </c>
    </row>
    <row r="1861" spans="1:39" x14ac:dyDescent="0.35">
      <c r="A1861">
        <v>1857</v>
      </c>
      <c r="B1861">
        <v>1858</v>
      </c>
      <c r="F1861" s="63"/>
      <c r="G1861" s="63"/>
      <c r="H1861" t="s">
        <v>26</v>
      </c>
      <c r="I1861" s="64"/>
      <c r="J1861" s="31"/>
      <c r="K1861" s="31"/>
      <c r="L1861" s="31"/>
      <c r="M1861" s="31"/>
      <c r="N1861" s="4"/>
      <c r="AG1861" t="s">
        <v>1583</v>
      </c>
      <c r="AM1861" s="1">
        <f t="shared" si="25"/>
        <v>0</v>
      </c>
    </row>
    <row r="1862" spans="1:39" x14ac:dyDescent="0.35">
      <c r="A1862">
        <v>1858</v>
      </c>
      <c r="B1862">
        <v>1859</v>
      </c>
      <c r="F1862" s="63"/>
      <c r="G1862" s="63"/>
      <c r="H1862" t="s">
        <v>26</v>
      </c>
      <c r="I1862" s="64"/>
      <c r="J1862" s="31"/>
      <c r="K1862" s="31"/>
      <c r="L1862" s="31"/>
      <c r="M1862" s="31"/>
      <c r="N1862" s="4"/>
      <c r="AG1862" t="s">
        <v>1584</v>
      </c>
      <c r="AM1862" s="1">
        <f t="shared" si="25"/>
        <v>0</v>
      </c>
    </row>
    <row r="1863" spans="1:39" x14ac:dyDescent="0.35">
      <c r="A1863">
        <v>1859</v>
      </c>
      <c r="B1863">
        <v>1860</v>
      </c>
      <c r="F1863" s="63"/>
      <c r="G1863" s="63"/>
      <c r="H1863" t="s">
        <v>26</v>
      </c>
      <c r="I1863" s="64"/>
      <c r="J1863" s="31"/>
      <c r="K1863" s="31"/>
      <c r="L1863" s="31"/>
      <c r="M1863" s="31"/>
      <c r="N1863" s="4"/>
      <c r="AG1863" t="s">
        <v>1585</v>
      </c>
      <c r="AM1863" s="1">
        <f t="shared" si="25"/>
        <v>0</v>
      </c>
    </row>
    <row r="1864" spans="1:39" x14ac:dyDescent="0.35">
      <c r="A1864">
        <v>1860</v>
      </c>
      <c r="B1864">
        <v>1861</v>
      </c>
      <c r="F1864" s="63"/>
      <c r="G1864" s="63"/>
      <c r="H1864" t="s">
        <v>26</v>
      </c>
      <c r="I1864" s="64"/>
      <c r="J1864" s="31"/>
      <c r="K1864" s="31"/>
      <c r="L1864" s="31"/>
      <c r="M1864" s="31"/>
      <c r="N1864" s="4"/>
      <c r="AG1864" t="s">
        <v>1586</v>
      </c>
      <c r="AM1864" s="1">
        <f t="shared" si="25"/>
        <v>0</v>
      </c>
    </row>
    <row r="1865" spans="1:39" x14ac:dyDescent="0.35">
      <c r="A1865">
        <v>1861</v>
      </c>
      <c r="B1865">
        <v>1862</v>
      </c>
      <c r="F1865" s="63"/>
      <c r="G1865" s="63"/>
      <c r="H1865" t="s">
        <v>26</v>
      </c>
      <c r="I1865" s="64"/>
      <c r="J1865" s="31"/>
      <c r="K1865" s="31"/>
      <c r="L1865" s="31"/>
      <c r="M1865" s="31"/>
      <c r="N1865" s="4"/>
      <c r="AG1865" t="s">
        <v>1587</v>
      </c>
      <c r="AM1865" s="1">
        <f t="shared" si="25"/>
        <v>0</v>
      </c>
    </row>
    <row r="1866" spans="1:39" x14ac:dyDescent="0.35">
      <c r="A1866">
        <v>1862</v>
      </c>
      <c r="B1866">
        <v>1863</v>
      </c>
      <c r="F1866" s="63"/>
      <c r="G1866" s="63"/>
      <c r="H1866" t="s">
        <v>26</v>
      </c>
      <c r="I1866" s="64"/>
      <c r="J1866" s="31"/>
      <c r="K1866" s="31"/>
      <c r="L1866" s="31"/>
      <c r="M1866" s="31"/>
      <c r="N1866" s="4"/>
      <c r="AG1866" t="s">
        <v>1588</v>
      </c>
      <c r="AM1866" s="1">
        <f t="shared" si="25"/>
        <v>0</v>
      </c>
    </row>
    <row r="1867" spans="1:39" x14ac:dyDescent="0.35">
      <c r="A1867">
        <v>1863</v>
      </c>
      <c r="B1867">
        <v>1864</v>
      </c>
      <c r="F1867" s="63"/>
      <c r="G1867" s="63"/>
      <c r="H1867" t="s">
        <v>78</v>
      </c>
      <c r="I1867" s="64">
        <v>1</v>
      </c>
      <c r="J1867" s="31"/>
      <c r="K1867" s="31"/>
      <c r="L1867" s="31"/>
      <c r="M1867" s="31"/>
      <c r="N1867" s="4"/>
      <c r="AG1867" t="s">
        <v>1589</v>
      </c>
      <c r="AM1867" s="1">
        <f t="shared" ref="AM1867:AM1930" si="26">HYPERLINK("E:\CAFNEC_GBRF\2023\JohnstoneRiver\Frames_for_Analysis\" &amp; F1868, F1868)</f>
        <v>0</v>
      </c>
    </row>
    <row r="1868" spans="1:39" x14ac:dyDescent="0.35">
      <c r="A1868">
        <v>1864</v>
      </c>
      <c r="B1868">
        <v>1865</v>
      </c>
      <c r="F1868" s="63"/>
      <c r="G1868" s="63"/>
      <c r="H1868" t="s">
        <v>78</v>
      </c>
      <c r="I1868" s="64">
        <v>1</v>
      </c>
      <c r="J1868" s="31"/>
      <c r="K1868" s="31"/>
      <c r="L1868" s="31"/>
      <c r="M1868" s="31"/>
      <c r="N1868" s="4"/>
      <c r="AG1868" t="s">
        <v>1590</v>
      </c>
      <c r="AM1868" s="1">
        <f t="shared" si="26"/>
        <v>0</v>
      </c>
    </row>
    <row r="1869" spans="1:39" x14ac:dyDescent="0.35">
      <c r="A1869">
        <v>1865</v>
      </c>
      <c r="B1869">
        <v>1866</v>
      </c>
      <c r="F1869" s="63"/>
      <c r="G1869" s="63"/>
      <c r="H1869" t="s">
        <v>78</v>
      </c>
      <c r="I1869" s="64">
        <v>1</v>
      </c>
      <c r="J1869" s="31"/>
      <c r="K1869" s="31"/>
      <c r="L1869" s="31"/>
      <c r="M1869" s="31"/>
      <c r="N1869" s="4"/>
      <c r="AG1869" t="s">
        <v>1591</v>
      </c>
      <c r="AM1869" s="1">
        <f t="shared" si="26"/>
        <v>0</v>
      </c>
    </row>
    <row r="1870" spans="1:39" x14ac:dyDescent="0.35">
      <c r="A1870">
        <v>1866</v>
      </c>
      <c r="B1870">
        <v>1867</v>
      </c>
      <c r="F1870" s="63"/>
      <c r="G1870" s="63"/>
      <c r="H1870" t="s">
        <v>78</v>
      </c>
      <c r="I1870" s="64">
        <v>1</v>
      </c>
      <c r="J1870" s="31"/>
      <c r="K1870" s="31"/>
      <c r="L1870" s="31"/>
      <c r="M1870" s="31"/>
      <c r="N1870" s="4"/>
      <c r="AG1870" t="s">
        <v>1592</v>
      </c>
      <c r="AM1870" s="1">
        <f t="shared" si="26"/>
        <v>0</v>
      </c>
    </row>
    <row r="1871" spans="1:39" x14ac:dyDescent="0.35">
      <c r="A1871">
        <v>1867</v>
      </c>
      <c r="B1871">
        <v>1868</v>
      </c>
      <c r="F1871" s="63"/>
      <c r="G1871" s="63"/>
      <c r="H1871" t="s">
        <v>78</v>
      </c>
      <c r="I1871" s="64">
        <v>1</v>
      </c>
      <c r="J1871" s="31"/>
      <c r="K1871" s="31"/>
      <c r="L1871" s="31"/>
      <c r="M1871" s="31"/>
      <c r="N1871" s="4"/>
      <c r="AG1871" t="s">
        <v>1593</v>
      </c>
      <c r="AM1871" s="1">
        <f t="shared" si="26"/>
        <v>0</v>
      </c>
    </row>
    <row r="1872" spans="1:39" x14ac:dyDescent="0.35">
      <c r="A1872">
        <v>1868</v>
      </c>
      <c r="B1872">
        <v>1869</v>
      </c>
      <c r="F1872" s="63"/>
      <c r="G1872" s="63"/>
      <c r="H1872" t="s">
        <v>78</v>
      </c>
      <c r="I1872" s="64">
        <v>1</v>
      </c>
      <c r="J1872" s="31"/>
      <c r="K1872" s="31"/>
      <c r="L1872" s="31"/>
      <c r="M1872" s="31"/>
      <c r="N1872" s="4"/>
      <c r="AG1872" t="s">
        <v>1594</v>
      </c>
      <c r="AM1872" s="1">
        <f t="shared" si="26"/>
        <v>0</v>
      </c>
    </row>
    <row r="1873" spans="1:39" x14ac:dyDescent="0.35">
      <c r="A1873">
        <v>1869</v>
      </c>
      <c r="B1873">
        <v>1870</v>
      </c>
      <c r="F1873" s="63"/>
      <c r="G1873" s="63"/>
      <c r="H1873" t="s">
        <v>78</v>
      </c>
      <c r="I1873" s="64">
        <v>1</v>
      </c>
      <c r="J1873" s="31"/>
      <c r="K1873" s="31"/>
      <c r="L1873" s="31"/>
      <c r="M1873" s="31"/>
      <c r="N1873" s="4"/>
      <c r="AG1873" t="s">
        <v>1595</v>
      </c>
      <c r="AM1873" s="1">
        <f t="shared" si="26"/>
        <v>0</v>
      </c>
    </row>
    <row r="1874" spans="1:39" x14ac:dyDescent="0.35">
      <c r="A1874">
        <v>1870</v>
      </c>
      <c r="B1874">
        <v>1871</v>
      </c>
      <c r="F1874" s="63"/>
      <c r="G1874" s="63"/>
      <c r="H1874" t="s">
        <v>78</v>
      </c>
      <c r="I1874" s="64">
        <v>1</v>
      </c>
      <c r="J1874" s="31"/>
      <c r="K1874" s="31"/>
      <c r="L1874" s="31"/>
      <c r="M1874" s="31"/>
      <c r="N1874" s="4"/>
      <c r="AG1874" t="s">
        <v>1596</v>
      </c>
      <c r="AM1874" s="1">
        <f t="shared" si="26"/>
        <v>0</v>
      </c>
    </row>
    <row r="1875" spans="1:39" x14ac:dyDescent="0.35">
      <c r="A1875">
        <v>1871</v>
      </c>
      <c r="B1875">
        <v>1872</v>
      </c>
      <c r="F1875" s="63"/>
      <c r="G1875" s="63"/>
      <c r="H1875" t="s">
        <v>78</v>
      </c>
      <c r="I1875" s="64">
        <v>1</v>
      </c>
      <c r="J1875" s="31"/>
      <c r="K1875" s="31"/>
      <c r="L1875" s="31"/>
      <c r="M1875" s="31"/>
      <c r="N1875" s="4"/>
      <c r="AG1875" t="s">
        <v>1597</v>
      </c>
      <c r="AM1875" s="1">
        <f t="shared" si="26"/>
        <v>0</v>
      </c>
    </row>
    <row r="1876" spans="1:39" x14ac:dyDescent="0.35">
      <c r="A1876">
        <v>1872</v>
      </c>
      <c r="B1876">
        <v>1873</v>
      </c>
      <c r="F1876" s="63"/>
      <c r="G1876" s="63"/>
      <c r="H1876" t="s">
        <v>78</v>
      </c>
      <c r="I1876" s="64">
        <v>1</v>
      </c>
      <c r="J1876" s="31"/>
      <c r="K1876" s="31"/>
      <c r="L1876" s="31"/>
      <c r="M1876" s="31"/>
      <c r="N1876" s="4"/>
      <c r="AG1876" t="s">
        <v>1598</v>
      </c>
      <c r="AM1876" s="1">
        <f t="shared" si="26"/>
        <v>0</v>
      </c>
    </row>
    <row r="1877" spans="1:39" x14ac:dyDescent="0.35">
      <c r="A1877">
        <v>1873</v>
      </c>
      <c r="B1877">
        <v>1874</v>
      </c>
      <c r="F1877" s="63"/>
      <c r="G1877" s="63"/>
      <c r="H1877" t="s">
        <v>78</v>
      </c>
      <c r="I1877" s="64">
        <v>1</v>
      </c>
      <c r="J1877" s="31"/>
      <c r="K1877" s="31"/>
      <c r="L1877" s="31"/>
      <c r="M1877" s="31"/>
      <c r="N1877" s="4"/>
      <c r="AG1877" t="s">
        <v>1599</v>
      </c>
      <c r="AM1877" s="1">
        <f t="shared" si="26"/>
        <v>0</v>
      </c>
    </row>
    <row r="1878" spans="1:39" x14ac:dyDescent="0.35">
      <c r="A1878">
        <v>1874</v>
      </c>
      <c r="B1878">
        <v>1875</v>
      </c>
      <c r="F1878" s="63"/>
      <c r="G1878" s="63"/>
      <c r="H1878" t="s">
        <v>78</v>
      </c>
      <c r="I1878" s="64">
        <v>1</v>
      </c>
      <c r="J1878" s="31"/>
      <c r="K1878" s="31"/>
      <c r="L1878" s="31"/>
      <c r="M1878" s="31"/>
      <c r="N1878" s="4"/>
      <c r="AG1878" t="s">
        <v>1600</v>
      </c>
      <c r="AM1878" s="1">
        <f t="shared" si="26"/>
        <v>0</v>
      </c>
    </row>
    <row r="1879" spans="1:39" x14ac:dyDescent="0.35">
      <c r="A1879">
        <v>1875</v>
      </c>
      <c r="B1879">
        <v>1876</v>
      </c>
      <c r="F1879" s="63"/>
      <c r="G1879" s="63"/>
      <c r="H1879" t="s">
        <v>78</v>
      </c>
      <c r="I1879" s="64">
        <v>1</v>
      </c>
      <c r="J1879" s="31"/>
      <c r="K1879" s="31"/>
      <c r="L1879" s="31"/>
      <c r="M1879" s="31"/>
      <c r="N1879" s="4"/>
      <c r="AG1879" t="s">
        <v>1601</v>
      </c>
      <c r="AM1879" s="1">
        <f t="shared" si="26"/>
        <v>0</v>
      </c>
    </row>
    <row r="1880" spans="1:39" x14ac:dyDescent="0.35">
      <c r="A1880">
        <v>1876</v>
      </c>
      <c r="B1880">
        <v>1877</v>
      </c>
      <c r="F1880" s="63"/>
      <c r="G1880" s="63"/>
      <c r="H1880" t="s">
        <v>78</v>
      </c>
      <c r="I1880" s="64">
        <v>1</v>
      </c>
      <c r="J1880" s="31"/>
      <c r="K1880" s="31"/>
      <c r="L1880" s="31"/>
      <c r="M1880" s="31"/>
      <c r="N1880" s="4"/>
      <c r="AG1880" t="s">
        <v>1602</v>
      </c>
      <c r="AM1880" s="1">
        <f t="shared" si="26"/>
        <v>0</v>
      </c>
    </row>
    <row r="1881" spans="1:39" x14ac:dyDescent="0.35">
      <c r="A1881">
        <v>1877</v>
      </c>
      <c r="B1881">
        <v>1878</v>
      </c>
      <c r="F1881" s="63"/>
      <c r="G1881" s="63"/>
      <c r="H1881" t="s">
        <v>78</v>
      </c>
      <c r="I1881" s="64">
        <v>1</v>
      </c>
      <c r="J1881" s="31"/>
      <c r="K1881" s="31"/>
      <c r="L1881" s="31"/>
      <c r="M1881" s="31"/>
      <c r="N1881" s="4"/>
      <c r="AG1881" t="s">
        <v>1603</v>
      </c>
      <c r="AM1881" s="1">
        <f t="shared" si="26"/>
        <v>0</v>
      </c>
    </row>
    <row r="1882" spans="1:39" x14ac:dyDescent="0.35">
      <c r="A1882">
        <v>1878</v>
      </c>
      <c r="B1882">
        <v>1879</v>
      </c>
      <c r="F1882" s="63"/>
      <c r="G1882" s="63"/>
      <c r="H1882" t="s">
        <v>78</v>
      </c>
      <c r="I1882" s="64">
        <v>1</v>
      </c>
      <c r="J1882" s="31"/>
      <c r="K1882" s="31"/>
      <c r="L1882" s="31"/>
      <c r="M1882" s="31"/>
      <c r="N1882" s="4"/>
      <c r="AG1882" t="s">
        <v>1604</v>
      </c>
      <c r="AM1882" s="1">
        <f t="shared" si="26"/>
        <v>0</v>
      </c>
    </row>
    <row r="1883" spans="1:39" x14ac:dyDescent="0.35">
      <c r="A1883">
        <v>1879</v>
      </c>
      <c r="B1883">
        <v>1880</v>
      </c>
      <c r="F1883" s="63"/>
      <c r="G1883" s="63"/>
      <c r="H1883" t="s">
        <v>78</v>
      </c>
      <c r="I1883" s="64">
        <v>1</v>
      </c>
      <c r="J1883" s="31"/>
      <c r="K1883" s="31"/>
      <c r="L1883" s="31"/>
      <c r="M1883" s="31"/>
      <c r="N1883" s="4"/>
      <c r="AG1883" t="s">
        <v>78</v>
      </c>
      <c r="AM1883" s="1">
        <f t="shared" si="26"/>
        <v>0</v>
      </c>
    </row>
    <row r="1884" spans="1:39" x14ac:dyDescent="0.35">
      <c r="A1884">
        <v>1880</v>
      </c>
      <c r="B1884">
        <v>1881</v>
      </c>
      <c r="F1884" s="63"/>
      <c r="G1884" s="63"/>
      <c r="H1884" t="s">
        <v>78</v>
      </c>
      <c r="I1884" s="64">
        <v>1</v>
      </c>
      <c r="J1884" s="31"/>
      <c r="K1884" s="31"/>
      <c r="L1884" s="31"/>
      <c r="M1884" s="31"/>
      <c r="N1884" s="4"/>
      <c r="AG1884" t="s">
        <v>1605</v>
      </c>
      <c r="AM1884" s="1">
        <f t="shared" si="26"/>
        <v>0</v>
      </c>
    </row>
    <row r="1885" spans="1:39" x14ac:dyDescent="0.35">
      <c r="A1885">
        <v>1881</v>
      </c>
      <c r="B1885">
        <v>1882</v>
      </c>
      <c r="F1885" s="63"/>
      <c r="G1885" s="63"/>
      <c r="H1885" t="s">
        <v>78</v>
      </c>
      <c r="I1885" s="64">
        <v>1</v>
      </c>
      <c r="J1885" s="31"/>
      <c r="K1885" s="31"/>
      <c r="L1885" s="31"/>
      <c r="M1885" s="31"/>
      <c r="N1885" s="4"/>
      <c r="AG1885" t="s">
        <v>1606</v>
      </c>
      <c r="AM1885" s="1">
        <f t="shared" si="26"/>
        <v>0</v>
      </c>
    </row>
    <row r="1886" spans="1:39" x14ac:dyDescent="0.35">
      <c r="A1886">
        <v>1882</v>
      </c>
      <c r="B1886">
        <v>1883</v>
      </c>
      <c r="F1886" s="63"/>
      <c r="G1886" s="63"/>
      <c r="H1886" t="s">
        <v>78</v>
      </c>
      <c r="I1886" s="64">
        <v>1</v>
      </c>
      <c r="J1886" s="31"/>
      <c r="K1886" s="31"/>
      <c r="L1886" s="31"/>
      <c r="M1886" s="31"/>
      <c r="N1886" s="4"/>
      <c r="AG1886" t="s">
        <v>1607</v>
      </c>
      <c r="AM1886" s="1">
        <f t="shared" si="26"/>
        <v>0</v>
      </c>
    </row>
    <row r="1887" spans="1:39" x14ac:dyDescent="0.35">
      <c r="A1887">
        <v>1883</v>
      </c>
      <c r="B1887">
        <v>1884</v>
      </c>
      <c r="F1887" s="63"/>
      <c r="G1887" s="63"/>
      <c r="H1887" t="s">
        <v>78</v>
      </c>
      <c r="I1887" s="64">
        <v>1</v>
      </c>
      <c r="J1887" s="31"/>
      <c r="K1887" s="31"/>
      <c r="L1887" s="31"/>
      <c r="M1887" s="31"/>
      <c r="N1887" s="4"/>
      <c r="AG1887" t="s">
        <v>1608</v>
      </c>
      <c r="AM1887" s="1">
        <f t="shared" si="26"/>
        <v>0</v>
      </c>
    </row>
    <row r="1888" spans="1:39" x14ac:dyDescent="0.35">
      <c r="A1888">
        <v>1884</v>
      </c>
      <c r="B1888">
        <v>1885</v>
      </c>
      <c r="F1888" s="63"/>
      <c r="G1888" s="63"/>
      <c r="H1888" t="s">
        <v>78</v>
      </c>
      <c r="I1888" s="64">
        <v>1</v>
      </c>
      <c r="J1888" s="31"/>
      <c r="K1888" s="31"/>
      <c r="L1888" s="31"/>
      <c r="M1888" s="31"/>
      <c r="N1888" s="4"/>
      <c r="AG1888" t="s">
        <v>1609</v>
      </c>
      <c r="AM1888" s="1">
        <f t="shared" si="26"/>
        <v>0</v>
      </c>
    </row>
    <row r="1889" spans="1:39" x14ac:dyDescent="0.35">
      <c r="A1889">
        <v>1885</v>
      </c>
      <c r="B1889">
        <v>1886</v>
      </c>
      <c r="F1889" s="63"/>
      <c r="G1889" s="63"/>
      <c r="H1889" t="s">
        <v>78</v>
      </c>
      <c r="I1889" s="64">
        <v>1</v>
      </c>
      <c r="J1889" s="31"/>
      <c r="K1889" s="31"/>
      <c r="L1889" s="31"/>
      <c r="M1889" s="31"/>
      <c r="N1889" s="4"/>
      <c r="AG1889" t="s">
        <v>1610</v>
      </c>
      <c r="AM1889" s="1">
        <f t="shared" si="26"/>
        <v>0</v>
      </c>
    </row>
    <row r="1890" spans="1:39" x14ac:dyDescent="0.35">
      <c r="A1890">
        <v>1886</v>
      </c>
      <c r="B1890">
        <v>1887</v>
      </c>
      <c r="F1890" s="63"/>
      <c r="G1890" s="63"/>
      <c r="H1890" t="s">
        <v>78</v>
      </c>
      <c r="I1890" s="64">
        <v>1</v>
      </c>
      <c r="J1890" s="31"/>
      <c r="K1890" s="31"/>
      <c r="L1890" s="31"/>
      <c r="M1890" s="31"/>
      <c r="N1890" s="4"/>
      <c r="AG1890" t="s">
        <v>1611</v>
      </c>
      <c r="AM1890" s="1">
        <f t="shared" si="26"/>
        <v>0</v>
      </c>
    </row>
    <row r="1891" spans="1:39" x14ac:dyDescent="0.35">
      <c r="A1891">
        <v>1887</v>
      </c>
      <c r="B1891">
        <v>1888</v>
      </c>
      <c r="F1891" s="63"/>
      <c r="G1891" s="63"/>
      <c r="H1891" t="s">
        <v>78</v>
      </c>
      <c r="I1891" s="64">
        <v>1</v>
      </c>
      <c r="J1891" s="31"/>
      <c r="K1891" s="31"/>
      <c r="L1891" s="31"/>
      <c r="M1891" s="31"/>
      <c r="N1891" s="4"/>
      <c r="AG1891" t="s">
        <v>1612</v>
      </c>
      <c r="AM1891" s="1">
        <f t="shared" si="26"/>
        <v>0</v>
      </c>
    </row>
    <row r="1892" spans="1:39" x14ac:dyDescent="0.35">
      <c r="A1892">
        <v>1888</v>
      </c>
      <c r="B1892">
        <v>1889</v>
      </c>
      <c r="F1892" s="63"/>
      <c r="G1892" s="63"/>
      <c r="H1892" t="s">
        <v>78</v>
      </c>
      <c r="I1892" s="64">
        <v>1</v>
      </c>
      <c r="J1892" s="31"/>
      <c r="K1892" s="31"/>
      <c r="L1892" s="31"/>
      <c r="M1892" s="31"/>
      <c r="N1892" s="4"/>
      <c r="AG1892" t="s">
        <v>1613</v>
      </c>
      <c r="AM1892" s="1">
        <f t="shared" si="26"/>
        <v>0</v>
      </c>
    </row>
    <row r="1893" spans="1:39" x14ac:dyDescent="0.35">
      <c r="A1893">
        <v>1889</v>
      </c>
      <c r="B1893">
        <v>1890</v>
      </c>
      <c r="F1893" s="63"/>
      <c r="G1893" s="63"/>
      <c r="H1893" t="s">
        <v>78</v>
      </c>
      <c r="I1893" s="64">
        <v>1</v>
      </c>
      <c r="J1893" s="31"/>
      <c r="K1893" s="31"/>
      <c r="L1893" s="31"/>
      <c r="M1893" s="31"/>
      <c r="N1893" s="4"/>
      <c r="AG1893" t="s">
        <v>1614</v>
      </c>
      <c r="AM1893" s="1">
        <f t="shared" si="26"/>
        <v>0</v>
      </c>
    </row>
    <row r="1894" spans="1:39" x14ac:dyDescent="0.35">
      <c r="A1894">
        <v>1890</v>
      </c>
      <c r="B1894">
        <v>1891</v>
      </c>
      <c r="F1894" s="63"/>
      <c r="G1894" s="63"/>
      <c r="H1894" t="s">
        <v>78</v>
      </c>
      <c r="I1894" s="64">
        <v>1</v>
      </c>
      <c r="J1894" s="31"/>
      <c r="K1894" s="31"/>
      <c r="L1894" s="31"/>
      <c r="M1894" s="31"/>
      <c r="N1894" s="4"/>
      <c r="AG1894" t="s">
        <v>1615</v>
      </c>
      <c r="AM1894" s="1">
        <f t="shared" si="26"/>
        <v>0</v>
      </c>
    </row>
    <row r="1895" spans="1:39" x14ac:dyDescent="0.35">
      <c r="A1895">
        <v>1891</v>
      </c>
      <c r="B1895">
        <v>1892</v>
      </c>
      <c r="F1895" s="63"/>
      <c r="G1895" s="63"/>
      <c r="H1895" t="s">
        <v>78</v>
      </c>
      <c r="I1895" s="64">
        <v>1</v>
      </c>
      <c r="J1895" s="31"/>
      <c r="K1895" s="31"/>
      <c r="L1895" s="31"/>
      <c r="M1895" s="31"/>
      <c r="N1895" s="4"/>
      <c r="AG1895" t="s">
        <v>1616</v>
      </c>
      <c r="AM1895" s="1">
        <f t="shared" si="26"/>
        <v>0</v>
      </c>
    </row>
    <row r="1896" spans="1:39" x14ac:dyDescent="0.35">
      <c r="A1896">
        <v>1892</v>
      </c>
      <c r="B1896">
        <v>1893</v>
      </c>
      <c r="F1896" s="63"/>
      <c r="G1896" s="63"/>
      <c r="H1896" t="s">
        <v>78</v>
      </c>
      <c r="I1896" s="64">
        <v>1</v>
      </c>
      <c r="J1896" s="31"/>
      <c r="K1896" s="31"/>
      <c r="L1896" s="31"/>
      <c r="M1896" s="31"/>
      <c r="N1896" s="4"/>
      <c r="AG1896" t="s">
        <v>1617</v>
      </c>
      <c r="AM1896" s="1">
        <f t="shared" si="26"/>
        <v>0</v>
      </c>
    </row>
    <row r="1897" spans="1:39" x14ac:dyDescent="0.35">
      <c r="A1897">
        <v>1893</v>
      </c>
      <c r="B1897">
        <v>1894</v>
      </c>
      <c r="F1897" s="63"/>
      <c r="G1897" s="63"/>
      <c r="H1897" t="s">
        <v>78</v>
      </c>
      <c r="I1897" s="64">
        <v>1</v>
      </c>
      <c r="J1897" s="31"/>
      <c r="K1897" s="31"/>
      <c r="L1897" s="31"/>
      <c r="M1897" s="31"/>
      <c r="N1897" s="4"/>
      <c r="AG1897" t="s">
        <v>1618</v>
      </c>
      <c r="AM1897" s="1">
        <f t="shared" si="26"/>
        <v>0</v>
      </c>
    </row>
    <row r="1898" spans="1:39" x14ac:dyDescent="0.35">
      <c r="A1898">
        <v>1894</v>
      </c>
      <c r="B1898">
        <v>1895</v>
      </c>
      <c r="F1898" s="63"/>
      <c r="G1898" s="63"/>
      <c r="H1898" t="s">
        <v>78</v>
      </c>
      <c r="I1898" s="64">
        <v>1</v>
      </c>
      <c r="J1898" s="31"/>
      <c r="K1898" s="31"/>
      <c r="L1898" s="31"/>
      <c r="M1898" s="31"/>
      <c r="N1898" s="4"/>
      <c r="AG1898" t="s">
        <v>1619</v>
      </c>
      <c r="AM1898" s="1">
        <f t="shared" si="26"/>
        <v>0</v>
      </c>
    </row>
    <row r="1899" spans="1:39" x14ac:dyDescent="0.35">
      <c r="A1899">
        <v>1895</v>
      </c>
      <c r="B1899">
        <v>1896</v>
      </c>
      <c r="F1899" s="63"/>
      <c r="G1899" s="63"/>
      <c r="H1899" t="s">
        <v>78</v>
      </c>
      <c r="I1899" s="64">
        <v>1</v>
      </c>
      <c r="J1899" s="31"/>
      <c r="K1899" s="31"/>
      <c r="L1899" s="31"/>
      <c r="M1899" s="31"/>
      <c r="N1899" s="4"/>
      <c r="AG1899" t="s">
        <v>1620</v>
      </c>
      <c r="AM1899" s="1">
        <f t="shared" si="26"/>
        <v>0</v>
      </c>
    </row>
    <row r="1900" spans="1:39" x14ac:dyDescent="0.35">
      <c r="A1900">
        <v>1896</v>
      </c>
      <c r="B1900">
        <v>1897</v>
      </c>
      <c r="F1900" s="63"/>
      <c r="G1900" s="63"/>
      <c r="H1900" t="s">
        <v>78</v>
      </c>
      <c r="I1900" s="64">
        <v>1</v>
      </c>
      <c r="J1900" s="31"/>
      <c r="K1900" s="31"/>
      <c r="L1900" s="31"/>
      <c r="M1900" s="31"/>
      <c r="N1900" s="4"/>
      <c r="AG1900" t="s">
        <v>1621</v>
      </c>
      <c r="AM1900" s="1">
        <f t="shared" si="26"/>
        <v>0</v>
      </c>
    </row>
    <row r="1901" spans="1:39" x14ac:dyDescent="0.35">
      <c r="A1901">
        <v>1897</v>
      </c>
      <c r="B1901">
        <v>1898</v>
      </c>
      <c r="F1901" s="63"/>
      <c r="G1901" s="63"/>
      <c r="H1901" t="s">
        <v>78</v>
      </c>
      <c r="I1901" s="64">
        <v>1</v>
      </c>
      <c r="J1901" s="31"/>
      <c r="K1901" s="31"/>
      <c r="L1901" s="31"/>
      <c r="M1901" s="31"/>
      <c r="N1901" s="4"/>
      <c r="AG1901" t="s">
        <v>1622</v>
      </c>
      <c r="AM1901" s="1">
        <f t="shared" si="26"/>
        <v>0</v>
      </c>
    </row>
    <row r="1902" spans="1:39" x14ac:dyDescent="0.35">
      <c r="A1902">
        <v>1898</v>
      </c>
      <c r="B1902">
        <v>1899</v>
      </c>
      <c r="F1902" s="63"/>
      <c r="G1902" s="63"/>
      <c r="H1902" t="s">
        <v>78</v>
      </c>
      <c r="I1902" s="64">
        <v>1</v>
      </c>
      <c r="J1902" s="31"/>
      <c r="K1902" s="31"/>
      <c r="L1902" s="31"/>
      <c r="M1902" s="31"/>
      <c r="N1902" s="4"/>
      <c r="AG1902" t="s">
        <v>1623</v>
      </c>
      <c r="AM1902" s="1">
        <f t="shared" si="26"/>
        <v>0</v>
      </c>
    </row>
    <row r="1903" spans="1:39" x14ac:dyDescent="0.35">
      <c r="A1903">
        <v>1899</v>
      </c>
      <c r="B1903">
        <v>1900</v>
      </c>
      <c r="F1903" s="63"/>
      <c r="G1903" s="63"/>
      <c r="H1903" t="s">
        <v>78</v>
      </c>
      <c r="I1903" s="64">
        <v>1</v>
      </c>
      <c r="J1903" s="31"/>
      <c r="K1903" s="31"/>
      <c r="L1903" s="31"/>
      <c r="M1903" s="31"/>
      <c r="N1903" s="4"/>
      <c r="AG1903" t="s">
        <v>1624</v>
      </c>
      <c r="AM1903" s="1">
        <f t="shared" si="26"/>
        <v>0</v>
      </c>
    </row>
    <row r="1904" spans="1:39" x14ac:dyDescent="0.35">
      <c r="A1904">
        <v>1900</v>
      </c>
      <c r="B1904">
        <v>1901</v>
      </c>
      <c r="F1904" s="63"/>
      <c r="G1904" s="63"/>
      <c r="H1904" t="s">
        <v>78</v>
      </c>
      <c r="I1904" s="64">
        <v>1</v>
      </c>
      <c r="J1904" s="31"/>
      <c r="K1904" s="31"/>
      <c r="L1904" s="31"/>
      <c r="M1904" s="31"/>
      <c r="N1904" s="4"/>
      <c r="AG1904" t="s">
        <v>1625</v>
      </c>
      <c r="AM1904" s="1">
        <f t="shared" si="26"/>
        <v>0</v>
      </c>
    </row>
    <row r="1905" spans="1:39" x14ac:dyDescent="0.35">
      <c r="A1905">
        <v>1901</v>
      </c>
      <c r="B1905">
        <v>1902</v>
      </c>
      <c r="F1905" s="63"/>
      <c r="G1905" s="63"/>
      <c r="H1905" t="s">
        <v>78</v>
      </c>
      <c r="I1905" s="64">
        <v>1</v>
      </c>
      <c r="J1905" s="31"/>
      <c r="K1905" s="31"/>
      <c r="L1905" s="31"/>
      <c r="M1905" s="31"/>
      <c r="N1905" s="4"/>
      <c r="AG1905" t="s">
        <v>78</v>
      </c>
      <c r="AM1905" s="1">
        <f t="shared" si="26"/>
        <v>0</v>
      </c>
    </row>
    <row r="1906" spans="1:39" x14ac:dyDescent="0.35">
      <c r="A1906">
        <v>1902</v>
      </c>
      <c r="B1906">
        <v>1903</v>
      </c>
      <c r="F1906" s="63"/>
      <c r="G1906" s="63"/>
      <c r="H1906" t="s">
        <v>78</v>
      </c>
      <c r="I1906" s="64">
        <v>1</v>
      </c>
      <c r="J1906" s="31"/>
      <c r="K1906" s="31"/>
      <c r="L1906" s="31"/>
      <c r="M1906" s="31"/>
      <c r="N1906" s="4"/>
      <c r="AG1906" t="s">
        <v>1626</v>
      </c>
      <c r="AM1906" s="1">
        <f t="shared" si="26"/>
        <v>0</v>
      </c>
    </row>
    <row r="1907" spans="1:39" x14ac:dyDescent="0.35">
      <c r="A1907">
        <v>1903</v>
      </c>
      <c r="B1907">
        <v>1904</v>
      </c>
      <c r="F1907" s="63"/>
      <c r="G1907" s="63"/>
      <c r="H1907" t="s">
        <v>78</v>
      </c>
      <c r="I1907" s="64">
        <v>1</v>
      </c>
      <c r="J1907" s="31"/>
      <c r="K1907" s="31"/>
      <c r="L1907" s="31"/>
      <c r="M1907" s="31"/>
      <c r="N1907" s="4"/>
      <c r="AG1907" t="s">
        <v>1627</v>
      </c>
      <c r="AM1907" s="1">
        <f t="shared" si="26"/>
        <v>0</v>
      </c>
    </row>
    <row r="1908" spans="1:39" x14ac:dyDescent="0.35">
      <c r="A1908">
        <v>1904</v>
      </c>
      <c r="B1908">
        <v>1905</v>
      </c>
      <c r="F1908" s="63"/>
      <c r="G1908" s="63"/>
      <c r="H1908" t="s">
        <v>78</v>
      </c>
      <c r="I1908" s="64">
        <v>1</v>
      </c>
      <c r="J1908" s="31"/>
      <c r="K1908" s="31"/>
      <c r="L1908" s="31"/>
      <c r="M1908" s="31"/>
      <c r="N1908" s="4"/>
      <c r="AG1908" t="s">
        <v>78</v>
      </c>
      <c r="AM1908" s="1">
        <f t="shared" si="26"/>
        <v>0</v>
      </c>
    </row>
    <row r="1909" spans="1:39" x14ac:dyDescent="0.35">
      <c r="A1909">
        <v>1905</v>
      </c>
      <c r="B1909">
        <v>1906</v>
      </c>
      <c r="F1909" s="63"/>
      <c r="G1909" s="63"/>
      <c r="H1909" t="s">
        <v>78</v>
      </c>
      <c r="I1909" s="64">
        <v>1</v>
      </c>
      <c r="J1909" s="31"/>
      <c r="K1909" s="31"/>
      <c r="L1909" s="31"/>
      <c r="M1909" s="31"/>
      <c r="N1909" s="4"/>
      <c r="AG1909" t="s">
        <v>1628</v>
      </c>
      <c r="AM1909" s="1">
        <f t="shared" si="26"/>
        <v>0</v>
      </c>
    </row>
    <row r="1910" spans="1:39" x14ac:dyDescent="0.35">
      <c r="A1910">
        <v>1906</v>
      </c>
      <c r="B1910">
        <v>1907</v>
      </c>
      <c r="F1910" s="63"/>
      <c r="G1910" s="63"/>
      <c r="H1910" t="s">
        <v>78</v>
      </c>
      <c r="I1910" s="64">
        <v>1</v>
      </c>
      <c r="J1910" s="31"/>
      <c r="K1910" s="31"/>
      <c r="L1910" s="31"/>
      <c r="M1910" s="31"/>
      <c r="N1910" s="4"/>
      <c r="AG1910" t="s">
        <v>1629</v>
      </c>
      <c r="AM1910" s="1">
        <f t="shared" si="26"/>
        <v>0</v>
      </c>
    </row>
    <row r="1911" spans="1:39" x14ac:dyDescent="0.35">
      <c r="A1911">
        <v>1907</v>
      </c>
      <c r="B1911">
        <v>1908</v>
      </c>
      <c r="F1911" s="63"/>
      <c r="G1911" s="63"/>
      <c r="H1911" t="s">
        <v>78</v>
      </c>
      <c r="I1911" s="64">
        <v>1</v>
      </c>
      <c r="J1911" s="31"/>
      <c r="K1911" s="31"/>
      <c r="L1911" s="31"/>
      <c r="M1911" s="31"/>
      <c r="N1911" s="4"/>
      <c r="AG1911" t="s">
        <v>1630</v>
      </c>
      <c r="AM1911" s="1">
        <f t="shared" si="26"/>
        <v>0</v>
      </c>
    </row>
    <row r="1912" spans="1:39" x14ac:dyDescent="0.35">
      <c r="A1912">
        <v>1908</v>
      </c>
      <c r="B1912">
        <v>1909</v>
      </c>
      <c r="F1912" s="63"/>
      <c r="G1912" s="63"/>
      <c r="H1912" t="s">
        <v>78</v>
      </c>
      <c r="I1912" s="64">
        <v>1</v>
      </c>
      <c r="J1912" s="31"/>
      <c r="K1912" s="31"/>
      <c r="L1912" s="31"/>
      <c r="M1912" s="31"/>
      <c r="N1912" s="4"/>
      <c r="AG1912" t="s">
        <v>1631</v>
      </c>
      <c r="AM1912" s="1">
        <f t="shared" si="26"/>
        <v>0</v>
      </c>
    </row>
    <row r="1913" spans="1:39" x14ac:dyDescent="0.35">
      <c r="A1913">
        <v>1909</v>
      </c>
      <c r="B1913">
        <v>1910</v>
      </c>
      <c r="F1913" s="63"/>
      <c r="G1913" s="63"/>
      <c r="H1913" t="s">
        <v>78</v>
      </c>
      <c r="I1913" s="64">
        <v>1</v>
      </c>
      <c r="J1913" s="31"/>
      <c r="K1913" s="31"/>
      <c r="L1913" s="31"/>
      <c r="M1913" s="31"/>
      <c r="N1913" s="4"/>
      <c r="AG1913" t="s">
        <v>1632</v>
      </c>
      <c r="AM1913" s="1">
        <f t="shared" si="26"/>
        <v>0</v>
      </c>
    </row>
    <row r="1914" spans="1:39" x14ac:dyDescent="0.35">
      <c r="A1914">
        <v>1910</v>
      </c>
      <c r="B1914">
        <v>1911</v>
      </c>
      <c r="F1914" s="63"/>
      <c r="G1914" s="63"/>
      <c r="H1914" t="s">
        <v>78</v>
      </c>
      <c r="I1914" s="64">
        <v>1</v>
      </c>
      <c r="J1914" s="31"/>
      <c r="K1914" s="31"/>
      <c r="L1914" s="31"/>
      <c r="M1914" s="31"/>
      <c r="N1914" s="4"/>
      <c r="AG1914" t="s">
        <v>1633</v>
      </c>
      <c r="AM1914" s="1">
        <f t="shared" si="26"/>
        <v>0</v>
      </c>
    </row>
    <row r="1915" spans="1:39" x14ac:dyDescent="0.35">
      <c r="A1915">
        <v>1911</v>
      </c>
      <c r="B1915">
        <v>1912</v>
      </c>
      <c r="F1915" s="63"/>
      <c r="G1915" s="63"/>
      <c r="H1915" t="s">
        <v>78</v>
      </c>
      <c r="I1915" s="64">
        <v>1</v>
      </c>
      <c r="J1915" s="31"/>
      <c r="K1915" s="31"/>
      <c r="L1915" s="31"/>
      <c r="M1915" s="31"/>
      <c r="N1915" s="4"/>
      <c r="AG1915" t="s">
        <v>1634</v>
      </c>
      <c r="AM1915" s="1">
        <f t="shared" si="26"/>
        <v>0</v>
      </c>
    </row>
    <row r="1916" spans="1:39" x14ac:dyDescent="0.35">
      <c r="A1916">
        <v>1912</v>
      </c>
      <c r="B1916">
        <v>1913</v>
      </c>
      <c r="F1916" s="63"/>
      <c r="G1916" s="63"/>
      <c r="H1916" t="s">
        <v>78</v>
      </c>
      <c r="I1916" s="64">
        <v>1</v>
      </c>
      <c r="J1916" s="31"/>
      <c r="K1916" s="31"/>
      <c r="L1916" s="31"/>
      <c r="M1916" s="31"/>
      <c r="N1916" s="4"/>
      <c r="AG1916" t="s">
        <v>1635</v>
      </c>
      <c r="AM1916" s="1">
        <f t="shared" si="26"/>
        <v>0</v>
      </c>
    </row>
    <row r="1917" spans="1:39" x14ac:dyDescent="0.35">
      <c r="A1917">
        <v>1913</v>
      </c>
      <c r="B1917">
        <v>1914</v>
      </c>
      <c r="F1917" s="63"/>
      <c r="G1917" s="63"/>
      <c r="H1917" t="s">
        <v>78</v>
      </c>
      <c r="I1917" s="64">
        <v>1</v>
      </c>
      <c r="J1917" s="31"/>
      <c r="K1917" s="31"/>
      <c r="L1917" s="31"/>
      <c r="M1917" s="31"/>
      <c r="N1917" s="4"/>
      <c r="AG1917" t="s">
        <v>1636</v>
      </c>
      <c r="AM1917" s="1">
        <f t="shared" si="26"/>
        <v>0</v>
      </c>
    </row>
    <row r="1918" spans="1:39" x14ac:dyDescent="0.35">
      <c r="A1918">
        <v>1914</v>
      </c>
      <c r="B1918">
        <v>1915</v>
      </c>
      <c r="F1918" s="63"/>
      <c r="G1918" s="63"/>
      <c r="H1918" t="s">
        <v>78</v>
      </c>
      <c r="I1918" s="64">
        <v>1</v>
      </c>
      <c r="J1918" s="31"/>
      <c r="K1918" s="31"/>
      <c r="L1918" s="31"/>
      <c r="M1918" s="31"/>
      <c r="N1918" s="4"/>
      <c r="AG1918" t="s">
        <v>1637</v>
      </c>
      <c r="AM1918" s="1">
        <f t="shared" si="26"/>
        <v>0</v>
      </c>
    </row>
    <row r="1919" spans="1:39" x14ac:dyDescent="0.35">
      <c r="A1919">
        <v>1915</v>
      </c>
      <c r="B1919">
        <v>1916</v>
      </c>
      <c r="F1919" s="63"/>
      <c r="G1919" s="63"/>
      <c r="H1919" t="s">
        <v>78</v>
      </c>
      <c r="I1919" s="64">
        <v>1</v>
      </c>
      <c r="J1919" s="31"/>
      <c r="K1919" s="31"/>
      <c r="L1919" s="31"/>
      <c r="M1919" s="31"/>
      <c r="N1919" s="4"/>
      <c r="AG1919" t="s">
        <v>1638</v>
      </c>
      <c r="AM1919" s="1">
        <f t="shared" si="26"/>
        <v>0</v>
      </c>
    </row>
    <row r="1920" spans="1:39" x14ac:dyDescent="0.35">
      <c r="A1920">
        <v>1916</v>
      </c>
      <c r="B1920">
        <v>1917</v>
      </c>
      <c r="F1920" s="63"/>
      <c r="G1920" s="63"/>
      <c r="H1920" t="s">
        <v>78</v>
      </c>
      <c r="I1920" s="64">
        <v>1</v>
      </c>
      <c r="J1920" s="31"/>
      <c r="K1920" s="31"/>
      <c r="L1920" s="31"/>
      <c r="M1920" s="31"/>
      <c r="N1920" s="4"/>
      <c r="AG1920" t="s">
        <v>1639</v>
      </c>
      <c r="AM1920" s="1">
        <f t="shared" si="26"/>
        <v>0</v>
      </c>
    </row>
    <row r="1921" spans="1:39" x14ac:dyDescent="0.35">
      <c r="A1921">
        <v>1917</v>
      </c>
      <c r="B1921">
        <v>1918</v>
      </c>
      <c r="F1921" s="63"/>
      <c r="G1921" s="63"/>
      <c r="H1921" t="s">
        <v>78</v>
      </c>
      <c r="I1921" s="64">
        <v>1</v>
      </c>
      <c r="J1921" s="31"/>
      <c r="K1921" s="31"/>
      <c r="L1921" s="31"/>
      <c r="M1921" s="31"/>
      <c r="N1921" s="4"/>
      <c r="AG1921" t="s">
        <v>1640</v>
      </c>
      <c r="AM1921" s="1">
        <f t="shared" si="26"/>
        <v>0</v>
      </c>
    </row>
    <row r="1922" spans="1:39" x14ac:dyDescent="0.35">
      <c r="A1922">
        <v>1918</v>
      </c>
      <c r="B1922">
        <v>1919</v>
      </c>
      <c r="F1922" s="63"/>
      <c r="G1922" s="63"/>
      <c r="H1922" t="s">
        <v>78</v>
      </c>
      <c r="I1922" s="64">
        <v>1</v>
      </c>
      <c r="J1922" s="31"/>
      <c r="K1922" s="31"/>
      <c r="L1922" s="31"/>
      <c r="M1922" s="31"/>
      <c r="N1922" s="4"/>
      <c r="AG1922" t="s">
        <v>1641</v>
      </c>
      <c r="AM1922" s="1">
        <f t="shared" si="26"/>
        <v>0</v>
      </c>
    </row>
    <row r="1923" spans="1:39" x14ac:dyDescent="0.35">
      <c r="A1923">
        <v>1919</v>
      </c>
      <c r="B1923">
        <v>1920</v>
      </c>
      <c r="F1923" s="63"/>
      <c r="G1923" s="63"/>
      <c r="H1923" t="s">
        <v>78</v>
      </c>
      <c r="I1923" s="64">
        <v>1</v>
      </c>
      <c r="J1923" s="31"/>
      <c r="K1923" s="31"/>
      <c r="L1923" s="31"/>
      <c r="M1923" s="31"/>
      <c r="N1923" s="4"/>
      <c r="AG1923" t="s">
        <v>1642</v>
      </c>
      <c r="AM1923" s="1">
        <f t="shared" si="26"/>
        <v>0</v>
      </c>
    </row>
    <row r="1924" spans="1:39" x14ac:dyDescent="0.35">
      <c r="A1924">
        <v>1920</v>
      </c>
      <c r="B1924">
        <v>1921</v>
      </c>
      <c r="F1924" s="63"/>
      <c r="G1924" s="63"/>
      <c r="H1924" t="s">
        <v>78</v>
      </c>
      <c r="I1924" s="64">
        <v>1</v>
      </c>
      <c r="J1924" s="31"/>
      <c r="K1924" s="31"/>
      <c r="L1924" s="31"/>
      <c r="M1924" s="31"/>
      <c r="N1924" s="4"/>
      <c r="AG1924" t="s">
        <v>1643</v>
      </c>
      <c r="AM1924" s="1">
        <f t="shared" si="26"/>
        <v>0</v>
      </c>
    </row>
    <row r="1925" spans="1:39" x14ac:dyDescent="0.35">
      <c r="A1925">
        <v>1921</v>
      </c>
      <c r="B1925">
        <v>1922</v>
      </c>
      <c r="F1925" s="63"/>
      <c r="G1925" s="63"/>
      <c r="H1925" t="s">
        <v>78</v>
      </c>
      <c r="I1925" s="64">
        <v>1</v>
      </c>
      <c r="J1925" s="31"/>
      <c r="K1925" s="31"/>
      <c r="L1925" s="31"/>
      <c r="M1925" s="31"/>
      <c r="N1925" s="4"/>
      <c r="AG1925" t="s">
        <v>1644</v>
      </c>
      <c r="AM1925" s="1">
        <f t="shared" si="26"/>
        <v>0</v>
      </c>
    </row>
    <row r="1926" spans="1:39" x14ac:dyDescent="0.35">
      <c r="A1926">
        <v>1922</v>
      </c>
      <c r="B1926">
        <v>1923</v>
      </c>
      <c r="F1926" s="63"/>
      <c r="G1926" s="63"/>
      <c r="H1926" t="s">
        <v>78</v>
      </c>
      <c r="I1926" s="64">
        <v>1</v>
      </c>
      <c r="J1926" s="31"/>
      <c r="K1926" s="31"/>
      <c r="L1926" s="31"/>
      <c r="M1926" s="31"/>
      <c r="N1926" s="4"/>
      <c r="AG1926" t="s">
        <v>1645</v>
      </c>
      <c r="AM1926" s="1">
        <f t="shared" si="26"/>
        <v>0</v>
      </c>
    </row>
    <row r="1927" spans="1:39" x14ac:dyDescent="0.35">
      <c r="A1927">
        <v>1923</v>
      </c>
      <c r="B1927">
        <v>1924</v>
      </c>
      <c r="F1927" s="63"/>
      <c r="G1927" s="63"/>
      <c r="H1927" t="s">
        <v>78</v>
      </c>
      <c r="I1927" s="64">
        <v>1</v>
      </c>
      <c r="J1927" s="31"/>
      <c r="K1927" s="31"/>
      <c r="L1927" s="31"/>
      <c r="M1927" s="31"/>
      <c r="N1927" s="4"/>
      <c r="AG1927" t="s">
        <v>1646</v>
      </c>
      <c r="AM1927" s="1">
        <f t="shared" si="26"/>
        <v>0</v>
      </c>
    </row>
    <row r="1928" spans="1:39" x14ac:dyDescent="0.35">
      <c r="A1928">
        <v>1924</v>
      </c>
      <c r="B1928">
        <v>1925</v>
      </c>
      <c r="F1928" s="63"/>
      <c r="G1928" s="63"/>
      <c r="H1928" t="s">
        <v>78</v>
      </c>
      <c r="I1928" s="64">
        <v>1</v>
      </c>
      <c r="J1928" s="31"/>
      <c r="K1928" s="31"/>
      <c r="L1928" s="31"/>
      <c r="M1928" s="31"/>
      <c r="N1928" s="4"/>
      <c r="AG1928" t="s">
        <v>1647</v>
      </c>
      <c r="AM1928" s="1">
        <f t="shared" si="26"/>
        <v>0</v>
      </c>
    </row>
    <row r="1929" spans="1:39" x14ac:dyDescent="0.35">
      <c r="A1929">
        <v>1925</v>
      </c>
      <c r="B1929">
        <v>1926</v>
      </c>
      <c r="F1929" s="63"/>
      <c r="G1929" s="63"/>
      <c r="H1929" t="s">
        <v>78</v>
      </c>
      <c r="I1929" s="64">
        <v>1</v>
      </c>
      <c r="J1929" s="31"/>
      <c r="K1929" s="31"/>
      <c r="L1929" s="31"/>
      <c r="M1929" s="31"/>
      <c r="N1929" s="4"/>
      <c r="AG1929" t="s">
        <v>1648</v>
      </c>
      <c r="AM1929" s="1">
        <f t="shared" si="26"/>
        <v>0</v>
      </c>
    </row>
    <row r="1930" spans="1:39" x14ac:dyDescent="0.35">
      <c r="A1930">
        <v>1926</v>
      </c>
      <c r="B1930">
        <v>1927</v>
      </c>
      <c r="F1930" s="63"/>
      <c r="G1930" s="63"/>
      <c r="H1930" t="s">
        <v>78</v>
      </c>
      <c r="I1930" s="64">
        <v>1</v>
      </c>
      <c r="J1930" s="31"/>
      <c r="K1930" s="31"/>
      <c r="L1930" s="31"/>
      <c r="M1930" s="31"/>
      <c r="N1930" s="4"/>
      <c r="AG1930" t="s">
        <v>1649</v>
      </c>
      <c r="AM1930" s="1">
        <f t="shared" si="26"/>
        <v>0</v>
      </c>
    </row>
    <row r="1931" spans="1:39" x14ac:dyDescent="0.35">
      <c r="A1931">
        <v>1927</v>
      </c>
      <c r="B1931">
        <v>1928</v>
      </c>
      <c r="F1931" s="63"/>
      <c r="G1931" s="63"/>
      <c r="H1931" t="s">
        <v>78</v>
      </c>
      <c r="I1931" s="64">
        <v>1</v>
      </c>
      <c r="J1931" s="31"/>
      <c r="K1931" s="31"/>
      <c r="L1931" s="31"/>
      <c r="M1931" s="31"/>
      <c r="N1931" s="4"/>
      <c r="AG1931" t="s">
        <v>1650</v>
      </c>
      <c r="AM1931" s="1">
        <f t="shared" ref="AM1931:AM1994" si="27">HYPERLINK("E:\CAFNEC_GBRF\2023\JohnstoneRiver\Frames_for_Analysis\" &amp; F1932, F1932)</f>
        <v>0</v>
      </c>
    </row>
    <row r="1932" spans="1:39" x14ac:dyDescent="0.35">
      <c r="A1932">
        <v>1928</v>
      </c>
      <c r="B1932">
        <v>1929</v>
      </c>
      <c r="F1932" s="63"/>
      <c r="G1932" s="63"/>
      <c r="H1932" t="s">
        <v>78</v>
      </c>
      <c r="I1932" s="64">
        <v>1</v>
      </c>
      <c r="J1932" s="31"/>
      <c r="K1932" s="31"/>
      <c r="L1932" s="31"/>
      <c r="M1932" s="31"/>
      <c r="N1932" s="4"/>
      <c r="AG1932" t="s">
        <v>1651</v>
      </c>
      <c r="AM1932" s="1">
        <f t="shared" si="27"/>
        <v>0</v>
      </c>
    </row>
    <row r="1933" spans="1:39" x14ac:dyDescent="0.35">
      <c r="A1933">
        <v>1929</v>
      </c>
      <c r="B1933">
        <v>1930</v>
      </c>
      <c r="F1933" s="63"/>
      <c r="G1933" s="63"/>
      <c r="H1933" t="s">
        <v>78</v>
      </c>
      <c r="I1933" s="64">
        <v>1</v>
      </c>
      <c r="J1933" s="31"/>
      <c r="K1933" s="31"/>
      <c r="L1933" s="31"/>
      <c r="M1933" s="31"/>
      <c r="N1933" s="4"/>
      <c r="AG1933" t="s">
        <v>1652</v>
      </c>
      <c r="AM1933" s="1">
        <f t="shared" si="27"/>
        <v>0</v>
      </c>
    </row>
    <row r="1934" spans="1:39" x14ac:dyDescent="0.35">
      <c r="A1934">
        <v>1930</v>
      </c>
      <c r="B1934">
        <v>1931</v>
      </c>
      <c r="F1934" s="63"/>
      <c r="G1934" s="63"/>
      <c r="H1934" t="s">
        <v>78</v>
      </c>
      <c r="I1934" s="64">
        <v>1</v>
      </c>
      <c r="J1934" s="31"/>
      <c r="K1934" s="31"/>
      <c r="L1934" s="31"/>
      <c r="M1934" s="31"/>
      <c r="N1934" s="4"/>
      <c r="AG1934" t="s">
        <v>1653</v>
      </c>
      <c r="AM1934" s="1">
        <f t="shared" si="27"/>
        <v>0</v>
      </c>
    </row>
    <row r="1935" spans="1:39" x14ac:dyDescent="0.35">
      <c r="A1935">
        <v>1931</v>
      </c>
      <c r="B1935">
        <v>1932</v>
      </c>
      <c r="F1935" s="63"/>
      <c r="G1935" s="63"/>
      <c r="H1935" t="s">
        <v>78</v>
      </c>
      <c r="I1935" s="64">
        <v>1</v>
      </c>
      <c r="J1935" s="31"/>
      <c r="K1935" s="31"/>
      <c r="L1935" s="31"/>
      <c r="M1935" s="31"/>
      <c r="N1935" s="4"/>
      <c r="AG1935" t="s">
        <v>1654</v>
      </c>
      <c r="AM1935" s="1">
        <f t="shared" si="27"/>
        <v>0</v>
      </c>
    </row>
    <row r="1936" spans="1:39" x14ac:dyDescent="0.35">
      <c r="A1936">
        <v>1932</v>
      </c>
      <c r="B1936">
        <v>1933</v>
      </c>
      <c r="F1936" s="63"/>
      <c r="G1936" s="63"/>
      <c r="H1936" t="s">
        <v>78</v>
      </c>
      <c r="I1936" s="64">
        <v>1</v>
      </c>
      <c r="J1936" s="31"/>
      <c r="K1936" s="31"/>
      <c r="L1936" s="31"/>
      <c r="M1936" s="31"/>
      <c r="N1936" s="4"/>
      <c r="AG1936" t="s">
        <v>1655</v>
      </c>
      <c r="AM1936" s="1">
        <f t="shared" si="27"/>
        <v>0</v>
      </c>
    </row>
    <row r="1937" spans="1:39" x14ac:dyDescent="0.35">
      <c r="A1937">
        <v>1933</v>
      </c>
      <c r="B1937">
        <v>1934</v>
      </c>
      <c r="F1937" s="63"/>
      <c r="G1937" s="63"/>
      <c r="H1937" t="s">
        <v>78</v>
      </c>
      <c r="I1937" s="64">
        <v>1</v>
      </c>
      <c r="J1937" s="31"/>
      <c r="K1937" s="31"/>
      <c r="L1937" s="31"/>
      <c r="M1937" s="31"/>
      <c r="N1937" s="4"/>
      <c r="AG1937" t="s">
        <v>1656</v>
      </c>
      <c r="AM1937" s="1">
        <f t="shared" si="27"/>
        <v>0</v>
      </c>
    </row>
    <row r="1938" spans="1:39" x14ac:dyDescent="0.35">
      <c r="A1938">
        <v>1934</v>
      </c>
      <c r="B1938">
        <v>1935</v>
      </c>
      <c r="F1938" s="63"/>
      <c r="G1938" s="63"/>
      <c r="H1938" t="s">
        <v>78</v>
      </c>
      <c r="I1938" s="64">
        <v>1</v>
      </c>
      <c r="J1938" s="31"/>
      <c r="K1938" s="31"/>
      <c r="L1938" s="31"/>
      <c r="M1938" s="31"/>
      <c r="N1938" s="4"/>
      <c r="AG1938" t="s">
        <v>1657</v>
      </c>
      <c r="AM1938" s="1">
        <f t="shared" si="27"/>
        <v>0</v>
      </c>
    </row>
    <row r="1939" spans="1:39" x14ac:dyDescent="0.35">
      <c r="A1939">
        <v>1935</v>
      </c>
      <c r="B1939">
        <v>1936</v>
      </c>
      <c r="F1939" s="63"/>
      <c r="G1939" s="63"/>
      <c r="H1939" t="s">
        <v>78</v>
      </c>
      <c r="I1939" s="64">
        <v>1</v>
      </c>
      <c r="J1939" s="31"/>
      <c r="K1939" s="31"/>
      <c r="L1939" s="31"/>
      <c r="M1939" s="31"/>
      <c r="N1939" s="4"/>
      <c r="AG1939" t="s">
        <v>1658</v>
      </c>
      <c r="AM1939" s="1">
        <f t="shared" si="27"/>
        <v>0</v>
      </c>
    </row>
    <row r="1940" spans="1:39" x14ac:dyDescent="0.35">
      <c r="A1940">
        <v>1936</v>
      </c>
      <c r="B1940">
        <v>1937</v>
      </c>
      <c r="F1940" s="63"/>
      <c r="G1940" s="63"/>
      <c r="H1940" t="s">
        <v>78</v>
      </c>
      <c r="I1940" s="64">
        <v>1</v>
      </c>
      <c r="J1940" s="31"/>
      <c r="K1940" s="31"/>
      <c r="L1940" s="31"/>
      <c r="M1940" s="31"/>
      <c r="N1940" s="4"/>
      <c r="AG1940" t="s">
        <v>1659</v>
      </c>
      <c r="AM1940" s="1">
        <f t="shared" si="27"/>
        <v>0</v>
      </c>
    </row>
    <row r="1941" spans="1:39" x14ac:dyDescent="0.35">
      <c r="A1941">
        <v>1937</v>
      </c>
      <c r="B1941">
        <v>1938</v>
      </c>
      <c r="F1941" s="63"/>
      <c r="G1941" s="63"/>
      <c r="H1941" t="s">
        <v>78</v>
      </c>
      <c r="I1941" s="64">
        <v>1</v>
      </c>
      <c r="J1941" s="31"/>
      <c r="K1941" s="31"/>
      <c r="L1941" s="31"/>
      <c r="M1941" s="31"/>
      <c r="N1941" s="4"/>
      <c r="AG1941" t="s">
        <v>1660</v>
      </c>
      <c r="AM1941" s="1">
        <f t="shared" si="27"/>
        <v>0</v>
      </c>
    </row>
    <row r="1942" spans="1:39" x14ac:dyDescent="0.35">
      <c r="A1942">
        <v>1938</v>
      </c>
      <c r="B1942">
        <v>1939</v>
      </c>
      <c r="F1942" s="63"/>
      <c r="G1942" s="63"/>
      <c r="H1942" t="s">
        <v>78</v>
      </c>
      <c r="I1942" s="64">
        <v>1</v>
      </c>
      <c r="J1942" s="31"/>
      <c r="K1942" s="31"/>
      <c r="L1942" s="31"/>
      <c r="M1942" s="31"/>
      <c r="N1942" s="4"/>
      <c r="AG1942" t="s">
        <v>1661</v>
      </c>
      <c r="AM1942" s="1">
        <f t="shared" si="27"/>
        <v>0</v>
      </c>
    </row>
    <row r="1943" spans="1:39" x14ac:dyDescent="0.35">
      <c r="A1943">
        <v>1939</v>
      </c>
      <c r="B1943">
        <v>1940</v>
      </c>
      <c r="F1943" s="63"/>
      <c r="G1943" s="63"/>
      <c r="H1943" t="s">
        <v>78</v>
      </c>
      <c r="I1943" s="64">
        <v>1</v>
      </c>
      <c r="J1943" s="31"/>
      <c r="K1943" s="31"/>
      <c r="L1943" s="31"/>
      <c r="M1943" s="31"/>
      <c r="N1943" s="4"/>
      <c r="AG1943" t="s">
        <v>1662</v>
      </c>
      <c r="AM1943" s="1">
        <f t="shared" si="27"/>
        <v>0</v>
      </c>
    </row>
    <row r="1944" spans="1:39" x14ac:dyDescent="0.35">
      <c r="A1944">
        <v>1940</v>
      </c>
      <c r="B1944">
        <v>1941</v>
      </c>
      <c r="F1944" s="63"/>
      <c r="G1944" s="63"/>
      <c r="H1944" t="s">
        <v>78</v>
      </c>
      <c r="I1944" s="64">
        <v>1</v>
      </c>
      <c r="J1944" s="31"/>
      <c r="K1944" s="31"/>
      <c r="L1944" s="31"/>
      <c r="M1944" s="31"/>
      <c r="N1944" s="4"/>
      <c r="AG1944" t="s">
        <v>1663</v>
      </c>
      <c r="AM1944" s="1">
        <f t="shared" si="27"/>
        <v>0</v>
      </c>
    </row>
    <row r="1945" spans="1:39" x14ac:dyDescent="0.35">
      <c r="A1945">
        <v>1941</v>
      </c>
      <c r="B1945">
        <v>1942</v>
      </c>
      <c r="F1945" s="63"/>
      <c r="G1945" s="63"/>
      <c r="H1945" t="s">
        <v>78</v>
      </c>
      <c r="I1945" s="64">
        <v>1</v>
      </c>
      <c r="J1945" s="31"/>
      <c r="K1945" s="31"/>
      <c r="L1945" s="31"/>
      <c r="M1945" s="31"/>
      <c r="N1945" s="4"/>
      <c r="AG1945" t="s">
        <v>1664</v>
      </c>
      <c r="AM1945" s="1">
        <f t="shared" si="27"/>
        <v>0</v>
      </c>
    </row>
    <row r="1946" spans="1:39" x14ac:dyDescent="0.35">
      <c r="A1946">
        <v>1942</v>
      </c>
      <c r="B1946">
        <v>1943</v>
      </c>
      <c r="F1946" s="63"/>
      <c r="G1946" s="63"/>
      <c r="H1946" t="s">
        <v>78</v>
      </c>
      <c r="I1946" s="64">
        <v>1</v>
      </c>
      <c r="J1946" s="31"/>
      <c r="K1946" s="31"/>
      <c r="L1946" s="31"/>
      <c r="M1946" s="31"/>
      <c r="N1946" s="4"/>
      <c r="AG1946" t="s">
        <v>1665</v>
      </c>
      <c r="AM1946" s="1">
        <f t="shared" si="27"/>
        <v>0</v>
      </c>
    </row>
    <row r="1947" spans="1:39" x14ac:dyDescent="0.35">
      <c r="A1947">
        <v>1943</v>
      </c>
      <c r="B1947">
        <v>1944</v>
      </c>
      <c r="F1947" s="63"/>
      <c r="G1947" s="63"/>
      <c r="H1947" t="s">
        <v>78</v>
      </c>
      <c r="I1947" s="64">
        <v>1</v>
      </c>
      <c r="J1947" s="31"/>
      <c r="K1947" s="31"/>
      <c r="L1947" s="31"/>
      <c r="M1947" s="31"/>
      <c r="N1947" s="4"/>
      <c r="AG1947" t="s">
        <v>1666</v>
      </c>
      <c r="AM1947" s="1">
        <f t="shared" si="27"/>
        <v>0</v>
      </c>
    </row>
    <row r="1948" spans="1:39" x14ac:dyDescent="0.35">
      <c r="A1948">
        <v>1944</v>
      </c>
      <c r="B1948">
        <v>1945</v>
      </c>
      <c r="F1948" s="63"/>
      <c r="G1948" s="63"/>
      <c r="H1948" t="s">
        <v>78</v>
      </c>
      <c r="I1948" s="64">
        <v>1</v>
      </c>
      <c r="J1948" s="31"/>
      <c r="K1948" s="31"/>
      <c r="L1948" s="31"/>
      <c r="M1948" s="31"/>
      <c r="N1948" s="4"/>
      <c r="AG1948" t="s">
        <v>1667</v>
      </c>
      <c r="AM1948" s="1">
        <f t="shared" si="27"/>
        <v>0</v>
      </c>
    </row>
    <row r="1949" spans="1:39" x14ac:dyDescent="0.35">
      <c r="A1949">
        <v>1945</v>
      </c>
      <c r="B1949">
        <v>1946</v>
      </c>
      <c r="F1949" s="63"/>
      <c r="G1949" s="63"/>
      <c r="H1949" t="s">
        <v>78</v>
      </c>
      <c r="I1949" s="64">
        <v>1</v>
      </c>
      <c r="J1949" s="31"/>
      <c r="K1949" s="31"/>
      <c r="L1949" s="31"/>
      <c r="M1949" s="31"/>
      <c r="N1949" s="4"/>
      <c r="AG1949" t="s">
        <v>1668</v>
      </c>
      <c r="AM1949" s="1">
        <f t="shared" si="27"/>
        <v>0</v>
      </c>
    </row>
    <row r="1950" spans="1:39" x14ac:dyDescent="0.35">
      <c r="A1950">
        <v>1946</v>
      </c>
      <c r="B1950">
        <v>1947</v>
      </c>
      <c r="F1950" s="63"/>
      <c r="G1950" s="63"/>
      <c r="H1950" t="s">
        <v>78</v>
      </c>
      <c r="I1950" s="64">
        <v>1</v>
      </c>
      <c r="J1950" s="31"/>
      <c r="K1950" s="31"/>
      <c r="L1950" s="31"/>
      <c r="M1950" s="31"/>
      <c r="N1950" s="4"/>
      <c r="AG1950" t="s">
        <v>1669</v>
      </c>
      <c r="AM1950" s="1">
        <f t="shared" si="27"/>
        <v>0</v>
      </c>
    </row>
    <row r="1951" spans="1:39" x14ac:dyDescent="0.35">
      <c r="A1951">
        <v>1947</v>
      </c>
      <c r="B1951">
        <v>1948</v>
      </c>
      <c r="F1951" s="63"/>
      <c r="G1951" s="63"/>
      <c r="H1951" t="s">
        <v>78</v>
      </c>
      <c r="I1951" s="64">
        <v>1</v>
      </c>
      <c r="J1951" s="31"/>
      <c r="K1951" s="31"/>
      <c r="L1951" s="31"/>
      <c r="M1951" s="31"/>
      <c r="N1951" s="4"/>
      <c r="AG1951" t="s">
        <v>1670</v>
      </c>
      <c r="AM1951" s="1">
        <f t="shared" si="27"/>
        <v>0</v>
      </c>
    </row>
    <row r="1952" spans="1:39" x14ac:dyDescent="0.35">
      <c r="A1952">
        <v>1948</v>
      </c>
      <c r="B1952">
        <v>1949</v>
      </c>
      <c r="F1952" s="63"/>
      <c r="G1952" s="63"/>
      <c r="H1952" t="s">
        <v>78</v>
      </c>
      <c r="I1952" s="64">
        <v>1</v>
      </c>
      <c r="J1952" s="31"/>
      <c r="K1952" s="31"/>
      <c r="L1952" s="31"/>
      <c r="M1952" s="31"/>
      <c r="N1952" s="4"/>
      <c r="AG1952" t="s">
        <v>1671</v>
      </c>
      <c r="AM1952" s="1">
        <f t="shared" si="27"/>
        <v>0</v>
      </c>
    </row>
    <row r="1953" spans="1:39" x14ac:dyDescent="0.35">
      <c r="A1953">
        <v>1949</v>
      </c>
      <c r="B1953">
        <v>1950</v>
      </c>
      <c r="F1953" s="63"/>
      <c r="G1953" s="63"/>
      <c r="H1953" t="s">
        <v>78</v>
      </c>
      <c r="I1953" s="64">
        <v>1</v>
      </c>
      <c r="J1953" s="31"/>
      <c r="K1953" s="31"/>
      <c r="L1953" s="31"/>
      <c r="M1953" s="31"/>
      <c r="N1953" s="4"/>
      <c r="AG1953" t="s">
        <v>1672</v>
      </c>
      <c r="AM1953" s="1">
        <f t="shared" si="27"/>
        <v>0</v>
      </c>
    </row>
    <row r="1954" spans="1:39" x14ac:dyDescent="0.35">
      <c r="A1954">
        <v>1950</v>
      </c>
      <c r="B1954">
        <v>1951</v>
      </c>
      <c r="F1954" s="63"/>
      <c r="G1954" s="63"/>
      <c r="H1954" t="s">
        <v>78</v>
      </c>
      <c r="I1954" s="64">
        <v>1</v>
      </c>
      <c r="J1954" s="31"/>
      <c r="K1954" s="31"/>
      <c r="L1954" s="31"/>
      <c r="M1954" s="31"/>
      <c r="N1954" s="4"/>
      <c r="AG1954" t="s">
        <v>1673</v>
      </c>
      <c r="AM1954" s="1">
        <f t="shared" si="27"/>
        <v>0</v>
      </c>
    </row>
    <row r="1955" spans="1:39" x14ac:dyDescent="0.35">
      <c r="A1955">
        <v>1951</v>
      </c>
      <c r="B1955">
        <v>1952</v>
      </c>
      <c r="F1955" s="63"/>
      <c r="G1955" s="63"/>
      <c r="H1955" t="s">
        <v>78</v>
      </c>
      <c r="I1955" s="64">
        <v>1</v>
      </c>
      <c r="J1955" s="31"/>
      <c r="K1955" s="31"/>
      <c r="L1955" s="31"/>
      <c r="M1955" s="31"/>
      <c r="N1955" s="4"/>
      <c r="AG1955" t="s">
        <v>1674</v>
      </c>
      <c r="AM1955" s="1">
        <f t="shared" si="27"/>
        <v>0</v>
      </c>
    </row>
    <row r="1956" spans="1:39" x14ac:dyDescent="0.35">
      <c r="A1956">
        <v>1952</v>
      </c>
      <c r="B1956">
        <v>1953</v>
      </c>
      <c r="F1956" s="63"/>
      <c r="G1956" s="63"/>
      <c r="H1956" t="s">
        <v>78</v>
      </c>
      <c r="I1956" s="64">
        <v>1</v>
      </c>
      <c r="J1956" s="31"/>
      <c r="K1956" s="31"/>
      <c r="L1956" s="31"/>
      <c r="M1956" s="31"/>
      <c r="N1956" s="4"/>
      <c r="AG1956" t="s">
        <v>1675</v>
      </c>
      <c r="AM1956" s="1">
        <f t="shared" si="27"/>
        <v>0</v>
      </c>
    </row>
    <row r="1957" spans="1:39" x14ac:dyDescent="0.35">
      <c r="A1957">
        <v>1953</v>
      </c>
      <c r="B1957">
        <v>1954</v>
      </c>
      <c r="F1957" s="63"/>
      <c r="G1957" s="63"/>
      <c r="H1957" t="s">
        <v>78</v>
      </c>
      <c r="I1957" s="64">
        <v>1</v>
      </c>
      <c r="J1957" s="31"/>
      <c r="K1957" s="31"/>
      <c r="L1957" s="31"/>
      <c r="M1957" s="31"/>
      <c r="N1957" s="4"/>
      <c r="AG1957" t="s">
        <v>1676</v>
      </c>
      <c r="AM1957" s="1">
        <f t="shared" si="27"/>
        <v>0</v>
      </c>
    </row>
    <row r="1958" spans="1:39" x14ac:dyDescent="0.35">
      <c r="A1958">
        <v>1954</v>
      </c>
      <c r="B1958">
        <v>1955</v>
      </c>
      <c r="F1958" s="63"/>
      <c r="G1958" s="63"/>
      <c r="H1958" t="s">
        <v>78</v>
      </c>
      <c r="I1958" s="64">
        <v>1</v>
      </c>
      <c r="J1958" s="31"/>
      <c r="K1958" s="31"/>
      <c r="L1958" s="31"/>
      <c r="M1958" s="31"/>
      <c r="N1958" s="4"/>
      <c r="AG1958" t="s">
        <v>1677</v>
      </c>
      <c r="AM1958" s="1">
        <f t="shared" si="27"/>
        <v>0</v>
      </c>
    </row>
    <row r="1959" spans="1:39" x14ac:dyDescent="0.35">
      <c r="A1959">
        <v>1955</v>
      </c>
      <c r="B1959">
        <v>1956</v>
      </c>
      <c r="F1959" s="63"/>
      <c r="G1959" s="63"/>
      <c r="H1959" t="s">
        <v>78</v>
      </c>
      <c r="I1959" s="64">
        <v>1</v>
      </c>
      <c r="J1959" s="31"/>
      <c r="K1959" s="31"/>
      <c r="L1959" s="31"/>
      <c r="M1959" s="31"/>
      <c r="N1959" s="4"/>
      <c r="AG1959" t="s">
        <v>1678</v>
      </c>
      <c r="AM1959" s="1">
        <f t="shared" si="27"/>
        <v>0</v>
      </c>
    </row>
    <row r="1960" spans="1:39" x14ac:dyDescent="0.35">
      <c r="A1960">
        <v>1956</v>
      </c>
      <c r="B1960">
        <v>1957</v>
      </c>
      <c r="F1960" s="63"/>
      <c r="G1960" s="63"/>
      <c r="H1960" t="s">
        <v>78</v>
      </c>
      <c r="I1960" s="64">
        <v>1</v>
      </c>
      <c r="J1960" s="31"/>
      <c r="K1960" s="31"/>
      <c r="L1960" s="31"/>
      <c r="M1960" s="31"/>
      <c r="N1960" s="4"/>
      <c r="AG1960" t="s">
        <v>1679</v>
      </c>
      <c r="AM1960" s="1">
        <f t="shared" si="27"/>
        <v>0</v>
      </c>
    </row>
    <row r="1961" spans="1:39" x14ac:dyDescent="0.35">
      <c r="A1961">
        <v>1957</v>
      </c>
      <c r="B1961">
        <v>1958</v>
      </c>
      <c r="F1961" s="63"/>
      <c r="G1961" s="63"/>
      <c r="H1961" t="s">
        <v>78</v>
      </c>
      <c r="I1961" s="64">
        <v>1</v>
      </c>
      <c r="J1961" s="31"/>
      <c r="K1961" s="31"/>
      <c r="L1961" s="31"/>
      <c r="M1961" s="31"/>
      <c r="N1961" s="4"/>
      <c r="AG1961" t="s">
        <v>1680</v>
      </c>
      <c r="AM1961" s="1">
        <f t="shared" si="27"/>
        <v>0</v>
      </c>
    </row>
    <row r="1962" spans="1:39" x14ac:dyDescent="0.35">
      <c r="A1962">
        <v>1958</v>
      </c>
      <c r="B1962">
        <v>1959</v>
      </c>
      <c r="F1962" s="63"/>
      <c r="G1962" s="63"/>
      <c r="H1962" t="s">
        <v>78</v>
      </c>
      <c r="I1962" s="64">
        <v>1</v>
      </c>
      <c r="J1962" s="31"/>
      <c r="K1962" s="31"/>
      <c r="L1962" s="31"/>
      <c r="M1962" s="31"/>
      <c r="N1962" s="4"/>
      <c r="AG1962" t="s">
        <v>1681</v>
      </c>
      <c r="AM1962" s="1">
        <f t="shared" si="27"/>
        <v>0</v>
      </c>
    </row>
    <row r="1963" spans="1:39" x14ac:dyDescent="0.35">
      <c r="A1963">
        <v>1959</v>
      </c>
      <c r="B1963">
        <v>1960</v>
      </c>
      <c r="F1963" s="63"/>
      <c r="G1963" s="63"/>
      <c r="H1963" t="s">
        <v>78</v>
      </c>
      <c r="I1963" s="64">
        <v>1</v>
      </c>
      <c r="J1963" s="31"/>
      <c r="K1963" s="31"/>
      <c r="L1963" s="31"/>
      <c r="M1963" s="31"/>
      <c r="N1963" s="4"/>
      <c r="AG1963" t="s">
        <v>1682</v>
      </c>
      <c r="AM1963" s="1">
        <f t="shared" si="27"/>
        <v>0</v>
      </c>
    </row>
    <row r="1964" spans="1:39" x14ac:dyDescent="0.35">
      <c r="A1964">
        <v>1960</v>
      </c>
      <c r="B1964">
        <v>1961</v>
      </c>
      <c r="F1964" s="63"/>
      <c r="G1964" s="63"/>
      <c r="H1964" t="s">
        <v>78</v>
      </c>
      <c r="I1964" s="64">
        <v>1</v>
      </c>
      <c r="J1964" s="31"/>
      <c r="K1964" s="31"/>
      <c r="L1964" s="31"/>
      <c r="M1964" s="31"/>
      <c r="N1964" s="4"/>
      <c r="AG1964" t="s">
        <v>1683</v>
      </c>
      <c r="AM1964" s="1">
        <f t="shared" si="27"/>
        <v>0</v>
      </c>
    </row>
    <row r="1965" spans="1:39" x14ac:dyDescent="0.35">
      <c r="A1965">
        <v>1961</v>
      </c>
      <c r="B1965">
        <v>1962</v>
      </c>
      <c r="F1965" s="63"/>
      <c r="G1965" s="63"/>
      <c r="H1965" t="s">
        <v>78</v>
      </c>
      <c r="I1965" s="64">
        <v>1</v>
      </c>
      <c r="J1965" s="31"/>
      <c r="K1965" s="31"/>
      <c r="L1965" s="31"/>
      <c r="M1965" s="31"/>
      <c r="N1965" s="4"/>
      <c r="AG1965" t="s">
        <v>1684</v>
      </c>
      <c r="AM1965" s="1">
        <f t="shared" si="27"/>
        <v>0</v>
      </c>
    </row>
    <row r="1966" spans="1:39" x14ac:dyDescent="0.35">
      <c r="A1966">
        <v>1962</v>
      </c>
      <c r="B1966">
        <v>1963</v>
      </c>
      <c r="F1966" s="63"/>
      <c r="G1966" s="63"/>
      <c r="H1966" t="s">
        <v>78</v>
      </c>
      <c r="I1966" s="64">
        <v>1</v>
      </c>
      <c r="J1966" s="31"/>
      <c r="K1966" s="31"/>
      <c r="L1966" s="31"/>
      <c r="M1966" s="31"/>
      <c r="N1966" s="4"/>
      <c r="AG1966" t="s">
        <v>1685</v>
      </c>
      <c r="AM1966" s="1">
        <f t="shared" si="27"/>
        <v>0</v>
      </c>
    </row>
    <row r="1967" spans="1:39" x14ac:dyDescent="0.35">
      <c r="A1967">
        <v>1963</v>
      </c>
      <c r="B1967">
        <v>1964</v>
      </c>
      <c r="F1967" s="63"/>
      <c r="G1967" s="63"/>
      <c r="H1967" t="s">
        <v>78</v>
      </c>
      <c r="I1967" s="64">
        <v>1</v>
      </c>
      <c r="J1967" s="31"/>
      <c r="K1967" s="31"/>
      <c r="L1967" s="31"/>
      <c r="M1967" s="31"/>
      <c r="N1967" s="4"/>
      <c r="AG1967" t="s">
        <v>1686</v>
      </c>
      <c r="AM1967" s="1">
        <f t="shared" si="27"/>
        <v>0</v>
      </c>
    </row>
    <row r="1968" spans="1:39" x14ac:dyDescent="0.35">
      <c r="A1968">
        <v>1964</v>
      </c>
      <c r="B1968">
        <v>1965</v>
      </c>
      <c r="F1968" s="63"/>
      <c r="G1968" s="63"/>
      <c r="H1968" t="s">
        <v>78</v>
      </c>
      <c r="I1968" s="64">
        <v>1</v>
      </c>
      <c r="J1968" s="31"/>
      <c r="K1968" s="31"/>
      <c r="L1968" s="31"/>
      <c r="M1968" s="31"/>
      <c r="N1968" s="4"/>
      <c r="AG1968" t="s">
        <v>1687</v>
      </c>
      <c r="AM1968" s="1">
        <f t="shared" si="27"/>
        <v>0</v>
      </c>
    </row>
    <row r="1969" spans="1:39" x14ac:dyDescent="0.35">
      <c r="A1969">
        <v>1965</v>
      </c>
      <c r="B1969">
        <v>1966</v>
      </c>
      <c r="F1969" s="63"/>
      <c r="G1969" s="63"/>
      <c r="H1969" t="s">
        <v>78</v>
      </c>
      <c r="I1969" s="64">
        <v>1</v>
      </c>
      <c r="J1969" s="31"/>
      <c r="K1969" s="31"/>
      <c r="L1969" s="31"/>
      <c r="M1969" s="31"/>
      <c r="N1969" s="4"/>
      <c r="AG1969" t="s">
        <v>1688</v>
      </c>
      <c r="AM1969" s="1">
        <f t="shared" si="27"/>
        <v>0</v>
      </c>
    </row>
    <row r="1970" spans="1:39" x14ac:dyDescent="0.35">
      <c r="A1970">
        <v>1966</v>
      </c>
      <c r="B1970">
        <v>1967</v>
      </c>
      <c r="F1970" s="63"/>
      <c r="G1970" s="63"/>
      <c r="H1970" t="s">
        <v>78</v>
      </c>
      <c r="I1970" s="64">
        <v>1</v>
      </c>
      <c r="J1970" s="31"/>
      <c r="K1970" s="31"/>
      <c r="L1970" s="31"/>
      <c r="M1970" s="31"/>
      <c r="N1970" s="4"/>
      <c r="AG1970" t="s">
        <v>1689</v>
      </c>
      <c r="AM1970" s="1">
        <f t="shared" si="27"/>
        <v>0</v>
      </c>
    </row>
    <row r="1971" spans="1:39" x14ac:dyDescent="0.35">
      <c r="A1971">
        <v>1967</v>
      </c>
      <c r="B1971">
        <v>1968</v>
      </c>
      <c r="F1971" s="63"/>
      <c r="G1971" s="63"/>
      <c r="H1971" t="s">
        <v>78</v>
      </c>
      <c r="I1971" s="64">
        <v>1</v>
      </c>
      <c r="J1971" s="31"/>
      <c r="K1971" s="31"/>
      <c r="L1971" s="31"/>
      <c r="M1971" s="31"/>
      <c r="N1971" s="4"/>
      <c r="AG1971" t="s">
        <v>1690</v>
      </c>
      <c r="AM1971" s="1">
        <f t="shared" si="27"/>
        <v>0</v>
      </c>
    </row>
    <row r="1972" spans="1:39" x14ac:dyDescent="0.35">
      <c r="A1972">
        <v>1968</v>
      </c>
      <c r="B1972">
        <v>1969</v>
      </c>
      <c r="F1972" s="63"/>
      <c r="G1972" s="63"/>
      <c r="H1972" t="s">
        <v>78</v>
      </c>
      <c r="I1972" s="64">
        <v>1</v>
      </c>
      <c r="J1972" s="31"/>
      <c r="K1972" s="31"/>
      <c r="L1972" s="31"/>
      <c r="M1972" s="31"/>
      <c r="N1972" s="4"/>
      <c r="AG1972" t="s">
        <v>1691</v>
      </c>
      <c r="AM1972" s="1">
        <f t="shared" si="27"/>
        <v>0</v>
      </c>
    </row>
    <row r="1973" spans="1:39" x14ac:dyDescent="0.35">
      <c r="A1973">
        <v>1969</v>
      </c>
      <c r="B1973">
        <v>1970</v>
      </c>
      <c r="F1973" s="63"/>
      <c r="G1973" s="63"/>
      <c r="H1973" t="s">
        <v>78</v>
      </c>
      <c r="I1973" s="64">
        <v>1</v>
      </c>
      <c r="J1973" s="31"/>
      <c r="K1973" s="31"/>
      <c r="L1973" s="31"/>
      <c r="M1973" s="31"/>
      <c r="N1973" s="4"/>
      <c r="AG1973" t="s">
        <v>1692</v>
      </c>
      <c r="AM1973" s="1">
        <f t="shared" si="27"/>
        <v>0</v>
      </c>
    </row>
    <row r="1974" spans="1:39" x14ac:dyDescent="0.35">
      <c r="A1974">
        <v>1970</v>
      </c>
      <c r="B1974">
        <v>1971</v>
      </c>
      <c r="F1974" s="63"/>
      <c r="G1974" s="63"/>
      <c r="H1974" t="s">
        <v>78</v>
      </c>
      <c r="I1974" s="64">
        <v>1</v>
      </c>
      <c r="J1974" s="31"/>
      <c r="K1974" s="31"/>
      <c r="L1974" s="31"/>
      <c r="M1974" s="31"/>
      <c r="N1974" s="4"/>
      <c r="AG1974" t="s">
        <v>1693</v>
      </c>
      <c r="AM1974" s="1">
        <f t="shared" si="27"/>
        <v>0</v>
      </c>
    </row>
    <row r="1975" spans="1:39" x14ac:dyDescent="0.35">
      <c r="A1975">
        <v>1971</v>
      </c>
      <c r="B1975">
        <v>1972</v>
      </c>
      <c r="F1975" s="63"/>
      <c r="G1975" s="63"/>
      <c r="H1975" t="s">
        <v>78</v>
      </c>
      <c r="I1975" s="64">
        <v>1</v>
      </c>
      <c r="J1975" s="31"/>
      <c r="K1975" s="31"/>
      <c r="L1975" s="31"/>
      <c r="M1975" s="31"/>
      <c r="N1975" s="4"/>
      <c r="AG1975" t="s">
        <v>1694</v>
      </c>
      <c r="AM1975" s="1">
        <f t="shared" si="27"/>
        <v>0</v>
      </c>
    </row>
    <row r="1976" spans="1:39" x14ac:dyDescent="0.35">
      <c r="A1976">
        <v>1972</v>
      </c>
      <c r="B1976">
        <v>1973</v>
      </c>
      <c r="F1976" s="63"/>
      <c r="G1976" s="63"/>
      <c r="H1976" t="s">
        <v>78</v>
      </c>
      <c r="I1976" s="64">
        <v>1</v>
      </c>
      <c r="J1976" s="31"/>
      <c r="K1976" s="31"/>
      <c r="L1976" s="31"/>
      <c r="M1976" s="31"/>
      <c r="N1976" s="4"/>
      <c r="AG1976" t="s">
        <v>1695</v>
      </c>
      <c r="AM1976" s="1">
        <f t="shared" si="27"/>
        <v>0</v>
      </c>
    </row>
    <row r="1977" spans="1:39" x14ac:dyDescent="0.35">
      <c r="A1977">
        <v>1973</v>
      </c>
      <c r="B1977">
        <v>1974</v>
      </c>
      <c r="F1977" s="63"/>
      <c r="G1977" s="63"/>
      <c r="H1977" t="s">
        <v>78</v>
      </c>
      <c r="I1977" s="64">
        <v>1</v>
      </c>
      <c r="J1977" s="31"/>
      <c r="K1977" s="31"/>
      <c r="L1977" s="31"/>
      <c r="M1977" s="31"/>
      <c r="N1977" s="4"/>
      <c r="AG1977" t="s">
        <v>1696</v>
      </c>
      <c r="AM1977" s="1">
        <f t="shared" si="27"/>
        <v>0</v>
      </c>
    </row>
    <row r="1978" spans="1:39" x14ac:dyDescent="0.35">
      <c r="A1978">
        <v>1974</v>
      </c>
      <c r="B1978">
        <v>1975</v>
      </c>
      <c r="F1978" s="63"/>
      <c r="G1978" s="63"/>
      <c r="H1978" t="s">
        <v>78</v>
      </c>
      <c r="I1978" s="64">
        <v>1</v>
      </c>
      <c r="J1978" s="31"/>
      <c r="K1978" s="31"/>
      <c r="L1978" s="31"/>
      <c r="M1978" s="31"/>
      <c r="N1978" s="4"/>
      <c r="AG1978" t="s">
        <v>1697</v>
      </c>
      <c r="AM1978" s="1">
        <f t="shared" si="27"/>
        <v>0</v>
      </c>
    </row>
    <row r="1979" spans="1:39" x14ac:dyDescent="0.35">
      <c r="A1979">
        <v>1975</v>
      </c>
      <c r="B1979">
        <v>1976</v>
      </c>
      <c r="F1979" s="63"/>
      <c r="G1979" s="63"/>
      <c r="H1979" t="s">
        <v>78</v>
      </c>
      <c r="I1979" s="64">
        <v>1</v>
      </c>
      <c r="J1979" s="31"/>
      <c r="K1979" s="31"/>
      <c r="L1979" s="31"/>
      <c r="M1979" s="31"/>
      <c r="N1979" s="4"/>
      <c r="AG1979" t="s">
        <v>1698</v>
      </c>
      <c r="AM1979" s="1">
        <f t="shared" si="27"/>
        <v>0</v>
      </c>
    </row>
    <row r="1980" spans="1:39" x14ac:dyDescent="0.35">
      <c r="A1980">
        <v>1976</v>
      </c>
      <c r="B1980">
        <v>1977</v>
      </c>
      <c r="F1980" s="63"/>
      <c r="G1980" s="63"/>
      <c r="H1980" t="s">
        <v>78</v>
      </c>
      <c r="I1980" s="64">
        <v>1</v>
      </c>
      <c r="J1980" s="31"/>
      <c r="K1980" s="31"/>
      <c r="L1980" s="31"/>
      <c r="M1980" s="31"/>
      <c r="N1980" s="4"/>
      <c r="AG1980" t="s">
        <v>1699</v>
      </c>
      <c r="AM1980" s="1">
        <f t="shared" si="27"/>
        <v>0</v>
      </c>
    </row>
    <row r="1981" spans="1:39" x14ac:dyDescent="0.35">
      <c r="A1981">
        <v>1977</v>
      </c>
      <c r="B1981">
        <v>1978</v>
      </c>
      <c r="F1981" s="63"/>
      <c r="G1981" s="63"/>
      <c r="H1981" t="s">
        <v>78</v>
      </c>
      <c r="I1981" s="64">
        <v>1</v>
      </c>
      <c r="J1981" s="31"/>
      <c r="K1981" s="31"/>
      <c r="L1981" s="31"/>
      <c r="M1981" s="31"/>
      <c r="N1981" s="4"/>
      <c r="AG1981" t="s">
        <v>1700</v>
      </c>
      <c r="AM1981" s="1">
        <f t="shared" si="27"/>
        <v>0</v>
      </c>
    </row>
    <row r="1982" spans="1:39" x14ac:dyDescent="0.35">
      <c r="A1982">
        <v>1978</v>
      </c>
      <c r="B1982">
        <v>1979</v>
      </c>
      <c r="F1982" s="63"/>
      <c r="G1982" s="63"/>
      <c r="H1982" t="s">
        <v>78</v>
      </c>
      <c r="I1982" s="64">
        <v>1</v>
      </c>
      <c r="J1982" s="31"/>
      <c r="K1982" s="31"/>
      <c r="L1982" s="31"/>
      <c r="M1982" s="31"/>
      <c r="N1982" s="4"/>
      <c r="AG1982" t="s">
        <v>1701</v>
      </c>
      <c r="AM1982" s="1">
        <f t="shared" si="27"/>
        <v>0</v>
      </c>
    </row>
    <row r="1983" spans="1:39" x14ac:dyDescent="0.35">
      <c r="A1983">
        <v>1979</v>
      </c>
      <c r="B1983">
        <v>1980</v>
      </c>
      <c r="F1983" s="63"/>
      <c r="G1983" s="63"/>
      <c r="H1983" t="s">
        <v>78</v>
      </c>
      <c r="I1983" s="64">
        <v>1</v>
      </c>
      <c r="J1983" s="31"/>
      <c r="K1983" s="31"/>
      <c r="L1983" s="31"/>
      <c r="M1983" s="31"/>
      <c r="N1983" s="4"/>
      <c r="AG1983" t="s">
        <v>1702</v>
      </c>
      <c r="AM1983" s="1">
        <f t="shared" si="27"/>
        <v>0</v>
      </c>
    </row>
    <row r="1984" spans="1:39" x14ac:dyDescent="0.35">
      <c r="A1984">
        <v>1980</v>
      </c>
      <c r="B1984">
        <v>1981</v>
      </c>
      <c r="F1984" s="63"/>
      <c r="G1984" s="63"/>
      <c r="H1984" t="s">
        <v>78</v>
      </c>
      <c r="I1984" s="64">
        <v>1</v>
      </c>
      <c r="J1984" s="31"/>
      <c r="K1984" s="31"/>
      <c r="L1984" s="31"/>
      <c r="M1984" s="31"/>
      <c r="N1984" s="4"/>
      <c r="AG1984" t="s">
        <v>1703</v>
      </c>
      <c r="AM1984" s="1">
        <f t="shared" si="27"/>
        <v>0</v>
      </c>
    </row>
    <row r="1985" spans="1:39" x14ac:dyDescent="0.35">
      <c r="A1985">
        <v>1981</v>
      </c>
      <c r="B1985">
        <v>1982</v>
      </c>
      <c r="F1985" s="63"/>
      <c r="G1985" s="63"/>
      <c r="H1985" t="s">
        <v>78</v>
      </c>
      <c r="I1985" s="64">
        <v>1</v>
      </c>
      <c r="J1985" s="31"/>
      <c r="K1985" s="31"/>
      <c r="L1985" s="31"/>
      <c r="M1985" s="31"/>
      <c r="N1985" s="4"/>
      <c r="AG1985" t="s">
        <v>1704</v>
      </c>
      <c r="AM1985" s="1">
        <f t="shared" si="27"/>
        <v>0</v>
      </c>
    </row>
    <row r="1986" spans="1:39" x14ac:dyDescent="0.35">
      <c r="A1986">
        <v>1982</v>
      </c>
      <c r="B1986">
        <v>1983</v>
      </c>
      <c r="F1986" s="63"/>
      <c r="G1986" s="63"/>
      <c r="H1986" t="s">
        <v>78</v>
      </c>
      <c r="I1986" s="64">
        <v>1</v>
      </c>
      <c r="J1986" s="31"/>
      <c r="K1986" s="31"/>
      <c r="L1986" s="31"/>
      <c r="M1986" s="31"/>
      <c r="N1986" s="4"/>
      <c r="AG1986" t="s">
        <v>1705</v>
      </c>
      <c r="AM1986" s="1">
        <f t="shared" si="27"/>
        <v>0</v>
      </c>
    </row>
    <row r="1987" spans="1:39" x14ac:dyDescent="0.35">
      <c r="A1987">
        <v>1983</v>
      </c>
      <c r="B1987">
        <v>1984</v>
      </c>
      <c r="F1987" s="63"/>
      <c r="G1987" s="63"/>
      <c r="H1987" t="s">
        <v>78</v>
      </c>
      <c r="I1987" s="64">
        <v>1</v>
      </c>
      <c r="J1987" s="31"/>
      <c r="K1987" s="31"/>
      <c r="L1987" s="31"/>
      <c r="M1987" s="31"/>
      <c r="N1987" s="4"/>
      <c r="AG1987" t="s">
        <v>1706</v>
      </c>
      <c r="AM1987" s="1">
        <f t="shared" si="27"/>
        <v>0</v>
      </c>
    </row>
    <row r="1988" spans="1:39" x14ac:dyDescent="0.35">
      <c r="A1988">
        <v>1984</v>
      </c>
      <c r="B1988">
        <v>1985</v>
      </c>
      <c r="F1988" s="63"/>
      <c r="G1988" s="63"/>
      <c r="H1988" t="s">
        <v>78</v>
      </c>
      <c r="I1988" s="64">
        <v>1</v>
      </c>
      <c r="J1988" s="31"/>
      <c r="K1988" s="31"/>
      <c r="L1988" s="31"/>
      <c r="M1988" s="31"/>
      <c r="N1988" s="4"/>
      <c r="AG1988" t="s">
        <v>1707</v>
      </c>
      <c r="AM1988" s="1">
        <f t="shared" si="27"/>
        <v>0</v>
      </c>
    </row>
    <row r="1989" spans="1:39" x14ac:dyDescent="0.35">
      <c r="A1989">
        <v>1985</v>
      </c>
      <c r="B1989">
        <v>1986</v>
      </c>
      <c r="F1989" s="63"/>
      <c r="G1989" s="63"/>
      <c r="H1989" t="s">
        <v>78</v>
      </c>
      <c r="I1989" s="64">
        <v>1</v>
      </c>
      <c r="J1989" s="31"/>
      <c r="K1989" s="31"/>
      <c r="L1989" s="31"/>
      <c r="M1989" s="31"/>
      <c r="N1989" s="4"/>
      <c r="AG1989" t="s">
        <v>1708</v>
      </c>
      <c r="AM1989" s="1">
        <f t="shared" si="27"/>
        <v>0</v>
      </c>
    </row>
    <row r="1990" spans="1:39" x14ac:dyDescent="0.35">
      <c r="A1990">
        <v>1986</v>
      </c>
      <c r="B1990">
        <v>1987</v>
      </c>
      <c r="F1990" s="63"/>
      <c r="G1990" s="63"/>
      <c r="H1990" t="s">
        <v>78</v>
      </c>
      <c r="I1990" s="64">
        <v>1</v>
      </c>
      <c r="J1990" s="31"/>
      <c r="K1990" s="31"/>
      <c r="L1990" s="31"/>
      <c r="M1990" s="31"/>
      <c r="N1990" s="4"/>
      <c r="AG1990" t="s">
        <v>1709</v>
      </c>
      <c r="AM1990" s="1">
        <f t="shared" si="27"/>
        <v>0</v>
      </c>
    </row>
    <row r="1991" spans="1:39" x14ac:dyDescent="0.35">
      <c r="A1991">
        <v>1987</v>
      </c>
      <c r="B1991">
        <v>1988</v>
      </c>
      <c r="F1991" s="63"/>
      <c r="G1991" s="63"/>
      <c r="H1991" t="s">
        <v>78</v>
      </c>
      <c r="I1991" s="64">
        <v>1</v>
      </c>
      <c r="J1991" s="31"/>
      <c r="K1991" s="31"/>
      <c r="L1991" s="31"/>
      <c r="M1991" s="31"/>
      <c r="N1991" s="4"/>
      <c r="AG1991" t="s">
        <v>1710</v>
      </c>
      <c r="AM1991" s="1">
        <f t="shared" si="27"/>
        <v>0</v>
      </c>
    </row>
    <row r="1992" spans="1:39" x14ac:dyDescent="0.35">
      <c r="A1992">
        <v>1988</v>
      </c>
      <c r="B1992">
        <v>1989</v>
      </c>
      <c r="F1992" s="63"/>
      <c r="G1992" s="63"/>
      <c r="H1992" t="s">
        <v>78</v>
      </c>
      <c r="I1992" s="64">
        <v>1</v>
      </c>
      <c r="J1992" s="31"/>
      <c r="K1992" s="31"/>
      <c r="L1992" s="31"/>
      <c r="M1992" s="31"/>
      <c r="N1992" s="4"/>
      <c r="AG1992" t="s">
        <v>1711</v>
      </c>
      <c r="AM1992" s="1">
        <f t="shared" si="27"/>
        <v>0</v>
      </c>
    </row>
    <row r="1993" spans="1:39" x14ac:dyDescent="0.35">
      <c r="A1993">
        <v>1989</v>
      </c>
      <c r="B1993">
        <v>1990</v>
      </c>
      <c r="F1993" s="63"/>
      <c r="G1993" s="63"/>
      <c r="H1993" t="s">
        <v>78</v>
      </c>
      <c r="I1993" s="64">
        <v>1</v>
      </c>
      <c r="J1993" s="31"/>
      <c r="K1993" s="31"/>
      <c r="L1993" s="31"/>
      <c r="M1993" s="31"/>
      <c r="N1993" s="4"/>
      <c r="AG1993" t="s">
        <v>1712</v>
      </c>
      <c r="AM1993" s="1">
        <f t="shared" si="27"/>
        <v>0</v>
      </c>
    </row>
    <row r="1994" spans="1:39" x14ac:dyDescent="0.35">
      <c r="A1994">
        <v>1990</v>
      </c>
      <c r="B1994">
        <v>1991</v>
      </c>
      <c r="F1994" s="63"/>
      <c r="G1994" s="63"/>
      <c r="H1994" t="s">
        <v>78</v>
      </c>
      <c r="I1994" s="64">
        <v>1</v>
      </c>
      <c r="J1994" s="31"/>
      <c r="K1994" s="31"/>
      <c r="L1994" s="31"/>
      <c r="M1994" s="31"/>
      <c r="N1994" s="4"/>
      <c r="AG1994" t="s">
        <v>1713</v>
      </c>
      <c r="AM1994" s="1">
        <f t="shared" si="27"/>
        <v>0</v>
      </c>
    </row>
    <row r="1995" spans="1:39" x14ac:dyDescent="0.35">
      <c r="A1995">
        <v>1991</v>
      </c>
      <c r="B1995">
        <v>1992</v>
      </c>
      <c r="F1995" s="63"/>
      <c r="G1995" s="63"/>
      <c r="H1995" t="s">
        <v>26</v>
      </c>
      <c r="I1995" s="64"/>
      <c r="J1995" s="31"/>
      <c r="K1995" s="31"/>
      <c r="L1995" s="31"/>
      <c r="M1995" s="31"/>
      <c r="N1995" s="4"/>
      <c r="AG1995" t="s">
        <v>1714</v>
      </c>
      <c r="AM1995" s="1">
        <f t="shared" ref="AM1995:AM2058" si="28">HYPERLINK("E:\CAFNEC_GBRF\2023\JohnstoneRiver\Frames_for_Analysis\" &amp; F1996, F1996)</f>
        <v>0</v>
      </c>
    </row>
    <row r="1996" spans="1:39" x14ac:dyDescent="0.35">
      <c r="A1996">
        <v>1992</v>
      </c>
      <c r="B1996">
        <v>1993</v>
      </c>
      <c r="F1996" s="63"/>
      <c r="G1996" s="63"/>
      <c r="H1996" t="s">
        <v>26</v>
      </c>
      <c r="I1996" s="64"/>
      <c r="J1996" s="31"/>
      <c r="K1996" s="31"/>
      <c r="L1996" s="31"/>
      <c r="M1996" s="31"/>
      <c r="N1996" s="4"/>
      <c r="AG1996" t="s">
        <v>1715</v>
      </c>
      <c r="AM1996" s="1">
        <f t="shared" si="28"/>
        <v>0</v>
      </c>
    </row>
    <row r="1997" spans="1:39" x14ac:dyDescent="0.35">
      <c r="A1997">
        <v>1993</v>
      </c>
      <c r="B1997">
        <v>1994</v>
      </c>
      <c r="F1997" s="63"/>
      <c r="G1997" s="63"/>
      <c r="H1997" t="s">
        <v>26</v>
      </c>
      <c r="I1997" s="64"/>
      <c r="J1997" s="31"/>
      <c r="K1997" s="31"/>
      <c r="L1997" s="31"/>
      <c r="M1997" s="31"/>
      <c r="N1997" s="4"/>
      <c r="AG1997" t="s">
        <v>1716</v>
      </c>
      <c r="AM1997" s="1">
        <f t="shared" si="28"/>
        <v>0</v>
      </c>
    </row>
    <row r="1998" spans="1:39" x14ac:dyDescent="0.35">
      <c r="A1998">
        <v>1994</v>
      </c>
      <c r="B1998">
        <v>1995</v>
      </c>
      <c r="F1998" s="63"/>
      <c r="G1998" s="63"/>
      <c r="H1998" t="s">
        <v>26</v>
      </c>
      <c r="I1998" s="64"/>
      <c r="J1998" s="31"/>
      <c r="K1998" s="31"/>
      <c r="L1998" s="31"/>
      <c r="M1998" s="31"/>
      <c r="N1998" s="4"/>
      <c r="AG1998" t="s">
        <v>1717</v>
      </c>
      <c r="AM1998" s="1">
        <f t="shared" si="28"/>
        <v>0</v>
      </c>
    </row>
    <row r="1999" spans="1:39" x14ac:dyDescent="0.35">
      <c r="A1999">
        <v>1995</v>
      </c>
      <c r="B1999">
        <v>1996</v>
      </c>
      <c r="F1999" s="63"/>
      <c r="G1999" s="63"/>
      <c r="H1999" t="s">
        <v>26</v>
      </c>
      <c r="I1999" s="64"/>
      <c r="J1999" s="31"/>
      <c r="K1999" s="31"/>
      <c r="L1999" s="31"/>
      <c r="M1999" s="31"/>
      <c r="N1999" s="4"/>
      <c r="AG1999" t="s">
        <v>1718</v>
      </c>
      <c r="AM1999" s="1">
        <f t="shared" si="28"/>
        <v>0</v>
      </c>
    </row>
    <row r="2000" spans="1:39" x14ac:dyDescent="0.35">
      <c r="A2000">
        <v>1996</v>
      </c>
      <c r="B2000">
        <v>1997</v>
      </c>
      <c r="F2000" s="63"/>
      <c r="G2000" s="63"/>
      <c r="H2000" t="s">
        <v>26</v>
      </c>
      <c r="I2000" s="64"/>
      <c r="J2000" s="31"/>
      <c r="K2000" s="31"/>
      <c r="L2000" s="31"/>
      <c r="M2000" s="31"/>
      <c r="N2000" s="4"/>
      <c r="AG2000" t="s">
        <v>1719</v>
      </c>
      <c r="AM2000" s="1">
        <f t="shared" si="28"/>
        <v>0</v>
      </c>
    </row>
    <row r="2001" spans="1:39" x14ac:dyDescent="0.35">
      <c r="A2001">
        <v>1997</v>
      </c>
      <c r="B2001">
        <v>1998</v>
      </c>
      <c r="F2001" s="63"/>
      <c r="G2001" s="63"/>
      <c r="H2001" t="s">
        <v>26</v>
      </c>
      <c r="I2001" s="64"/>
      <c r="J2001" s="31"/>
      <c r="K2001" s="31"/>
      <c r="L2001" s="31"/>
      <c r="M2001" s="31"/>
      <c r="N2001" s="4"/>
      <c r="AG2001" t="s">
        <v>1720</v>
      </c>
      <c r="AM2001" s="1">
        <f t="shared" si="28"/>
        <v>0</v>
      </c>
    </row>
    <row r="2002" spans="1:39" x14ac:dyDescent="0.35">
      <c r="A2002">
        <v>1998</v>
      </c>
      <c r="B2002">
        <v>1999</v>
      </c>
      <c r="F2002" s="63"/>
      <c r="G2002" s="63"/>
      <c r="H2002" t="s">
        <v>26</v>
      </c>
      <c r="I2002" s="64"/>
      <c r="J2002" s="31"/>
      <c r="K2002" s="31"/>
      <c r="L2002" s="31"/>
      <c r="M2002" s="31"/>
      <c r="N2002" s="4"/>
      <c r="AG2002" t="s">
        <v>1721</v>
      </c>
      <c r="AM2002" s="1">
        <f t="shared" si="28"/>
        <v>0</v>
      </c>
    </row>
    <row r="2003" spans="1:39" x14ac:dyDescent="0.35">
      <c r="A2003">
        <v>1999</v>
      </c>
      <c r="B2003">
        <v>2000</v>
      </c>
      <c r="F2003" s="63"/>
      <c r="G2003" s="63"/>
      <c r="H2003" t="s">
        <v>26</v>
      </c>
      <c r="I2003" s="64"/>
      <c r="J2003" s="31"/>
      <c r="K2003" s="31"/>
      <c r="L2003" s="31"/>
      <c r="M2003" s="31"/>
      <c r="N2003" s="4"/>
      <c r="AG2003" t="s">
        <v>1722</v>
      </c>
      <c r="AM2003" s="1">
        <f t="shared" si="28"/>
        <v>0</v>
      </c>
    </row>
    <row r="2004" spans="1:39" x14ac:dyDescent="0.35">
      <c r="A2004">
        <v>2000</v>
      </c>
      <c r="B2004">
        <v>2001</v>
      </c>
      <c r="F2004" s="63"/>
      <c r="G2004" s="63"/>
      <c r="H2004" t="s">
        <v>26</v>
      </c>
      <c r="I2004" s="64"/>
      <c r="J2004" s="31"/>
      <c r="K2004" s="31"/>
      <c r="L2004" s="31"/>
      <c r="M2004" s="31"/>
      <c r="N2004" s="4"/>
      <c r="AG2004" t="s">
        <v>1723</v>
      </c>
      <c r="AM2004" s="1">
        <f t="shared" si="28"/>
        <v>0</v>
      </c>
    </row>
    <row r="2005" spans="1:39" x14ac:dyDescent="0.35">
      <c r="A2005">
        <v>2001</v>
      </c>
      <c r="B2005">
        <v>2002</v>
      </c>
      <c r="F2005" s="63"/>
      <c r="G2005" s="63"/>
      <c r="H2005" t="s">
        <v>26</v>
      </c>
      <c r="I2005" s="64"/>
      <c r="J2005" s="31"/>
      <c r="K2005" s="31"/>
      <c r="L2005" s="31"/>
      <c r="M2005" s="31"/>
      <c r="N2005" s="4"/>
      <c r="AG2005" t="s">
        <v>1724</v>
      </c>
      <c r="AM2005" s="1">
        <f t="shared" si="28"/>
        <v>0</v>
      </c>
    </row>
    <row r="2006" spans="1:39" x14ac:dyDescent="0.35">
      <c r="A2006">
        <v>2002</v>
      </c>
      <c r="B2006">
        <v>2003</v>
      </c>
      <c r="F2006" s="63"/>
      <c r="G2006" s="63"/>
      <c r="H2006" t="s">
        <v>26</v>
      </c>
      <c r="I2006" s="64"/>
      <c r="J2006" s="31"/>
      <c r="K2006" s="31"/>
      <c r="L2006" s="31"/>
      <c r="M2006" s="31"/>
      <c r="N2006" s="4"/>
      <c r="AG2006" t="s">
        <v>1725</v>
      </c>
      <c r="AM2006" s="1">
        <f t="shared" si="28"/>
        <v>0</v>
      </c>
    </row>
    <row r="2007" spans="1:39" x14ac:dyDescent="0.35">
      <c r="A2007">
        <v>2003</v>
      </c>
      <c r="B2007">
        <v>2004</v>
      </c>
      <c r="F2007" s="63"/>
      <c r="G2007" s="63"/>
      <c r="H2007" t="s">
        <v>26</v>
      </c>
      <c r="I2007" s="64"/>
      <c r="J2007" s="31"/>
      <c r="K2007" s="31"/>
      <c r="L2007" s="31"/>
      <c r="M2007" s="31"/>
      <c r="N2007" s="4"/>
      <c r="AG2007" t="s">
        <v>1726</v>
      </c>
      <c r="AM2007" s="1">
        <f t="shared" si="28"/>
        <v>0</v>
      </c>
    </row>
    <row r="2008" spans="1:39" x14ac:dyDescent="0.35">
      <c r="A2008">
        <v>2004</v>
      </c>
      <c r="B2008">
        <v>2005</v>
      </c>
      <c r="F2008" s="63"/>
      <c r="G2008" s="63"/>
      <c r="H2008" t="s">
        <v>26</v>
      </c>
      <c r="I2008" s="64"/>
      <c r="J2008" s="31"/>
      <c r="K2008" s="31"/>
      <c r="L2008" s="31"/>
      <c r="M2008" s="31"/>
      <c r="N2008" s="4"/>
      <c r="AG2008" t="s">
        <v>1727</v>
      </c>
      <c r="AM2008" s="1">
        <f t="shared" si="28"/>
        <v>0</v>
      </c>
    </row>
    <row r="2009" spans="1:39" x14ac:dyDescent="0.35">
      <c r="A2009">
        <v>2005</v>
      </c>
      <c r="B2009">
        <v>2006</v>
      </c>
      <c r="F2009" s="63"/>
      <c r="G2009" s="63"/>
      <c r="H2009" t="s">
        <v>26</v>
      </c>
      <c r="I2009" s="64"/>
      <c r="J2009" s="31"/>
      <c r="K2009" s="31"/>
      <c r="L2009" s="31"/>
      <c r="M2009" s="31"/>
      <c r="N2009" s="4"/>
      <c r="AG2009" t="s">
        <v>1728</v>
      </c>
      <c r="AM2009" s="1">
        <f t="shared" si="28"/>
        <v>0</v>
      </c>
    </row>
    <row r="2010" spans="1:39" x14ac:dyDescent="0.35">
      <c r="A2010">
        <v>2006</v>
      </c>
      <c r="B2010">
        <v>2007</v>
      </c>
      <c r="F2010" s="63"/>
      <c r="G2010" s="63"/>
      <c r="H2010" t="s">
        <v>26</v>
      </c>
      <c r="I2010" s="64"/>
      <c r="J2010" s="31"/>
      <c r="K2010" s="31"/>
      <c r="L2010" s="31"/>
      <c r="M2010" s="31"/>
      <c r="N2010" s="4"/>
      <c r="AG2010" t="s">
        <v>1729</v>
      </c>
      <c r="AM2010" s="1">
        <f t="shared" si="28"/>
        <v>0</v>
      </c>
    </row>
    <row r="2011" spans="1:39" x14ac:dyDescent="0.35">
      <c r="A2011">
        <v>2007</v>
      </c>
      <c r="B2011">
        <v>2008</v>
      </c>
      <c r="F2011" s="63"/>
      <c r="G2011" s="63"/>
      <c r="H2011" t="s">
        <v>26</v>
      </c>
      <c r="I2011" s="64"/>
      <c r="J2011" s="31"/>
      <c r="K2011" s="31"/>
      <c r="L2011" s="31"/>
      <c r="M2011" s="31"/>
      <c r="N2011" s="4"/>
      <c r="AG2011" t="s">
        <v>1730</v>
      </c>
      <c r="AM2011" s="1">
        <f t="shared" si="28"/>
        <v>0</v>
      </c>
    </row>
    <row r="2012" spans="1:39" x14ac:dyDescent="0.35">
      <c r="A2012">
        <v>2008</v>
      </c>
      <c r="B2012">
        <v>2009</v>
      </c>
      <c r="F2012" s="63"/>
      <c r="G2012" s="63"/>
      <c r="H2012" t="s">
        <v>26</v>
      </c>
      <c r="I2012" s="64"/>
      <c r="J2012" s="31"/>
      <c r="K2012" s="31"/>
      <c r="L2012" s="31"/>
      <c r="M2012" s="31"/>
      <c r="N2012" s="4"/>
      <c r="AG2012" t="s">
        <v>1731</v>
      </c>
      <c r="AM2012" s="1">
        <f t="shared" si="28"/>
        <v>0</v>
      </c>
    </row>
    <row r="2013" spans="1:39" x14ac:dyDescent="0.35">
      <c r="A2013">
        <v>2009</v>
      </c>
      <c r="B2013">
        <v>2010</v>
      </c>
      <c r="F2013" s="63"/>
      <c r="G2013" s="63"/>
      <c r="H2013" t="s">
        <v>26</v>
      </c>
      <c r="I2013" s="64"/>
      <c r="J2013" s="31"/>
      <c r="K2013" s="31"/>
      <c r="L2013" s="31"/>
      <c r="M2013" s="31"/>
      <c r="N2013" s="4"/>
      <c r="AG2013" t="s">
        <v>1732</v>
      </c>
      <c r="AM2013" s="1">
        <f t="shared" si="28"/>
        <v>0</v>
      </c>
    </row>
    <row r="2014" spans="1:39" x14ac:dyDescent="0.35">
      <c r="A2014">
        <v>2010</v>
      </c>
      <c r="B2014">
        <v>2011</v>
      </c>
      <c r="F2014" s="63"/>
      <c r="G2014" s="63"/>
      <c r="H2014" t="s">
        <v>26</v>
      </c>
      <c r="I2014" s="64"/>
      <c r="J2014" s="31"/>
      <c r="K2014" s="31"/>
      <c r="L2014" s="31"/>
      <c r="M2014" s="31"/>
      <c r="N2014" s="4"/>
      <c r="AG2014" t="s">
        <v>1733</v>
      </c>
      <c r="AM2014" s="1">
        <f t="shared" si="28"/>
        <v>0</v>
      </c>
    </row>
    <row r="2015" spans="1:39" x14ac:dyDescent="0.35">
      <c r="A2015">
        <v>2011</v>
      </c>
      <c r="B2015">
        <v>2012</v>
      </c>
      <c r="F2015" s="63"/>
      <c r="G2015" s="63"/>
      <c r="H2015" t="s">
        <v>26</v>
      </c>
      <c r="I2015" s="64"/>
      <c r="J2015" s="31"/>
      <c r="K2015" s="31"/>
      <c r="L2015" s="31"/>
      <c r="M2015" s="31"/>
      <c r="N2015" s="4"/>
      <c r="AG2015" t="s">
        <v>1734</v>
      </c>
      <c r="AM2015" s="1">
        <f t="shared" si="28"/>
        <v>0</v>
      </c>
    </row>
    <row r="2016" spans="1:39" x14ac:dyDescent="0.35">
      <c r="A2016">
        <v>2012</v>
      </c>
      <c r="B2016">
        <v>2013</v>
      </c>
      <c r="F2016" s="63"/>
      <c r="G2016" s="63"/>
      <c r="H2016" t="s">
        <v>26</v>
      </c>
      <c r="I2016" s="64"/>
      <c r="J2016" s="31"/>
      <c r="K2016" s="31"/>
      <c r="L2016" s="31"/>
      <c r="M2016" s="31"/>
      <c r="N2016" s="4"/>
      <c r="AG2016" t="s">
        <v>1735</v>
      </c>
      <c r="AM2016" s="1">
        <f t="shared" si="28"/>
        <v>0</v>
      </c>
    </row>
    <row r="2017" spans="1:39" x14ac:dyDescent="0.35">
      <c r="A2017">
        <v>2013</v>
      </c>
      <c r="B2017">
        <v>2014</v>
      </c>
      <c r="F2017" s="63"/>
      <c r="G2017" s="63"/>
      <c r="H2017" t="s">
        <v>26</v>
      </c>
      <c r="I2017" s="64"/>
      <c r="J2017" s="31"/>
      <c r="K2017" s="31"/>
      <c r="L2017" s="31"/>
      <c r="M2017" s="31"/>
      <c r="N2017" s="4"/>
      <c r="AG2017" t="s">
        <v>1736</v>
      </c>
      <c r="AM2017" s="1">
        <f t="shared" si="28"/>
        <v>0</v>
      </c>
    </row>
    <row r="2018" spans="1:39" x14ac:dyDescent="0.35">
      <c r="A2018">
        <v>2014</v>
      </c>
      <c r="B2018">
        <v>2015</v>
      </c>
      <c r="F2018" s="63"/>
      <c r="G2018" s="63"/>
      <c r="H2018" t="s">
        <v>26</v>
      </c>
      <c r="I2018" s="64"/>
      <c r="J2018" s="31"/>
      <c r="K2018" s="31"/>
      <c r="L2018" s="31"/>
      <c r="M2018" s="31"/>
      <c r="N2018" s="4"/>
      <c r="AG2018" t="s">
        <v>1737</v>
      </c>
      <c r="AM2018" s="1">
        <f t="shared" si="28"/>
        <v>0</v>
      </c>
    </row>
    <row r="2019" spans="1:39" x14ac:dyDescent="0.35">
      <c r="A2019">
        <v>2015</v>
      </c>
      <c r="B2019">
        <v>2016</v>
      </c>
      <c r="F2019" s="63"/>
      <c r="G2019" s="63"/>
      <c r="H2019" t="s">
        <v>26</v>
      </c>
      <c r="I2019" s="64"/>
      <c r="J2019" s="31"/>
      <c r="K2019" s="31"/>
      <c r="L2019" s="31"/>
      <c r="M2019" s="31"/>
      <c r="N2019" s="4"/>
      <c r="AG2019" t="s">
        <v>1738</v>
      </c>
      <c r="AM2019" s="1">
        <f t="shared" si="28"/>
        <v>0</v>
      </c>
    </row>
    <row r="2020" spans="1:39" x14ac:dyDescent="0.35">
      <c r="A2020">
        <v>2016</v>
      </c>
      <c r="B2020">
        <v>2017</v>
      </c>
      <c r="F2020" s="63"/>
      <c r="G2020" s="63"/>
      <c r="H2020" t="s">
        <v>26</v>
      </c>
      <c r="I2020" s="64"/>
      <c r="J2020" s="31"/>
      <c r="K2020" s="31"/>
      <c r="L2020" s="31"/>
      <c r="M2020" s="31"/>
      <c r="N2020" s="4"/>
      <c r="AG2020" t="s">
        <v>1739</v>
      </c>
      <c r="AM2020" s="1">
        <f t="shared" si="28"/>
        <v>0</v>
      </c>
    </row>
    <row r="2021" spans="1:39" x14ac:dyDescent="0.35">
      <c r="A2021">
        <v>2017</v>
      </c>
      <c r="B2021">
        <v>2018</v>
      </c>
      <c r="F2021" s="63"/>
      <c r="G2021" s="63"/>
      <c r="H2021" t="s">
        <v>26</v>
      </c>
      <c r="I2021" s="64"/>
      <c r="J2021" s="31"/>
      <c r="K2021" s="31"/>
      <c r="L2021" s="31"/>
      <c r="M2021" s="31"/>
      <c r="N2021" s="4"/>
      <c r="AG2021" t="s">
        <v>1740</v>
      </c>
      <c r="AM2021" s="1">
        <f t="shared" si="28"/>
        <v>0</v>
      </c>
    </row>
    <row r="2022" spans="1:39" x14ac:dyDescent="0.35">
      <c r="A2022">
        <v>2018</v>
      </c>
      <c r="B2022">
        <v>2019</v>
      </c>
      <c r="F2022" s="63"/>
      <c r="G2022" s="63"/>
      <c r="H2022" t="s">
        <v>26</v>
      </c>
      <c r="I2022" s="64"/>
      <c r="J2022" s="31"/>
      <c r="K2022" s="31"/>
      <c r="L2022" s="31"/>
      <c r="M2022" s="31"/>
      <c r="N2022" s="4"/>
      <c r="AG2022" t="s">
        <v>1741</v>
      </c>
      <c r="AM2022" s="1">
        <f t="shared" si="28"/>
        <v>0</v>
      </c>
    </row>
    <row r="2023" spans="1:39" x14ac:dyDescent="0.35">
      <c r="A2023">
        <v>2019</v>
      </c>
      <c r="B2023">
        <v>2020</v>
      </c>
      <c r="F2023" s="63"/>
      <c r="G2023" s="63"/>
      <c r="H2023" t="s">
        <v>26</v>
      </c>
      <c r="I2023" s="64"/>
      <c r="J2023" s="31"/>
      <c r="K2023" s="31"/>
      <c r="L2023" s="31"/>
      <c r="M2023" s="31"/>
      <c r="N2023" s="4"/>
      <c r="AG2023" t="s">
        <v>1742</v>
      </c>
      <c r="AM2023" s="1">
        <f t="shared" si="28"/>
        <v>0</v>
      </c>
    </row>
    <row r="2024" spans="1:39" x14ac:dyDescent="0.35">
      <c r="A2024">
        <v>2020</v>
      </c>
      <c r="B2024">
        <v>2021</v>
      </c>
      <c r="F2024" s="63"/>
      <c r="G2024" s="63"/>
      <c r="H2024" t="s">
        <v>26</v>
      </c>
      <c r="I2024" s="64"/>
      <c r="J2024" s="31"/>
      <c r="K2024" s="31"/>
      <c r="L2024" s="31"/>
      <c r="M2024" s="31"/>
      <c r="N2024" s="4"/>
      <c r="AG2024" t="s">
        <v>1743</v>
      </c>
      <c r="AM2024" s="1">
        <f t="shared" si="28"/>
        <v>0</v>
      </c>
    </row>
    <row r="2025" spans="1:39" x14ac:dyDescent="0.35">
      <c r="A2025">
        <v>2021</v>
      </c>
      <c r="B2025">
        <v>2022</v>
      </c>
      <c r="F2025" s="63"/>
      <c r="G2025" s="63"/>
      <c r="H2025" t="s">
        <v>26</v>
      </c>
      <c r="I2025" s="64"/>
      <c r="J2025" s="31"/>
      <c r="K2025" s="31"/>
      <c r="L2025" s="31"/>
      <c r="M2025" s="31"/>
      <c r="N2025" s="4"/>
      <c r="AG2025" t="s">
        <v>1744</v>
      </c>
      <c r="AM2025" s="1">
        <f t="shared" si="28"/>
        <v>0</v>
      </c>
    </row>
    <row r="2026" spans="1:39" x14ac:dyDescent="0.35">
      <c r="A2026">
        <v>2022</v>
      </c>
      <c r="B2026">
        <v>2023</v>
      </c>
      <c r="F2026" s="63"/>
      <c r="G2026" s="63"/>
      <c r="H2026" t="s">
        <v>26</v>
      </c>
      <c r="I2026" s="64"/>
      <c r="J2026" s="31"/>
      <c r="K2026" s="31"/>
      <c r="L2026" s="31"/>
      <c r="M2026" s="31"/>
      <c r="N2026" s="4"/>
      <c r="AG2026" t="s">
        <v>1745</v>
      </c>
      <c r="AM2026" s="1">
        <f t="shared" si="28"/>
        <v>0</v>
      </c>
    </row>
    <row r="2027" spans="1:39" x14ac:dyDescent="0.35">
      <c r="A2027">
        <v>2023</v>
      </c>
      <c r="B2027">
        <v>2024</v>
      </c>
      <c r="F2027" s="63"/>
      <c r="G2027" s="63"/>
      <c r="H2027" t="s">
        <v>26</v>
      </c>
      <c r="I2027" s="64"/>
      <c r="J2027" s="31"/>
      <c r="K2027" s="31"/>
      <c r="L2027" s="31"/>
      <c r="M2027" s="31"/>
      <c r="N2027" s="4"/>
      <c r="AG2027" t="s">
        <v>1746</v>
      </c>
      <c r="AM2027" s="1">
        <f t="shared" si="28"/>
        <v>0</v>
      </c>
    </row>
    <row r="2028" spans="1:39" x14ac:dyDescent="0.35">
      <c r="A2028">
        <v>2024</v>
      </c>
      <c r="B2028">
        <v>2025</v>
      </c>
      <c r="F2028" s="63"/>
      <c r="G2028" s="63"/>
      <c r="H2028" t="s">
        <v>26</v>
      </c>
      <c r="I2028" s="64"/>
      <c r="J2028" s="31"/>
      <c r="K2028" s="31"/>
      <c r="L2028" s="31"/>
      <c r="M2028" s="31"/>
      <c r="N2028" s="4"/>
      <c r="AG2028" t="s">
        <v>1747</v>
      </c>
      <c r="AM2028" s="1">
        <f t="shared" si="28"/>
        <v>0</v>
      </c>
    </row>
    <row r="2029" spans="1:39" x14ac:dyDescent="0.35">
      <c r="A2029">
        <v>2025</v>
      </c>
      <c r="B2029">
        <v>2026</v>
      </c>
      <c r="F2029" s="63"/>
      <c r="G2029" s="63"/>
      <c r="H2029" t="s">
        <v>26</v>
      </c>
      <c r="I2029" s="64"/>
      <c r="J2029" s="31"/>
      <c r="K2029" s="31"/>
      <c r="L2029" s="31"/>
      <c r="M2029" s="31"/>
      <c r="N2029" s="4"/>
      <c r="AG2029" t="s">
        <v>1748</v>
      </c>
      <c r="AM2029" s="1">
        <f t="shared" si="28"/>
        <v>0</v>
      </c>
    </row>
    <row r="2030" spans="1:39" x14ac:dyDescent="0.35">
      <c r="A2030">
        <v>2026</v>
      </c>
      <c r="B2030">
        <v>2027</v>
      </c>
      <c r="F2030" s="63"/>
      <c r="G2030" s="63"/>
      <c r="H2030" t="s">
        <v>26</v>
      </c>
      <c r="I2030" s="64"/>
      <c r="J2030" s="31"/>
      <c r="K2030" s="31"/>
      <c r="L2030" s="31"/>
      <c r="M2030" s="31"/>
      <c r="N2030" s="4"/>
      <c r="AG2030" t="s">
        <v>1749</v>
      </c>
      <c r="AM2030" s="1">
        <f t="shared" si="28"/>
        <v>0</v>
      </c>
    </row>
    <row r="2031" spans="1:39" x14ac:dyDescent="0.35">
      <c r="A2031">
        <v>2027</v>
      </c>
      <c r="B2031">
        <v>2028</v>
      </c>
      <c r="F2031" s="63"/>
      <c r="G2031" s="63"/>
      <c r="H2031" t="s">
        <v>26</v>
      </c>
      <c r="I2031" s="64"/>
      <c r="J2031" s="31"/>
      <c r="K2031" s="31"/>
      <c r="L2031" s="31"/>
      <c r="M2031" s="31"/>
      <c r="N2031" s="4"/>
      <c r="AG2031" t="s">
        <v>1750</v>
      </c>
      <c r="AM2031" s="1">
        <f t="shared" si="28"/>
        <v>0</v>
      </c>
    </row>
    <row r="2032" spans="1:39" x14ac:dyDescent="0.35">
      <c r="A2032">
        <v>2028</v>
      </c>
      <c r="B2032">
        <v>2029</v>
      </c>
      <c r="F2032" s="63"/>
      <c r="G2032" s="63"/>
      <c r="H2032" t="s">
        <v>26</v>
      </c>
      <c r="I2032" s="64"/>
      <c r="J2032" s="31"/>
      <c r="K2032" s="31"/>
      <c r="L2032" s="31"/>
      <c r="M2032" s="31"/>
      <c r="N2032" s="4"/>
      <c r="AG2032" t="s">
        <v>1751</v>
      </c>
      <c r="AM2032" s="1">
        <f t="shared" si="28"/>
        <v>0</v>
      </c>
    </row>
    <row r="2033" spans="1:39" x14ac:dyDescent="0.35">
      <c r="A2033">
        <v>2029</v>
      </c>
      <c r="B2033">
        <v>2030</v>
      </c>
      <c r="F2033" s="63"/>
      <c r="G2033" s="63"/>
      <c r="H2033" t="s">
        <v>26</v>
      </c>
      <c r="I2033" s="64"/>
      <c r="J2033" s="31"/>
      <c r="K2033" s="31"/>
      <c r="L2033" s="31"/>
      <c r="M2033" s="31"/>
      <c r="N2033" s="4"/>
      <c r="AG2033" t="s">
        <v>1752</v>
      </c>
      <c r="AM2033" s="1">
        <f t="shared" si="28"/>
        <v>0</v>
      </c>
    </row>
    <row r="2034" spans="1:39" x14ac:dyDescent="0.35">
      <c r="A2034">
        <v>2030</v>
      </c>
      <c r="B2034">
        <v>2031</v>
      </c>
      <c r="F2034" s="63"/>
      <c r="G2034" s="63"/>
      <c r="H2034" t="s">
        <v>26</v>
      </c>
      <c r="I2034" s="64"/>
      <c r="J2034" s="31"/>
      <c r="K2034" s="31"/>
      <c r="L2034" s="31"/>
      <c r="M2034" s="31"/>
      <c r="N2034" s="4"/>
      <c r="AG2034" t="s">
        <v>1753</v>
      </c>
      <c r="AM2034" s="1">
        <f t="shared" si="28"/>
        <v>0</v>
      </c>
    </row>
    <row r="2035" spans="1:39" x14ac:dyDescent="0.35">
      <c r="A2035">
        <v>2031</v>
      </c>
      <c r="B2035">
        <v>2032</v>
      </c>
      <c r="F2035" s="63"/>
      <c r="G2035" s="63"/>
      <c r="H2035" t="s">
        <v>26</v>
      </c>
      <c r="I2035" s="64"/>
      <c r="J2035" s="31"/>
      <c r="K2035" s="31"/>
      <c r="L2035" s="31"/>
      <c r="M2035" s="31"/>
      <c r="N2035" s="4"/>
      <c r="AG2035" t="s">
        <v>1754</v>
      </c>
      <c r="AM2035" s="1">
        <f t="shared" si="28"/>
        <v>0</v>
      </c>
    </row>
    <row r="2036" spans="1:39" x14ac:dyDescent="0.35">
      <c r="A2036">
        <v>2032</v>
      </c>
      <c r="B2036">
        <v>2033</v>
      </c>
      <c r="F2036" s="63"/>
      <c r="G2036" s="63"/>
      <c r="H2036" t="s">
        <v>26</v>
      </c>
      <c r="I2036" s="64"/>
      <c r="J2036" s="31"/>
      <c r="K2036" s="31"/>
      <c r="L2036" s="31"/>
      <c r="M2036" s="31"/>
      <c r="N2036" s="4"/>
      <c r="AG2036" t="s">
        <v>1755</v>
      </c>
      <c r="AM2036" s="1">
        <f t="shared" si="28"/>
        <v>0</v>
      </c>
    </row>
    <row r="2037" spans="1:39" x14ac:dyDescent="0.35">
      <c r="A2037">
        <v>2033</v>
      </c>
      <c r="B2037">
        <v>2034</v>
      </c>
      <c r="F2037" s="63"/>
      <c r="G2037" s="63"/>
      <c r="H2037" t="s">
        <v>26</v>
      </c>
      <c r="I2037" s="64"/>
      <c r="J2037" s="31"/>
      <c r="K2037" s="31"/>
      <c r="L2037" s="31"/>
      <c r="M2037" s="31"/>
      <c r="N2037" s="4"/>
      <c r="AG2037" t="s">
        <v>1756</v>
      </c>
      <c r="AM2037" s="1">
        <f t="shared" si="28"/>
        <v>0</v>
      </c>
    </row>
    <row r="2038" spans="1:39" x14ac:dyDescent="0.35">
      <c r="A2038">
        <v>2034</v>
      </c>
      <c r="B2038">
        <v>2035</v>
      </c>
      <c r="F2038" s="63"/>
      <c r="G2038" s="63"/>
      <c r="H2038" t="s">
        <v>26</v>
      </c>
      <c r="I2038" s="64"/>
      <c r="J2038" s="31"/>
      <c r="K2038" s="31"/>
      <c r="L2038" s="31"/>
      <c r="M2038" s="31"/>
      <c r="N2038" s="4"/>
      <c r="AG2038" t="s">
        <v>1757</v>
      </c>
      <c r="AM2038" s="1">
        <f t="shared" si="28"/>
        <v>0</v>
      </c>
    </row>
    <row r="2039" spans="1:39" x14ac:dyDescent="0.35">
      <c r="A2039">
        <v>2035</v>
      </c>
      <c r="B2039">
        <v>2036</v>
      </c>
      <c r="F2039" s="63"/>
      <c r="G2039" s="63"/>
      <c r="H2039" t="s">
        <v>26</v>
      </c>
      <c r="I2039" s="64"/>
      <c r="J2039" s="31"/>
      <c r="K2039" s="31"/>
      <c r="L2039" s="31"/>
      <c r="M2039" s="31"/>
      <c r="N2039" s="4"/>
      <c r="AG2039" t="s">
        <v>1758</v>
      </c>
      <c r="AM2039" s="1">
        <f t="shared" si="28"/>
        <v>0</v>
      </c>
    </row>
    <row r="2040" spans="1:39" x14ac:dyDescent="0.35">
      <c r="A2040">
        <v>2036</v>
      </c>
      <c r="B2040">
        <v>2037</v>
      </c>
      <c r="F2040" s="63"/>
      <c r="G2040" s="63"/>
      <c r="H2040" t="s">
        <v>26</v>
      </c>
      <c r="I2040" s="64"/>
      <c r="J2040" s="31"/>
      <c r="K2040" s="31"/>
      <c r="L2040" s="31"/>
      <c r="M2040" s="31"/>
      <c r="N2040" s="4"/>
      <c r="AG2040" t="s">
        <v>1759</v>
      </c>
      <c r="AM2040" s="1">
        <f t="shared" si="28"/>
        <v>0</v>
      </c>
    </row>
    <row r="2041" spans="1:39" x14ac:dyDescent="0.35">
      <c r="A2041">
        <v>2037</v>
      </c>
      <c r="B2041">
        <v>2038</v>
      </c>
      <c r="F2041" s="63"/>
      <c r="G2041" s="63"/>
      <c r="H2041" t="s">
        <v>26</v>
      </c>
      <c r="I2041" s="64"/>
      <c r="J2041" s="31"/>
      <c r="K2041" s="31"/>
      <c r="L2041" s="31"/>
      <c r="M2041" s="31"/>
      <c r="N2041" s="4"/>
      <c r="AG2041" t="s">
        <v>1760</v>
      </c>
      <c r="AM2041" s="1">
        <f t="shared" si="28"/>
        <v>0</v>
      </c>
    </row>
    <row r="2042" spans="1:39" x14ac:dyDescent="0.35">
      <c r="A2042">
        <v>2038</v>
      </c>
      <c r="B2042">
        <v>2039</v>
      </c>
      <c r="F2042" s="63"/>
      <c r="G2042" s="63"/>
      <c r="H2042" t="s">
        <v>26</v>
      </c>
      <c r="I2042" s="64"/>
      <c r="J2042" s="31"/>
      <c r="K2042" s="31"/>
      <c r="L2042" s="31"/>
      <c r="M2042" s="31"/>
      <c r="N2042" s="4"/>
      <c r="AG2042" t="s">
        <v>1761</v>
      </c>
      <c r="AM2042" s="1">
        <f t="shared" si="28"/>
        <v>0</v>
      </c>
    </row>
    <row r="2043" spans="1:39" x14ac:dyDescent="0.35">
      <c r="A2043">
        <v>2039</v>
      </c>
      <c r="B2043">
        <v>2040</v>
      </c>
      <c r="F2043" s="63"/>
      <c r="G2043" s="63"/>
      <c r="H2043" t="s">
        <v>26</v>
      </c>
      <c r="I2043" s="64"/>
      <c r="J2043" s="31"/>
      <c r="K2043" s="31"/>
      <c r="L2043" s="31"/>
      <c r="M2043" s="31"/>
      <c r="N2043" s="4"/>
      <c r="AG2043" t="s">
        <v>1762</v>
      </c>
      <c r="AM2043" s="1">
        <f t="shared" si="28"/>
        <v>0</v>
      </c>
    </row>
    <row r="2044" spans="1:39" x14ac:dyDescent="0.35">
      <c r="A2044">
        <v>2040</v>
      </c>
      <c r="B2044">
        <v>2041</v>
      </c>
      <c r="F2044" s="63"/>
      <c r="G2044" s="63"/>
      <c r="H2044" t="s">
        <v>26</v>
      </c>
      <c r="I2044" s="64"/>
      <c r="J2044" s="31"/>
      <c r="K2044" s="31"/>
      <c r="L2044" s="31"/>
      <c r="M2044" s="31"/>
      <c r="N2044" s="4"/>
      <c r="AG2044" t="s">
        <v>1763</v>
      </c>
      <c r="AM2044" s="1">
        <f t="shared" si="28"/>
        <v>0</v>
      </c>
    </row>
    <row r="2045" spans="1:39" x14ac:dyDescent="0.35">
      <c r="A2045">
        <v>2041</v>
      </c>
      <c r="B2045">
        <v>2042</v>
      </c>
      <c r="F2045" s="63"/>
      <c r="G2045" s="63"/>
      <c r="H2045" t="s">
        <v>26</v>
      </c>
      <c r="I2045" s="64"/>
      <c r="J2045" s="31"/>
      <c r="K2045" s="31"/>
      <c r="L2045" s="31"/>
      <c r="M2045" s="31"/>
      <c r="N2045" s="4"/>
      <c r="AG2045" t="s">
        <v>1764</v>
      </c>
      <c r="AM2045" s="1">
        <f t="shared" si="28"/>
        <v>0</v>
      </c>
    </row>
    <row r="2046" spans="1:39" x14ac:dyDescent="0.35">
      <c r="A2046">
        <v>2042</v>
      </c>
      <c r="B2046">
        <v>2043</v>
      </c>
      <c r="F2046" s="63"/>
      <c r="G2046" s="63"/>
      <c r="H2046" t="s">
        <v>26</v>
      </c>
      <c r="I2046" s="64"/>
      <c r="J2046" s="31"/>
      <c r="K2046" s="31"/>
      <c r="L2046" s="31"/>
      <c r="M2046" s="31"/>
      <c r="N2046" s="4"/>
      <c r="AG2046" t="s">
        <v>1765</v>
      </c>
      <c r="AM2046" s="1">
        <f t="shared" si="28"/>
        <v>0</v>
      </c>
    </row>
    <row r="2047" spans="1:39" x14ac:dyDescent="0.35">
      <c r="A2047">
        <v>2043</v>
      </c>
      <c r="B2047">
        <v>2044</v>
      </c>
      <c r="F2047" s="63"/>
      <c r="G2047" s="63"/>
      <c r="H2047" t="s">
        <v>26</v>
      </c>
      <c r="I2047" s="64"/>
      <c r="J2047" s="31"/>
      <c r="K2047" s="31"/>
      <c r="L2047" s="31"/>
      <c r="M2047" s="31"/>
      <c r="N2047" s="4"/>
      <c r="AG2047" t="s">
        <v>1766</v>
      </c>
      <c r="AM2047" s="1">
        <f t="shared" si="28"/>
        <v>0</v>
      </c>
    </row>
    <row r="2048" spans="1:39" x14ac:dyDescent="0.35">
      <c r="A2048">
        <v>2044</v>
      </c>
      <c r="B2048">
        <v>2045</v>
      </c>
      <c r="F2048" s="63"/>
      <c r="G2048" s="63"/>
      <c r="H2048" t="s">
        <v>26</v>
      </c>
      <c r="I2048" s="64"/>
      <c r="J2048" s="31"/>
      <c r="K2048" s="31"/>
      <c r="L2048" s="31"/>
      <c r="M2048" s="31"/>
      <c r="N2048" s="4"/>
      <c r="AG2048" t="s">
        <v>1767</v>
      </c>
      <c r="AM2048" s="1">
        <f t="shared" si="28"/>
        <v>0</v>
      </c>
    </row>
    <row r="2049" spans="1:39" x14ac:dyDescent="0.35">
      <c r="A2049">
        <v>2045</v>
      </c>
      <c r="B2049">
        <v>2046</v>
      </c>
      <c r="F2049" s="63"/>
      <c r="G2049" s="63"/>
      <c r="H2049" t="s">
        <v>26</v>
      </c>
      <c r="I2049" s="64"/>
      <c r="J2049" s="31"/>
      <c r="K2049" s="31"/>
      <c r="L2049" s="31"/>
      <c r="M2049" s="31"/>
      <c r="N2049" s="4"/>
      <c r="AG2049" t="s">
        <v>1768</v>
      </c>
      <c r="AM2049" s="1">
        <f t="shared" si="28"/>
        <v>0</v>
      </c>
    </row>
    <row r="2050" spans="1:39" x14ac:dyDescent="0.35">
      <c r="A2050">
        <v>2046</v>
      </c>
      <c r="B2050">
        <v>2047</v>
      </c>
      <c r="F2050" s="63"/>
      <c r="G2050" s="63"/>
      <c r="H2050" t="s">
        <v>26</v>
      </c>
      <c r="I2050" s="64"/>
      <c r="J2050" s="31"/>
      <c r="K2050" s="31"/>
      <c r="L2050" s="31"/>
      <c r="M2050" s="31"/>
      <c r="N2050" s="4"/>
      <c r="AG2050" t="s">
        <v>1769</v>
      </c>
      <c r="AM2050" s="1">
        <f t="shared" si="28"/>
        <v>0</v>
      </c>
    </row>
    <row r="2051" spans="1:39" x14ac:dyDescent="0.35">
      <c r="A2051">
        <v>2047</v>
      </c>
      <c r="B2051">
        <v>2048</v>
      </c>
      <c r="F2051" s="63"/>
      <c r="G2051" s="63"/>
      <c r="H2051" t="s">
        <v>26</v>
      </c>
      <c r="I2051" s="64"/>
      <c r="J2051" s="31"/>
      <c r="K2051" s="31"/>
      <c r="L2051" s="31"/>
      <c r="M2051" s="31"/>
      <c r="N2051" s="4"/>
      <c r="AG2051" t="s">
        <v>1770</v>
      </c>
      <c r="AM2051" s="1">
        <f t="shared" si="28"/>
        <v>0</v>
      </c>
    </row>
    <row r="2052" spans="1:39" x14ac:dyDescent="0.35">
      <c r="A2052">
        <v>2048</v>
      </c>
      <c r="B2052">
        <v>2049</v>
      </c>
      <c r="F2052" s="63"/>
      <c r="G2052" s="63"/>
      <c r="H2052" t="s">
        <v>26</v>
      </c>
      <c r="I2052" s="64"/>
      <c r="J2052" s="31"/>
      <c r="K2052" s="31"/>
      <c r="L2052" s="31"/>
      <c r="M2052" s="31"/>
      <c r="N2052" s="4"/>
      <c r="AG2052" t="s">
        <v>1771</v>
      </c>
      <c r="AM2052" s="1">
        <f t="shared" si="28"/>
        <v>0</v>
      </c>
    </row>
    <row r="2053" spans="1:39" x14ac:dyDescent="0.35">
      <c r="A2053">
        <v>2049</v>
      </c>
      <c r="B2053">
        <v>2050</v>
      </c>
      <c r="F2053" s="63"/>
      <c r="G2053" s="63"/>
      <c r="H2053" t="s">
        <v>26</v>
      </c>
      <c r="I2053" s="64"/>
      <c r="J2053" s="31"/>
      <c r="K2053" s="31"/>
      <c r="L2053" s="31"/>
      <c r="M2053" s="31"/>
      <c r="N2053" s="4"/>
      <c r="AG2053" t="s">
        <v>1772</v>
      </c>
      <c r="AM2053" s="1">
        <f t="shared" si="28"/>
        <v>0</v>
      </c>
    </row>
    <row r="2054" spans="1:39" x14ac:dyDescent="0.35">
      <c r="A2054">
        <v>2050</v>
      </c>
      <c r="B2054">
        <v>2051</v>
      </c>
      <c r="F2054" s="63"/>
      <c r="G2054" s="63"/>
      <c r="H2054" t="s">
        <v>26</v>
      </c>
      <c r="I2054" s="64"/>
      <c r="J2054" s="31"/>
      <c r="K2054" s="31"/>
      <c r="L2054" s="31"/>
      <c r="M2054" s="31"/>
      <c r="N2054" s="4"/>
      <c r="AG2054" t="s">
        <v>1773</v>
      </c>
      <c r="AM2054" s="1">
        <f t="shared" si="28"/>
        <v>0</v>
      </c>
    </row>
    <row r="2055" spans="1:39" x14ac:dyDescent="0.35">
      <c r="A2055">
        <v>2051</v>
      </c>
      <c r="B2055">
        <v>2052</v>
      </c>
      <c r="F2055" s="63"/>
      <c r="G2055" s="63"/>
      <c r="H2055" t="s">
        <v>26</v>
      </c>
      <c r="I2055" s="64"/>
      <c r="J2055" s="31"/>
      <c r="K2055" s="31"/>
      <c r="L2055" s="31"/>
      <c r="M2055" s="31"/>
      <c r="N2055" s="4"/>
      <c r="AG2055" t="s">
        <v>1774</v>
      </c>
      <c r="AM2055" s="1">
        <f t="shared" si="28"/>
        <v>0</v>
      </c>
    </row>
    <row r="2056" spans="1:39" x14ac:dyDescent="0.35">
      <c r="A2056">
        <v>2052</v>
      </c>
      <c r="B2056">
        <v>2053</v>
      </c>
      <c r="F2056" s="63"/>
      <c r="G2056" s="63"/>
      <c r="H2056" t="s">
        <v>26</v>
      </c>
      <c r="I2056" s="64"/>
      <c r="J2056" s="31"/>
      <c r="K2056" s="31"/>
      <c r="L2056" s="31"/>
      <c r="M2056" s="31"/>
      <c r="N2056" s="4"/>
      <c r="AG2056" t="s">
        <v>1775</v>
      </c>
      <c r="AM2056" s="1">
        <f t="shared" si="28"/>
        <v>0</v>
      </c>
    </row>
    <row r="2057" spans="1:39" x14ac:dyDescent="0.35">
      <c r="A2057">
        <v>2053</v>
      </c>
      <c r="B2057">
        <v>2054</v>
      </c>
      <c r="F2057" s="63"/>
      <c r="G2057" s="63"/>
      <c r="H2057" t="s">
        <v>26</v>
      </c>
      <c r="I2057" s="64"/>
      <c r="J2057" s="31"/>
      <c r="K2057" s="31"/>
      <c r="L2057" s="31"/>
      <c r="M2057" s="31"/>
      <c r="N2057" s="4"/>
      <c r="AG2057" t="s">
        <v>1776</v>
      </c>
      <c r="AM2057" s="1">
        <f t="shared" si="28"/>
        <v>0</v>
      </c>
    </row>
    <row r="2058" spans="1:39" x14ac:dyDescent="0.35">
      <c r="A2058">
        <v>2054</v>
      </c>
      <c r="B2058">
        <v>2055</v>
      </c>
      <c r="F2058" s="63"/>
      <c r="G2058" s="63"/>
      <c r="H2058" t="s">
        <v>26</v>
      </c>
      <c r="I2058" s="64"/>
      <c r="J2058" s="31"/>
      <c r="K2058" s="31"/>
      <c r="L2058" s="31"/>
      <c r="M2058" s="31"/>
      <c r="N2058" s="4"/>
      <c r="AG2058" t="s">
        <v>1777</v>
      </c>
      <c r="AM2058" s="1">
        <f t="shared" si="28"/>
        <v>0</v>
      </c>
    </row>
    <row r="2059" spans="1:39" x14ac:dyDescent="0.35">
      <c r="A2059">
        <v>2055</v>
      </c>
      <c r="B2059">
        <v>2056</v>
      </c>
      <c r="F2059" s="63"/>
      <c r="G2059" s="63"/>
      <c r="H2059" t="s">
        <v>26</v>
      </c>
      <c r="I2059" s="64"/>
      <c r="J2059" s="31"/>
      <c r="K2059" s="31"/>
      <c r="L2059" s="31"/>
      <c r="M2059" s="31"/>
      <c r="N2059" s="4"/>
      <c r="AG2059" t="s">
        <v>1778</v>
      </c>
      <c r="AM2059" s="1">
        <f t="shared" ref="AM2059:AM2122" si="29">HYPERLINK("E:\CAFNEC_GBRF\2023\JohnstoneRiver\Frames_for_Analysis\" &amp; F2060, F2060)</f>
        <v>0</v>
      </c>
    </row>
    <row r="2060" spans="1:39" x14ac:dyDescent="0.35">
      <c r="A2060">
        <v>2056</v>
      </c>
      <c r="B2060">
        <v>2057</v>
      </c>
      <c r="F2060" s="63"/>
      <c r="G2060" s="63"/>
      <c r="H2060" t="s">
        <v>26</v>
      </c>
      <c r="I2060" s="64"/>
      <c r="J2060" s="31"/>
      <c r="K2060" s="31"/>
      <c r="L2060" s="31"/>
      <c r="M2060" s="31"/>
      <c r="N2060" s="4"/>
      <c r="AG2060" t="s">
        <v>1779</v>
      </c>
      <c r="AM2060" s="1">
        <f t="shared" si="29"/>
        <v>0</v>
      </c>
    </row>
    <row r="2061" spans="1:39" x14ac:dyDescent="0.35">
      <c r="A2061">
        <v>2057</v>
      </c>
      <c r="B2061">
        <v>2058</v>
      </c>
      <c r="F2061" s="63"/>
      <c r="G2061" s="63"/>
      <c r="H2061" t="s">
        <v>26</v>
      </c>
      <c r="I2061" s="64"/>
      <c r="J2061" s="31"/>
      <c r="K2061" s="31"/>
      <c r="L2061" s="31"/>
      <c r="M2061" s="31"/>
      <c r="N2061" s="4"/>
      <c r="AG2061" t="s">
        <v>1780</v>
      </c>
      <c r="AM2061" s="1">
        <f t="shared" si="29"/>
        <v>0</v>
      </c>
    </row>
    <row r="2062" spans="1:39" x14ac:dyDescent="0.35">
      <c r="A2062">
        <v>2058</v>
      </c>
      <c r="B2062">
        <v>2059</v>
      </c>
      <c r="F2062" s="63"/>
      <c r="G2062" s="63"/>
      <c r="H2062" t="s">
        <v>26</v>
      </c>
      <c r="I2062" s="64"/>
      <c r="J2062" s="31"/>
      <c r="K2062" s="31"/>
      <c r="L2062" s="31"/>
      <c r="M2062" s="31"/>
      <c r="N2062" s="4"/>
      <c r="AG2062" t="s">
        <v>1781</v>
      </c>
      <c r="AM2062" s="1">
        <f t="shared" si="29"/>
        <v>0</v>
      </c>
    </row>
    <row r="2063" spans="1:39" x14ac:dyDescent="0.35">
      <c r="A2063">
        <v>2059</v>
      </c>
      <c r="B2063">
        <v>2060</v>
      </c>
      <c r="F2063" s="63"/>
      <c r="G2063" s="63"/>
      <c r="H2063" t="s">
        <v>26</v>
      </c>
      <c r="I2063" s="64"/>
      <c r="J2063" s="31"/>
      <c r="K2063" s="31"/>
      <c r="L2063" s="31"/>
      <c r="M2063" s="31"/>
      <c r="N2063" s="4"/>
      <c r="AG2063" t="s">
        <v>1782</v>
      </c>
      <c r="AM2063" s="1">
        <f t="shared" si="29"/>
        <v>0</v>
      </c>
    </row>
    <row r="2064" spans="1:39" x14ac:dyDescent="0.35">
      <c r="A2064">
        <v>2060</v>
      </c>
      <c r="B2064">
        <v>2061</v>
      </c>
      <c r="F2064" s="63"/>
      <c r="G2064" s="63"/>
      <c r="H2064" t="s">
        <v>26</v>
      </c>
      <c r="I2064" s="64"/>
      <c r="J2064" s="31"/>
      <c r="K2064" s="31"/>
      <c r="L2064" s="31"/>
      <c r="M2064" s="31"/>
      <c r="N2064" s="4"/>
      <c r="AG2064" t="s">
        <v>1783</v>
      </c>
      <c r="AM2064" s="1">
        <f t="shared" si="29"/>
        <v>0</v>
      </c>
    </row>
    <row r="2065" spans="1:39" x14ac:dyDescent="0.35">
      <c r="A2065">
        <v>2061</v>
      </c>
      <c r="B2065">
        <v>2062</v>
      </c>
      <c r="F2065" s="63"/>
      <c r="G2065" s="63"/>
      <c r="H2065" t="s">
        <v>78</v>
      </c>
      <c r="I2065" s="64">
        <v>1</v>
      </c>
      <c r="J2065" s="31"/>
      <c r="K2065" s="31"/>
      <c r="L2065" s="31"/>
      <c r="M2065" s="31"/>
      <c r="N2065" s="4"/>
      <c r="AG2065" t="s">
        <v>1784</v>
      </c>
      <c r="AM2065" s="1">
        <f t="shared" si="29"/>
        <v>0</v>
      </c>
    </row>
    <row r="2066" spans="1:39" x14ac:dyDescent="0.35">
      <c r="A2066">
        <v>2062</v>
      </c>
      <c r="B2066">
        <v>2063</v>
      </c>
      <c r="F2066" s="63"/>
      <c r="G2066" s="63"/>
      <c r="H2066" t="s">
        <v>78</v>
      </c>
      <c r="I2066" s="64">
        <v>1</v>
      </c>
      <c r="J2066" s="31"/>
      <c r="K2066" s="31"/>
      <c r="L2066" s="31"/>
      <c r="M2066" s="31"/>
      <c r="N2066" s="4"/>
      <c r="AG2066" t="s">
        <v>1785</v>
      </c>
      <c r="AM2066" s="1">
        <f t="shared" si="29"/>
        <v>0</v>
      </c>
    </row>
    <row r="2067" spans="1:39" x14ac:dyDescent="0.35">
      <c r="A2067">
        <v>2063</v>
      </c>
      <c r="B2067">
        <v>2064</v>
      </c>
      <c r="F2067" s="63"/>
      <c r="G2067" s="63"/>
      <c r="H2067" t="s">
        <v>78</v>
      </c>
      <c r="I2067" s="64">
        <v>1</v>
      </c>
      <c r="J2067" s="31"/>
      <c r="K2067" s="31"/>
      <c r="L2067" s="31"/>
      <c r="M2067" s="31"/>
      <c r="N2067" s="4"/>
      <c r="AG2067" t="s">
        <v>1786</v>
      </c>
      <c r="AM2067" s="1">
        <f t="shared" si="29"/>
        <v>0</v>
      </c>
    </row>
    <row r="2068" spans="1:39" x14ac:dyDescent="0.35">
      <c r="A2068">
        <v>2064</v>
      </c>
      <c r="B2068">
        <v>2065</v>
      </c>
      <c r="F2068" s="63"/>
      <c r="G2068" s="63"/>
      <c r="H2068" t="s">
        <v>78</v>
      </c>
      <c r="I2068" s="64"/>
      <c r="J2068" s="31"/>
      <c r="K2068" s="31"/>
      <c r="L2068" s="31"/>
      <c r="M2068" s="31"/>
      <c r="N2068" s="4"/>
      <c r="AG2068" t="s">
        <v>1787</v>
      </c>
      <c r="AM2068" s="1">
        <f t="shared" si="29"/>
        <v>0</v>
      </c>
    </row>
    <row r="2069" spans="1:39" x14ac:dyDescent="0.35">
      <c r="A2069">
        <v>2065</v>
      </c>
      <c r="B2069">
        <v>2066</v>
      </c>
      <c r="F2069" s="63"/>
      <c r="G2069" s="63"/>
      <c r="H2069" t="s">
        <v>78</v>
      </c>
      <c r="I2069" s="64">
        <v>0</v>
      </c>
      <c r="J2069" s="31"/>
      <c r="K2069" s="31"/>
      <c r="L2069" s="31"/>
      <c r="M2069" s="31"/>
      <c r="N2069" s="4"/>
      <c r="AG2069" t="s">
        <v>1788</v>
      </c>
      <c r="AM2069" s="1">
        <f t="shared" si="29"/>
        <v>0</v>
      </c>
    </row>
    <row r="2070" spans="1:39" x14ac:dyDescent="0.35">
      <c r="A2070">
        <v>2066</v>
      </c>
      <c r="B2070">
        <v>2067</v>
      </c>
      <c r="F2070" s="63"/>
      <c r="G2070" s="63"/>
      <c r="H2070" t="s">
        <v>78</v>
      </c>
      <c r="I2070" s="64">
        <v>0</v>
      </c>
      <c r="J2070" s="31"/>
      <c r="K2070" s="31"/>
      <c r="L2070" s="31"/>
      <c r="M2070" s="31"/>
      <c r="N2070" s="4"/>
      <c r="AG2070" t="s">
        <v>1789</v>
      </c>
      <c r="AM2070" s="1">
        <f t="shared" si="29"/>
        <v>0</v>
      </c>
    </row>
    <row r="2071" spans="1:39" x14ac:dyDescent="0.35">
      <c r="A2071">
        <v>2067</v>
      </c>
      <c r="B2071">
        <v>2068</v>
      </c>
      <c r="F2071" s="63"/>
      <c r="G2071" s="63"/>
      <c r="H2071" t="s">
        <v>78</v>
      </c>
      <c r="I2071" s="64">
        <v>0</v>
      </c>
      <c r="J2071" s="31"/>
      <c r="K2071" s="31"/>
      <c r="L2071" s="31"/>
      <c r="M2071" s="31"/>
      <c r="N2071" s="4"/>
      <c r="AG2071" t="s">
        <v>1790</v>
      </c>
      <c r="AM2071" s="1">
        <f t="shared" si="29"/>
        <v>0</v>
      </c>
    </row>
    <row r="2072" spans="1:39" x14ac:dyDescent="0.35">
      <c r="A2072">
        <v>2068</v>
      </c>
      <c r="B2072">
        <v>2069</v>
      </c>
      <c r="F2072" s="63"/>
      <c r="G2072" s="63"/>
      <c r="H2072" t="s">
        <v>78</v>
      </c>
      <c r="I2072" s="64">
        <v>0</v>
      </c>
      <c r="J2072" s="31"/>
      <c r="K2072" s="31"/>
      <c r="L2072" s="31"/>
      <c r="M2072" s="31"/>
      <c r="N2072" s="4"/>
      <c r="AG2072" t="s">
        <v>1791</v>
      </c>
      <c r="AM2072" s="1">
        <f t="shared" si="29"/>
        <v>0</v>
      </c>
    </row>
    <row r="2073" spans="1:39" x14ac:dyDescent="0.35">
      <c r="A2073">
        <v>2069</v>
      </c>
      <c r="B2073">
        <v>2070</v>
      </c>
      <c r="F2073" s="63"/>
      <c r="G2073" s="63"/>
      <c r="H2073" t="s">
        <v>78</v>
      </c>
      <c r="I2073" s="64">
        <v>0</v>
      </c>
      <c r="J2073" s="31"/>
      <c r="K2073" s="31"/>
      <c r="L2073" s="31"/>
      <c r="M2073" s="31"/>
      <c r="N2073" s="4"/>
      <c r="AG2073" t="s">
        <v>1792</v>
      </c>
      <c r="AM2073" s="1">
        <f t="shared" si="29"/>
        <v>0</v>
      </c>
    </row>
    <row r="2074" spans="1:39" x14ac:dyDescent="0.35">
      <c r="A2074">
        <v>2070</v>
      </c>
      <c r="B2074">
        <v>2071</v>
      </c>
      <c r="F2074" s="63"/>
      <c r="G2074" s="63"/>
      <c r="H2074" t="s">
        <v>78</v>
      </c>
      <c r="I2074" s="64">
        <v>0</v>
      </c>
      <c r="J2074" s="31"/>
      <c r="K2074" s="31"/>
      <c r="L2074" s="31"/>
      <c r="M2074" s="31"/>
      <c r="N2074" s="4"/>
      <c r="AG2074" t="s">
        <v>1793</v>
      </c>
      <c r="AM2074" s="1">
        <f t="shared" si="29"/>
        <v>0</v>
      </c>
    </row>
    <row r="2075" spans="1:39" x14ac:dyDescent="0.35">
      <c r="A2075">
        <v>2071</v>
      </c>
      <c r="B2075">
        <v>2072</v>
      </c>
      <c r="F2075" s="63"/>
      <c r="G2075" s="63"/>
      <c r="H2075" t="s">
        <v>78</v>
      </c>
      <c r="I2075" s="64">
        <v>0</v>
      </c>
      <c r="J2075" s="31"/>
      <c r="K2075" s="31"/>
      <c r="L2075" s="31"/>
      <c r="M2075" s="31"/>
      <c r="N2075" s="4"/>
      <c r="AG2075" t="s">
        <v>1794</v>
      </c>
      <c r="AM2075" s="1">
        <f t="shared" si="29"/>
        <v>0</v>
      </c>
    </row>
    <row r="2076" spans="1:39" x14ac:dyDescent="0.35">
      <c r="A2076">
        <v>2072</v>
      </c>
      <c r="B2076">
        <v>2073</v>
      </c>
      <c r="F2076" s="63"/>
      <c r="G2076" s="63"/>
      <c r="H2076" t="s">
        <v>78</v>
      </c>
      <c r="I2076" s="64">
        <v>0</v>
      </c>
      <c r="J2076" s="31"/>
      <c r="K2076" s="31"/>
      <c r="L2076" s="31"/>
      <c r="M2076" s="31"/>
      <c r="N2076" s="4"/>
      <c r="AG2076" t="s">
        <v>1795</v>
      </c>
      <c r="AM2076" s="1">
        <f t="shared" si="29"/>
        <v>0</v>
      </c>
    </row>
    <row r="2077" spans="1:39" x14ac:dyDescent="0.35">
      <c r="A2077">
        <v>2073</v>
      </c>
      <c r="B2077">
        <v>2074</v>
      </c>
      <c r="F2077" s="63"/>
      <c r="G2077" s="63"/>
      <c r="H2077" t="s">
        <v>78</v>
      </c>
      <c r="I2077" s="64">
        <v>0</v>
      </c>
      <c r="J2077" s="31"/>
      <c r="K2077" s="31"/>
      <c r="L2077" s="31"/>
      <c r="M2077" s="31"/>
      <c r="N2077" s="4"/>
      <c r="AG2077" t="s">
        <v>1796</v>
      </c>
      <c r="AM2077" s="1">
        <f t="shared" si="29"/>
        <v>0</v>
      </c>
    </row>
    <row r="2078" spans="1:39" x14ac:dyDescent="0.35">
      <c r="A2078">
        <v>2074</v>
      </c>
      <c r="B2078">
        <v>2075</v>
      </c>
      <c r="F2078" s="63"/>
      <c r="G2078" s="63"/>
      <c r="H2078" t="s">
        <v>78</v>
      </c>
      <c r="I2078" s="64">
        <v>0</v>
      </c>
      <c r="J2078" s="31"/>
      <c r="K2078" s="31"/>
      <c r="L2078" s="31"/>
      <c r="M2078" s="31"/>
      <c r="N2078" s="4"/>
      <c r="AG2078" t="s">
        <v>1797</v>
      </c>
      <c r="AM2078" s="1">
        <f t="shared" si="29"/>
        <v>0</v>
      </c>
    </row>
    <row r="2079" spans="1:39" x14ac:dyDescent="0.35">
      <c r="A2079">
        <v>2075</v>
      </c>
      <c r="B2079">
        <v>2076</v>
      </c>
      <c r="F2079" s="63"/>
      <c r="G2079" s="63"/>
      <c r="H2079" t="s">
        <v>78</v>
      </c>
      <c r="I2079" s="64">
        <v>0</v>
      </c>
      <c r="J2079" s="31"/>
      <c r="K2079" s="31"/>
      <c r="L2079" s="31"/>
      <c r="M2079" s="31"/>
      <c r="N2079" s="4"/>
      <c r="AG2079" t="s">
        <v>1798</v>
      </c>
      <c r="AM2079" s="1">
        <f t="shared" si="29"/>
        <v>0</v>
      </c>
    </row>
    <row r="2080" spans="1:39" x14ac:dyDescent="0.35">
      <c r="A2080">
        <v>2076</v>
      </c>
      <c r="B2080">
        <v>2077</v>
      </c>
      <c r="F2080" s="63"/>
      <c r="G2080" s="63"/>
      <c r="H2080" t="s">
        <v>78</v>
      </c>
      <c r="I2080" s="64">
        <v>0</v>
      </c>
      <c r="J2080" s="31"/>
      <c r="K2080" s="31"/>
      <c r="L2080" s="31"/>
      <c r="M2080" s="31"/>
      <c r="N2080" s="4"/>
      <c r="AG2080" t="s">
        <v>1799</v>
      </c>
      <c r="AM2080" s="1">
        <f t="shared" si="29"/>
        <v>0</v>
      </c>
    </row>
    <row r="2081" spans="1:39" x14ac:dyDescent="0.35">
      <c r="A2081">
        <v>2077</v>
      </c>
      <c r="B2081">
        <v>2078</v>
      </c>
      <c r="F2081" s="63"/>
      <c r="G2081" s="63"/>
      <c r="H2081" t="s">
        <v>78</v>
      </c>
      <c r="I2081" s="64">
        <v>0</v>
      </c>
      <c r="J2081" s="31"/>
      <c r="K2081" s="31"/>
      <c r="L2081" s="31"/>
      <c r="M2081" s="31"/>
      <c r="N2081" s="4"/>
      <c r="AG2081" t="s">
        <v>1800</v>
      </c>
      <c r="AM2081" s="1">
        <f t="shared" si="29"/>
        <v>0</v>
      </c>
    </row>
    <row r="2082" spans="1:39" x14ac:dyDescent="0.35">
      <c r="A2082">
        <v>2078</v>
      </c>
      <c r="B2082">
        <v>2079</v>
      </c>
      <c r="F2082" s="63"/>
      <c r="G2082" s="63"/>
      <c r="H2082" t="s">
        <v>78</v>
      </c>
      <c r="I2082" s="64">
        <v>0</v>
      </c>
      <c r="J2082" s="31"/>
      <c r="K2082" s="31"/>
      <c r="L2082" s="31"/>
      <c r="M2082" s="31"/>
      <c r="N2082" s="4"/>
      <c r="AG2082" t="s">
        <v>1801</v>
      </c>
      <c r="AM2082" s="1">
        <f t="shared" si="29"/>
        <v>0</v>
      </c>
    </row>
    <row r="2083" spans="1:39" x14ac:dyDescent="0.35">
      <c r="A2083">
        <v>2079</v>
      </c>
      <c r="B2083">
        <v>2080</v>
      </c>
      <c r="F2083" s="63"/>
      <c r="G2083" s="63"/>
      <c r="H2083" t="s">
        <v>78</v>
      </c>
      <c r="I2083" s="64">
        <v>0</v>
      </c>
      <c r="J2083" s="31"/>
      <c r="K2083" s="31"/>
      <c r="L2083" s="31"/>
      <c r="M2083" s="31"/>
      <c r="N2083" s="4"/>
      <c r="AG2083" t="s">
        <v>1802</v>
      </c>
      <c r="AM2083" s="1">
        <f t="shared" si="29"/>
        <v>0</v>
      </c>
    </row>
    <row r="2084" spans="1:39" x14ac:dyDescent="0.35">
      <c r="A2084">
        <v>2080</v>
      </c>
      <c r="B2084">
        <v>2081</v>
      </c>
      <c r="F2084" s="63"/>
      <c r="G2084" s="63"/>
      <c r="H2084" t="s">
        <v>78</v>
      </c>
      <c r="I2084" s="64">
        <v>0</v>
      </c>
      <c r="J2084" s="31"/>
      <c r="K2084" s="31"/>
      <c r="L2084" s="31"/>
      <c r="M2084" s="31"/>
      <c r="N2084" s="4"/>
      <c r="AG2084" t="s">
        <v>1803</v>
      </c>
      <c r="AM2084" s="1">
        <f t="shared" si="29"/>
        <v>0</v>
      </c>
    </row>
    <row r="2085" spans="1:39" x14ac:dyDescent="0.35">
      <c r="A2085">
        <v>2081</v>
      </c>
      <c r="B2085">
        <v>2082</v>
      </c>
      <c r="F2085" s="63"/>
      <c r="G2085" s="63"/>
      <c r="H2085" t="s">
        <v>78</v>
      </c>
      <c r="I2085" s="64">
        <v>0</v>
      </c>
      <c r="J2085" s="31"/>
      <c r="K2085" s="31"/>
      <c r="L2085" s="31"/>
      <c r="M2085" s="31"/>
      <c r="N2085" s="4"/>
      <c r="AG2085" t="s">
        <v>1804</v>
      </c>
      <c r="AM2085" s="1">
        <f t="shared" si="29"/>
        <v>0</v>
      </c>
    </row>
    <row r="2086" spans="1:39" x14ac:dyDescent="0.35">
      <c r="A2086">
        <v>2082</v>
      </c>
      <c r="B2086">
        <v>2083</v>
      </c>
      <c r="F2086" s="63"/>
      <c r="G2086" s="63"/>
      <c r="H2086" t="s">
        <v>78</v>
      </c>
      <c r="I2086" s="64">
        <v>0</v>
      </c>
      <c r="J2086" s="31"/>
      <c r="K2086" s="31"/>
      <c r="L2086" s="31"/>
      <c r="M2086" s="31"/>
      <c r="N2086" s="4"/>
      <c r="AG2086" t="s">
        <v>1805</v>
      </c>
      <c r="AM2086" s="1">
        <f t="shared" si="29"/>
        <v>0</v>
      </c>
    </row>
    <row r="2087" spans="1:39" x14ac:dyDescent="0.35">
      <c r="A2087">
        <v>2083</v>
      </c>
      <c r="B2087">
        <v>2084</v>
      </c>
      <c r="F2087" s="63"/>
      <c r="G2087" s="63"/>
      <c r="H2087" t="s">
        <v>78</v>
      </c>
      <c r="I2087" s="64">
        <v>0</v>
      </c>
      <c r="J2087" s="31"/>
      <c r="K2087" s="31"/>
      <c r="L2087" s="31"/>
      <c r="M2087" s="31"/>
      <c r="N2087" s="4"/>
      <c r="AG2087" t="s">
        <v>1806</v>
      </c>
      <c r="AM2087" s="1">
        <f t="shared" si="29"/>
        <v>0</v>
      </c>
    </row>
    <row r="2088" spans="1:39" x14ac:dyDescent="0.35">
      <c r="A2088">
        <v>2084</v>
      </c>
      <c r="B2088">
        <v>2085</v>
      </c>
      <c r="F2088" s="63"/>
      <c r="G2088" s="63"/>
      <c r="H2088" t="s">
        <v>78</v>
      </c>
      <c r="I2088" s="64">
        <v>0</v>
      </c>
      <c r="J2088" s="31"/>
      <c r="K2088" s="31"/>
      <c r="L2088" s="31"/>
      <c r="M2088" s="31"/>
      <c r="N2088" s="4"/>
      <c r="AG2088" t="s">
        <v>1807</v>
      </c>
      <c r="AM2088" s="1">
        <f t="shared" si="29"/>
        <v>0</v>
      </c>
    </row>
    <row r="2089" spans="1:39" x14ac:dyDescent="0.35">
      <c r="A2089">
        <v>2085</v>
      </c>
      <c r="B2089">
        <v>2086</v>
      </c>
      <c r="F2089" s="63"/>
      <c r="G2089" s="63"/>
      <c r="H2089" t="s">
        <v>78</v>
      </c>
      <c r="I2089" s="64">
        <v>0</v>
      </c>
      <c r="J2089" s="31"/>
      <c r="K2089" s="31"/>
      <c r="L2089" s="31"/>
      <c r="M2089" s="31"/>
      <c r="N2089" s="4"/>
      <c r="AG2089" t="s">
        <v>1808</v>
      </c>
      <c r="AM2089" s="1">
        <f t="shared" si="29"/>
        <v>0</v>
      </c>
    </row>
    <row r="2090" spans="1:39" x14ac:dyDescent="0.35">
      <c r="A2090">
        <v>2086</v>
      </c>
      <c r="B2090">
        <v>2087</v>
      </c>
      <c r="F2090" s="63"/>
      <c r="G2090" s="63"/>
      <c r="H2090" t="s">
        <v>78</v>
      </c>
      <c r="I2090" s="64">
        <v>0</v>
      </c>
      <c r="J2090" s="31"/>
      <c r="K2090" s="31"/>
      <c r="L2090" s="31"/>
      <c r="M2090" s="31"/>
      <c r="N2090" s="4"/>
      <c r="AG2090" t="s">
        <v>1809</v>
      </c>
      <c r="AM2090" s="1">
        <f t="shared" si="29"/>
        <v>0</v>
      </c>
    </row>
    <row r="2091" spans="1:39" x14ac:dyDescent="0.35">
      <c r="A2091">
        <v>2087</v>
      </c>
      <c r="B2091">
        <v>2088</v>
      </c>
      <c r="F2091" s="63"/>
      <c r="G2091" s="63"/>
      <c r="H2091" t="s">
        <v>78</v>
      </c>
      <c r="I2091" s="64">
        <v>0</v>
      </c>
      <c r="J2091" s="31"/>
      <c r="K2091" s="31"/>
      <c r="L2091" s="31"/>
      <c r="M2091" s="31"/>
      <c r="N2091" s="4"/>
      <c r="AG2091" t="s">
        <v>1810</v>
      </c>
      <c r="AM2091" s="1">
        <f t="shared" si="29"/>
        <v>0</v>
      </c>
    </row>
    <row r="2092" spans="1:39" x14ac:dyDescent="0.35">
      <c r="A2092">
        <v>2088</v>
      </c>
      <c r="B2092">
        <v>2089</v>
      </c>
      <c r="F2092" s="63"/>
      <c r="G2092" s="63"/>
      <c r="H2092" t="s">
        <v>78</v>
      </c>
      <c r="I2092" s="64">
        <v>0</v>
      </c>
      <c r="J2092" s="31"/>
      <c r="K2092" s="31"/>
      <c r="L2092" s="31"/>
      <c r="M2092" s="31"/>
      <c r="N2092" s="4"/>
      <c r="AG2092" t="s">
        <v>1811</v>
      </c>
      <c r="AM2092" s="1">
        <f t="shared" si="29"/>
        <v>0</v>
      </c>
    </row>
    <row r="2093" spans="1:39" x14ac:dyDescent="0.35">
      <c r="A2093">
        <v>2089</v>
      </c>
      <c r="B2093">
        <v>2090</v>
      </c>
      <c r="F2093" s="63"/>
      <c r="G2093" s="63"/>
      <c r="H2093" t="s">
        <v>78</v>
      </c>
      <c r="I2093" s="64">
        <v>0</v>
      </c>
      <c r="J2093" s="31"/>
      <c r="K2093" s="31"/>
      <c r="L2093" s="31"/>
      <c r="M2093" s="31"/>
      <c r="N2093" s="4"/>
      <c r="AG2093" t="s">
        <v>1812</v>
      </c>
      <c r="AM2093" s="1">
        <f t="shared" si="29"/>
        <v>0</v>
      </c>
    </row>
    <row r="2094" spans="1:39" x14ac:dyDescent="0.35">
      <c r="A2094">
        <v>2090</v>
      </c>
      <c r="B2094">
        <v>2091</v>
      </c>
      <c r="F2094" s="63"/>
      <c r="G2094" s="63"/>
      <c r="H2094" t="s">
        <v>78</v>
      </c>
      <c r="I2094" s="64">
        <v>0</v>
      </c>
      <c r="J2094" s="31"/>
      <c r="K2094" s="31"/>
      <c r="L2094" s="31"/>
      <c r="M2094" s="31"/>
      <c r="N2094" s="4"/>
      <c r="AG2094" t="s">
        <v>1813</v>
      </c>
      <c r="AM2094" s="1">
        <f t="shared" si="29"/>
        <v>0</v>
      </c>
    </row>
    <row r="2095" spans="1:39" x14ac:dyDescent="0.35">
      <c r="A2095">
        <v>2091</v>
      </c>
      <c r="B2095">
        <v>2092</v>
      </c>
      <c r="F2095" s="63"/>
      <c r="G2095" s="63"/>
      <c r="H2095" t="s">
        <v>78</v>
      </c>
      <c r="I2095" s="64">
        <v>0</v>
      </c>
      <c r="J2095" s="31"/>
      <c r="K2095" s="31"/>
      <c r="L2095" s="31"/>
      <c r="M2095" s="31"/>
      <c r="N2095" s="4"/>
      <c r="AG2095" t="s">
        <v>1814</v>
      </c>
      <c r="AM2095" s="1">
        <f t="shared" si="29"/>
        <v>0</v>
      </c>
    </row>
    <row r="2096" spans="1:39" x14ac:dyDescent="0.35">
      <c r="A2096">
        <v>2092</v>
      </c>
      <c r="B2096">
        <v>2093</v>
      </c>
      <c r="F2096" s="63"/>
      <c r="G2096" s="63"/>
      <c r="H2096" t="s">
        <v>78</v>
      </c>
      <c r="I2096" s="64">
        <v>0</v>
      </c>
      <c r="J2096" s="31"/>
      <c r="K2096" s="31"/>
      <c r="L2096" s="31"/>
      <c r="M2096" s="31"/>
      <c r="N2096" s="4"/>
      <c r="AG2096" t="s">
        <v>1815</v>
      </c>
      <c r="AM2096" s="1">
        <f t="shared" si="29"/>
        <v>0</v>
      </c>
    </row>
    <row r="2097" spans="1:39" x14ac:dyDescent="0.35">
      <c r="A2097">
        <v>2093</v>
      </c>
      <c r="B2097">
        <v>2094</v>
      </c>
      <c r="F2097" s="63"/>
      <c r="G2097" s="63"/>
      <c r="H2097" t="s">
        <v>78</v>
      </c>
      <c r="I2097" s="64">
        <v>0</v>
      </c>
      <c r="J2097" s="31"/>
      <c r="K2097" s="31"/>
      <c r="L2097" s="31"/>
      <c r="M2097" s="31"/>
      <c r="N2097" s="4"/>
      <c r="AG2097" t="s">
        <v>1816</v>
      </c>
      <c r="AM2097" s="1">
        <f t="shared" si="29"/>
        <v>0</v>
      </c>
    </row>
    <row r="2098" spans="1:39" x14ac:dyDescent="0.35">
      <c r="A2098">
        <v>2094</v>
      </c>
      <c r="B2098">
        <v>2095</v>
      </c>
      <c r="F2098" s="63"/>
      <c r="G2098" s="63"/>
      <c r="H2098" t="s">
        <v>78</v>
      </c>
      <c r="I2098" s="64">
        <v>0</v>
      </c>
      <c r="J2098" s="31"/>
      <c r="K2098" s="31"/>
      <c r="L2098" s="31"/>
      <c r="M2098" s="31"/>
      <c r="N2098" s="4"/>
      <c r="AG2098" t="s">
        <v>1817</v>
      </c>
      <c r="AM2098" s="1">
        <f t="shared" si="29"/>
        <v>0</v>
      </c>
    </row>
    <row r="2099" spans="1:39" x14ac:dyDescent="0.35">
      <c r="A2099">
        <v>2095</v>
      </c>
      <c r="B2099">
        <v>2096</v>
      </c>
      <c r="F2099" s="63"/>
      <c r="G2099" s="63"/>
      <c r="H2099" t="s">
        <v>78</v>
      </c>
      <c r="I2099" s="64">
        <v>0</v>
      </c>
      <c r="J2099" s="31"/>
      <c r="K2099" s="31"/>
      <c r="L2099" s="31"/>
      <c r="M2099" s="31"/>
      <c r="N2099" s="4"/>
      <c r="AG2099" t="s">
        <v>1818</v>
      </c>
      <c r="AM2099" s="1">
        <f t="shared" si="29"/>
        <v>0</v>
      </c>
    </row>
    <row r="2100" spans="1:39" x14ac:dyDescent="0.35">
      <c r="A2100">
        <v>2096</v>
      </c>
      <c r="B2100">
        <v>2097</v>
      </c>
      <c r="F2100" s="63"/>
      <c r="G2100" s="63"/>
      <c r="H2100" t="s">
        <v>78</v>
      </c>
      <c r="I2100" s="64">
        <v>0</v>
      </c>
      <c r="J2100" s="31"/>
      <c r="K2100" s="31"/>
      <c r="L2100" s="31"/>
      <c r="M2100" s="31"/>
      <c r="N2100" s="4"/>
      <c r="AG2100" t="s">
        <v>1819</v>
      </c>
      <c r="AM2100" s="1">
        <f t="shared" si="29"/>
        <v>0</v>
      </c>
    </row>
    <row r="2101" spans="1:39" x14ac:dyDescent="0.35">
      <c r="A2101">
        <v>2097</v>
      </c>
      <c r="B2101">
        <v>2098</v>
      </c>
      <c r="F2101" s="63"/>
      <c r="G2101" s="63"/>
      <c r="H2101" t="s">
        <v>78</v>
      </c>
      <c r="I2101" s="64">
        <v>0</v>
      </c>
      <c r="J2101" s="31"/>
      <c r="K2101" s="31"/>
      <c r="L2101" s="31"/>
      <c r="M2101" s="31"/>
      <c r="N2101" s="4"/>
      <c r="AG2101" t="s">
        <v>1820</v>
      </c>
      <c r="AM2101" s="1">
        <f t="shared" si="29"/>
        <v>0</v>
      </c>
    </row>
    <row r="2102" spans="1:39" x14ac:dyDescent="0.35">
      <c r="A2102">
        <v>2098</v>
      </c>
      <c r="B2102">
        <v>2099</v>
      </c>
      <c r="F2102" s="63"/>
      <c r="G2102" s="63"/>
      <c r="H2102" t="s">
        <v>78</v>
      </c>
      <c r="I2102" s="64">
        <v>0</v>
      </c>
      <c r="J2102" s="31"/>
      <c r="K2102" s="31"/>
      <c r="L2102" s="31"/>
      <c r="M2102" s="31"/>
      <c r="N2102" s="4"/>
      <c r="AG2102" t="s">
        <v>1821</v>
      </c>
      <c r="AM2102" s="1">
        <f t="shared" si="29"/>
        <v>0</v>
      </c>
    </row>
    <row r="2103" spans="1:39" x14ac:dyDescent="0.35">
      <c r="A2103">
        <v>2099</v>
      </c>
      <c r="B2103">
        <v>2100</v>
      </c>
      <c r="F2103" s="63"/>
      <c r="G2103" s="63"/>
      <c r="H2103" t="s">
        <v>78</v>
      </c>
      <c r="I2103" s="64">
        <v>0</v>
      </c>
      <c r="J2103" s="31"/>
      <c r="K2103" s="31"/>
      <c r="L2103" s="31"/>
      <c r="M2103" s="31"/>
      <c r="N2103" s="4"/>
      <c r="AG2103" t="s">
        <v>1822</v>
      </c>
      <c r="AM2103" s="1">
        <f t="shared" si="29"/>
        <v>0</v>
      </c>
    </row>
    <row r="2104" spans="1:39" x14ac:dyDescent="0.35">
      <c r="A2104">
        <v>2100</v>
      </c>
      <c r="B2104">
        <v>2101</v>
      </c>
      <c r="F2104" s="63"/>
      <c r="G2104" s="63"/>
      <c r="H2104" t="s">
        <v>78</v>
      </c>
      <c r="I2104" s="64">
        <v>0</v>
      </c>
      <c r="J2104" s="31"/>
      <c r="K2104" s="31"/>
      <c r="L2104" s="31"/>
      <c r="M2104" s="31"/>
      <c r="N2104" s="4"/>
      <c r="AG2104" t="s">
        <v>1823</v>
      </c>
      <c r="AM2104" s="1">
        <f t="shared" si="29"/>
        <v>0</v>
      </c>
    </row>
    <row r="2105" spans="1:39" x14ac:dyDescent="0.35">
      <c r="A2105">
        <v>2101</v>
      </c>
      <c r="B2105">
        <v>2102</v>
      </c>
      <c r="F2105" s="63"/>
      <c r="G2105" s="63"/>
      <c r="H2105" t="s">
        <v>78</v>
      </c>
      <c r="I2105" s="64">
        <v>0</v>
      </c>
      <c r="J2105" s="31"/>
      <c r="K2105" s="31"/>
      <c r="L2105" s="31"/>
      <c r="M2105" s="31"/>
      <c r="N2105" s="4"/>
      <c r="AG2105" t="s">
        <v>1824</v>
      </c>
      <c r="AM2105" s="1">
        <f t="shared" si="29"/>
        <v>0</v>
      </c>
    </row>
    <row r="2106" spans="1:39" x14ac:dyDescent="0.35">
      <c r="A2106">
        <v>2102</v>
      </c>
      <c r="B2106">
        <v>2103</v>
      </c>
      <c r="F2106" s="63"/>
      <c r="G2106" s="63"/>
      <c r="H2106" t="s">
        <v>78</v>
      </c>
      <c r="I2106" s="64">
        <v>0</v>
      </c>
      <c r="J2106" s="31"/>
      <c r="K2106" s="31"/>
      <c r="L2106" s="31"/>
      <c r="M2106" s="31"/>
      <c r="N2106" s="4"/>
      <c r="AG2106" t="s">
        <v>1825</v>
      </c>
      <c r="AM2106" s="1">
        <f t="shared" si="29"/>
        <v>0</v>
      </c>
    </row>
    <row r="2107" spans="1:39" x14ac:dyDescent="0.35">
      <c r="A2107">
        <v>2103</v>
      </c>
      <c r="B2107">
        <v>2104</v>
      </c>
      <c r="F2107" s="63"/>
      <c r="G2107" s="63"/>
      <c r="H2107" t="s">
        <v>78</v>
      </c>
      <c r="I2107" s="64">
        <v>0</v>
      </c>
      <c r="J2107" s="31"/>
      <c r="K2107" s="31"/>
      <c r="L2107" s="31"/>
      <c r="M2107" s="31"/>
      <c r="N2107" s="4"/>
      <c r="AG2107" t="s">
        <v>1826</v>
      </c>
      <c r="AM2107" s="1">
        <f t="shared" si="29"/>
        <v>0</v>
      </c>
    </row>
    <row r="2108" spans="1:39" x14ac:dyDescent="0.35">
      <c r="A2108">
        <v>2104</v>
      </c>
      <c r="B2108">
        <v>2105</v>
      </c>
      <c r="F2108" s="63"/>
      <c r="G2108" s="63"/>
      <c r="H2108" t="s">
        <v>78</v>
      </c>
      <c r="I2108" s="64">
        <v>0</v>
      </c>
      <c r="J2108" s="31"/>
      <c r="K2108" s="31"/>
      <c r="L2108" s="31"/>
      <c r="M2108" s="31"/>
      <c r="N2108" s="4"/>
      <c r="AG2108" t="s">
        <v>1827</v>
      </c>
      <c r="AM2108" s="1">
        <f t="shared" si="29"/>
        <v>0</v>
      </c>
    </row>
    <row r="2109" spans="1:39" x14ac:dyDescent="0.35">
      <c r="A2109">
        <v>2105</v>
      </c>
      <c r="B2109">
        <v>2106</v>
      </c>
      <c r="F2109" s="63"/>
      <c r="G2109" s="63"/>
      <c r="H2109" t="s">
        <v>78</v>
      </c>
      <c r="I2109" s="64">
        <v>0</v>
      </c>
      <c r="J2109" s="31"/>
      <c r="K2109" s="31"/>
      <c r="L2109" s="31"/>
      <c r="M2109" s="31"/>
      <c r="N2109" s="4"/>
      <c r="AG2109" t="s">
        <v>1828</v>
      </c>
      <c r="AM2109" s="1">
        <f t="shared" si="29"/>
        <v>0</v>
      </c>
    </row>
    <row r="2110" spans="1:39" x14ac:dyDescent="0.35">
      <c r="A2110">
        <v>2106</v>
      </c>
      <c r="B2110">
        <v>2107</v>
      </c>
      <c r="F2110" s="63"/>
      <c r="G2110" s="63"/>
      <c r="H2110" t="s">
        <v>78</v>
      </c>
      <c r="I2110" s="64">
        <v>0</v>
      </c>
      <c r="J2110" s="31"/>
      <c r="K2110" s="31"/>
      <c r="L2110" s="31"/>
      <c r="M2110" s="31"/>
      <c r="N2110" s="4"/>
      <c r="AG2110" t="s">
        <v>1829</v>
      </c>
      <c r="AM2110" s="1">
        <f t="shared" si="29"/>
        <v>0</v>
      </c>
    </row>
    <row r="2111" spans="1:39" x14ac:dyDescent="0.35">
      <c r="A2111">
        <v>2107</v>
      </c>
      <c r="B2111">
        <v>2108</v>
      </c>
      <c r="F2111" s="63"/>
      <c r="G2111" s="63"/>
      <c r="H2111" t="s">
        <v>78</v>
      </c>
      <c r="I2111" s="64">
        <v>0</v>
      </c>
      <c r="J2111" s="31"/>
      <c r="K2111" s="31"/>
      <c r="L2111" s="31"/>
      <c r="M2111" s="31"/>
      <c r="N2111" s="4"/>
      <c r="AG2111" t="s">
        <v>1830</v>
      </c>
      <c r="AM2111" s="1">
        <f t="shared" si="29"/>
        <v>0</v>
      </c>
    </row>
    <row r="2112" spans="1:39" x14ac:dyDescent="0.35">
      <c r="A2112">
        <v>2108</v>
      </c>
      <c r="B2112">
        <v>2109</v>
      </c>
      <c r="F2112" s="63"/>
      <c r="G2112" s="63"/>
      <c r="H2112" t="s">
        <v>78</v>
      </c>
      <c r="I2112" s="64">
        <v>0</v>
      </c>
      <c r="J2112" s="31"/>
      <c r="K2112" s="31"/>
      <c r="L2112" s="31"/>
      <c r="M2112" s="31"/>
      <c r="N2112" s="4"/>
      <c r="AG2112" t="s">
        <v>1831</v>
      </c>
      <c r="AM2112" s="1">
        <f t="shared" si="29"/>
        <v>0</v>
      </c>
    </row>
    <row r="2113" spans="1:39" x14ac:dyDescent="0.35">
      <c r="A2113">
        <v>2109</v>
      </c>
      <c r="B2113">
        <v>2110</v>
      </c>
      <c r="F2113" s="63"/>
      <c r="G2113" s="63"/>
      <c r="H2113" t="s">
        <v>78</v>
      </c>
      <c r="I2113" s="64">
        <v>0</v>
      </c>
      <c r="J2113" s="31"/>
      <c r="K2113" s="31"/>
      <c r="L2113" s="31"/>
      <c r="M2113" s="31"/>
      <c r="N2113" s="4"/>
      <c r="AG2113" t="s">
        <v>1832</v>
      </c>
      <c r="AM2113" s="1">
        <f t="shared" si="29"/>
        <v>0</v>
      </c>
    </row>
    <row r="2114" spans="1:39" x14ac:dyDescent="0.35">
      <c r="A2114">
        <v>2110</v>
      </c>
      <c r="B2114">
        <v>2111</v>
      </c>
      <c r="F2114" s="63"/>
      <c r="G2114" s="63"/>
      <c r="H2114" t="s">
        <v>78</v>
      </c>
      <c r="I2114" s="64">
        <v>0</v>
      </c>
      <c r="J2114" s="31"/>
      <c r="K2114" s="31"/>
      <c r="L2114" s="31"/>
      <c r="M2114" s="31"/>
      <c r="N2114" s="4"/>
      <c r="AG2114" t="s">
        <v>1833</v>
      </c>
      <c r="AM2114" s="1">
        <f t="shared" si="29"/>
        <v>0</v>
      </c>
    </row>
    <row r="2115" spans="1:39" x14ac:dyDescent="0.35">
      <c r="A2115">
        <v>2111</v>
      </c>
      <c r="B2115">
        <v>2112</v>
      </c>
      <c r="F2115" s="63"/>
      <c r="G2115" s="63"/>
      <c r="H2115" t="s">
        <v>78</v>
      </c>
      <c r="I2115" s="64">
        <v>0</v>
      </c>
      <c r="J2115" s="31"/>
      <c r="K2115" s="31"/>
      <c r="L2115" s="31"/>
      <c r="M2115" s="31"/>
      <c r="N2115" s="4"/>
      <c r="AG2115" t="s">
        <v>1834</v>
      </c>
      <c r="AM2115" s="1">
        <f t="shared" si="29"/>
        <v>0</v>
      </c>
    </row>
    <row r="2116" spans="1:39" x14ac:dyDescent="0.35">
      <c r="A2116">
        <v>2112</v>
      </c>
      <c r="B2116">
        <v>2113</v>
      </c>
      <c r="F2116" s="63"/>
      <c r="G2116" s="63"/>
      <c r="H2116" t="s">
        <v>78</v>
      </c>
      <c r="I2116" s="64">
        <v>0</v>
      </c>
      <c r="J2116" s="31"/>
      <c r="K2116" s="31"/>
      <c r="L2116" s="31"/>
      <c r="M2116" s="31"/>
      <c r="N2116" s="4"/>
      <c r="AG2116" t="s">
        <v>1835</v>
      </c>
      <c r="AM2116" s="1">
        <f t="shared" si="29"/>
        <v>0</v>
      </c>
    </row>
    <row r="2117" spans="1:39" x14ac:dyDescent="0.35">
      <c r="A2117">
        <v>2113</v>
      </c>
      <c r="B2117">
        <v>2114</v>
      </c>
      <c r="F2117" s="63"/>
      <c r="G2117" s="63"/>
      <c r="H2117" t="s">
        <v>78</v>
      </c>
      <c r="I2117" s="64">
        <v>0</v>
      </c>
      <c r="J2117" s="31"/>
      <c r="K2117" s="31"/>
      <c r="L2117" s="31"/>
      <c r="M2117" s="31"/>
      <c r="N2117" s="4"/>
      <c r="AG2117" t="s">
        <v>1836</v>
      </c>
      <c r="AM2117" s="1">
        <f t="shared" si="29"/>
        <v>0</v>
      </c>
    </row>
    <row r="2118" spans="1:39" x14ac:dyDescent="0.35">
      <c r="A2118">
        <v>2114</v>
      </c>
      <c r="B2118">
        <v>2115</v>
      </c>
      <c r="F2118" s="63"/>
      <c r="G2118" s="63"/>
      <c r="H2118" t="s">
        <v>78</v>
      </c>
      <c r="I2118" s="64">
        <v>0</v>
      </c>
      <c r="J2118" s="31"/>
      <c r="K2118" s="31"/>
      <c r="L2118" s="31"/>
      <c r="M2118" s="31"/>
      <c r="N2118" s="4"/>
      <c r="AG2118" t="s">
        <v>1837</v>
      </c>
      <c r="AM2118" s="1">
        <f t="shared" si="29"/>
        <v>0</v>
      </c>
    </row>
    <row r="2119" spans="1:39" x14ac:dyDescent="0.35">
      <c r="A2119">
        <v>2115</v>
      </c>
      <c r="B2119">
        <v>2116</v>
      </c>
      <c r="F2119" s="63"/>
      <c r="G2119" s="63"/>
      <c r="H2119" t="s">
        <v>78</v>
      </c>
      <c r="I2119" s="64">
        <v>0</v>
      </c>
      <c r="J2119" s="31"/>
      <c r="K2119" s="31"/>
      <c r="L2119" s="31"/>
      <c r="M2119" s="31"/>
      <c r="N2119" s="4"/>
      <c r="AG2119" t="s">
        <v>1838</v>
      </c>
      <c r="AM2119" s="1">
        <f t="shared" si="29"/>
        <v>0</v>
      </c>
    </row>
    <row r="2120" spans="1:39" x14ac:dyDescent="0.35">
      <c r="A2120">
        <v>2116</v>
      </c>
      <c r="B2120">
        <v>2117</v>
      </c>
      <c r="F2120" s="63"/>
      <c r="G2120" s="63"/>
      <c r="H2120" t="s">
        <v>78</v>
      </c>
      <c r="I2120" s="64">
        <v>0</v>
      </c>
      <c r="J2120" s="31"/>
      <c r="K2120" s="31"/>
      <c r="L2120" s="31"/>
      <c r="M2120" s="31"/>
      <c r="N2120" s="4"/>
      <c r="AG2120" t="s">
        <v>1839</v>
      </c>
      <c r="AM2120" s="1">
        <f t="shared" si="29"/>
        <v>0</v>
      </c>
    </row>
    <row r="2121" spans="1:39" x14ac:dyDescent="0.35">
      <c r="A2121">
        <v>2117</v>
      </c>
      <c r="B2121">
        <v>2118</v>
      </c>
      <c r="F2121" s="63"/>
      <c r="G2121" s="63"/>
      <c r="H2121" t="s">
        <v>78</v>
      </c>
      <c r="I2121" s="64">
        <v>0</v>
      </c>
      <c r="J2121" s="31"/>
      <c r="K2121" s="31"/>
      <c r="L2121" s="31"/>
      <c r="M2121" s="31"/>
      <c r="N2121" s="4"/>
      <c r="AG2121" t="s">
        <v>1840</v>
      </c>
      <c r="AM2121" s="1">
        <f t="shared" si="29"/>
        <v>0</v>
      </c>
    </row>
    <row r="2122" spans="1:39" x14ac:dyDescent="0.35">
      <c r="A2122">
        <v>2118</v>
      </c>
      <c r="B2122">
        <v>2119</v>
      </c>
      <c r="F2122" s="63"/>
      <c r="G2122" s="63"/>
      <c r="H2122" t="s">
        <v>78</v>
      </c>
      <c r="I2122" s="64">
        <v>0</v>
      </c>
      <c r="J2122" s="31"/>
      <c r="K2122" s="31"/>
      <c r="L2122" s="31"/>
      <c r="M2122" s="31"/>
      <c r="N2122" s="4"/>
      <c r="AG2122" t="s">
        <v>1841</v>
      </c>
      <c r="AM2122" s="1">
        <f t="shared" si="29"/>
        <v>0</v>
      </c>
    </row>
    <row r="2123" spans="1:39" x14ac:dyDescent="0.35">
      <c r="A2123">
        <v>2119</v>
      </c>
      <c r="B2123">
        <v>2120</v>
      </c>
      <c r="F2123" s="63"/>
      <c r="G2123" s="63"/>
      <c r="H2123" t="s">
        <v>78</v>
      </c>
      <c r="I2123" s="64">
        <v>0</v>
      </c>
      <c r="J2123" s="31"/>
      <c r="K2123" s="31"/>
      <c r="L2123" s="31"/>
      <c r="M2123" s="31"/>
      <c r="N2123" s="4"/>
      <c r="AG2123" t="s">
        <v>1842</v>
      </c>
      <c r="AM2123" s="1">
        <f t="shared" ref="AM2123:AM2186" si="30">HYPERLINK("E:\CAFNEC_GBRF\2023\JohnstoneRiver\Frames_for_Analysis\" &amp; F2124, F2124)</f>
        <v>0</v>
      </c>
    </row>
    <row r="2124" spans="1:39" x14ac:dyDescent="0.35">
      <c r="A2124">
        <v>2120</v>
      </c>
      <c r="B2124">
        <v>2121</v>
      </c>
      <c r="F2124" s="63"/>
      <c r="G2124" s="63"/>
      <c r="H2124" t="s">
        <v>78</v>
      </c>
      <c r="I2124" s="64">
        <v>0</v>
      </c>
      <c r="J2124" s="31"/>
      <c r="K2124" s="31"/>
      <c r="L2124" s="31"/>
      <c r="M2124" s="31"/>
      <c r="N2124" s="4"/>
      <c r="AG2124" t="s">
        <v>1843</v>
      </c>
      <c r="AM2124" s="1">
        <f t="shared" si="30"/>
        <v>0</v>
      </c>
    </row>
    <row r="2125" spans="1:39" x14ac:dyDescent="0.35">
      <c r="A2125">
        <v>2121</v>
      </c>
      <c r="B2125">
        <v>2122</v>
      </c>
      <c r="F2125" s="63"/>
      <c r="G2125" s="63"/>
      <c r="H2125" t="s">
        <v>78</v>
      </c>
      <c r="I2125" s="64">
        <v>0</v>
      </c>
      <c r="J2125" s="31"/>
      <c r="K2125" s="31"/>
      <c r="L2125" s="31"/>
      <c r="M2125" s="31"/>
      <c r="N2125" s="4"/>
      <c r="AG2125" t="s">
        <v>1844</v>
      </c>
      <c r="AM2125" s="1">
        <f t="shared" si="30"/>
        <v>0</v>
      </c>
    </row>
    <row r="2126" spans="1:39" x14ac:dyDescent="0.35">
      <c r="A2126">
        <v>2122</v>
      </c>
      <c r="B2126">
        <v>2123</v>
      </c>
      <c r="F2126" s="63"/>
      <c r="G2126" s="63"/>
      <c r="H2126" t="s">
        <v>78</v>
      </c>
      <c r="I2126" s="64">
        <v>0</v>
      </c>
      <c r="J2126" s="31"/>
      <c r="K2126" s="31"/>
      <c r="L2126" s="31"/>
      <c r="M2126" s="31"/>
      <c r="N2126" s="4"/>
      <c r="AG2126" t="s">
        <v>1845</v>
      </c>
      <c r="AM2126" s="1">
        <f t="shared" si="30"/>
        <v>0</v>
      </c>
    </row>
    <row r="2127" spans="1:39" x14ac:dyDescent="0.35">
      <c r="A2127">
        <v>2123</v>
      </c>
      <c r="B2127">
        <v>2124</v>
      </c>
      <c r="F2127" s="63"/>
      <c r="G2127" s="63"/>
      <c r="H2127" t="s">
        <v>78</v>
      </c>
      <c r="I2127" s="64">
        <v>0</v>
      </c>
      <c r="J2127" s="31"/>
      <c r="K2127" s="31"/>
      <c r="L2127" s="31"/>
      <c r="M2127" s="31"/>
      <c r="N2127" s="4"/>
      <c r="AG2127" t="s">
        <v>1846</v>
      </c>
      <c r="AM2127" s="1">
        <f t="shared" si="30"/>
        <v>0</v>
      </c>
    </row>
    <row r="2128" spans="1:39" x14ac:dyDescent="0.35">
      <c r="A2128">
        <v>2124</v>
      </c>
      <c r="B2128">
        <v>2125</v>
      </c>
      <c r="F2128" s="63"/>
      <c r="G2128" s="63"/>
      <c r="H2128" t="s">
        <v>78</v>
      </c>
      <c r="I2128" s="64">
        <v>0</v>
      </c>
      <c r="J2128" s="31"/>
      <c r="K2128" s="31"/>
      <c r="L2128" s="31"/>
      <c r="M2128" s="31"/>
      <c r="N2128" s="4"/>
      <c r="AG2128" t="s">
        <v>1847</v>
      </c>
      <c r="AM2128" s="1">
        <f t="shared" si="30"/>
        <v>0</v>
      </c>
    </row>
    <row r="2129" spans="1:39" x14ac:dyDescent="0.35">
      <c r="A2129">
        <v>2125</v>
      </c>
      <c r="B2129">
        <v>2126</v>
      </c>
      <c r="F2129" s="63"/>
      <c r="G2129" s="63"/>
      <c r="H2129" t="s">
        <v>78</v>
      </c>
      <c r="I2129" s="64">
        <v>0</v>
      </c>
      <c r="J2129" s="31"/>
      <c r="K2129" s="31"/>
      <c r="L2129" s="31"/>
      <c r="M2129" s="31"/>
      <c r="N2129" s="4"/>
      <c r="AG2129" t="s">
        <v>1848</v>
      </c>
      <c r="AM2129" s="1">
        <f t="shared" si="30"/>
        <v>0</v>
      </c>
    </row>
    <row r="2130" spans="1:39" x14ac:dyDescent="0.35">
      <c r="A2130">
        <v>2126</v>
      </c>
      <c r="B2130">
        <v>2127</v>
      </c>
      <c r="F2130" s="63"/>
      <c r="G2130" s="63"/>
      <c r="H2130" t="s">
        <v>78</v>
      </c>
      <c r="I2130" s="64">
        <v>0</v>
      </c>
      <c r="J2130" s="31"/>
      <c r="K2130" s="31"/>
      <c r="L2130" s="31"/>
      <c r="M2130" s="31"/>
      <c r="N2130" s="4"/>
      <c r="AG2130" t="s">
        <v>1849</v>
      </c>
      <c r="AM2130" s="1">
        <f t="shared" si="30"/>
        <v>0</v>
      </c>
    </row>
    <row r="2131" spans="1:39" x14ac:dyDescent="0.35">
      <c r="A2131">
        <v>2127</v>
      </c>
      <c r="B2131">
        <v>2128</v>
      </c>
      <c r="F2131" s="63"/>
      <c r="G2131" s="63"/>
      <c r="H2131" t="s">
        <v>78</v>
      </c>
      <c r="I2131" s="64">
        <v>0</v>
      </c>
      <c r="J2131" s="31"/>
      <c r="K2131" s="31"/>
      <c r="L2131" s="31"/>
      <c r="M2131" s="31"/>
      <c r="N2131" s="4"/>
      <c r="AG2131" t="s">
        <v>1850</v>
      </c>
      <c r="AM2131" s="1">
        <f t="shared" si="30"/>
        <v>0</v>
      </c>
    </row>
    <row r="2132" spans="1:39" x14ac:dyDescent="0.35">
      <c r="A2132">
        <v>2128</v>
      </c>
      <c r="B2132">
        <v>2129</v>
      </c>
      <c r="F2132" s="63"/>
      <c r="G2132" s="63"/>
      <c r="H2132" t="s">
        <v>78</v>
      </c>
      <c r="I2132" s="64">
        <v>0</v>
      </c>
      <c r="J2132" s="31"/>
      <c r="K2132" s="31"/>
      <c r="L2132" s="31"/>
      <c r="M2132" s="31"/>
      <c r="N2132" s="4"/>
      <c r="AG2132" t="s">
        <v>1851</v>
      </c>
      <c r="AM2132" s="1">
        <f t="shared" si="30"/>
        <v>0</v>
      </c>
    </row>
    <row r="2133" spans="1:39" x14ac:dyDescent="0.35">
      <c r="A2133">
        <v>2129</v>
      </c>
      <c r="B2133">
        <v>2130</v>
      </c>
      <c r="F2133" s="63"/>
      <c r="G2133" s="63"/>
      <c r="H2133" t="s">
        <v>78</v>
      </c>
      <c r="I2133" s="64">
        <v>0</v>
      </c>
      <c r="J2133" s="31"/>
      <c r="K2133" s="31"/>
      <c r="L2133" s="31"/>
      <c r="M2133" s="31"/>
      <c r="N2133" s="4"/>
      <c r="AG2133" t="s">
        <v>1852</v>
      </c>
      <c r="AM2133" s="1">
        <f t="shared" si="30"/>
        <v>0</v>
      </c>
    </row>
    <row r="2134" spans="1:39" x14ac:dyDescent="0.35">
      <c r="A2134">
        <v>2130</v>
      </c>
      <c r="B2134">
        <v>2131</v>
      </c>
      <c r="F2134" s="63"/>
      <c r="G2134" s="63"/>
      <c r="H2134" t="s">
        <v>78</v>
      </c>
      <c r="I2134" s="64">
        <v>0</v>
      </c>
      <c r="J2134" s="31"/>
      <c r="K2134" s="31"/>
      <c r="L2134" s="31"/>
      <c r="M2134" s="31"/>
      <c r="N2134" s="4"/>
      <c r="AG2134" t="s">
        <v>1853</v>
      </c>
      <c r="AM2134" s="1">
        <f t="shared" si="30"/>
        <v>0</v>
      </c>
    </row>
    <row r="2135" spans="1:39" x14ac:dyDescent="0.35">
      <c r="A2135">
        <v>2131</v>
      </c>
      <c r="B2135">
        <v>2132</v>
      </c>
      <c r="F2135" s="63"/>
      <c r="G2135" s="63"/>
      <c r="H2135" t="s">
        <v>78</v>
      </c>
      <c r="I2135" s="64">
        <v>0</v>
      </c>
      <c r="J2135" s="31"/>
      <c r="K2135" s="31"/>
      <c r="L2135" s="31"/>
      <c r="M2135" s="31"/>
      <c r="N2135" s="4"/>
      <c r="AG2135" t="s">
        <v>1854</v>
      </c>
      <c r="AM2135" s="1">
        <f t="shared" si="30"/>
        <v>0</v>
      </c>
    </row>
    <row r="2136" spans="1:39" x14ac:dyDescent="0.35">
      <c r="A2136">
        <v>2132</v>
      </c>
      <c r="B2136">
        <v>2133</v>
      </c>
      <c r="F2136" s="63"/>
      <c r="G2136" s="63"/>
      <c r="H2136" t="s">
        <v>78</v>
      </c>
      <c r="I2136" s="64">
        <v>0</v>
      </c>
      <c r="J2136" s="31"/>
      <c r="K2136" s="31"/>
      <c r="L2136" s="31"/>
      <c r="M2136" s="31"/>
      <c r="N2136" s="4"/>
      <c r="AG2136" t="s">
        <v>1855</v>
      </c>
      <c r="AM2136" s="1">
        <f t="shared" si="30"/>
        <v>0</v>
      </c>
    </row>
    <row r="2137" spans="1:39" x14ac:dyDescent="0.35">
      <c r="A2137">
        <v>2133</v>
      </c>
      <c r="B2137">
        <v>2134</v>
      </c>
      <c r="F2137" s="63"/>
      <c r="G2137" s="63"/>
      <c r="H2137" t="s">
        <v>78</v>
      </c>
      <c r="I2137" s="64">
        <v>0</v>
      </c>
      <c r="J2137" s="31"/>
      <c r="K2137" s="31"/>
      <c r="L2137" s="31"/>
      <c r="M2137" s="31"/>
      <c r="N2137" s="4"/>
      <c r="AG2137" t="s">
        <v>1856</v>
      </c>
      <c r="AM2137" s="1">
        <f t="shared" si="30"/>
        <v>0</v>
      </c>
    </row>
    <row r="2138" spans="1:39" x14ac:dyDescent="0.35">
      <c r="A2138">
        <v>2134</v>
      </c>
      <c r="B2138">
        <v>2135</v>
      </c>
      <c r="F2138" s="63"/>
      <c r="G2138" s="63"/>
      <c r="H2138" t="s">
        <v>78</v>
      </c>
      <c r="I2138" s="64">
        <v>0</v>
      </c>
      <c r="J2138" s="31"/>
      <c r="K2138" s="31"/>
      <c r="L2138" s="31"/>
      <c r="M2138" s="31"/>
      <c r="N2138" s="4"/>
      <c r="AG2138" t="s">
        <v>1857</v>
      </c>
      <c r="AM2138" s="1">
        <f t="shared" si="30"/>
        <v>0</v>
      </c>
    </row>
    <row r="2139" spans="1:39" x14ac:dyDescent="0.35">
      <c r="A2139">
        <v>2135</v>
      </c>
      <c r="B2139">
        <v>2136</v>
      </c>
      <c r="F2139" s="63"/>
      <c r="G2139" s="63"/>
      <c r="H2139" t="s">
        <v>78</v>
      </c>
      <c r="I2139" s="64">
        <v>0</v>
      </c>
      <c r="J2139" s="31"/>
      <c r="K2139" s="31"/>
      <c r="L2139" s="31"/>
      <c r="M2139" s="31"/>
      <c r="N2139" s="4"/>
      <c r="AG2139" t="s">
        <v>1858</v>
      </c>
      <c r="AM2139" s="1">
        <f t="shared" si="30"/>
        <v>0</v>
      </c>
    </row>
    <row r="2140" spans="1:39" x14ac:dyDescent="0.35">
      <c r="A2140">
        <v>2136</v>
      </c>
      <c r="B2140">
        <v>2137</v>
      </c>
      <c r="F2140" s="63"/>
      <c r="G2140" s="63"/>
      <c r="H2140" t="s">
        <v>78</v>
      </c>
      <c r="I2140" s="64">
        <v>0</v>
      </c>
      <c r="J2140" s="31"/>
      <c r="K2140" s="31"/>
      <c r="L2140" s="31"/>
      <c r="M2140" s="31"/>
      <c r="N2140" s="4"/>
      <c r="AG2140" t="s">
        <v>1859</v>
      </c>
      <c r="AM2140" s="1">
        <f t="shared" si="30"/>
        <v>0</v>
      </c>
    </row>
    <row r="2141" spans="1:39" x14ac:dyDescent="0.35">
      <c r="A2141">
        <v>2137</v>
      </c>
      <c r="B2141">
        <v>2138</v>
      </c>
      <c r="F2141" s="63"/>
      <c r="G2141" s="63"/>
      <c r="H2141" t="s">
        <v>78</v>
      </c>
      <c r="I2141" s="64">
        <v>0</v>
      </c>
      <c r="J2141" s="31"/>
      <c r="K2141" s="31"/>
      <c r="L2141" s="31"/>
      <c r="M2141" s="31"/>
      <c r="N2141" s="4"/>
      <c r="AG2141" t="s">
        <v>1860</v>
      </c>
      <c r="AM2141" s="1">
        <f t="shared" si="30"/>
        <v>0</v>
      </c>
    </row>
    <row r="2142" spans="1:39" x14ac:dyDescent="0.35">
      <c r="A2142">
        <v>2138</v>
      </c>
      <c r="B2142">
        <v>2139</v>
      </c>
      <c r="F2142" s="63"/>
      <c r="G2142" s="63"/>
      <c r="H2142" t="s">
        <v>78</v>
      </c>
      <c r="I2142" s="64">
        <v>0</v>
      </c>
      <c r="J2142" s="31"/>
      <c r="K2142" s="31"/>
      <c r="L2142" s="31"/>
      <c r="M2142" s="31"/>
      <c r="N2142" s="4"/>
      <c r="AG2142" t="s">
        <v>1861</v>
      </c>
      <c r="AM2142" s="1">
        <f t="shared" si="30"/>
        <v>0</v>
      </c>
    </row>
    <row r="2143" spans="1:39" x14ac:dyDescent="0.35">
      <c r="A2143">
        <v>2139</v>
      </c>
      <c r="B2143">
        <v>2140</v>
      </c>
      <c r="F2143" s="63"/>
      <c r="G2143" s="63"/>
      <c r="H2143" t="s">
        <v>78</v>
      </c>
      <c r="I2143" s="64">
        <v>0</v>
      </c>
      <c r="J2143" s="31"/>
      <c r="K2143" s="31"/>
      <c r="L2143" s="31"/>
      <c r="M2143" s="31"/>
      <c r="N2143" s="4"/>
      <c r="AG2143" t="s">
        <v>1862</v>
      </c>
      <c r="AM2143" s="1">
        <f t="shared" si="30"/>
        <v>0</v>
      </c>
    </row>
    <row r="2144" spans="1:39" x14ac:dyDescent="0.35">
      <c r="A2144">
        <v>2140</v>
      </c>
      <c r="B2144">
        <v>2141</v>
      </c>
      <c r="F2144" s="63"/>
      <c r="G2144" s="63"/>
      <c r="H2144" t="s">
        <v>78</v>
      </c>
      <c r="I2144" s="64">
        <v>0</v>
      </c>
      <c r="J2144" s="31"/>
      <c r="K2144" s="31"/>
      <c r="L2144" s="31"/>
      <c r="M2144" s="31"/>
      <c r="N2144" s="4"/>
      <c r="AG2144" t="s">
        <v>1863</v>
      </c>
      <c r="AM2144" s="1">
        <f t="shared" si="30"/>
        <v>0</v>
      </c>
    </row>
    <row r="2145" spans="1:39" x14ac:dyDescent="0.35">
      <c r="A2145">
        <v>2141</v>
      </c>
      <c r="B2145">
        <v>2142</v>
      </c>
      <c r="F2145" s="63"/>
      <c r="G2145" s="63"/>
      <c r="H2145" t="s">
        <v>78</v>
      </c>
      <c r="I2145" s="64">
        <v>0</v>
      </c>
      <c r="J2145" s="31"/>
      <c r="K2145" s="31"/>
      <c r="L2145" s="31"/>
      <c r="M2145" s="31"/>
      <c r="N2145" s="4"/>
      <c r="AG2145" t="s">
        <v>1864</v>
      </c>
      <c r="AM2145" s="1">
        <f t="shared" si="30"/>
        <v>0</v>
      </c>
    </row>
    <row r="2146" spans="1:39" x14ac:dyDescent="0.35">
      <c r="A2146">
        <v>2142</v>
      </c>
      <c r="B2146">
        <v>2143</v>
      </c>
      <c r="F2146" s="63"/>
      <c r="G2146" s="63"/>
      <c r="H2146" t="s">
        <v>78</v>
      </c>
      <c r="I2146" s="64">
        <v>0</v>
      </c>
      <c r="J2146" s="31"/>
      <c r="K2146" s="31"/>
      <c r="L2146" s="31"/>
      <c r="M2146" s="31"/>
      <c r="N2146" s="4"/>
      <c r="AG2146" t="s">
        <v>1865</v>
      </c>
      <c r="AM2146" s="1">
        <f t="shared" si="30"/>
        <v>0</v>
      </c>
    </row>
    <row r="2147" spans="1:39" x14ac:dyDescent="0.35">
      <c r="A2147">
        <v>2143</v>
      </c>
      <c r="B2147">
        <v>2144</v>
      </c>
      <c r="F2147" s="63"/>
      <c r="G2147" s="63"/>
      <c r="H2147" t="s">
        <v>78</v>
      </c>
      <c r="I2147" s="64">
        <v>0</v>
      </c>
      <c r="J2147" s="31"/>
      <c r="K2147" s="31"/>
      <c r="L2147" s="31"/>
      <c r="M2147" s="31"/>
      <c r="N2147" s="4"/>
      <c r="AG2147" t="s">
        <v>1866</v>
      </c>
      <c r="AM2147" s="1">
        <f t="shared" si="30"/>
        <v>0</v>
      </c>
    </row>
    <row r="2148" spans="1:39" x14ac:dyDescent="0.35">
      <c r="A2148">
        <v>2144</v>
      </c>
      <c r="B2148">
        <v>2145</v>
      </c>
      <c r="F2148" s="63"/>
      <c r="G2148" s="63"/>
      <c r="H2148" t="s">
        <v>78</v>
      </c>
      <c r="I2148" s="64">
        <v>0</v>
      </c>
      <c r="J2148" s="31"/>
      <c r="K2148" s="31"/>
      <c r="L2148" s="31"/>
      <c r="M2148" s="31"/>
      <c r="N2148" s="4"/>
      <c r="AG2148" t="s">
        <v>1867</v>
      </c>
      <c r="AM2148" s="1">
        <f t="shared" si="30"/>
        <v>0</v>
      </c>
    </row>
    <row r="2149" spans="1:39" x14ac:dyDescent="0.35">
      <c r="A2149">
        <v>2145</v>
      </c>
      <c r="B2149">
        <v>2146</v>
      </c>
      <c r="F2149" s="63"/>
      <c r="G2149" s="63"/>
      <c r="H2149" t="s">
        <v>78</v>
      </c>
      <c r="I2149" s="64">
        <v>0</v>
      </c>
      <c r="J2149" s="31"/>
      <c r="K2149" s="31"/>
      <c r="L2149" s="31"/>
      <c r="M2149" s="31"/>
      <c r="N2149" s="4"/>
      <c r="AG2149" t="s">
        <v>1868</v>
      </c>
      <c r="AM2149" s="1">
        <f t="shared" si="30"/>
        <v>0</v>
      </c>
    </row>
    <row r="2150" spans="1:39" x14ac:dyDescent="0.35">
      <c r="A2150">
        <v>2146</v>
      </c>
      <c r="B2150">
        <v>2147</v>
      </c>
      <c r="F2150" s="63"/>
      <c r="G2150" s="63"/>
      <c r="H2150" t="s">
        <v>78</v>
      </c>
      <c r="I2150" s="64">
        <v>0</v>
      </c>
      <c r="J2150" s="31"/>
      <c r="K2150" s="31"/>
      <c r="L2150" s="31"/>
      <c r="M2150" s="31"/>
      <c r="N2150" s="4"/>
      <c r="AG2150" t="s">
        <v>1869</v>
      </c>
      <c r="AM2150" s="1">
        <f t="shared" si="30"/>
        <v>0</v>
      </c>
    </row>
    <row r="2151" spans="1:39" x14ac:dyDescent="0.35">
      <c r="A2151">
        <v>2147</v>
      </c>
      <c r="B2151">
        <v>2148</v>
      </c>
      <c r="F2151" s="63"/>
      <c r="G2151" s="63"/>
      <c r="H2151" t="s">
        <v>78</v>
      </c>
      <c r="I2151" s="64">
        <v>0</v>
      </c>
      <c r="J2151" s="31"/>
      <c r="K2151" s="31"/>
      <c r="L2151" s="31"/>
      <c r="M2151" s="31"/>
      <c r="N2151" s="4"/>
      <c r="AG2151" t="s">
        <v>1870</v>
      </c>
      <c r="AM2151" s="1">
        <f t="shared" si="30"/>
        <v>0</v>
      </c>
    </row>
    <row r="2152" spans="1:39" x14ac:dyDescent="0.35">
      <c r="A2152">
        <v>2148</v>
      </c>
      <c r="B2152">
        <v>2149</v>
      </c>
      <c r="F2152" s="63"/>
      <c r="G2152" s="63"/>
      <c r="H2152" t="s">
        <v>78</v>
      </c>
      <c r="I2152" s="64">
        <v>0</v>
      </c>
      <c r="J2152" s="31"/>
      <c r="K2152" s="31"/>
      <c r="L2152" s="31"/>
      <c r="M2152" s="31"/>
      <c r="N2152" s="4"/>
      <c r="AG2152" t="s">
        <v>1871</v>
      </c>
      <c r="AM2152" s="1">
        <f t="shared" si="30"/>
        <v>0</v>
      </c>
    </row>
    <row r="2153" spans="1:39" x14ac:dyDescent="0.35">
      <c r="A2153">
        <v>2149</v>
      </c>
      <c r="B2153">
        <v>2150</v>
      </c>
      <c r="F2153" s="63"/>
      <c r="G2153" s="63"/>
      <c r="H2153" t="s">
        <v>78</v>
      </c>
      <c r="I2153" s="64">
        <v>0</v>
      </c>
      <c r="J2153" s="31"/>
      <c r="K2153" s="31"/>
      <c r="L2153" s="31"/>
      <c r="M2153" s="31"/>
      <c r="N2153" s="4"/>
      <c r="AG2153" t="s">
        <v>1872</v>
      </c>
      <c r="AM2153" s="1">
        <f t="shared" si="30"/>
        <v>0</v>
      </c>
    </row>
    <row r="2154" spans="1:39" x14ac:dyDescent="0.35">
      <c r="A2154">
        <v>2150</v>
      </c>
      <c r="B2154">
        <v>2151</v>
      </c>
      <c r="F2154" s="63"/>
      <c r="G2154" s="63"/>
      <c r="H2154" t="s">
        <v>78</v>
      </c>
      <c r="I2154" s="64">
        <v>0</v>
      </c>
      <c r="J2154" s="31"/>
      <c r="K2154" s="31"/>
      <c r="L2154" s="31"/>
      <c r="M2154" s="31"/>
      <c r="N2154" s="4"/>
      <c r="AG2154" t="s">
        <v>1873</v>
      </c>
      <c r="AM2154" s="1">
        <f t="shared" si="30"/>
        <v>0</v>
      </c>
    </row>
    <row r="2155" spans="1:39" x14ac:dyDescent="0.35">
      <c r="A2155">
        <v>2151</v>
      </c>
      <c r="B2155">
        <v>2152</v>
      </c>
      <c r="F2155" s="63"/>
      <c r="G2155" s="63"/>
      <c r="H2155" t="s">
        <v>78</v>
      </c>
      <c r="I2155" s="64">
        <v>0</v>
      </c>
      <c r="J2155" s="31"/>
      <c r="K2155" s="31"/>
      <c r="L2155" s="31"/>
      <c r="M2155" s="31"/>
      <c r="N2155" s="4"/>
      <c r="AG2155" t="s">
        <v>1874</v>
      </c>
      <c r="AM2155" s="1">
        <f t="shared" si="30"/>
        <v>0</v>
      </c>
    </row>
    <row r="2156" spans="1:39" x14ac:dyDescent="0.35">
      <c r="A2156">
        <v>2152</v>
      </c>
      <c r="B2156">
        <v>2153</v>
      </c>
      <c r="F2156" s="63"/>
      <c r="G2156" s="63"/>
      <c r="H2156" t="s">
        <v>78</v>
      </c>
      <c r="I2156" s="64">
        <v>0</v>
      </c>
      <c r="J2156" s="31"/>
      <c r="K2156" s="31"/>
      <c r="L2156" s="31"/>
      <c r="M2156" s="31"/>
      <c r="N2156" s="4"/>
      <c r="AG2156" t="s">
        <v>1875</v>
      </c>
      <c r="AM2156" s="1">
        <f t="shared" si="30"/>
        <v>0</v>
      </c>
    </row>
    <row r="2157" spans="1:39" x14ac:dyDescent="0.35">
      <c r="A2157">
        <v>2153</v>
      </c>
      <c r="B2157">
        <v>2154</v>
      </c>
      <c r="F2157" s="63"/>
      <c r="G2157" s="63"/>
      <c r="H2157" t="s">
        <v>78</v>
      </c>
      <c r="I2157" s="64">
        <v>0</v>
      </c>
      <c r="J2157" s="31"/>
      <c r="K2157" s="31"/>
      <c r="L2157" s="31"/>
      <c r="M2157" s="31"/>
      <c r="N2157" s="4"/>
      <c r="AG2157" t="s">
        <v>1876</v>
      </c>
      <c r="AM2157" s="1">
        <f t="shared" si="30"/>
        <v>0</v>
      </c>
    </row>
    <row r="2158" spans="1:39" x14ac:dyDescent="0.35">
      <c r="A2158">
        <v>2154</v>
      </c>
      <c r="B2158">
        <v>2155</v>
      </c>
      <c r="F2158" s="63"/>
      <c r="G2158" s="63"/>
      <c r="H2158" t="s">
        <v>78</v>
      </c>
      <c r="I2158" s="64">
        <v>0</v>
      </c>
      <c r="J2158" s="31"/>
      <c r="K2158" s="31"/>
      <c r="L2158" s="31"/>
      <c r="M2158" s="31"/>
      <c r="N2158" s="4"/>
      <c r="AG2158" t="s">
        <v>1877</v>
      </c>
      <c r="AM2158" s="1">
        <f t="shared" si="30"/>
        <v>0</v>
      </c>
    </row>
    <row r="2159" spans="1:39" x14ac:dyDescent="0.35">
      <c r="A2159">
        <v>2155</v>
      </c>
      <c r="B2159">
        <v>2156</v>
      </c>
      <c r="F2159" s="63"/>
      <c r="G2159" s="63"/>
      <c r="H2159" t="s">
        <v>78</v>
      </c>
      <c r="I2159" s="64">
        <v>0</v>
      </c>
      <c r="J2159" s="31"/>
      <c r="K2159" s="31"/>
      <c r="L2159" s="31"/>
      <c r="M2159" s="31"/>
      <c r="N2159" s="4"/>
      <c r="AG2159" t="s">
        <v>1878</v>
      </c>
      <c r="AM2159" s="1">
        <f t="shared" si="30"/>
        <v>0</v>
      </c>
    </row>
    <row r="2160" spans="1:39" x14ac:dyDescent="0.35">
      <c r="A2160">
        <v>2156</v>
      </c>
      <c r="B2160">
        <v>2157</v>
      </c>
      <c r="F2160" s="63"/>
      <c r="G2160" s="63"/>
      <c r="H2160" t="s">
        <v>78</v>
      </c>
      <c r="I2160" s="64">
        <v>0</v>
      </c>
      <c r="J2160" s="31"/>
      <c r="K2160" s="31"/>
      <c r="L2160" s="31"/>
      <c r="M2160" s="31"/>
      <c r="N2160" s="4"/>
      <c r="AG2160" t="s">
        <v>1879</v>
      </c>
      <c r="AM2160" s="1">
        <f t="shared" si="30"/>
        <v>0</v>
      </c>
    </row>
    <row r="2161" spans="1:39" x14ac:dyDescent="0.35">
      <c r="A2161">
        <v>2157</v>
      </c>
      <c r="B2161">
        <v>2158</v>
      </c>
      <c r="F2161" s="63"/>
      <c r="G2161" s="63"/>
      <c r="H2161" t="s">
        <v>78</v>
      </c>
      <c r="I2161" s="64">
        <v>0</v>
      </c>
      <c r="J2161" s="31"/>
      <c r="K2161" s="31"/>
      <c r="L2161" s="31"/>
      <c r="M2161" s="31"/>
      <c r="N2161" s="4"/>
      <c r="AG2161" t="s">
        <v>1880</v>
      </c>
      <c r="AM2161" s="1">
        <f t="shared" si="30"/>
        <v>0</v>
      </c>
    </row>
    <row r="2162" spans="1:39" x14ac:dyDescent="0.35">
      <c r="A2162">
        <v>2158</v>
      </c>
      <c r="B2162">
        <v>2159</v>
      </c>
      <c r="F2162" s="63"/>
      <c r="G2162" s="63"/>
      <c r="H2162" t="s">
        <v>78</v>
      </c>
      <c r="I2162" s="64">
        <v>0</v>
      </c>
      <c r="J2162" s="31"/>
      <c r="K2162" s="31"/>
      <c r="L2162" s="31"/>
      <c r="M2162" s="31"/>
      <c r="N2162" s="4"/>
      <c r="AG2162" t="s">
        <v>1881</v>
      </c>
      <c r="AM2162" s="1">
        <f t="shared" si="30"/>
        <v>0</v>
      </c>
    </row>
    <row r="2163" spans="1:39" x14ac:dyDescent="0.35">
      <c r="A2163">
        <v>2159</v>
      </c>
      <c r="B2163">
        <v>2160</v>
      </c>
      <c r="F2163" s="63"/>
      <c r="G2163" s="63"/>
      <c r="H2163" t="s">
        <v>78</v>
      </c>
      <c r="I2163" s="64">
        <v>0</v>
      </c>
      <c r="J2163" s="31"/>
      <c r="K2163" s="31"/>
      <c r="L2163" s="31"/>
      <c r="M2163" s="31"/>
      <c r="N2163" s="4"/>
      <c r="AG2163" t="s">
        <v>1882</v>
      </c>
      <c r="AM2163" s="1">
        <f t="shared" si="30"/>
        <v>0</v>
      </c>
    </row>
    <row r="2164" spans="1:39" x14ac:dyDescent="0.35">
      <c r="A2164">
        <v>2160</v>
      </c>
      <c r="B2164">
        <v>2161</v>
      </c>
      <c r="F2164" s="63"/>
      <c r="G2164" s="63"/>
      <c r="H2164" t="s">
        <v>78</v>
      </c>
      <c r="I2164" s="64">
        <v>0</v>
      </c>
      <c r="J2164" s="31"/>
      <c r="K2164" s="31"/>
      <c r="L2164" s="31"/>
      <c r="M2164" s="31"/>
      <c r="N2164" s="4"/>
      <c r="AG2164" t="s">
        <v>1883</v>
      </c>
      <c r="AM2164" s="1">
        <f t="shared" si="30"/>
        <v>0</v>
      </c>
    </row>
    <row r="2165" spans="1:39" x14ac:dyDescent="0.35">
      <c r="A2165">
        <v>2161</v>
      </c>
      <c r="B2165">
        <v>2162</v>
      </c>
      <c r="F2165" s="63"/>
      <c r="G2165" s="63"/>
      <c r="H2165" t="s">
        <v>78</v>
      </c>
      <c r="I2165" s="64">
        <v>0</v>
      </c>
      <c r="J2165" s="31"/>
      <c r="K2165" s="31"/>
      <c r="L2165" s="31"/>
      <c r="M2165" s="31"/>
      <c r="N2165" s="4"/>
      <c r="AG2165" t="s">
        <v>1884</v>
      </c>
      <c r="AM2165" s="1">
        <f t="shared" si="30"/>
        <v>0</v>
      </c>
    </row>
    <row r="2166" spans="1:39" x14ac:dyDescent="0.35">
      <c r="A2166">
        <v>2162</v>
      </c>
      <c r="B2166">
        <v>2163</v>
      </c>
      <c r="F2166" s="63"/>
      <c r="G2166" s="63"/>
      <c r="H2166" t="s">
        <v>78</v>
      </c>
      <c r="I2166" s="64">
        <v>0</v>
      </c>
      <c r="J2166" s="31"/>
      <c r="K2166" s="31"/>
      <c r="L2166" s="31"/>
      <c r="M2166" s="31"/>
      <c r="N2166" s="4"/>
      <c r="AG2166" t="s">
        <v>1885</v>
      </c>
      <c r="AM2166" s="1">
        <f t="shared" si="30"/>
        <v>0</v>
      </c>
    </row>
    <row r="2167" spans="1:39" x14ac:dyDescent="0.35">
      <c r="A2167">
        <v>2163</v>
      </c>
      <c r="B2167">
        <v>2164</v>
      </c>
      <c r="F2167" s="63"/>
      <c r="G2167" s="63"/>
      <c r="H2167" t="s">
        <v>78</v>
      </c>
      <c r="I2167" s="64">
        <v>0</v>
      </c>
      <c r="J2167" s="31"/>
      <c r="K2167" s="31"/>
      <c r="L2167" s="31"/>
      <c r="M2167" s="31"/>
      <c r="N2167" s="4"/>
      <c r="AG2167" t="s">
        <v>1886</v>
      </c>
      <c r="AM2167" s="1">
        <f t="shared" si="30"/>
        <v>0</v>
      </c>
    </row>
    <row r="2168" spans="1:39" x14ac:dyDescent="0.35">
      <c r="A2168">
        <v>2164</v>
      </c>
      <c r="B2168">
        <v>2165</v>
      </c>
      <c r="F2168" s="63"/>
      <c r="G2168" s="63"/>
      <c r="H2168" t="s">
        <v>78</v>
      </c>
      <c r="I2168" s="64">
        <v>0</v>
      </c>
      <c r="J2168" s="31"/>
      <c r="K2168" s="31"/>
      <c r="L2168" s="31"/>
      <c r="M2168" s="31"/>
      <c r="N2168" s="4"/>
      <c r="AG2168" t="s">
        <v>1887</v>
      </c>
      <c r="AM2168" s="1">
        <f t="shared" si="30"/>
        <v>0</v>
      </c>
    </row>
    <row r="2169" spans="1:39" x14ac:dyDescent="0.35">
      <c r="A2169">
        <v>2165</v>
      </c>
      <c r="B2169">
        <v>2166</v>
      </c>
      <c r="F2169" s="63"/>
      <c r="G2169" s="63"/>
      <c r="H2169" t="s">
        <v>78</v>
      </c>
      <c r="I2169" s="64">
        <v>0</v>
      </c>
      <c r="J2169" s="31"/>
      <c r="K2169" s="31"/>
      <c r="L2169" s="31"/>
      <c r="M2169" s="31"/>
      <c r="N2169" s="4"/>
      <c r="AG2169" t="s">
        <v>1888</v>
      </c>
      <c r="AM2169" s="1">
        <f t="shared" si="30"/>
        <v>0</v>
      </c>
    </row>
    <row r="2170" spans="1:39" x14ac:dyDescent="0.35">
      <c r="A2170">
        <v>2166</v>
      </c>
      <c r="B2170">
        <v>2167</v>
      </c>
      <c r="F2170" s="63"/>
      <c r="G2170" s="63"/>
      <c r="H2170" t="s">
        <v>78</v>
      </c>
      <c r="I2170" s="64">
        <v>0</v>
      </c>
      <c r="J2170" s="31"/>
      <c r="K2170" s="31"/>
      <c r="L2170" s="31"/>
      <c r="M2170" s="31"/>
      <c r="N2170" s="4"/>
      <c r="AG2170" t="s">
        <v>1889</v>
      </c>
      <c r="AM2170" s="1">
        <f t="shared" si="30"/>
        <v>0</v>
      </c>
    </row>
    <row r="2171" spans="1:39" x14ac:dyDescent="0.35">
      <c r="A2171">
        <v>2167</v>
      </c>
      <c r="B2171">
        <v>2168</v>
      </c>
      <c r="F2171" s="63"/>
      <c r="G2171" s="63"/>
      <c r="H2171" t="s">
        <v>78</v>
      </c>
      <c r="I2171" s="64">
        <v>0</v>
      </c>
      <c r="J2171" s="31"/>
      <c r="K2171" s="31"/>
      <c r="L2171" s="31"/>
      <c r="M2171" s="31"/>
      <c r="N2171" s="4"/>
      <c r="AG2171" t="s">
        <v>1890</v>
      </c>
      <c r="AM2171" s="1">
        <f t="shared" si="30"/>
        <v>0</v>
      </c>
    </row>
    <row r="2172" spans="1:39" x14ac:dyDescent="0.35">
      <c r="A2172">
        <v>2168</v>
      </c>
      <c r="B2172">
        <v>2169</v>
      </c>
      <c r="F2172" s="63"/>
      <c r="G2172" s="63"/>
      <c r="H2172" t="s">
        <v>78</v>
      </c>
      <c r="I2172" s="64">
        <v>0</v>
      </c>
      <c r="J2172" s="31"/>
      <c r="K2172" s="31"/>
      <c r="L2172" s="31"/>
      <c r="M2172" s="31"/>
      <c r="N2172" s="4"/>
      <c r="AG2172" t="s">
        <v>1891</v>
      </c>
      <c r="AM2172" s="1">
        <f t="shared" si="30"/>
        <v>0</v>
      </c>
    </row>
    <row r="2173" spans="1:39" x14ac:dyDescent="0.35">
      <c r="A2173">
        <v>2169</v>
      </c>
      <c r="B2173">
        <v>2170</v>
      </c>
      <c r="F2173" s="63"/>
      <c r="G2173" s="63"/>
      <c r="H2173" t="s">
        <v>78</v>
      </c>
      <c r="I2173" s="64">
        <v>0</v>
      </c>
      <c r="J2173" s="31"/>
      <c r="K2173" s="31"/>
      <c r="L2173" s="31"/>
      <c r="M2173" s="31"/>
      <c r="N2173" s="4"/>
      <c r="AG2173" t="s">
        <v>1892</v>
      </c>
      <c r="AM2173" s="1">
        <f t="shared" si="30"/>
        <v>0</v>
      </c>
    </row>
    <row r="2174" spans="1:39" x14ac:dyDescent="0.35">
      <c r="A2174">
        <v>2170</v>
      </c>
      <c r="B2174">
        <v>2171</v>
      </c>
      <c r="F2174" s="63"/>
      <c r="G2174" s="63"/>
      <c r="H2174" t="s">
        <v>78</v>
      </c>
      <c r="I2174" s="64">
        <v>0</v>
      </c>
      <c r="J2174" s="31"/>
      <c r="K2174" s="31"/>
      <c r="L2174" s="31"/>
      <c r="M2174" s="31"/>
      <c r="N2174" s="4"/>
      <c r="AG2174" t="s">
        <v>1893</v>
      </c>
      <c r="AM2174" s="1">
        <f t="shared" si="30"/>
        <v>0</v>
      </c>
    </row>
    <row r="2175" spans="1:39" x14ac:dyDescent="0.35">
      <c r="A2175">
        <v>2171</v>
      </c>
      <c r="B2175">
        <v>2172</v>
      </c>
      <c r="F2175" s="63"/>
      <c r="G2175" s="63"/>
      <c r="H2175" t="s">
        <v>78</v>
      </c>
      <c r="I2175" s="64">
        <v>0</v>
      </c>
      <c r="J2175" s="31"/>
      <c r="K2175" s="31"/>
      <c r="L2175" s="31"/>
      <c r="M2175" s="31"/>
      <c r="N2175" s="4"/>
      <c r="AG2175" t="s">
        <v>1894</v>
      </c>
      <c r="AM2175" s="1">
        <f t="shared" si="30"/>
        <v>0</v>
      </c>
    </row>
    <row r="2176" spans="1:39" x14ac:dyDescent="0.35">
      <c r="A2176">
        <v>2172</v>
      </c>
      <c r="B2176">
        <v>2173</v>
      </c>
      <c r="F2176" s="63"/>
      <c r="G2176" s="63"/>
      <c r="H2176" t="s">
        <v>78</v>
      </c>
      <c r="I2176" s="64">
        <v>0</v>
      </c>
      <c r="J2176" s="31"/>
      <c r="K2176" s="31"/>
      <c r="L2176" s="31"/>
      <c r="M2176" s="31"/>
      <c r="N2176" s="4"/>
      <c r="AG2176" t="s">
        <v>1895</v>
      </c>
      <c r="AM2176" s="1">
        <f t="shared" si="30"/>
        <v>0</v>
      </c>
    </row>
    <row r="2177" spans="1:39" x14ac:dyDescent="0.35">
      <c r="A2177">
        <v>2173</v>
      </c>
      <c r="B2177">
        <v>2174</v>
      </c>
      <c r="F2177" s="63"/>
      <c r="G2177" s="63"/>
      <c r="H2177" t="s">
        <v>78</v>
      </c>
      <c r="I2177" s="64">
        <v>0</v>
      </c>
      <c r="J2177" s="31"/>
      <c r="K2177" s="31"/>
      <c r="L2177" s="31"/>
      <c r="M2177" s="31"/>
      <c r="N2177" s="4"/>
      <c r="AG2177" t="s">
        <v>1896</v>
      </c>
      <c r="AM2177" s="1">
        <f t="shared" si="30"/>
        <v>0</v>
      </c>
    </row>
    <row r="2178" spans="1:39" x14ac:dyDescent="0.35">
      <c r="A2178">
        <v>2174</v>
      </c>
      <c r="B2178">
        <v>2175</v>
      </c>
      <c r="F2178" s="63"/>
      <c r="G2178" s="63"/>
      <c r="H2178" t="s">
        <v>78</v>
      </c>
      <c r="I2178" s="64">
        <v>0</v>
      </c>
      <c r="J2178" s="31"/>
      <c r="K2178" s="31"/>
      <c r="L2178" s="31"/>
      <c r="M2178" s="31"/>
      <c r="N2178" s="4"/>
      <c r="AG2178" t="s">
        <v>1897</v>
      </c>
      <c r="AM2178" s="1">
        <f t="shared" si="30"/>
        <v>0</v>
      </c>
    </row>
    <row r="2179" spans="1:39" x14ac:dyDescent="0.35">
      <c r="A2179">
        <v>2175</v>
      </c>
      <c r="B2179">
        <v>2176</v>
      </c>
      <c r="F2179" s="63"/>
      <c r="G2179" s="63"/>
      <c r="H2179" t="s">
        <v>78</v>
      </c>
      <c r="I2179" s="64">
        <v>0</v>
      </c>
      <c r="J2179" s="31"/>
      <c r="K2179" s="31"/>
      <c r="L2179" s="31"/>
      <c r="M2179" s="31"/>
      <c r="N2179" s="4"/>
      <c r="AG2179" t="s">
        <v>1898</v>
      </c>
      <c r="AM2179" s="1">
        <f t="shared" si="30"/>
        <v>0</v>
      </c>
    </row>
    <row r="2180" spans="1:39" x14ac:dyDescent="0.35">
      <c r="A2180">
        <v>2176</v>
      </c>
      <c r="B2180">
        <v>2177</v>
      </c>
      <c r="F2180" s="63"/>
      <c r="G2180" s="63"/>
      <c r="H2180" t="s">
        <v>78</v>
      </c>
      <c r="I2180" s="64">
        <v>0</v>
      </c>
      <c r="J2180" s="31"/>
      <c r="K2180" s="31"/>
      <c r="L2180" s="31"/>
      <c r="M2180" s="31"/>
      <c r="N2180" s="4"/>
      <c r="AG2180" t="s">
        <v>1899</v>
      </c>
      <c r="AM2180" s="1">
        <f t="shared" si="30"/>
        <v>0</v>
      </c>
    </row>
    <row r="2181" spans="1:39" x14ac:dyDescent="0.35">
      <c r="A2181">
        <v>2177</v>
      </c>
      <c r="B2181">
        <v>2178</v>
      </c>
      <c r="F2181" s="63"/>
      <c r="G2181" s="63"/>
      <c r="H2181" t="s">
        <v>78</v>
      </c>
      <c r="I2181" s="64">
        <v>0</v>
      </c>
      <c r="J2181" s="31"/>
      <c r="K2181" s="31"/>
      <c r="L2181" s="31"/>
      <c r="M2181" s="31"/>
      <c r="N2181" s="4"/>
      <c r="AG2181" t="s">
        <v>1900</v>
      </c>
      <c r="AM2181" s="1">
        <f t="shared" si="30"/>
        <v>0</v>
      </c>
    </row>
    <row r="2182" spans="1:39" x14ac:dyDescent="0.35">
      <c r="A2182">
        <v>2178</v>
      </c>
      <c r="B2182">
        <v>2179</v>
      </c>
      <c r="F2182" s="63"/>
      <c r="G2182" s="63"/>
      <c r="H2182" t="s">
        <v>78</v>
      </c>
      <c r="I2182" s="64">
        <v>0</v>
      </c>
      <c r="J2182" s="31"/>
      <c r="K2182" s="31"/>
      <c r="L2182" s="31"/>
      <c r="M2182" s="31"/>
      <c r="N2182" s="4"/>
      <c r="AG2182" t="s">
        <v>1901</v>
      </c>
      <c r="AM2182" s="1">
        <f t="shared" si="30"/>
        <v>0</v>
      </c>
    </row>
    <row r="2183" spans="1:39" x14ac:dyDescent="0.35">
      <c r="A2183">
        <v>2179</v>
      </c>
      <c r="B2183">
        <v>2180</v>
      </c>
      <c r="F2183" s="63"/>
      <c r="G2183" s="63"/>
      <c r="H2183" t="s">
        <v>78</v>
      </c>
      <c r="I2183" s="64">
        <v>0</v>
      </c>
      <c r="J2183" s="31"/>
      <c r="K2183" s="31"/>
      <c r="L2183" s="31"/>
      <c r="M2183" s="31"/>
      <c r="N2183" s="4"/>
      <c r="AG2183" t="s">
        <v>1902</v>
      </c>
      <c r="AM2183" s="1">
        <f t="shared" si="30"/>
        <v>0</v>
      </c>
    </row>
    <row r="2184" spans="1:39" x14ac:dyDescent="0.35">
      <c r="A2184">
        <v>2180</v>
      </c>
      <c r="B2184">
        <v>2181</v>
      </c>
      <c r="F2184" s="63"/>
      <c r="G2184" s="63"/>
      <c r="H2184" t="s">
        <v>78</v>
      </c>
      <c r="I2184" s="64">
        <v>0</v>
      </c>
      <c r="J2184" s="31"/>
      <c r="K2184" s="31"/>
      <c r="L2184" s="31"/>
      <c r="M2184" s="31"/>
      <c r="N2184" s="4"/>
      <c r="AG2184" t="s">
        <v>1903</v>
      </c>
      <c r="AM2184" s="1">
        <f t="shared" si="30"/>
        <v>0</v>
      </c>
    </row>
    <row r="2185" spans="1:39" x14ac:dyDescent="0.35">
      <c r="A2185">
        <v>2181</v>
      </c>
      <c r="B2185">
        <v>2182</v>
      </c>
      <c r="F2185" s="63"/>
      <c r="G2185" s="63"/>
      <c r="H2185" t="s">
        <v>78</v>
      </c>
      <c r="I2185" s="64">
        <v>0</v>
      </c>
      <c r="J2185" s="31"/>
      <c r="K2185" s="31"/>
      <c r="L2185" s="31"/>
      <c r="M2185" s="31"/>
      <c r="N2185" s="4"/>
      <c r="AG2185" t="s">
        <v>1904</v>
      </c>
      <c r="AM2185" s="1">
        <f t="shared" si="30"/>
        <v>0</v>
      </c>
    </row>
    <row r="2186" spans="1:39" x14ac:dyDescent="0.35">
      <c r="A2186">
        <v>2182</v>
      </c>
      <c r="B2186">
        <v>2183</v>
      </c>
      <c r="F2186" s="63"/>
      <c r="G2186" s="63"/>
      <c r="H2186" t="s">
        <v>78</v>
      </c>
      <c r="I2186" s="64">
        <v>0</v>
      </c>
      <c r="J2186" s="31"/>
      <c r="K2186" s="31"/>
      <c r="L2186" s="31"/>
      <c r="M2186" s="31"/>
      <c r="N2186" s="4"/>
      <c r="AG2186" t="s">
        <v>1905</v>
      </c>
      <c r="AM2186" s="1">
        <f t="shared" si="30"/>
        <v>0</v>
      </c>
    </row>
    <row r="2187" spans="1:39" x14ac:dyDescent="0.35">
      <c r="A2187">
        <v>2183</v>
      </c>
      <c r="B2187">
        <v>2184</v>
      </c>
      <c r="F2187" s="63"/>
      <c r="G2187" s="63"/>
      <c r="H2187" t="s">
        <v>78</v>
      </c>
      <c r="I2187" s="64">
        <v>0</v>
      </c>
      <c r="J2187" s="31"/>
      <c r="K2187" s="31"/>
      <c r="L2187" s="31"/>
      <c r="M2187" s="31"/>
      <c r="N2187" s="4"/>
      <c r="AG2187" t="s">
        <v>1906</v>
      </c>
      <c r="AM2187" s="1">
        <f t="shared" ref="AM2187:AM2250" si="31">HYPERLINK("E:\CAFNEC_GBRF\2023\JohnstoneRiver\Frames_for_Analysis\" &amp; F2188, F2188)</f>
        <v>0</v>
      </c>
    </row>
    <row r="2188" spans="1:39" x14ac:dyDescent="0.35">
      <c r="A2188">
        <v>2184</v>
      </c>
      <c r="B2188">
        <v>2185</v>
      </c>
      <c r="F2188" s="63"/>
      <c r="G2188" s="63"/>
      <c r="H2188" t="s">
        <v>78</v>
      </c>
      <c r="I2188" s="64">
        <v>0</v>
      </c>
      <c r="J2188" s="31"/>
      <c r="K2188" s="31"/>
      <c r="L2188" s="31"/>
      <c r="M2188" s="31"/>
      <c r="N2188" s="4"/>
      <c r="AG2188" t="s">
        <v>1907</v>
      </c>
      <c r="AM2188" s="1">
        <f t="shared" si="31"/>
        <v>0</v>
      </c>
    </row>
    <row r="2189" spans="1:39" x14ac:dyDescent="0.35">
      <c r="A2189">
        <v>2185</v>
      </c>
      <c r="B2189">
        <v>2186</v>
      </c>
      <c r="F2189" s="63"/>
      <c r="G2189" s="63"/>
      <c r="H2189" t="s">
        <v>78</v>
      </c>
      <c r="I2189" s="64">
        <v>0</v>
      </c>
      <c r="J2189" s="31"/>
      <c r="K2189" s="31"/>
      <c r="L2189" s="31"/>
      <c r="M2189" s="31"/>
      <c r="N2189" s="4"/>
      <c r="AG2189" t="s">
        <v>1908</v>
      </c>
      <c r="AM2189" s="1">
        <f t="shared" si="31"/>
        <v>0</v>
      </c>
    </row>
    <row r="2190" spans="1:39" x14ac:dyDescent="0.35">
      <c r="A2190">
        <v>2186</v>
      </c>
      <c r="B2190">
        <v>2187</v>
      </c>
      <c r="F2190" s="63"/>
      <c r="G2190" s="63"/>
      <c r="H2190" t="s">
        <v>78</v>
      </c>
      <c r="I2190" s="64">
        <v>0</v>
      </c>
      <c r="J2190" s="31"/>
      <c r="K2190" s="31"/>
      <c r="L2190" s="31"/>
      <c r="M2190" s="31"/>
      <c r="N2190" s="4"/>
      <c r="AG2190" t="s">
        <v>1909</v>
      </c>
      <c r="AM2190" s="1">
        <f t="shared" si="31"/>
        <v>0</v>
      </c>
    </row>
    <row r="2191" spans="1:39" x14ac:dyDescent="0.35">
      <c r="A2191">
        <v>2187</v>
      </c>
      <c r="B2191">
        <v>2188</v>
      </c>
      <c r="F2191" s="63"/>
      <c r="G2191" s="63"/>
      <c r="H2191" t="s">
        <v>78</v>
      </c>
      <c r="I2191" s="64">
        <v>0</v>
      </c>
      <c r="J2191" s="31"/>
      <c r="K2191" s="31"/>
      <c r="L2191" s="31"/>
      <c r="M2191" s="31"/>
      <c r="N2191" s="4"/>
      <c r="AG2191" t="s">
        <v>1910</v>
      </c>
      <c r="AM2191" s="1">
        <f t="shared" si="31"/>
        <v>0</v>
      </c>
    </row>
    <row r="2192" spans="1:39" x14ac:dyDescent="0.35">
      <c r="A2192">
        <v>2188</v>
      </c>
      <c r="B2192">
        <v>2189</v>
      </c>
      <c r="F2192" s="63"/>
      <c r="G2192" s="63"/>
      <c r="H2192" t="s">
        <v>78</v>
      </c>
      <c r="I2192" s="64">
        <v>0</v>
      </c>
      <c r="J2192" s="31"/>
      <c r="K2192" s="31"/>
      <c r="L2192" s="31"/>
      <c r="M2192" s="31"/>
      <c r="N2192" s="4"/>
      <c r="AG2192" t="s">
        <v>1911</v>
      </c>
      <c r="AM2192" s="1">
        <f t="shared" si="31"/>
        <v>0</v>
      </c>
    </row>
    <row r="2193" spans="1:39" x14ac:dyDescent="0.35">
      <c r="A2193">
        <v>2189</v>
      </c>
      <c r="B2193">
        <v>2190</v>
      </c>
      <c r="F2193" s="63"/>
      <c r="G2193" s="63"/>
      <c r="H2193" t="s">
        <v>78</v>
      </c>
      <c r="I2193" s="64">
        <v>0</v>
      </c>
      <c r="J2193" s="31"/>
      <c r="K2193" s="31"/>
      <c r="L2193" s="31"/>
      <c r="M2193" s="31"/>
      <c r="N2193" s="4"/>
      <c r="AG2193" t="s">
        <v>1912</v>
      </c>
      <c r="AM2193" s="1">
        <f t="shared" si="31"/>
        <v>0</v>
      </c>
    </row>
    <row r="2194" spans="1:39" x14ac:dyDescent="0.35">
      <c r="A2194">
        <v>2190</v>
      </c>
      <c r="B2194">
        <v>2191</v>
      </c>
      <c r="F2194" s="63"/>
      <c r="G2194" s="63"/>
      <c r="H2194" t="s">
        <v>78</v>
      </c>
      <c r="I2194" s="64">
        <v>0</v>
      </c>
      <c r="J2194" s="31"/>
      <c r="K2194" s="31"/>
      <c r="L2194" s="31"/>
      <c r="M2194" s="31"/>
      <c r="N2194" s="4"/>
      <c r="AG2194" t="s">
        <v>1913</v>
      </c>
      <c r="AM2194" s="1">
        <f t="shared" si="31"/>
        <v>0</v>
      </c>
    </row>
    <row r="2195" spans="1:39" x14ac:dyDescent="0.35">
      <c r="A2195">
        <v>2191</v>
      </c>
      <c r="B2195">
        <v>2192</v>
      </c>
      <c r="F2195" s="63"/>
      <c r="G2195" s="63"/>
      <c r="H2195" t="s">
        <v>78</v>
      </c>
      <c r="I2195" s="64">
        <v>0</v>
      </c>
      <c r="J2195" s="31"/>
      <c r="K2195" s="31"/>
      <c r="L2195" s="31"/>
      <c r="M2195" s="31"/>
      <c r="N2195" s="4"/>
      <c r="AG2195" t="s">
        <v>1914</v>
      </c>
      <c r="AM2195" s="1">
        <f t="shared" si="31"/>
        <v>0</v>
      </c>
    </row>
    <row r="2196" spans="1:39" x14ac:dyDescent="0.35">
      <c r="A2196">
        <v>2192</v>
      </c>
      <c r="B2196">
        <v>2193</v>
      </c>
      <c r="F2196" s="63"/>
      <c r="G2196" s="63"/>
      <c r="H2196" t="s">
        <v>78</v>
      </c>
      <c r="I2196" s="64">
        <v>0</v>
      </c>
      <c r="J2196" s="31"/>
      <c r="K2196" s="31"/>
      <c r="L2196" s="31"/>
      <c r="M2196" s="31"/>
      <c r="N2196" s="4"/>
      <c r="AG2196" t="s">
        <v>1915</v>
      </c>
      <c r="AM2196" s="1">
        <f t="shared" si="31"/>
        <v>0</v>
      </c>
    </row>
    <row r="2197" spans="1:39" x14ac:dyDescent="0.35">
      <c r="A2197">
        <v>2193</v>
      </c>
      <c r="B2197">
        <v>2194</v>
      </c>
      <c r="F2197" s="63"/>
      <c r="G2197" s="63"/>
      <c r="H2197" t="s">
        <v>78</v>
      </c>
      <c r="I2197" s="64">
        <v>0</v>
      </c>
      <c r="J2197" s="31"/>
      <c r="K2197" s="31"/>
      <c r="L2197" s="31"/>
      <c r="M2197" s="31"/>
      <c r="N2197" s="4"/>
      <c r="AG2197" t="s">
        <v>1916</v>
      </c>
      <c r="AM2197" s="1">
        <f t="shared" si="31"/>
        <v>0</v>
      </c>
    </row>
    <row r="2198" spans="1:39" x14ac:dyDescent="0.35">
      <c r="A2198">
        <v>2194</v>
      </c>
      <c r="B2198">
        <v>2195</v>
      </c>
      <c r="F2198" s="63"/>
      <c r="G2198" s="63"/>
      <c r="H2198" t="s">
        <v>78</v>
      </c>
      <c r="I2198" s="64">
        <v>0</v>
      </c>
      <c r="J2198" s="31"/>
      <c r="K2198" s="31"/>
      <c r="L2198" s="31"/>
      <c r="M2198" s="31"/>
      <c r="N2198" s="4"/>
      <c r="AG2198" t="s">
        <v>1917</v>
      </c>
      <c r="AM2198" s="1">
        <f t="shared" si="31"/>
        <v>0</v>
      </c>
    </row>
    <row r="2199" spans="1:39" x14ac:dyDescent="0.35">
      <c r="A2199">
        <v>2195</v>
      </c>
      <c r="B2199">
        <v>2196</v>
      </c>
      <c r="F2199" s="63"/>
      <c r="G2199" s="63"/>
      <c r="H2199" t="s">
        <v>78</v>
      </c>
      <c r="I2199" s="64">
        <v>0</v>
      </c>
      <c r="J2199" s="31"/>
      <c r="K2199" s="31"/>
      <c r="L2199" s="31"/>
      <c r="M2199" s="31"/>
      <c r="N2199" s="4"/>
      <c r="AG2199" t="s">
        <v>1918</v>
      </c>
      <c r="AM2199" s="1">
        <f t="shared" si="31"/>
        <v>0</v>
      </c>
    </row>
    <row r="2200" spans="1:39" x14ac:dyDescent="0.35">
      <c r="A2200">
        <v>2196</v>
      </c>
      <c r="B2200">
        <v>2197</v>
      </c>
      <c r="F2200" s="63"/>
      <c r="G2200" s="63"/>
      <c r="H2200" t="s">
        <v>78</v>
      </c>
      <c r="I2200" s="64">
        <v>0</v>
      </c>
      <c r="J2200" s="31"/>
      <c r="K2200" s="31"/>
      <c r="L2200" s="31"/>
      <c r="M2200" s="31"/>
      <c r="N2200" s="4"/>
      <c r="AG2200" t="s">
        <v>1919</v>
      </c>
      <c r="AM2200" s="1">
        <f t="shared" si="31"/>
        <v>0</v>
      </c>
    </row>
    <row r="2201" spans="1:39" x14ac:dyDescent="0.35">
      <c r="A2201">
        <v>2197</v>
      </c>
      <c r="B2201">
        <v>2198</v>
      </c>
      <c r="F2201" s="63"/>
      <c r="G2201" s="63"/>
      <c r="H2201" t="s">
        <v>78</v>
      </c>
      <c r="I2201" s="64">
        <v>0</v>
      </c>
      <c r="J2201" s="31"/>
      <c r="K2201" s="31"/>
      <c r="L2201" s="31"/>
      <c r="M2201" s="31"/>
      <c r="N2201" s="4"/>
      <c r="AG2201" t="s">
        <v>1920</v>
      </c>
      <c r="AM2201" s="1">
        <f t="shared" si="31"/>
        <v>0</v>
      </c>
    </row>
    <row r="2202" spans="1:39" x14ac:dyDescent="0.35">
      <c r="A2202">
        <v>2198</v>
      </c>
      <c r="B2202">
        <v>2199</v>
      </c>
      <c r="F2202" s="63"/>
      <c r="G2202" s="63"/>
      <c r="H2202" t="s">
        <v>78</v>
      </c>
      <c r="I2202" s="64">
        <v>0</v>
      </c>
      <c r="J2202" s="31"/>
      <c r="K2202" s="31"/>
      <c r="L2202" s="31"/>
      <c r="M2202" s="31"/>
      <c r="N2202" s="4"/>
      <c r="AG2202" t="s">
        <v>1921</v>
      </c>
      <c r="AM2202" s="1">
        <f t="shared" si="31"/>
        <v>0</v>
      </c>
    </row>
    <row r="2203" spans="1:39" x14ac:dyDescent="0.35">
      <c r="A2203">
        <v>2199</v>
      </c>
      <c r="B2203">
        <v>2200</v>
      </c>
      <c r="F2203" s="63"/>
      <c r="G2203" s="63"/>
      <c r="H2203" t="s">
        <v>78</v>
      </c>
      <c r="I2203" s="64">
        <v>0</v>
      </c>
      <c r="J2203" s="31"/>
      <c r="K2203" s="31"/>
      <c r="L2203" s="31"/>
      <c r="M2203" s="31"/>
      <c r="N2203" s="4"/>
      <c r="AG2203" t="s">
        <v>1922</v>
      </c>
      <c r="AM2203" s="1">
        <f t="shared" si="31"/>
        <v>0</v>
      </c>
    </row>
    <row r="2204" spans="1:39" x14ac:dyDescent="0.35">
      <c r="A2204">
        <v>2200</v>
      </c>
      <c r="B2204">
        <v>2201</v>
      </c>
      <c r="F2204" s="63"/>
      <c r="G2204" s="63"/>
      <c r="H2204" t="s">
        <v>78</v>
      </c>
      <c r="I2204" s="64">
        <v>0</v>
      </c>
      <c r="J2204" s="31"/>
      <c r="K2204" s="31"/>
      <c r="L2204" s="31"/>
      <c r="M2204" s="31"/>
      <c r="N2204" s="4"/>
      <c r="AG2204" t="s">
        <v>1923</v>
      </c>
      <c r="AM2204" s="1">
        <f t="shared" si="31"/>
        <v>0</v>
      </c>
    </row>
    <row r="2205" spans="1:39" x14ac:dyDescent="0.35">
      <c r="A2205">
        <v>2201</v>
      </c>
      <c r="B2205">
        <v>2202</v>
      </c>
      <c r="F2205" s="63"/>
      <c r="G2205" s="63"/>
      <c r="H2205" t="s">
        <v>78</v>
      </c>
      <c r="I2205" s="64">
        <v>0</v>
      </c>
      <c r="J2205" s="31"/>
      <c r="K2205" s="31"/>
      <c r="L2205" s="31"/>
      <c r="M2205" s="31"/>
      <c r="N2205" s="4"/>
      <c r="AG2205" t="s">
        <v>1924</v>
      </c>
      <c r="AM2205" s="1">
        <f t="shared" si="31"/>
        <v>0</v>
      </c>
    </row>
    <row r="2206" spans="1:39" x14ac:dyDescent="0.35">
      <c r="A2206">
        <v>2202</v>
      </c>
      <c r="B2206">
        <v>2203</v>
      </c>
      <c r="F2206" s="63"/>
      <c r="G2206" s="63"/>
      <c r="H2206" t="s">
        <v>78</v>
      </c>
      <c r="I2206" s="64">
        <v>0</v>
      </c>
      <c r="J2206" s="31"/>
      <c r="K2206" s="31"/>
      <c r="L2206" s="31"/>
      <c r="M2206" s="31"/>
      <c r="N2206" s="4"/>
      <c r="AG2206" t="s">
        <v>1925</v>
      </c>
      <c r="AM2206" s="1">
        <f t="shared" si="31"/>
        <v>0</v>
      </c>
    </row>
    <row r="2207" spans="1:39" x14ac:dyDescent="0.35">
      <c r="A2207">
        <v>2203</v>
      </c>
      <c r="B2207">
        <v>2204</v>
      </c>
      <c r="F2207" s="63"/>
      <c r="G2207" s="63"/>
      <c r="H2207" t="s">
        <v>78</v>
      </c>
      <c r="I2207" s="64">
        <v>0</v>
      </c>
      <c r="J2207" s="31"/>
      <c r="K2207" s="31"/>
      <c r="L2207" s="31"/>
      <c r="M2207" s="31"/>
      <c r="N2207" s="4"/>
      <c r="AG2207" t="s">
        <v>1926</v>
      </c>
      <c r="AM2207" s="1">
        <f t="shared" si="31"/>
        <v>0</v>
      </c>
    </row>
    <row r="2208" spans="1:39" x14ac:dyDescent="0.35">
      <c r="A2208">
        <v>2204</v>
      </c>
      <c r="B2208">
        <v>2205</v>
      </c>
      <c r="F2208" s="63"/>
      <c r="G2208" s="63"/>
      <c r="H2208" t="s">
        <v>78</v>
      </c>
      <c r="I2208" s="64">
        <v>0</v>
      </c>
      <c r="J2208" s="31"/>
      <c r="K2208" s="31"/>
      <c r="L2208" s="31"/>
      <c r="M2208" s="31"/>
      <c r="N2208" s="4"/>
      <c r="AG2208" t="s">
        <v>1927</v>
      </c>
      <c r="AM2208" s="1">
        <f t="shared" si="31"/>
        <v>0</v>
      </c>
    </row>
    <row r="2209" spans="1:39" x14ac:dyDescent="0.35">
      <c r="A2209">
        <v>2205</v>
      </c>
      <c r="B2209">
        <v>2206</v>
      </c>
      <c r="F2209" s="63"/>
      <c r="G2209" s="63"/>
      <c r="H2209" t="s">
        <v>78</v>
      </c>
      <c r="I2209" s="64">
        <v>0</v>
      </c>
      <c r="J2209" s="31"/>
      <c r="K2209" s="31"/>
      <c r="L2209" s="31"/>
      <c r="M2209" s="31"/>
      <c r="N2209" s="4"/>
      <c r="AG2209" t="s">
        <v>1928</v>
      </c>
      <c r="AM2209" s="1">
        <f t="shared" si="31"/>
        <v>0</v>
      </c>
    </row>
    <row r="2210" spans="1:39" x14ac:dyDescent="0.35">
      <c r="A2210">
        <v>2206</v>
      </c>
      <c r="B2210">
        <v>2207</v>
      </c>
      <c r="F2210" s="63"/>
      <c r="G2210" s="63"/>
      <c r="H2210" t="s">
        <v>78</v>
      </c>
      <c r="I2210" s="64">
        <v>0</v>
      </c>
      <c r="J2210" s="31"/>
      <c r="K2210" s="31"/>
      <c r="L2210" s="31"/>
      <c r="M2210" s="31"/>
      <c r="N2210" s="4"/>
      <c r="AG2210" t="s">
        <v>1929</v>
      </c>
      <c r="AM2210" s="1">
        <f t="shared" si="31"/>
        <v>0</v>
      </c>
    </row>
    <row r="2211" spans="1:39" x14ac:dyDescent="0.35">
      <c r="A2211">
        <v>2207</v>
      </c>
      <c r="B2211">
        <v>2208</v>
      </c>
      <c r="F2211" s="63"/>
      <c r="G2211" s="63"/>
      <c r="H2211" t="s">
        <v>78</v>
      </c>
      <c r="I2211" s="64">
        <v>0</v>
      </c>
      <c r="J2211" s="31"/>
      <c r="K2211" s="31"/>
      <c r="L2211" s="31"/>
      <c r="M2211" s="31"/>
      <c r="N2211" s="4"/>
      <c r="AG2211" t="s">
        <v>1930</v>
      </c>
      <c r="AM2211" s="1">
        <f t="shared" si="31"/>
        <v>0</v>
      </c>
    </row>
    <row r="2212" spans="1:39" x14ac:dyDescent="0.35">
      <c r="A2212">
        <v>2208</v>
      </c>
      <c r="B2212">
        <v>2209</v>
      </c>
      <c r="F2212" s="63"/>
      <c r="G2212" s="63"/>
      <c r="H2212" t="s">
        <v>78</v>
      </c>
      <c r="I2212" s="64">
        <v>0</v>
      </c>
      <c r="J2212" s="31"/>
      <c r="K2212" s="31"/>
      <c r="L2212" s="31"/>
      <c r="M2212" s="31"/>
      <c r="N2212" s="4"/>
      <c r="AG2212" t="s">
        <v>1931</v>
      </c>
      <c r="AM2212" s="1">
        <f t="shared" si="31"/>
        <v>0</v>
      </c>
    </row>
    <row r="2213" spans="1:39" x14ac:dyDescent="0.35">
      <c r="A2213">
        <v>2209</v>
      </c>
      <c r="B2213">
        <v>2210</v>
      </c>
      <c r="F2213" s="63"/>
      <c r="G2213" s="63"/>
      <c r="H2213" t="s">
        <v>78</v>
      </c>
      <c r="I2213" s="64">
        <v>0</v>
      </c>
      <c r="J2213" s="31"/>
      <c r="K2213" s="31"/>
      <c r="L2213" s="31"/>
      <c r="M2213" s="31"/>
      <c r="N2213" s="4"/>
      <c r="AG2213" t="s">
        <v>1932</v>
      </c>
      <c r="AM2213" s="1">
        <f t="shared" si="31"/>
        <v>0</v>
      </c>
    </row>
    <row r="2214" spans="1:39" x14ac:dyDescent="0.35">
      <c r="A2214">
        <v>2210</v>
      </c>
      <c r="B2214">
        <v>2211</v>
      </c>
      <c r="F2214" s="63"/>
      <c r="G2214" s="63"/>
      <c r="H2214" t="s">
        <v>78</v>
      </c>
      <c r="I2214" s="64">
        <v>0</v>
      </c>
      <c r="J2214" s="31"/>
      <c r="K2214" s="31"/>
      <c r="L2214" s="31"/>
      <c r="M2214" s="31"/>
      <c r="N2214" s="4"/>
      <c r="AG2214" t="s">
        <v>1933</v>
      </c>
      <c r="AM2214" s="1">
        <f t="shared" si="31"/>
        <v>0</v>
      </c>
    </row>
    <row r="2215" spans="1:39" x14ac:dyDescent="0.35">
      <c r="A2215">
        <v>2211</v>
      </c>
      <c r="B2215">
        <v>2212</v>
      </c>
      <c r="F2215" s="63"/>
      <c r="G2215" s="63"/>
      <c r="H2215" t="s">
        <v>78</v>
      </c>
      <c r="I2215" s="64">
        <v>0</v>
      </c>
      <c r="J2215" s="31"/>
      <c r="K2215" s="31"/>
      <c r="L2215" s="31"/>
      <c r="M2215" s="31"/>
      <c r="N2215" s="4"/>
      <c r="AG2215" t="s">
        <v>1934</v>
      </c>
      <c r="AM2215" s="1">
        <f t="shared" si="31"/>
        <v>0</v>
      </c>
    </row>
    <row r="2216" spans="1:39" x14ac:dyDescent="0.35">
      <c r="A2216">
        <v>2212</v>
      </c>
      <c r="B2216">
        <v>2213</v>
      </c>
      <c r="F2216" s="63"/>
      <c r="G2216" s="63"/>
      <c r="H2216" t="s">
        <v>78</v>
      </c>
      <c r="I2216" s="64">
        <v>0</v>
      </c>
      <c r="J2216" s="31"/>
      <c r="K2216" s="31"/>
      <c r="L2216" s="31"/>
      <c r="M2216" s="31"/>
      <c r="N2216" s="4"/>
      <c r="AG2216" t="s">
        <v>1935</v>
      </c>
      <c r="AM2216" s="1">
        <f t="shared" si="31"/>
        <v>0</v>
      </c>
    </row>
    <row r="2217" spans="1:39" x14ac:dyDescent="0.35">
      <c r="A2217">
        <v>2213</v>
      </c>
      <c r="B2217">
        <v>2214</v>
      </c>
      <c r="F2217" s="63"/>
      <c r="G2217" s="63"/>
      <c r="H2217" t="s">
        <v>78</v>
      </c>
      <c r="I2217" s="64">
        <v>0</v>
      </c>
      <c r="J2217" s="31"/>
      <c r="K2217" s="31"/>
      <c r="L2217" s="31"/>
      <c r="M2217" s="31"/>
      <c r="N2217" s="4"/>
      <c r="AG2217" t="s">
        <v>1936</v>
      </c>
      <c r="AM2217" s="1">
        <f t="shared" si="31"/>
        <v>0</v>
      </c>
    </row>
    <row r="2218" spans="1:39" x14ac:dyDescent="0.35">
      <c r="A2218">
        <v>2214</v>
      </c>
      <c r="B2218">
        <v>2215</v>
      </c>
      <c r="F2218" s="63"/>
      <c r="G2218" s="63"/>
      <c r="H2218" t="s">
        <v>78</v>
      </c>
      <c r="I2218" s="64">
        <v>0</v>
      </c>
      <c r="J2218" s="31"/>
      <c r="K2218" s="31"/>
      <c r="L2218" s="31"/>
      <c r="M2218" s="31"/>
      <c r="N2218" s="4"/>
      <c r="AG2218" t="s">
        <v>1937</v>
      </c>
      <c r="AM2218" s="1">
        <f t="shared" si="31"/>
        <v>0</v>
      </c>
    </row>
    <row r="2219" spans="1:39" x14ac:dyDescent="0.35">
      <c r="A2219">
        <v>2215</v>
      </c>
      <c r="B2219">
        <v>2216</v>
      </c>
      <c r="F2219" s="63"/>
      <c r="G2219" s="63"/>
      <c r="H2219" t="s">
        <v>78</v>
      </c>
      <c r="I2219" s="64">
        <v>0</v>
      </c>
      <c r="J2219" s="31"/>
      <c r="K2219" s="31"/>
      <c r="L2219" s="31"/>
      <c r="M2219" s="31"/>
      <c r="N2219" s="4"/>
      <c r="AG2219" t="s">
        <v>1938</v>
      </c>
      <c r="AM2219" s="1">
        <f t="shared" si="31"/>
        <v>0</v>
      </c>
    </row>
    <row r="2220" spans="1:39" x14ac:dyDescent="0.35">
      <c r="A2220">
        <v>2216</v>
      </c>
      <c r="B2220">
        <v>2217</v>
      </c>
      <c r="F2220" s="63"/>
      <c r="G2220" s="63"/>
      <c r="H2220" t="s">
        <v>78</v>
      </c>
      <c r="I2220" s="64">
        <v>0</v>
      </c>
      <c r="J2220" s="31"/>
      <c r="K2220" s="31"/>
      <c r="L2220" s="31"/>
      <c r="M2220" s="31"/>
      <c r="N2220" s="4"/>
      <c r="AG2220" t="s">
        <v>1939</v>
      </c>
      <c r="AM2220" s="1">
        <f t="shared" si="31"/>
        <v>0</v>
      </c>
    </row>
    <row r="2221" spans="1:39" x14ac:dyDescent="0.35">
      <c r="A2221">
        <v>2217</v>
      </c>
      <c r="B2221">
        <v>2218</v>
      </c>
      <c r="F2221" s="63"/>
      <c r="G2221" s="63"/>
      <c r="H2221" t="s">
        <v>78</v>
      </c>
      <c r="I2221" s="64">
        <v>0</v>
      </c>
      <c r="J2221" s="31"/>
      <c r="K2221" s="31"/>
      <c r="L2221" s="31"/>
      <c r="M2221" s="31"/>
      <c r="N2221" s="4"/>
      <c r="AG2221" t="s">
        <v>1940</v>
      </c>
      <c r="AM2221" s="1">
        <f t="shared" si="31"/>
        <v>0</v>
      </c>
    </row>
    <row r="2222" spans="1:39" x14ac:dyDescent="0.35">
      <c r="A2222">
        <v>2218</v>
      </c>
      <c r="B2222">
        <v>2219</v>
      </c>
      <c r="F2222" s="63"/>
      <c r="G2222" s="63"/>
      <c r="H2222" t="s">
        <v>78</v>
      </c>
      <c r="I2222" s="64">
        <v>0</v>
      </c>
      <c r="J2222" s="31"/>
      <c r="K2222" s="31"/>
      <c r="L2222" s="31"/>
      <c r="M2222" s="31"/>
      <c r="N2222" s="4"/>
      <c r="AG2222" t="s">
        <v>1941</v>
      </c>
      <c r="AM2222" s="1">
        <f t="shared" si="31"/>
        <v>0</v>
      </c>
    </row>
    <row r="2223" spans="1:39" x14ac:dyDescent="0.35">
      <c r="A2223">
        <v>2219</v>
      </c>
      <c r="B2223">
        <v>2220</v>
      </c>
      <c r="F2223" s="63"/>
      <c r="G2223" s="63"/>
      <c r="H2223" t="s">
        <v>78</v>
      </c>
      <c r="I2223" s="64">
        <v>0</v>
      </c>
      <c r="J2223" s="31"/>
      <c r="K2223" s="31"/>
      <c r="L2223" s="31"/>
      <c r="M2223" s="31"/>
      <c r="N2223" s="4"/>
      <c r="AG2223" t="s">
        <v>1942</v>
      </c>
      <c r="AM2223" s="1">
        <f t="shared" si="31"/>
        <v>0</v>
      </c>
    </row>
    <row r="2224" spans="1:39" x14ac:dyDescent="0.35">
      <c r="A2224">
        <v>2220</v>
      </c>
      <c r="B2224">
        <v>2221</v>
      </c>
      <c r="F2224" s="63"/>
      <c r="G2224" s="63"/>
      <c r="H2224" t="s">
        <v>78</v>
      </c>
      <c r="I2224" s="64">
        <v>0</v>
      </c>
      <c r="J2224" s="31"/>
      <c r="K2224" s="31"/>
      <c r="L2224" s="31"/>
      <c r="M2224" s="31"/>
      <c r="N2224" s="4"/>
      <c r="AG2224" t="s">
        <v>1943</v>
      </c>
      <c r="AM2224" s="1">
        <f t="shared" si="31"/>
        <v>0</v>
      </c>
    </row>
    <row r="2225" spans="1:39" x14ac:dyDescent="0.35">
      <c r="A2225">
        <v>2221</v>
      </c>
      <c r="B2225">
        <v>2222</v>
      </c>
      <c r="F2225" s="63"/>
      <c r="G2225" s="63"/>
      <c r="H2225" t="s">
        <v>78</v>
      </c>
      <c r="I2225" s="64">
        <v>0</v>
      </c>
      <c r="J2225" s="31"/>
      <c r="K2225" s="31"/>
      <c r="L2225" s="31"/>
      <c r="M2225" s="31"/>
      <c r="N2225" s="4"/>
      <c r="AG2225" t="s">
        <v>1944</v>
      </c>
      <c r="AM2225" s="1">
        <f t="shared" si="31"/>
        <v>0</v>
      </c>
    </row>
    <row r="2226" spans="1:39" x14ac:dyDescent="0.35">
      <c r="A2226">
        <v>2222</v>
      </c>
      <c r="B2226">
        <v>2223</v>
      </c>
      <c r="F2226" s="63"/>
      <c r="G2226" s="63"/>
      <c r="H2226" t="s">
        <v>78</v>
      </c>
      <c r="I2226" s="64">
        <v>0</v>
      </c>
      <c r="J2226" s="31"/>
      <c r="K2226" s="31"/>
      <c r="L2226" s="31"/>
      <c r="M2226" s="31"/>
      <c r="N2226" s="4"/>
      <c r="AG2226" t="s">
        <v>1945</v>
      </c>
      <c r="AM2226" s="1">
        <f t="shared" si="31"/>
        <v>0</v>
      </c>
    </row>
    <row r="2227" spans="1:39" x14ac:dyDescent="0.35">
      <c r="A2227">
        <v>2223</v>
      </c>
      <c r="B2227">
        <v>2224</v>
      </c>
      <c r="F2227" s="63"/>
      <c r="G2227" s="63"/>
      <c r="H2227" t="s">
        <v>78</v>
      </c>
      <c r="I2227" s="64">
        <v>0</v>
      </c>
      <c r="J2227" s="31"/>
      <c r="K2227" s="31"/>
      <c r="L2227" s="31"/>
      <c r="M2227" s="31"/>
      <c r="N2227" s="4"/>
      <c r="AG2227" t="s">
        <v>1946</v>
      </c>
      <c r="AM2227" s="1">
        <f t="shared" si="31"/>
        <v>0</v>
      </c>
    </row>
    <row r="2228" spans="1:39" x14ac:dyDescent="0.35">
      <c r="A2228">
        <v>2224</v>
      </c>
      <c r="B2228">
        <v>2225</v>
      </c>
      <c r="F2228" s="63"/>
      <c r="G2228" s="63"/>
      <c r="H2228" t="s">
        <v>78</v>
      </c>
      <c r="I2228" s="64">
        <v>0</v>
      </c>
      <c r="J2228" s="31"/>
      <c r="K2228" s="31"/>
      <c r="L2228" s="31"/>
      <c r="M2228" s="31"/>
      <c r="N2228" s="4"/>
      <c r="AG2228" t="s">
        <v>1947</v>
      </c>
      <c r="AM2228" s="1">
        <f t="shared" si="31"/>
        <v>0</v>
      </c>
    </row>
    <row r="2229" spans="1:39" x14ac:dyDescent="0.35">
      <c r="A2229">
        <v>2225</v>
      </c>
      <c r="B2229">
        <v>2226</v>
      </c>
      <c r="F2229" s="63"/>
      <c r="G2229" s="63"/>
      <c r="H2229" t="s">
        <v>78</v>
      </c>
      <c r="I2229" s="64">
        <v>0</v>
      </c>
      <c r="J2229" s="31"/>
      <c r="K2229" s="31"/>
      <c r="L2229" s="31"/>
      <c r="M2229" s="31"/>
      <c r="N2229" s="4"/>
      <c r="AG2229" t="s">
        <v>1948</v>
      </c>
      <c r="AM2229" s="1">
        <f t="shared" si="31"/>
        <v>0</v>
      </c>
    </row>
    <row r="2230" spans="1:39" x14ac:dyDescent="0.35">
      <c r="A2230">
        <v>2226</v>
      </c>
      <c r="B2230">
        <v>2227</v>
      </c>
      <c r="F2230" s="63"/>
      <c r="G2230" s="63"/>
      <c r="H2230" t="s">
        <v>78</v>
      </c>
      <c r="I2230" s="64">
        <v>0</v>
      </c>
      <c r="J2230" s="31"/>
      <c r="K2230" s="31"/>
      <c r="L2230" s="31"/>
      <c r="M2230" s="31"/>
      <c r="N2230" s="4"/>
      <c r="AG2230" t="s">
        <v>1949</v>
      </c>
      <c r="AM2230" s="1">
        <f t="shared" si="31"/>
        <v>0</v>
      </c>
    </row>
    <row r="2231" spans="1:39" x14ac:dyDescent="0.35">
      <c r="A2231">
        <v>2227</v>
      </c>
      <c r="B2231">
        <v>2228</v>
      </c>
      <c r="F2231" s="63"/>
      <c r="G2231" s="63"/>
      <c r="H2231" t="s">
        <v>78</v>
      </c>
      <c r="I2231" s="64">
        <v>0</v>
      </c>
      <c r="J2231" s="31"/>
      <c r="K2231" s="31"/>
      <c r="L2231" s="31"/>
      <c r="M2231" s="31"/>
      <c r="N2231" s="4"/>
      <c r="AG2231" t="s">
        <v>1950</v>
      </c>
      <c r="AM2231" s="1">
        <f t="shared" si="31"/>
        <v>0</v>
      </c>
    </row>
    <row r="2232" spans="1:39" x14ac:dyDescent="0.35">
      <c r="A2232">
        <v>2228</v>
      </c>
      <c r="B2232">
        <v>2229</v>
      </c>
      <c r="F2232" s="63"/>
      <c r="G2232" s="63"/>
      <c r="H2232" t="s">
        <v>78</v>
      </c>
      <c r="I2232" s="64">
        <v>0</v>
      </c>
      <c r="J2232" s="31"/>
      <c r="K2232" s="31"/>
      <c r="L2232" s="31"/>
      <c r="M2232" s="31"/>
      <c r="N2232" s="4"/>
      <c r="AG2232" t="s">
        <v>1951</v>
      </c>
      <c r="AM2232" s="1">
        <f t="shared" si="31"/>
        <v>0</v>
      </c>
    </row>
    <row r="2233" spans="1:39" x14ac:dyDescent="0.35">
      <c r="A2233">
        <v>2229</v>
      </c>
      <c r="B2233">
        <v>2230</v>
      </c>
      <c r="F2233" s="63"/>
      <c r="G2233" s="63"/>
      <c r="H2233" t="s">
        <v>78</v>
      </c>
      <c r="I2233" s="64">
        <v>0</v>
      </c>
      <c r="J2233" s="31"/>
      <c r="K2233" s="31"/>
      <c r="L2233" s="31"/>
      <c r="M2233" s="31"/>
      <c r="N2233" s="4"/>
      <c r="AG2233" t="s">
        <v>1952</v>
      </c>
      <c r="AM2233" s="1">
        <f t="shared" si="31"/>
        <v>0</v>
      </c>
    </row>
    <row r="2234" spans="1:39" x14ac:dyDescent="0.35">
      <c r="A2234">
        <v>2230</v>
      </c>
      <c r="B2234">
        <v>2231</v>
      </c>
      <c r="F2234" s="63"/>
      <c r="G2234" s="63"/>
      <c r="H2234" t="s">
        <v>78</v>
      </c>
      <c r="I2234" s="64">
        <v>0</v>
      </c>
      <c r="J2234" s="31"/>
      <c r="K2234" s="31"/>
      <c r="L2234" s="31"/>
      <c r="M2234" s="31"/>
      <c r="N2234" s="4"/>
      <c r="AG2234" t="s">
        <v>1953</v>
      </c>
      <c r="AM2234" s="1">
        <f t="shared" si="31"/>
        <v>0</v>
      </c>
    </row>
    <row r="2235" spans="1:39" x14ac:dyDescent="0.35">
      <c r="A2235">
        <v>2231</v>
      </c>
      <c r="B2235">
        <v>2232</v>
      </c>
      <c r="F2235" s="63"/>
      <c r="G2235" s="63"/>
      <c r="H2235" t="s">
        <v>78</v>
      </c>
      <c r="I2235" s="64">
        <v>0</v>
      </c>
      <c r="J2235" s="31"/>
      <c r="K2235" s="31"/>
      <c r="L2235" s="31"/>
      <c r="M2235" s="31"/>
      <c r="N2235" s="4"/>
      <c r="AG2235" t="s">
        <v>1954</v>
      </c>
      <c r="AM2235" s="1">
        <f t="shared" si="31"/>
        <v>0</v>
      </c>
    </row>
    <row r="2236" spans="1:39" x14ac:dyDescent="0.35">
      <c r="A2236">
        <v>2232</v>
      </c>
      <c r="B2236">
        <v>2233</v>
      </c>
      <c r="F2236" s="63"/>
      <c r="G2236" s="63"/>
      <c r="H2236" t="s">
        <v>78</v>
      </c>
      <c r="I2236" s="64">
        <v>0</v>
      </c>
      <c r="J2236" s="31"/>
      <c r="K2236" s="31"/>
      <c r="L2236" s="31"/>
      <c r="M2236" s="31"/>
      <c r="N2236" s="4"/>
      <c r="AG2236" t="s">
        <v>1955</v>
      </c>
      <c r="AM2236" s="1">
        <f t="shared" si="31"/>
        <v>0</v>
      </c>
    </row>
    <row r="2237" spans="1:39" x14ac:dyDescent="0.35">
      <c r="A2237">
        <v>2233</v>
      </c>
      <c r="B2237">
        <v>2234</v>
      </c>
      <c r="F2237" s="63"/>
      <c r="G2237" s="63"/>
      <c r="H2237" t="s">
        <v>78</v>
      </c>
      <c r="I2237" s="64">
        <v>0</v>
      </c>
      <c r="J2237" s="31"/>
      <c r="K2237" s="31"/>
      <c r="L2237" s="31"/>
      <c r="M2237" s="31"/>
      <c r="N2237" s="4"/>
      <c r="AG2237" t="s">
        <v>1956</v>
      </c>
      <c r="AM2237" s="1">
        <f t="shared" si="31"/>
        <v>0</v>
      </c>
    </row>
    <row r="2238" spans="1:39" x14ac:dyDescent="0.35">
      <c r="A2238">
        <v>2234</v>
      </c>
      <c r="B2238">
        <v>2235</v>
      </c>
      <c r="F2238" s="63"/>
      <c r="G2238" s="63"/>
      <c r="H2238" t="s">
        <v>78</v>
      </c>
      <c r="I2238" s="64">
        <v>0</v>
      </c>
      <c r="J2238" s="31"/>
      <c r="K2238" s="31"/>
      <c r="L2238" s="31"/>
      <c r="M2238" s="31"/>
      <c r="N2238" s="4"/>
      <c r="AG2238" t="s">
        <v>1957</v>
      </c>
      <c r="AM2238" s="1">
        <f t="shared" si="31"/>
        <v>0</v>
      </c>
    </row>
    <row r="2239" spans="1:39" x14ac:dyDescent="0.35">
      <c r="A2239">
        <v>2235</v>
      </c>
      <c r="B2239">
        <v>2236</v>
      </c>
      <c r="F2239" s="63"/>
      <c r="G2239" s="63"/>
      <c r="H2239" t="s">
        <v>78</v>
      </c>
      <c r="I2239" s="64">
        <v>0</v>
      </c>
      <c r="J2239" s="31"/>
      <c r="K2239" s="31"/>
      <c r="L2239" s="31"/>
      <c r="M2239" s="31"/>
      <c r="N2239" s="4"/>
      <c r="AG2239" t="s">
        <v>1958</v>
      </c>
      <c r="AM2239" s="1">
        <f t="shared" si="31"/>
        <v>0</v>
      </c>
    </row>
    <row r="2240" spans="1:39" x14ac:dyDescent="0.35">
      <c r="A2240">
        <v>2236</v>
      </c>
      <c r="B2240">
        <v>2237</v>
      </c>
      <c r="F2240" s="63"/>
      <c r="G2240" s="63"/>
      <c r="H2240" t="s">
        <v>78</v>
      </c>
      <c r="I2240" s="64">
        <v>0</v>
      </c>
      <c r="J2240" s="31"/>
      <c r="K2240" s="31"/>
      <c r="L2240" s="31"/>
      <c r="M2240" s="31"/>
      <c r="N2240" s="4"/>
      <c r="AG2240" t="s">
        <v>1959</v>
      </c>
      <c r="AM2240" s="1">
        <f t="shared" si="31"/>
        <v>0</v>
      </c>
    </row>
    <row r="2241" spans="1:39" x14ac:dyDescent="0.35">
      <c r="A2241">
        <v>2237</v>
      </c>
      <c r="B2241">
        <v>2238</v>
      </c>
      <c r="F2241" s="63"/>
      <c r="G2241" s="63"/>
      <c r="H2241" t="s">
        <v>78</v>
      </c>
      <c r="I2241" s="64">
        <v>0</v>
      </c>
      <c r="J2241" s="31"/>
      <c r="K2241" s="31"/>
      <c r="L2241" s="31"/>
      <c r="M2241" s="31"/>
      <c r="N2241" s="4"/>
      <c r="AG2241" t="s">
        <v>1960</v>
      </c>
      <c r="AM2241" s="1">
        <f t="shared" si="31"/>
        <v>0</v>
      </c>
    </row>
    <row r="2242" spans="1:39" x14ac:dyDescent="0.35">
      <c r="A2242">
        <v>2238</v>
      </c>
      <c r="B2242">
        <v>2239</v>
      </c>
      <c r="F2242" s="63"/>
      <c r="G2242" s="63"/>
      <c r="H2242" t="s">
        <v>78</v>
      </c>
      <c r="I2242" s="64">
        <v>0</v>
      </c>
      <c r="J2242" s="31"/>
      <c r="K2242" s="31"/>
      <c r="L2242" s="31"/>
      <c r="M2242" s="31"/>
      <c r="N2242" s="4"/>
      <c r="AG2242" t="s">
        <v>1961</v>
      </c>
      <c r="AM2242" s="1">
        <f t="shared" si="31"/>
        <v>0</v>
      </c>
    </row>
    <row r="2243" spans="1:39" x14ac:dyDescent="0.35">
      <c r="A2243">
        <v>2239</v>
      </c>
      <c r="B2243">
        <v>2240</v>
      </c>
      <c r="F2243" s="63"/>
      <c r="G2243" s="63"/>
      <c r="H2243" t="s">
        <v>78</v>
      </c>
      <c r="I2243" s="64">
        <v>0</v>
      </c>
      <c r="J2243" s="31"/>
      <c r="K2243" s="31"/>
      <c r="L2243" s="31"/>
      <c r="M2243" s="31"/>
      <c r="N2243" s="4"/>
      <c r="AG2243" t="s">
        <v>1962</v>
      </c>
      <c r="AM2243" s="1">
        <f t="shared" si="31"/>
        <v>0</v>
      </c>
    </row>
    <row r="2244" spans="1:39" x14ac:dyDescent="0.35">
      <c r="A2244">
        <v>2240</v>
      </c>
      <c r="B2244">
        <v>2241</v>
      </c>
      <c r="F2244" s="63"/>
      <c r="G2244" s="63"/>
      <c r="H2244" t="s">
        <v>78</v>
      </c>
      <c r="I2244" s="64">
        <v>0</v>
      </c>
      <c r="J2244" s="31"/>
      <c r="K2244" s="31"/>
      <c r="L2244" s="31"/>
      <c r="M2244" s="31"/>
      <c r="N2244" s="4"/>
      <c r="AG2244" t="s">
        <v>1963</v>
      </c>
      <c r="AM2244" s="1">
        <f t="shared" si="31"/>
        <v>0</v>
      </c>
    </row>
    <row r="2245" spans="1:39" x14ac:dyDescent="0.35">
      <c r="A2245">
        <v>2241</v>
      </c>
      <c r="B2245">
        <v>2242</v>
      </c>
      <c r="F2245" s="63"/>
      <c r="G2245" s="63"/>
      <c r="H2245" t="s">
        <v>78</v>
      </c>
      <c r="I2245" s="64">
        <v>0</v>
      </c>
      <c r="J2245" s="31"/>
      <c r="K2245" s="31"/>
      <c r="L2245" s="31"/>
      <c r="M2245" s="31"/>
      <c r="N2245" s="4"/>
      <c r="AG2245" t="s">
        <v>1964</v>
      </c>
      <c r="AM2245" s="1">
        <f t="shared" si="31"/>
        <v>0</v>
      </c>
    </row>
    <row r="2246" spans="1:39" x14ac:dyDescent="0.35">
      <c r="A2246">
        <v>2242</v>
      </c>
      <c r="B2246">
        <v>2243</v>
      </c>
      <c r="F2246" s="63"/>
      <c r="G2246" s="63"/>
      <c r="H2246" t="s">
        <v>78</v>
      </c>
      <c r="I2246" s="64">
        <v>0</v>
      </c>
      <c r="J2246" s="31"/>
      <c r="K2246" s="31"/>
      <c r="L2246" s="31"/>
      <c r="M2246" s="31"/>
      <c r="N2246" s="4"/>
      <c r="AG2246" t="s">
        <v>1965</v>
      </c>
      <c r="AM2246" s="1">
        <f t="shared" si="31"/>
        <v>0</v>
      </c>
    </row>
    <row r="2247" spans="1:39" x14ac:dyDescent="0.35">
      <c r="A2247">
        <v>2243</v>
      </c>
      <c r="B2247">
        <v>2244</v>
      </c>
      <c r="F2247" s="63"/>
      <c r="G2247" s="63"/>
      <c r="H2247" t="s">
        <v>78</v>
      </c>
      <c r="I2247" s="64">
        <v>0</v>
      </c>
      <c r="J2247" s="31"/>
      <c r="K2247" s="31"/>
      <c r="L2247" s="31"/>
      <c r="M2247" s="31"/>
      <c r="N2247" s="4"/>
      <c r="AG2247" t="s">
        <v>1966</v>
      </c>
      <c r="AM2247" s="1">
        <f t="shared" si="31"/>
        <v>0</v>
      </c>
    </row>
    <row r="2248" spans="1:39" x14ac:dyDescent="0.35">
      <c r="A2248">
        <v>2244</v>
      </c>
      <c r="B2248">
        <v>2245</v>
      </c>
      <c r="F2248" s="63"/>
      <c r="G2248" s="63"/>
      <c r="H2248" t="s">
        <v>78</v>
      </c>
      <c r="I2248" s="64">
        <v>0</v>
      </c>
      <c r="J2248" s="31"/>
      <c r="K2248" s="31"/>
      <c r="L2248" s="31"/>
      <c r="M2248" s="31"/>
      <c r="N2248" s="4"/>
      <c r="AG2248" t="s">
        <v>1967</v>
      </c>
      <c r="AM2248" s="1">
        <f t="shared" si="31"/>
        <v>0</v>
      </c>
    </row>
    <row r="2249" spans="1:39" x14ac:dyDescent="0.35">
      <c r="A2249">
        <v>2245</v>
      </c>
      <c r="B2249">
        <v>2246</v>
      </c>
      <c r="F2249" s="63"/>
      <c r="G2249" s="63"/>
      <c r="H2249" t="s">
        <v>78</v>
      </c>
      <c r="I2249" s="64">
        <v>0</v>
      </c>
      <c r="J2249" s="31"/>
      <c r="K2249" s="31"/>
      <c r="L2249" s="31"/>
      <c r="M2249" s="31"/>
      <c r="N2249" s="4"/>
      <c r="AG2249" t="s">
        <v>1968</v>
      </c>
      <c r="AM2249" s="1">
        <f t="shared" si="31"/>
        <v>0</v>
      </c>
    </row>
    <row r="2250" spans="1:39" x14ac:dyDescent="0.35">
      <c r="A2250">
        <v>2246</v>
      </c>
      <c r="B2250">
        <v>2247</v>
      </c>
      <c r="F2250" s="63"/>
      <c r="G2250" s="63"/>
      <c r="H2250" t="s">
        <v>78</v>
      </c>
      <c r="I2250" s="64">
        <v>0</v>
      </c>
      <c r="J2250" s="31"/>
      <c r="K2250" s="31"/>
      <c r="L2250" s="31"/>
      <c r="M2250" s="31"/>
      <c r="N2250" s="4"/>
      <c r="AG2250" t="s">
        <v>1969</v>
      </c>
      <c r="AM2250" s="1">
        <f t="shared" si="31"/>
        <v>0</v>
      </c>
    </row>
    <row r="2251" spans="1:39" x14ac:dyDescent="0.35">
      <c r="A2251">
        <v>2247</v>
      </c>
      <c r="B2251">
        <v>2248</v>
      </c>
      <c r="F2251" s="63"/>
      <c r="G2251" s="63"/>
      <c r="H2251" t="s">
        <v>78</v>
      </c>
      <c r="I2251" s="64">
        <v>0</v>
      </c>
      <c r="J2251" s="31"/>
      <c r="K2251" s="31"/>
      <c r="L2251" s="31"/>
      <c r="M2251" s="31"/>
      <c r="N2251" s="4"/>
      <c r="AG2251" t="s">
        <v>1970</v>
      </c>
      <c r="AM2251" s="1">
        <f t="shared" ref="AM2251:AM2314" si="32">HYPERLINK("E:\CAFNEC_GBRF\2023\JohnstoneRiver\Frames_for_Analysis\" &amp; F2252, F2252)</f>
        <v>0</v>
      </c>
    </row>
    <row r="2252" spans="1:39" x14ac:dyDescent="0.35">
      <c r="A2252">
        <v>2248</v>
      </c>
      <c r="B2252">
        <v>2249</v>
      </c>
      <c r="F2252" s="63"/>
      <c r="G2252" s="63"/>
      <c r="H2252" t="s">
        <v>78</v>
      </c>
      <c r="I2252" s="64">
        <v>0</v>
      </c>
      <c r="J2252" s="31"/>
      <c r="K2252" s="31"/>
      <c r="L2252" s="31"/>
      <c r="M2252" s="31"/>
      <c r="N2252" s="4"/>
      <c r="AG2252" t="s">
        <v>1971</v>
      </c>
      <c r="AM2252" s="1">
        <f t="shared" si="32"/>
        <v>0</v>
      </c>
    </row>
    <row r="2253" spans="1:39" x14ac:dyDescent="0.35">
      <c r="A2253">
        <v>2249</v>
      </c>
      <c r="B2253">
        <v>2250</v>
      </c>
      <c r="F2253" s="63"/>
      <c r="G2253" s="63"/>
      <c r="H2253" t="s">
        <v>78</v>
      </c>
      <c r="I2253" s="64">
        <v>0</v>
      </c>
      <c r="J2253" s="31"/>
      <c r="K2253" s="31"/>
      <c r="L2253" s="31"/>
      <c r="M2253" s="31"/>
      <c r="N2253" s="4"/>
      <c r="AG2253" t="s">
        <v>1972</v>
      </c>
      <c r="AM2253" s="1">
        <f t="shared" si="32"/>
        <v>0</v>
      </c>
    </row>
    <row r="2254" spans="1:39" x14ac:dyDescent="0.35">
      <c r="A2254">
        <v>2250</v>
      </c>
      <c r="B2254">
        <v>2251</v>
      </c>
      <c r="F2254" s="63"/>
      <c r="G2254" s="63"/>
      <c r="H2254" t="s">
        <v>78</v>
      </c>
      <c r="I2254" s="64">
        <v>0</v>
      </c>
      <c r="J2254" s="31"/>
      <c r="K2254" s="31"/>
      <c r="L2254" s="31"/>
      <c r="M2254" s="31"/>
      <c r="N2254" s="4"/>
      <c r="AG2254" t="s">
        <v>1973</v>
      </c>
      <c r="AM2254" s="1">
        <f t="shared" si="32"/>
        <v>0</v>
      </c>
    </row>
    <row r="2255" spans="1:39" x14ac:dyDescent="0.35">
      <c r="A2255">
        <v>2251</v>
      </c>
      <c r="B2255">
        <v>2252</v>
      </c>
      <c r="F2255" s="63"/>
      <c r="G2255" s="63"/>
      <c r="H2255" t="s">
        <v>78</v>
      </c>
      <c r="I2255" s="64">
        <v>0</v>
      </c>
      <c r="J2255" s="31"/>
      <c r="K2255" s="31"/>
      <c r="L2255" s="31"/>
      <c r="M2255" s="31"/>
      <c r="N2255" s="4"/>
      <c r="AG2255" t="s">
        <v>1974</v>
      </c>
      <c r="AM2255" s="1">
        <f t="shared" si="32"/>
        <v>0</v>
      </c>
    </row>
    <row r="2256" spans="1:39" x14ac:dyDescent="0.35">
      <c r="A2256">
        <v>2252</v>
      </c>
      <c r="B2256">
        <v>2253</v>
      </c>
      <c r="F2256" s="63"/>
      <c r="G2256" s="63"/>
      <c r="H2256" t="s">
        <v>78</v>
      </c>
      <c r="I2256" s="64">
        <v>0</v>
      </c>
      <c r="J2256" s="31"/>
      <c r="K2256" s="31"/>
      <c r="L2256" s="31"/>
      <c r="M2256" s="31"/>
      <c r="N2256" s="4"/>
      <c r="AG2256" t="s">
        <v>1975</v>
      </c>
      <c r="AM2256" s="1">
        <f t="shared" si="32"/>
        <v>0</v>
      </c>
    </row>
    <row r="2257" spans="1:39" x14ac:dyDescent="0.35">
      <c r="A2257">
        <v>2253</v>
      </c>
      <c r="B2257">
        <v>2254</v>
      </c>
      <c r="F2257" s="63"/>
      <c r="G2257" s="63"/>
      <c r="H2257" t="s">
        <v>78</v>
      </c>
      <c r="I2257" s="64">
        <v>0</v>
      </c>
      <c r="J2257" s="31"/>
      <c r="K2257" s="31"/>
      <c r="L2257" s="31"/>
      <c r="M2257" s="31"/>
      <c r="N2257" s="4"/>
      <c r="AG2257" t="s">
        <v>1976</v>
      </c>
      <c r="AM2257" s="1">
        <f t="shared" si="32"/>
        <v>0</v>
      </c>
    </row>
    <row r="2258" spans="1:39" x14ac:dyDescent="0.35">
      <c r="A2258">
        <v>2254</v>
      </c>
      <c r="B2258">
        <v>2255</v>
      </c>
      <c r="F2258" s="63"/>
      <c r="G2258" s="63"/>
      <c r="H2258" t="s">
        <v>78</v>
      </c>
      <c r="I2258" s="64">
        <v>0</v>
      </c>
      <c r="J2258" s="31"/>
      <c r="K2258" s="31"/>
      <c r="L2258" s="31"/>
      <c r="M2258" s="31"/>
      <c r="N2258" s="4"/>
      <c r="AG2258" t="s">
        <v>1977</v>
      </c>
      <c r="AM2258" s="1">
        <f t="shared" si="32"/>
        <v>0</v>
      </c>
    </row>
    <row r="2259" spans="1:39" x14ac:dyDescent="0.35">
      <c r="A2259">
        <v>2255</v>
      </c>
      <c r="B2259">
        <v>2256</v>
      </c>
      <c r="F2259" s="63"/>
      <c r="G2259" s="63"/>
      <c r="H2259" t="s">
        <v>78</v>
      </c>
      <c r="I2259" s="64">
        <v>0</v>
      </c>
      <c r="J2259" s="31"/>
      <c r="K2259" s="31"/>
      <c r="L2259" s="31"/>
      <c r="M2259" s="31"/>
      <c r="N2259" s="4"/>
      <c r="AG2259" t="s">
        <v>1978</v>
      </c>
      <c r="AM2259" s="1">
        <f t="shared" si="32"/>
        <v>0</v>
      </c>
    </row>
    <row r="2260" spans="1:39" x14ac:dyDescent="0.35">
      <c r="A2260">
        <v>2256</v>
      </c>
      <c r="B2260">
        <v>2257</v>
      </c>
      <c r="F2260" s="63"/>
      <c r="G2260" s="63"/>
      <c r="H2260" t="s">
        <v>78</v>
      </c>
      <c r="I2260" s="64">
        <v>0</v>
      </c>
      <c r="J2260" s="31"/>
      <c r="K2260" s="31"/>
      <c r="L2260" s="31"/>
      <c r="M2260" s="31"/>
      <c r="N2260" s="4"/>
      <c r="AG2260" t="s">
        <v>1979</v>
      </c>
      <c r="AM2260" s="1">
        <f t="shared" si="32"/>
        <v>0</v>
      </c>
    </row>
    <row r="2261" spans="1:39" x14ac:dyDescent="0.35">
      <c r="A2261">
        <v>2257</v>
      </c>
      <c r="B2261">
        <v>2258</v>
      </c>
      <c r="F2261" s="63"/>
      <c r="G2261" s="63"/>
      <c r="H2261" t="s">
        <v>78</v>
      </c>
      <c r="I2261" s="64">
        <v>0</v>
      </c>
      <c r="J2261" s="31"/>
      <c r="K2261" s="31"/>
      <c r="L2261" s="31"/>
      <c r="M2261" s="31"/>
      <c r="N2261" s="4"/>
      <c r="AG2261" t="s">
        <v>1980</v>
      </c>
      <c r="AM2261" s="1">
        <f t="shared" si="32"/>
        <v>0</v>
      </c>
    </row>
    <row r="2262" spans="1:39" x14ac:dyDescent="0.35">
      <c r="A2262">
        <v>2258</v>
      </c>
      <c r="B2262">
        <v>2259</v>
      </c>
      <c r="F2262" s="63"/>
      <c r="G2262" s="63"/>
      <c r="H2262" t="s">
        <v>78</v>
      </c>
      <c r="I2262" s="64">
        <v>0</v>
      </c>
      <c r="J2262" s="31"/>
      <c r="K2262" s="31"/>
      <c r="L2262" s="31"/>
      <c r="M2262" s="31"/>
      <c r="N2262" s="4"/>
      <c r="AG2262" t="s">
        <v>1981</v>
      </c>
      <c r="AM2262" s="1">
        <f t="shared" si="32"/>
        <v>0</v>
      </c>
    </row>
    <row r="2263" spans="1:39" x14ac:dyDescent="0.35">
      <c r="A2263">
        <v>2259</v>
      </c>
      <c r="B2263">
        <v>2260</v>
      </c>
      <c r="F2263" s="63"/>
      <c r="G2263" s="63"/>
      <c r="H2263" t="s">
        <v>78</v>
      </c>
      <c r="I2263" s="64">
        <v>0</v>
      </c>
      <c r="J2263" s="31"/>
      <c r="K2263" s="31"/>
      <c r="L2263" s="31"/>
      <c r="M2263" s="31"/>
      <c r="N2263" s="4"/>
      <c r="AG2263" t="s">
        <v>1982</v>
      </c>
      <c r="AM2263" s="1">
        <f t="shared" si="32"/>
        <v>0</v>
      </c>
    </row>
    <row r="2264" spans="1:39" x14ac:dyDescent="0.35">
      <c r="A2264">
        <v>2260</v>
      </c>
      <c r="B2264">
        <v>2261</v>
      </c>
      <c r="F2264" s="63"/>
      <c r="G2264" s="63"/>
      <c r="H2264" t="s">
        <v>78</v>
      </c>
      <c r="I2264" s="64">
        <v>0</v>
      </c>
      <c r="J2264" s="31"/>
      <c r="K2264" s="31"/>
      <c r="L2264" s="31"/>
      <c r="M2264" s="31"/>
      <c r="N2264" s="4"/>
      <c r="AG2264" t="s">
        <v>1983</v>
      </c>
      <c r="AM2264" s="1">
        <f t="shared" si="32"/>
        <v>0</v>
      </c>
    </row>
    <row r="2265" spans="1:39" x14ac:dyDescent="0.35">
      <c r="A2265">
        <v>2261</v>
      </c>
      <c r="B2265">
        <v>2262</v>
      </c>
      <c r="F2265" s="63"/>
      <c r="G2265" s="63"/>
      <c r="H2265" t="s">
        <v>78</v>
      </c>
      <c r="I2265" s="64">
        <v>0</v>
      </c>
      <c r="J2265" s="31"/>
      <c r="K2265" s="31"/>
      <c r="L2265" s="31"/>
      <c r="M2265" s="31"/>
      <c r="N2265" s="4"/>
      <c r="AG2265" t="s">
        <v>1984</v>
      </c>
      <c r="AM2265" s="1">
        <f t="shared" si="32"/>
        <v>0</v>
      </c>
    </row>
    <row r="2266" spans="1:39" x14ac:dyDescent="0.35">
      <c r="A2266">
        <v>2262</v>
      </c>
      <c r="B2266">
        <v>2263</v>
      </c>
      <c r="F2266" s="63"/>
      <c r="G2266" s="63"/>
      <c r="H2266" t="s">
        <v>78</v>
      </c>
      <c r="I2266" s="64">
        <v>0</v>
      </c>
      <c r="J2266" s="31"/>
      <c r="K2266" s="31"/>
      <c r="L2266" s="31"/>
      <c r="M2266" s="31"/>
      <c r="N2266" s="4"/>
      <c r="AG2266" t="s">
        <v>1985</v>
      </c>
      <c r="AM2266" s="1">
        <f t="shared" si="32"/>
        <v>0</v>
      </c>
    </row>
    <row r="2267" spans="1:39" x14ac:dyDescent="0.35">
      <c r="A2267">
        <v>2263</v>
      </c>
      <c r="B2267">
        <v>2264</v>
      </c>
      <c r="F2267" s="63"/>
      <c r="G2267" s="63"/>
      <c r="H2267" t="s">
        <v>78</v>
      </c>
      <c r="I2267" s="64">
        <v>0</v>
      </c>
      <c r="J2267" s="31"/>
      <c r="K2267" s="31"/>
      <c r="L2267" s="31"/>
      <c r="M2267" s="31"/>
      <c r="N2267" s="4"/>
      <c r="AG2267" t="s">
        <v>1986</v>
      </c>
      <c r="AM2267" s="1">
        <f t="shared" si="32"/>
        <v>0</v>
      </c>
    </row>
    <row r="2268" spans="1:39" x14ac:dyDescent="0.35">
      <c r="A2268">
        <v>2264</v>
      </c>
      <c r="B2268">
        <v>2265</v>
      </c>
      <c r="F2268" s="63"/>
      <c r="G2268" s="63"/>
      <c r="H2268" t="s">
        <v>78</v>
      </c>
      <c r="I2268" s="64">
        <v>0</v>
      </c>
      <c r="J2268" s="31"/>
      <c r="K2268" s="31"/>
      <c r="L2268" s="31"/>
      <c r="M2268" s="31"/>
      <c r="N2268" s="4"/>
      <c r="AG2268" t="s">
        <v>1987</v>
      </c>
      <c r="AM2268" s="1">
        <f t="shared" si="32"/>
        <v>0</v>
      </c>
    </row>
    <row r="2269" spans="1:39" x14ac:dyDescent="0.35">
      <c r="A2269">
        <v>2265</v>
      </c>
      <c r="B2269">
        <v>2266</v>
      </c>
      <c r="F2269" s="63"/>
      <c r="G2269" s="63"/>
      <c r="H2269" t="s">
        <v>78</v>
      </c>
      <c r="I2269" s="64">
        <v>0</v>
      </c>
      <c r="J2269" s="31"/>
      <c r="K2269" s="31"/>
      <c r="L2269" s="31"/>
      <c r="M2269" s="31"/>
      <c r="N2269" s="4"/>
      <c r="AG2269" t="s">
        <v>1988</v>
      </c>
      <c r="AM2269" s="1">
        <f t="shared" si="32"/>
        <v>0</v>
      </c>
    </row>
    <row r="2270" spans="1:39" x14ac:dyDescent="0.35">
      <c r="A2270">
        <v>2266</v>
      </c>
      <c r="B2270">
        <v>2267</v>
      </c>
      <c r="F2270" s="63"/>
      <c r="G2270" s="63"/>
      <c r="H2270" t="s">
        <v>78</v>
      </c>
      <c r="I2270" s="64">
        <v>0</v>
      </c>
      <c r="J2270" s="31"/>
      <c r="K2270" s="31"/>
      <c r="L2270" s="31"/>
      <c r="M2270" s="31"/>
      <c r="N2270" s="4"/>
      <c r="AG2270" t="s">
        <v>1989</v>
      </c>
      <c r="AM2270" s="1">
        <f t="shared" si="32"/>
        <v>0</v>
      </c>
    </row>
    <row r="2271" spans="1:39" x14ac:dyDescent="0.35">
      <c r="A2271">
        <v>2267</v>
      </c>
      <c r="B2271">
        <v>2268</v>
      </c>
      <c r="F2271" s="63"/>
      <c r="G2271" s="63"/>
      <c r="H2271" t="s">
        <v>78</v>
      </c>
      <c r="I2271" s="64">
        <v>0</v>
      </c>
      <c r="J2271" s="31"/>
      <c r="K2271" s="31"/>
      <c r="L2271" s="31"/>
      <c r="M2271" s="31"/>
      <c r="N2271" s="4"/>
      <c r="AG2271" t="s">
        <v>1990</v>
      </c>
      <c r="AM2271" s="1">
        <f t="shared" si="32"/>
        <v>0</v>
      </c>
    </row>
    <row r="2272" spans="1:39" x14ac:dyDescent="0.35">
      <c r="A2272">
        <v>2268</v>
      </c>
      <c r="B2272">
        <v>2269</v>
      </c>
      <c r="F2272" s="63"/>
      <c r="G2272" s="63"/>
      <c r="H2272" t="s">
        <v>78</v>
      </c>
      <c r="I2272" s="64">
        <v>0</v>
      </c>
      <c r="J2272" s="31"/>
      <c r="K2272" s="31"/>
      <c r="L2272" s="31"/>
      <c r="M2272" s="31"/>
      <c r="N2272" s="4"/>
      <c r="AG2272" t="s">
        <v>1991</v>
      </c>
      <c r="AM2272" s="1">
        <f t="shared" si="32"/>
        <v>0</v>
      </c>
    </row>
    <row r="2273" spans="1:39" x14ac:dyDescent="0.35">
      <c r="A2273">
        <v>2269</v>
      </c>
      <c r="B2273">
        <v>2270</v>
      </c>
      <c r="F2273" s="63"/>
      <c r="G2273" s="63"/>
      <c r="H2273" t="s">
        <v>78</v>
      </c>
      <c r="I2273" s="64">
        <v>0</v>
      </c>
      <c r="J2273" s="31"/>
      <c r="K2273" s="31"/>
      <c r="L2273" s="31"/>
      <c r="M2273" s="31"/>
      <c r="N2273" s="4"/>
      <c r="AG2273" t="s">
        <v>1992</v>
      </c>
      <c r="AM2273" s="1">
        <f t="shared" si="32"/>
        <v>0</v>
      </c>
    </row>
    <row r="2274" spans="1:39" x14ac:dyDescent="0.35">
      <c r="A2274">
        <v>2270</v>
      </c>
      <c r="B2274">
        <v>2271</v>
      </c>
      <c r="F2274" s="63"/>
      <c r="G2274" s="63"/>
      <c r="H2274" t="s">
        <v>78</v>
      </c>
      <c r="I2274" s="64">
        <v>0</v>
      </c>
      <c r="J2274" s="31"/>
      <c r="K2274" s="31"/>
      <c r="L2274" s="31"/>
      <c r="M2274" s="31"/>
      <c r="N2274" s="4"/>
      <c r="AG2274" t="s">
        <v>1993</v>
      </c>
      <c r="AM2274" s="1">
        <f t="shared" si="32"/>
        <v>0</v>
      </c>
    </row>
    <row r="2275" spans="1:39" x14ac:dyDescent="0.35">
      <c r="A2275">
        <v>2271</v>
      </c>
      <c r="B2275">
        <v>2272</v>
      </c>
      <c r="F2275" s="63"/>
      <c r="G2275" s="63"/>
      <c r="H2275" t="s">
        <v>78</v>
      </c>
      <c r="I2275" s="64">
        <v>0</v>
      </c>
      <c r="J2275" s="31"/>
      <c r="K2275" s="31"/>
      <c r="L2275" s="31"/>
      <c r="M2275" s="31"/>
      <c r="N2275" s="4"/>
      <c r="AG2275" t="s">
        <v>1994</v>
      </c>
      <c r="AM2275" s="1">
        <f t="shared" si="32"/>
        <v>0</v>
      </c>
    </row>
    <row r="2276" spans="1:39" x14ac:dyDescent="0.35">
      <c r="A2276">
        <v>2272</v>
      </c>
      <c r="B2276">
        <v>2273</v>
      </c>
      <c r="F2276" s="63"/>
      <c r="G2276" s="63"/>
      <c r="H2276" t="s">
        <v>78</v>
      </c>
      <c r="I2276" s="64">
        <v>0</v>
      </c>
      <c r="J2276" s="31"/>
      <c r="K2276" s="31"/>
      <c r="L2276" s="31"/>
      <c r="M2276" s="31"/>
      <c r="N2276" s="4"/>
      <c r="AG2276" t="s">
        <v>1995</v>
      </c>
      <c r="AM2276" s="1">
        <f t="shared" si="32"/>
        <v>0</v>
      </c>
    </row>
    <row r="2277" spans="1:39" x14ac:dyDescent="0.35">
      <c r="A2277">
        <v>2273</v>
      </c>
      <c r="B2277">
        <v>2274</v>
      </c>
      <c r="F2277" s="63"/>
      <c r="G2277" s="63"/>
      <c r="H2277" t="s">
        <v>78</v>
      </c>
      <c r="I2277" s="64">
        <v>0</v>
      </c>
      <c r="J2277" s="31"/>
      <c r="K2277" s="31"/>
      <c r="L2277" s="31"/>
      <c r="M2277" s="31"/>
      <c r="N2277" s="4"/>
      <c r="AG2277" t="s">
        <v>1996</v>
      </c>
      <c r="AM2277" s="1">
        <f t="shared" si="32"/>
        <v>0</v>
      </c>
    </row>
    <row r="2278" spans="1:39" x14ac:dyDescent="0.35">
      <c r="A2278">
        <v>2274</v>
      </c>
      <c r="B2278">
        <v>2275</v>
      </c>
      <c r="F2278" s="63"/>
      <c r="G2278" s="63"/>
      <c r="H2278" t="s">
        <v>78</v>
      </c>
      <c r="I2278" s="64">
        <v>0</v>
      </c>
      <c r="J2278" s="31"/>
      <c r="K2278" s="31"/>
      <c r="L2278" s="31"/>
      <c r="M2278" s="31"/>
      <c r="N2278" s="4"/>
      <c r="AG2278" t="s">
        <v>1997</v>
      </c>
      <c r="AM2278" s="1">
        <f t="shared" si="32"/>
        <v>0</v>
      </c>
    </row>
    <row r="2279" spans="1:39" x14ac:dyDescent="0.35">
      <c r="A2279">
        <v>2275</v>
      </c>
      <c r="B2279">
        <v>2276</v>
      </c>
      <c r="F2279" s="63"/>
      <c r="G2279" s="63"/>
      <c r="H2279" t="s">
        <v>78</v>
      </c>
      <c r="I2279" s="64">
        <v>0</v>
      </c>
      <c r="J2279" s="31"/>
      <c r="K2279" s="31"/>
      <c r="L2279" s="31"/>
      <c r="M2279" s="31"/>
      <c r="N2279" s="4"/>
      <c r="AG2279" t="s">
        <v>1998</v>
      </c>
      <c r="AM2279" s="1">
        <f t="shared" si="32"/>
        <v>0</v>
      </c>
    </row>
    <row r="2280" spans="1:39" x14ac:dyDescent="0.35">
      <c r="A2280">
        <v>2276</v>
      </c>
      <c r="B2280">
        <v>2277</v>
      </c>
      <c r="F2280" s="63"/>
      <c r="G2280" s="63"/>
      <c r="H2280" t="s">
        <v>78</v>
      </c>
      <c r="I2280" s="64">
        <v>0</v>
      </c>
      <c r="J2280" s="31"/>
      <c r="K2280" s="31"/>
      <c r="L2280" s="31"/>
      <c r="M2280" s="31"/>
      <c r="N2280" s="4"/>
      <c r="AG2280" t="s">
        <v>1999</v>
      </c>
      <c r="AM2280" s="1">
        <f t="shared" si="32"/>
        <v>0</v>
      </c>
    </row>
    <row r="2281" spans="1:39" x14ac:dyDescent="0.35">
      <c r="A2281">
        <v>2277</v>
      </c>
      <c r="B2281">
        <v>2278</v>
      </c>
      <c r="F2281" s="63"/>
      <c r="G2281" s="63"/>
      <c r="H2281" t="s">
        <v>78</v>
      </c>
      <c r="I2281" s="64">
        <v>0</v>
      </c>
      <c r="J2281" s="31"/>
      <c r="K2281" s="31"/>
      <c r="L2281" s="31"/>
      <c r="M2281" s="31"/>
      <c r="N2281" s="4"/>
      <c r="AG2281" t="s">
        <v>2000</v>
      </c>
      <c r="AM2281" s="1">
        <f t="shared" si="32"/>
        <v>0</v>
      </c>
    </row>
    <row r="2282" spans="1:39" x14ac:dyDescent="0.35">
      <c r="A2282">
        <v>2278</v>
      </c>
      <c r="B2282">
        <v>2279</v>
      </c>
      <c r="F2282" s="63"/>
      <c r="G2282" s="63"/>
      <c r="H2282" t="s">
        <v>78</v>
      </c>
      <c r="I2282" s="64">
        <v>0</v>
      </c>
      <c r="J2282" s="31"/>
      <c r="K2282" s="31"/>
      <c r="L2282" s="31"/>
      <c r="M2282" s="31"/>
      <c r="N2282" s="4"/>
      <c r="AG2282" t="s">
        <v>2001</v>
      </c>
      <c r="AM2282" s="1">
        <f t="shared" si="32"/>
        <v>0</v>
      </c>
    </row>
    <row r="2283" spans="1:39" x14ac:dyDescent="0.35">
      <c r="A2283">
        <v>2279</v>
      </c>
      <c r="B2283">
        <v>2280</v>
      </c>
      <c r="F2283" s="63"/>
      <c r="G2283" s="63"/>
      <c r="H2283" t="s">
        <v>78</v>
      </c>
      <c r="I2283" s="64">
        <v>0</v>
      </c>
      <c r="J2283" s="31"/>
      <c r="K2283" s="31"/>
      <c r="L2283" s="31"/>
      <c r="M2283" s="31"/>
      <c r="N2283" s="4"/>
      <c r="AG2283" t="s">
        <v>2002</v>
      </c>
      <c r="AM2283" s="1">
        <f t="shared" si="32"/>
        <v>0</v>
      </c>
    </row>
    <row r="2284" spans="1:39" x14ac:dyDescent="0.35">
      <c r="A2284">
        <v>2280</v>
      </c>
      <c r="B2284">
        <v>2281</v>
      </c>
      <c r="F2284" s="63"/>
      <c r="G2284" s="63"/>
      <c r="H2284" t="s">
        <v>78</v>
      </c>
      <c r="I2284" s="64">
        <v>0</v>
      </c>
      <c r="J2284" s="31"/>
      <c r="K2284" s="31"/>
      <c r="L2284" s="31"/>
      <c r="M2284" s="31"/>
      <c r="N2284" s="4"/>
      <c r="AG2284" t="s">
        <v>2003</v>
      </c>
      <c r="AM2284" s="1">
        <f t="shared" si="32"/>
        <v>0</v>
      </c>
    </row>
    <row r="2285" spans="1:39" x14ac:dyDescent="0.35">
      <c r="A2285">
        <v>2281</v>
      </c>
      <c r="B2285">
        <v>2282</v>
      </c>
      <c r="F2285" s="63"/>
      <c r="G2285" s="63"/>
      <c r="H2285" t="s">
        <v>78</v>
      </c>
      <c r="I2285" s="64">
        <v>0</v>
      </c>
      <c r="J2285" s="31"/>
      <c r="K2285" s="31"/>
      <c r="L2285" s="31"/>
      <c r="M2285" s="31"/>
      <c r="N2285" s="4"/>
      <c r="AG2285" t="s">
        <v>2004</v>
      </c>
      <c r="AM2285" s="1">
        <f t="shared" si="32"/>
        <v>0</v>
      </c>
    </row>
    <row r="2286" spans="1:39" x14ac:dyDescent="0.35">
      <c r="A2286">
        <v>2282</v>
      </c>
      <c r="B2286">
        <v>2283</v>
      </c>
      <c r="F2286" s="63"/>
      <c r="G2286" s="63"/>
      <c r="H2286" t="s">
        <v>78</v>
      </c>
      <c r="I2286" s="64">
        <v>0</v>
      </c>
      <c r="J2286" s="31"/>
      <c r="K2286" s="31"/>
      <c r="L2286" s="31"/>
      <c r="M2286" s="31"/>
      <c r="N2286" s="4"/>
      <c r="AG2286" t="s">
        <v>2005</v>
      </c>
      <c r="AM2286" s="1">
        <f t="shared" si="32"/>
        <v>0</v>
      </c>
    </row>
    <row r="2287" spans="1:39" x14ac:dyDescent="0.35">
      <c r="A2287">
        <v>2283</v>
      </c>
      <c r="B2287">
        <v>2284</v>
      </c>
      <c r="F2287" s="63"/>
      <c r="G2287" s="63"/>
      <c r="H2287" t="s">
        <v>78</v>
      </c>
      <c r="I2287" s="64">
        <v>0</v>
      </c>
      <c r="J2287" s="31"/>
      <c r="K2287" s="31"/>
      <c r="L2287" s="31"/>
      <c r="M2287" s="31"/>
      <c r="N2287" s="4"/>
      <c r="AG2287" t="s">
        <v>2006</v>
      </c>
      <c r="AM2287" s="1">
        <f t="shared" si="32"/>
        <v>0</v>
      </c>
    </row>
    <row r="2288" spans="1:39" x14ac:dyDescent="0.35">
      <c r="A2288">
        <v>2284</v>
      </c>
      <c r="B2288">
        <v>2285</v>
      </c>
      <c r="F2288" s="63"/>
      <c r="G2288" s="63"/>
      <c r="H2288" t="s">
        <v>78</v>
      </c>
      <c r="I2288" s="64">
        <v>0</v>
      </c>
      <c r="J2288" s="31"/>
      <c r="K2288" s="31"/>
      <c r="L2288" s="31"/>
      <c r="M2288" s="31"/>
      <c r="N2288" s="4"/>
      <c r="AG2288" t="s">
        <v>2007</v>
      </c>
      <c r="AM2288" s="1">
        <f t="shared" si="32"/>
        <v>0</v>
      </c>
    </row>
    <row r="2289" spans="1:39" x14ac:dyDescent="0.35">
      <c r="A2289">
        <v>2285</v>
      </c>
      <c r="B2289">
        <v>2286</v>
      </c>
      <c r="F2289" s="63"/>
      <c r="G2289" s="63"/>
      <c r="H2289" t="s">
        <v>78</v>
      </c>
      <c r="I2289" s="64">
        <v>0</v>
      </c>
      <c r="J2289" s="31"/>
      <c r="K2289" s="31"/>
      <c r="L2289" s="31"/>
      <c r="M2289" s="31"/>
      <c r="N2289" s="4"/>
      <c r="AG2289" t="s">
        <v>2008</v>
      </c>
      <c r="AM2289" s="1">
        <f t="shared" si="32"/>
        <v>0</v>
      </c>
    </row>
    <row r="2290" spans="1:39" x14ac:dyDescent="0.35">
      <c r="A2290">
        <v>2286</v>
      </c>
      <c r="B2290">
        <v>2287</v>
      </c>
      <c r="F2290" s="63"/>
      <c r="G2290" s="63"/>
      <c r="H2290" t="s">
        <v>78</v>
      </c>
      <c r="I2290" s="64">
        <v>0</v>
      </c>
      <c r="J2290" s="31"/>
      <c r="K2290" s="31"/>
      <c r="L2290" s="31"/>
      <c r="M2290" s="31"/>
      <c r="N2290" s="4"/>
      <c r="AG2290" t="s">
        <v>2009</v>
      </c>
      <c r="AM2290" s="1">
        <f t="shared" si="32"/>
        <v>0</v>
      </c>
    </row>
    <row r="2291" spans="1:39" x14ac:dyDescent="0.35">
      <c r="A2291">
        <v>2287</v>
      </c>
      <c r="B2291">
        <v>2288</v>
      </c>
      <c r="F2291" s="63"/>
      <c r="G2291" s="63"/>
      <c r="H2291" t="s">
        <v>78</v>
      </c>
      <c r="I2291" s="64">
        <v>0</v>
      </c>
      <c r="J2291" s="31"/>
      <c r="K2291" s="31"/>
      <c r="L2291" s="31"/>
      <c r="M2291" s="31"/>
      <c r="N2291" s="4"/>
      <c r="AG2291" t="s">
        <v>2010</v>
      </c>
      <c r="AM2291" s="1">
        <f t="shared" si="32"/>
        <v>0</v>
      </c>
    </row>
    <row r="2292" spans="1:39" x14ac:dyDescent="0.35">
      <c r="A2292">
        <v>2288</v>
      </c>
      <c r="B2292">
        <v>2289</v>
      </c>
      <c r="F2292" s="63"/>
      <c r="G2292" s="63"/>
      <c r="H2292" t="s">
        <v>78</v>
      </c>
      <c r="I2292" s="64">
        <v>0</v>
      </c>
      <c r="J2292" s="31"/>
      <c r="K2292" s="31"/>
      <c r="L2292" s="31"/>
      <c r="M2292" s="31"/>
      <c r="N2292" s="4"/>
      <c r="AG2292" t="s">
        <v>2011</v>
      </c>
      <c r="AM2292" s="1">
        <f t="shared" si="32"/>
        <v>0</v>
      </c>
    </row>
    <row r="2293" spans="1:39" x14ac:dyDescent="0.35">
      <c r="A2293">
        <v>2289</v>
      </c>
      <c r="B2293">
        <v>2290</v>
      </c>
      <c r="F2293" s="63"/>
      <c r="G2293" s="63"/>
      <c r="H2293" t="s">
        <v>78</v>
      </c>
      <c r="I2293" s="64">
        <v>0</v>
      </c>
      <c r="J2293" s="31"/>
      <c r="K2293" s="31"/>
      <c r="L2293" s="31"/>
      <c r="M2293" s="31"/>
      <c r="N2293" s="4"/>
      <c r="AG2293" t="s">
        <v>2012</v>
      </c>
      <c r="AM2293" s="1">
        <f t="shared" si="32"/>
        <v>0</v>
      </c>
    </row>
    <row r="2294" spans="1:39" x14ac:dyDescent="0.35">
      <c r="A2294">
        <v>2290</v>
      </c>
      <c r="B2294">
        <v>2291</v>
      </c>
      <c r="F2294" s="63"/>
      <c r="G2294" s="63"/>
      <c r="H2294" t="s">
        <v>78</v>
      </c>
      <c r="I2294" s="64">
        <v>0</v>
      </c>
      <c r="J2294" s="31"/>
      <c r="K2294" s="31"/>
      <c r="L2294" s="31"/>
      <c r="M2294" s="31"/>
      <c r="N2294" s="4"/>
      <c r="AG2294" t="s">
        <v>2013</v>
      </c>
      <c r="AM2294" s="1">
        <f t="shared" si="32"/>
        <v>0</v>
      </c>
    </row>
    <row r="2295" spans="1:39" x14ac:dyDescent="0.35">
      <c r="A2295">
        <v>2291</v>
      </c>
      <c r="B2295">
        <v>2292</v>
      </c>
      <c r="F2295" s="63"/>
      <c r="G2295" s="63"/>
      <c r="H2295" t="s">
        <v>78</v>
      </c>
      <c r="I2295" s="64">
        <v>0</v>
      </c>
      <c r="J2295" s="31"/>
      <c r="K2295" s="31"/>
      <c r="L2295" s="31"/>
      <c r="M2295" s="31"/>
      <c r="N2295" s="4"/>
      <c r="AG2295" t="s">
        <v>2014</v>
      </c>
      <c r="AM2295" s="1">
        <f t="shared" si="32"/>
        <v>0</v>
      </c>
    </row>
    <row r="2296" spans="1:39" x14ac:dyDescent="0.35">
      <c r="A2296">
        <v>2292</v>
      </c>
      <c r="B2296">
        <v>2293</v>
      </c>
      <c r="F2296" s="63"/>
      <c r="G2296" s="63"/>
      <c r="H2296" t="s">
        <v>78</v>
      </c>
      <c r="I2296" s="64">
        <v>0</v>
      </c>
      <c r="J2296" s="31"/>
      <c r="K2296" s="31"/>
      <c r="L2296" s="31"/>
      <c r="M2296" s="31"/>
      <c r="N2296" s="4"/>
      <c r="AG2296" t="s">
        <v>2015</v>
      </c>
      <c r="AM2296" s="1">
        <f t="shared" si="32"/>
        <v>0</v>
      </c>
    </row>
    <row r="2297" spans="1:39" x14ac:dyDescent="0.35">
      <c r="A2297">
        <v>2293</v>
      </c>
      <c r="B2297">
        <v>2294</v>
      </c>
      <c r="F2297" s="63"/>
      <c r="G2297" s="63"/>
      <c r="H2297" t="s">
        <v>78</v>
      </c>
      <c r="I2297" s="64">
        <v>0</v>
      </c>
      <c r="J2297" s="31"/>
      <c r="K2297" s="31"/>
      <c r="L2297" s="31"/>
      <c r="M2297" s="31"/>
      <c r="N2297" s="4"/>
      <c r="AG2297" t="s">
        <v>2016</v>
      </c>
      <c r="AM2297" s="1">
        <f t="shared" si="32"/>
        <v>0</v>
      </c>
    </row>
    <row r="2298" spans="1:39" x14ac:dyDescent="0.35">
      <c r="A2298">
        <v>2294</v>
      </c>
      <c r="B2298">
        <v>2295</v>
      </c>
      <c r="F2298" s="63"/>
      <c r="G2298" s="63"/>
      <c r="H2298" t="s">
        <v>78</v>
      </c>
      <c r="I2298" s="64">
        <v>0</v>
      </c>
      <c r="J2298" s="31"/>
      <c r="K2298" s="31"/>
      <c r="L2298" s="31"/>
      <c r="M2298" s="31"/>
      <c r="N2298" s="4"/>
      <c r="AG2298" t="s">
        <v>2017</v>
      </c>
      <c r="AM2298" s="1">
        <f t="shared" si="32"/>
        <v>0</v>
      </c>
    </row>
    <row r="2299" spans="1:39" x14ac:dyDescent="0.35">
      <c r="A2299">
        <v>2295</v>
      </c>
      <c r="B2299">
        <v>2296</v>
      </c>
      <c r="F2299" s="63"/>
      <c r="G2299" s="63"/>
      <c r="H2299" t="s">
        <v>78</v>
      </c>
      <c r="I2299" s="64">
        <v>0</v>
      </c>
      <c r="J2299" s="31"/>
      <c r="K2299" s="31"/>
      <c r="L2299" s="31"/>
      <c r="M2299" s="31"/>
      <c r="N2299" s="4"/>
      <c r="AG2299" t="s">
        <v>2018</v>
      </c>
      <c r="AM2299" s="1">
        <f t="shared" si="32"/>
        <v>0</v>
      </c>
    </row>
    <row r="2300" spans="1:39" x14ac:dyDescent="0.35">
      <c r="A2300">
        <v>2296</v>
      </c>
      <c r="B2300">
        <v>2297</v>
      </c>
      <c r="F2300" s="63"/>
      <c r="G2300" s="63"/>
      <c r="H2300" t="s">
        <v>78</v>
      </c>
      <c r="I2300" s="64">
        <v>0</v>
      </c>
      <c r="J2300" s="31"/>
      <c r="K2300" s="31"/>
      <c r="L2300" s="31"/>
      <c r="M2300" s="31"/>
      <c r="N2300" s="4"/>
      <c r="AG2300" t="s">
        <v>2019</v>
      </c>
      <c r="AM2300" s="1">
        <f t="shared" si="32"/>
        <v>0</v>
      </c>
    </row>
    <row r="2301" spans="1:39" x14ac:dyDescent="0.35">
      <c r="A2301">
        <v>2297</v>
      </c>
      <c r="B2301">
        <v>2298</v>
      </c>
      <c r="F2301" s="63"/>
      <c r="G2301" s="63"/>
      <c r="H2301" t="s">
        <v>78</v>
      </c>
      <c r="I2301" s="64">
        <v>0</v>
      </c>
      <c r="J2301" s="31"/>
      <c r="K2301" s="31"/>
      <c r="L2301" s="31"/>
      <c r="M2301" s="31"/>
      <c r="N2301" s="4"/>
      <c r="AG2301" t="s">
        <v>2020</v>
      </c>
      <c r="AM2301" s="1">
        <f t="shared" si="32"/>
        <v>0</v>
      </c>
    </row>
    <row r="2302" spans="1:39" x14ac:dyDescent="0.35">
      <c r="A2302">
        <v>2298</v>
      </c>
      <c r="B2302">
        <v>2299</v>
      </c>
      <c r="F2302" s="63"/>
      <c r="G2302" s="63"/>
      <c r="H2302" t="s">
        <v>78</v>
      </c>
      <c r="I2302" s="64">
        <v>0</v>
      </c>
      <c r="J2302" s="31"/>
      <c r="K2302" s="31"/>
      <c r="L2302" s="31"/>
      <c r="M2302" s="31"/>
      <c r="N2302" s="4"/>
      <c r="AG2302" t="s">
        <v>2021</v>
      </c>
      <c r="AM2302" s="1">
        <f t="shared" si="32"/>
        <v>0</v>
      </c>
    </row>
    <row r="2303" spans="1:39" x14ac:dyDescent="0.35">
      <c r="A2303">
        <v>2299</v>
      </c>
      <c r="B2303">
        <v>2300</v>
      </c>
      <c r="F2303" s="63"/>
      <c r="G2303" s="63"/>
      <c r="H2303" t="s">
        <v>78</v>
      </c>
      <c r="I2303" s="64">
        <v>0</v>
      </c>
      <c r="J2303" s="31"/>
      <c r="K2303" s="31"/>
      <c r="L2303" s="31"/>
      <c r="M2303" s="31"/>
      <c r="N2303" s="4"/>
      <c r="AG2303" t="s">
        <v>2022</v>
      </c>
      <c r="AM2303" s="1">
        <f t="shared" si="32"/>
        <v>0</v>
      </c>
    </row>
    <row r="2304" spans="1:39" x14ac:dyDescent="0.35">
      <c r="A2304">
        <v>2300</v>
      </c>
      <c r="B2304">
        <v>2301</v>
      </c>
      <c r="F2304" s="63"/>
      <c r="G2304" s="63"/>
      <c r="H2304" t="s">
        <v>78</v>
      </c>
      <c r="I2304" s="64">
        <v>0</v>
      </c>
      <c r="J2304" s="31"/>
      <c r="K2304" s="31"/>
      <c r="L2304" s="31"/>
      <c r="M2304" s="31"/>
      <c r="N2304" s="4"/>
      <c r="AG2304" t="s">
        <v>2023</v>
      </c>
      <c r="AM2304" s="1">
        <f t="shared" si="32"/>
        <v>0</v>
      </c>
    </row>
    <row r="2305" spans="1:39" x14ac:dyDescent="0.35">
      <c r="A2305">
        <v>2301</v>
      </c>
      <c r="B2305">
        <v>2302</v>
      </c>
      <c r="F2305" s="63"/>
      <c r="G2305" s="63"/>
      <c r="H2305" t="s">
        <v>78</v>
      </c>
      <c r="I2305" s="64">
        <v>0</v>
      </c>
      <c r="J2305" s="31"/>
      <c r="K2305" s="31"/>
      <c r="L2305" s="31"/>
      <c r="M2305" s="31"/>
      <c r="N2305" s="4"/>
      <c r="AG2305" t="s">
        <v>2024</v>
      </c>
      <c r="AM2305" s="1">
        <f t="shared" si="32"/>
        <v>0</v>
      </c>
    </row>
    <row r="2306" spans="1:39" x14ac:dyDescent="0.35">
      <c r="A2306">
        <v>2302</v>
      </c>
      <c r="B2306">
        <v>2303</v>
      </c>
      <c r="F2306" s="63"/>
      <c r="G2306" s="63"/>
      <c r="H2306" t="s">
        <v>78</v>
      </c>
      <c r="I2306" s="64">
        <v>0</v>
      </c>
      <c r="J2306" s="31"/>
      <c r="K2306" s="31"/>
      <c r="L2306" s="31"/>
      <c r="M2306" s="31"/>
      <c r="N2306" s="4"/>
      <c r="AG2306" t="s">
        <v>2025</v>
      </c>
      <c r="AM2306" s="1">
        <f t="shared" si="32"/>
        <v>0</v>
      </c>
    </row>
    <row r="2307" spans="1:39" x14ac:dyDescent="0.35">
      <c r="A2307">
        <v>2303</v>
      </c>
      <c r="B2307">
        <v>2304</v>
      </c>
      <c r="F2307" s="63"/>
      <c r="G2307" s="63"/>
      <c r="H2307" t="s">
        <v>78</v>
      </c>
      <c r="I2307" s="64">
        <v>0</v>
      </c>
      <c r="J2307" s="31"/>
      <c r="K2307" s="31"/>
      <c r="L2307" s="31"/>
      <c r="M2307" s="31"/>
      <c r="N2307" s="4"/>
      <c r="AG2307" t="s">
        <v>2026</v>
      </c>
      <c r="AM2307" s="1">
        <f t="shared" si="32"/>
        <v>0</v>
      </c>
    </row>
    <row r="2308" spans="1:39" x14ac:dyDescent="0.35">
      <c r="A2308">
        <v>2304</v>
      </c>
      <c r="B2308">
        <v>2305</v>
      </c>
      <c r="F2308" s="63"/>
      <c r="G2308" s="63"/>
      <c r="H2308" t="s">
        <v>78</v>
      </c>
      <c r="I2308" s="64">
        <v>0</v>
      </c>
      <c r="J2308" s="31"/>
      <c r="K2308" s="31"/>
      <c r="L2308" s="31"/>
      <c r="M2308" s="31"/>
      <c r="N2308" s="4"/>
      <c r="AG2308" t="s">
        <v>2027</v>
      </c>
      <c r="AM2308" s="1">
        <f t="shared" si="32"/>
        <v>0</v>
      </c>
    </row>
    <row r="2309" spans="1:39" x14ac:dyDescent="0.35">
      <c r="A2309">
        <v>2305</v>
      </c>
      <c r="B2309">
        <v>2306</v>
      </c>
      <c r="F2309" s="63"/>
      <c r="G2309" s="63"/>
      <c r="H2309" t="s">
        <v>78</v>
      </c>
      <c r="I2309" s="64">
        <v>0</v>
      </c>
      <c r="J2309" s="31"/>
      <c r="K2309" s="31"/>
      <c r="L2309" s="31"/>
      <c r="M2309" s="31"/>
      <c r="N2309" s="4"/>
      <c r="AG2309" t="s">
        <v>2028</v>
      </c>
      <c r="AM2309" s="1">
        <f t="shared" si="32"/>
        <v>0</v>
      </c>
    </row>
    <row r="2310" spans="1:39" x14ac:dyDescent="0.35">
      <c r="A2310">
        <v>2306</v>
      </c>
      <c r="B2310">
        <v>2307</v>
      </c>
      <c r="F2310" s="63"/>
      <c r="G2310" s="63"/>
      <c r="H2310" t="s">
        <v>78</v>
      </c>
      <c r="I2310" s="64">
        <v>0</v>
      </c>
      <c r="J2310" s="31"/>
      <c r="K2310" s="31"/>
      <c r="L2310" s="31"/>
      <c r="M2310" s="31"/>
      <c r="N2310" s="4"/>
      <c r="AG2310" t="s">
        <v>2029</v>
      </c>
      <c r="AM2310" s="1">
        <f t="shared" si="32"/>
        <v>0</v>
      </c>
    </row>
    <row r="2311" spans="1:39" x14ac:dyDescent="0.35">
      <c r="A2311">
        <v>2307</v>
      </c>
      <c r="B2311">
        <v>2308</v>
      </c>
      <c r="F2311" s="63"/>
      <c r="G2311" s="63"/>
      <c r="H2311" t="s">
        <v>78</v>
      </c>
      <c r="I2311" s="64">
        <v>0</v>
      </c>
      <c r="J2311" s="31"/>
      <c r="K2311" s="31"/>
      <c r="L2311" s="31"/>
      <c r="M2311" s="31"/>
      <c r="N2311" s="4"/>
      <c r="AG2311" t="s">
        <v>2030</v>
      </c>
      <c r="AM2311" s="1">
        <f t="shared" si="32"/>
        <v>0</v>
      </c>
    </row>
    <row r="2312" spans="1:39" x14ac:dyDescent="0.35">
      <c r="A2312">
        <v>2308</v>
      </c>
      <c r="B2312">
        <v>2309</v>
      </c>
      <c r="F2312" s="63"/>
      <c r="G2312" s="63"/>
      <c r="H2312" t="s">
        <v>78</v>
      </c>
      <c r="I2312" s="64">
        <v>0</v>
      </c>
      <c r="J2312" s="31"/>
      <c r="K2312" s="31"/>
      <c r="L2312" s="31"/>
      <c r="M2312" s="31"/>
      <c r="N2312" s="4"/>
      <c r="AG2312" t="s">
        <v>2031</v>
      </c>
      <c r="AM2312" s="1">
        <f t="shared" si="32"/>
        <v>0</v>
      </c>
    </row>
    <row r="2313" spans="1:39" x14ac:dyDescent="0.35">
      <c r="A2313">
        <v>2309</v>
      </c>
      <c r="B2313">
        <v>2310</v>
      </c>
      <c r="F2313" s="63"/>
      <c r="G2313" s="63"/>
      <c r="H2313" t="s">
        <v>78</v>
      </c>
      <c r="I2313" s="64">
        <v>0</v>
      </c>
      <c r="J2313" s="31"/>
      <c r="K2313" s="31"/>
      <c r="L2313" s="31"/>
      <c r="M2313" s="31"/>
      <c r="N2313" s="4"/>
      <c r="AG2313" t="s">
        <v>2032</v>
      </c>
      <c r="AM2313" s="1">
        <f t="shared" si="32"/>
        <v>0</v>
      </c>
    </row>
    <row r="2314" spans="1:39" x14ac:dyDescent="0.35">
      <c r="A2314">
        <v>2310</v>
      </c>
      <c r="B2314">
        <v>2311</v>
      </c>
      <c r="F2314" s="63"/>
      <c r="G2314" s="63"/>
      <c r="H2314" t="s">
        <v>78</v>
      </c>
      <c r="I2314" s="64">
        <v>0</v>
      </c>
      <c r="J2314" s="31"/>
      <c r="K2314" s="31"/>
      <c r="L2314" s="31"/>
      <c r="M2314" s="31"/>
      <c r="N2314" s="4"/>
      <c r="AG2314" t="s">
        <v>2033</v>
      </c>
      <c r="AM2314" s="1">
        <f t="shared" si="32"/>
        <v>0</v>
      </c>
    </row>
    <row r="2315" spans="1:39" x14ac:dyDescent="0.35">
      <c r="A2315">
        <v>2311</v>
      </c>
      <c r="B2315">
        <v>2312</v>
      </c>
      <c r="F2315" s="63"/>
      <c r="G2315" s="63"/>
      <c r="H2315" t="s">
        <v>78</v>
      </c>
      <c r="I2315" s="64">
        <v>0</v>
      </c>
      <c r="J2315" s="31"/>
      <c r="K2315" s="31"/>
      <c r="L2315" s="31"/>
      <c r="M2315" s="31"/>
      <c r="N2315" s="4"/>
      <c r="AG2315" t="s">
        <v>2034</v>
      </c>
      <c r="AM2315" s="1">
        <f t="shared" ref="AM2315:AM2378" si="33">HYPERLINK("E:\CAFNEC_GBRF\2023\JohnstoneRiver\Frames_for_Analysis\" &amp; F2316, F2316)</f>
        <v>0</v>
      </c>
    </row>
    <row r="2316" spans="1:39" x14ac:dyDescent="0.35">
      <c r="A2316">
        <v>2312</v>
      </c>
      <c r="B2316">
        <v>2313</v>
      </c>
      <c r="F2316" s="63"/>
      <c r="G2316" s="63"/>
      <c r="H2316" t="s">
        <v>78</v>
      </c>
      <c r="I2316" s="64">
        <v>0</v>
      </c>
      <c r="J2316" s="31"/>
      <c r="K2316" s="31"/>
      <c r="L2316" s="31"/>
      <c r="M2316" s="31"/>
      <c r="N2316" s="4"/>
      <c r="AG2316" t="s">
        <v>2035</v>
      </c>
      <c r="AM2316" s="1">
        <f t="shared" si="33"/>
        <v>0</v>
      </c>
    </row>
    <row r="2317" spans="1:39" x14ac:dyDescent="0.35">
      <c r="A2317">
        <v>2313</v>
      </c>
      <c r="B2317">
        <v>2314</v>
      </c>
      <c r="F2317" s="63"/>
      <c r="G2317" s="63"/>
      <c r="H2317" t="s">
        <v>78</v>
      </c>
      <c r="I2317" s="64">
        <v>0</v>
      </c>
      <c r="J2317" s="31"/>
      <c r="K2317" s="31"/>
      <c r="L2317" s="31"/>
      <c r="M2317" s="31"/>
      <c r="N2317" s="4"/>
      <c r="AG2317" t="s">
        <v>2036</v>
      </c>
      <c r="AM2317" s="1">
        <f t="shared" si="33"/>
        <v>0</v>
      </c>
    </row>
    <row r="2318" spans="1:39" x14ac:dyDescent="0.35">
      <c r="A2318">
        <v>2314</v>
      </c>
      <c r="B2318">
        <v>2315</v>
      </c>
      <c r="F2318" s="63"/>
      <c r="G2318" s="63"/>
      <c r="H2318" t="s">
        <v>78</v>
      </c>
      <c r="I2318" s="64">
        <v>0</v>
      </c>
      <c r="J2318" s="31"/>
      <c r="K2318" s="31"/>
      <c r="L2318" s="31"/>
      <c r="M2318" s="31"/>
      <c r="N2318" s="4"/>
      <c r="AG2318" t="s">
        <v>2037</v>
      </c>
      <c r="AM2318" s="1">
        <f t="shared" si="33"/>
        <v>0</v>
      </c>
    </row>
    <row r="2319" spans="1:39" x14ac:dyDescent="0.35">
      <c r="A2319">
        <v>2315</v>
      </c>
      <c r="B2319">
        <v>2316</v>
      </c>
      <c r="F2319" s="63"/>
      <c r="G2319" s="63"/>
      <c r="H2319" t="s">
        <v>78</v>
      </c>
      <c r="I2319" s="64">
        <v>0</v>
      </c>
      <c r="J2319" s="31"/>
      <c r="K2319" s="31"/>
      <c r="L2319" s="31"/>
      <c r="M2319" s="31"/>
      <c r="N2319" s="4"/>
      <c r="AG2319" t="s">
        <v>2038</v>
      </c>
      <c r="AM2319" s="1">
        <f t="shared" si="33"/>
        <v>0</v>
      </c>
    </row>
    <row r="2320" spans="1:39" x14ac:dyDescent="0.35">
      <c r="A2320">
        <v>2316</v>
      </c>
      <c r="B2320">
        <v>2317</v>
      </c>
      <c r="F2320" s="63"/>
      <c r="G2320" s="63"/>
      <c r="H2320" t="s">
        <v>78</v>
      </c>
      <c r="I2320" s="64">
        <v>0</v>
      </c>
      <c r="J2320" s="31"/>
      <c r="K2320" s="31"/>
      <c r="L2320" s="31"/>
      <c r="M2320" s="31"/>
      <c r="N2320" s="4"/>
      <c r="AG2320" t="s">
        <v>2039</v>
      </c>
      <c r="AM2320" s="1">
        <f t="shared" si="33"/>
        <v>0</v>
      </c>
    </row>
    <row r="2321" spans="1:39" x14ac:dyDescent="0.35">
      <c r="A2321">
        <v>2317</v>
      </c>
      <c r="B2321">
        <v>2318</v>
      </c>
      <c r="F2321" s="63"/>
      <c r="G2321" s="63"/>
      <c r="H2321" t="s">
        <v>78</v>
      </c>
      <c r="I2321" s="64">
        <v>0</v>
      </c>
      <c r="J2321" s="31"/>
      <c r="K2321" s="31"/>
      <c r="L2321" s="31"/>
      <c r="M2321" s="31"/>
      <c r="N2321" s="4"/>
      <c r="AG2321" t="s">
        <v>2040</v>
      </c>
      <c r="AM2321" s="1">
        <f t="shared" si="33"/>
        <v>0</v>
      </c>
    </row>
    <row r="2322" spans="1:39" x14ac:dyDescent="0.35">
      <c r="A2322">
        <v>2318</v>
      </c>
      <c r="B2322">
        <v>2319</v>
      </c>
      <c r="F2322" s="63"/>
      <c r="G2322" s="63"/>
      <c r="H2322" t="s">
        <v>78</v>
      </c>
      <c r="I2322" s="64">
        <v>0</v>
      </c>
      <c r="J2322" s="31"/>
      <c r="K2322" s="31"/>
      <c r="L2322" s="31"/>
      <c r="M2322" s="31"/>
      <c r="N2322" s="4"/>
      <c r="AG2322" t="s">
        <v>2041</v>
      </c>
      <c r="AM2322" s="1">
        <f t="shared" si="33"/>
        <v>0</v>
      </c>
    </row>
    <row r="2323" spans="1:39" x14ac:dyDescent="0.35">
      <c r="A2323">
        <v>2319</v>
      </c>
      <c r="B2323">
        <v>2320</v>
      </c>
      <c r="F2323" s="63"/>
      <c r="G2323" s="63"/>
      <c r="H2323" t="s">
        <v>78</v>
      </c>
      <c r="I2323" s="64">
        <v>0</v>
      </c>
      <c r="J2323" s="31"/>
      <c r="K2323" s="31"/>
      <c r="L2323" s="31"/>
      <c r="M2323" s="31"/>
      <c r="N2323" s="4"/>
      <c r="AG2323" t="s">
        <v>2042</v>
      </c>
      <c r="AM2323" s="1">
        <f t="shared" si="33"/>
        <v>0</v>
      </c>
    </row>
    <row r="2324" spans="1:39" x14ac:dyDescent="0.35">
      <c r="A2324">
        <v>2320</v>
      </c>
      <c r="B2324">
        <v>2321</v>
      </c>
      <c r="F2324" s="63"/>
      <c r="G2324" s="63"/>
      <c r="H2324" t="s">
        <v>78</v>
      </c>
      <c r="I2324" s="64">
        <v>0</v>
      </c>
      <c r="J2324" s="31"/>
      <c r="K2324" s="31"/>
      <c r="L2324" s="31"/>
      <c r="M2324" s="31"/>
      <c r="N2324" s="4"/>
      <c r="AG2324" t="s">
        <v>2043</v>
      </c>
      <c r="AM2324" s="1">
        <f t="shared" si="33"/>
        <v>0</v>
      </c>
    </row>
    <row r="2325" spans="1:39" x14ac:dyDescent="0.35">
      <c r="A2325">
        <v>2321</v>
      </c>
      <c r="B2325">
        <v>2322</v>
      </c>
      <c r="F2325" s="63"/>
      <c r="G2325" s="63"/>
      <c r="H2325" t="s">
        <v>78</v>
      </c>
      <c r="I2325" s="64">
        <v>0</v>
      </c>
      <c r="J2325" s="31"/>
      <c r="K2325" s="31"/>
      <c r="L2325" s="31"/>
      <c r="M2325" s="31"/>
      <c r="N2325" s="4"/>
      <c r="AG2325" t="s">
        <v>2044</v>
      </c>
      <c r="AM2325" s="1">
        <f t="shared" si="33"/>
        <v>0</v>
      </c>
    </row>
    <row r="2326" spans="1:39" x14ac:dyDescent="0.35">
      <c r="A2326">
        <v>2322</v>
      </c>
      <c r="B2326">
        <v>2323</v>
      </c>
      <c r="F2326" s="63"/>
      <c r="G2326" s="63"/>
      <c r="H2326" t="s">
        <v>78</v>
      </c>
      <c r="I2326" s="64">
        <v>0</v>
      </c>
      <c r="J2326" s="31"/>
      <c r="K2326" s="31"/>
      <c r="L2326" s="31"/>
      <c r="M2326" s="31"/>
      <c r="N2326" s="4"/>
      <c r="AG2326" t="s">
        <v>2045</v>
      </c>
      <c r="AM2326" s="1">
        <f t="shared" si="33"/>
        <v>0</v>
      </c>
    </row>
    <row r="2327" spans="1:39" x14ac:dyDescent="0.35">
      <c r="A2327">
        <v>2323</v>
      </c>
      <c r="B2327">
        <v>2324</v>
      </c>
      <c r="F2327" s="63"/>
      <c r="G2327" s="63"/>
      <c r="H2327" t="s">
        <v>78</v>
      </c>
      <c r="I2327" s="64">
        <v>0</v>
      </c>
      <c r="J2327" s="31"/>
      <c r="K2327" s="31"/>
      <c r="L2327" s="31"/>
      <c r="M2327" s="31"/>
      <c r="N2327" s="4"/>
      <c r="AG2327" t="s">
        <v>2046</v>
      </c>
      <c r="AM2327" s="1">
        <f t="shared" si="33"/>
        <v>0</v>
      </c>
    </row>
    <row r="2328" spans="1:39" x14ac:dyDescent="0.35">
      <c r="A2328">
        <v>2324</v>
      </c>
      <c r="B2328">
        <v>2325</v>
      </c>
      <c r="F2328" s="63"/>
      <c r="G2328" s="63"/>
      <c r="H2328" t="s">
        <v>78</v>
      </c>
      <c r="I2328" s="64">
        <v>0</v>
      </c>
      <c r="J2328" s="31"/>
      <c r="K2328" s="31"/>
      <c r="L2328" s="31"/>
      <c r="M2328" s="31"/>
      <c r="N2328" s="4"/>
      <c r="AG2328" t="s">
        <v>2047</v>
      </c>
      <c r="AM2328" s="1">
        <f t="shared" si="33"/>
        <v>0</v>
      </c>
    </row>
    <row r="2329" spans="1:39" x14ac:dyDescent="0.35">
      <c r="A2329">
        <v>2325</v>
      </c>
      <c r="B2329">
        <v>2326</v>
      </c>
      <c r="F2329" s="63"/>
      <c r="G2329" s="63"/>
      <c r="H2329" t="s">
        <v>78</v>
      </c>
      <c r="I2329" s="64">
        <v>0</v>
      </c>
      <c r="J2329" s="31"/>
      <c r="K2329" s="31"/>
      <c r="L2329" s="31"/>
      <c r="M2329" s="31"/>
      <c r="N2329" s="4"/>
      <c r="AG2329" t="s">
        <v>2048</v>
      </c>
      <c r="AM2329" s="1">
        <f t="shared" si="33"/>
        <v>0</v>
      </c>
    </row>
    <row r="2330" spans="1:39" x14ac:dyDescent="0.35">
      <c r="A2330">
        <v>2326</v>
      </c>
      <c r="B2330">
        <v>2327</v>
      </c>
      <c r="F2330" s="63"/>
      <c r="G2330" s="63"/>
      <c r="H2330" t="s">
        <v>78</v>
      </c>
      <c r="I2330" s="64">
        <v>0</v>
      </c>
      <c r="J2330" s="31"/>
      <c r="K2330" s="31"/>
      <c r="L2330" s="31"/>
      <c r="M2330" s="31"/>
      <c r="N2330" s="4"/>
      <c r="AG2330" t="s">
        <v>2049</v>
      </c>
      <c r="AM2330" s="1">
        <f t="shared" si="33"/>
        <v>0</v>
      </c>
    </row>
    <row r="2331" spans="1:39" x14ac:dyDescent="0.35">
      <c r="A2331">
        <v>2327</v>
      </c>
      <c r="B2331">
        <v>2328</v>
      </c>
      <c r="F2331" s="63"/>
      <c r="G2331" s="63"/>
      <c r="H2331" t="s">
        <v>78</v>
      </c>
      <c r="I2331" s="64">
        <v>0</v>
      </c>
      <c r="J2331" s="31"/>
      <c r="K2331" s="31"/>
      <c r="L2331" s="31"/>
      <c r="M2331" s="31"/>
      <c r="N2331" s="4"/>
      <c r="AG2331" t="s">
        <v>2050</v>
      </c>
      <c r="AM2331" s="1">
        <f t="shared" si="33"/>
        <v>0</v>
      </c>
    </row>
    <row r="2332" spans="1:39" x14ac:dyDescent="0.35">
      <c r="A2332">
        <v>2328</v>
      </c>
      <c r="B2332">
        <v>2329</v>
      </c>
      <c r="F2332" s="63"/>
      <c r="G2332" s="63"/>
      <c r="H2332" t="s">
        <v>78</v>
      </c>
      <c r="I2332" s="64">
        <v>0</v>
      </c>
      <c r="J2332" s="31"/>
      <c r="K2332" s="31"/>
      <c r="L2332" s="31"/>
      <c r="M2332" s="31"/>
      <c r="N2332" s="4"/>
      <c r="AG2332" t="s">
        <v>2051</v>
      </c>
      <c r="AM2332" s="1">
        <f t="shared" si="33"/>
        <v>0</v>
      </c>
    </row>
    <row r="2333" spans="1:39" x14ac:dyDescent="0.35">
      <c r="A2333">
        <v>2329</v>
      </c>
      <c r="B2333">
        <v>2330</v>
      </c>
      <c r="F2333" s="63"/>
      <c r="G2333" s="63"/>
      <c r="H2333" t="s">
        <v>78</v>
      </c>
      <c r="I2333" s="64">
        <v>0</v>
      </c>
      <c r="J2333" s="31"/>
      <c r="K2333" s="31"/>
      <c r="L2333" s="31"/>
      <c r="M2333" s="31"/>
      <c r="N2333" s="4"/>
      <c r="AG2333" t="s">
        <v>2052</v>
      </c>
      <c r="AM2333" s="1">
        <f t="shared" si="33"/>
        <v>0</v>
      </c>
    </row>
    <row r="2334" spans="1:39" x14ac:dyDescent="0.35">
      <c r="A2334">
        <v>2330</v>
      </c>
      <c r="B2334">
        <v>2331</v>
      </c>
      <c r="F2334" s="63"/>
      <c r="G2334" s="63"/>
      <c r="H2334" t="s">
        <v>78</v>
      </c>
      <c r="I2334" s="64">
        <v>0</v>
      </c>
      <c r="J2334" s="31"/>
      <c r="K2334" s="31"/>
      <c r="L2334" s="31"/>
      <c r="M2334" s="31"/>
      <c r="N2334" s="4"/>
      <c r="AG2334" t="s">
        <v>2053</v>
      </c>
      <c r="AM2334" s="1">
        <f t="shared" si="33"/>
        <v>0</v>
      </c>
    </row>
    <row r="2335" spans="1:39" x14ac:dyDescent="0.35">
      <c r="A2335">
        <v>2331</v>
      </c>
      <c r="B2335">
        <v>2332</v>
      </c>
      <c r="F2335" s="63"/>
      <c r="G2335" s="63"/>
      <c r="H2335" t="s">
        <v>78</v>
      </c>
      <c r="I2335" s="64">
        <v>0</v>
      </c>
      <c r="J2335" s="31"/>
      <c r="K2335" s="31"/>
      <c r="L2335" s="31"/>
      <c r="M2335" s="31"/>
      <c r="N2335" s="4"/>
      <c r="AG2335" t="s">
        <v>2054</v>
      </c>
      <c r="AM2335" s="1">
        <f t="shared" si="33"/>
        <v>0</v>
      </c>
    </row>
    <row r="2336" spans="1:39" x14ac:dyDescent="0.35">
      <c r="A2336">
        <v>2332</v>
      </c>
      <c r="B2336">
        <v>2333</v>
      </c>
      <c r="F2336" s="63"/>
      <c r="G2336" s="63"/>
      <c r="H2336" t="s">
        <v>78</v>
      </c>
      <c r="I2336" s="64">
        <v>0</v>
      </c>
      <c r="J2336" s="31"/>
      <c r="K2336" s="31"/>
      <c r="L2336" s="31"/>
      <c r="M2336" s="31"/>
      <c r="N2336" s="4"/>
      <c r="AG2336" t="s">
        <v>2055</v>
      </c>
      <c r="AM2336" s="1">
        <f t="shared" si="33"/>
        <v>0</v>
      </c>
    </row>
    <row r="2337" spans="1:39" x14ac:dyDescent="0.35">
      <c r="A2337">
        <v>2333</v>
      </c>
      <c r="B2337">
        <v>2334</v>
      </c>
      <c r="F2337" s="63"/>
      <c r="G2337" s="63"/>
      <c r="H2337" t="s">
        <v>78</v>
      </c>
      <c r="I2337" s="64">
        <v>0</v>
      </c>
      <c r="J2337" s="31"/>
      <c r="K2337" s="31"/>
      <c r="L2337" s="31"/>
      <c r="M2337" s="31"/>
      <c r="N2337" s="4"/>
      <c r="AG2337" t="s">
        <v>2056</v>
      </c>
      <c r="AM2337" s="1">
        <f t="shared" si="33"/>
        <v>0</v>
      </c>
    </row>
    <row r="2338" spans="1:39" x14ac:dyDescent="0.35">
      <c r="A2338">
        <v>2334</v>
      </c>
      <c r="B2338">
        <v>2335</v>
      </c>
      <c r="F2338" s="63"/>
      <c r="G2338" s="63"/>
      <c r="H2338" t="s">
        <v>78</v>
      </c>
      <c r="I2338" s="64">
        <v>0</v>
      </c>
      <c r="J2338" s="31"/>
      <c r="K2338" s="31"/>
      <c r="L2338" s="31"/>
      <c r="M2338" s="31"/>
      <c r="N2338" s="4"/>
      <c r="AG2338" t="s">
        <v>2057</v>
      </c>
      <c r="AM2338" s="1">
        <f t="shared" si="33"/>
        <v>0</v>
      </c>
    </row>
    <row r="2339" spans="1:39" x14ac:dyDescent="0.35">
      <c r="A2339">
        <v>2335</v>
      </c>
      <c r="B2339">
        <v>2336</v>
      </c>
      <c r="F2339" s="63"/>
      <c r="G2339" s="63"/>
      <c r="H2339" t="s">
        <v>78</v>
      </c>
      <c r="I2339" s="64">
        <v>0</v>
      </c>
      <c r="J2339" s="31"/>
      <c r="K2339" s="31"/>
      <c r="L2339" s="31"/>
      <c r="M2339" s="31"/>
      <c r="N2339" s="4"/>
      <c r="AG2339" t="s">
        <v>2058</v>
      </c>
      <c r="AM2339" s="1">
        <f t="shared" si="33"/>
        <v>0</v>
      </c>
    </row>
    <row r="2340" spans="1:39" x14ac:dyDescent="0.35">
      <c r="A2340">
        <v>2336</v>
      </c>
      <c r="B2340">
        <v>2337</v>
      </c>
      <c r="F2340" s="63"/>
      <c r="G2340" s="63"/>
      <c r="H2340" t="s">
        <v>78</v>
      </c>
      <c r="I2340" s="64">
        <v>0</v>
      </c>
      <c r="J2340" s="31"/>
      <c r="K2340" s="31"/>
      <c r="L2340" s="31"/>
      <c r="M2340" s="31"/>
      <c r="N2340" s="4"/>
      <c r="AG2340" t="s">
        <v>2059</v>
      </c>
      <c r="AM2340" s="1">
        <f t="shared" si="33"/>
        <v>0</v>
      </c>
    </row>
    <row r="2341" spans="1:39" x14ac:dyDescent="0.35">
      <c r="A2341">
        <v>2337</v>
      </c>
      <c r="B2341">
        <v>2338</v>
      </c>
      <c r="F2341" s="63"/>
      <c r="G2341" s="63"/>
      <c r="H2341" t="s">
        <v>78</v>
      </c>
      <c r="I2341" s="64">
        <v>0</v>
      </c>
      <c r="J2341" s="31"/>
      <c r="K2341" s="31"/>
      <c r="L2341" s="31"/>
      <c r="M2341" s="31"/>
      <c r="N2341" s="4"/>
      <c r="AG2341" t="s">
        <v>2060</v>
      </c>
      <c r="AM2341" s="1">
        <f t="shared" si="33"/>
        <v>0</v>
      </c>
    </row>
    <row r="2342" spans="1:39" x14ac:dyDescent="0.35">
      <c r="A2342">
        <v>2338</v>
      </c>
      <c r="B2342">
        <v>2339</v>
      </c>
      <c r="F2342" s="63"/>
      <c r="G2342" s="63"/>
      <c r="H2342" t="s">
        <v>78</v>
      </c>
      <c r="I2342" s="64">
        <v>0</v>
      </c>
      <c r="J2342" s="31"/>
      <c r="K2342" s="31"/>
      <c r="L2342" s="31"/>
      <c r="M2342" s="31"/>
      <c r="N2342" s="4"/>
      <c r="AG2342" t="s">
        <v>2061</v>
      </c>
      <c r="AM2342" s="1">
        <f t="shared" si="33"/>
        <v>0</v>
      </c>
    </row>
    <row r="2343" spans="1:39" x14ac:dyDescent="0.35">
      <c r="A2343">
        <v>2339</v>
      </c>
      <c r="B2343">
        <v>2340</v>
      </c>
      <c r="F2343" s="63"/>
      <c r="G2343" s="63"/>
      <c r="H2343" t="s">
        <v>78</v>
      </c>
      <c r="I2343" s="64">
        <v>0</v>
      </c>
      <c r="J2343" s="31"/>
      <c r="K2343" s="31"/>
      <c r="L2343" s="31"/>
      <c r="M2343" s="31"/>
      <c r="N2343" s="4"/>
      <c r="AG2343" t="s">
        <v>2062</v>
      </c>
      <c r="AM2343" s="1">
        <f t="shared" si="33"/>
        <v>0</v>
      </c>
    </row>
    <row r="2344" spans="1:39" x14ac:dyDescent="0.35">
      <c r="A2344">
        <v>2340</v>
      </c>
      <c r="B2344">
        <v>2341</v>
      </c>
      <c r="F2344" s="63"/>
      <c r="G2344" s="63"/>
      <c r="H2344" t="s">
        <v>78</v>
      </c>
      <c r="I2344" s="64">
        <v>0</v>
      </c>
      <c r="J2344" s="31"/>
      <c r="K2344" s="31"/>
      <c r="L2344" s="31"/>
      <c r="M2344" s="31"/>
      <c r="N2344" s="4"/>
      <c r="AG2344" t="s">
        <v>2063</v>
      </c>
      <c r="AM2344" s="1">
        <f t="shared" si="33"/>
        <v>0</v>
      </c>
    </row>
    <row r="2345" spans="1:39" x14ac:dyDescent="0.35">
      <c r="A2345">
        <v>2341</v>
      </c>
      <c r="B2345">
        <v>2342</v>
      </c>
      <c r="F2345" s="63"/>
      <c r="G2345" s="63"/>
      <c r="H2345" t="s">
        <v>78</v>
      </c>
      <c r="I2345" s="64">
        <v>0</v>
      </c>
      <c r="J2345" s="31"/>
      <c r="K2345" s="31"/>
      <c r="L2345" s="31"/>
      <c r="M2345" s="31"/>
      <c r="N2345" s="4"/>
      <c r="AG2345" t="s">
        <v>2064</v>
      </c>
      <c r="AM2345" s="1">
        <f t="shared" si="33"/>
        <v>0</v>
      </c>
    </row>
    <row r="2346" spans="1:39" x14ac:dyDescent="0.35">
      <c r="A2346">
        <v>2342</v>
      </c>
      <c r="B2346">
        <v>2343</v>
      </c>
      <c r="F2346" s="63"/>
      <c r="G2346" s="63"/>
      <c r="H2346" t="s">
        <v>78</v>
      </c>
      <c r="I2346" s="64">
        <v>0</v>
      </c>
      <c r="J2346" s="31"/>
      <c r="K2346" s="31"/>
      <c r="L2346" s="31"/>
      <c r="M2346" s="31"/>
      <c r="N2346" s="4"/>
      <c r="AG2346" t="s">
        <v>2065</v>
      </c>
      <c r="AM2346" s="1">
        <f t="shared" si="33"/>
        <v>0</v>
      </c>
    </row>
    <row r="2347" spans="1:39" x14ac:dyDescent="0.35">
      <c r="A2347">
        <v>2343</v>
      </c>
      <c r="B2347">
        <v>2344</v>
      </c>
      <c r="F2347" s="63"/>
      <c r="G2347" s="63"/>
      <c r="H2347" t="s">
        <v>78</v>
      </c>
      <c r="I2347" s="64">
        <v>0</v>
      </c>
      <c r="J2347" s="31"/>
      <c r="K2347" s="31"/>
      <c r="L2347" s="31"/>
      <c r="M2347" s="31"/>
      <c r="N2347" s="4"/>
      <c r="AG2347" t="s">
        <v>2066</v>
      </c>
      <c r="AM2347" s="1">
        <f t="shared" si="33"/>
        <v>0</v>
      </c>
    </row>
    <row r="2348" spans="1:39" x14ac:dyDescent="0.35">
      <c r="A2348">
        <v>2344</v>
      </c>
      <c r="B2348">
        <v>2345</v>
      </c>
      <c r="F2348" s="63"/>
      <c r="G2348" s="63"/>
      <c r="H2348" t="s">
        <v>78</v>
      </c>
      <c r="I2348" s="64">
        <v>0</v>
      </c>
      <c r="J2348" s="31"/>
      <c r="K2348" s="31"/>
      <c r="L2348" s="31"/>
      <c r="M2348" s="31"/>
      <c r="N2348" s="4"/>
      <c r="AG2348" t="s">
        <v>2067</v>
      </c>
      <c r="AM2348" s="1">
        <f t="shared" si="33"/>
        <v>0</v>
      </c>
    </row>
    <row r="2349" spans="1:39" x14ac:dyDescent="0.35">
      <c r="A2349">
        <v>2345</v>
      </c>
      <c r="B2349">
        <v>2346</v>
      </c>
      <c r="F2349" s="63"/>
      <c r="G2349" s="63"/>
      <c r="H2349" t="s">
        <v>78</v>
      </c>
      <c r="I2349" s="64">
        <v>0</v>
      </c>
      <c r="J2349" s="31"/>
      <c r="K2349" s="31"/>
      <c r="L2349" s="31"/>
      <c r="M2349" s="31"/>
      <c r="N2349" s="4"/>
      <c r="AG2349" t="s">
        <v>2068</v>
      </c>
      <c r="AM2349" s="1">
        <f t="shared" si="33"/>
        <v>0</v>
      </c>
    </row>
    <row r="2350" spans="1:39" x14ac:dyDescent="0.35">
      <c r="A2350">
        <v>2346</v>
      </c>
      <c r="B2350">
        <v>2347</v>
      </c>
      <c r="F2350" s="63"/>
      <c r="G2350" s="63"/>
      <c r="H2350" t="s">
        <v>78</v>
      </c>
      <c r="I2350" s="64">
        <v>0</v>
      </c>
      <c r="J2350" s="31"/>
      <c r="K2350" s="31"/>
      <c r="L2350" s="31"/>
      <c r="M2350" s="31"/>
      <c r="N2350" s="4"/>
      <c r="AG2350" t="s">
        <v>2069</v>
      </c>
      <c r="AM2350" s="1">
        <f t="shared" si="33"/>
        <v>0</v>
      </c>
    </row>
    <row r="2351" spans="1:39" x14ac:dyDescent="0.35">
      <c r="A2351">
        <v>2347</v>
      </c>
      <c r="B2351">
        <v>2348</v>
      </c>
      <c r="F2351" s="63"/>
      <c r="G2351" s="63"/>
      <c r="H2351" t="s">
        <v>78</v>
      </c>
      <c r="I2351" s="64">
        <v>0</v>
      </c>
      <c r="J2351" s="31"/>
      <c r="K2351" s="31"/>
      <c r="L2351" s="31"/>
      <c r="M2351" s="31"/>
      <c r="N2351" s="4"/>
      <c r="AG2351" t="s">
        <v>2070</v>
      </c>
      <c r="AM2351" s="1">
        <f t="shared" si="33"/>
        <v>0</v>
      </c>
    </row>
    <row r="2352" spans="1:39" x14ac:dyDescent="0.35">
      <c r="A2352">
        <v>2348</v>
      </c>
      <c r="B2352">
        <v>2349</v>
      </c>
      <c r="F2352" s="63"/>
      <c r="G2352" s="63"/>
      <c r="H2352" t="s">
        <v>78</v>
      </c>
      <c r="I2352" s="64">
        <v>0</v>
      </c>
      <c r="J2352" s="31"/>
      <c r="K2352" s="31"/>
      <c r="L2352" s="31"/>
      <c r="M2352" s="31"/>
      <c r="N2352" s="4"/>
      <c r="AG2352" t="s">
        <v>2071</v>
      </c>
      <c r="AM2352" s="1">
        <f t="shared" si="33"/>
        <v>0</v>
      </c>
    </row>
    <row r="2353" spans="1:39" x14ac:dyDescent="0.35">
      <c r="A2353">
        <v>2349</v>
      </c>
      <c r="B2353">
        <v>2350</v>
      </c>
      <c r="F2353" s="63"/>
      <c r="G2353" s="63"/>
      <c r="H2353" t="s">
        <v>78</v>
      </c>
      <c r="I2353" s="64">
        <v>0</v>
      </c>
      <c r="J2353" s="31"/>
      <c r="K2353" s="31"/>
      <c r="L2353" s="31"/>
      <c r="M2353" s="31"/>
      <c r="N2353" s="4"/>
      <c r="AG2353" t="s">
        <v>2072</v>
      </c>
      <c r="AM2353" s="1">
        <f t="shared" si="33"/>
        <v>0</v>
      </c>
    </row>
    <row r="2354" spans="1:39" x14ac:dyDescent="0.35">
      <c r="A2354">
        <v>2350</v>
      </c>
      <c r="B2354">
        <v>2351</v>
      </c>
      <c r="F2354" s="63"/>
      <c r="G2354" s="63"/>
      <c r="H2354" t="s">
        <v>78</v>
      </c>
      <c r="I2354" s="64">
        <v>0</v>
      </c>
      <c r="J2354" s="31"/>
      <c r="K2354" s="31"/>
      <c r="L2354" s="31"/>
      <c r="M2354" s="31"/>
      <c r="N2354" s="4"/>
      <c r="AG2354" t="s">
        <v>2073</v>
      </c>
      <c r="AM2354" s="1">
        <f t="shared" si="33"/>
        <v>0</v>
      </c>
    </row>
    <row r="2355" spans="1:39" x14ac:dyDescent="0.35">
      <c r="A2355">
        <v>2351</v>
      </c>
      <c r="B2355">
        <v>2352</v>
      </c>
      <c r="F2355" s="63"/>
      <c r="G2355" s="63"/>
      <c r="H2355" t="s">
        <v>78</v>
      </c>
      <c r="I2355" s="64">
        <v>0</v>
      </c>
      <c r="J2355" s="31"/>
      <c r="K2355" s="31"/>
      <c r="L2355" s="31"/>
      <c r="M2355" s="31"/>
      <c r="N2355" s="4"/>
      <c r="AG2355" t="s">
        <v>2074</v>
      </c>
      <c r="AM2355" s="1">
        <f t="shared" si="33"/>
        <v>0</v>
      </c>
    </row>
    <row r="2356" spans="1:39" x14ac:dyDescent="0.35">
      <c r="A2356">
        <v>2352</v>
      </c>
      <c r="B2356">
        <v>2353</v>
      </c>
      <c r="F2356" s="63"/>
      <c r="G2356" s="63"/>
      <c r="H2356" t="s">
        <v>78</v>
      </c>
      <c r="I2356" s="64">
        <v>0</v>
      </c>
      <c r="J2356" s="31"/>
      <c r="K2356" s="31"/>
      <c r="L2356" s="31"/>
      <c r="M2356" s="31"/>
      <c r="N2356" s="4"/>
      <c r="AG2356" t="s">
        <v>2075</v>
      </c>
      <c r="AM2356" s="1">
        <f t="shared" si="33"/>
        <v>0</v>
      </c>
    </row>
    <row r="2357" spans="1:39" x14ac:dyDescent="0.35">
      <c r="A2357">
        <v>2353</v>
      </c>
      <c r="B2357">
        <v>2354</v>
      </c>
      <c r="F2357" s="63"/>
      <c r="G2357" s="63"/>
      <c r="H2357" t="s">
        <v>78</v>
      </c>
      <c r="I2357" s="64">
        <v>0</v>
      </c>
      <c r="J2357" s="31"/>
      <c r="K2357" s="31"/>
      <c r="L2357" s="31"/>
      <c r="M2357" s="31"/>
      <c r="N2357" s="4"/>
      <c r="AG2357" t="s">
        <v>2076</v>
      </c>
      <c r="AM2357" s="1">
        <f t="shared" si="33"/>
        <v>0</v>
      </c>
    </row>
    <row r="2358" spans="1:39" x14ac:dyDescent="0.35">
      <c r="A2358">
        <v>2354</v>
      </c>
      <c r="B2358">
        <v>2355</v>
      </c>
      <c r="F2358" s="63"/>
      <c r="G2358" s="63"/>
      <c r="H2358" t="s">
        <v>78</v>
      </c>
      <c r="I2358" s="64">
        <v>0</v>
      </c>
      <c r="J2358" s="31"/>
      <c r="K2358" s="31"/>
      <c r="L2358" s="31"/>
      <c r="M2358" s="31"/>
      <c r="N2358" s="4"/>
      <c r="AG2358" t="s">
        <v>2077</v>
      </c>
      <c r="AM2358" s="1">
        <f t="shared" si="33"/>
        <v>0</v>
      </c>
    </row>
    <row r="2359" spans="1:39" x14ac:dyDescent="0.35">
      <c r="A2359">
        <v>2355</v>
      </c>
      <c r="B2359">
        <v>2356</v>
      </c>
      <c r="F2359" s="63"/>
      <c r="G2359" s="63"/>
      <c r="H2359" t="s">
        <v>78</v>
      </c>
      <c r="I2359" s="64">
        <v>0</v>
      </c>
      <c r="J2359" s="31"/>
      <c r="K2359" s="31"/>
      <c r="L2359" s="31"/>
      <c r="M2359" s="31"/>
      <c r="N2359" s="4"/>
      <c r="AG2359" t="s">
        <v>2078</v>
      </c>
      <c r="AM2359" s="1">
        <f t="shared" si="33"/>
        <v>0</v>
      </c>
    </row>
    <row r="2360" spans="1:39" x14ac:dyDescent="0.35">
      <c r="A2360">
        <v>2356</v>
      </c>
      <c r="B2360">
        <v>2357</v>
      </c>
      <c r="F2360" s="63"/>
      <c r="G2360" s="63"/>
      <c r="H2360" t="s">
        <v>78</v>
      </c>
      <c r="I2360" s="64">
        <v>0</v>
      </c>
      <c r="J2360" s="31"/>
      <c r="K2360" s="31"/>
      <c r="L2360" s="31"/>
      <c r="M2360" s="31"/>
      <c r="N2360" s="4"/>
      <c r="AG2360" t="s">
        <v>2079</v>
      </c>
      <c r="AM2360" s="1">
        <f t="shared" si="33"/>
        <v>0</v>
      </c>
    </row>
    <row r="2361" spans="1:39" x14ac:dyDescent="0.35">
      <c r="A2361">
        <v>2357</v>
      </c>
      <c r="B2361">
        <v>2358</v>
      </c>
      <c r="F2361" s="63"/>
      <c r="G2361" s="63"/>
      <c r="H2361" t="s">
        <v>78</v>
      </c>
      <c r="I2361" s="64">
        <v>0</v>
      </c>
      <c r="J2361" s="31"/>
      <c r="K2361" s="31"/>
      <c r="L2361" s="31"/>
      <c r="M2361" s="31"/>
      <c r="N2361" s="4"/>
      <c r="AG2361" t="s">
        <v>2080</v>
      </c>
      <c r="AM2361" s="1">
        <f t="shared" si="33"/>
        <v>0</v>
      </c>
    </row>
    <row r="2362" spans="1:39" x14ac:dyDescent="0.35">
      <c r="A2362">
        <v>2358</v>
      </c>
      <c r="B2362">
        <v>2359</v>
      </c>
      <c r="F2362" s="63"/>
      <c r="G2362" s="63"/>
      <c r="H2362" t="s">
        <v>78</v>
      </c>
      <c r="I2362" s="64">
        <v>0</v>
      </c>
      <c r="J2362" s="31"/>
      <c r="K2362" s="31"/>
      <c r="L2362" s="31"/>
      <c r="M2362" s="31"/>
      <c r="N2362" s="4"/>
      <c r="AG2362" t="s">
        <v>2081</v>
      </c>
      <c r="AM2362" s="1">
        <f t="shared" si="33"/>
        <v>0</v>
      </c>
    </row>
    <row r="2363" spans="1:39" x14ac:dyDescent="0.35">
      <c r="A2363">
        <v>2359</v>
      </c>
      <c r="B2363">
        <v>2360</v>
      </c>
      <c r="F2363" s="63"/>
      <c r="G2363" s="63"/>
      <c r="H2363" t="s">
        <v>78</v>
      </c>
      <c r="I2363" s="64">
        <v>0</v>
      </c>
      <c r="J2363" s="31"/>
      <c r="K2363" s="31"/>
      <c r="L2363" s="31"/>
      <c r="M2363" s="31"/>
      <c r="N2363" s="4"/>
      <c r="AG2363" t="s">
        <v>2082</v>
      </c>
      <c r="AM2363" s="1">
        <f t="shared" si="33"/>
        <v>0</v>
      </c>
    </row>
    <row r="2364" spans="1:39" x14ac:dyDescent="0.35">
      <c r="A2364">
        <v>2360</v>
      </c>
      <c r="B2364">
        <v>2361</v>
      </c>
      <c r="F2364" s="63"/>
      <c r="G2364" s="63"/>
      <c r="H2364" t="s">
        <v>78</v>
      </c>
      <c r="I2364" s="64">
        <v>0</v>
      </c>
      <c r="J2364" s="31"/>
      <c r="K2364" s="31"/>
      <c r="L2364" s="31"/>
      <c r="M2364" s="31"/>
      <c r="N2364" s="4"/>
      <c r="AG2364" t="s">
        <v>2083</v>
      </c>
      <c r="AM2364" s="1">
        <f t="shared" si="33"/>
        <v>0</v>
      </c>
    </row>
    <row r="2365" spans="1:39" x14ac:dyDescent="0.35">
      <c r="A2365">
        <v>2361</v>
      </c>
      <c r="B2365">
        <v>2362</v>
      </c>
      <c r="F2365" s="63"/>
      <c r="G2365" s="63"/>
      <c r="H2365" t="s">
        <v>78</v>
      </c>
      <c r="I2365" s="64">
        <v>0</v>
      </c>
      <c r="J2365" s="31"/>
      <c r="K2365" s="31"/>
      <c r="L2365" s="31"/>
      <c r="M2365" s="31"/>
      <c r="N2365" s="4"/>
      <c r="AG2365" t="s">
        <v>2084</v>
      </c>
      <c r="AM2365" s="1">
        <f t="shared" si="33"/>
        <v>0</v>
      </c>
    </row>
    <row r="2366" spans="1:39" x14ac:dyDescent="0.35">
      <c r="A2366">
        <v>2362</v>
      </c>
      <c r="B2366">
        <v>2363</v>
      </c>
      <c r="F2366" s="63"/>
      <c r="G2366" s="63"/>
      <c r="H2366" t="s">
        <v>78</v>
      </c>
      <c r="I2366" s="64">
        <v>0</v>
      </c>
      <c r="J2366" s="31"/>
      <c r="K2366" s="31"/>
      <c r="L2366" s="31"/>
      <c r="M2366" s="31"/>
      <c r="N2366" s="4"/>
      <c r="AG2366" t="s">
        <v>2085</v>
      </c>
      <c r="AM2366" s="1">
        <f t="shared" si="33"/>
        <v>0</v>
      </c>
    </row>
    <row r="2367" spans="1:39" x14ac:dyDescent="0.35">
      <c r="A2367">
        <v>2363</v>
      </c>
      <c r="B2367">
        <v>2364</v>
      </c>
      <c r="F2367" s="63"/>
      <c r="G2367" s="63"/>
      <c r="H2367" t="s">
        <v>78</v>
      </c>
      <c r="I2367" s="64">
        <v>0</v>
      </c>
      <c r="J2367" s="31"/>
      <c r="K2367" s="31"/>
      <c r="L2367" s="31"/>
      <c r="M2367" s="31"/>
      <c r="N2367" s="4"/>
      <c r="AG2367" t="s">
        <v>2086</v>
      </c>
      <c r="AM2367" s="1">
        <f t="shared" si="33"/>
        <v>0</v>
      </c>
    </row>
    <row r="2368" spans="1:39" x14ac:dyDescent="0.35">
      <c r="A2368">
        <v>2364</v>
      </c>
      <c r="B2368">
        <v>2365</v>
      </c>
      <c r="F2368" s="63"/>
      <c r="G2368" s="63"/>
      <c r="H2368" t="s">
        <v>78</v>
      </c>
      <c r="I2368" s="64">
        <v>0</v>
      </c>
      <c r="J2368" s="31"/>
      <c r="K2368" s="31"/>
      <c r="L2368" s="31"/>
      <c r="M2368" s="31"/>
      <c r="N2368" s="4"/>
      <c r="AG2368" t="s">
        <v>2087</v>
      </c>
      <c r="AM2368" s="1">
        <f t="shared" si="33"/>
        <v>0</v>
      </c>
    </row>
    <row r="2369" spans="1:39" x14ac:dyDescent="0.35">
      <c r="A2369">
        <v>2365</v>
      </c>
      <c r="B2369">
        <v>2366</v>
      </c>
      <c r="F2369" s="63"/>
      <c r="G2369" s="63"/>
      <c r="H2369" t="s">
        <v>78</v>
      </c>
      <c r="I2369" s="64">
        <v>0</v>
      </c>
      <c r="J2369" s="31"/>
      <c r="K2369" s="31"/>
      <c r="L2369" s="31"/>
      <c r="M2369" s="31"/>
      <c r="N2369" s="4"/>
      <c r="AG2369" t="s">
        <v>2088</v>
      </c>
      <c r="AM2369" s="1">
        <f t="shared" si="33"/>
        <v>0</v>
      </c>
    </row>
    <row r="2370" spans="1:39" x14ac:dyDescent="0.35">
      <c r="A2370">
        <v>2366</v>
      </c>
      <c r="B2370">
        <v>2367</v>
      </c>
      <c r="F2370" s="63"/>
      <c r="G2370" s="63"/>
      <c r="H2370" t="s">
        <v>78</v>
      </c>
      <c r="I2370" s="64">
        <v>0</v>
      </c>
      <c r="J2370" s="31"/>
      <c r="K2370" s="31"/>
      <c r="L2370" s="31"/>
      <c r="M2370" s="31"/>
      <c r="N2370" s="4"/>
      <c r="AG2370" t="s">
        <v>2089</v>
      </c>
      <c r="AM2370" s="1">
        <f t="shared" si="33"/>
        <v>0</v>
      </c>
    </row>
    <row r="2371" spans="1:39" x14ac:dyDescent="0.35">
      <c r="A2371">
        <v>2367</v>
      </c>
      <c r="B2371">
        <v>2368</v>
      </c>
      <c r="F2371" s="63"/>
      <c r="G2371" s="63"/>
      <c r="H2371" t="s">
        <v>78</v>
      </c>
      <c r="I2371" s="64">
        <v>0</v>
      </c>
      <c r="J2371" s="31"/>
      <c r="K2371" s="31"/>
      <c r="L2371" s="31"/>
      <c r="M2371" s="31"/>
      <c r="N2371" s="4"/>
      <c r="AG2371" t="s">
        <v>2090</v>
      </c>
      <c r="AM2371" s="1">
        <f t="shared" si="33"/>
        <v>0</v>
      </c>
    </row>
    <row r="2372" spans="1:39" x14ac:dyDescent="0.35">
      <c r="A2372">
        <v>2368</v>
      </c>
      <c r="B2372">
        <v>2369</v>
      </c>
      <c r="F2372" s="63"/>
      <c r="G2372" s="63"/>
      <c r="H2372" t="s">
        <v>78</v>
      </c>
      <c r="I2372" s="64">
        <v>0</v>
      </c>
      <c r="J2372" s="31"/>
      <c r="K2372" s="31"/>
      <c r="L2372" s="31"/>
      <c r="M2372" s="31"/>
      <c r="N2372" s="4"/>
      <c r="AG2372" t="s">
        <v>2091</v>
      </c>
      <c r="AM2372" s="1">
        <f t="shared" si="33"/>
        <v>0</v>
      </c>
    </row>
    <row r="2373" spans="1:39" x14ac:dyDescent="0.35">
      <c r="A2373">
        <v>2369</v>
      </c>
      <c r="B2373">
        <v>2370</v>
      </c>
      <c r="F2373" s="63"/>
      <c r="G2373" s="63"/>
      <c r="H2373" t="s">
        <v>78</v>
      </c>
      <c r="I2373" s="64">
        <v>0</v>
      </c>
      <c r="J2373" s="31"/>
      <c r="K2373" s="31"/>
      <c r="L2373" s="31"/>
      <c r="M2373" s="31"/>
      <c r="N2373" s="4"/>
      <c r="AG2373" t="s">
        <v>2092</v>
      </c>
      <c r="AM2373" s="1">
        <f t="shared" si="33"/>
        <v>0</v>
      </c>
    </row>
    <row r="2374" spans="1:39" x14ac:dyDescent="0.35">
      <c r="A2374">
        <v>2370</v>
      </c>
      <c r="B2374">
        <v>2371</v>
      </c>
      <c r="F2374" s="63"/>
      <c r="G2374" s="63"/>
      <c r="H2374" t="s">
        <v>78</v>
      </c>
      <c r="I2374" s="64">
        <v>0</v>
      </c>
      <c r="J2374" s="31"/>
      <c r="K2374" s="31"/>
      <c r="L2374" s="31"/>
      <c r="M2374" s="31"/>
      <c r="N2374" s="4"/>
      <c r="AG2374" t="s">
        <v>2093</v>
      </c>
      <c r="AM2374" s="1">
        <f t="shared" si="33"/>
        <v>0</v>
      </c>
    </row>
    <row r="2375" spans="1:39" x14ac:dyDescent="0.35">
      <c r="A2375">
        <v>2371</v>
      </c>
      <c r="B2375">
        <v>2372</v>
      </c>
      <c r="F2375" s="63"/>
      <c r="G2375" s="63"/>
      <c r="H2375" t="s">
        <v>78</v>
      </c>
      <c r="I2375" s="64">
        <v>0</v>
      </c>
      <c r="J2375" s="31"/>
      <c r="K2375" s="31"/>
      <c r="L2375" s="31"/>
      <c r="M2375" s="31"/>
      <c r="N2375" s="4"/>
      <c r="AG2375" t="s">
        <v>2094</v>
      </c>
      <c r="AM2375" s="1">
        <f t="shared" si="33"/>
        <v>0</v>
      </c>
    </row>
    <row r="2376" spans="1:39" x14ac:dyDescent="0.35">
      <c r="A2376">
        <v>2372</v>
      </c>
      <c r="B2376">
        <v>2373</v>
      </c>
      <c r="F2376" s="63"/>
      <c r="G2376" s="63"/>
      <c r="H2376" t="s">
        <v>78</v>
      </c>
      <c r="I2376" s="64">
        <v>0</v>
      </c>
      <c r="J2376" s="31"/>
      <c r="K2376" s="31"/>
      <c r="L2376" s="31"/>
      <c r="M2376" s="31"/>
      <c r="N2376" s="4"/>
      <c r="AG2376" t="s">
        <v>2095</v>
      </c>
      <c r="AM2376" s="1">
        <f t="shared" si="33"/>
        <v>0</v>
      </c>
    </row>
    <row r="2377" spans="1:39" x14ac:dyDescent="0.35">
      <c r="A2377">
        <v>2373</v>
      </c>
      <c r="B2377">
        <v>2374</v>
      </c>
      <c r="F2377" s="63"/>
      <c r="G2377" s="63"/>
      <c r="H2377" t="s">
        <v>78</v>
      </c>
      <c r="I2377" s="64">
        <v>0</v>
      </c>
      <c r="J2377" s="31"/>
      <c r="K2377" s="31"/>
      <c r="L2377" s="31"/>
      <c r="M2377" s="31"/>
      <c r="N2377" s="4"/>
      <c r="AG2377" t="s">
        <v>2096</v>
      </c>
      <c r="AM2377" s="1">
        <f t="shared" si="33"/>
        <v>0</v>
      </c>
    </row>
    <row r="2378" spans="1:39" x14ac:dyDescent="0.35">
      <c r="A2378">
        <v>2374</v>
      </c>
      <c r="B2378">
        <v>2375</v>
      </c>
      <c r="F2378" s="63"/>
      <c r="G2378" s="63"/>
      <c r="H2378" t="s">
        <v>78</v>
      </c>
      <c r="I2378" s="64">
        <v>0</v>
      </c>
      <c r="J2378" s="31"/>
      <c r="K2378" s="31"/>
      <c r="L2378" s="31"/>
      <c r="M2378" s="31"/>
      <c r="N2378" s="4"/>
      <c r="AG2378" t="s">
        <v>2097</v>
      </c>
      <c r="AM2378" s="1">
        <f t="shared" si="33"/>
        <v>0</v>
      </c>
    </row>
    <row r="2379" spans="1:39" x14ac:dyDescent="0.35">
      <c r="A2379">
        <v>2375</v>
      </c>
      <c r="B2379">
        <v>2376</v>
      </c>
      <c r="F2379" s="63"/>
      <c r="G2379" s="63"/>
      <c r="H2379" t="s">
        <v>78</v>
      </c>
      <c r="I2379" s="64">
        <v>0</v>
      </c>
      <c r="J2379" s="31"/>
      <c r="K2379" s="31"/>
      <c r="L2379" s="31"/>
      <c r="M2379" s="31"/>
      <c r="N2379" s="4"/>
      <c r="AG2379" t="s">
        <v>2098</v>
      </c>
      <c r="AM2379" s="1">
        <f t="shared" ref="AM2379:AM2442" si="34">HYPERLINK("E:\CAFNEC_GBRF\2023\JohnstoneRiver\Frames_for_Analysis\" &amp; F2380, F2380)</f>
        <v>0</v>
      </c>
    </row>
    <row r="2380" spans="1:39" x14ac:dyDescent="0.35">
      <c r="A2380">
        <v>2376</v>
      </c>
      <c r="B2380">
        <v>2377</v>
      </c>
      <c r="F2380" s="63"/>
      <c r="G2380" s="63"/>
      <c r="H2380" t="s">
        <v>78</v>
      </c>
      <c r="I2380" s="64">
        <v>0</v>
      </c>
      <c r="J2380" s="31"/>
      <c r="K2380" s="31"/>
      <c r="L2380" s="31"/>
      <c r="M2380" s="31"/>
      <c r="N2380" s="4"/>
      <c r="AG2380" t="s">
        <v>2099</v>
      </c>
      <c r="AM2380" s="1">
        <f t="shared" si="34"/>
        <v>0</v>
      </c>
    </row>
    <row r="2381" spans="1:39" x14ac:dyDescent="0.35">
      <c r="A2381">
        <v>2377</v>
      </c>
      <c r="B2381">
        <v>2378</v>
      </c>
      <c r="F2381" s="63"/>
      <c r="G2381" s="63"/>
      <c r="H2381" t="s">
        <v>78</v>
      </c>
      <c r="I2381" s="64">
        <v>0</v>
      </c>
      <c r="J2381" s="31"/>
      <c r="K2381" s="31"/>
      <c r="L2381" s="31"/>
      <c r="M2381" s="31"/>
      <c r="N2381" s="4"/>
      <c r="AG2381" t="s">
        <v>2100</v>
      </c>
      <c r="AM2381" s="1">
        <f t="shared" si="34"/>
        <v>0</v>
      </c>
    </row>
    <row r="2382" spans="1:39" x14ac:dyDescent="0.35">
      <c r="A2382">
        <v>2378</v>
      </c>
      <c r="B2382">
        <v>2379</v>
      </c>
      <c r="F2382" s="63"/>
      <c r="G2382" s="63"/>
      <c r="H2382" t="s">
        <v>78</v>
      </c>
      <c r="I2382" s="64">
        <v>0</v>
      </c>
      <c r="J2382" s="31"/>
      <c r="K2382" s="31"/>
      <c r="L2382" s="31"/>
      <c r="M2382" s="31"/>
      <c r="N2382" s="4"/>
      <c r="AG2382" t="s">
        <v>2101</v>
      </c>
      <c r="AM2382" s="1">
        <f t="shared" si="34"/>
        <v>0</v>
      </c>
    </row>
    <row r="2383" spans="1:39" x14ac:dyDescent="0.35">
      <c r="A2383">
        <v>2379</v>
      </c>
      <c r="B2383">
        <v>2380</v>
      </c>
      <c r="F2383" s="63"/>
      <c r="G2383" s="63"/>
      <c r="H2383" t="s">
        <v>78</v>
      </c>
      <c r="I2383" s="64">
        <v>0</v>
      </c>
      <c r="J2383" s="31"/>
      <c r="K2383" s="31"/>
      <c r="L2383" s="31"/>
      <c r="M2383" s="31"/>
      <c r="N2383" s="4"/>
      <c r="AG2383" t="s">
        <v>2102</v>
      </c>
      <c r="AM2383" s="1">
        <f t="shared" si="34"/>
        <v>0</v>
      </c>
    </row>
    <row r="2384" spans="1:39" x14ac:dyDescent="0.35">
      <c r="A2384">
        <v>2380</v>
      </c>
      <c r="B2384">
        <v>2381</v>
      </c>
      <c r="F2384" s="63"/>
      <c r="G2384" s="63"/>
      <c r="H2384" t="s">
        <v>78</v>
      </c>
      <c r="I2384" s="64">
        <v>0</v>
      </c>
      <c r="J2384" s="31"/>
      <c r="K2384" s="31"/>
      <c r="L2384" s="31"/>
      <c r="M2384" s="31"/>
      <c r="N2384" s="4"/>
      <c r="AG2384" t="s">
        <v>2103</v>
      </c>
      <c r="AM2384" s="1">
        <f t="shared" si="34"/>
        <v>0</v>
      </c>
    </row>
    <row r="2385" spans="1:39" x14ac:dyDescent="0.35">
      <c r="A2385">
        <v>2381</v>
      </c>
      <c r="B2385">
        <v>2382</v>
      </c>
      <c r="F2385" s="63"/>
      <c r="G2385" s="63"/>
      <c r="H2385" t="s">
        <v>78</v>
      </c>
      <c r="I2385" s="64">
        <v>0</v>
      </c>
      <c r="J2385" s="31"/>
      <c r="K2385" s="31"/>
      <c r="L2385" s="31"/>
      <c r="M2385" s="31"/>
      <c r="N2385" s="4"/>
      <c r="AG2385" t="s">
        <v>2104</v>
      </c>
      <c r="AM2385" s="1">
        <f t="shared" si="34"/>
        <v>0</v>
      </c>
    </row>
    <row r="2386" spans="1:39" x14ac:dyDescent="0.35">
      <c r="A2386">
        <v>2382</v>
      </c>
      <c r="B2386">
        <v>2383</v>
      </c>
      <c r="F2386" s="63"/>
      <c r="G2386" s="63"/>
      <c r="H2386" t="s">
        <v>78</v>
      </c>
      <c r="I2386" s="64">
        <v>0</v>
      </c>
      <c r="J2386" s="31"/>
      <c r="K2386" s="31"/>
      <c r="L2386" s="31"/>
      <c r="M2386" s="31"/>
      <c r="N2386" s="4"/>
      <c r="AG2386" t="s">
        <v>2105</v>
      </c>
      <c r="AM2386" s="1">
        <f t="shared" si="34"/>
        <v>0</v>
      </c>
    </row>
    <row r="2387" spans="1:39" x14ac:dyDescent="0.35">
      <c r="A2387">
        <v>2383</v>
      </c>
      <c r="B2387">
        <v>2384</v>
      </c>
      <c r="F2387" s="63"/>
      <c r="G2387" s="63"/>
      <c r="H2387" t="s">
        <v>78</v>
      </c>
      <c r="I2387" s="64">
        <v>0</v>
      </c>
      <c r="J2387" s="31"/>
      <c r="K2387" s="31"/>
      <c r="L2387" s="31"/>
      <c r="M2387" s="31"/>
      <c r="N2387" s="4"/>
      <c r="AG2387" t="s">
        <v>2106</v>
      </c>
      <c r="AM2387" s="1">
        <f t="shared" si="34"/>
        <v>0</v>
      </c>
    </row>
    <row r="2388" spans="1:39" x14ac:dyDescent="0.35">
      <c r="A2388">
        <v>2384</v>
      </c>
      <c r="B2388">
        <v>2385</v>
      </c>
      <c r="F2388" s="63"/>
      <c r="G2388" s="63"/>
      <c r="H2388" t="s">
        <v>78</v>
      </c>
      <c r="I2388" s="64">
        <v>0</v>
      </c>
      <c r="J2388" s="31"/>
      <c r="K2388" s="31"/>
      <c r="L2388" s="31"/>
      <c r="M2388" s="31"/>
      <c r="N2388" s="4"/>
      <c r="AG2388" t="s">
        <v>2107</v>
      </c>
      <c r="AM2388" s="1">
        <f t="shared" si="34"/>
        <v>0</v>
      </c>
    </row>
    <row r="2389" spans="1:39" x14ac:dyDescent="0.35">
      <c r="A2389">
        <v>2385</v>
      </c>
      <c r="B2389">
        <v>2386</v>
      </c>
      <c r="F2389" s="63"/>
      <c r="G2389" s="63"/>
      <c r="H2389" t="s">
        <v>78</v>
      </c>
      <c r="I2389" s="64">
        <v>0</v>
      </c>
      <c r="J2389" s="31"/>
      <c r="K2389" s="31"/>
      <c r="L2389" s="31"/>
      <c r="M2389" s="31"/>
      <c r="N2389" s="4"/>
      <c r="AG2389" t="s">
        <v>2108</v>
      </c>
      <c r="AM2389" s="1">
        <f t="shared" si="34"/>
        <v>0</v>
      </c>
    </row>
    <row r="2390" spans="1:39" x14ac:dyDescent="0.35">
      <c r="A2390">
        <v>2386</v>
      </c>
      <c r="B2390">
        <v>2387</v>
      </c>
      <c r="F2390" s="63"/>
      <c r="G2390" s="63"/>
      <c r="H2390" t="s">
        <v>78</v>
      </c>
      <c r="I2390" s="64">
        <v>0</v>
      </c>
      <c r="J2390" s="31"/>
      <c r="K2390" s="31"/>
      <c r="L2390" s="31"/>
      <c r="M2390" s="31"/>
      <c r="N2390" s="4"/>
      <c r="AG2390" t="s">
        <v>2109</v>
      </c>
      <c r="AM2390" s="1">
        <f t="shared" si="34"/>
        <v>0</v>
      </c>
    </row>
    <row r="2391" spans="1:39" x14ac:dyDescent="0.35">
      <c r="A2391">
        <v>2387</v>
      </c>
      <c r="B2391">
        <v>2388</v>
      </c>
      <c r="F2391" s="63"/>
      <c r="G2391" s="63"/>
      <c r="H2391" t="s">
        <v>78</v>
      </c>
      <c r="I2391" s="64">
        <v>0</v>
      </c>
      <c r="J2391" s="31"/>
      <c r="K2391" s="31"/>
      <c r="L2391" s="31"/>
      <c r="M2391" s="31"/>
      <c r="N2391" s="4"/>
      <c r="AG2391" t="s">
        <v>2110</v>
      </c>
      <c r="AM2391" s="1">
        <f t="shared" si="34"/>
        <v>0</v>
      </c>
    </row>
    <row r="2392" spans="1:39" x14ac:dyDescent="0.35">
      <c r="A2392">
        <v>2388</v>
      </c>
      <c r="B2392">
        <v>2389</v>
      </c>
      <c r="F2392" s="63"/>
      <c r="G2392" s="63"/>
      <c r="H2392" t="s">
        <v>78</v>
      </c>
      <c r="I2392" s="64">
        <v>0</v>
      </c>
      <c r="J2392" s="31"/>
      <c r="K2392" s="31"/>
      <c r="L2392" s="31"/>
      <c r="M2392" s="31"/>
      <c r="N2392" s="4"/>
      <c r="AG2392" t="s">
        <v>2111</v>
      </c>
      <c r="AM2392" s="1">
        <f t="shared" si="34"/>
        <v>0</v>
      </c>
    </row>
    <row r="2393" spans="1:39" x14ac:dyDescent="0.35">
      <c r="A2393">
        <v>2389</v>
      </c>
      <c r="B2393">
        <v>2390</v>
      </c>
      <c r="F2393" s="63"/>
      <c r="G2393" s="63"/>
      <c r="H2393" t="s">
        <v>78</v>
      </c>
      <c r="I2393" s="64">
        <v>0</v>
      </c>
      <c r="J2393" s="31"/>
      <c r="K2393" s="31"/>
      <c r="L2393" s="31"/>
      <c r="M2393" s="31"/>
      <c r="N2393" s="4"/>
      <c r="AG2393" t="s">
        <v>2112</v>
      </c>
      <c r="AM2393" s="1">
        <f t="shared" si="34"/>
        <v>0</v>
      </c>
    </row>
    <row r="2394" spans="1:39" x14ac:dyDescent="0.35">
      <c r="A2394">
        <v>2390</v>
      </c>
      <c r="B2394">
        <v>2391</v>
      </c>
      <c r="F2394" s="63"/>
      <c r="G2394" s="63"/>
      <c r="H2394" t="s">
        <v>78</v>
      </c>
      <c r="I2394" s="64">
        <v>0</v>
      </c>
      <c r="J2394" s="31"/>
      <c r="K2394" s="31"/>
      <c r="L2394" s="31"/>
      <c r="M2394" s="31"/>
      <c r="N2394" s="4"/>
      <c r="AG2394" t="s">
        <v>2113</v>
      </c>
      <c r="AM2394" s="1">
        <f t="shared" si="34"/>
        <v>0</v>
      </c>
    </row>
    <row r="2395" spans="1:39" x14ac:dyDescent="0.35">
      <c r="A2395">
        <v>2391</v>
      </c>
      <c r="B2395">
        <v>2392</v>
      </c>
      <c r="F2395" s="63"/>
      <c r="G2395" s="63"/>
      <c r="H2395" t="s">
        <v>78</v>
      </c>
      <c r="I2395" s="64">
        <v>0</v>
      </c>
      <c r="J2395" s="31"/>
      <c r="K2395" s="31"/>
      <c r="L2395" s="31"/>
      <c r="M2395" s="31"/>
      <c r="N2395" s="4"/>
      <c r="AG2395" t="s">
        <v>2114</v>
      </c>
      <c r="AM2395" s="1">
        <f t="shared" si="34"/>
        <v>0</v>
      </c>
    </row>
    <row r="2396" spans="1:39" x14ac:dyDescent="0.35">
      <c r="A2396">
        <v>2392</v>
      </c>
      <c r="B2396">
        <v>2393</v>
      </c>
      <c r="F2396" s="63"/>
      <c r="G2396" s="63"/>
      <c r="H2396" t="s">
        <v>78</v>
      </c>
      <c r="I2396" s="64">
        <v>0</v>
      </c>
      <c r="J2396" s="31"/>
      <c r="K2396" s="31"/>
      <c r="L2396" s="31"/>
      <c r="M2396" s="31"/>
      <c r="N2396" s="4"/>
      <c r="AG2396" t="s">
        <v>2115</v>
      </c>
      <c r="AM2396" s="1">
        <f t="shared" si="34"/>
        <v>0</v>
      </c>
    </row>
    <row r="2397" spans="1:39" x14ac:dyDescent="0.35">
      <c r="A2397">
        <v>2393</v>
      </c>
      <c r="B2397">
        <v>2394</v>
      </c>
      <c r="F2397" s="63"/>
      <c r="G2397" s="63"/>
      <c r="H2397" t="s">
        <v>78</v>
      </c>
      <c r="I2397" s="64">
        <v>0</v>
      </c>
      <c r="J2397" s="31"/>
      <c r="K2397" s="31"/>
      <c r="L2397" s="31"/>
      <c r="M2397" s="31"/>
      <c r="N2397" s="4"/>
      <c r="AG2397" t="s">
        <v>2116</v>
      </c>
      <c r="AM2397" s="1">
        <f t="shared" si="34"/>
        <v>0</v>
      </c>
    </row>
    <row r="2398" spans="1:39" x14ac:dyDescent="0.35">
      <c r="A2398">
        <v>2394</v>
      </c>
      <c r="B2398">
        <v>2395</v>
      </c>
      <c r="F2398" s="63"/>
      <c r="G2398" s="63"/>
      <c r="H2398" t="s">
        <v>78</v>
      </c>
      <c r="I2398" s="64">
        <v>0</v>
      </c>
      <c r="J2398" s="31"/>
      <c r="K2398" s="31"/>
      <c r="L2398" s="31"/>
      <c r="M2398" s="31"/>
      <c r="N2398" s="4"/>
      <c r="AG2398" t="s">
        <v>2117</v>
      </c>
      <c r="AM2398" s="1">
        <f t="shared" si="34"/>
        <v>0</v>
      </c>
    </row>
    <row r="2399" spans="1:39" x14ac:dyDescent="0.35">
      <c r="A2399">
        <v>2395</v>
      </c>
      <c r="B2399">
        <v>2396</v>
      </c>
      <c r="F2399" s="63"/>
      <c r="G2399" s="63"/>
      <c r="H2399" t="s">
        <v>78</v>
      </c>
      <c r="I2399" s="64">
        <v>0</v>
      </c>
      <c r="J2399" s="31"/>
      <c r="K2399" s="31"/>
      <c r="L2399" s="31"/>
      <c r="M2399" s="31"/>
      <c r="N2399" s="4"/>
      <c r="AG2399" t="s">
        <v>2118</v>
      </c>
      <c r="AM2399" s="1">
        <f t="shared" si="34"/>
        <v>0</v>
      </c>
    </row>
    <row r="2400" spans="1:39" x14ac:dyDescent="0.35">
      <c r="A2400">
        <v>2396</v>
      </c>
      <c r="B2400">
        <v>2397</v>
      </c>
      <c r="F2400" s="63"/>
      <c r="G2400" s="63"/>
      <c r="H2400" t="s">
        <v>78</v>
      </c>
      <c r="I2400" s="64">
        <v>0</v>
      </c>
      <c r="J2400" s="31"/>
      <c r="K2400" s="31"/>
      <c r="L2400" s="31"/>
      <c r="M2400" s="31"/>
      <c r="N2400" s="4"/>
      <c r="AG2400" t="s">
        <v>2119</v>
      </c>
      <c r="AM2400" s="1">
        <f t="shared" si="34"/>
        <v>0</v>
      </c>
    </row>
    <row r="2401" spans="1:39" x14ac:dyDescent="0.35">
      <c r="A2401">
        <v>2397</v>
      </c>
      <c r="B2401">
        <v>2398</v>
      </c>
      <c r="F2401" s="63"/>
      <c r="G2401" s="63"/>
      <c r="H2401" t="s">
        <v>78</v>
      </c>
      <c r="I2401" s="64">
        <v>0</v>
      </c>
      <c r="J2401" s="31"/>
      <c r="K2401" s="31"/>
      <c r="L2401" s="31"/>
      <c r="M2401" s="31"/>
      <c r="N2401" s="4"/>
      <c r="AG2401" t="s">
        <v>2120</v>
      </c>
      <c r="AM2401" s="1">
        <f t="shared" si="34"/>
        <v>0</v>
      </c>
    </row>
    <row r="2402" spans="1:39" x14ac:dyDescent="0.35">
      <c r="A2402">
        <v>2398</v>
      </c>
      <c r="B2402">
        <v>2399</v>
      </c>
      <c r="F2402" s="63"/>
      <c r="G2402" s="63"/>
      <c r="H2402" t="s">
        <v>78</v>
      </c>
      <c r="I2402" s="64">
        <v>0</v>
      </c>
      <c r="J2402" s="31"/>
      <c r="K2402" s="31"/>
      <c r="L2402" s="31"/>
      <c r="M2402" s="31"/>
      <c r="N2402" s="4"/>
      <c r="AG2402" t="s">
        <v>2121</v>
      </c>
      <c r="AM2402" s="1">
        <f t="shared" si="34"/>
        <v>0</v>
      </c>
    </row>
    <row r="2403" spans="1:39" x14ac:dyDescent="0.35">
      <c r="A2403">
        <v>2399</v>
      </c>
      <c r="B2403">
        <v>2400</v>
      </c>
      <c r="F2403" s="63"/>
      <c r="G2403" s="63"/>
      <c r="H2403" t="s">
        <v>78</v>
      </c>
      <c r="I2403" s="64">
        <v>0</v>
      </c>
      <c r="J2403" s="31"/>
      <c r="K2403" s="31"/>
      <c r="L2403" s="31"/>
      <c r="M2403" s="31"/>
      <c r="N2403" s="4"/>
      <c r="AG2403" t="s">
        <v>2122</v>
      </c>
      <c r="AM2403" s="1">
        <f t="shared" si="34"/>
        <v>0</v>
      </c>
    </row>
    <row r="2404" spans="1:39" x14ac:dyDescent="0.35">
      <c r="A2404">
        <v>2400</v>
      </c>
      <c r="B2404">
        <v>2401</v>
      </c>
      <c r="F2404" s="63"/>
      <c r="G2404" s="63"/>
      <c r="H2404" t="s">
        <v>78</v>
      </c>
      <c r="I2404" s="64">
        <v>0</v>
      </c>
      <c r="J2404" s="31"/>
      <c r="K2404" s="31"/>
      <c r="L2404" s="31"/>
      <c r="M2404" s="31"/>
      <c r="N2404" s="4"/>
      <c r="AG2404" t="s">
        <v>2123</v>
      </c>
      <c r="AM2404" s="1">
        <f t="shared" si="34"/>
        <v>0</v>
      </c>
    </row>
    <row r="2405" spans="1:39" x14ac:dyDescent="0.35">
      <c r="A2405">
        <v>2401</v>
      </c>
      <c r="B2405">
        <v>2402</v>
      </c>
      <c r="F2405" s="63"/>
      <c r="G2405" s="63"/>
      <c r="H2405" t="s">
        <v>78</v>
      </c>
      <c r="I2405" s="64">
        <v>0</v>
      </c>
      <c r="J2405" s="31"/>
      <c r="K2405" s="31"/>
      <c r="L2405" s="31"/>
      <c r="M2405" s="31"/>
      <c r="N2405" s="4"/>
      <c r="AG2405" t="s">
        <v>2124</v>
      </c>
      <c r="AM2405" s="1">
        <f t="shared" si="34"/>
        <v>0</v>
      </c>
    </row>
    <row r="2406" spans="1:39" x14ac:dyDescent="0.35">
      <c r="A2406">
        <v>2402</v>
      </c>
      <c r="B2406">
        <v>2403</v>
      </c>
      <c r="F2406" s="63"/>
      <c r="G2406" s="63"/>
      <c r="H2406" t="s">
        <v>78</v>
      </c>
      <c r="I2406" s="64">
        <v>0</v>
      </c>
      <c r="J2406" s="31"/>
      <c r="K2406" s="31"/>
      <c r="L2406" s="31"/>
      <c r="M2406" s="31"/>
      <c r="N2406" s="4"/>
      <c r="AG2406" t="s">
        <v>2125</v>
      </c>
      <c r="AM2406" s="1">
        <f t="shared" si="34"/>
        <v>0</v>
      </c>
    </row>
    <row r="2407" spans="1:39" x14ac:dyDescent="0.35">
      <c r="A2407">
        <v>2403</v>
      </c>
      <c r="B2407">
        <v>2404</v>
      </c>
      <c r="F2407" s="63"/>
      <c r="G2407" s="63"/>
      <c r="H2407" t="s">
        <v>78</v>
      </c>
      <c r="I2407" s="64">
        <v>0</v>
      </c>
      <c r="J2407" s="31"/>
      <c r="K2407" s="31"/>
      <c r="L2407" s="31"/>
      <c r="M2407" s="31"/>
      <c r="N2407" s="4"/>
      <c r="AG2407" t="s">
        <v>2126</v>
      </c>
      <c r="AM2407" s="1">
        <f t="shared" si="34"/>
        <v>0</v>
      </c>
    </row>
    <row r="2408" spans="1:39" x14ac:dyDescent="0.35">
      <c r="A2408">
        <v>2404</v>
      </c>
      <c r="B2408">
        <v>2405</v>
      </c>
      <c r="F2408" s="63"/>
      <c r="G2408" s="63"/>
      <c r="H2408" t="s">
        <v>78</v>
      </c>
      <c r="I2408" s="64">
        <v>0</v>
      </c>
      <c r="J2408" s="31"/>
      <c r="K2408" s="31"/>
      <c r="L2408" s="31"/>
      <c r="M2408" s="31"/>
      <c r="N2408" s="4"/>
      <c r="AG2408" t="s">
        <v>2127</v>
      </c>
      <c r="AM2408" s="1">
        <f t="shared" si="34"/>
        <v>0</v>
      </c>
    </row>
    <row r="2409" spans="1:39" x14ac:dyDescent="0.35">
      <c r="A2409">
        <v>2405</v>
      </c>
      <c r="B2409">
        <v>2406</v>
      </c>
      <c r="F2409" s="63"/>
      <c r="G2409" s="63"/>
      <c r="H2409" t="s">
        <v>78</v>
      </c>
      <c r="I2409" s="64">
        <v>0</v>
      </c>
      <c r="J2409" s="31"/>
      <c r="K2409" s="31"/>
      <c r="L2409" s="31"/>
      <c r="M2409" s="31"/>
      <c r="N2409" s="4"/>
      <c r="AG2409" t="s">
        <v>2128</v>
      </c>
      <c r="AM2409" s="1">
        <f t="shared" si="34"/>
        <v>0</v>
      </c>
    </row>
    <row r="2410" spans="1:39" x14ac:dyDescent="0.35">
      <c r="A2410">
        <v>2406</v>
      </c>
      <c r="B2410">
        <v>2407</v>
      </c>
      <c r="F2410" s="63"/>
      <c r="G2410" s="63"/>
      <c r="H2410" t="s">
        <v>78</v>
      </c>
      <c r="I2410" s="64">
        <v>0</v>
      </c>
      <c r="J2410" s="31"/>
      <c r="K2410" s="31"/>
      <c r="L2410" s="31"/>
      <c r="M2410" s="31"/>
      <c r="N2410" s="4"/>
      <c r="AG2410" t="s">
        <v>2129</v>
      </c>
      <c r="AM2410" s="1">
        <f t="shared" si="34"/>
        <v>0</v>
      </c>
    </row>
    <row r="2411" spans="1:39" x14ac:dyDescent="0.35">
      <c r="A2411">
        <v>2407</v>
      </c>
      <c r="B2411">
        <v>2408</v>
      </c>
      <c r="F2411" s="63"/>
      <c r="G2411" s="63"/>
      <c r="H2411" t="s">
        <v>78</v>
      </c>
      <c r="I2411" s="64">
        <v>0</v>
      </c>
      <c r="J2411" s="31"/>
      <c r="K2411" s="31"/>
      <c r="L2411" s="31"/>
      <c r="M2411" s="31"/>
      <c r="N2411" s="4"/>
      <c r="AG2411" t="s">
        <v>2130</v>
      </c>
      <c r="AM2411" s="1">
        <f t="shared" si="34"/>
        <v>0</v>
      </c>
    </row>
    <row r="2412" spans="1:39" x14ac:dyDescent="0.35">
      <c r="A2412">
        <v>2408</v>
      </c>
      <c r="B2412">
        <v>2409</v>
      </c>
      <c r="F2412" s="63"/>
      <c r="G2412" s="63"/>
      <c r="H2412" t="s">
        <v>78</v>
      </c>
      <c r="I2412" s="64">
        <v>0</v>
      </c>
      <c r="J2412" s="31"/>
      <c r="K2412" s="31"/>
      <c r="L2412" s="31"/>
      <c r="M2412" s="31"/>
      <c r="N2412" s="4"/>
      <c r="AG2412" t="s">
        <v>2131</v>
      </c>
      <c r="AM2412" s="1">
        <f t="shared" si="34"/>
        <v>0</v>
      </c>
    </row>
    <row r="2413" spans="1:39" x14ac:dyDescent="0.35">
      <c r="A2413">
        <v>2409</v>
      </c>
      <c r="B2413">
        <v>2410</v>
      </c>
      <c r="F2413" s="63"/>
      <c r="G2413" s="63"/>
      <c r="H2413" t="s">
        <v>78</v>
      </c>
      <c r="I2413" s="64">
        <v>0</v>
      </c>
      <c r="J2413" s="31"/>
      <c r="K2413" s="31"/>
      <c r="L2413" s="31"/>
      <c r="M2413" s="31"/>
      <c r="N2413" s="4"/>
      <c r="AG2413" t="s">
        <v>2132</v>
      </c>
      <c r="AM2413" s="1">
        <f t="shared" si="34"/>
        <v>0</v>
      </c>
    </row>
    <row r="2414" spans="1:39" x14ac:dyDescent="0.35">
      <c r="A2414">
        <v>2410</v>
      </c>
      <c r="B2414">
        <v>2411</v>
      </c>
      <c r="F2414" s="63"/>
      <c r="G2414" s="63"/>
      <c r="H2414" t="s">
        <v>78</v>
      </c>
      <c r="I2414" s="64">
        <v>0</v>
      </c>
      <c r="J2414" s="31"/>
      <c r="K2414" s="31"/>
      <c r="L2414" s="31"/>
      <c r="M2414" s="31"/>
      <c r="N2414" s="4"/>
      <c r="AG2414" t="s">
        <v>2133</v>
      </c>
      <c r="AM2414" s="1">
        <f t="shared" si="34"/>
        <v>0</v>
      </c>
    </row>
    <row r="2415" spans="1:39" x14ac:dyDescent="0.35">
      <c r="A2415">
        <v>2411</v>
      </c>
      <c r="B2415">
        <v>2412</v>
      </c>
      <c r="F2415" s="63"/>
      <c r="G2415" s="63"/>
      <c r="H2415" t="s">
        <v>78</v>
      </c>
      <c r="I2415" s="64">
        <v>0</v>
      </c>
      <c r="J2415" s="31"/>
      <c r="K2415" s="31"/>
      <c r="L2415" s="31"/>
      <c r="M2415" s="31"/>
      <c r="N2415" s="4"/>
      <c r="AG2415" t="s">
        <v>2134</v>
      </c>
      <c r="AM2415" s="1">
        <f t="shared" si="34"/>
        <v>0</v>
      </c>
    </row>
    <row r="2416" spans="1:39" x14ac:dyDescent="0.35">
      <c r="A2416">
        <v>2412</v>
      </c>
      <c r="B2416">
        <v>2413</v>
      </c>
      <c r="F2416" s="63"/>
      <c r="G2416" s="63"/>
      <c r="H2416" t="s">
        <v>78</v>
      </c>
      <c r="I2416" s="64">
        <v>0</v>
      </c>
      <c r="J2416" s="31"/>
      <c r="K2416" s="31"/>
      <c r="L2416" s="31"/>
      <c r="M2416" s="31"/>
      <c r="N2416" s="4"/>
      <c r="AG2416" t="s">
        <v>2135</v>
      </c>
      <c r="AM2416" s="1">
        <f t="shared" si="34"/>
        <v>0</v>
      </c>
    </row>
    <row r="2417" spans="1:39" x14ac:dyDescent="0.35">
      <c r="A2417">
        <v>2413</v>
      </c>
      <c r="B2417">
        <v>2414</v>
      </c>
      <c r="F2417" s="63"/>
      <c r="G2417" s="63"/>
      <c r="H2417" t="s">
        <v>78</v>
      </c>
      <c r="I2417" s="64">
        <v>0</v>
      </c>
      <c r="J2417" s="31"/>
      <c r="K2417" s="31"/>
      <c r="L2417" s="31"/>
      <c r="M2417" s="31"/>
      <c r="N2417" s="4"/>
      <c r="AG2417" t="s">
        <v>2136</v>
      </c>
      <c r="AM2417" s="1">
        <f t="shared" si="34"/>
        <v>0</v>
      </c>
    </row>
    <row r="2418" spans="1:39" x14ac:dyDescent="0.35">
      <c r="A2418">
        <v>2414</v>
      </c>
      <c r="B2418">
        <v>2415</v>
      </c>
      <c r="F2418" s="63"/>
      <c r="G2418" s="63"/>
      <c r="H2418" t="s">
        <v>78</v>
      </c>
      <c r="I2418" s="64">
        <v>0</v>
      </c>
      <c r="J2418" s="31"/>
      <c r="K2418" s="31"/>
      <c r="L2418" s="31"/>
      <c r="M2418" s="31"/>
      <c r="N2418" s="4"/>
      <c r="AG2418" t="s">
        <v>2137</v>
      </c>
      <c r="AM2418" s="1">
        <f t="shared" si="34"/>
        <v>0</v>
      </c>
    </row>
    <row r="2419" spans="1:39" x14ac:dyDescent="0.35">
      <c r="A2419">
        <v>2415</v>
      </c>
      <c r="B2419">
        <v>2416</v>
      </c>
      <c r="F2419" s="63"/>
      <c r="G2419" s="63"/>
      <c r="H2419" t="s">
        <v>78</v>
      </c>
      <c r="I2419" s="64">
        <v>0</v>
      </c>
      <c r="J2419" s="31"/>
      <c r="K2419" s="31"/>
      <c r="L2419" s="31"/>
      <c r="M2419" s="31"/>
      <c r="N2419" s="4"/>
      <c r="AG2419" t="s">
        <v>2138</v>
      </c>
      <c r="AM2419" s="1">
        <f t="shared" si="34"/>
        <v>0</v>
      </c>
    </row>
    <row r="2420" spans="1:39" x14ac:dyDescent="0.35">
      <c r="A2420">
        <v>2416</v>
      </c>
      <c r="B2420">
        <v>2417</v>
      </c>
      <c r="F2420" s="63"/>
      <c r="G2420" s="63"/>
      <c r="H2420" t="s">
        <v>78</v>
      </c>
      <c r="I2420" s="64">
        <v>0</v>
      </c>
      <c r="J2420" s="31"/>
      <c r="K2420" s="31"/>
      <c r="L2420" s="31"/>
      <c r="M2420" s="31"/>
      <c r="N2420" s="4"/>
      <c r="AG2420" t="s">
        <v>2139</v>
      </c>
      <c r="AM2420" s="1">
        <f t="shared" si="34"/>
        <v>0</v>
      </c>
    </row>
    <row r="2421" spans="1:39" x14ac:dyDescent="0.35">
      <c r="A2421">
        <v>2417</v>
      </c>
      <c r="B2421">
        <v>2418</v>
      </c>
      <c r="F2421" s="63"/>
      <c r="G2421" s="63"/>
      <c r="H2421" t="s">
        <v>78</v>
      </c>
      <c r="I2421" s="64">
        <v>0</v>
      </c>
      <c r="J2421" s="31"/>
      <c r="K2421" s="31"/>
      <c r="L2421" s="31"/>
      <c r="M2421" s="31"/>
      <c r="N2421" s="4"/>
      <c r="AG2421" t="s">
        <v>2140</v>
      </c>
      <c r="AM2421" s="1">
        <f t="shared" si="34"/>
        <v>0</v>
      </c>
    </row>
    <row r="2422" spans="1:39" x14ac:dyDescent="0.35">
      <c r="A2422">
        <v>2418</v>
      </c>
      <c r="B2422">
        <v>2419</v>
      </c>
      <c r="F2422" s="63"/>
      <c r="G2422" s="63"/>
      <c r="H2422" t="s">
        <v>78</v>
      </c>
      <c r="I2422" s="64">
        <v>0</v>
      </c>
      <c r="J2422" s="31"/>
      <c r="K2422" s="31"/>
      <c r="L2422" s="31"/>
      <c r="M2422" s="31"/>
      <c r="N2422" s="4"/>
      <c r="AG2422" t="s">
        <v>2141</v>
      </c>
      <c r="AM2422" s="1">
        <f t="shared" si="34"/>
        <v>0</v>
      </c>
    </row>
    <row r="2423" spans="1:39" x14ac:dyDescent="0.35">
      <c r="A2423">
        <v>2419</v>
      </c>
      <c r="B2423">
        <v>2420</v>
      </c>
      <c r="F2423" s="63"/>
      <c r="G2423" s="63"/>
      <c r="H2423" t="s">
        <v>78</v>
      </c>
      <c r="I2423" s="64">
        <v>0</v>
      </c>
      <c r="J2423" s="31"/>
      <c r="K2423" s="31"/>
      <c r="L2423" s="31"/>
      <c r="M2423" s="31"/>
      <c r="N2423" s="4"/>
      <c r="AG2423" t="s">
        <v>2142</v>
      </c>
      <c r="AM2423" s="1">
        <f t="shared" si="34"/>
        <v>0</v>
      </c>
    </row>
    <row r="2424" spans="1:39" x14ac:dyDescent="0.35">
      <c r="A2424">
        <v>2420</v>
      </c>
      <c r="B2424">
        <v>2421</v>
      </c>
      <c r="F2424" s="63"/>
      <c r="G2424" s="63"/>
      <c r="H2424" t="s">
        <v>78</v>
      </c>
      <c r="I2424" s="64">
        <v>0</v>
      </c>
      <c r="J2424" s="31"/>
      <c r="K2424" s="31"/>
      <c r="L2424" s="31"/>
      <c r="M2424" s="31"/>
      <c r="N2424" s="4"/>
      <c r="AG2424" t="s">
        <v>2143</v>
      </c>
      <c r="AM2424" s="1">
        <f t="shared" si="34"/>
        <v>0</v>
      </c>
    </row>
    <row r="2425" spans="1:39" x14ac:dyDescent="0.35">
      <c r="A2425">
        <v>2421</v>
      </c>
      <c r="B2425">
        <v>2422</v>
      </c>
      <c r="F2425" s="63"/>
      <c r="G2425" s="63"/>
      <c r="H2425" t="s">
        <v>78</v>
      </c>
      <c r="I2425" s="64">
        <v>0</v>
      </c>
      <c r="J2425" s="31"/>
      <c r="K2425" s="31"/>
      <c r="L2425" s="31"/>
      <c r="M2425" s="31"/>
      <c r="N2425" s="4"/>
      <c r="AG2425" t="s">
        <v>2144</v>
      </c>
      <c r="AM2425" s="1">
        <f t="shared" si="34"/>
        <v>0</v>
      </c>
    </row>
    <row r="2426" spans="1:39" x14ac:dyDescent="0.35">
      <c r="A2426">
        <v>2422</v>
      </c>
      <c r="B2426">
        <v>2423</v>
      </c>
      <c r="F2426" s="63"/>
      <c r="G2426" s="63"/>
      <c r="H2426" t="s">
        <v>78</v>
      </c>
      <c r="I2426" s="64">
        <v>0</v>
      </c>
      <c r="J2426" s="31"/>
      <c r="K2426" s="31"/>
      <c r="L2426" s="31"/>
      <c r="M2426" s="31"/>
      <c r="N2426" s="4"/>
      <c r="AG2426" t="s">
        <v>2145</v>
      </c>
      <c r="AM2426" s="1">
        <f t="shared" si="34"/>
        <v>0</v>
      </c>
    </row>
    <row r="2427" spans="1:39" x14ac:dyDescent="0.35">
      <c r="A2427">
        <v>2423</v>
      </c>
      <c r="B2427">
        <v>2424</v>
      </c>
      <c r="F2427" s="63"/>
      <c r="G2427" s="63"/>
      <c r="H2427" t="s">
        <v>78</v>
      </c>
      <c r="I2427" s="64">
        <v>0</v>
      </c>
      <c r="J2427" s="31"/>
      <c r="K2427" s="31"/>
      <c r="L2427" s="31"/>
      <c r="M2427" s="31"/>
      <c r="N2427" s="4"/>
      <c r="AG2427" t="s">
        <v>2146</v>
      </c>
      <c r="AM2427" s="1">
        <f t="shared" si="34"/>
        <v>0</v>
      </c>
    </row>
    <row r="2428" spans="1:39" x14ac:dyDescent="0.35">
      <c r="A2428">
        <v>2424</v>
      </c>
      <c r="B2428">
        <v>2425</v>
      </c>
      <c r="F2428" s="63"/>
      <c r="G2428" s="63"/>
      <c r="H2428" t="s">
        <v>26</v>
      </c>
      <c r="I2428" s="64"/>
      <c r="J2428" s="31"/>
      <c r="K2428" s="31"/>
      <c r="L2428" s="31"/>
      <c r="M2428" s="31"/>
      <c r="N2428" s="4"/>
      <c r="AG2428" t="s">
        <v>2147</v>
      </c>
      <c r="AM2428" s="1">
        <f t="shared" si="34"/>
        <v>0</v>
      </c>
    </row>
    <row r="2429" spans="1:39" x14ac:dyDescent="0.35">
      <c r="A2429">
        <v>2425</v>
      </c>
      <c r="B2429">
        <v>2426</v>
      </c>
      <c r="F2429" s="63"/>
      <c r="G2429" s="63"/>
      <c r="H2429" t="s">
        <v>26</v>
      </c>
      <c r="I2429" s="64"/>
      <c r="J2429" s="31"/>
      <c r="K2429" s="31"/>
      <c r="L2429" s="31"/>
      <c r="M2429" s="31"/>
      <c r="N2429" s="4"/>
      <c r="AG2429" t="s">
        <v>2148</v>
      </c>
      <c r="AM2429" s="1">
        <f t="shared" si="34"/>
        <v>0</v>
      </c>
    </row>
    <row r="2430" spans="1:39" x14ac:dyDescent="0.35">
      <c r="A2430">
        <v>2426</v>
      </c>
      <c r="B2430">
        <v>2427</v>
      </c>
      <c r="F2430" s="63"/>
      <c r="G2430" s="63"/>
      <c r="H2430" t="s">
        <v>26</v>
      </c>
      <c r="I2430" s="64"/>
      <c r="J2430" s="31"/>
      <c r="K2430" s="31"/>
      <c r="L2430" s="31"/>
      <c r="M2430" s="31"/>
      <c r="N2430" s="4"/>
      <c r="AG2430" t="s">
        <v>2149</v>
      </c>
      <c r="AM2430" s="1">
        <f t="shared" si="34"/>
        <v>0</v>
      </c>
    </row>
    <row r="2431" spans="1:39" x14ac:dyDescent="0.35">
      <c r="A2431">
        <v>2427</v>
      </c>
      <c r="B2431">
        <v>2428</v>
      </c>
      <c r="F2431" s="63"/>
      <c r="G2431" s="63"/>
      <c r="H2431" t="s">
        <v>26</v>
      </c>
      <c r="I2431" s="64"/>
      <c r="J2431" s="31"/>
      <c r="K2431" s="31"/>
      <c r="L2431" s="31"/>
      <c r="M2431" s="31"/>
      <c r="N2431" s="4"/>
      <c r="AG2431" t="s">
        <v>2150</v>
      </c>
      <c r="AM2431" s="1">
        <f t="shared" si="34"/>
        <v>0</v>
      </c>
    </row>
    <row r="2432" spans="1:39" x14ac:dyDescent="0.35">
      <c r="A2432">
        <v>2428</v>
      </c>
      <c r="B2432">
        <v>2429</v>
      </c>
      <c r="F2432" s="63"/>
      <c r="G2432" s="63"/>
      <c r="H2432" t="s">
        <v>26</v>
      </c>
      <c r="I2432" s="64"/>
      <c r="J2432" s="31"/>
      <c r="K2432" s="31"/>
      <c r="L2432" s="31"/>
      <c r="M2432" s="31"/>
      <c r="N2432" s="4"/>
      <c r="AG2432" t="s">
        <v>2151</v>
      </c>
      <c r="AM2432" s="1">
        <f t="shared" si="34"/>
        <v>0</v>
      </c>
    </row>
    <row r="2433" spans="1:39" x14ac:dyDescent="0.35">
      <c r="A2433">
        <v>2429</v>
      </c>
      <c r="B2433">
        <v>2430</v>
      </c>
      <c r="F2433" s="63"/>
      <c r="G2433" s="63"/>
      <c r="H2433" t="s">
        <v>26</v>
      </c>
      <c r="I2433" s="64"/>
      <c r="J2433" s="31"/>
      <c r="K2433" s="31"/>
      <c r="L2433" s="31"/>
      <c r="M2433" s="31"/>
      <c r="N2433" s="4"/>
      <c r="AG2433" t="s">
        <v>2152</v>
      </c>
      <c r="AM2433" s="1">
        <f t="shared" si="34"/>
        <v>0</v>
      </c>
    </row>
    <row r="2434" spans="1:39" x14ac:dyDescent="0.35">
      <c r="A2434">
        <v>2430</v>
      </c>
      <c r="B2434">
        <v>2431</v>
      </c>
      <c r="F2434" s="63"/>
      <c r="G2434" s="63"/>
      <c r="H2434" t="s">
        <v>26</v>
      </c>
      <c r="I2434" s="64"/>
      <c r="J2434" s="31"/>
      <c r="K2434" s="31"/>
      <c r="L2434" s="31"/>
      <c r="M2434" s="31"/>
      <c r="N2434" s="4"/>
      <c r="AG2434" t="s">
        <v>2153</v>
      </c>
      <c r="AM2434" s="1">
        <f t="shared" si="34"/>
        <v>0</v>
      </c>
    </row>
    <row r="2435" spans="1:39" x14ac:dyDescent="0.35">
      <c r="A2435">
        <v>2431</v>
      </c>
      <c r="B2435">
        <v>2432</v>
      </c>
      <c r="F2435" s="63"/>
      <c r="G2435" s="63"/>
      <c r="H2435" t="s">
        <v>26</v>
      </c>
      <c r="I2435" s="64"/>
      <c r="J2435" s="31"/>
      <c r="K2435" s="31"/>
      <c r="L2435" s="31"/>
      <c r="M2435" s="31"/>
      <c r="N2435" s="4"/>
      <c r="AG2435" t="s">
        <v>2154</v>
      </c>
      <c r="AM2435" s="1">
        <f t="shared" si="34"/>
        <v>0</v>
      </c>
    </row>
    <row r="2436" spans="1:39" x14ac:dyDescent="0.35">
      <c r="A2436">
        <v>2432</v>
      </c>
      <c r="B2436">
        <v>2433</v>
      </c>
      <c r="F2436" s="63"/>
      <c r="G2436" s="63"/>
      <c r="H2436" t="s">
        <v>26</v>
      </c>
      <c r="I2436" s="64"/>
      <c r="J2436" s="31"/>
      <c r="K2436" s="31"/>
      <c r="L2436" s="31"/>
      <c r="M2436" s="31"/>
      <c r="N2436" s="4"/>
      <c r="AG2436" t="s">
        <v>2155</v>
      </c>
      <c r="AM2436" s="1">
        <f t="shared" si="34"/>
        <v>0</v>
      </c>
    </row>
    <row r="2437" spans="1:39" x14ac:dyDescent="0.35">
      <c r="A2437">
        <v>2433</v>
      </c>
      <c r="B2437">
        <v>2434</v>
      </c>
      <c r="F2437" s="63"/>
      <c r="G2437" s="63"/>
      <c r="H2437" t="s">
        <v>26</v>
      </c>
      <c r="I2437" s="64"/>
      <c r="J2437" s="31"/>
      <c r="K2437" s="31"/>
      <c r="L2437" s="31"/>
      <c r="M2437" s="31"/>
      <c r="N2437" s="4"/>
      <c r="AG2437" t="s">
        <v>2156</v>
      </c>
      <c r="AM2437" s="1">
        <f t="shared" si="34"/>
        <v>0</v>
      </c>
    </row>
    <row r="2438" spans="1:39" x14ac:dyDescent="0.35">
      <c r="A2438">
        <v>2434</v>
      </c>
      <c r="B2438">
        <v>2435</v>
      </c>
      <c r="F2438" s="63"/>
      <c r="G2438" s="63"/>
      <c r="H2438" t="s">
        <v>26</v>
      </c>
      <c r="I2438" s="64"/>
      <c r="J2438" s="31"/>
      <c r="K2438" s="31"/>
      <c r="L2438" s="31"/>
      <c r="M2438" s="31"/>
      <c r="N2438" s="4"/>
      <c r="AG2438" t="s">
        <v>2157</v>
      </c>
      <c r="AM2438" s="1">
        <f t="shared" si="34"/>
        <v>0</v>
      </c>
    </row>
    <row r="2439" spans="1:39" x14ac:dyDescent="0.35">
      <c r="A2439">
        <v>2435</v>
      </c>
      <c r="B2439">
        <v>2436</v>
      </c>
      <c r="F2439" s="63"/>
      <c r="G2439" s="63"/>
      <c r="H2439" t="s">
        <v>26</v>
      </c>
      <c r="I2439" s="64"/>
      <c r="J2439" s="31"/>
      <c r="K2439" s="31"/>
      <c r="L2439" s="31"/>
      <c r="M2439" s="31"/>
      <c r="N2439" s="4"/>
      <c r="AG2439" t="s">
        <v>2158</v>
      </c>
      <c r="AM2439" s="1">
        <f t="shared" si="34"/>
        <v>0</v>
      </c>
    </row>
    <row r="2440" spans="1:39" x14ac:dyDescent="0.35">
      <c r="A2440">
        <v>2436</v>
      </c>
      <c r="B2440">
        <v>2437</v>
      </c>
      <c r="F2440" s="63"/>
      <c r="G2440" s="63"/>
      <c r="H2440" t="s">
        <v>26</v>
      </c>
      <c r="I2440" s="64"/>
      <c r="J2440" s="31"/>
      <c r="K2440" s="31"/>
      <c r="L2440" s="31"/>
      <c r="M2440" s="31"/>
      <c r="N2440" s="4"/>
      <c r="AG2440" t="s">
        <v>2159</v>
      </c>
      <c r="AM2440" s="1">
        <f t="shared" si="34"/>
        <v>0</v>
      </c>
    </row>
    <row r="2441" spans="1:39" x14ac:dyDescent="0.35">
      <c r="A2441">
        <v>2437</v>
      </c>
      <c r="B2441">
        <v>2438</v>
      </c>
      <c r="F2441" s="63"/>
      <c r="G2441" s="63"/>
      <c r="H2441" t="s">
        <v>26</v>
      </c>
      <c r="I2441" s="64"/>
      <c r="J2441" s="31"/>
      <c r="K2441" s="31"/>
      <c r="L2441" s="31"/>
      <c r="M2441" s="31"/>
      <c r="N2441" s="4"/>
      <c r="AG2441" t="s">
        <v>2160</v>
      </c>
      <c r="AM2441" s="1">
        <f t="shared" si="34"/>
        <v>0</v>
      </c>
    </row>
    <row r="2442" spans="1:39" x14ac:dyDescent="0.35">
      <c r="A2442">
        <v>2438</v>
      </c>
      <c r="B2442">
        <v>2439</v>
      </c>
      <c r="F2442" s="63"/>
      <c r="G2442" s="63"/>
      <c r="H2442" t="s">
        <v>26</v>
      </c>
      <c r="I2442" s="64"/>
      <c r="J2442" s="31"/>
      <c r="K2442" s="31"/>
      <c r="L2442" s="31"/>
      <c r="M2442" s="31"/>
      <c r="N2442" s="4"/>
      <c r="AG2442" t="s">
        <v>2161</v>
      </c>
      <c r="AM2442" s="1">
        <f t="shared" si="34"/>
        <v>0</v>
      </c>
    </row>
    <row r="2443" spans="1:39" x14ac:dyDescent="0.35">
      <c r="A2443">
        <v>2439</v>
      </c>
      <c r="B2443">
        <v>2440</v>
      </c>
      <c r="F2443" s="63"/>
      <c r="G2443" s="63"/>
      <c r="H2443" t="s">
        <v>26</v>
      </c>
      <c r="I2443" s="64"/>
      <c r="J2443" s="31"/>
      <c r="K2443" s="31"/>
      <c r="L2443" s="31"/>
      <c r="M2443" s="31"/>
      <c r="N2443" s="4"/>
      <c r="AG2443" t="s">
        <v>2162</v>
      </c>
      <c r="AM2443" s="1">
        <f t="shared" ref="AM2443:AM2506" si="35">HYPERLINK("E:\CAFNEC_GBRF\2023\JohnstoneRiver\Frames_for_Analysis\" &amp; F2444, F2444)</f>
        <v>0</v>
      </c>
    </row>
    <row r="2444" spans="1:39" x14ac:dyDescent="0.35">
      <c r="A2444">
        <v>2440</v>
      </c>
      <c r="B2444">
        <v>2441</v>
      </c>
      <c r="F2444" s="63"/>
      <c r="G2444" s="63"/>
      <c r="H2444" t="s">
        <v>26</v>
      </c>
      <c r="I2444" s="64"/>
      <c r="J2444" s="31"/>
      <c r="K2444" s="31"/>
      <c r="L2444" s="31"/>
      <c r="M2444" s="31"/>
      <c r="N2444" s="4"/>
      <c r="AG2444" t="s">
        <v>2163</v>
      </c>
      <c r="AM2444" s="1">
        <f t="shared" si="35"/>
        <v>0</v>
      </c>
    </row>
    <row r="2445" spans="1:39" x14ac:dyDescent="0.35">
      <c r="A2445">
        <v>2441</v>
      </c>
      <c r="B2445">
        <v>2442</v>
      </c>
      <c r="F2445" s="63"/>
      <c r="G2445" s="63"/>
      <c r="H2445" t="s">
        <v>26</v>
      </c>
      <c r="I2445" s="64"/>
      <c r="J2445" s="31"/>
      <c r="K2445" s="31"/>
      <c r="L2445" s="31"/>
      <c r="M2445" s="31"/>
      <c r="N2445" s="4"/>
      <c r="AG2445" t="s">
        <v>2164</v>
      </c>
      <c r="AM2445" s="1">
        <f t="shared" si="35"/>
        <v>0</v>
      </c>
    </row>
    <row r="2446" spans="1:39" x14ac:dyDescent="0.35">
      <c r="A2446">
        <v>2442</v>
      </c>
      <c r="B2446">
        <v>2443</v>
      </c>
      <c r="F2446" s="63"/>
      <c r="G2446" s="63"/>
      <c r="H2446" t="s">
        <v>26</v>
      </c>
      <c r="I2446" s="64"/>
      <c r="J2446" s="31"/>
      <c r="K2446" s="31"/>
      <c r="L2446" s="31"/>
      <c r="M2446" s="31"/>
      <c r="N2446" s="4"/>
      <c r="AG2446" t="s">
        <v>2165</v>
      </c>
      <c r="AM2446" s="1">
        <f t="shared" si="35"/>
        <v>0</v>
      </c>
    </row>
    <row r="2447" spans="1:39" x14ac:dyDescent="0.35">
      <c r="A2447">
        <v>2443</v>
      </c>
      <c r="B2447">
        <v>2444</v>
      </c>
      <c r="F2447" s="63"/>
      <c r="G2447" s="63"/>
      <c r="H2447" t="s">
        <v>26</v>
      </c>
      <c r="I2447" s="64"/>
      <c r="J2447" s="31"/>
      <c r="K2447" s="31"/>
      <c r="L2447" s="31"/>
      <c r="M2447" s="31"/>
      <c r="N2447" s="4"/>
      <c r="AG2447" t="s">
        <v>2166</v>
      </c>
      <c r="AM2447" s="1">
        <f t="shared" si="35"/>
        <v>0</v>
      </c>
    </row>
    <row r="2448" spans="1:39" x14ac:dyDescent="0.35">
      <c r="A2448">
        <v>2444</v>
      </c>
      <c r="B2448">
        <v>2445</v>
      </c>
      <c r="F2448" s="63"/>
      <c r="G2448" s="63"/>
      <c r="H2448" t="s">
        <v>26</v>
      </c>
      <c r="I2448" s="64"/>
      <c r="J2448" s="31"/>
      <c r="K2448" s="31"/>
      <c r="L2448" s="31"/>
      <c r="M2448" s="31"/>
      <c r="N2448" s="4"/>
      <c r="AG2448" t="s">
        <v>2167</v>
      </c>
      <c r="AM2448" s="1">
        <f t="shared" si="35"/>
        <v>0</v>
      </c>
    </row>
    <row r="2449" spans="1:39" x14ac:dyDescent="0.35">
      <c r="A2449">
        <v>2445</v>
      </c>
      <c r="B2449">
        <v>2446</v>
      </c>
      <c r="F2449" s="63"/>
      <c r="G2449" s="63"/>
      <c r="H2449" t="s">
        <v>26</v>
      </c>
      <c r="I2449" s="64"/>
      <c r="J2449" s="31"/>
      <c r="K2449" s="31"/>
      <c r="L2449" s="31"/>
      <c r="M2449" s="31"/>
      <c r="N2449" s="4"/>
      <c r="AG2449" t="s">
        <v>2168</v>
      </c>
      <c r="AM2449" s="1">
        <f t="shared" si="35"/>
        <v>0</v>
      </c>
    </row>
    <row r="2450" spans="1:39" x14ac:dyDescent="0.35">
      <c r="A2450">
        <v>2446</v>
      </c>
      <c r="B2450">
        <v>2447</v>
      </c>
      <c r="F2450" s="63"/>
      <c r="G2450" s="63"/>
      <c r="H2450" t="s">
        <v>26</v>
      </c>
      <c r="I2450" s="64"/>
      <c r="J2450" s="31"/>
      <c r="K2450" s="31"/>
      <c r="L2450" s="31"/>
      <c r="M2450" s="31"/>
      <c r="N2450" s="4"/>
      <c r="AG2450" t="s">
        <v>2169</v>
      </c>
      <c r="AM2450" s="1">
        <f t="shared" si="35"/>
        <v>0</v>
      </c>
    </row>
    <row r="2451" spans="1:39" x14ac:dyDescent="0.35">
      <c r="A2451">
        <v>2447</v>
      </c>
      <c r="B2451">
        <v>2448</v>
      </c>
      <c r="F2451" s="63"/>
      <c r="G2451" s="63"/>
      <c r="H2451" t="s">
        <v>26</v>
      </c>
      <c r="I2451" s="64"/>
      <c r="J2451" s="31"/>
      <c r="K2451" s="31"/>
      <c r="L2451" s="31"/>
      <c r="M2451" s="31"/>
      <c r="N2451" s="4"/>
      <c r="AG2451" t="s">
        <v>2170</v>
      </c>
      <c r="AM2451" s="1">
        <f t="shared" si="35"/>
        <v>0</v>
      </c>
    </row>
    <row r="2452" spans="1:39" x14ac:dyDescent="0.35">
      <c r="A2452">
        <v>2448</v>
      </c>
      <c r="B2452">
        <v>2449</v>
      </c>
      <c r="F2452" s="63"/>
      <c r="G2452" s="63"/>
      <c r="H2452" t="s">
        <v>26</v>
      </c>
      <c r="I2452" s="64"/>
      <c r="J2452" s="31"/>
      <c r="K2452" s="31"/>
      <c r="L2452" s="31"/>
      <c r="M2452" s="31"/>
      <c r="N2452" s="4"/>
      <c r="AG2452" t="s">
        <v>2171</v>
      </c>
      <c r="AM2452" s="1">
        <f t="shared" si="35"/>
        <v>0</v>
      </c>
    </row>
    <row r="2453" spans="1:39" x14ac:dyDescent="0.35">
      <c r="A2453">
        <v>2449</v>
      </c>
      <c r="B2453">
        <v>2450</v>
      </c>
      <c r="F2453" s="63"/>
      <c r="G2453" s="63"/>
      <c r="H2453" t="s">
        <v>26</v>
      </c>
      <c r="I2453" s="64"/>
      <c r="J2453" s="31"/>
      <c r="K2453" s="31"/>
      <c r="L2453" s="31"/>
      <c r="M2453" s="31"/>
      <c r="N2453" s="4"/>
      <c r="AG2453" t="s">
        <v>2172</v>
      </c>
      <c r="AM2453" s="1">
        <f t="shared" si="35"/>
        <v>0</v>
      </c>
    </row>
    <row r="2454" spans="1:39" x14ac:dyDescent="0.35">
      <c r="A2454">
        <v>2450</v>
      </c>
      <c r="B2454">
        <v>2451</v>
      </c>
      <c r="F2454" s="63"/>
      <c r="G2454" s="63"/>
      <c r="H2454" t="s">
        <v>26</v>
      </c>
      <c r="I2454" s="64"/>
      <c r="J2454" s="31"/>
      <c r="K2454" s="31"/>
      <c r="L2454" s="31"/>
      <c r="M2454" s="31"/>
      <c r="N2454" s="4"/>
      <c r="AG2454" t="s">
        <v>2173</v>
      </c>
      <c r="AM2454" s="1">
        <f t="shared" si="35"/>
        <v>0</v>
      </c>
    </row>
    <row r="2455" spans="1:39" x14ac:dyDescent="0.35">
      <c r="A2455">
        <v>2451</v>
      </c>
      <c r="B2455">
        <v>2452</v>
      </c>
      <c r="F2455" s="63"/>
      <c r="G2455" s="63"/>
      <c r="H2455" t="s">
        <v>26</v>
      </c>
      <c r="I2455" s="64"/>
      <c r="J2455" s="31"/>
      <c r="K2455" s="31"/>
      <c r="L2455" s="31"/>
      <c r="M2455" s="31"/>
      <c r="N2455" s="4"/>
      <c r="AG2455" t="s">
        <v>2174</v>
      </c>
      <c r="AM2455" s="1">
        <f t="shared" si="35"/>
        <v>0</v>
      </c>
    </row>
    <row r="2456" spans="1:39" x14ac:dyDescent="0.35">
      <c r="A2456">
        <v>2452</v>
      </c>
      <c r="B2456">
        <v>2453</v>
      </c>
      <c r="F2456" s="63"/>
      <c r="G2456" s="63"/>
      <c r="H2456" t="s">
        <v>26</v>
      </c>
      <c r="I2456" s="64"/>
      <c r="J2456" s="31"/>
      <c r="K2456" s="31"/>
      <c r="L2456" s="31"/>
      <c r="M2456" s="31"/>
      <c r="N2456" s="4"/>
      <c r="AG2456" t="s">
        <v>2175</v>
      </c>
      <c r="AM2456" s="1">
        <f t="shared" si="35"/>
        <v>0</v>
      </c>
    </row>
    <row r="2457" spans="1:39" x14ac:dyDescent="0.35">
      <c r="A2457">
        <v>2453</v>
      </c>
      <c r="B2457">
        <v>2454</v>
      </c>
      <c r="F2457" s="63"/>
      <c r="G2457" s="63"/>
      <c r="H2457" t="s">
        <v>26</v>
      </c>
      <c r="I2457" s="64"/>
      <c r="J2457" s="31"/>
      <c r="K2457" s="31"/>
      <c r="L2457" s="31"/>
      <c r="M2457" s="31"/>
      <c r="N2457" s="4"/>
      <c r="AG2457" t="s">
        <v>2176</v>
      </c>
      <c r="AM2457" s="1">
        <f t="shared" si="35"/>
        <v>0</v>
      </c>
    </row>
    <row r="2458" spans="1:39" x14ac:dyDescent="0.35">
      <c r="A2458">
        <v>2454</v>
      </c>
      <c r="B2458">
        <v>2455</v>
      </c>
      <c r="F2458" s="63"/>
      <c r="G2458" s="63"/>
      <c r="H2458" t="s">
        <v>26</v>
      </c>
      <c r="I2458" s="64"/>
      <c r="J2458" s="31"/>
      <c r="K2458" s="31"/>
      <c r="L2458" s="31"/>
      <c r="M2458" s="31"/>
      <c r="N2458" s="4"/>
      <c r="AG2458" t="s">
        <v>2177</v>
      </c>
      <c r="AM2458" s="1">
        <f t="shared" si="35"/>
        <v>0</v>
      </c>
    </row>
    <row r="2459" spans="1:39" x14ac:dyDescent="0.35">
      <c r="A2459">
        <v>2455</v>
      </c>
      <c r="B2459">
        <v>2456</v>
      </c>
      <c r="F2459" s="63"/>
      <c r="G2459" s="63"/>
      <c r="H2459" t="s">
        <v>26</v>
      </c>
      <c r="I2459" s="64"/>
      <c r="J2459" s="31"/>
      <c r="K2459" s="31"/>
      <c r="L2459" s="31"/>
      <c r="M2459" s="31"/>
      <c r="N2459" s="4"/>
      <c r="AG2459" t="s">
        <v>2178</v>
      </c>
      <c r="AM2459" s="1">
        <f t="shared" si="35"/>
        <v>0</v>
      </c>
    </row>
    <row r="2460" spans="1:39" x14ac:dyDescent="0.35">
      <c r="A2460">
        <v>2456</v>
      </c>
      <c r="B2460">
        <v>2457</v>
      </c>
      <c r="F2460" s="63"/>
      <c r="G2460" s="63"/>
      <c r="H2460" t="s">
        <v>26</v>
      </c>
      <c r="I2460" s="64"/>
      <c r="J2460" s="31"/>
      <c r="K2460" s="31"/>
      <c r="L2460" s="31"/>
      <c r="M2460" s="31"/>
      <c r="N2460" s="4"/>
      <c r="AG2460" t="s">
        <v>2179</v>
      </c>
      <c r="AM2460" s="1">
        <f t="shared" si="35"/>
        <v>0</v>
      </c>
    </row>
    <row r="2461" spans="1:39" x14ac:dyDescent="0.35">
      <c r="A2461">
        <v>2457</v>
      </c>
      <c r="B2461">
        <v>2458</v>
      </c>
      <c r="F2461" s="63"/>
      <c r="G2461" s="63"/>
      <c r="H2461" t="s">
        <v>26</v>
      </c>
      <c r="I2461" s="64"/>
      <c r="J2461" s="31"/>
      <c r="K2461" s="31"/>
      <c r="L2461" s="31"/>
      <c r="M2461" s="31"/>
      <c r="N2461" s="4"/>
      <c r="AG2461" t="s">
        <v>2180</v>
      </c>
      <c r="AM2461" s="1">
        <f t="shared" si="35"/>
        <v>0</v>
      </c>
    </row>
    <row r="2462" spans="1:39" x14ac:dyDescent="0.35">
      <c r="A2462">
        <v>2458</v>
      </c>
      <c r="B2462">
        <v>2459</v>
      </c>
      <c r="F2462" s="63"/>
      <c r="G2462" s="63"/>
      <c r="H2462" t="s">
        <v>26</v>
      </c>
      <c r="I2462" s="64"/>
      <c r="J2462" s="31"/>
      <c r="K2462" s="31"/>
      <c r="L2462" s="31"/>
      <c r="M2462" s="31"/>
      <c r="N2462" s="4"/>
      <c r="AG2462" t="s">
        <v>2181</v>
      </c>
      <c r="AM2462" s="1">
        <f t="shared" si="35"/>
        <v>0</v>
      </c>
    </row>
    <row r="2463" spans="1:39" x14ac:dyDescent="0.35">
      <c r="A2463">
        <v>2459</v>
      </c>
      <c r="B2463">
        <v>2460</v>
      </c>
      <c r="F2463" s="63"/>
      <c r="G2463" s="63"/>
      <c r="H2463" t="s">
        <v>26</v>
      </c>
      <c r="I2463" s="64"/>
      <c r="J2463" s="31"/>
      <c r="K2463" s="31"/>
      <c r="L2463" s="31"/>
      <c r="M2463" s="31"/>
      <c r="N2463" s="4"/>
      <c r="AG2463" t="s">
        <v>2182</v>
      </c>
      <c r="AM2463" s="1">
        <f t="shared" si="35"/>
        <v>0</v>
      </c>
    </row>
    <row r="2464" spans="1:39" x14ac:dyDescent="0.35">
      <c r="A2464">
        <v>2460</v>
      </c>
      <c r="B2464">
        <v>2461</v>
      </c>
      <c r="F2464" s="63"/>
      <c r="G2464" s="63"/>
      <c r="H2464" t="s">
        <v>78</v>
      </c>
      <c r="I2464" s="64">
        <v>0</v>
      </c>
      <c r="J2464" s="31"/>
      <c r="K2464" s="31"/>
      <c r="L2464" s="31"/>
      <c r="M2464" s="31"/>
      <c r="N2464" s="4"/>
      <c r="AG2464" t="s">
        <v>2183</v>
      </c>
      <c r="AM2464" s="1">
        <f t="shared" si="35"/>
        <v>0</v>
      </c>
    </row>
    <row r="2465" spans="1:39" x14ac:dyDescent="0.35">
      <c r="A2465">
        <v>2461</v>
      </c>
      <c r="B2465">
        <v>2462</v>
      </c>
      <c r="F2465" s="63"/>
      <c r="G2465" s="63"/>
      <c r="H2465" t="s">
        <v>78</v>
      </c>
      <c r="I2465" s="64">
        <v>0</v>
      </c>
      <c r="J2465" s="31"/>
      <c r="K2465" s="31"/>
      <c r="L2465" s="31"/>
      <c r="M2465" s="31"/>
      <c r="N2465" s="4"/>
      <c r="AG2465" t="s">
        <v>2184</v>
      </c>
      <c r="AM2465" s="1">
        <f t="shared" si="35"/>
        <v>0</v>
      </c>
    </row>
    <row r="2466" spans="1:39" x14ac:dyDescent="0.35">
      <c r="A2466">
        <v>2462</v>
      </c>
      <c r="B2466">
        <v>2463</v>
      </c>
      <c r="F2466" s="63"/>
      <c r="G2466" s="63"/>
      <c r="H2466" t="s">
        <v>78</v>
      </c>
      <c r="I2466" s="64">
        <v>0</v>
      </c>
      <c r="J2466" s="31"/>
      <c r="K2466" s="31"/>
      <c r="L2466" s="31"/>
      <c r="M2466" s="31"/>
      <c r="N2466" s="4"/>
      <c r="AG2466" t="s">
        <v>2185</v>
      </c>
      <c r="AM2466" s="1">
        <f t="shared" si="35"/>
        <v>0</v>
      </c>
    </row>
    <row r="2467" spans="1:39" x14ac:dyDescent="0.35">
      <c r="A2467">
        <v>2463</v>
      </c>
      <c r="B2467">
        <v>2464</v>
      </c>
      <c r="F2467" s="63"/>
      <c r="G2467" s="63"/>
      <c r="H2467" t="s">
        <v>78</v>
      </c>
      <c r="I2467" s="64">
        <v>0</v>
      </c>
      <c r="J2467" s="31"/>
      <c r="K2467" s="31"/>
      <c r="L2467" s="31"/>
      <c r="M2467" s="31"/>
      <c r="N2467" s="4"/>
      <c r="AG2467" t="s">
        <v>2186</v>
      </c>
      <c r="AM2467" s="1">
        <f t="shared" si="35"/>
        <v>0</v>
      </c>
    </row>
    <row r="2468" spans="1:39" x14ac:dyDescent="0.35">
      <c r="A2468">
        <v>2464</v>
      </c>
      <c r="B2468">
        <v>2465</v>
      </c>
      <c r="F2468" s="63"/>
      <c r="G2468" s="63"/>
      <c r="H2468" t="s">
        <v>78</v>
      </c>
      <c r="I2468" s="64">
        <v>0</v>
      </c>
      <c r="J2468" s="31"/>
      <c r="K2468" s="31"/>
      <c r="L2468" s="31"/>
      <c r="M2468" s="31"/>
      <c r="N2468" s="4"/>
      <c r="AG2468" t="s">
        <v>2187</v>
      </c>
      <c r="AM2468" s="1">
        <f t="shared" si="35"/>
        <v>0</v>
      </c>
    </row>
    <row r="2469" spans="1:39" x14ac:dyDescent="0.35">
      <c r="A2469">
        <v>2465</v>
      </c>
      <c r="B2469">
        <v>2466</v>
      </c>
      <c r="F2469" s="63"/>
      <c r="G2469" s="63"/>
      <c r="H2469" t="s">
        <v>78</v>
      </c>
      <c r="I2469" s="64">
        <v>0</v>
      </c>
      <c r="J2469" s="31"/>
      <c r="K2469" s="31"/>
      <c r="L2469" s="31"/>
      <c r="M2469" s="31"/>
      <c r="N2469" s="4"/>
      <c r="AG2469" t="s">
        <v>2188</v>
      </c>
      <c r="AM2469" s="1">
        <f t="shared" si="35"/>
        <v>0</v>
      </c>
    </row>
    <row r="2470" spans="1:39" x14ac:dyDescent="0.35">
      <c r="A2470">
        <v>2466</v>
      </c>
      <c r="B2470">
        <v>2467</v>
      </c>
      <c r="F2470" s="63"/>
      <c r="G2470" s="63"/>
      <c r="H2470" t="s">
        <v>78</v>
      </c>
      <c r="I2470" s="64">
        <v>0</v>
      </c>
      <c r="J2470" s="31"/>
      <c r="K2470" s="31"/>
      <c r="L2470" s="31"/>
      <c r="M2470" s="31"/>
      <c r="N2470" s="4"/>
      <c r="AG2470" t="s">
        <v>2189</v>
      </c>
      <c r="AM2470" s="1">
        <f t="shared" si="35"/>
        <v>0</v>
      </c>
    </row>
    <row r="2471" spans="1:39" x14ac:dyDescent="0.35">
      <c r="A2471">
        <v>2467</v>
      </c>
      <c r="B2471">
        <v>2468</v>
      </c>
      <c r="F2471" s="63"/>
      <c r="G2471" s="63"/>
      <c r="H2471" t="s">
        <v>78</v>
      </c>
      <c r="I2471" s="64">
        <v>0</v>
      </c>
      <c r="J2471" s="31"/>
      <c r="K2471" s="31"/>
      <c r="L2471" s="31"/>
      <c r="M2471" s="31"/>
      <c r="N2471" s="4"/>
      <c r="AG2471" t="s">
        <v>2190</v>
      </c>
      <c r="AM2471" s="1">
        <f t="shared" si="35"/>
        <v>0</v>
      </c>
    </row>
    <row r="2472" spans="1:39" x14ac:dyDescent="0.35">
      <c r="A2472">
        <v>2468</v>
      </c>
      <c r="B2472">
        <v>2469</v>
      </c>
      <c r="F2472" s="63"/>
      <c r="G2472" s="63"/>
      <c r="H2472" t="s">
        <v>78</v>
      </c>
      <c r="I2472" s="64">
        <v>0</v>
      </c>
      <c r="J2472" s="31"/>
      <c r="K2472" s="31"/>
      <c r="L2472" s="31"/>
      <c r="M2472" s="31"/>
      <c r="N2472" s="4"/>
      <c r="AG2472" t="s">
        <v>2191</v>
      </c>
      <c r="AM2472" s="1">
        <f t="shared" si="35"/>
        <v>0</v>
      </c>
    </row>
    <row r="2473" spans="1:39" x14ac:dyDescent="0.35">
      <c r="A2473">
        <v>2469</v>
      </c>
      <c r="B2473">
        <v>2470</v>
      </c>
      <c r="F2473" s="63"/>
      <c r="G2473" s="63"/>
      <c r="H2473" t="s">
        <v>78</v>
      </c>
      <c r="I2473" s="64">
        <v>0</v>
      </c>
      <c r="J2473" s="31"/>
      <c r="K2473" s="31"/>
      <c r="L2473" s="31"/>
      <c r="M2473" s="31"/>
      <c r="N2473" s="4"/>
      <c r="AG2473" t="s">
        <v>2192</v>
      </c>
      <c r="AM2473" s="1">
        <f t="shared" si="35"/>
        <v>0</v>
      </c>
    </row>
    <row r="2474" spans="1:39" x14ac:dyDescent="0.35">
      <c r="A2474">
        <v>2470</v>
      </c>
      <c r="B2474">
        <v>2471</v>
      </c>
      <c r="F2474" s="63"/>
      <c r="G2474" s="63"/>
      <c r="H2474" t="s">
        <v>78</v>
      </c>
      <c r="I2474" s="64">
        <v>0</v>
      </c>
      <c r="J2474" s="31"/>
      <c r="K2474" s="31"/>
      <c r="L2474" s="31"/>
      <c r="M2474" s="31"/>
      <c r="N2474" s="4"/>
      <c r="AG2474" t="s">
        <v>2193</v>
      </c>
      <c r="AM2474" s="1">
        <f t="shared" si="35"/>
        <v>0</v>
      </c>
    </row>
    <row r="2475" spans="1:39" x14ac:dyDescent="0.35">
      <c r="A2475">
        <v>2471</v>
      </c>
      <c r="B2475">
        <v>2472</v>
      </c>
      <c r="F2475" s="63"/>
      <c r="G2475" s="63"/>
      <c r="H2475" t="s">
        <v>78</v>
      </c>
      <c r="I2475" s="64">
        <v>0</v>
      </c>
      <c r="J2475" s="31"/>
      <c r="K2475" s="31"/>
      <c r="L2475" s="31"/>
      <c r="M2475" s="31"/>
      <c r="N2475" s="4"/>
      <c r="AG2475" t="s">
        <v>2194</v>
      </c>
      <c r="AM2475" s="1">
        <f t="shared" si="35"/>
        <v>0</v>
      </c>
    </row>
    <row r="2476" spans="1:39" x14ac:dyDescent="0.35">
      <c r="A2476">
        <v>2472</v>
      </c>
      <c r="B2476">
        <v>2473</v>
      </c>
      <c r="F2476" s="63"/>
      <c r="G2476" s="63"/>
      <c r="H2476" t="s">
        <v>78</v>
      </c>
      <c r="I2476" s="64">
        <v>0</v>
      </c>
      <c r="J2476" s="31"/>
      <c r="K2476" s="31"/>
      <c r="L2476" s="31"/>
      <c r="M2476" s="31"/>
      <c r="N2476" s="4"/>
      <c r="AG2476" t="s">
        <v>2195</v>
      </c>
      <c r="AM2476" s="1">
        <f t="shared" si="35"/>
        <v>0</v>
      </c>
    </row>
    <row r="2477" spans="1:39" x14ac:dyDescent="0.35">
      <c r="A2477">
        <v>2473</v>
      </c>
      <c r="B2477">
        <v>2474</v>
      </c>
      <c r="F2477" s="63"/>
      <c r="G2477" s="63"/>
      <c r="H2477" t="s">
        <v>78</v>
      </c>
      <c r="I2477" s="64">
        <v>0</v>
      </c>
      <c r="J2477" s="31"/>
      <c r="K2477" s="31"/>
      <c r="L2477" s="31"/>
      <c r="M2477" s="31"/>
      <c r="N2477" s="4"/>
      <c r="AG2477" t="s">
        <v>2196</v>
      </c>
      <c r="AM2477" s="1">
        <f t="shared" si="35"/>
        <v>0</v>
      </c>
    </row>
    <row r="2478" spans="1:39" x14ac:dyDescent="0.35">
      <c r="A2478">
        <v>2474</v>
      </c>
      <c r="B2478">
        <v>2475</v>
      </c>
      <c r="F2478" s="63"/>
      <c r="G2478" s="63"/>
      <c r="H2478" t="s">
        <v>78</v>
      </c>
      <c r="I2478" s="64">
        <v>0</v>
      </c>
      <c r="J2478" s="31"/>
      <c r="K2478" s="31"/>
      <c r="L2478" s="31"/>
      <c r="M2478" s="31"/>
      <c r="N2478" s="4"/>
      <c r="AG2478" t="s">
        <v>2197</v>
      </c>
      <c r="AM2478" s="1">
        <f t="shared" si="35"/>
        <v>0</v>
      </c>
    </row>
    <row r="2479" spans="1:39" x14ac:dyDescent="0.35">
      <c r="A2479">
        <v>2475</v>
      </c>
      <c r="B2479">
        <v>2476</v>
      </c>
      <c r="F2479" s="63"/>
      <c r="G2479" s="63"/>
      <c r="H2479" t="s">
        <v>78</v>
      </c>
      <c r="I2479" s="64">
        <v>0</v>
      </c>
      <c r="J2479" s="31"/>
      <c r="K2479" s="31"/>
      <c r="L2479" s="31"/>
      <c r="M2479" s="31"/>
      <c r="N2479" s="4"/>
      <c r="AG2479" t="s">
        <v>2198</v>
      </c>
      <c r="AM2479" s="1">
        <f t="shared" si="35"/>
        <v>0</v>
      </c>
    </row>
    <row r="2480" spans="1:39" x14ac:dyDescent="0.35">
      <c r="A2480">
        <v>2476</v>
      </c>
      <c r="B2480">
        <v>2477</v>
      </c>
      <c r="F2480" s="63"/>
      <c r="G2480" s="63"/>
      <c r="H2480" t="s">
        <v>78</v>
      </c>
      <c r="I2480" s="64">
        <v>0</v>
      </c>
      <c r="J2480" s="31"/>
      <c r="K2480" s="31"/>
      <c r="L2480" s="31"/>
      <c r="M2480" s="31"/>
      <c r="N2480" s="4"/>
      <c r="AG2480" t="s">
        <v>2199</v>
      </c>
      <c r="AM2480" s="1">
        <f t="shared" si="35"/>
        <v>0</v>
      </c>
    </row>
    <row r="2481" spans="1:39" x14ac:dyDescent="0.35">
      <c r="A2481">
        <v>2477</v>
      </c>
      <c r="B2481">
        <v>2478</v>
      </c>
      <c r="F2481" s="63"/>
      <c r="G2481" s="63"/>
      <c r="H2481" t="s">
        <v>78</v>
      </c>
      <c r="I2481" s="64">
        <v>0</v>
      </c>
      <c r="J2481" s="31"/>
      <c r="K2481" s="31"/>
      <c r="L2481" s="31"/>
      <c r="M2481" s="31"/>
      <c r="N2481" s="4"/>
      <c r="AG2481" t="s">
        <v>2200</v>
      </c>
      <c r="AM2481" s="1">
        <f t="shared" si="35"/>
        <v>0</v>
      </c>
    </row>
    <row r="2482" spans="1:39" x14ac:dyDescent="0.35">
      <c r="A2482">
        <v>2478</v>
      </c>
      <c r="B2482">
        <v>2479</v>
      </c>
      <c r="F2482" s="63"/>
      <c r="G2482" s="63"/>
      <c r="H2482" t="s">
        <v>78</v>
      </c>
      <c r="I2482" s="64">
        <v>0</v>
      </c>
      <c r="J2482" s="31"/>
      <c r="K2482" s="31"/>
      <c r="L2482" s="31"/>
      <c r="M2482" s="31"/>
      <c r="N2482" s="4"/>
      <c r="AG2482" t="s">
        <v>2201</v>
      </c>
      <c r="AM2482" s="1">
        <f t="shared" si="35"/>
        <v>0</v>
      </c>
    </row>
    <row r="2483" spans="1:39" x14ac:dyDescent="0.35">
      <c r="A2483">
        <v>2479</v>
      </c>
      <c r="B2483">
        <v>2480</v>
      </c>
      <c r="F2483" s="63"/>
      <c r="G2483" s="63"/>
      <c r="H2483" t="s">
        <v>78</v>
      </c>
      <c r="I2483" s="64">
        <v>0</v>
      </c>
      <c r="J2483" s="31"/>
      <c r="K2483" s="31"/>
      <c r="L2483" s="31"/>
      <c r="M2483" s="31"/>
      <c r="N2483" s="4"/>
      <c r="AG2483" t="s">
        <v>2202</v>
      </c>
      <c r="AM2483" s="1">
        <f t="shared" si="35"/>
        <v>0</v>
      </c>
    </row>
    <row r="2484" spans="1:39" x14ac:dyDescent="0.35">
      <c r="A2484">
        <v>2480</v>
      </c>
      <c r="B2484">
        <v>2481</v>
      </c>
      <c r="F2484" s="63"/>
      <c r="G2484" s="63"/>
      <c r="H2484" t="s">
        <v>78</v>
      </c>
      <c r="I2484" s="64">
        <v>0</v>
      </c>
      <c r="J2484" s="31"/>
      <c r="K2484" s="31"/>
      <c r="L2484" s="31"/>
      <c r="M2484" s="31"/>
      <c r="N2484" s="4"/>
      <c r="AG2484" t="s">
        <v>2203</v>
      </c>
      <c r="AM2484" s="1">
        <f t="shared" si="35"/>
        <v>0</v>
      </c>
    </row>
    <row r="2485" spans="1:39" x14ac:dyDescent="0.35">
      <c r="A2485">
        <v>2481</v>
      </c>
      <c r="B2485">
        <v>2482</v>
      </c>
      <c r="F2485" s="63"/>
      <c r="G2485" s="63"/>
      <c r="H2485" t="s">
        <v>78</v>
      </c>
      <c r="I2485" s="64">
        <v>0</v>
      </c>
      <c r="J2485" s="31"/>
      <c r="K2485" s="31"/>
      <c r="L2485" s="31"/>
      <c r="M2485" s="31"/>
      <c r="N2485" s="4"/>
      <c r="AG2485" t="s">
        <v>2204</v>
      </c>
      <c r="AM2485" s="1">
        <f t="shared" si="35"/>
        <v>0</v>
      </c>
    </row>
    <row r="2486" spans="1:39" x14ac:dyDescent="0.35">
      <c r="A2486">
        <v>2482</v>
      </c>
      <c r="B2486">
        <v>2483</v>
      </c>
      <c r="F2486" s="63"/>
      <c r="G2486" s="63"/>
      <c r="H2486" t="s">
        <v>78</v>
      </c>
      <c r="I2486" s="64">
        <v>0</v>
      </c>
      <c r="J2486" s="31"/>
      <c r="K2486" s="31"/>
      <c r="L2486" s="31"/>
      <c r="M2486" s="31"/>
      <c r="N2486" s="4"/>
      <c r="AG2486" t="s">
        <v>2205</v>
      </c>
      <c r="AM2486" s="1">
        <f t="shared" si="35"/>
        <v>0</v>
      </c>
    </row>
    <row r="2487" spans="1:39" x14ac:dyDescent="0.35">
      <c r="A2487">
        <v>2483</v>
      </c>
      <c r="B2487">
        <v>2484</v>
      </c>
      <c r="F2487" s="63"/>
      <c r="G2487" s="63"/>
      <c r="H2487" t="s">
        <v>78</v>
      </c>
      <c r="I2487" s="64">
        <v>0</v>
      </c>
      <c r="J2487" s="31"/>
      <c r="K2487" s="31"/>
      <c r="L2487" s="31"/>
      <c r="M2487" s="31"/>
      <c r="N2487" s="4"/>
      <c r="AG2487" t="s">
        <v>2206</v>
      </c>
      <c r="AM2487" s="1">
        <f t="shared" si="35"/>
        <v>0</v>
      </c>
    </row>
    <row r="2488" spans="1:39" x14ac:dyDescent="0.35">
      <c r="A2488">
        <v>2484</v>
      </c>
      <c r="B2488">
        <v>2485</v>
      </c>
      <c r="F2488" s="63"/>
      <c r="G2488" s="63"/>
      <c r="H2488" t="s">
        <v>78</v>
      </c>
      <c r="I2488" s="64">
        <v>0</v>
      </c>
      <c r="J2488" s="31"/>
      <c r="K2488" s="31"/>
      <c r="L2488" s="31"/>
      <c r="M2488" s="31"/>
      <c r="N2488" s="4"/>
      <c r="AG2488" t="s">
        <v>2207</v>
      </c>
      <c r="AM2488" s="1">
        <f t="shared" si="35"/>
        <v>0</v>
      </c>
    </row>
    <row r="2489" spans="1:39" x14ac:dyDescent="0.35">
      <c r="A2489">
        <v>2485</v>
      </c>
      <c r="B2489">
        <v>2486</v>
      </c>
      <c r="F2489" s="63"/>
      <c r="G2489" s="63"/>
      <c r="H2489" t="s">
        <v>78</v>
      </c>
      <c r="I2489" s="64">
        <v>0</v>
      </c>
      <c r="J2489" s="31"/>
      <c r="K2489" s="31"/>
      <c r="L2489" s="31"/>
      <c r="M2489" s="31"/>
      <c r="N2489" s="4"/>
      <c r="AG2489" t="s">
        <v>2208</v>
      </c>
      <c r="AM2489" s="1">
        <f t="shared" si="35"/>
        <v>0</v>
      </c>
    </row>
    <row r="2490" spans="1:39" x14ac:dyDescent="0.35">
      <c r="A2490">
        <v>2486</v>
      </c>
      <c r="B2490">
        <v>2487</v>
      </c>
      <c r="F2490" s="63"/>
      <c r="G2490" s="63"/>
      <c r="H2490" t="s">
        <v>78</v>
      </c>
      <c r="I2490" s="64">
        <v>0</v>
      </c>
      <c r="J2490" s="31"/>
      <c r="K2490" s="31"/>
      <c r="L2490" s="31"/>
      <c r="M2490" s="31"/>
      <c r="N2490" s="4"/>
      <c r="AG2490" t="s">
        <v>2209</v>
      </c>
      <c r="AM2490" s="1">
        <f t="shared" si="35"/>
        <v>0</v>
      </c>
    </row>
    <row r="2491" spans="1:39" x14ac:dyDescent="0.35">
      <c r="A2491">
        <v>2487</v>
      </c>
      <c r="B2491">
        <v>2488</v>
      </c>
      <c r="F2491" s="63"/>
      <c r="G2491" s="63"/>
      <c r="H2491" t="s">
        <v>78</v>
      </c>
      <c r="I2491" s="64">
        <v>0</v>
      </c>
      <c r="J2491" s="31"/>
      <c r="K2491" s="31"/>
      <c r="L2491" s="31"/>
      <c r="M2491" s="31"/>
      <c r="N2491" s="4"/>
      <c r="AG2491" t="s">
        <v>2210</v>
      </c>
      <c r="AM2491" s="1">
        <f t="shared" si="35"/>
        <v>0</v>
      </c>
    </row>
    <row r="2492" spans="1:39" x14ac:dyDescent="0.35">
      <c r="A2492">
        <v>2488</v>
      </c>
      <c r="B2492">
        <v>2489</v>
      </c>
      <c r="F2492" s="63"/>
      <c r="G2492" s="63"/>
      <c r="H2492" t="s">
        <v>78</v>
      </c>
      <c r="I2492" s="64">
        <v>0</v>
      </c>
      <c r="J2492" s="31"/>
      <c r="K2492" s="31"/>
      <c r="L2492" s="31"/>
      <c r="M2492" s="31"/>
      <c r="N2492" s="4"/>
      <c r="AG2492" t="s">
        <v>2211</v>
      </c>
      <c r="AM2492" s="1">
        <f t="shared" si="35"/>
        <v>0</v>
      </c>
    </row>
    <row r="2493" spans="1:39" x14ac:dyDescent="0.35">
      <c r="A2493">
        <v>2489</v>
      </c>
      <c r="B2493">
        <v>2490</v>
      </c>
      <c r="F2493" s="63"/>
      <c r="G2493" s="63"/>
      <c r="H2493" t="s">
        <v>78</v>
      </c>
      <c r="I2493" s="64">
        <v>0</v>
      </c>
      <c r="J2493" s="31"/>
      <c r="K2493" s="31"/>
      <c r="L2493" s="31"/>
      <c r="M2493" s="31"/>
      <c r="N2493" s="4"/>
      <c r="AG2493" t="s">
        <v>2212</v>
      </c>
      <c r="AM2493" s="1">
        <f t="shared" si="35"/>
        <v>0</v>
      </c>
    </row>
    <row r="2494" spans="1:39" x14ac:dyDescent="0.35">
      <c r="A2494">
        <v>2490</v>
      </c>
      <c r="B2494">
        <v>2491</v>
      </c>
      <c r="F2494" s="63"/>
      <c r="G2494" s="63"/>
      <c r="H2494" t="s">
        <v>78</v>
      </c>
      <c r="I2494" s="64">
        <v>0</v>
      </c>
      <c r="J2494" s="31"/>
      <c r="K2494" s="31"/>
      <c r="L2494" s="31"/>
      <c r="M2494" s="31"/>
      <c r="N2494" s="4"/>
      <c r="AG2494" t="s">
        <v>2213</v>
      </c>
      <c r="AM2494" s="1">
        <f t="shared" si="35"/>
        <v>0</v>
      </c>
    </row>
    <row r="2495" spans="1:39" x14ac:dyDescent="0.35">
      <c r="A2495">
        <v>2491</v>
      </c>
      <c r="B2495">
        <v>2492</v>
      </c>
      <c r="F2495" s="63"/>
      <c r="G2495" s="63"/>
      <c r="H2495" t="s">
        <v>78</v>
      </c>
      <c r="I2495" s="64">
        <v>0</v>
      </c>
      <c r="J2495" s="31"/>
      <c r="K2495" s="31"/>
      <c r="L2495" s="31"/>
      <c r="M2495" s="31"/>
      <c r="N2495" s="4"/>
      <c r="AG2495" t="s">
        <v>2214</v>
      </c>
      <c r="AM2495" s="1">
        <f t="shared" si="35"/>
        <v>0</v>
      </c>
    </row>
    <row r="2496" spans="1:39" x14ac:dyDescent="0.35">
      <c r="A2496">
        <v>2492</v>
      </c>
      <c r="B2496">
        <v>2493</v>
      </c>
      <c r="F2496" s="63"/>
      <c r="G2496" s="63"/>
      <c r="H2496" t="s">
        <v>78</v>
      </c>
      <c r="I2496" s="64">
        <v>0</v>
      </c>
      <c r="J2496" s="31"/>
      <c r="K2496" s="31"/>
      <c r="L2496" s="31"/>
      <c r="M2496" s="31"/>
      <c r="N2496" s="4"/>
      <c r="AG2496" t="s">
        <v>2215</v>
      </c>
      <c r="AM2496" s="1">
        <f t="shared" si="35"/>
        <v>0</v>
      </c>
    </row>
    <row r="2497" spans="1:39" x14ac:dyDescent="0.35">
      <c r="A2497">
        <v>2493</v>
      </c>
      <c r="B2497">
        <v>2494</v>
      </c>
      <c r="F2497" s="63"/>
      <c r="G2497" s="63"/>
      <c r="H2497" t="s">
        <v>78</v>
      </c>
      <c r="I2497" s="64">
        <v>0</v>
      </c>
      <c r="J2497" s="31"/>
      <c r="K2497" s="31"/>
      <c r="L2497" s="31"/>
      <c r="M2497" s="31"/>
      <c r="N2497" s="4"/>
      <c r="AG2497" t="s">
        <v>2216</v>
      </c>
      <c r="AM2497" s="1">
        <f t="shared" si="35"/>
        <v>0</v>
      </c>
    </row>
    <row r="2498" spans="1:39" x14ac:dyDescent="0.35">
      <c r="A2498">
        <v>2494</v>
      </c>
      <c r="B2498">
        <v>2495</v>
      </c>
      <c r="F2498" s="63"/>
      <c r="G2498" s="63"/>
      <c r="H2498" t="s">
        <v>78</v>
      </c>
      <c r="I2498" s="64">
        <v>0</v>
      </c>
      <c r="J2498" s="31"/>
      <c r="K2498" s="31"/>
      <c r="L2498" s="31"/>
      <c r="M2498" s="31"/>
      <c r="N2498" s="4"/>
      <c r="AG2498" t="s">
        <v>2217</v>
      </c>
      <c r="AM2498" s="1">
        <f t="shared" si="35"/>
        <v>0</v>
      </c>
    </row>
    <row r="2499" spans="1:39" x14ac:dyDescent="0.35">
      <c r="A2499">
        <v>2495</v>
      </c>
      <c r="B2499">
        <v>2496</v>
      </c>
      <c r="F2499" s="63"/>
      <c r="G2499" s="63"/>
      <c r="H2499" t="s">
        <v>78</v>
      </c>
      <c r="I2499" s="64">
        <v>0</v>
      </c>
      <c r="J2499" s="31"/>
      <c r="K2499" s="31"/>
      <c r="L2499" s="31"/>
      <c r="M2499" s="31"/>
      <c r="N2499" s="4"/>
      <c r="AG2499" t="s">
        <v>2218</v>
      </c>
      <c r="AM2499" s="1">
        <f t="shared" si="35"/>
        <v>0</v>
      </c>
    </row>
    <row r="2500" spans="1:39" x14ac:dyDescent="0.35">
      <c r="A2500">
        <v>2496</v>
      </c>
      <c r="B2500">
        <v>2497</v>
      </c>
      <c r="F2500" s="63"/>
      <c r="G2500" s="63"/>
      <c r="H2500" t="s">
        <v>78</v>
      </c>
      <c r="I2500" s="64">
        <v>0</v>
      </c>
      <c r="J2500" s="31"/>
      <c r="K2500" s="31"/>
      <c r="L2500" s="31"/>
      <c r="M2500" s="31"/>
      <c r="N2500" s="4"/>
      <c r="AG2500" t="s">
        <v>2219</v>
      </c>
      <c r="AM2500" s="1">
        <f t="shared" si="35"/>
        <v>0</v>
      </c>
    </row>
    <row r="2501" spans="1:39" x14ac:dyDescent="0.35">
      <c r="A2501">
        <v>2497</v>
      </c>
      <c r="B2501">
        <v>2498</v>
      </c>
      <c r="F2501" s="63"/>
      <c r="G2501" s="63"/>
      <c r="H2501" t="s">
        <v>78</v>
      </c>
      <c r="I2501" s="64">
        <v>0</v>
      </c>
      <c r="J2501" s="31"/>
      <c r="K2501" s="31"/>
      <c r="L2501" s="31"/>
      <c r="M2501" s="31"/>
      <c r="N2501" s="4"/>
      <c r="AG2501" t="s">
        <v>2220</v>
      </c>
      <c r="AM2501" s="1">
        <f t="shared" si="35"/>
        <v>0</v>
      </c>
    </row>
    <row r="2502" spans="1:39" x14ac:dyDescent="0.35">
      <c r="A2502">
        <v>2498</v>
      </c>
      <c r="B2502">
        <v>2499</v>
      </c>
      <c r="F2502" s="63"/>
      <c r="G2502" s="63"/>
      <c r="H2502" t="s">
        <v>78</v>
      </c>
      <c r="I2502" s="64">
        <v>0</v>
      </c>
      <c r="J2502" s="31"/>
      <c r="K2502" s="31"/>
      <c r="L2502" s="31"/>
      <c r="M2502" s="31"/>
      <c r="N2502" s="4"/>
      <c r="AG2502" t="s">
        <v>2221</v>
      </c>
      <c r="AM2502" s="1">
        <f t="shared" si="35"/>
        <v>0</v>
      </c>
    </row>
    <row r="2503" spans="1:39" x14ac:dyDescent="0.35">
      <c r="A2503">
        <v>2499</v>
      </c>
      <c r="B2503">
        <v>2500</v>
      </c>
      <c r="F2503" s="63"/>
      <c r="G2503" s="63"/>
      <c r="H2503" t="s">
        <v>78</v>
      </c>
      <c r="I2503" s="64">
        <v>0</v>
      </c>
      <c r="J2503" s="31"/>
      <c r="K2503" s="31"/>
      <c r="L2503" s="31"/>
      <c r="M2503" s="31"/>
      <c r="N2503" s="4"/>
      <c r="AG2503" t="s">
        <v>2222</v>
      </c>
      <c r="AM2503" s="1">
        <f t="shared" si="35"/>
        <v>0</v>
      </c>
    </row>
    <row r="2504" spans="1:39" x14ac:dyDescent="0.35">
      <c r="A2504">
        <v>2500</v>
      </c>
      <c r="B2504">
        <v>2501</v>
      </c>
      <c r="F2504" s="63"/>
      <c r="G2504" s="63"/>
      <c r="H2504" t="s">
        <v>78</v>
      </c>
      <c r="I2504" s="64">
        <v>0</v>
      </c>
      <c r="J2504" s="31"/>
      <c r="K2504" s="31"/>
      <c r="L2504" s="31"/>
      <c r="M2504" s="31"/>
      <c r="N2504" s="4"/>
      <c r="AG2504" t="s">
        <v>2223</v>
      </c>
      <c r="AM2504" s="1">
        <f t="shared" si="35"/>
        <v>0</v>
      </c>
    </row>
    <row r="2505" spans="1:39" x14ac:dyDescent="0.35">
      <c r="A2505">
        <v>2501</v>
      </c>
      <c r="B2505">
        <v>2502</v>
      </c>
      <c r="F2505" s="63"/>
      <c r="G2505" s="63"/>
      <c r="H2505" t="s">
        <v>78</v>
      </c>
      <c r="I2505" s="64">
        <v>0</v>
      </c>
      <c r="J2505" s="31"/>
      <c r="K2505" s="31"/>
      <c r="L2505" s="31"/>
      <c r="M2505" s="31"/>
      <c r="N2505" s="4"/>
      <c r="AG2505" t="s">
        <v>2224</v>
      </c>
      <c r="AM2505" s="1">
        <f t="shared" si="35"/>
        <v>0</v>
      </c>
    </row>
    <row r="2506" spans="1:39" x14ac:dyDescent="0.35">
      <c r="A2506">
        <v>2502</v>
      </c>
      <c r="B2506">
        <v>2503</v>
      </c>
      <c r="F2506" s="63"/>
      <c r="G2506" s="63"/>
      <c r="H2506" t="s">
        <v>78</v>
      </c>
      <c r="I2506" s="64">
        <v>0</v>
      </c>
      <c r="J2506" s="31"/>
      <c r="K2506" s="31"/>
      <c r="L2506" s="31"/>
      <c r="M2506" s="31"/>
      <c r="N2506" s="4"/>
      <c r="AG2506" t="s">
        <v>2225</v>
      </c>
      <c r="AM2506" s="1">
        <f t="shared" si="35"/>
        <v>0</v>
      </c>
    </row>
    <row r="2507" spans="1:39" x14ac:dyDescent="0.35">
      <c r="A2507">
        <v>2503</v>
      </c>
      <c r="B2507">
        <v>2504</v>
      </c>
      <c r="F2507" s="63"/>
      <c r="G2507" s="63"/>
      <c r="H2507" t="s">
        <v>78</v>
      </c>
      <c r="I2507" s="64">
        <v>0</v>
      </c>
      <c r="J2507" s="31"/>
      <c r="K2507" s="31"/>
      <c r="L2507" s="31"/>
      <c r="M2507" s="31"/>
      <c r="N2507" s="4"/>
      <c r="AG2507" t="s">
        <v>2226</v>
      </c>
      <c r="AM2507" s="1">
        <f t="shared" ref="AM2507:AM2570" si="36">HYPERLINK("E:\CAFNEC_GBRF\2023\JohnstoneRiver\Frames_for_Analysis\" &amp; F2508, F2508)</f>
        <v>0</v>
      </c>
    </row>
    <row r="2508" spans="1:39" x14ac:dyDescent="0.35">
      <c r="A2508">
        <v>2504</v>
      </c>
      <c r="B2508">
        <v>2505</v>
      </c>
      <c r="F2508" s="63"/>
      <c r="G2508" s="63"/>
      <c r="H2508" t="s">
        <v>78</v>
      </c>
      <c r="I2508" s="64">
        <v>0</v>
      </c>
      <c r="J2508" s="31"/>
      <c r="K2508" s="31"/>
      <c r="L2508" s="31"/>
      <c r="M2508" s="31"/>
      <c r="N2508" s="4"/>
      <c r="AG2508" t="s">
        <v>2227</v>
      </c>
      <c r="AM2508" s="1">
        <f t="shared" si="36"/>
        <v>0</v>
      </c>
    </row>
    <row r="2509" spans="1:39" x14ac:dyDescent="0.35">
      <c r="A2509">
        <v>2505</v>
      </c>
      <c r="B2509">
        <v>2506</v>
      </c>
      <c r="F2509" s="63"/>
      <c r="G2509" s="63"/>
      <c r="H2509" t="s">
        <v>78</v>
      </c>
      <c r="I2509" s="64">
        <v>0</v>
      </c>
      <c r="J2509" s="31"/>
      <c r="K2509" s="31"/>
      <c r="L2509" s="31"/>
      <c r="M2509" s="31"/>
      <c r="N2509" s="4"/>
      <c r="AG2509" t="s">
        <v>2228</v>
      </c>
      <c r="AM2509" s="1">
        <f t="shared" si="36"/>
        <v>0</v>
      </c>
    </row>
    <row r="2510" spans="1:39" x14ac:dyDescent="0.35">
      <c r="A2510">
        <v>2506</v>
      </c>
      <c r="B2510">
        <v>2507</v>
      </c>
      <c r="F2510" s="63"/>
      <c r="G2510" s="63"/>
      <c r="H2510" t="s">
        <v>78</v>
      </c>
      <c r="I2510" s="64">
        <v>0</v>
      </c>
      <c r="J2510" s="31"/>
      <c r="K2510" s="31"/>
      <c r="L2510" s="31"/>
      <c r="M2510" s="31"/>
      <c r="N2510" s="4"/>
      <c r="AG2510" t="s">
        <v>2229</v>
      </c>
      <c r="AM2510" s="1">
        <f t="shared" si="36"/>
        <v>0</v>
      </c>
    </row>
    <row r="2511" spans="1:39" x14ac:dyDescent="0.35">
      <c r="A2511">
        <v>2507</v>
      </c>
      <c r="B2511">
        <v>2508</v>
      </c>
      <c r="F2511" s="63"/>
      <c r="G2511" s="63"/>
      <c r="H2511" t="s">
        <v>78</v>
      </c>
      <c r="I2511" s="64">
        <v>0</v>
      </c>
      <c r="J2511" s="31"/>
      <c r="K2511" s="31"/>
      <c r="L2511" s="31"/>
      <c r="M2511" s="31"/>
      <c r="N2511" s="4"/>
      <c r="AG2511" t="s">
        <v>2230</v>
      </c>
      <c r="AM2511" s="1">
        <f t="shared" si="36"/>
        <v>0</v>
      </c>
    </row>
    <row r="2512" spans="1:39" x14ac:dyDescent="0.35">
      <c r="A2512">
        <v>2508</v>
      </c>
      <c r="B2512">
        <v>2509</v>
      </c>
      <c r="F2512" s="63"/>
      <c r="G2512" s="63"/>
      <c r="H2512" t="s">
        <v>78</v>
      </c>
      <c r="I2512" s="64">
        <v>0</v>
      </c>
      <c r="J2512" s="31"/>
      <c r="K2512" s="31"/>
      <c r="L2512" s="31"/>
      <c r="M2512" s="31"/>
      <c r="N2512" s="4"/>
      <c r="AG2512" t="s">
        <v>2231</v>
      </c>
      <c r="AM2512" s="1">
        <f t="shared" si="36"/>
        <v>0</v>
      </c>
    </row>
    <row r="2513" spans="1:39" x14ac:dyDescent="0.35">
      <c r="A2513">
        <v>2509</v>
      </c>
      <c r="B2513">
        <v>2510</v>
      </c>
      <c r="F2513" s="63"/>
      <c r="G2513" s="63"/>
      <c r="H2513" t="s">
        <v>78</v>
      </c>
      <c r="I2513" s="64">
        <v>0</v>
      </c>
      <c r="J2513" s="31"/>
      <c r="K2513" s="31"/>
      <c r="L2513" s="31"/>
      <c r="M2513" s="31"/>
      <c r="N2513" s="4"/>
      <c r="AG2513" t="s">
        <v>2232</v>
      </c>
      <c r="AM2513" s="1">
        <f t="shared" si="36"/>
        <v>0</v>
      </c>
    </row>
    <row r="2514" spans="1:39" x14ac:dyDescent="0.35">
      <c r="A2514">
        <v>2510</v>
      </c>
      <c r="B2514">
        <v>2511</v>
      </c>
      <c r="F2514" s="63"/>
      <c r="G2514" s="63"/>
      <c r="H2514" t="s">
        <v>78</v>
      </c>
      <c r="I2514" s="64">
        <v>0</v>
      </c>
      <c r="J2514" s="31"/>
      <c r="K2514" s="31"/>
      <c r="L2514" s="31"/>
      <c r="M2514" s="31"/>
      <c r="N2514" s="4"/>
      <c r="AG2514" t="s">
        <v>2233</v>
      </c>
      <c r="AM2514" s="1">
        <f t="shared" si="36"/>
        <v>0</v>
      </c>
    </row>
    <row r="2515" spans="1:39" x14ac:dyDescent="0.35">
      <c r="A2515">
        <v>2511</v>
      </c>
      <c r="B2515">
        <v>2512</v>
      </c>
      <c r="F2515" s="63"/>
      <c r="G2515" s="63"/>
      <c r="H2515" t="s">
        <v>78</v>
      </c>
      <c r="I2515" s="64">
        <v>0</v>
      </c>
      <c r="J2515" s="31"/>
      <c r="K2515" s="31"/>
      <c r="L2515" s="31"/>
      <c r="M2515" s="31"/>
      <c r="N2515" s="4"/>
      <c r="AG2515" t="s">
        <v>2234</v>
      </c>
      <c r="AM2515" s="1">
        <f t="shared" si="36"/>
        <v>0</v>
      </c>
    </row>
    <row r="2516" spans="1:39" x14ac:dyDescent="0.35">
      <c r="A2516">
        <v>2512</v>
      </c>
      <c r="B2516">
        <v>2513</v>
      </c>
      <c r="F2516" s="63"/>
      <c r="G2516" s="63"/>
      <c r="H2516" t="s">
        <v>78</v>
      </c>
      <c r="I2516" s="64">
        <v>0</v>
      </c>
      <c r="J2516" s="31"/>
      <c r="K2516" s="31"/>
      <c r="L2516" s="31"/>
      <c r="M2516" s="31"/>
      <c r="N2516" s="4"/>
      <c r="AG2516" t="s">
        <v>2235</v>
      </c>
      <c r="AM2516" s="1">
        <f t="shared" si="36"/>
        <v>0</v>
      </c>
    </row>
    <row r="2517" spans="1:39" x14ac:dyDescent="0.35">
      <c r="A2517">
        <v>2513</v>
      </c>
      <c r="B2517">
        <v>2514</v>
      </c>
      <c r="F2517" s="63"/>
      <c r="G2517" s="63"/>
      <c r="H2517" t="s">
        <v>78</v>
      </c>
      <c r="I2517" s="64">
        <v>0</v>
      </c>
      <c r="J2517" s="31"/>
      <c r="K2517" s="31"/>
      <c r="L2517" s="31"/>
      <c r="M2517" s="31"/>
      <c r="N2517" s="4"/>
      <c r="AG2517" t="s">
        <v>2236</v>
      </c>
      <c r="AM2517" s="1">
        <f t="shared" si="36"/>
        <v>0</v>
      </c>
    </row>
    <row r="2518" spans="1:39" x14ac:dyDescent="0.35">
      <c r="A2518">
        <v>2514</v>
      </c>
      <c r="B2518">
        <v>2515</v>
      </c>
      <c r="F2518" s="63"/>
      <c r="G2518" s="63"/>
      <c r="H2518" t="s">
        <v>78</v>
      </c>
      <c r="I2518" s="64">
        <v>0</v>
      </c>
      <c r="J2518" s="31"/>
      <c r="K2518" s="31"/>
      <c r="L2518" s="31"/>
      <c r="M2518" s="31"/>
      <c r="N2518" s="4"/>
      <c r="AG2518" t="s">
        <v>2237</v>
      </c>
      <c r="AM2518" s="1">
        <f t="shared" si="36"/>
        <v>0</v>
      </c>
    </row>
    <row r="2519" spans="1:39" x14ac:dyDescent="0.35">
      <c r="A2519">
        <v>2515</v>
      </c>
      <c r="B2519">
        <v>2516</v>
      </c>
      <c r="F2519" s="63"/>
      <c r="G2519" s="63"/>
      <c r="H2519" t="s">
        <v>78</v>
      </c>
      <c r="I2519" s="64">
        <v>0</v>
      </c>
      <c r="J2519" s="31"/>
      <c r="K2519" s="31"/>
      <c r="L2519" s="31"/>
      <c r="M2519" s="31"/>
      <c r="N2519" s="4"/>
      <c r="AG2519" t="s">
        <v>2238</v>
      </c>
      <c r="AM2519" s="1">
        <f t="shared" si="36"/>
        <v>0</v>
      </c>
    </row>
    <row r="2520" spans="1:39" x14ac:dyDescent="0.35">
      <c r="A2520">
        <v>2516</v>
      </c>
      <c r="B2520">
        <v>2517</v>
      </c>
      <c r="F2520" s="63"/>
      <c r="G2520" s="63"/>
      <c r="H2520" t="s">
        <v>78</v>
      </c>
      <c r="I2520" s="64">
        <v>0</v>
      </c>
      <c r="J2520" s="31"/>
      <c r="K2520" s="31"/>
      <c r="L2520" s="31"/>
      <c r="M2520" s="31"/>
      <c r="N2520" s="4"/>
      <c r="AG2520" t="s">
        <v>2239</v>
      </c>
      <c r="AM2520" s="1">
        <f t="shared" si="36"/>
        <v>0</v>
      </c>
    </row>
    <row r="2521" spans="1:39" x14ac:dyDescent="0.35">
      <c r="A2521">
        <v>2517</v>
      </c>
      <c r="B2521">
        <v>2518</v>
      </c>
      <c r="F2521" s="63"/>
      <c r="G2521" s="63"/>
      <c r="H2521" t="s">
        <v>78</v>
      </c>
      <c r="I2521" s="64">
        <v>0</v>
      </c>
      <c r="J2521" s="31"/>
      <c r="K2521" s="31"/>
      <c r="L2521" s="31"/>
      <c r="M2521" s="31"/>
      <c r="N2521" s="4"/>
      <c r="AG2521" t="s">
        <v>2240</v>
      </c>
      <c r="AM2521" s="1">
        <f t="shared" si="36"/>
        <v>0</v>
      </c>
    </row>
    <row r="2522" spans="1:39" x14ac:dyDescent="0.35">
      <c r="A2522">
        <v>2518</v>
      </c>
      <c r="B2522">
        <v>2519</v>
      </c>
      <c r="F2522" s="63"/>
      <c r="G2522" s="63"/>
      <c r="H2522" t="s">
        <v>78</v>
      </c>
      <c r="I2522" s="64">
        <v>0</v>
      </c>
      <c r="J2522" s="31"/>
      <c r="K2522" s="31"/>
      <c r="L2522" s="31"/>
      <c r="M2522" s="31"/>
      <c r="N2522" s="4"/>
      <c r="AG2522" t="s">
        <v>2241</v>
      </c>
      <c r="AM2522" s="1">
        <f t="shared" si="36"/>
        <v>0</v>
      </c>
    </row>
    <row r="2523" spans="1:39" x14ac:dyDescent="0.35">
      <c r="A2523">
        <v>2519</v>
      </c>
      <c r="B2523">
        <v>2520</v>
      </c>
      <c r="F2523" s="63"/>
      <c r="G2523" s="63"/>
      <c r="H2523" t="s">
        <v>78</v>
      </c>
      <c r="I2523" s="64">
        <v>0</v>
      </c>
      <c r="J2523" s="31"/>
      <c r="K2523" s="31"/>
      <c r="L2523" s="31"/>
      <c r="M2523" s="31"/>
      <c r="N2523" s="4"/>
      <c r="AG2523" t="s">
        <v>2242</v>
      </c>
      <c r="AM2523" s="1">
        <f t="shared" si="36"/>
        <v>0</v>
      </c>
    </row>
    <row r="2524" spans="1:39" x14ac:dyDescent="0.35">
      <c r="A2524">
        <v>2520</v>
      </c>
      <c r="B2524">
        <v>2521</v>
      </c>
      <c r="F2524" s="63"/>
      <c r="G2524" s="63"/>
      <c r="H2524" t="s">
        <v>78</v>
      </c>
      <c r="I2524" s="64">
        <v>0</v>
      </c>
      <c r="J2524" s="31"/>
      <c r="K2524" s="31"/>
      <c r="L2524" s="31"/>
      <c r="M2524" s="31"/>
      <c r="N2524" s="4"/>
      <c r="AG2524" t="s">
        <v>2243</v>
      </c>
      <c r="AM2524" s="1">
        <f t="shared" si="36"/>
        <v>0</v>
      </c>
    </row>
    <row r="2525" spans="1:39" x14ac:dyDescent="0.35">
      <c r="A2525">
        <v>2521</v>
      </c>
      <c r="B2525">
        <v>2522</v>
      </c>
      <c r="F2525" s="63"/>
      <c r="G2525" s="63"/>
      <c r="H2525" t="s">
        <v>78</v>
      </c>
      <c r="I2525" s="64">
        <v>0</v>
      </c>
      <c r="J2525" s="31"/>
      <c r="K2525" s="31"/>
      <c r="L2525" s="31"/>
      <c r="M2525" s="31"/>
      <c r="N2525" s="4"/>
      <c r="AG2525" t="s">
        <v>2244</v>
      </c>
      <c r="AM2525" s="1">
        <f t="shared" si="36"/>
        <v>0</v>
      </c>
    </row>
    <row r="2526" spans="1:39" x14ac:dyDescent="0.35">
      <c r="A2526">
        <v>2522</v>
      </c>
      <c r="B2526">
        <v>2523</v>
      </c>
      <c r="F2526" s="63"/>
      <c r="G2526" s="63"/>
      <c r="H2526" t="s">
        <v>78</v>
      </c>
      <c r="I2526" s="64">
        <v>0</v>
      </c>
      <c r="J2526" s="31"/>
      <c r="K2526" s="31"/>
      <c r="L2526" s="31"/>
      <c r="M2526" s="31"/>
      <c r="N2526" s="4"/>
      <c r="AG2526" t="s">
        <v>2245</v>
      </c>
      <c r="AM2526" s="1">
        <f t="shared" si="36"/>
        <v>0</v>
      </c>
    </row>
    <row r="2527" spans="1:39" x14ac:dyDescent="0.35">
      <c r="A2527">
        <v>2523</v>
      </c>
      <c r="B2527">
        <v>2524</v>
      </c>
      <c r="F2527" s="63"/>
      <c r="G2527" s="63"/>
      <c r="H2527" t="s">
        <v>78</v>
      </c>
      <c r="I2527" s="64">
        <v>0</v>
      </c>
      <c r="J2527" s="31"/>
      <c r="K2527" s="31"/>
      <c r="L2527" s="31"/>
      <c r="M2527" s="31"/>
      <c r="N2527" s="4"/>
      <c r="AG2527" t="s">
        <v>2246</v>
      </c>
      <c r="AM2527" s="1">
        <f t="shared" si="36"/>
        <v>0</v>
      </c>
    </row>
    <row r="2528" spans="1:39" x14ac:dyDescent="0.35">
      <c r="A2528">
        <v>2524</v>
      </c>
      <c r="B2528">
        <v>2525</v>
      </c>
      <c r="F2528" s="63"/>
      <c r="G2528" s="63"/>
      <c r="H2528" t="s">
        <v>78</v>
      </c>
      <c r="I2528" s="64">
        <v>0</v>
      </c>
      <c r="J2528" s="31"/>
      <c r="K2528" s="31"/>
      <c r="L2528" s="31"/>
      <c r="M2528" s="31"/>
      <c r="N2528" s="4"/>
      <c r="AG2528" t="s">
        <v>2247</v>
      </c>
      <c r="AM2528" s="1">
        <f t="shared" si="36"/>
        <v>0</v>
      </c>
    </row>
    <row r="2529" spans="1:39" x14ac:dyDescent="0.35">
      <c r="A2529">
        <v>2525</v>
      </c>
      <c r="B2529">
        <v>2526</v>
      </c>
      <c r="F2529" s="63"/>
      <c r="G2529" s="63"/>
      <c r="H2529" t="s">
        <v>78</v>
      </c>
      <c r="I2529" s="64">
        <v>0</v>
      </c>
      <c r="J2529" s="31"/>
      <c r="K2529" s="31"/>
      <c r="L2529" s="31"/>
      <c r="M2529" s="31"/>
      <c r="N2529" s="4"/>
      <c r="AG2529" t="s">
        <v>2248</v>
      </c>
      <c r="AM2529" s="1">
        <f t="shared" si="36"/>
        <v>0</v>
      </c>
    </row>
    <row r="2530" spans="1:39" x14ac:dyDescent="0.35">
      <c r="A2530">
        <v>2526</v>
      </c>
      <c r="B2530">
        <v>2527</v>
      </c>
      <c r="F2530" s="63"/>
      <c r="G2530" s="63"/>
      <c r="H2530" t="s">
        <v>78</v>
      </c>
      <c r="I2530" s="64">
        <v>0</v>
      </c>
      <c r="J2530" s="31"/>
      <c r="K2530" s="31"/>
      <c r="L2530" s="31"/>
      <c r="M2530" s="31"/>
      <c r="N2530" s="4"/>
      <c r="AG2530" t="s">
        <v>2249</v>
      </c>
      <c r="AM2530" s="1">
        <f t="shared" si="36"/>
        <v>0</v>
      </c>
    </row>
    <row r="2531" spans="1:39" x14ac:dyDescent="0.35">
      <c r="A2531">
        <v>2527</v>
      </c>
      <c r="B2531">
        <v>2528</v>
      </c>
      <c r="F2531" s="63"/>
      <c r="G2531" s="63"/>
      <c r="H2531" t="s">
        <v>78</v>
      </c>
      <c r="I2531" s="64">
        <v>0</v>
      </c>
      <c r="J2531" s="31"/>
      <c r="K2531" s="31"/>
      <c r="L2531" s="31"/>
      <c r="M2531" s="31"/>
      <c r="N2531" s="4"/>
      <c r="AG2531" t="s">
        <v>2250</v>
      </c>
      <c r="AM2531" s="1">
        <f t="shared" si="36"/>
        <v>0</v>
      </c>
    </row>
    <row r="2532" spans="1:39" x14ac:dyDescent="0.35">
      <c r="A2532">
        <v>2528</v>
      </c>
      <c r="B2532">
        <v>2529</v>
      </c>
      <c r="F2532" s="63"/>
      <c r="G2532" s="63"/>
      <c r="H2532" t="s">
        <v>78</v>
      </c>
      <c r="I2532" s="64">
        <v>0</v>
      </c>
      <c r="J2532" s="31"/>
      <c r="K2532" s="31"/>
      <c r="L2532" s="31"/>
      <c r="M2532" s="31"/>
      <c r="N2532" s="4"/>
      <c r="AG2532" t="s">
        <v>2251</v>
      </c>
      <c r="AM2532" s="1">
        <f t="shared" si="36"/>
        <v>0</v>
      </c>
    </row>
    <row r="2533" spans="1:39" x14ac:dyDescent="0.35">
      <c r="A2533">
        <v>2529</v>
      </c>
      <c r="B2533">
        <v>2530</v>
      </c>
      <c r="F2533" s="63"/>
      <c r="G2533" s="63"/>
      <c r="H2533" t="s">
        <v>78</v>
      </c>
      <c r="I2533" s="64">
        <v>0</v>
      </c>
      <c r="J2533" s="31"/>
      <c r="K2533" s="31"/>
      <c r="L2533" s="31"/>
      <c r="M2533" s="31"/>
      <c r="N2533" s="4"/>
      <c r="AG2533" t="s">
        <v>2252</v>
      </c>
      <c r="AM2533" s="1">
        <f t="shared" si="36"/>
        <v>0</v>
      </c>
    </row>
    <row r="2534" spans="1:39" x14ac:dyDescent="0.35">
      <c r="A2534">
        <v>2530</v>
      </c>
      <c r="B2534">
        <v>2531</v>
      </c>
      <c r="F2534" s="63"/>
      <c r="G2534" s="63"/>
      <c r="H2534" t="s">
        <v>78</v>
      </c>
      <c r="I2534" s="64">
        <v>0</v>
      </c>
      <c r="J2534" s="31"/>
      <c r="K2534" s="31"/>
      <c r="L2534" s="31"/>
      <c r="M2534" s="31"/>
      <c r="N2534" s="4"/>
      <c r="AG2534" t="s">
        <v>2253</v>
      </c>
      <c r="AM2534" s="1">
        <f t="shared" si="36"/>
        <v>0</v>
      </c>
    </row>
    <row r="2535" spans="1:39" x14ac:dyDescent="0.35">
      <c r="A2535">
        <v>2531</v>
      </c>
      <c r="B2535">
        <v>2532</v>
      </c>
      <c r="F2535" s="63"/>
      <c r="G2535" s="63"/>
      <c r="H2535" t="s">
        <v>78</v>
      </c>
      <c r="I2535" s="64">
        <v>0</v>
      </c>
      <c r="J2535" s="31"/>
      <c r="K2535" s="31"/>
      <c r="L2535" s="31"/>
      <c r="M2535" s="31"/>
      <c r="N2535" s="4"/>
      <c r="AG2535" t="s">
        <v>2254</v>
      </c>
      <c r="AM2535" s="1">
        <f t="shared" si="36"/>
        <v>0</v>
      </c>
    </row>
    <row r="2536" spans="1:39" x14ac:dyDescent="0.35">
      <c r="A2536">
        <v>2532</v>
      </c>
      <c r="B2536">
        <v>2533</v>
      </c>
      <c r="F2536" s="63"/>
      <c r="G2536" s="63"/>
      <c r="H2536" t="s">
        <v>78</v>
      </c>
      <c r="I2536" s="64">
        <v>0</v>
      </c>
      <c r="J2536" s="31"/>
      <c r="K2536" s="31"/>
      <c r="L2536" s="31"/>
      <c r="M2536" s="31"/>
      <c r="N2536" s="4"/>
      <c r="AG2536" t="s">
        <v>2255</v>
      </c>
      <c r="AM2536" s="1">
        <f t="shared" si="36"/>
        <v>0</v>
      </c>
    </row>
    <row r="2537" spans="1:39" x14ac:dyDescent="0.35">
      <c r="A2537">
        <v>2533</v>
      </c>
      <c r="B2537">
        <v>2534</v>
      </c>
      <c r="F2537" s="63"/>
      <c r="G2537" s="63"/>
      <c r="H2537" t="s">
        <v>78</v>
      </c>
      <c r="I2537" s="64">
        <v>0</v>
      </c>
      <c r="J2537" s="31"/>
      <c r="K2537" s="31"/>
      <c r="L2537" s="31"/>
      <c r="M2537" s="31"/>
      <c r="N2537" s="4"/>
      <c r="AG2537" t="s">
        <v>2256</v>
      </c>
      <c r="AM2537" s="1">
        <f t="shared" si="36"/>
        <v>0</v>
      </c>
    </row>
    <row r="2538" spans="1:39" x14ac:dyDescent="0.35">
      <c r="A2538">
        <v>2534</v>
      </c>
      <c r="B2538">
        <v>2535</v>
      </c>
      <c r="F2538" s="63"/>
      <c r="G2538" s="63"/>
      <c r="H2538" t="s">
        <v>78</v>
      </c>
      <c r="I2538" s="64">
        <v>0</v>
      </c>
      <c r="J2538" s="31"/>
      <c r="K2538" s="31"/>
      <c r="L2538" s="31"/>
      <c r="M2538" s="31"/>
      <c r="N2538" s="4"/>
      <c r="AG2538" t="s">
        <v>2257</v>
      </c>
      <c r="AM2538" s="1">
        <f t="shared" si="36"/>
        <v>0</v>
      </c>
    </row>
    <row r="2539" spans="1:39" x14ac:dyDescent="0.35">
      <c r="A2539">
        <v>2535</v>
      </c>
      <c r="B2539">
        <v>2536</v>
      </c>
      <c r="F2539" s="63"/>
      <c r="G2539" s="63"/>
      <c r="H2539" t="s">
        <v>78</v>
      </c>
      <c r="I2539" s="64">
        <v>0</v>
      </c>
      <c r="J2539" s="31"/>
      <c r="K2539" s="31"/>
      <c r="L2539" s="31"/>
      <c r="M2539" s="31"/>
      <c r="N2539" s="4"/>
      <c r="AG2539" t="s">
        <v>2258</v>
      </c>
      <c r="AM2539" s="1">
        <f t="shared" si="36"/>
        <v>0</v>
      </c>
    </row>
    <row r="2540" spans="1:39" x14ac:dyDescent="0.35">
      <c r="A2540">
        <v>2536</v>
      </c>
      <c r="B2540">
        <v>2537</v>
      </c>
      <c r="F2540" s="63"/>
      <c r="G2540" s="63"/>
      <c r="H2540" t="s">
        <v>78</v>
      </c>
      <c r="I2540" s="64">
        <v>0</v>
      </c>
      <c r="J2540" s="31"/>
      <c r="K2540" s="31"/>
      <c r="L2540" s="31"/>
      <c r="M2540" s="31"/>
      <c r="N2540" s="4"/>
      <c r="AG2540" t="s">
        <v>2259</v>
      </c>
      <c r="AM2540" s="1">
        <f t="shared" si="36"/>
        <v>0</v>
      </c>
    </row>
    <row r="2541" spans="1:39" x14ac:dyDescent="0.35">
      <c r="A2541">
        <v>2537</v>
      </c>
      <c r="B2541">
        <v>2538</v>
      </c>
      <c r="F2541" s="63"/>
      <c r="G2541" s="63"/>
      <c r="H2541" t="s">
        <v>78</v>
      </c>
      <c r="I2541" s="64">
        <v>0</v>
      </c>
      <c r="J2541" s="31"/>
      <c r="K2541" s="31"/>
      <c r="L2541" s="31"/>
      <c r="M2541" s="31"/>
      <c r="N2541" s="4"/>
      <c r="AG2541" t="s">
        <v>2260</v>
      </c>
      <c r="AM2541" s="1">
        <f t="shared" si="36"/>
        <v>0</v>
      </c>
    </row>
    <row r="2542" spans="1:39" x14ac:dyDescent="0.35">
      <c r="A2542">
        <v>2538</v>
      </c>
      <c r="B2542">
        <v>2539</v>
      </c>
      <c r="F2542" s="63"/>
      <c r="G2542" s="63"/>
      <c r="H2542" t="s">
        <v>78</v>
      </c>
      <c r="I2542" s="64">
        <v>0</v>
      </c>
      <c r="J2542" s="31"/>
      <c r="K2542" s="31"/>
      <c r="L2542" s="31"/>
      <c r="M2542" s="31"/>
      <c r="N2542" s="4"/>
      <c r="AG2542" t="s">
        <v>2261</v>
      </c>
      <c r="AM2542" s="1">
        <f t="shared" si="36"/>
        <v>0</v>
      </c>
    </row>
    <row r="2543" spans="1:39" x14ac:dyDescent="0.35">
      <c r="A2543">
        <v>2539</v>
      </c>
      <c r="B2543">
        <v>2540</v>
      </c>
      <c r="F2543" s="63"/>
      <c r="G2543" s="63"/>
      <c r="H2543" t="s">
        <v>78</v>
      </c>
      <c r="I2543" s="64">
        <v>0</v>
      </c>
      <c r="J2543" s="31"/>
      <c r="K2543" s="31"/>
      <c r="L2543" s="31"/>
      <c r="M2543" s="31"/>
      <c r="N2543" s="4"/>
      <c r="AG2543" t="s">
        <v>2262</v>
      </c>
      <c r="AM2543" s="1">
        <f t="shared" si="36"/>
        <v>0</v>
      </c>
    </row>
    <row r="2544" spans="1:39" x14ac:dyDescent="0.35">
      <c r="A2544">
        <v>2540</v>
      </c>
      <c r="B2544">
        <v>2541</v>
      </c>
      <c r="F2544" s="63"/>
      <c r="G2544" s="63"/>
      <c r="H2544" t="s">
        <v>78</v>
      </c>
      <c r="I2544" s="64">
        <v>0</v>
      </c>
      <c r="J2544" s="31"/>
      <c r="K2544" s="31"/>
      <c r="L2544" s="31"/>
      <c r="M2544" s="31"/>
      <c r="N2544" s="4"/>
      <c r="AG2544" t="s">
        <v>2263</v>
      </c>
      <c r="AM2544" s="1">
        <f t="shared" si="36"/>
        <v>0</v>
      </c>
    </row>
    <row r="2545" spans="1:39" x14ac:dyDescent="0.35">
      <c r="A2545">
        <v>2541</v>
      </c>
      <c r="B2545">
        <v>2542</v>
      </c>
      <c r="F2545" s="63"/>
      <c r="G2545" s="63"/>
      <c r="H2545" t="s">
        <v>78</v>
      </c>
      <c r="I2545" s="64">
        <v>0</v>
      </c>
      <c r="J2545" s="31"/>
      <c r="K2545" s="31"/>
      <c r="L2545" s="31"/>
      <c r="M2545" s="31"/>
      <c r="N2545" s="4"/>
      <c r="AG2545" t="s">
        <v>2264</v>
      </c>
      <c r="AM2545" s="1">
        <f t="shared" si="36"/>
        <v>0</v>
      </c>
    </row>
    <row r="2546" spans="1:39" x14ac:dyDescent="0.35">
      <c r="A2546">
        <v>2542</v>
      </c>
      <c r="B2546">
        <v>2543</v>
      </c>
      <c r="F2546" s="63"/>
      <c r="G2546" s="63"/>
      <c r="H2546" t="s">
        <v>78</v>
      </c>
      <c r="I2546" s="64">
        <v>0</v>
      </c>
      <c r="J2546" s="31"/>
      <c r="K2546" s="31"/>
      <c r="L2546" s="31"/>
      <c r="M2546" s="31"/>
      <c r="N2546" s="4"/>
      <c r="AG2546" t="s">
        <v>2265</v>
      </c>
      <c r="AM2546" s="1">
        <f t="shared" si="36"/>
        <v>0</v>
      </c>
    </row>
    <row r="2547" spans="1:39" x14ac:dyDescent="0.35">
      <c r="A2547">
        <v>2543</v>
      </c>
      <c r="B2547">
        <v>2544</v>
      </c>
      <c r="F2547" s="63"/>
      <c r="G2547" s="63"/>
      <c r="H2547" t="s">
        <v>78</v>
      </c>
      <c r="I2547" s="64">
        <v>0</v>
      </c>
      <c r="J2547" s="31"/>
      <c r="K2547" s="31"/>
      <c r="L2547" s="31"/>
      <c r="M2547" s="31"/>
      <c r="N2547" s="4"/>
      <c r="AG2547" t="s">
        <v>2266</v>
      </c>
      <c r="AM2547" s="1">
        <f t="shared" si="36"/>
        <v>0</v>
      </c>
    </row>
    <row r="2548" spans="1:39" x14ac:dyDescent="0.35">
      <c r="A2548">
        <v>2544</v>
      </c>
      <c r="B2548">
        <v>2545</v>
      </c>
      <c r="F2548" s="63"/>
      <c r="G2548" s="63"/>
      <c r="H2548" t="s">
        <v>78</v>
      </c>
      <c r="I2548" s="64">
        <v>0</v>
      </c>
      <c r="J2548" s="31"/>
      <c r="K2548" s="31"/>
      <c r="L2548" s="31"/>
      <c r="M2548" s="31"/>
      <c r="N2548" s="4"/>
      <c r="AG2548" t="s">
        <v>2267</v>
      </c>
      <c r="AM2548" s="1">
        <f t="shared" si="36"/>
        <v>0</v>
      </c>
    </row>
    <row r="2549" spans="1:39" x14ac:dyDescent="0.35">
      <c r="A2549">
        <v>2545</v>
      </c>
      <c r="B2549">
        <v>2546</v>
      </c>
      <c r="F2549" s="63"/>
      <c r="G2549" s="63"/>
      <c r="H2549" t="s">
        <v>78</v>
      </c>
      <c r="I2549" s="64">
        <v>0</v>
      </c>
      <c r="J2549" s="31"/>
      <c r="K2549" s="31"/>
      <c r="L2549" s="31"/>
      <c r="M2549" s="31"/>
      <c r="N2549" s="4"/>
      <c r="AG2549" t="s">
        <v>2268</v>
      </c>
      <c r="AM2549" s="1">
        <f t="shared" si="36"/>
        <v>0</v>
      </c>
    </row>
    <row r="2550" spans="1:39" x14ac:dyDescent="0.35">
      <c r="A2550">
        <v>2546</v>
      </c>
      <c r="B2550">
        <v>2547</v>
      </c>
      <c r="F2550" s="63"/>
      <c r="G2550" s="63"/>
      <c r="H2550" t="s">
        <v>78</v>
      </c>
      <c r="I2550" s="64">
        <v>0</v>
      </c>
      <c r="J2550" s="31"/>
      <c r="K2550" s="31"/>
      <c r="L2550" s="31"/>
      <c r="M2550" s="31"/>
      <c r="N2550" s="4"/>
      <c r="AG2550" t="s">
        <v>2269</v>
      </c>
      <c r="AM2550" s="1">
        <f t="shared" si="36"/>
        <v>0</v>
      </c>
    </row>
    <row r="2551" spans="1:39" x14ac:dyDescent="0.35">
      <c r="A2551">
        <v>2547</v>
      </c>
      <c r="B2551">
        <v>2548</v>
      </c>
      <c r="F2551" s="63"/>
      <c r="G2551" s="63"/>
      <c r="H2551" t="s">
        <v>78</v>
      </c>
      <c r="I2551" s="64">
        <v>0</v>
      </c>
      <c r="J2551" s="31"/>
      <c r="K2551" s="31"/>
      <c r="L2551" s="31"/>
      <c r="M2551" s="31"/>
      <c r="N2551" s="4"/>
      <c r="AG2551" t="s">
        <v>2270</v>
      </c>
      <c r="AM2551" s="1">
        <f t="shared" si="36"/>
        <v>0</v>
      </c>
    </row>
    <row r="2552" spans="1:39" x14ac:dyDescent="0.35">
      <c r="A2552">
        <v>2548</v>
      </c>
      <c r="B2552">
        <v>2549</v>
      </c>
      <c r="F2552" s="63"/>
      <c r="G2552" s="63"/>
      <c r="H2552" t="s">
        <v>78</v>
      </c>
      <c r="I2552" s="64">
        <v>0</v>
      </c>
      <c r="J2552" s="31"/>
      <c r="K2552" s="31"/>
      <c r="L2552" s="31"/>
      <c r="M2552" s="31"/>
      <c r="N2552" s="4"/>
      <c r="AG2552" t="s">
        <v>2271</v>
      </c>
      <c r="AM2552" s="1">
        <f t="shared" si="36"/>
        <v>0</v>
      </c>
    </row>
    <row r="2553" spans="1:39" x14ac:dyDescent="0.35">
      <c r="A2553">
        <v>2549</v>
      </c>
      <c r="B2553">
        <v>2550</v>
      </c>
      <c r="F2553" s="63"/>
      <c r="G2553" s="63"/>
      <c r="H2553" t="s">
        <v>78</v>
      </c>
      <c r="I2553" s="64">
        <v>0</v>
      </c>
      <c r="J2553" s="31"/>
      <c r="K2553" s="31"/>
      <c r="L2553" s="31"/>
      <c r="M2553" s="31"/>
      <c r="N2553" s="4"/>
      <c r="AG2553" t="s">
        <v>2272</v>
      </c>
      <c r="AM2553" s="1">
        <f t="shared" si="36"/>
        <v>0</v>
      </c>
    </row>
    <row r="2554" spans="1:39" x14ac:dyDescent="0.35">
      <c r="A2554">
        <v>2550</v>
      </c>
      <c r="B2554">
        <v>2551</v>
      </c>
      <c r="F2554" s="63"/>
      <c r="G2554" s="63"/>
      <c r="H2554" t="s">
        <v>78</v>
      </c>
      <c r="I2554" s="64">
        <v>0</v>
      </c>
      <c r="J2554" s="31"/>
      <c r="K2554" s="31"/>
      <c r="L2554" s="31"/>
      <c r="M2554" s="31"/>
      <c r="N2554" s="4"/>
      <c r="AG2554" t="s">
        <v>2273</v>
      </c>
      <c r="AM2554" s="1">
        <f t="shared" si="36"/>
        <v>0</v>
      </c>
    </row>
    <row r="2555" spans="1:39" x14ac:dyDescent="0.35">
      <c r="A2555">
        <v>2551</v>
      </c>
      <c r="B2555">
        <v>2552</v>
      </c>
      <c r="F2555" s="63"/>
      <c r="G2555" s="63"/>
      <c r="H2555" t="s">
        <v>78</v>
      </c>
      <c r="I2555" s="64">
        <v>0</v>
      </c>
      <c r="J2555" s="31"/>
      <c r="K2555" s="31"/>
      <c r="L2555" s="31"/>
      <c r="M2555" s="31"/>
      <c r="N2555" s="4"/>
      <c r="AG2555" t="s">
        <v>2274</v>
      </c>
      <c r="AM2555" s="1">
        <f t="shared" si="36"/>
        <v>0</v>
      </c>
    </row>
    <row r="2556" spans="1:39" x14ac:dyDescent="0.35">
      <c r="A2556">
        <v>2552</v>
      </c>
      <c r="B2556">
        <v>2553</v>
      </c>
      <c r="F2556" s="63"/>
      <c r="G2556" s="63"/>
      <c r="H2556" t="s">
        <v>78</v>
      </c>
      <c r="I2556" s="64">
        <v>0</v>
      </c>
      <c r="J2556" s="31"/>
      <c r="K2556" s="31"/>
      <c r="L2556" s="31"/>
      <c r="M2556" s="31"/>
      <c r="N2556" s="4"/>
      <c r="AG2556" t="s">
        <v>2275</v>
      </c>
      <c r="AM2556" s="1">
        <f t="shared" si="36"/>
        <v>0</v>
      </c>
    </row>
    <row r="2557" spans="1:39" x14ac:dyDescent="0.35">
      <c r="A2557">
        <v>2553</v>
      </c>
      <c r="B2557">
        <v>2554</v>
      </c>
      <c r="F2557" s="63"/>
      <c r="G2557" s="63"/>
      <c r="H2557" t="s">
        <v>78</v>
      </c>
      <c r="I2557" s="64">
        <v>0</v>
      </c>
      <c r="J2557" s="31"/>
      <c r="K2557" s="31"/>
      <c r="L2557" s="31"/>
      <c r="M2557" s="31"/>
      <c r="N2557" s="4"/>
      <c r="AG2557" t="s">
        <v>2276</v>
      </c>
      <c r="AM2557" s="1">
        <f t="shared" si="36"/>
        <v>0</v>
      </c>
    </row>
    <row r="2558" spans="1:39" x14ac:dyDescent="0.35">
      <c r="A2558">
        <v>2554</v>
      </c>
      <c r="B2558">
        <v>2555</v>
      </c>
      <c r="F2558" s="63"/>
      <c r="G2558" s="63"/>
      <c r="H2558" t="s">
        <v>78</v>
      </c>
      <c r="I2558" s="64">
        <v>0</v>
      </c>
      <c r="J2558" s="31"/>
      <c r="K2558" s="31"/>
      <c r="L2558" s="31"/>
      <c r="M2558" s="31"/>
      <c r="N2558" s="4"/>
      <c r="AG2558" t="s">
        <v>2277</v>
      </c>
      <c r="AM2558" s="1">
        <f t="shared" si="36"/>
        <v>0</v>
      </c>
    </row>
    <row r="2559" spans="1:39" x14ac:dyDescent="0.35">
      <c r="A2559">
        <v>2555</v>
      </c>
      <c r="B2559">
        <v>2556</v>
      </c>
      <c r="F2559" s="63"/>
      <c r="G2559" s="63"/>
      <c r="H2559" t="s">
        <v>78</v>
      </c>
      <c r="I2559" s="64">
        <v>0</v>
      </c>
      <c r="J2559" s="31"/>
      <c r="K2559" s="31"/>
      <c r="L2559" s="31"/>
      <c r="M2559" s="31"/>
      <c r="N2559" s="4"/>
      <c r="AG2559" t="s">
        <v>2278</v>
      </c>
      <c r="AM2559" s="1">
        <f t="shared" si="36"/>
        <v>0</v>
      </c>
    </row>
    <row r="2560" spans="1:39" x14ac:dyDescent="0.35">
      <c r="A2560">
        <v>2556</v>
      </c>
      <c r="B2560">
        <v>2557</v>
      </c>
      <c r="F2560" s="63"/>
      <c r="G2560" s="63"/>
      <c r="H2560" t="s">
        <v>78</v>
      </c>
      <c r="I2560" s="64">
        <v>0</v>
      </c>
      <c r="J2560" s="31"/>
      <c r="K2560" s="31"/>
      <c r="L2560" s="31"/>
      <c r="M2560" s="31"/>
      <c r="N2560" s="4"/>
      <c r="AG2560" t="s">
        <v>2279</v>
      </c>
      <c r="AM2560" s="1">
        <f t="shared" si="36"/>
        <v>0</v>
      </c>
    </row>
    <row r="2561" spans="1:39" x14ac:dyDescent="0.35">
      <c r="A2561">
        <v>2557</v>
      </c>
      <c r="B2561">
        <v>2558</v>
      </c>
      <c r="F2561" s="63"/>
      <c r="G2561" s="63"/>
      <c r="H2561" t="s">
        <v>78</v>
      </c>
      <c r="I2561" s="64">
        <v>0</v>
      </c>
      <c r="J2561" s="31"/>
      <c r="K2561" s="31"/>
      <c r="L2561" s="31"/>
      <c r="M2561" s="31"/>
      <c r="N2561" s="4"/>
      <c r="AG2561" t="s">
        <v>2280</v>
      </c>
      <c r="AM2561" s="1">
        <f t="shared" si="36"/>
        <v>0</v>
      </c>
    </row>
    <row r="2562" spans="1:39" x14ac:dyDescent="0.35">
      <c r="A2562">
        <v>2558</v>
      </c>
      <c r="B2562">
        <v>2559</v>
      </c>
      <c r="F2562" s="63"/>
      <c r="G2562" s="63"/>
      <c r="H2562" t="s">
        <v>78</v>
      </c>
      <c r="I2562" s="64">
        <v>0</v>
      </c>
      <c r="J2562" s="31"/>
      <c r="K2562" s="31"/>
      <c r="L2562" s="31"/>
      <c r="M2562" s="31"/>
      <c r="N2562" s="4"/>
      <c r="AG2562" t="s">
        <v>2281</v>
      </c>
      <c r="AM2562" s="1">
        <f t="shared" si="36"/>
        <v>0</v>
      </c>
    </row>
    <row r="2563" spans="1:39" x14ac:dyDescent="0.35">
      <c r="A2563">
        <v>2559</v>
      </c>
      <c r="B2563">
        <v>2560</v>
      </c>
      <c r="F2563" s="63"/>
      <c r="G2563" s="63"/>
      <c r="H2563" t="s">
        <v>78</v>
      </c>
      <c r="I2563" s="64">
        <v>0</v>
      </c>
      <c r="J2563" s="31"/>
      <c r="K2563" s="31"/>
      <c r="L2563" s="31"/>
      <c r="M2563" s="31"/>
      <c r="N2563" s="4"/>
      <c r="AG2563" t="s">
        <v>2282</v>
      </c>
      <c r="AM2563" s="1">
        <f t="shared" si="36"/>
        <v>0</v>
      </c>
    </row>
    <row r="2564" spans="1:39" x14ac:dyDescent="0.35">
      <c r="A2564">
        <v>2560</v>
      </c>
      <c r="B2564">
        <v>2561</v>
      </c>
      <c r="F2564" s="63"/>
      <c r="G2564" s="63"/>
      <c r="H2564" t="s">
        <v>78</v>
      </c>
      <c r="I2564" s="64">
        <v>0</v>
      </c>
      <c r="J2564" s="31"/>
      <c r="K2564" s="31"/>
      <c r="L2564" s="31"/>
      <c r="M2564" s="31"/>
      <c r="N2564" s="4"/>
      <c r="AG2564" t="s">
        <v>2283</v>
      </c>
      <c r="AM2564" s="1">
        <f t="shared" si="36"/>
        <v>0</v>
      </c>
    </row>
    <row r="2565" spans="1:39" x14ac:dyDescent="0.35">
      <c r="A2565">
        <v>2561</v>
      </c>
      <c r="B2565">
        <v>2562</v>
      </c>
      <c r="F2565" s="63"/>
      <c r="G2565" s="63"/>
      <c r="H2565" t="s">
        <v>78</v>
      </c>
      <c r="I2565" s="64">
        <v>0</v>
      </c>
      <c r="J2565" s="31"/>
      <c r="K2565" s="31"/>
      <c r="L2565" s="31"/>
      <c r="M2565" s="31"/>
      <c r="N2565" s="4"/>
      <c r="AG2565" t="s">
        <v>2284</v>
      </c>
      <c r="AM2565" s="1">
        <f t="shared" si="36"/>
        <v>0</v>
      </c>
    </row>
    <row r="2566" spans="1:39" x14ac:dyDescent="0.35">
      <c r="A2566">
        <v>2562</v>
      </c>
      <c r="B2566">
        <v>2563</v>
      </c>
      <c r="F2566" s="63"/>
      <c r="G2566" s="63"/>
      <c r="H2566" t="s">
        <v>78</v>
      </c>
      <c r="I2566" s="64">
        <v>0</v>
      </c>
      <c r="J2566" s="31"/>
      <c r="K2566" s="31"/>
      <c r="L2566" s="31"/>
      <c r="M2566" s="31"/>
      <c r="N2566" s="4"/>
      <c r="AG2566" t="s">
        <v>2285</v>
      </c>
      <c r="AM2566" s="1">
        <f t="shared" si="36"/>
        <v>0</v>
      </c>
    </row>
    <row r="2567" spans="1:39" x14ac:dyDescent="0.35">
      <c r="A2567">
        <v>2563</v>
      </c>
      <c r="B2567">
        <v>2564</v>
      </c>
      <c r="F2567" s="63"/>
      <c r="G2567" s="63"/>
      <c r="H2567" t="s">
        <v>78</v>
      </c>
      <c r="I2567" s="64">
        <v>0</v>
      </c>
      <c r="J2567" s="31"/>
      <c r="K2567" s="31"/>
      <c r="L2567" s="31"/>
      <c r="M2567" s="31"/>
      <c r="N2567" s="4"/>
      <c r="AG2567" t="s">
        <v>2286</v>
      </c>
      <c r="AM2567" s="1">
        <f t="shared" si="36"/>
        <v>0</v>
      </c>
    </row>
    <row r="2568" spans="1:39" x14ac:dyDescent="0.35">
      <c r="A2568">
        <v>2564</v>
      </c>
      <c r="B2568">
        <v>2565</v>
      </c>
      <c r="F2568" s="63"/>
      <c r="G2568" s="63"/>
      <c r="H2568" t="s">
        <v>78</v>
      </c>
      <c r="I2568" s="64">
        <v>0</v>
      </c>
      <c r="J2568" s="31"/>
      <c r="K2568" s="31"/>
      <c r="L2568" s="31"/>
      <c r="M2568" s="31"/>
      <c r="N2568" s="4"/>
      <c r="AG2568" t="s">
        <v>2287</v>
      </c>
      <c r="AM2568" s="1">
        <f t="shared" si="36"/>
        <v>0</v>
      </c>
    </row>
    <row r="2569" spans="1:39" x14ac:dyDescent="0.35">
      <c r="A2569">
        <v>2565</v>
      </c>
      <c r="B2569">
        <v>2566</v>
      </c>
      <c r="F2569" s="63"/>
      <c r="G2569" s="63"/>
      <c r="H2569" t="s">
        <v>78</v>
      </c>
      <c r="I2569" s="64">
        <v>0</v>
      </c>
      <c r="J2569" s="31"/>
      <c r="K2569" s="31"/>
      <c r="L2569" s="31"/>
      <c r="M2569" s="31"/>
      <c r="N2569" s="4"/>
      <c r="AG2569" t="s">
        <v>2288</v>
      </c>
      <c r="AM2569" s="1">
        <f t="shared" si="36"/>
        <v>0</v>
      </c>
    </row>
    <row r="2570" spans="1:39" x14ac:dyDescent="0.35">
      <c r="A2570">
        <v>2566</v>
      </c>
      <c r="B2570">
        <v>2567</v>
      </c>
      <c r="F2570" s="63"/>
      <c r="G2570" s="63"/>
      <c r="H2570" t="s">
        <v>78</v>
      </c>
      <c r="I2570" s="64">
        <v>0</v>
      </c>
      <c r="J2570" s="31"/>
      <c r="K2570" s="31"/>
      <c r="L2570" s="31"/>
      <c r="M2570" s="31"/>
      <c r="N2570" s="4"/>
      <c r="AG2570" t="s">
        <v>2289</v>
      </c>
      <c r="AM2570" s="1">
        <f t="shared" si="36"/>
        <v>0</v>
      </c>
    </row>
    <row r="2571" spans="1:39" x14ac:dyDescent="0.35">
      <c r="A2571">
        <v>2567</v>
      </c>
      <c r="B2571">
        <v>2568</v>
      </c>
      <c r="F2571" s="63"/>
      <c r="G2571" s="63"/>
      <c r="H2571" t="s">
        <v>78</v>
      </c>
      <c r="I2571" s="64">
        <v>0</v>
      </c>
      <c r="J2571" s="31"/>
      <c r="K2571" s="31"/>
      <c r="L2571" s="31"/>
      <c r="M2571" s="31"/>
      <c r="N2571" s="4"/>
      <c r="AG2571" t="s">
        <v>2290</v>
      </c>
      <c r="AM2571" s="1">
        <f t="shared" ref="AM2571:AM2629" si="37">HYPERLINK("E:\CAFNEC_GBRF\2023\JohnstoneRiver\Frames_for_Analysis\" &amp; F2572, F2572)</f>
        <v>0</v>
      </c>
    </row>
    <row r="2572" spans="1:39" x14ac:dyDescent="0.35">
      <c r="A2572">
        <v>2568</v>
      </c>
      <c r="B2572">
        <v>2569</v>
      </c>
      <c r="F2572" s="63"/>
      <c r="G2572" s="63"/>
      <c r="H2572" t="s">
        <v>78</v>
      </c>
      <c r="I2572" s="64">
        <v>0</v>
      </c>
      <c r="J2572" s="31"/>
      <c r="K2572" s="31"/>
      <c r="L2572" s="31"/>
      <c r="M2572" s="31"/>
      <c r="N2572" s="4"/>
      <c r="AG2572" t="s">
        <v>2291</v>
      </c>
      <c r="AM2572" s="1">
        <f t="shared" si="37"/>
        <v>0</v>
      </c>
    </row>
    <row r="2573" spans="1:39" x14ac:dyDescent="0.35">
      <c r="A2573">
        <v>2569</v>
      </c>
      <c r="B2573">
        <v>2570</v>
      </c>
      <c r="F2573" s="63"/>
      <c r="G2573" s="63"/>
      <c r="H2573" t="s">
        <v>78</v>
      </c>
      <c r="I2573" s="64">
        <v>0</v>
      </c>
      <c r="J2573" s="31"/>
      <c r="K2573" s="31"/>
      <c r="L2573" s="31"/>
      <c r="M2573" s="31"/>
      <c r="N2573" s="4"/>
      <c r="AG2573" t="s">
        <v>2292</v>
      </c>
      <c r="AM2573" s="1">
        <f t="shared" si="37"/>
        <v>0</v>
      </c>
    </row>
    <row r="2574" spans="1:39" x14ac:dyDescent="0.35">
      <c r="A2574">
        <v>2570</v>
      </c>
      <c r="B2574">
        <v>2571</v>
      </c>
      <c r="F2574" s="63"/>
      <c r="G2574" s="63"/>
      <c r="H2574" t="s">
        <v>78</v>
      </c>
      <c r="I2574" s="64">
        <v>0</v>
      </c>
      <c r="J2574" s="31"/>
      <c r="K2574" s="31"/>
      <c r="L2574" s="31"/>
      <c r="M2574" s="31"/>
      <c r="N2574" s="4"/>
      <c r="AG2574" t="s">
        <v>2293</v>
      </c>
      <c r="AM2574" s="1">
        <f t="shared" si="37"/>
        <v>0</v>
      </c>
    </row>
    <row r="2575" spans="1:39" x14ac:dyDescent="0.35">
      <c r="A2575">
        <v>2571</v>
      </c>
      <c r="B2575">
        <v>2572</v>
      </c>
      <c r="F2575" s="63"/>
      <c r="G2575" s="63"/>
      <c r="H2575" t="s">
        <v>78</v>
      </c>
      <c r="I2575" s="64">
        <v>0</v>
      </c>
      <c r="J2575" s="31"/>
      <c r="K2575" s="31"/>
      <c r="L2575" s="31"/>
      <c r="M2575" s="31"/>
      <c r="N2575" s="4"/>
      <c r="AG2575" t="s">
        <v>2294</v>
      </c>
      <c r="AM2575" s="1">
        <f t="shared" si="37"/>
        <v>0</v>
      </c>
    </row>
    <row r="2576" spans="1:39" x14ac:dyDescent="0.35">
      <c r="A2576">
        <v>2572</v>
      </c>
      <c r="B2576">
        <v>2573</v>
      </c>
      <c r="F2576" s="63"/>
      <c r="G2576" s="63"/>
      <c r="H2576" t="s">
        <v>78</v>
      </c>
      <c r="I2576" s="64">
        <v>0</v>
      </c>
      <c r="J2576" s="31"/>
      <c r="K2576" s="31"/>
      <c r="L2576" s="31"/>
      <c r="M2576" s="31"/>
      <c r="N2576" s="4"/>
      <c r="AG2576" t="s">
        <v>2295</v>
      </c>
      <c r="AM2576" s="1">
        <f t="shared" si="37"/>
        <v>0</v>
      </c>
    </row>
    <row r="2577" spans="1:39" x14ac:dyDescent="0.35">
      <c r="A2577">
        <v>2573</v>
      </c>
      <c r="B2577">
        <v>2574</v>
      </c>
      <c r="F2577" s="63"/>
      <c r="G2577" s="63"/>
      <c r="H2577" t="s">
        <v>78</v>
      </c>
      <c r="I2577" s="64">
        <v>0</v>
      </c>
      <c r="J2577" s="31"/>
      <c r="K2577" s="31"/>
      <c r="L2577" s="31"/>
      <c r="M2577" s="31"/>
      <c r="N2577" s="4"/>
      <c r="AG2577" t="s">
        <v>2296</v>
      </c>
      <c r="AM2577" s="1">
        <f t="shared" si="37"/>
        <v>0</v>
      </c>
    </row>
    <row r="2578" spans="1:39" x14ac:dyDescent="0.35">
      <c r="A2578">
        <v>2574</v>
      </c>
      <c r="B2578">
        <v>2575</v>
      </c>
      <c r="F2578" s="63"/>
      <c r="G2578" s="63"/>
      <c r="H2578" t="s">
        <v>78</v>
      </c>
      <c r="I2578" s="64">
        <v>0</v>
      </c>
      <c r="J2578" s="31"/>
      <c r="K2578" s="31"/>
      <c r="L2578" s="31"/>
      <c r="M2578" s="31"/>
      <c r="N2578" s="4"/>
      <c r="AG2578" t="s">
        <v>2297</v>
      </c>
      <c r="AM2578" s="1">
        <f t="shared" si="37"/>
        <v>0</v>
      </c>
    </row>
    <row r="2579" spans="1:39" x14ac:dyDescent="0.35">
      <c r="A2579">
        <v>2575</v>
      </c>
      <c r="B2579">
        <v>2576</v>
      </c>
      <c r="F2579" s="63"/>
      <c r="G2579" s="63"/>
      <c r="H2579" t="s">
        <v>78</v>
      </c>
      <c r="I2579" s="64">
        <v>0</v>
      </c>
      <c r="J2579" s="31"/>
      <c r="K2579" s="31"/>
      <c r="L2579" s="31"/>
      <c r="M2579" s="31"/>
      <c r="N2579" s="4"/>
      <c r="AG2579" t="s">
        <v>2298</v>
      </c>
      <c r="AM2579" s="1">
        <f t="shared" si="37"/>
        <v>0</v>
      </c>
    </row>
    <row r="2580" spans="1:39" x14ac:dyDescent="0.35">
      <c r="A2580">
        <v>2576</v>
      </c>
      <c r="B2580">
        <v>2577</v>
      </c>
      <c r="F2580" s="63"/>
      <c r="G2580" s="63"/>
      <c r="H2580" t="s">
        <v>78</v>
      </c>
      <c r="I2580" s="64">
        <v>0</v>
      </c>
      <c r="J2580" s="31"/>
      <c r="K2580" s="31"/>
      <c r="L2580" s="31"/>
      <c r="M2580" s="31"/>
      <c r="N2580" s="4"/>
      <c r="AG2580" t="s">
        <v>2299</v>
      </c>
      <c r="AM2580" s="1">
        <f t="shared" si="37"/>
        <v>0</v>
      </c>
    </row>
    <row r="2581" spans="1:39" x14ac:dyDescent="0.35">
      <c r="A2581">
        <v>2577</v>
      </c>
      <c r="B2581">
        <v>2578</v>
      </c>
      <c r="F2581" s="63"/>
      <c r="G2581" s="63"/>
      <c r="H2581" t="s">
        <v>78</v>
      </c>
      <c r="I2581" s="64">
        <v>0</v>
      </c>
      <c r="J2581" s="31"/>
      <c r="K2581" s="31"/>
      <c r="L2581" s="31"/>
      <c r="M2581" s="31"/>
      <c r="N2581" s="4"/>
      <c r="AG2581" t="s">
        <v>2300</v>
      </c>
      <c r="AM2581" s="1">
        <f t="shared" si="37"/>
        <v>0</v>
      </c>
    </row>
    <row r="2582" spans="1:39" x14ac:dyDescent="0.35">
      <c r="A2582">
        <v>2578</v>
      </c>
      <c r="B2582">
        <v>2579</v>
      </c>
      <c r="F2582" s="63"/>
      <c r="G2582" s="63"/>
      <c r="H2582" t="s">
        <v>78</v>
      </c>
      <c r="I2582" s="64">
        <v>0</v>
      </c>
      <c r="J2582" s="31"/>
      <c r="K2582" s="31"/>
      <c r="L2582" s="31"/>
      <c r="M2582" s="31"/>
      <c r="N2582" s="4"/>
      <c r="AG2582" t="s">
        <v>2301</v>
      </c>
      <c r="AM2582" s="1">
        <f t="shared" si="37"/>
        <v>0</v>
      </c>
    </row>
    <row r="2583" spans="1:39" x14ac:dyDescent="0.35">
      <c r="A2583">
        <v>2579</v>
      </c>
      <c r="B2583">
        <v>2580</v>
      </c>
      <c r="F2583" s="63"/>
      <c r="G2583" s="63"/>
      <c r="H2583" t="s">
        <v>78</v>
      </c>
      <c r="I2583" s="64">
        <v>0</v>
      </c>
      <c r="J2583" s="31"/>
      <c r="K2583" s="31"/>
      <c r="L2583" s="31"/>
      <c r="M2583" s="31"/>
      <c r="N2583" s="4"/>
      <c r="AG2583" t="s">
        <v>2302</v>
      </c>
      <c r="AM2583" s="1">
        <f t="shared" si="37"/>
        <v>0</v>
      </c>
    </row>
    <row r="2584" spans="1:39" x14ac:dyDescent="0.35">
      <c r="A2584">
        <v>2580</v>
      </c>
      <c r="B2584">
        <v>2581</v>
      </c>
      <c r="F2584" s="63"/>
      <c r="G2584" s="63"/>
      <c r="H2584" t="s">
        <v>78</v>
      </c>
      <c r="I2584" s="64">
        <v>0</v>
      </c>
      <c r="J2584" s="31"/>
      <c r="K2584" s="31"/>
      <c r="L2584" s="31"/>
      <c r="M2584" s="31"/>
      <c r="N2584" s="4"/>
      <c r="AG2584" t="s">
        <v>2303</v>
      </c>
      <c r="AM2584" s="1">
        <f t="shared" si="37"/>
        <v>0</v>
      </c>
    </row>
    <row r="2585" spans="1:39" x14ac:dyDescent="0.35">
      <c r="A2585">
        <v>2581</v>
      </c>
      <c r="B2585">
        <v>2582</v>
      </c>
      <c r="F2585" s="63"/>
      <c r="G2585" s="63"/>
      <c r="H2585" t="s">
        <v>78</v>
      </c>
      <c r="I2585" s="64">
        <v>0</v>
      </c>
      <c r="J2585" s="31"/>
      <c r="K2585" s="31"/>
      <c r="L2585" s="31"/>
      <c r="M2585" s="31"/>
      <c r="N2585" s="4"/>
      <c r="AG2585" t="s">
        <v>2304</v>
      </c>
      <c r="AM2585" s="1">
        <f t="shared" si="37"/>
        <v>0</v>
      </c>
    </row>
    <row r="2586" spans="1:39" x14ac:dyDescent="0.35">
      <c r="A2586">
        <v>2582</v>
      </c>
      <c r="B2586">
        <v>2583</v>
      </c>
      <c r="F2586" s="63"/>
      <c r="G2586" s="63"/>
      <c r="H2586" t="s">
        <v>78</v>
      </c>
      <c r="I2586" s="64">
        <v>0</v>
      </c>
      <c r="J2586" s="31"/>
      <c r="K2586" s="31"/>
      <c r="L2586" s="31"/>
      <c r="M2586" s="31"/>
      <c r="N2586" s="4"/>
      <c r="AG2586" t="s">
        <v>2305</v>
      </c>
      <c r="AM2586" s="1">
        <f t="shared" si="37"/>
        <v>0</v>
      </c>
    </row>
    <row r="2587" spans="1:39" x14ac:dyDescent="0.35">
      <c r="A2587">
        <v>2583</v>
      </c>
      <c r="B2587">
        <v>2584</v>
      </c>
      <c r="F2587" s="63"/>
      <c r="G2587" s="63"/>
      <c r="H2587" t="s">
        <v>78</v>
      </c>
      <c r="I2587" s="64">
        <v>0</v>
      </c>
      <c r="J2587" s="31"/>
      <c r="K2587" s="31"/>
      <c r="L2587" s="31"/>
      <c r="M2587" s="31"/>
      <c r="N2587" s="4"/>
      <c r="AG2587" t="s">
        <v>2306</v>
      </c>
      <c r="AM2587" s="1">
        <f t="shared" si="37"/>
        <v>0</v>
      </c>
    </row>
    <row r="2588" spans="1:39" x14ac:dyDescent="0.35">
      <c r="A2588">
        <v>2584</v>
      </c>
      <c r="B2588">
        <v>2585</v>
      </c>
      <c r="F2588" s="63"/>
      <c r="G2588" s="63"/>
      <c r="H2588" t="s">
        <v>78</v>
      </c>
      <c r="I2588" s="64">
        <v>0</v>
      </c>
      <c r="J2588" s="31"/>
      <c r="K2588" s="31"/>
      <c r="L2588" s="31"/>
      <c r="M2588" s="31"/>
      <c r="N2588" s="4"/>
      <c r="AG2588" t="s">
        <v>2307</v>
      </c>
      <c r="AM2588" s="1">
        <f t="shared" si="37"/>
        <v>0</v>
      </c>
    </row>
    <row r="2589" spans="1:39" x14ac:dyDescent="0.35">
      <c r="A2589">
        <v>2585</v>
      </c>
      <c r="B2589">
        <v>2586</v>
      </c>
      <c r="F2589" s="63"/>
      <c r="G2589" s="63"/>
      <c r="H2589" t="s">
        <v>78</v>
      </c>
      <c r="I2589" s="64">
        <v>0</v>
      </c>
      <c r="J2589" s="31"/>
      <c r="K2589" s="31"/>
      <c r="L2589" s="31"/>
      <c r="M2589" s="31"/>
      <c r="N2589" s="4"/>
      <c r="AG2589" t="s">
        <v>2308</v>
      </c>
      <c r="AM2589" s="1">
        <f t="shared" si="37"/>
        <v>0</v>
      </c>
    </row>
    <row r="2590" spans="1:39" x14ac:dyDescent="0.35">
      <c r="A2590">
        <v>2586</v>
      </c>
      <c r="B2590">
        <v>2587</v>
      </c>
      <c r="F2590" s="63"/>
      <c r="G2590" s="63"/>
      <c r="H2590" t="s">
        <v>78</v>
      </c>
      <c r="I2590" s="64">
        <v>0</v>
      </c>
      <c r="J2590" s="31"/>
      <c r="K2590" s="31"/>
      <c r="L2590" s="31"/>
      <c r="M2590" s="31"/>
      <c r="N2590" s="4"/>
      <c r="AG2590" t="s">
        <v>2309</v>
      </c>
      <c r="AM2590" s="1">
        <f t="shared" si="37"/>
        <v>0</v>
      </c>
    </row>
    <row r="2591" spans="1:39" x14ac:dyDescent="0.35">
      <c r="A2591">
        <v>2587</v>
      </c>
      <c r="B2591">
        <v>2588</v>
      </c>
      <c r="F2591" s="63"/>
      <c r="G2591" s="63"/>
      <c r="H2591" t="s">
        <v>78</v>
      </c>
      <c r="I2591" s="64">
        <v>0</v>
      </c>
      <c r="J2591" s="31"/>
      <c r="K2591" s="31"/>
      <c r="L2591" s="31"/>
      <c r="M2591" s="31"/>
      <c r="N2591" s="4"/>
      <c r="AG2591" t="s">
        <v>2310</v>
      </c>
      <c r="AM2591" s="1">
        <f t="shared" si="37"/>
        <v>0</v>
      </c>
    </row>
    <row r="2592" spans="1:39" x14ac:dyDescent="0.35">
      <c r="A2592">
        <v>2588</v>
      </c>
      <c r="B2592">
        <v>2589</v>
      </c>
      <c r="F2592" s="63"/>
      <c r="G2592" s="63"/>
      <c r="H2592" t="s">
        <v>78</v>
      </c>
      <c r="I2592" s="64">
        <v>0</v>
      </c>
      <c r="J2592" s="31"/>
      <c r="K2592" s="31"/>
      <c r="L2592" s="31"/>
      <c r="M2592" s="31"/>
      <c r="N2592" s="4"/>
      <c r="AG2592" t="s">
        <v>2311</v>
      </c>
      <c r="AM2592" s="1">
        <f t="shared" si="37"/>
        <v>0</v>
      </c>
    </row>
    <row r="2593" spans="1:39" x14ac:dyDescent="0.35">
      <c r="A2593">
        <v>2589</v>
      </c>
      <c r="B2593">
        <v>2590</v>
      </c>
      <c r="F2593" s="63"/>
      <c r="G2593" s="63"/>
      <c r="H2593" t="s">
        <v>78</v>
      </c>
      <c r="I2593" s="64">
        <v>0</v>
      </c>
      <c r="J2593" s="31"/>
      <c r="K2593" s="31"/>
      <c r="L2593" s="31"/>
      <c r="M2593" s="31"/>
      <c r="N2593" s="4"/>
      <c r="AG2593" t="s">
        <v>2312</v>
      </c>
      <c r="AM2593" s="1">
        <f t="shared" si="37"/>
        <v>0</v>
      </c>
    </row>
    <row r="2594" spans="1:39" x14ac:dyDescent="0.35">
      <c r="A2594">
        <v>2590</v>
      </c>
      <c r="B2594">
        <v>2591</v>
      </c>
      <c r="F2594" s="63"/>
      <c r="G2594" s="63"/>
      <c r="H2594" t="s">
        <v>78</v>
      </c>
      <c r="I2594" s="64">
        <v>0</v>
      </c>
      <c r="J2594" s="31"/>
      <c r="K2594" s="31"/>
      <c r="L2594" s="31"/>
      <c r="M2594" s="31"/>
      <c r="N2594" s="4"/>
      <c r="AG2594" t="s">
        <v>2313</v>
      </c>
      <c r="AM2594" s="1">
        <f t="shared" si="37"/>
        <v>0</v>
      </c>
    </row>
    <row r="2595" spans="1:39" x14ac:dyDescent="0.35">
      <c r="A2595">
        <v>2591</v>
      </c>
      <c r="B2595">
        <v>2592</v>
      </c>
      <c r="F2595" s="63"/>
      <c r="G2595" s="63"/>
      <c r="H2595" t="s">
        <v>78</v>
      </c>
      <c r="I2595" s="64">
        <v>0</v>
      </c>
      <c r="J2595" s="31"/>
      <c r="K2595" s="31"/>
      <c r="L2595" s="31"/>
      <c r="M2595" s="31"/>
      <c r="N2595" s="4"/>
      <c r="AG2595" t="s">
        <v>2314</v>
      </c>
      <c r="AM2595" s="1">
        <f t="shared" si="37"/>
        <v>0</v>
      </c>
    </row>
    <row r="2596" spans="1:39" x14ac:dyDescent="0.35">
      <c r="A2596">
        <v>2592</v>
      </c>
      <c r="B2596">
        <v>2593</v>
      </c>
      <c r="F2596" s="63"/>
      <c r="G2596" s="63"/>
      <c r="H2596" t="s">
        <v>78</v>
      </c>
      <c r="I2596" s="64">
        <v>0</v>
      </c>
      <c r="J2596" s="31"/>
      <c r="K2596" s="31"/>
      <c r="L2596" s="31"/>
      <c r="M2596" s="31"/>
      <c r="N2596" s="4"/>
      <c r="AG2596" t="s">
        <v>2315</v>
      </c>
      <c r="AM2596" s="1">
        <f t="shared" si="37"/>
        <v>0</v>
      </c>
    </row>
    <row r="2597" spans="1:39" x14ac:dyDescent="0.35">
      <c r="A2597">
        <v>2593</v>
      </c>
      <c r="B2597">
        <v>2594</v>
      </c>
      <c r="F2597" s="63"/>
      <c r="G2597" s="63"/>
      <c r="H2597" t="s">
        <v>78</v>
      </c>
      <c r="I2597" s="64">
        <v>0</v>
      </c>
      <c r="J2597" s="31"/>
      <c r="K2597" s="31"/>
      <c r="L2597" s="31"/>
      <c r="M2597" s="31"/>
      <c r="N2597" s="4"/>
      <c r="AG2597" t="s">
        <v>2316</v>
      </c>
      <c r="AM2597" s="1">
        <f t="shared" si="37"/>
        <v>0</v>
      </c>
    </row>
    <row r="2598" spans="1:39" x14ac:dyDescent="0.35">
      <c r="A2598">
        <v>2594</v>
      </c>
      <c r="B2598">
        <v>2595</v>
      </c>
      <c r="F2598" s="63"/>
      <c r="G2598" s="63"/>
      <c r="H2598" t="s">
        <v>78</v>
      </c>
      <c r="I2598" s="64">
        <v>0</v>
      </c>
      <c r="J2598" s="31"/>
      <c r="K2598" s="31"/>
      <c r="L2598" s="31"/>
      <c r="M2598" s="31"/>
      <c r="N2598" s="4"/>
      <c r="AG2598" t="s">
        <v>2317</v>
      </c>
      <c r="AM2598" s="1">
        <f t="shared" si="37"/>
        <v>0</v>
      </c>
    </row>
    <row r="2599" spans="1:39" x14ac:dyDescent="0.35">
      <c r="A2599">
        <v>2595</v>
      </c>
      <c r="B2599">
        <v>2596</v>
      </c>
      <c r="F2599" s="63"/>
      <c r="G2599" s="63"/>
      <c r="H2599" t="s">
        <v>78</v>
      </c>
      <c r="I2599" s="64">
        <v>0</v>
      </c>
      <c r="J2599" s="31"/>
      <c r="K2599" s="31"/>
      <c r="L2599" s="31"/>
      <c r="M2599" s="31"/>
      <c r="N2599" s="4"/>
      <c r="AG2599" t="s">
        <v>2318</v>
      </c>
      <c r="AM2599" s="1">
        <f t="shared" si="37"/>
        <v>0</v>
      </c>
    </row>
    <row r="2600" spans="1:39" x14ac:dyDescent="0.35">
      <c r="A2600">
        <v>2596</v>
      </c>
      <c r="B2600">
        <v>2597</v>
      </c>
      <c r="F2600" s="63"/>
      <c r="G2600" s="63"/>
      <c r="H2600" t="s">
        <v>78</v>
      </c>
      <c r="I2600" s="64">
        <v>0</v>
      </c>
      <c r="J2600" s="31"/>
      <c r="K2600" s="31"/>
      <c r="L2600" s="31"/>
      <c r="M2600" s="31"/>
      <c r="N2600" s="4"/>
      <c r="AG2600" t="s">
        <v>2319</v>
      </c>
      <c r="AM2600" s="1">
        <f t="shared" si="37"/>
        <v>0</v>
      </c>
    </row>
    <row r="2601" spans="1:39" x14ac:dyDescent="0.35">
      <c r="A2601">
        <v>2597</v>
      </c>
      <c r="B2601">
        <v>2598</v>
      </c>
      <c r="F2601" s="63"/>
      <c r="G2601" s="63"/>
      <c r="H2601" t="s">
        <v>78</v>
      </c>
      <c r="I2601" s="64">
        <v>0</v>
      </c>
      <c r="J2601" s="31"/>
      <c r="K2601" s="31"/>
      <c r="L2601" s="31"/>
      <c r="M2601" s="31"/>
      <c r="N2601" s="4"/>
      <c r="AG2601" t="s">
        <v>2320</v>
      </c>
      <c r="AM2601" s="1">
        <f t="shared" si="37"/>
        <v>0</v>
      </c>
    </row>
    <row r="2602" spans="1:39" x14ac:dyDescent="0.35">
      <c r="A2602">
        <v>2598</v>
      </c>
      <c r="B2602">
        <v>2599</v>
      </c>
      <c r="F2602" s="63"/>
      <c r="G2602" s="63"/>
      <c r="H2602" t="s">
        <v>78</v>
      </c>
      <c r="I2602" s="64">
        <v>0</v>
      </c>
      <c r="J2602" s="31"/>
      <c r="K2602" s="31"/>
      <c r="L2602" s="31"/>
      <c r="M2602" s="31"/>
      <c r="N2602" s="4"/>
      <c r="AG2602" t="s">
        <v>2321</v>
      </c>
      <c r="AM2602" s="1">
        <f t="shared" si="37"/>
        <v>0</v>
      </c>
    </row>
    <row r="2603" spans="1:39" x14ac:dyDescent="0.35">
      <c r="A2603">
        <v>2599</v>
      </c>
      <c r="B2603">
        <v>2600</v>
      </c>
      <c r="F2603" s="63"/>
      <c r="G2603" s="63"/>
      <c r="H2603" t="s">
        <v>78</v>
      </c>
      <c r="I2603" s="64">
        <v>0</v>
      </c>
      <c r="J2603" s="31"/>
      <c r="K2603" s="31"/>
      <c r="L2603" s="31"/>
      <c r="M2603" s="31"/>
      <c r="N2603" s="4"/>
      <c r="AG2603" t="s">
        <v>2322</v>
      </c>
      <c r="AM2603" s="1">
        <f t="shared" si="37"/>
        <v>0</v>
      </c>
    </row>
    <row r="2604" spans="1:39" x14ac:dyDescent="0.35">
      <c r="A2604">
        <v>2600</v>
      </c>
      <c r="B2604">
        <v>2601</v>
      </c>
      <c r="F2604" s="63"/>
      <c r="G2604" s="63"/>
      <c r="H2604" t="s">
        <v>78</v>
      </c>
      <c r="I2604" s="64">
        <v>0</v>
      </c>
      <c r="J2604" s="31"/>
      <c r="K2604" s="31"/>
      <c r="L2604" s="31"/>
      <c r="M2604" s="31"/>
      <c r="N2604" s="4"/>
      <c r="AG2604" t="s">
        <v>2323</v>
      </c>
      <c r="AM2604" s="1">
        <f t="shared" si="37"/>
        <v>0</v>
      </c>
    </row>
    <row r="2605" spans="1:39" x14ac:dyDescent="0.35">
      <c r="A2605">
        <v>2601</v>
      </c>
      <c r="B2605">
        <v>2602</v>
      </c>
      <c r="F2605" s="63"/>
      <c r="G2605" s="63"/>
      <c r="H2605" t="s">
        <v>78</v>
      </c>
      <c r="I2605" s="64">
        <v>0</v>
      </c>
      <c r="J2605" s="31"/>
      <c r="K2605" s="31"/>
      <c r="L2605" s="31"/>
      <c r="M2605" s="31"/>
      <c r="N2605" s="4"/>
      <c r="AG2605" t="s">
        <v>2324</v>
      </c>
      <c r="AM2605" s="1">
        <f t="shared" si="37"/>
        <v>0</v>
      </c>
    </row>
    <row r="2606" spans="1:39" x14ac:dyDescent="0.35">
      <c r="A2606">
        <v>2602</v>
      </c>
      <c r="B2606">
        <v>2603</v>
      </c>
      <c r="F2606" s="63"/>
      <c r="G2606" s="63"/>
      <c r="H2606" t="s">
        <v>78</v>
      </c>
      <c r="I2606" s="64">
        <v>0</v>
      </c>
      <c r="J2606" s="31"/>
      <c r="K2606" s="31"/>
      <c r="L2606" s="31"/>
      <c r="M2606" s="31"/>
      <c r="N2606" s="4"/>
      <c r="AG2606" t="s">
        <v>2325</v>
      </c>
      <c r="AM2606" s="1">
        <f t="shared" si="37"/>
        <v>0</v>
      </c>
    </row>
    <row r="2607" spans="1:39" x14ac:dyDescent="0.35">
      <c r="A2607">
        <v>2603</v>
      </c>
      <c r="B2607">
        <v>2604</v>
      </c>
      <c r="F2607" s="63"/>
      <c r="G2607" s="63"/>
      <c r="H2607" t="s">
        <v>78</v>
      </c>
      <c r="I2607" s="64">
        <v>0</v>
      </c>
      <c r="J2607" s="31"/>
      <c r="K2607" s="31"/>
      <c r="L2607" s="31"/>
      <c r="M2607" s="31"/>
      <c r="N2607" s="4"/>
      <c r="AG2607" t="s">
        <v>2326</v>
      </c>
      <c r="AM2607" s="1">
        <f t="shared" si="37"/>
        <v>0</v>
      </c>
    </row>
    <row r="2608" spans="1:39" x14ac:dyDescent="0.35">
      <c r="A2608">
        <v>2604</v>
      </c>
      <c r="B2608">
        <v>2605</v>
      </c>
      <c r="F2608" s="63"/>
      <c r="G2608" s="63"/>
      <c r="H2608" t="s">
        <v>78</v>
      </c>
      <c r="I2608" s="64">
        <v>0</v>
      </c>
      <c r="J2608" s="31"/>
      <c r="K2608" s="31"/>
      <c r="L2608" s="31"/>
      <c r="M2608" s="31"/>
      <c r="N2608" s="4"/>
      <c r="AG2608" t="s">
        <v>2327</v>
      </c>
      <c r="AM2608" s="1">
        <f t="shared" si="37"/>
        <v>0</v>
      </c>
    </row>
    <row r="2609" spans="1:39" x14ac:dyDescent="0.35">
      <c r="A2609">
        <v>2605</v>
      </c>
      <c r="B2609">
        <v>2606</v>
      </c>
      <c r="F2609" s="63"/>
      <c r="G2609" s="63"/>
      <c r="H2609" t="s">
        <v>78</v>
      </c>
      <c r="I2609" s="64">
        <v>0</v>
      </c>
      <c r="J2609" s="31"/>
      <c r="K2609" s="31"/>
      <c r="L2609" s="31"/>
      <c r="M2609" s="31"/>
      <c r="N2609" s="4"/>
      <c r="AG2609" t="s">
        <v>2328</v>
      </c>
      <c r="AM2609" s="1">
        <f t="shared" si="37"/>
        <v>0</v>
      </c>
    </row>
    <row r="2610" spans="1:39" x14ac:dyDescent="0.35">
      <c r="A2610">
        <v>2606</v>
      </c>
      <c r="B2610">
        <v>2607</v>
      </c>
      <c r="F2610" s="63"/>
      <c r="G2610" s="63"/>
      <c r="H2610" t="s">
        <v>78</v>
      </c>
      <c r="I2610" s="64">
        <v>0</v>
      </c>
      <c r="J2610" s="31"/>
      <c r="K2610" s="31"/>
      <c r="L2610" s="31"/>
      <c r="M2610" s="31"/>
      <c r="N2610" s="4"/>
      <c r="AG2610" t="s">
        <v>2329</v>
      </c>
      <c r="AM2610" s="1">
        <f t="shared" si="37"/>
        <v>0</v>
      </c>
    </row>
    <row r="2611" spans="1:39" x14ac:dyDescent="0.35">
      <c r="A2611">
        <v>2607</v>
      </c>
      <c r="B2611">
        <v>2608</v>
      </c>
      <c r="F2611" s="63"/>
      <c r="G2611" s="63"/>
      <c r="H2611" t="s">
        <v>78</v>
      </c>
      <c r="I2611" s="64">
        <v>0</v>
      </c>
      <c r="J2611" s="31"/>
      <c r="K2611" s="31"/>
      <c r="L2611" s="31"/>
      <c r="M2611" s="31"/>
      <c r="N2611" s="4"/>
      <c r="AG2611" t="s">
        <v>2330</v>
      </c>
      <c r="AM2611" s="1">
        <f t="shared" si="37"/>
        <v>0</v>
      </c>
    </row>
    <row r="2612" spans="1:39" x14ac:dyDescent="0.35">
      <c r="A2612">
        <v>2608</v>
      </c>
      <c r="B2612">
        <v>2609</v>
      </c>
      <c r="F2612" s="63"/>
      <c r="G2612" s="63"/>
      <c r="H2612" t="s">
        <v>78</v>
      </c>
      <c r="I2612" s="64">
        <v>0</v>
      </c>
      <c r="J2612" s="31"/>
      <c r="K2612" s="31"/>
      <c r="L2612" s="31"/>
      <c r="M2612" s="31"/>
      <c r="N2612" s="4"/>
      <c r="AG2612" t="s">
        <v>2331</v>
      </c>
      <c r="AM2612" s="1">
        <f t="shared" si="37"/>
        <v>0</v>
      </c>
    </row>
    <row r="2613" spans="1:39" x14ac:dyDescent="0.35">
      <c r="A2613">
        <v>2609</v>
      </c>
      <c r="B2613">
        <v>2610</v>
      </c>
      <c r="F2613" s="63"/>
      <c r="G2613" s="63"/>
      <c r="H2613" t="s">
        <v>78</v>
      </c>
      <c r="I2613" s="64">
        <v>0</v>
      </c>
      <c r="J2613" s="31"/>
      <c r="K2613" s="31"/>
      <c r="L2613" s="31"/>
      <c r="M2613" s="31"/>
      <c r="N2613" s="4"/>
      <c r="AG2613" t="s">
        <v>2332</v>
      </c>
      <c r="AM2613" s="1">
        <f t="shared" si="37"/>
        <v>0</v>
      </c>
    </row>
    <row r="2614" spans="1:39" x14ac:dyDescent="0.35">
      <c r="A2614">
        <v>2610</v>
      </c>
      <c r="B2614">
        <v>2611</v>
      </c>
      <c r="F2614" s="63"/>
      <c r="G2614" s="63"/>
      <c r="H2614" t="s">
        <v>78</v>
      </c>
      <c r="I2614" s="64">
        <v>0</v>
      </c>
      <c r="J2614" s="31"/>
      <c r="K2614" s="31"/>
      <c r="L2614" s="31"/>
      <c r="M2614" s="31"/>
      <c r="N2614" s="4"/>
      <c r="AG2614" t="s">
        <v>2333</v>
      </c>
      <c r="AM2614" s="1">
        <f t="shared" si="37"/>
        <v>0</v>
      </c>
    </row>
    <row r="2615" spans="1:39" x14ac:dyDescent="0.35">
      <c r="A2615">
        <v>2611</v>
      </c>
      <c r="B2615">
        <v>2612</v>
      </c>
      <c r="F2615" s="63"/>
      <c r="G2615" s="63"/>
      <c r="H2615" t="s">
        <v>78</v>
      </c>
      <c r="I2615" s="64">
        <v>0</v>
      </c>
      <c r="J2615" s="31"/>
      <c r="K2615" s="31"/>
      <c r="L2615" s="31"/>
      <c r="M2615" s="31"/>
      <c r="N2615" s="4"/>
      <c r="AG2615" t="s">
        <v>2334</v>
      </c>
      <c r="AM2615" s="1">
        <f t="shared" si="37"/>
        <v>0</v>
      </c>
    </row>
    <row r="2616" spans="1:39" x14ac:dyDescent="0.35">
      <c r="A2616">
        <v>2612</v>
      </c>
      <c r="B2616">
        <v>2613</v>
      </c>
      <c r="F2616" s="63"/>
      <c r="G2616" s="63"/>
      <c r="H2616" t="s">
        <v>78</v>
      </c>
      <c r="I2616" s="64">
        <v>0</v>
      </c>
      <c r="J2616" s="31"/>
      <c r="K2616" s="31"/>
      <c r="L2616" s="31"/>
      <c r="M2616" s="31"/>
      <c r="N2616" s="4"/>
      <c r="AG2616" t="s">
        <v>2335</v>
      </c>
      <c r="AM2616" s="1">
        <f t="shared" si="37"/>
        <v>0</v>
      </c>
    </row>
    <row r="2617" spans="1:39" x14ac:dyDescent="0.35">
      <c r="A2617">
        <v>2613</v>
      </c>
      <c r="B2617">
        <v>2614</v>
      </c>
      <c r="F2617" s="63"/>
      <c r="G2617" s="63"/>
      <c r="H2617" t="s">
        <v>78</v>
      </c>
      <c r="I2617" s="64">
        <v>0</v>
      </c>
      <c r="J2617" s="31"/>
      <c r="K2617" s="31"/>
      <c r="L2617" s="31"/>
      <c r="M2617" s="31"/>
      <c r="N2617" s="4"/>
      <c r="AG2617" t="s">
        <v>2336</v>
      </c>
      <c r="AM2617" s="1">
        <f t="shared" si="37"/>
        <v>0</v>
      </c>
    </row>
    <row r="2618" spans="1:39" x14ac:dyDescent="0.35">
      <c r="A2618">
        <v>2614</v>
      </c>
      <c r="B2618">
        <v>2615</v>
      </c>
      <c r="F2618" s="63"/>
      <c r="G2618" s="63"/>
      <c r="H2618" t="s">
        <v>78</v>
      </c>
      <c r="I2618" s="64">
        <v>0</v>
      </c>
      <c r="J2618" s="31"/>
      <c r="K2618" s="31"/>
      <c r="L2618" s="31"/>
      <c r="M2618" s="31"/>
      <c r="N2618" s="4"/>
      <c r="AG2618" t="s">
        <v>2337</v>
      </c>
      <c r="AM2618" s="1">
        <f t="shared" si="37"/>
        <v>0</v>
      </c>
    </row>
    <row r="2619" spans="1:39" x14ac:dyDescent="0.35">
      <c r="A2619">
        <v>2615</v>
      </c>
      <c r="B2619">
        <v>2616</v>
      </c>
      <c r="F2619" s="63"/>
      <c r="G2619" s="63"/>
      <c r="H2619" t="s">
        <v>78</v>
      </c>
      <c r="I2619" s="64">
        <v>0</v>
      </c>
      <c r="J2619" s="31"/>
      <c r="K2619" s="31"/>
      <c r="L2619" s="31"/>
      <c r="M2619" s="31"/>
      <c r="N2619" s="4"/>
      <c r="AG2619" t="s">
        <v>2338</v>
      </c>
      <c r="AM2619" s="1">
        <f t="shared" si="37"/>
        <v>0</v>
      </c>
    </row>
    <row r="2620" spans="1:39" x14ac:dyDescent="0.35">
      <c r="A2620">
        <v>2616</v>
      </c>
      <c r="B2620">
        <v>2617</v>
      </c>
      <c r="F2620" s="63"/>
      <c r="G2620" s="63"/>
      <c r="H2620" t="s">
        <v>78</v>
      </c>
      <c r="I2620" s="64">
        <v>0</v>
      </c>
      <c r="J2620" s="31"/>
      <c r="K2620" s="31"/>
      <c r="L2620" s="31"/>
      <c r="M2620" s="31"/>
      <c r="N2620" s="4"/>
      <c r="AG2620" t="s">
        <v>2339</v>
      </c>
      <c r="AM2620" s="1">
        <f t="shared" si="37"/>
        <v>0</v>
      </c>
    </row>
    <row r="2621" spans="1:39" x14ac:dyDescent="0.35">
      <c r="A2621">
        <v>2617</v>
      </c>
      <c r="B2621">
        <v>2618</v>
      </c>
      <c r="F2621" s="63"/>
      <c r="G2621" s="63"/>
      <c r="H2621" t="s">
        <v>78</v>
      </c>
      <c r="I2621" s="64">
        <v>0</v>
      </c>
      <c r="J2621" s="31"/>
      <c r="K2621" s="31"/>
      <c r="L2621" s="31"/>
      <c r="M2621" s="31"/>
      <c r="N2621" s="4"/>
      <c r="AG2621" t="s">
        <v>2340</v>
      </c>
      <c r="AM2621" s="1">
        <f t="shared" si="37"/>
        <v>0</v>
      </c>
    </row>
    <row r="2622" spans="1:39" x14ac:dyDescent="0.35">
      <c r="A2622">
        <v>2618</v>
      </c>
      <c r="B2622">
        <v>2619</v>
      </c>
      <c r="F2622" s="63"/>
      <c r="G2622" s="63"/>
      <c r="H2622" t="s">
        <v>78</v>
      </c>
      <c r="I2622" s="64">
        <v>0</v>
      </c>
      <c r="J2622" s="31"/>
      <c r="K2622" s="31"/>
      <c r="L2622" s="31"/>
      <c r="M2622" s="31"/>
      <c r="N2622" s="4"/>
      <c r="AG2622" t="s">
        <v>2341</v>
      </c>
      <c r="AM2622" s="1">
        <f t="shared" si="37"/>
        <v>0</v>
      </c>
    </row>
    <row r="2623" spans="1:39" x14ac:dyDescent="0.35">
      <c r="A2623">
        <v>2619</v>
      </c>
      <c r="B2623">
        <v>2620</v>
      </c>
      <c r="F2623" s="63"/>
      <c r="G2623" s="63"/>
      <c r="H2623" t="s">
        <v>78</v>
      </c>
      <c r="I2623" s="64">
        <v>0</v>
      </c>
      <c r="J2623" s="31"/>
      <c r="K2623" s="31"/>
      <c r="L2623" s="31"/>
      <c r="M2623" s="31"/>
      <c r="N2623" s="4"/>
      <c r="AG2623" t="s">
        <v>2342</v>
      </c>
      <c r="AM2623" s="1">
        <f t="shared" si="37"/>
        <v>0</v>
      </c>
    </row>
    <row r="2624" spans="1:39" x14ac:dyDescent="0.35">
      <c r="A2624">
        <v>2620</v>
      </c>
      <c r="B2624">
        <v>2621</v>
      </c>
      <c r="F2624" s="63"/>
      <c r="G2624" s="63"/>
      <c r="H2624" t="s">
        <v>78</v>
      </c>
      <c r="I2624" s="64">
        <v>0</v>
      </c>
      <c r="J2624" s="31"/>
      <c r="K2624" s="31"/>
      <c r="L2624" s="31"/>
      <c r="M2624" s="31"/>
      <c r="N2624" s="4"/>
      <c r="AG2624" t="s">
        <v>2343</v>
      </c>
      <c r="AM2624" s="1">
        <f t="shared" si="37"/>
        <v>0</v>
      </c>
    </row>
    <row r="2625" spans="1:39" x14ac:dyDescent="0.35">
      <c r="A2625">
        <v>2621</v>
      </c>
      <c r="B2625">
        <v>2622</v>
      </c>
      <c r="F2625" s="63"/>
      <c r="G2625" s="63"/>
      <c r="H2625" t="s">
        <v>78</v>
      </c>
      <c r="I2625" s="64">
        <v>0</v>
      </c>
      <c r="J2625" s="31"/>
      <c r="K2625" s="31"/>
      <c r="L2625" s="31"/>
      <c r="M2625" s="31"/>
      <c r="N2625" s="4"/>
      <c r="AG2625" t="s">
        <v>2344</v>
      </c>
      <c r="AM2625" s="1">
        <f t="shared" si="37"/>
        <v>0</v>
      </c>
    </row>
    <row r="2626" spans="1:39" x14ac:dyDescent="0.35">
      <c r="A2626">
        <v>2622</v>
      </c>
      <c r="B2626">
        <v>2623</v>
      </c>
      <c r="F2626" s="63"/>
      <c r="G2626" s="63"/>
      <c r="H2626" t="s">
        <v>78</v>
      </c>
      <c r="I2626" s="64">
        <v>0</v>
      </c>
      <c r="J2626" s="31"/>
      <c r="K2626" s="31"/>
      <c r="L2626" s="31"/>
      <c r="M2626" s="31"/>
      <c r="N2626" s="4"/>
      <c r="AG2626" t="s">
        <v>2345</v>
      </c>
      <c r="AM2626" s="1">
        <f t="shared" si="37"/>
        <v>0</v>
      </c>
    </row>
    <row r="2627" spans="1:39" x14ac:dyDescent="0.35">
      <c r="A2627">
        <v>2623</v>
      </c>
      <c r="B2627">
        <v>2624</v>
      </c>
      <c r="F2627" s="63"/>
      <c r="G2627" s="63"/>
      <c r="H2627" t="s">
        <v>78</v>
      </c>
      <c r="I2627" s="64">
        <v>0</v>
      </c>
      <c r="J2627" s="31"/>
      <c r="K2627" s="31"/>
      <c r="L2627" s="31"/>
      <c r="M2627" s="31"/>
      <c r="N2627" s="4"/>
      <c r="AG2627" t="s">
        <v>2346</v>
      </c>
      <c r="AM2627" s="1">
        <f t="shared" si="37"/>
        <v>0</v>
      </c>
    </row>
    <row r="2628" spans="1:39" x14ac:dyDescent="0.35">
      <c r="A2628">
        <v>2624</v>
      </c>
      <c r="B2628">
        <v>2625</v>
      </c>
      <c r="F2628" s="63"/>
      <c r="G2628" s="63"/>
      <c r="H2628" t="s">
        <v>78</v>
      </c>
      <c r="I2628" s="64">
        <v>0</v>
      </c>
      <c r="J2628" s="31"/>
      <c r="K2628" s="31"/>
      <c r="L2628" s="31"/>
      <c r="M2628" s="31"/>
      <c r="N2628" s="4"/>
      <c r="AG2628" t="s">
        <v>2347</v>
      </c>
      <c r="AM2628" s="1">
        <f t="shared" si="37"/>
        <v>0</v>
      </c>
    </row>
    <row r="2629" spans="1:39" x14ac:dyDescent="0.35">
      <c r="A2629">
        <v>2625</v>
      </c>
      <c r="B2629">
        <v>2626</v>
      </c>
      <c r="F2629" s="63"/>
      <c r="G2629" s="63"/>
      <c r="H2629" t="s">
        <v>78</v>
      </c>
      <c r="I2629" s="64">
        <v>0</v>
      </c>
      <c r="J2629" s="31"/>
      <c r="K2629" s="31"/>
      <c r="L2629" s="31"/>
      <c r="M2629" s="31"/>
      <c r="N2629" s="4"/>
      <c r="AG2629" t="s">
        <v>2348</v>
      </c>
      <c r="AM2629" s="1">
        <f t="shared" si="37"/>
        <v>0</v>
      </c>
    </row>
    <row r="2630" spans="1:39" x14ac:dyDescent="0.35">
      <c r="A2630">
        <v>2626</v>
      </c>
      <c r="B2630">
        <v>2627</v>
      </c>
      <c r="F2630" s="63"/>
      <c r="G2630" s="63"/>
      <c r="H2630" t="s">
        <v>78</v>
      </c>
      <c r="I2630" s="64">
        <v>0</v>
      </c>
      <c r="J2630" s="31"/>
      <c r="K2630" s="31"/>
      <c r="L2630" s="31"/>
      <c r="M2630" s="31"/>
      <c r="N2630" s="4"/>
      <c r="AG2630" t="s">
        <v>2349</v>
      </c>
      <c r="AM2630" s="1"/>
    </row>
    <row r="2631" spans="1:39" x14ac:dyDescent="0.35">
      <c r="A2631">
        <v>2627</v>
      </c>
      <c r="B2631">
        <v>2628</v>
      </c>
      <c r="F2631" s="63"/>
      <c r="G2631" s="63"/>
      <c r="H2631" t="s">
        <v>78</v>
      </c>
      <c r="I2631" s="64">
        <v>0</v>
      </c>
      <c r="J2631" s="31"/>
      <c r="K2631" s="31"/>
      <c r="L2631" s="31"/>
      <c r="M2631" s="31"/>
      <c r="N2631" s="4"/>
      <c r="AG2631" t="s">
        <v>2350</v>
      </c>
      <c r="AM2631" s="1"/>
    </row>
    <row r="2632" spans="1:39" x14ac:dyDescent="0.35">
      <c r="A2632">
        <v>2628</v>
      </c>
      <c r="B2632">
        <v>2629</v>
      </c>
      <c r="F2632" s="63"/>
      <c r="G2632" s="63"/>
      <c r="H2632" t="s">
        <v>78</v>
      </c>
      <c r="I2632" s="64">
        <v>0</v>
      </c>
      <c r="J2632" s="31"/>
      <c r="K2632" s="31"/>
      <c r="L2632" s="31"/>
      <c r="M2632" s="31"/>
      <c r="N2632" s="4"/>
      <c r="AG2632" t="s">
        <v>2351</v>
      </c>
      <c r="AM2632" s="1"/>
    </row>
    <row r="2633" spans="1:39" x14ac:dyDescent="0.35">
      <c r="A2633">
        <v>2629</v>
      </c>
      <c r="B2633">
        <v>2630</v>
      </c>
      <c r="F2633" s="63"/>
      <c r="G2633" s="63"/>
      <c r="H2633" t="s">
        <v>78</v>
      </c>
      <c r="I2633" s="64">
        <v>0</v>
      </c>
      <c r="J2633" s="31"/>
      <c r="K2633" s="31"/>
      <c r="L2633" s="31"/>
      <c r="M2633" s="31"/>
      <c r="N2633" s="4"/>
      <c r="AG2633" t="s">
        <v>2352</v>
      </c>
      <c r="AM2633" s="1"/>
    </row>
    <row r="2634" spans="1:39" x14ac:dyDescent="0.35">
      <c r="A2634">
        <v>2630</v>
      </c>
      <c r="B2634">
        <v>2631</v>
      </c>
      <c r="F2634" s="63"/>
      <c r="G2634" s="63"/>
      <c r="H2634" t="s">
        <v>78</v>
      </c>
      <c r="I2634" s="64">
        <v>0</v>
      </c>
      <c r="J2634" s="31"/>
      <c r="K2634" s="31"/>
      <c r="L2634" s="31"/>
      <c r="M2634" s="31"/>
      <c r="N2634" s="4"/>
      <c r="AG2634" t="s">
        <v>2353</v>
      </c>
      <c r="AM2634" s="1"/>
    </row>
    <row r="2635" spans="1:39" x14ac:dyDescent="0.35">
      <c r="A2635">
        <v>2631</v>
      </c>
      <c r="B2635">
        <v>2632</v>
      </c>
      <c r="F2635" s="63"/>
      <c r="G2635" s="63"/>
      <c r="H2635" t="s">
        <v>78</v>
      </c>
      <c r="I2635" s="64">
        <v>0</v>
      </c>
      <c r="J2635" s="31"/>
      <c r="K2635" s="31"/>
      <c r="L2635" s="31"/>
      <c r="M2635" s="31"/>
      <c r="N2635" s="4"/>
      <c r="AG2635" t="s">
        <v>2354</v>
      </c>
      <c r="AM2635" s="1"/>
    </row>
    <row r="2636" spans="1:39" x14ac:dyDescent="0.35">
      <c r="A2636">
        <v>2632</v>
      </c>
      <c r="B2636">
        <v>2633</v>
      </c>
      <c r="F2636" s="63"/>
      <c r="G2636" s="63"/>
      <c r="H2636" t="s">
        <v>78</v>
      </c>
      <c r="I2636" s="64">
        <v>0</v>
      </c>
      <c r="J2636" s="31"/>
      <c r="K2636" s="31"/>
      <c r="L2636" s="31"/>
      <c r="M2636" s="31"/>
      <c r="N2636" s="4"/>
      <c r="AG2636" t="s">
        <v>2355</v>
      </c>
      <c r="AM2636" s="1"/>
    </row>
    <row r="2637" spans="1:39" x14ac:dyDescent="0.35">
      <c r="A2637">
        <v>2633</v>
      </c>
      <c r="B2637">
        <v>2634</v>
      </c>
      <c r="F2637" s="63"/>
      <c r="G2637" s="63"/>
      <c r="H2637" t="s">
        <v>78</v>
      </c>
      <c r="I2637" s="64">
        <v>0</v>
      </c>
      <c r="J2637" s="31"/>
      <c r="K2637" s="31"/>
      <c r="L2637" s="31"/>
      <c r="M2637" s="31"/>
      <c r="N2637" s="4"/>
      <c r="AG2637" t="s">
        <v>2356</v>
      </c>
      <c r="AM2637" s="1"/>
    </row>
    <row r="2638" spans="1:39" x14ac:dyDescent="0.35">
      <c r="A2638">
        <v>2634</v>
      </c>
      <c r="B2638">
        <v>2635</v>
      </c>
      <c r="F2638" s="63"/>
      <c r="G2638" s="63"/>
      <c r="H2638" t="s">
        <v>78</v>
      </c>
      <c r="I2638" s="64">
        <v>0</v>
      </c>
      <c r="J2638" s="31"/>
      <c r="K2638" s="31"/>
      <c r="L2638" s="31"/>
      <c r="M2638" s="31"/>
      <c r="N2638" s="4"/>
      <c r="AG2638" t="s">
        <v>2357</v>
      </c>
      <c r="AM2638" s="1"/>
    </row>
    <row r="2639" spans="1:39" x14ac:dyDescent="0.35">
      <c r="A2639">
        <v>2635</v>
      </c>
      <c r="B2639">
        <v>2636</v>
      </c>
      <c r="F2639" s="63"/>
      <c r="G2639" s="63"/>
      <c r="H2639" t="s">
        <v>78</v>
      </c>
      <c r="I2639" s="64">
        <v>0</v>
      </c>
      <c r="J2639" s="31"/>
      <c r="K2639" s="31"/>
      <c r="L2639" s="31"/>
      <c r="M2639" s="31"/>
      <c r="N2639" s="4"/>
      <c r="AG2639" t="s">
        <v>2358</v>
      </c>
      <c r="AM2639" s="1"/>
    </row>
    <row r="2640" spans="1:39" x14ac:dyDescent="0.35">
      <c r="A2640">
        <v>2636</v>
      </c>
      <c r="B2640">
        <v>2637</v>
      </c>
      <c r="F2640" s="63"/>
      <c r="G2640" s="63"/>
      <c r="H2640" t="s">
        <v>78</v>
      </c>
      <c r="I2640" s="64">
        <v>0</v>
      </c>
      <c r="J2640" s="31"/>
      <c r="K2640" s="31"/>
      <c r="L2640" s="31"/>
      <c r="M2640" s="31"/>
      <c r="N2640" s="4"/>
      <c r="AG2640" t="s">
        <v>2359</v>
      </c>
      <c r="AM2640" s="1"/>
    </row>
    <row r="2641" spans="1:39" x14ac:dyDescent="0.35">
      <c r="A2641">
        <v>2637</v>
      </c>
      <c r="B2641">
        <v>2638</v>
      </c>
      <c r="F2641" s="63"/>
      <c r="G2641" s="63"/>
      <c r="H2641" t="s">
        <v>78</v>
      </c>
      <c r="I2641" s="64">
        <v>0</v>
      </c>
      <c r="J2641" s="31"/>
      <c r="K2641" s="31"/>
      <c r="L2641" s="31"/>
      <c r="M2641" s="31"/>
      <c r="N2641" s="4"/>
      <c r="AG2641" t="s">
        <v>2360</v>
      </c>
      <c r="AM2641" s="1"/>
    </row>
    <row r="2642" spans="1:39" x14ac:dyDescent="0.35">
      <c r="A2642">
        <v>2638</v>
      </c>
      <c r="B2642">
        <v>2639</v>
      </c>
      <c r="F2642" s="63"/>
      <c r="G2642" s="63"/>
      <c r="H2642" t="s">
        <v>78</v>
      </c>
      <c r="I2642" s="64">
        <v>0</v>
      </c>
      <c r="J2642" s="31"/>
      <c r="K2642" s="31"/>
      <c r="L2642" s="31"/>
      <c r="M2642" s="31"/>
      <c r="N2642" s="4"/>
      <c r="AG2642" t="s">
        <v>2361</v>
      </c>
      <c r="AM2642" s="1"/>
    </row>
    <row r="2643" spans="1:39" x14ac:dyDescent="0.35">
      <c r="A2643">
        <v>2639</v>
      </c>
      <c r="B2643">
        <v>2640</v>
      </c>
      <c r="F2643" s="63"/>
      <c r="G2643" s="63"/>
      <c r="H2643" t="s">
        <v>78</v>
      </c>
      <c r="I2643" s="64">
        <v>0</v>
      </c>
      <c r="J2643" s="31"/>
      <c r="K2643" s="31"/>
      <c r="L2643" s="31"/>
      <c r="M2643" s="31"/>
      <c r="N2643" s="4"/>
      <c r="AG2643" t="s">
        <v>2362</v>
      </c>
      <c r="AM2643" s="1"/>
    </row>
    <row r="2644" spans="1:39" x14ac:dyDescent="0.35">
      <c r="A2644">
        <v>2640</v>
      </c>
      <c r="B2644">
        <v>2641</v>
      </c>
      <c r="F2644" s="63"/>
      <c r="G2644" s="63"/>
      <c r="H2644" t="s">
        <v>78</v>
      </c>
      <c r="I2644" s="64">
        <v>0</v>
      </c>
      <c r="J2644" s="31"/>
      <c r="K2644" s="31"/>
      <c r="L2644" s="31"/>
      <c r="M2644" s="31"/>
      <c r="N2644" s="4"/>
      <c r="AG2644" t="s">
        <v>2363</v>
      </c>
      <c r="AM2644" s="1"/>
    </row>
    <row r="2645" spans="1:39" x14ac:dyDescent="0.35">
      <c r="A2645">
        <v>2641</v>
      </c>
      <c r="B2645">
        <v>2642</v>
      </c>
      <c r="F2645" s="63"/>
      <c r="G2645" s="63"/>
      <c r="H2645" t="s">
        <v>78</v>
      </c>
      <c r="I2645" s="64">
        <v>0</v>
      </c>
      <c r="J2645" s="31"/>
      <c r="K2645" s="31"/>
      <c r="L2645" s="31"/>
      <c r="M2645" s="31"/>
      <c r="N2645" s="4"/>
      <c r="AG2645" t="s">
        <v>2364</v>
      </c>
      <c r="AM2645" s="1"/>
    </row>
    <row r="2646" spans="1:39" x14ac:dyDescent="0.35">
      <c r="A2646">
        <v>2642</v>
      </c>
      <c r="B2646">
        <v>2643</v>
      </c>
      <c r="F2646" s="63"/>
      <c r="G2646" s="63"/>
      <c r="H2646" t="s">
        <v>78</v>
      </c>
      <c r="I2646" s="64">
        <v>0</v>
      </c>
      <c r="J2646" s="31"/>
      <c r="K2646" s="31"/>
      <c r="L2646" s="31"/>
      <c r="M2646" s="31"/>
      <c r="N2646" s="4"/>
      <c r="AG2646" t="s">
        <v>2365</v>
      </c>
      <c r="AM2646" s="1"/>
    </row>
    <row r="2647" spans="1:39" x14ac:dyDescent="0.35">
      <c r="A2647">
        <v>2643</v>
      </c>
      <c r="B2647">
        <v>2644</v>
      </c>
      <c r="F2647" s="63"/>
      <c r="G2647" s="63"/>
      <c r="H2647" t="s">
        <v>78</v>
      </c>
      <c r="I2647" s="64">
        <v>0</v>
      </c>
      <c r="J2647" s="31"/>
      <c r="K2647" s="31"/>
      <c r="L2647" s="31"/>
      <c r="M2647" s="31"/>
      <c r="N2647" s="4"/>
      <c r="AG2647" t="s">
        <v>2366</v>
      </c>
      <c r="AM2647" s="1"/>
    </row>
    <row r="2648" spans="1:39" x14ac:dyDescent="0.35">
      <c r="A2648">
        <v>2644</v>
      </c>
      <c r="B2648">
        <v>2645</v>
      </c>
      <c r="F2648" s="63"/>
      <c r="G2648" s="63"/>
      <c r="H2648" t="s">
        <v>78</v>
      </c>
      <c r="I2648" s="64">
        <v>0</v>
      </c>
      <c r="J2648" s="31"/>
      <c r="K2648" s="31"/>
      <c r="L2648" s="31"/>
      <c r="M2648" s="31"/>
      <c r="N2648" s="4"/>
      <c r="AG2648" t="s">
        <v>2367</v>
      </c>
      <c r="AM2648" s="1"/>
    </row>
    <row r="2649" spans="1:39" x14ac:dyDescent="0.35">
      <c r="A2649">
        <v>2645</v>
      </c>
      <c r="B2649">
        <v>2646</v>
      </c>
      <c r="F2649" s="63"/>
      <c r="G2649" s="63"/>
      <c r="H2649" t="s">
        <v>78</v>
      </c>
      <c r="I2649" s="64">
        <v>0</v>
      </c>
      <c r="J2649" s="31"/>
      <c r="K2649" s="31"/>
      <c r="L2649" s="31"/>
      <c r="M2649" s="31"/>
      <c r="N2649" s="4"/>
      <c r="AG2649" t="s">
        <v>2368</v>
      </c>
      <c r="AM2649" s="1"/>
    </row>
    <row r="2650" spans="1:39" x14ac:dyDescent="0.35">
      <c r="A2650">
        <v>2646</v>
      </c>
      <c r="B2650">
        <v>2647</v>
      </c>
      <c r="F2650" s="63"/>
      <c r="G2650" s="63"/>
      <c r="H2650" t="s">
        <v>78</v>
      </c>
      <c r="I2650" s="64">
        <v>0</v>
      </c>
      <c r="J2650" s="31"/>
      <c r="K2650" s="31"/>
      <c r="L2650" s="31"/>
      <c r="M2650" s="31"/>
      <c r="N2650" s="4"/>
      <c r="AG2650" t="s">
        <v>2369</v>
      </c>
      <c r="AM2650" s="1"/>
    </row>
    <row r="2651" spans="1:39" x14ac:dyDescent="0.35">
      <c r="A2651">
        <v>2647</v>
      </c>
      <c r="B2651">
        <v>2648</v>
      </c>
      <c r="F2651" s="63"/>
      <c r="G2651" s="63"/>
      <c r="H2651" t="s">
        <v>78</v>
      </c>
      <c r="I2651" s="64">
        <v>0</v>
      </c>
      <c r="J2651" s="31"/>
      <c r="K2651" s="31"/>
      <c r="L2651" s="31"/>
      <c r="M2651" s="31"/>
      <c r="N2651" s="4"/>
      <c r="AG2651" t="s">
        <v>78</v>
      </c>
      <c r="AM2651" s="1"/>
    </row>
    <row r="2652" spans="1:39" x14ac:dyDescent="0.35">
      <c r="A2652">
        <v>2648</v>
      </c>
      <c r="B2652">
        <v>2649</v>
      </c>
      <c r="F2652" s="63"/>
      <c r="G2652" s="63"/>
      <c r="H2652" t="s">
        <v>78</v>
      </c>
      <c r="I2652" s="64">
        <v>0</v>
      </c>
      <c r="J2652" s="31"/>
      <c r="K2652" s="31"/>
      <c r="L2652" s="31"/>
      <c r="M2652" s="31"/>
      <c r="N2652" s="4"/>
      <c r="AG2652" t="s">
        <v>78</v>
      </c>
      <c r="AM2652" s="1"/>
    </row>
    <row r="2653" spans="1:39" x14ac:dyDescent="0.35">
      <c r="A2653">
        <v>2649</v>
      </c>
      <c r="B2653">
        <v>2650</v>
      </c>
      <c r="F2653" s="63"/>
      <c r="G2653" s="63"/>
      <c r="H2653" t="s">
        <v>78</v>
      </c>
      <c r="I2653" s="64">
        <v>0</v>
      </c>
      <c r="J2653" s="31"/>
      <c r="K2653" s="31"/>
      <c r="L2653" s="31"/>
      <c r="M2653" s="31"/>
      <c r="N2653" s="4"/>
      <c r="AG2653" t="s">
        <v>78</v>
      </c>
      <c r="AM2653" s="1"/>
    </row>
    <row r="2654" spans="1:39" x14ac:dyDescent="0.35">
      <c r="A2654">
        <v>2650</v>
      </c>
      <c r="B2654">
        <v>2651</v>
      </c>
      <c r="F2654" s="63"/>
      <c r="G2654" s="63"/>
      <c r="H2654" t="s">
        <v>78</v>
      </c>
      <c r="I2654" s="64">
        <v>0</v>
      </c>
      <c r="J2654" s="31"/>
      <c r="K2654" s="31"/>
      <c r="L2654" s="31"/>
      <c r="M2654" s="31"/>
      <c r="N2654" s="4"/>
      <c r="AG2654" t="s">
        <v>2370</v>
      </c>
      <c r="AM2654" s="1"/>
    </row>
    <row r="2655" spans="1:39" x14ac:dyDescent="0.35">
      <c r="A2655">
        <v>2651</v>
      </c>
      <c r="B2655">
        <v>2652</v>
      </c>
      <c r="F2655" s="63"/>
      <c r="G2655" s="63"/>
      <c r="H2655" t="s">
        <v>78</v>
      </c>
      <c r="I2655" s="64">
        <v>0</v>
      </c>
      <c r="J2655" s="31"/>
      <c r="K2655" s="31"/>
      <c r="L2655" s="31"/>
      <c r="M2655" s="31"/>
      <c r="N2655" s="4"/>
      <c r="AG2655" t="s">
        <v>2371</v>
      </c>
      <c r="AM2655" s="1"/>
    </row>
    <row r="2656" spans="1:39" x14ac:dyDescent="0.35">
      <c r="A2656">
        <v>2652</v>
      </c>
      <c r="B2656">
        <v>2653</v>
      </c>
      <c r="F2656" s="63"/>
      <c r="G2656" s="63"/>
      <c r="H2656" t="s">
        <v>78</v>
      </c>
      <c r="I2656" s="64">
        <v>0</v>
      </c>
      <c r="J2656" s="31"/>
      <c r="K2656" s="31"/>
      <c r="L2656" s="31"/>
      <c r="M2656" s="31"/>
      <c r="N2656" s="4"/>
      <c r="AG2656" t="s">
        <v>2372</v>
      </c>
      <c r="AM2656" s="1"/>
    </row>
    <row r="2657" spans="1:39" x14ac:dyDescent="0.35">
      <c r="A2657">
        <v>2653</v>
      </c>
      <c r="B2657">
        <v>2654</v>
      </c>
      <c r="F2657" s="63"/>
      <c r="G2657" s="63"/>
      <c r="H2657" t="s">
        <v>78</v>
      </c>
      <c r="I2657" s="64">
        <v>0</v>
      </c>
      <c r="J2657" s="31"/>
      <c r="K2657" s="31"/>
      <c r="L2657" s="31"/>
      <c r="M2657" s="31"/>
      <c r="N2657" s="4"/>
      <c r="AG2657" t="s">
        <v>78</v>
      </c>
      <c r="AM2657" s="1"/>
    </row>
    <row r="2658" spans="1:39" x14ac:dyDescent="0.35">
      <c r="A2658">
        <v>2654</v>
      </c>
      <c r="B2658">
        <v>2655</v>
      </c>
      <c r="F2658" s="63"/>
      <c r="G2658" s="63"/>
      <c r="H2658" t="s">
        <v>78</v>
      </c>
      <c r="I2658" s="64">
        <v>0</v>
      </c>
      <c r="J2658" s="31"/>
      <c r="K2658" s="31"/>
      <c r="L2658" s="31"/>
      <c r="M2658" s="31"/>
      <c r="N2658" s="4"/>
      <c r="AG2658" t="s">
        <v>78</v>
      </c>
      <c r="AM2658" s="1"/>
    </row>
    <row r="2659" spans="1:39" x14ac:dyDescent="0.35">
      <c r="A2659">
        <v>2655</v>
      </c>
      <c r="B2659">
        <v>2656</v>
      </c>
      <c r="F2659" s="63"/>
      <c r="G2659" s="63"/>
      <c r="H2659" t="s">
        <v>78</v>
      </c>
      <c r="I2659" s="64">
        <v>0</v>
      </c>
      <c r="J2659" s="31"/>
      <c r="K2659" s="31"/>
      <c r="L2659" s="31"/>
      <c r="M2659" s="31"/>
      <c r="N2659" s="4"/>
      <c r="AG2659" t="s">
        <v>78</v>
      </c>
      <c r="AM2659" s="1"/>
    </row>
    <row r="2660" spans="1:39" x14ac:dyDescent="0.35">
      <c r="A2660">
        <v>2656</v>
      </c>
      <c r="B2660">
        <v>2657</v>
      </c>
      <c r="F2660" s="63"/>
      <c r="G2660" s="63"/>
      <c r="H2660" t="s">
        <v>78</v>
      </c>
      <c r="I2660" s="64">
        <v>0</v>
      </c>
      <c r="J2660" s="31"/>
      <c r="K2660" s="31"/>
      <c r="L2660" s="31"/>
      <c r="M2660" s="31"/>
      <c r="N2660" s="4"/>
      <c r="AG2660" t="s">
        <v>78</v>
      </c>
      <c r="AM2660" s="1"/>
    </row>
    <row r="2661" spans="1:39" x14ac:dyDescent="0.35">
      <c r="A2661">
        <v>2657</v>
      </c>
      <c r="B2661">
        <v>2658</v>
      </c>
      <c r="F2661" s="63"/>
      <c r="G2661" s="63"/>
      <c r="H2661" t="s">
        <v>78</v>
      </c>
      <c r="I2661" s="64">
        <v>0</v>
      </c>
      <c r="J2661" s="31"/>
      <c r="K2661" s="31"/>
      <c r="L2661" s="31"/>
      <c r="M2661" s="31"/>
      <c r="N2661" s="4"/>
      <c r="AG2661" t="s">
        <v>78</v>
      </c>
      <c r="AM2661" s="1"/>
    </row>
    <row r="2662" spans="1:39" x14ac:dyDescent="0.35">
      <c r="A2662">
        <v>2658</v>
      </c>
      <c r="B2662">
        <v>2659</v>
      </c>
      <c r="F2662" s="63"/>
      <c r="G2662" s="63"/>
      <c r="H2662" t="s">
        <v>78</v>
      </c>
      <c r="I2662" s="64">
        <v>0</v>
      </c>
      <c r="J2662" s="31"/>
      <c r="K2662" s="31"/>
      <c r="L2662" s="31"/>
      <c r="M2662" s="31"/>
      <c r="N2662" s="4"/>
      <c r="AG2662" t="s">
        <v>2373</v>
      </c>
      <c r="AM2662" s="1"/>
    </row>
    <row r="2663" spans="1:39" x14ac:dyDescent="0.35">
      <c r="A2663">
        <v>2659</v>
      </c>
      <c r="B2663">
        <v>2660</v>
      </c>
      <c r="F2663" s="63"/>
      <c r="G2663" s="63"/>
      <c r="H2663" t="s">
        <v>78</v>
      </c>
      <c r="I2663" s="64">
        <v>0</v>
      </c>
      <c r="J2663" s="31"/>
      <c r="K2663" s="31"/>
      <c r="L2663" s="31"/>
      <c r="M2663" s="31"/>
      <c r="N2663" s="4"/>
      <c r="AG2663" t="s">
        <v>2374</v>
      </c>
      <c r="AM2663" s="1"/>
    </row>
    <row r="2664" spans="1:39" x14ac:dyDescent="0.35">
      <c r="A2664">
        <v>2660</v>
      </c>
      <c r="B2664">
        <v>2661</v>
      </c>
      <c r="F2664" s="63"/>
      <c r="G2664" s="63"/>
      <c r="H2664" t="s">
        <v>78</v>
      </c>
      <c r="I2664" s="64">
        <v>0</v>
      </c>
      <c r="J2664" s="31"/>
      <c r="K2664" s="31"/>
      <c r="L2664" s="31"/>
      <c r="M2664" s="31"/>
      <c r="N2664" s="4"/>
      <c r="AG2664" t="s">
        <v>2375</v>
      </c>
      <c r="AM2664" s="1"/>
    </row>
    <row r="2665" spans="1:39" x14ac:dyDescent="0.35">
      <c r="A2665">
        <v>2661</v>
      </c>
      <c r="B2665">
        <v>2662</v>
      </c>
      <c r="F2665" s="63"/>
      <c r="G2665" s="63"/>
      <c r="H2665" t="s">
        <v>78</v>
      </c>
      <c r="I2665" s="64">
        <v>0</v>
      </c>
      <c r="J2665" s="31"/>
      <c r="K2665" s="31"/>
      <c r="L2665" s="31"/>
      <c r="M2665" s="31"/>
      <c r="N2665" s="4"/>
      <c r="AG2665" t="s">
        <v>2376</v>
      </c>
      <c r="AM2665" s="1"/>
    </row>
    <row r="2666" spans="1:39" x14ac:dyDescent="0.35">
      <c r="A2666">
        <v>2662</v>
      </c>
      <c r="B2666">
        <v>2663</v>
      </c>
      <c r="F2666" s="63"/>
      <c r="G2666" s="63"/>
      <c r="H2666" t="s">
        <v>78</v>
      </c>
      <c r="I2666" s="64">
        <v>0</v>
      </c>
      <c r="J2666" s="31"/>
      <c r="K2666" s="31"/>
      <c r="L2666" s="31"/>
      <c r="M2666" s="31"/>
      <c r="N2666" s="4"/>
      <c r="AG2666" t="s">
        <v>2377</v>
      </c>
      <c r="AM2666" s="1"/>
    </row>
    <row r="2667" spans="1:39" x14ac:dyDescent="0.35">
      <c r="A2667">
        <v>2663</v>
      </c>
      <c r="B2667">
        <v>2664</v>
      </c>
      <c r="F2667" s="63"/>
      <c r="G2667" s="63"/>
      <c r="H2667" t="s">
        <v>78</v>
      </c>
      <c r="I2667" s="64">
        <v>0</v>
      </c>
      <c r="J2667" s="31"/>
      <c r="K2667" s="31"/>
      <c r="L2667" s="31"/>
      <c r="M2667" s="31"/>
      <c r="N2667" s="4"/>
      <c r="AG2667" t="s">
        <v>2378</v>
      </c>
      <c r="AM2667" s="1"/>
    </row>
    <row r="2668" spans="1:39" x14ac:dyDescent="0.35">
      <c r="A2668">
        <v>2664</v>
      </c>
      <c r="B2668">
        <v>2665</v>
      </c>
      <c r="F2668" s="63"/>
      <c r="G2668" s="63"/>
      <c r="H2668" t="s">
        <v>78</v>
      </c>
      <c r="I2668" s="64">
        <v>0</v>
      </c>
      <c r="J2668" s="31"/>
      <c r="K2668" s="31"/>
      <c r="L2668" s="31"/>
      <c r="M2668" s="31"/>
      <c r="N2668" s="4"/>
      <c r="AG2668" t="s">
        <v>2379</v>
      </c>
      <c r="AM2668" s="1"/>
    </row>
    <row r="2669" spans="1:39" x14ac:dyDescent="0.35">
      <c r="A2669">
        <v>2665</v>
      </c>
      <c r="B2669">
        <v>2666</v>
      </c>
      <c r="F2669" s="63"/>
      <c r="G2669" s="63"/>
      <c r="H2669" t="s">
        <v>78</v>
      </c>
      <c r="I2669" s="64">
        <v>0</v>
      </c>
      <c r="J2669" s="31"/>
      <c r="K2669" s="31"/>
      <c r="L2669" s="31"/>
      <c r="M2669" s="31"/>
      <c r="N2669" s="4"/>
      <c r="AG2669" t="s">
        <v>2380</v>
      </c>
      <c r="AM2669" s="1"/>
    </row>
    <row r="2670" spans="1:39" x14ac:dyDescent="0.35">
      <c r="A2670">
        <v>2666</v>
      </c>
      <c r="B2670">
        <v>2667</v>
      </c>
      <c r="F2670" s="63"/>
      <c r="G2670" s="63"/>
      <c r="H2670" t="s">
        <v>78</v>
      </c>
      <c r="I2670" s="64">
        <v>0</v>
      </c>
      <c r="J2670" s="31"/>
      <c r="K2670" s="31"/>
      <c r="L2670" s="31"/>
      <c r="M2670" s="31"/>
      <c r="N2670" s="4"/>
      <c r="AG2670" t="s">
        <v>2381</v>
      </c>
      <c r="AM2670" s="1"/>
    </row>
    <row r="2671" spans="1:39" x14ac:dyDescent="0.35">
      <c r="A2671">
        <v>2667</v>
      </c>
      <c r="B2671">
        <v>2668</v>
      </c>
      <c r="F2671" s="63"/>
      <c r="G2671" s="63"/>
      <c r="H2671" t="s">
        <v>78</v>
      </c>
      <c r="I2671" s="64">
        <v>0</v>
      </c>
      <c r="J2671" s="31"/>
      <c r="K2671" s="31"/>
      <c r="L2671" s="31"/>
      <c r="M2671" s="31"/>
      <c r="N2671" s="4"/>
      <c r="AG2671" t="s">
        <v>2382</v>
      </c>
      <c r="AM2671" s="1"/>
    </row>
    <row r="2672" spans="1:39" x14ac:dyDescent="0.35">
      <c r="A2672">
        <v>2668</v>
      </c>
      <c r="B2672">
        <v>2669</v>
      </c>
      <c r="F2672" s="63"/>
      <c r="G2672" s="63"/>
      <c r="H2672" t="s">
        <v>78</v>
      </c>
      <c r="I2672" s="64">
        <v>0</v>
      </c>
      <c r="J2672" s="31"/>
      <c r="K2672" s="31"/>
      <c r="L2672" s="31"/>
      <c r="M2672" s="31"/>
      <c r="N2672" s="4"/>
      <c r="AG2672" t="s">
        <v>2383</v>
      </c>
      <c r="AM2672" s="1"/>
    </row>
    <row r="2673" spans="1:39" x14ac:dyDescent="0.35">
      <c r="A2673">
        <v>2669</v>
      </c>
      <c r="B2673">
        <v>2670</v>
      </c>
      <c r="F2673" s="63"/>
      <c r="G2673" s="63"/>
      <c r="H2673" t="s">
        <v>78</v>
      </c>
      <c r="I2673" s="64">
        <v>0</v>
      </c>
      <c r="J2673" s="31"/>
      <c r="K2673" s="31"/>
      <c r="L2673" s="31"/>
      <c r="M2673" s="31"/>
      <c r="N2673" s="4"/>
      <c r="AG2673" t="s">
        <v>2384</v>
      </c>
      <c r="AM2673" s="1"/>
    </row>
    <row r="2674" spans="1:39" x14ac:dyDescent="0.35">
      <c r="A2674">
        <v>2670</v>
      </c>
      <c r="B2674">
        <v>2671</v>
      </c>
      <c r="F2674" s="63"/>
      <c r="G2674" s="63"/>
      <c r="H2674" t="s">
        <v>78</v>
      </c>
      <c r="I2674" s="64">
        <v>0</v>
      </c>
      <c r="J2674" s="31"/>
      <c r="K2674" s="31"/>
      <c r="L2674" s="31"/>
      <c r="M2674" s="31"/>
      <c r="N2674" s="4"/>
      <c r="AG2674" t="s">
        <v>2385</v>
      </c>
      <c r="AM2674" s="1"/>
    </row>
    <row r="2675" spans="1:39" x14ac:dyDescent="0.35">
      <c r="A2675">
        <v>2671</v>
      </c>
      <c r="B2675">
        <v>2672</v>
      </c>
      <c r="F2675" s="63"/>
      <c r="G2675" s="63"/>
      <c r="H2675" t="s">
        <v>78</v>
      </c>
      <c r="I2675" s="64">
        <v>0</v>
      </c>
      <c r="J2675" s="31"/>
      <c r="K2675" s="31"/>
      <c r="L2675" s="31"/>
      <c r="M2675" s="31"/>
      <c r="N2675" s="4"/>
      <c r="AG2675" t="s">
        <v>2386</v>
      </c>
      <c r="AM2675" s="1"/>
    </row>
    <row r="2676" spans="1:39" x14ac:dyDescent="0.35">
      <c r="A2676">
        <v>2672</v>
      </c>
      <c r="B2676">
        <v>2673</v>
      </c>
      <c r="F2676" s="63"/>
      <c r="G2676" s="63"/>
      <c r="H2676" t="s">
        <v>78</v>
      </c>
      <c r="I2676" s="64">
        <v>0</v>
      </c>
      <c r="J2676" s="31"/>
      <c r="K2676" s="31"/>
      <c r="L2676" s="31"/>
      <c r="M2676" s="31"/>
      <c r="N2676" s="4"/>
      <c r="AG2676" t="s">
        <v>2387</v>
      </c>
      <c r="AM2676" s="1"/>
    </row>
    <row r="2677" spans="1:39" x14ac:dyDescent="0.35">
      <c r="A2677">
        <v>2673</v>
      </c>
      <c r="B2677">
        <v>2674</v>
      </c>
      <c r="F2677" s="63"/>
      <c r="G2677" s="63"/>
      <c r="H2677" t="s">
        <v>78</v>
      </c>
      <c r="I2677" s="64">
        <v>0</v>
      </c>
      <c r="J2677" s="31"/>
      <c r="K2677" s="31"/>
      <c r="L2677" s="31"/>
      <c r="M2677" s="31"/>
      <c r="N2677" s="4"/>
      <c r="AG2677" t="s">
        <v>2388</v>
      </c>
      <c r="AM2677" s="1"/>
    </row>
    <row r="2678" spans="1:39" x14ac:dyDescent="0.35">
      <c r="A2678">
        <v>2674</v>
      </c>
      <c r="B2678">
        <v>2675</v>
      </c>
      <c r="F2678" s="63"/>
      <c r="G2678" s="63"/>
      <c r="H2678" t="s">
        <v>78</v>
      </c>
      <c r="I2678" s="64">
        <v>0</v>
      </c>
      <c r="J2678" s="31"/>
      <c r="K2678" s="31"/>
      <c r="L2678" s="31"/>
      <c r="M2678" s="31"/>
      <c r="N2678" s="4"/>
      <c r="AG2678" t="s">
        <v>2389</v>
      </c>
      <c r="AM2678" s="1"/>
    </row>
    <row r="2679" spans="1:39" x14ac:dyDescent="0.35">
      <c r="A2679">
        <v>2675</v>
      </c>
      <c r="B2679">
        <v>2676</v>
      </c>
      <c r="F2679" s="63"/>
      <c r="G2679" s="63"/>
      <c r="H2679" t="s">
        <v>78</v>
      </c>
      <c r="I2679" s="64">
        <v>0</v>
      </c>
      <c r="J2679" s="31"/>
      <c r="K2679" s="31"/>
      <c r="L2679" s="31"/>
      <c r="M2679" s="31"/>
      <c r="N2679" s="4"/>
      <c r="AG2679" t="s">
        <v>2390</v>
      </c>
      <c r="AM2679" s="1"/>
    </row>
    <row r="2680" spans="1:39" x14ac:dyDescent="0.35">
      <c r="A2680">
        <v>2676</v>
      </c>
      <c r="B2680">
        <v>2677</v>
      </c>
      <c r="F2680" s="63"/>
      <c r="G2680" s="63"/>
      <c r="H2680" t="s">
        <v>78</v>
      </c>
      <c r="I2680" s="64">
        <v>0</v>
      </c>
      <c r="J2680" s="31"/>
      <c r="K2680" s="31"/>
      <c r="L2680" s="31"/>
      <c r="M2680" s="31"/>
      <c r="N2680" s="4"/>
      <c r="AG2680" t="s">
        <v>2391</v>
      </c>
      <c r="AM2680" s="1"/>
    </row>
    <row r="2681" spans="1:39" x14ac:dyDescent="0.35">
      <c r="A2681">
        <v>2677</v>
      </c>
      <c r="B2681">
        <v>2678</v>
      </c>
      <c r="F2681" s="63"/>
      <c r="G2681" s="63"/>
      <c r="H2681" t="s">
        <v>78</v>
      </c>
      <c r="I2681" s="64">
        <v>0</v>
      </c>
      <c r="J2681" s="31"/>
      <c r="K2681" s="31"/>
      <c r="L2681" s="31"/>
      <c r="M2681" s="31"/>
      <c r="N2681" s="4"/>
      <c r="AG2681" t="s">
        <v>2392</v>
      </c>
      <c r="AM2681" s="1"/>
    </row>
    <row r="2682" spans="1:39" x14ac:dyDescent="0.35">
      <c r="A2682">
        <v>2678</v>
      </c>
      <c r="B2682">
        <v>2679</v>
      </c>
      <c r="F2682" s="63"/>
      <c r="G2682" s="63"/>
      <c r="H2682" t="s">
        <v>78</v>
      </c>
      <c r="I2682" s="64">
        <v>0</v>
      </c>
      <c r="J2682" s="31"/>
      <c r="K2682" s="31"/>
      <c r="L2682" s="31"/>
      <c r="M2682" s="31"/>
      <c r="N2682" s="4"/>
      <c r="AG2682" t="s">
        <v>2393</v>
      </c>
      <c r="AM2682" s="1"/>
    </row>
    <row r="2683" spans="1:39" x14ac:dyDescent="0.35">
      <c r="A2683">
        <v>2679</v>
      </c>
      <c r="B2683">
        <v>2680</v>
      </c>
      <c r="F2683" s="63"/>
      <c r="G2683" s="63"/>
      <c r="H2683" t="s">
        <v>78</v>
      </c>
      <c r="I2683" s="64">
        <v>0</v>
      </c>
      <c r="J2683" s="31"/>
      <c r="K2683" s="31"/>
      <c r="L2683" s="31"/>
      <c r="M2683" s="31"/>
      <c r="N2683" s="4"/>
      <c r="AG2683" t="s">
        <v>2394</v>
      </c>
      <c r="AM2683" s="1"/>
    </row>
    <row r="2684" spans="1:39" x14ac:dyDescent="0.35">
      <c r="A2684">
        <v>2680</v>
      </c>
      <c r="B2684">
        <v>2681</v>
      </c>
      <c r="F2684" s="63"/>
      <c r="G2684" s="63"/>
      <c r="H2684" t="s">
        <v>78</v>
      </c>
      <c r="I2684" s="64">
        <v>0</v>
      </c>
      <c r="J2684" s="31"/>
      <c r="K2684" s="31"/>
      <c r="L2684" s="31"/>
      <c r="M2684" s="31"/>
      <c r="N2684" s="4"/>
      <c r="AG2684" t="s">
        <v>2395</v>
      </c>
      <c r="AM2684" s="1"/>
    </row>
    <row r="2685" spans="1:39" x14ac:dyDescent="0.35">
      <c r="A2685">
        <v>2681</v>
      </c>
      <c r="B2685">
        <v>2682</v>
      </c>
      <c r="F2685" s="63"/>
      <c r="G2685" s="63"/>
      <c r="H2685" t="s">
        <v>78</v>
      </c>
      <c r="I2685" s="64">
        <v>0</v>
      </c>
      <c r="J2685" s="31"/>
      <c r="K2685" s="31"/>
      <c r="L2685" s="31"/>
      <c r="M2685" s="31"/>
      <c r="N2685" s="4"/>
      <c r="AG2685" t="s">
        <v>2396</v>
      </c>
      <c r="AM2685" s="1"/>
    </row>
    <row r="2686" spans="1:39" x14ac:dyDescent="0.35">
      <c r="A2686">
        <v>2682</v>
      </c>
      <c r="B2686">
        <v>2683</v>
      </c>
      <c r="F2686" s="63"/>
      <c r="G2686" s="63"/>
      <c r="H2686" t="s">
        <v>78</v>
      </c>
      <c r="I2686" s="64">
        <v>0</v>
      </c>
      <c r="J2686" s="31"/>
      <c r="K2686" s="31"/>
      <c r="L2686" s="31"/>
      <c r="M2686" s="31"/>
      <c r="N2686" s="4"/>
      <c r="AG2686" t="s">
        <v>2397</v>
      </c>
      <c r="AM2686" s="1"/>
    </row>
    <row r="2687" spans="1:39" x14ac:dyDescent="0.35">
      <c r="A2687">
        <v>2683</v>
      </c>
      <c r="B2687">
        <v>2684</v>
      </c>
      <c r="F2687" s="63"/>
      <c r="G2687" s="63"/>
      <c r="H2687" t="s">
        <v>78</v>
      </c>
      <c r="I2687" s="64">
        <v>0</v>
      </c>
      <c r="J2687" s="31"/>
      <c r="K2687" s="31"/>
      <c r="L2687" s="31"/>
      <c r="M2687" s="31"/>
      <c r="N2687" s="4"/>
      <c r="AG2687" t="s">
        <v>2398</v>
      </c>
      <c r="AM2687" s="1"/>
    </row>
    <row r="2688" spans="1:39" x14ac:dyDescent="0.35">
      <c r="A2688">
        <v>2684</v>
      </c>
      <c r="B2688">
        <v>2685</v>
      </c>
      <c r="F2688" s="63"/>
      <c r="G2688" s="63"/>
      <c r="H2688" t="s">
        <v>78</v>
      </c>
      <c r="I2688" s="64">
        <v>0</v>
      </c>
      <c r="J2688" s="31"/>
      <c r="K2688" s="31"/>
      <c r="L2688" s="31"/>
      <c r="M2688" s="31"/>
      <c r="N2688" s="4"/>
      <c r="AG2688" t="s">
        <v>2399</v>
      </c>
      <c r="AM2688" s="1"/>
    </row>
    <row r="2689" spans="1:39" x14ac:dyDescent="0.35">
      <c r="A2689">
        <v>2685</v>
      </c>
      <c r="B2689">
        <v>2686</v>
      </c>
      <c r="F2689" s="63"/>
      <c r="G2689" s="63"/>
      <c r="H2689" t="s">
        <v>78</v>
      </c>
      <c r="I2689" s="64">
        <v>0</v>
      </c>
      <c r="J2689" s="31"/>
      <c r="K2689" s="31"/>
      <c r="L2689" s="31"/>
      <c r="M2689" s="31"/>
      <c r="N2689" s="4"/>
      <c r="AG2689" t="s">
        <v>2400</v>
      </c>
      <c r="AM2689" s="1"/>
    </row>
    <row r="2690" spans="1:39" x14ac:dyDescent="0.35">
      <c r="A2690">
        <v>2686</v>
      </c>
      <c r="B2690">
        <v>2687</v>
      </c>
      <c r="F2690" s="63"/>
      <c r="G2690" s="63"/>
      <c r="H2690" t="s">
        <v>78</v>
      </c>
      <c r="I2690" s="64">
        <v>0</v>
      </c>
      <c r="J2690" s="31"/>
      <c r="K2690" s="31"/>
      <c r="L2690" s="31"/>
      <c r="M2690" s="31"/>
      <c r="N2690" s="4"/>
      <c r="AG2690" t="s">
        <v>2401</v>
      </c>
      <c r="AM2690" s="1"/>
    </row>
    <row r="2691" spans="1:39" x14ac:dyDescent="0.35">
      <c r="A2691">
        <v>2687</v>
      </c>
      <c r="B2691">
        <v>2688</v>
      </c>
      <c r="F2691" s="63"/>
      <c r="G2691" s="63"/>
      <c r="H2691" t="s">
        <v>78</v>
      </c>
      <c r="I2691" s="64">
        <v>0</v>
      </c>
      <c r="J2691" s="31"/>
      <c r="K2691" s="31"/>
      <c r="L2691" s="31"/>
      <c r="M2691" s="31"/>
      <c r="N2691" s="4"/>
      <c r="AG2691" t="s">
        <v>2402</v>
      </c>
      <c r="AM2691" s="1"/>
    </row>
    <row r="2692" spans="1:39" x14ac:dyDescent="0.35">
      <c r="A2692">
        <v>2688</v>
      </c>
      <c r="B2692">
        <v>2689</v>
      </c>
      <c r="F2692" s="63"/>
      <c r="G2692" s="63"/>
      <c r="H2692" t="s">
        <v>78</v>
      </c>
      <c r="I2692" s="64">
        <v>0</v>
      </c>
      <c r="J2692" s="31"/>
      <c r="K2692" s="31"/>
      <c r="L2692" s="31"/>
      <c r="M2692" s="31"/>
      <c r="N2692" s="4"/>
      <c r="AG2692" t="s">
        <v>2403</v>
      </c>
      <c r="AM2692" s="1"/>
    </row>
    <row r="2693" spans="1:39" x14ac:dyDescent="0.35">
      <c r="A2693">
        <v>2689</v>
      </c>
      <c r="B2693">
        <v>2690</v>
      </c>
      <c r="F2693" s="63"/>
      <c r="G2693" s="63"/>
      <c r="H2693" t="s">
        <v>78</v>
      </c>
      <c r="I2693" s="64">
        <v>0</v>
      </c>
      <c r="J2693" s="31"/>
      <c r="K2693" s="31"/>
      <c r="L2693" s="31"/>
      <c r="M2693" s="31"/>
      <c r="N2693" s="4"/>
      <c r="AG2693" t="s">
        <v>2404</v>
      </c>
      <c r="AM2693" s="1"/>
    </row>
    <row r="2694" spans="1:39" x14ac:dyDescent="0.35">
      <c r="A2694">
        <v>2690</v>
      </c>
      <c r="B2694">
        <v>2691</v>
      </c>
      <c r="F2694" s="63"/>
      <c r="G2694" s="63"/>
      <c r="H2694" t="s">
        <v>78</v>
      </c>
      <c r="I2694" s="64">
        <v>0</v>
      </c>
      <c r="J2694" s="31"/>
      <c r="K2694" s="31"/>
      <c r="L2694" s="31"/>
      <c r="M2694" s="31"/>
      <c r="N2694" s="4"/>
      <c r="AG2694" t="s">
        <v>2405</v>
      </c>
      <c r="AM2694" s="1"/>
    </row>
    <row r="2695" spans="1:39" x14ac:dyDescent="0.35">
      <c r="A2695">
        <v>2691</v>
      </c>
      <c r="B2695">
        <v>2692</v>
      </c>
      <c r="F2695" s="63"/>
      <c r="G2695" s="63"/>
      <c r="H2695" t="s">
        <v>78</v>
      </c>
      <c r="I2695" s="64">
        <v>0</v>
      </c>
      <c r="J2695" s="31"/>
      <c r="K2695" s="31"/>
      <c r="L2695" s="31"/>
      <c r="M2695" s="31"/>
      <c r="N2695" s="4"/>
      <c r="AG2695" t="s">
        <v>2406</v>
      </c>
      <c r="AM2695" s="1"/>
    </row>
    <row r="2696" spans="1:39" x14ac:dyDescent="0.35">
      <c r="A2696">
        <v>2692</v>
      </c>
      <c r="B2696">
        <v>2693</v>
      </c>
      <c r="F2696" s="63"/>
      <c r="G2696" s="63"/>
      <c r="H2696" t="s">
        <v>78</v>
      </c>
      <c r="I2696" s="64">
        <v>0</v>
      </c>
      <c r="J2696" s="31"/>
      <c r="K2696" s="31"/>
      <c r="L2696" s="31"/>
      <c r="M2696" s="31"/>
      <c r="N2696" s="4"/>
      <c r="AG2696" t="s">
        <v>2407</v>
      </c>
      <c r="AM2696" s="1"/>
    </row>
    <row r="2697" spans="1:39" x14ac:dyDescent="0.35">
      <c r="A2697">
        <v>2693</v>
      </c>
      <c r="B2697">
        <v>2694</v>
      </c>
      <c r="F2697" s="63"/>
      <c r="G2697" s="63"/>
      <c r="H2697" t="s">
        <v>78</v>
      </c>
      <c r="I2697" s="64">
        <v>0</v>
      </c>
      <c r="J2697" s="31"/>
      <c r="K2697" s="31"/>
      <c r="L2697" s="31"/>
      <c r="M2697" s="31"/>
      <c r="N2697" s="4"/>
      <c r="AG2697" t="s">
        <v>2408</v>
      </c>
      <c r="AM2697" s="1"/>
    </row>
    <row r="2698" spans="1:39" x14ac:dyDescent="0.35">
      <c r="A2698">
        <v>2694</v>
      </c>
      <c r="B2698">
        <v>2695</v>
      </c>
      <c r="F2698" s="63"/>
      <c r="G2698" s="63"/>
      <c r="H2698" t="s">
        <v>78</v>
      </c>
      <c r="I2698" s="64">
        <v>0</v>
      </c>
      <c r="J2698" s="31"/>
      <c r="K2698" s="31"/>
      <c r="L2698" s="31"/>
      <c r="M2698" s="31"/>
      <c r="N2698" s="4"/>
      <c r="AG2698" t="s">
        <v>2409</v>
      </c>
      <c r="AM2698" s="1"/>
    </row>
    <row r="2699" spans="1:39" x14ac:dyDescent="0.35">
      <c r="A2699">
        <v>2695</v>
      </c>
      <c r="B2699">
        <v>2696</v>
      </c>
      <c r="F2699" s="63"/>
      <c r="G2699" s="63"/>
      <c r="H2699" t="s">
        <v>78</v>
      </c>
      <c r="I2699" s="64">
        <v>0</v>
      </c>
      <c r="J2699" s="31"/>
      <c r="K2699" s="31"/>
      <c r="L2699" s="31"/>
      <c r="M2699" s="31"/>
      <c r="N2699" s="4"/>
      <c r="AG2699" t="s">
        <v>2410</v>
      </c>
      <c r="AM2699" s="1"/>
    </row>
    <row r="2700" spans="1:39" x14ac:dyDescent="0.35">
      <c r="A2700">
        <v>2696</v>
      </c>
      <c r="B2700">
        <v>2697</v>
      </c>
      <c r="F2700" s="63"/>
      <c r="G2700" s="63"/>
      <c r="H2700" t="s">
        <v>78</v>
      </c>
      <c r="I2700" s="64">
        <v>0</v>
      </c>
      <c r="J2700" s="31"/>
      <c r="K2700" s="31"/>
      <c r="L2700" s="31"/>
      <c r="M2700" s="31"/>
      <c r="N2700" s="4"/>
      <c r="AG2700" t="s">
        <v>2411</v>
      </c>
      <c r="AM2700" s="1"/>
    </row>
    <row r="2701" spans="1:39" x14ac:dyDescent="0.35">
      <c r="A2701">
        <v>2697</v>
      </c>
      <c r="B2701">
        <v>2698</v>
      </c>
      <c r="F2701" s="63"/>
      <c r="G2701" s="63"/>
      <c r="H2701" t="s">
        <v>78</v>
      </c>
      <c r="I2701" s="64">
        <v>0</v>
      </c>
      <c r="J2701" s="31"/>
      <c r="K2701" s="31"/>
      <c r="L2701" s="31"/>
      <c r="M2701" s="31"/>
      <c r="N2701" s="4"/>
      <c r="AG2701" t="s">
        <v>2412</v>
      </c>
      <c r="AM2701" s="1"/>
    </row>
    <row r="2702" spans="1:39" x14ac:dyDescent="0.35">
      <c r="A2702">
        <v>2698</v>
      </c>
      <c r="B2702">
        <v>2699</v>
      </c>
      <c r="F2702" s="63"/>
      <c r="G2702" s="63"/>
      <c r="H2702" t="s">
        <v>78</v>
      </c>
      <c r="I2702" s="64">
        <v>0</v>
      </c>
      <c r="J2702" s="31"/>
      <c r="K2702" s="31"/>
      <c r="L2702" s="31"/>
      <c r="M2702" s="31"/>
      <c r="N2702" s="4"/>
      <c r="AG2702" t="s">
        <v>2413</v>
      </c>
      <c r="AM2702" s="1"/>
    </row>
    <row r="2703" spans="1:39" x14ac:dyDescent="0.35">
      <c r="A2703">
        <v>2699</v>
      </c>
      <c r="B2703">
        <v>2700</v>
      </c>
      <c r="F2703" s="63"/>
      <c r="G2703" s="63"/>
      <c r="H2703" t="s">
        <v>78</v>
      </c>
      <c r="I2703" s="64">
        <v>0</v>
      </c>
      <c r="J2703" s="31"/>
      <c r="K2703" s="31"/>
      <c r="L2703" s="31"/>
      <c r="M2703" s="31"/>
      <c r="N2703" s="4"/>
      <c r="AG2703" t="s">
        <v>2414</v>
      </c>
      <c r="AM2703" s="1"/>
    </row>
    <row r="2704" spans="1:39" x14ac:dyDescent="0.35">
      <c r="A2704">
        <v>2700</v>
      </c>
      <c r="B2704">
        <v>2701</v>
      </c>
      <c r="F2704" s="63"/>
      <c r="G2704" s="63"/>
      <c r="H2704" t="s">
        <v>78</v>
      </c>
      <c r="I2704" s="64">
        <v>0</v>
      </c>
      <c r="J2704" s="31"/>
      <c r="K2704" s="31"/>
      <c r="L2704" s="31"/>
      <c r="M2704" s="31"/>
      <c r="N2704" s="4"/>
      <c r="AG2704" t="s">
        <v>2415</v>
      </c>
      <c r="AM2704" s="1"/>
    </row>
    <row r="2705" spans="1:39" x14ac:dyDescent="0.35">
      <c r="A2705">
        <v>2701</v>
      </c>
      <c r="B2705">
        <v>2702</v>
      </c>
      <c r="F2705" s="63"/>
      <c r="G2705" s="63"/>
      <c r="H2705" t="s">
        <v>78</v>
      </c>
      <c r="I2705" s="64">
        <v>0</v>
      </c>
      <c r="J2705" s="31"/>
      <c r="K2705" s="31"/>
      <c r="L2705" s="31"/>
      <c r="M2705" s="31"/>
      <c r="N2705" s="4"/>
      <c r="AG2705" t="s">
        <v>2416</v>
      </c>
      <c r="AM2705" s="1"/>
    </row>
    <row r="2706" spans="1:39" x14ac:dyDescent="0.35">
      <c r="A2706">
        <v>2702</v>
      </c>
      <c r="B2706">
        <v>2703</v>
      </c>
      <c r="F2706" s="63"/>
      <c r="G2706" s="63"/>
      <c r="H2706" t="s">
        <v>78</v>
      </c>
      <c r="I2706" s="64">
        <v>0</v>
      </c>
      <c r="J2706" s="31"/>
      <c r="K2706" s="31"/>
      <c r="L2706" s="31"/>
      <c r="M2706" s="31"/>
      <c r="N2706" s="4"/>
      <c r="AG2706" t="s">
        <v>2417</v>
      </c>
      <c r="AM2706" s="1"/>
    </row>
    <row r="2707" spans="1:39" x14ac:dyDescent="0.35">
      <c r="A2707">
        <v>2703</v>
      </c>
      <c r="B2707">
        <v>2704</v>
      </c>
      <c r="F2707" s="63"/>
      <c r="G2707" s="63"/>
      <c r="H2707" t="s">
        <v>78</v>
      </c>
      <c r="I2707" s="64">
        <v>0</v>
      </c>
      <c r="J2707" s="31"/>
      <c r="K2707" s="31"/>
      <c r="L2707" s="31"/>
      <c r="M2707" s="31"/>
      <c r="N2707" s="4"/>
      <c r="AG2707" t="s">
        <v>2418</v>
      </c>
      <c r="AM2707" s="1"/>
    </row>
    <row r="2708" spans="1:39" x14ac:dyDescent="0.35">
      <c r="A2708">
        <v>2704</v>
      </c>
      <c r="B2708">
        <v>2705</v>
      </c>
      <c r="F2708" s="63"/>
      <c r="G2708" s="63"/>
      <c r="H2708" t="s">
        <v>78</v>
      </c>
      <c r="I2708" s="64">
        <v>0</v>
      </c>
      <c r="J2708" s="31"/>
      <c r="K2708" s="31"/>
      <c r="L2708" s="31"/>
      <c r="M2708" s="31"/>
      <c r="N2708" s="4"/>
      <c r="AG2708" t="s">
        <v>2419</v>
      </c>
      <c r="AM2708" s="1"/>
    </row>
    <row r="2709" spans="1:39" x14ac:dyDescent="0.35">
      <c r="A2709">
        <v>2705</v>
      </c>
      <c r="B2709">
        <v>2706</v>
      </c>
      <c r="F2709" s="63"/>
      <c r="G2709" s="63"/>
      <c r="H2709" t="s">
        <v>78</v>
      </c>
      <c r="I2709" s="64">
        <v>0</v>
      </c>
      <c r="J2709" s="31"/>
      <c r="K2709" s="31"/>
      <c r="L2709" s="31"/>
      <c r="M2709" s="31"/>
      <c r="N2709" s="4"/>
      <c r="AG2709" t="s">
        <v>2420</v>
      </c>
      <c r="AM2709" s="1"/>
    </row>
    <row r="2710" spans="1:39" x14ac:dyDescent="0.35">
      <c r="A2710">
        <v>2706</v>
      </c>
      <c r="B2710">
        <v>2707</v>
      </c>
      <c r="F2710" s="63"/>
      <c r="G2710" s="63"/>
      <c r="H2710" t="s">
        <v>78</v>
      </c>
      <c r="I2710" s="64">
        <v>0</v>
      </c>
      <c r="J2710" s="31"/>
      <c r="K2710" s="31"/>
      <c r="L2710" s="31"/>
      <c r="M2710" s="31"/>
      <c r="N2710" s="4"/>
      <c r="AG2710" t="s">
        <v>2421</v>
      </c>
      <c r="AM2710" s="1"/>
    </row>
    <row r="2711" spans="1:39" x14ac:dyDescent="0.35">
      <c r="A2711">
        <v>2707</v>
      </c>
      <c r="B2711">
        <v>2708</v>
      </c>
      <c r="F2711" s="63"/>
      <c r="G2711" s="63"/>
      <c r="H2711" t="s">
        <v>78</v>
      </c>
      <c r="I2711" s="64">
        <v>0</v>
      </c>
      <c r="J2711" s="31"/>
      <c r="K2711" s="31"/>
      <c r="L2711" s="31"/>
      <c r="M2711" s="31"/>
      <c r="N2711" s="4"/>
      <c r="AG2711" t="s">
        <v>2422</v>
      </c>
      <c r="AM2711" s="1"/>
    </row>
    <row r="2712" spans="1:39" x14ac:dyDescent="0.35">
      <c r="A2712">
        <v>2708</v>
      </c>
      <c r="B2712">
        <v>2709</v>
      </c>
      <c r="F2712" s="63"/>
      <c r="G2712" s="63"/>
      <c r="H2712" t="s">
        <v>78</v>
      </c>
      <c r="I2712" s="64">
        <v>0</v>
      </c>
      <c r="J2712" s="31"/>
      <c r="K2712" s="31"/>
      <c r="L2712" s="31"/>
      <c r="M2712" s="31"/>
      <c r="N2712" s="4"/>
      <c r="AG2712" t="s">
        <v>2423</v>
      </c>
      <c r="AM2712" s="1"/>
    </row>
    <row r="2713" spans="1:39" x14ac:dyDescent="0.35">
      <c r="A2713">
        <v>2709</v>
      </c>
      <c r="B2713">
        <v>2710</v>
      </c>
      <c r="F2713" s="63"/>
      <c r="G2713" s="63"/>
      <c r="H2713" t="s">
        <v>78</v>
      </c>
      <c r="I2713" s="64">
        <v>0</v>
      </c>
      <c r="J2713" s="31"/>
      <c r="K2713" s="31"/>
      <c r="L2713" s="31"/>
      <c r="M2713" s="31"/>
      <c r="N2713" s="4"/>
      <c r="AG2713" t="s">
        <v>2424</v>
      </c>
      <c r="AM2713" s="1"/>
    </row>
    <row r="2714" spans="1:39" x14ac:dyDescent="0.35">
      <c r="A2714">
        <v>2710</v>
      </c>
      <c r="B2714">
        <v>2711</v>
      </c>
      <c r="F2714" s="63"/>
      <c r="G2714" s="63"/>
      <c r="H2714" t="s">
        <v>78</v>
      </c>
      <c r="I2714" s="64">
        <v>0</v>
      </c>
      <c r="J2714" s="31"/>
      <c r="K2714" s="31"/>
      <c r="L2714" s="31"/>
      <c r="M2714" s="31"/>
      <c r="N2714" s="4"/>
      <c r="AG2714" t="s">
        <v>2425</v>
      </c>
      <c r="AM2714" s="1"/>
    </row>
    <row r="2715" spans="1:39" x14ac:dyDescent="0.35">
      <c r="A2715">
        <v>2711</v>
      </c>
      <c r="B2715">
        <v>2712</v>
      </c>
      <c r="F2715" s="63"/>
      <c r="G2715" s="63"/>
      <c r="H2715" t="s">
        <v>78</v>
      </c>
      <c r="I2715" s="64">
        <v>0</v>
      </c>
      <c r="J2715" s="31"/>
      <c r="K2715" s="31"/>
      <c r="L2715" s="31"/>
      <c r="M2715" s="31"/>
      <c r="N2715" s="4"/>
      <c r="AG2715" t="s">
        <v>2426</v>
      </c>
      <c r="AM2715" s="1"/>
    </row>
    <row r="2716" spans="1:39" x14ac:dyDescent="0.35">
      <c r="A2716">
        <v>2712</v>
      </c>
      <c r="B2716">
        <v>2713</v>
      </c>
      <c r="F2716" s="63"/>
      <c r="G2716" s="63"/>
      <c r="H2716" t="s">
        <v>78</v>
      </c>
      <c r="I2716" s="64">
        <v>0</v>
      </c>
      <c r="J2716" s="31"/>
      <c r="K2716" s="31"/>
      <c r="L2716" s="31"/>
      <c r="M2716" s="31"/>
      <c r="N2716" s="4"/>
      <c r="AG2716" t="s">
        <v>2427</v>
      </c>
      <c r="AM2716" s="1"/>
    </row>
    <row r="2717" spans="1:39" x14ac:dyDescent="0.35">
      <c r="A2717">
        <v>2713</v>
      </c>
      <c r="B2717">
        <v>2714</v>
      </c>
      <c r="F2717" s="63"/>
      <c r="G2717" s="63"/>
      <c r="H2717" t="s">
        <v>78</v>
      </c>
      <c r="I2717" s="64">
        <v>0</v>
      </c>
      <c r="J2717" s="31"/>
      <c r="K2717" s="31"/>
      <c r="L2717" s="31"/>
      <c r="M2717" s="31"/>
      <c r="N2717" s="4"/>
      <c r="AG2717" t="s">
        <v>2428</v>
      </c>
      <c r="AM2717" s="1"/>
    </row>
    <row r="2718" spans="1:39" x14ac:dyDescent="0.35">
      <c r="A2718">
        <v>2714</v>
      </c>
      <c r="B2718">
        <v>2715</v>
      </c>
      <c r="F2718" s="63"/>
      <c r="G2718" s="63"/>
      <c r="H2718" t="s">
        <v>78</v>
      </c>
      <c r="I2718" s="64">
        <v>0</v>
      </c>
      <c r="J2718" s="31"/>
      <c r="K2718" s="31"/>
      <c r="L2718" s="31"/>
      <c r="M2718" s="31"/>
      <c r="N2718" s="4"/>
      <c r="AG2718" t="s">
        <v>2429</v>
      </c>
      <c r="AM2718" s="1"/>
    </row>
    <row r="2719" spans="1:39" x14ac:dyDescent="0.35">
      <c r="A2719">
        <v>2715</v>
      </c>
      <c r="B2719">
        <v>2716</v>
      </c>
      <c r="F2719" s="63"/>
      <c r="G2719" s="63"/>
      <c r="H2719" t="s">
        <v>78</v>
      </c>
      <c r="I2719" s="64">
        <v>0</v>
      </c>
      <c r="J2719" s="31"/>
      <c r="K2719" s="31"/>
      <c r="L2719" s="31"/>
      <c r="M2719" s="31"/>
      <c r="N2719" s="4"/>
      <c r="AG2719" t="s">
        <v>2430</v>
      </c>
      <c r="AM2719" s="1"/>
    </row>
    <row r="2720" spans="1:39" x14ac:dyDescent="0.35">
      <c r="A2720">
        <v>2716</v>
      </c>
      <c r="B2720">
        <v>2717</v>
      </c>
      <c r="F2720" s="63"/>
      <c r="G2720" s="63"/>
      <c r="H2720" t="s">
        <v>78</v>
      </c>
      <c r="I2720" s="64">
        <v>0</v>
      </c>
      <c r="J2720" s="31"/>
      <c r="K2720" s="31"/>
      <c r="L2720" s="31"/>
      <c r="M2720" s="31"/>
      <c r="N2720" s="4"/>
      <c r="AG2720" t="s">
        <v>2431</v>
      </c>
      <c r="AM2720" s="1"/>
    </row>
    <row r="2721" spans="1:39" x14ac:dyDescent="0.35">
      <c r="A2721">
        <v>2717</v>
      </c>
      <c r="B2721">
        <v>2718</v>
      </c>
      <c r="F2721" s="63"/>
      <c r="G2721" s="63"/>
      <c r="H2721" t="s">
        <v>78</v>
      </c>
      <c r="I2721" s="64">
        <v>0</v>
      </c>
      <c r="J2721" s="31"/>
      <c r="K2721" s="31"/>
      <c r="L2721" s="31"/>
      <c r="M2721" s="31"/>
      <c r="N2721" s="4"/>
      <c r="AG2721" t="s">
        <v>2432</v>
      </c>
      <c r="AM2721" s="1"/>
    </row>
    <row r="2722" spans="1:39" x14ac:dyDescent="0.35">
      <c r="A2722">
        <v>2718</v>
      </c>
      <c r="B2722">
        <v>2719</v>
      </c>
      <c r="F2722" s="63"/>
      <c r="G2722" s="63"/>
      <c r="H2722" t="s">
        <v>78</v>
      </c>
      <c r="I2722" s="64">
        <v>0</v>
      </c>
      <c r="J2722" s="31"/>
      <c r="K2722" s="31"/>
      <c r="L2722" s="31"/>
      <c r="M2722" s="31"/>
      <c r="N2722" s="4"/>
      <c r="AG2722" t="s">
        <v>2433</v>
      </c>
      <c r="AM2722" s="1"/>
    </row>
    <row r="2723" spans="1:39" x14ac:dyDescent="0.35">
      <c r="A2723">
        <v>2719</v>
      </c>
      <c r="B2723">
        <v>2720</v>
      </c>
      <c r="F2723" s="63"/>
      <c r="G2723" s="63"/>
      <c r="H2723" t="s">
        <v>78</v>
      </c>
      <c r="I2723" s="64">
        <v>0</v>
      </c>
      <c r="J2723" s="31"/>
      <c r="K2723" s="31"/>
      <c r="L2723" s="31"/>
      <c r="M2723" s="31"/>
      <c r="N2723" s="4"/>
      <c r="AG2723" t="s">
        <v>2434</v>
      </c>
      <c r="AM2723" s="1"/>
    </row>
    <row r="2724" spans="1:39" x14ac:dyDescent="0.35">
      <c r="A2724">
        <v>2720</v>
      </c>
      <c r="B2724">
        <v>2721</v>
      </c>
      <c r="F2724" s="63"/>
      <c r="G2724" s="63"/>
      <c r="H2724" t="s">
        <v>78</v>
      </c>
      <c r="I2724" s="64">
        <v>0</v>
      </c>
      <c r="J2724" s="31"/>
      <c r="K2724" s="31"/>
      <c r="L2724" s="31"/>
      <c r="M2724" s="31"/>
      <c r="N2724" s="4"/>
      <c r="AG2724" t="s">
        <v>2435</v>
      </c>
      <c r="AM2724" s="1"/>
    </row>
    <row r="2725" spans="1:39" x14ac:dyDescent="0.35">
      <c r="A2725">
        <v>2721</v>
      </c>
      <c r="B2725">
        <v>2722</v>
      </c>
      <c r="F2725" s="63"/>
      <c r="G2725" s="63"/>
      <c r="H2725" t="s">
        <v>78</v>
      </c>
      <c r="I2725" s="64">
        <v>0</v>
      </c>
      <c r="J2725" s="31"/>
      <c r="K2725" s="31"/>
      <c r="L2725" s="31"/>
      <c r="M2725" s="31"/>
      <c r="N2725" s="4"/>
      <c r="AG2725" t="s">
        <v>2436</v>
      </c>
      <c r="AM2725" s="1"/>
    </row>
    <row r="2726" spans="1:39" x14ac:dyDescent="0.35">
      <c r="A2726">
        <v>2722</v>
      </c>
      <c r="B2726">
        <v>2723</v>
      </c>
      <c r="F2726" s="63"/>
      <c r="G2726" s="63"/>
      <c r="H2726" t="s">
        <v>78</v>
      </c>
      <c r="I2726" s="64">
        <v>0</v>
      </c>
      <c r="J2726" s="31"/>
      <c r="K2726" s="31"/>
      <c r="L2726" s="31"/>
      <c r="M2726" s="31"/>
      <c r="N2726" s="4"/>
      <c r="AG2726" t="s">
        <v>2437</v>
      </c>
      <c r="AM2726" s="1"/>
    </row>
    <row r="2727" spans="1:39" x14ac:dyDescent="0.35">
      <c r="A2727">
        <v>2723</v>
      </c>
      <c r="B2727">
        <v>2724</v>
      </c>
      <c r="F2727" s="63"/>
      <c r="G2727" s="63"/>
      <c r="H2727" t="s">
        <v>78</v>
      </c>
      <c r="I2727" s="64">
        <v>0</v>
      </c>
      <c r="J2727" s="31"/>
      <c r="K2727" s="31"/>
      <c r="L2727" s="31"/>
      <c r="M2727" s="31"/>
      <c r="N2727" s="4"/>
      <c r="AG2727" t="s">
        <v>2438</v>
      </c>
      <c r="AM2727" s="1"/>
    </row>
    <row r="2728" spans="1:39" x14ac:dyDescent="0.35">
      <c r="A2728">
        <v>2724</v>
      </c>
      <c r="B2728">
        <v>2725</v>
      </c>
      <c r="F2728" s="63"/>
      <c r="G2728" s="63"/>
      <c r="H2728" t="s">
        <v>78</v>
      </c>
      <c r="I2728" s="64">
        <v>0</v>
      </c>
      <c r="J2728" s="31"/>
      <c r="K2728" s="31"/>
      <c r="L2728" s="31"/>
      <c r="M2728" s="31"/>
      <c r="N2728" s="4"/>
      <c r="AG2728" t="s">
        <v>2439</v>
      </c>
      <c r="AM2728" s="1"/>
    </row>
    <row r="2729" spans="1:39" x14ac:dyDescent="0.35">
      <c r="A2729">
        <v>2725</v>
      </c>
      <c r="B2729">
        <v>2726</v>
      </c>
      <c r="F2729" s="63"/>
      <c r="G2729" s="63"/>
      <c r="H2729" t="s">
        <v>78</v>
      </c>
      <c r="I2729" s="64">
        <v>0</v>
      </c>
      <c r="J2729" s="31"/>
      <c r="K2729" s="31"/>
      <c r="L2729" s="31"/>
      <c r="M2729" s="31"/>
      <c r="N2729" s="4"/>
      <c r="AG2729" t="s">
        <v>2440</v>
      </c>
      <c r="AM2729" s="1"/>
    </row>
    <row r="2730" spans="1:39" x14ac:dyDescent="0.35">
      <c r="A2730">
        <v>2726</v>
      </c>
      <c r="B2730">
        <v>2727</v>
      </c>
      <c r="F2730" s="63"/>
      <c r="G2730" s="63"/>
      <c r="H2730" t="s">
        <v>78</v>
      </c>
      <c r="I2730" s="64">
        <v>0</v>
      </c>
      <c r="J2730" s="31"/>
      <c r="K2730" s="31"/>
      <c r="L2730" s="31"/>
      <c r="M2730" s="31"/>
      <c r="N2730" s="4"/>
      <c r="AG2730" t="s">
        <v>2441</v>
      </c>
      <c r="AM2730" s="1"/>
    </row>
    <row r="2731" spans="1:39" x14ac:dyDescent="0.35">
      <c r="A2731">
        <v>2727</v>
      </c>
      <c r="B2731">
        <v>2728</v>
      </c>
      <c r="F2731" s="63"/>
      <c r="G2731" s="63"/>
      <c r="H2731" t="s">
        <v>78</v>
      </c>
      <c r="I2731" s="64">
        <v>0</v>
      </c>
      <c r="J2731" s="31"/>
      <c r="K2731" s="31"/>
      <c r="L2731" s="31"/>
      <c r="M2731" s="31"/>
      <c r="N2731" s="4"/>
      <c r="AG2731" t="s">
        <v>2442</v>
      </c>
      <c r="AM2731" s="1"/>
    </row>
    <row r="2732" spans="1:39" x14ac:dyDescent="0.35">
      <c r="A2732">
        <v>2728</v>
      </c>
      <c r="B2732">
        <v>2729</v>
      </c>
      <c r="F2732" s="63"/>
      <c r="G2732" s="63"/>
      <c r="H2732" t="s">
        <v>78</v>
      </c>
      <c r="I2732" s="64">
        <v>0</v>
      </c>
      <c r="J2732" s="31"/>
      <c r="K2732" s="31"/>
      <c r="L2732" s="31"/>
      <c r="M2732" s="31"/>
      <c r="N2732" s="4"/>
      <c r="AG2732" t="s">
        <v>2443</v>
      </c>
      <c r="AM2732" s="1"/>
    </row>
    <row r="2733" spans="1:39" x14ac:dyDescent="0.35">
      <c r="A2733">
        <v>2729</v>
      </c>
      <c r="B2733">
        <v>2730</v>
      </c>
      <c r="F2733" s="63"/>
      <c r="G2733" s="63"/>
      <c r="H2733" t="s">
        <v>78</v>
      </c>
      <c r="I2733" s="64">
        <v>0</v>
      </c>
      <c r="J2733" s="31"/>
      <c r="K2733" s="31"/>
      <c r="L2733" s="31"/>
      <c r="M2733" s="31"/>
      <c r="N2733" s="4"/>
      <c r="AG2733" t="s">
        <v>2444</v>
      </c>
      <c r="AM2733" s="1"/>
    </row>
    <row r="2734" spans="1:39" x14ac:dyDescent="0.35">
      <c r="A2734">
        <v>2730</v>
      </c>
      <c r="B2734">
        <v>2731</v>
      </c>
      <c r="F2734" s="63"/>
      <c r="G2734" s="63"/>
      <c r="H2734" t="s">
        <v>78</v>
      </c>
      <c r="I2734" s="64">
        <v>0</v>
      </c>
      <c r="J2734" s="31"/>
      <c r="K2734" s="31"/>
      <c r="L2734" s="31"/>
      <c r="M2734" s="31"/>
      <c r="N2734" s="4"/>
      <c r="AG2734" t="s">
        <v>2445</v>
      </c>
      <c r="AM2734" s="1"/>
    </row>
    <row r="2735" spans="1:39" x14ac:dyDescent="0.35">
      <c r="A2735">
        <v>2731</v>
      </c>
      <c r="B2735">
        <v>2732</v>
      </c>
      <c r="F2735" s="63"/>
      <c r="G2735" s="63"/>
      <c r="H2735" t="s">
        <v>78</v>
      </c>
      <c r="I2735" s="64">
        <v>0</v>
      </c>
      <c r="J2735" s="31"/>
      <c r="K2735" s="31"/>
      <c r="L2735" s="31"/>
      <c r="M2735" s="31"/>
      <c r="N2735" s="4"/>
      <c r="AG2735" t="s">
        <v>2446</v>
      </c>
      <c r="AM2735" s="1"/>
    </row>
    <row r="2736" spans="1:39" x14ac:dyDescent="0.35">
      <c r="A2736">
        <v>2732</v>
      </c>
      <c r="B2736">
        <v>2733</v>
      </c>
      <c r="F2736" s="63"/>
      <c r="G2736" s="63"/>
      <c r="H2736" t="s">
        <v>78</v>
      </c>
      <c r="I2736" s="64">
        <v>0</v>
      </c>
      <c r="J2736" s="31"/>
      <c r="K2736" s="31"/>
      <c r="L2736" s="31"/>
      <c r="M2736" s="31"/>
      <c r="N2736" s="4"/>
      <c r="AG2736" t="s">
        <v>2447</v>
      </c>
      <c r="AM2736" s="1"/>
    </row>
    <row r="2737" spans="1:39" x14ac:dyDescent="0.35">
      <c r="A2737">
        <v>2733</v>
      </c>
      <c r="B2737">
        <v>2734</v>
      </c>
      <c r="F2737" s="63"/>
      <c r="G2737" s="63"/>
      <c r="H2737" t="s">
        <v>78</v>
      </c>
      <c r="I2737" s="64">
        <v>0</v>
      </c>
      <c r="J2737" s="31"/>
      <c r="K2737" s="31"/>
      <c r="L2737" s="31"/>
      <c r="M2737" s="31"/>
      <c r="N2737" s="4"/>
      <c r="AG2737" t="s">
        <v>2448</v>
      </c>
      <c r="AM2737" s="1"/>
    </row>
    <row r="2738" spans="1:39" x14ac:dyDescent="0.35">
      <c r="A2738">
        <v>2734</v>
      </c>
      <c r="B2738">
        <v>2735</v>
      </c>
      <c r="F2738" s="63"/>
      <c r="G2738" s="63"/>
      <c r="H2738" t="s">
        <v>78</v>
      </c>
      <c r="I2738" s="64">
        <v>0</v>
      </c>
      <c r="J2738" s="31"/>
      <c r="K2738" s="31"/>
      <c r="L2738" s="31"/>
      <c r="M2738" s="31"/>
      <c r="N2738" s="4"/>
      <c r="AG2738" t="s">
        <v>2449</v>
      </c>
      <c r="AM2738" s="1"/>
    </row>
    <row r="2739" spans="1:39" x14ac:dyDescent="0.35">
      <c r="A2739">
        <v>2735</v>
      </c>
      <c r="B2739">
        <v>2736</v>
      </c>
      <c r="F2739" s="63"/>
      <c r="G2739" s="63"/>
      <c r="H2739" t="s">
        <v>78</v>
      </c>
      <c r="I2739" s="64">
        <v>0</v>
      </c>
      <c r="J2739" s="31"/>
      <c r="K2739" s="31"/>
      <c r="L2739" s="31"/>
      <c r="M2739" s="31"/>
      <c r="N2739" s="4"/>
      <c r="AG2739" t="s">
        <v>2450</v>
      </c>
      <c r="AM2739" s="1"/>
    </row>
    <row r="2740" spans="1:39" x14ac:dyDescent="0.35">
      <c r="A2740">
        <v>2736</v>
      </c>
      <c r="B2740">
        <v>2737</v>
      </c>
      <c r="F2740" s="63"/>
      <c r="G2740" s="63"/>
      <c r="H2740" t="s">
        <v>78</v>
      </c>
      <c r="I2740" s="64">
        <v>0</v>
      </c>
      <c r="J2740" s="31"/>
      <c r="K2740" s="31"/>
      <c r="L2740" s="31"/>
      <c r="M2740" s="31"/>
      <c r="N2740" s="4"/>
      <c r="AG2740" t="s">
        <v>2451</v>
      </c>
      <c r="AM2740" s="1"/>
    </row>
    <row r="2741" spans="1:39" x14ac:dyDescent="0.35">
      <c r="A2741">
        <v>2737</v>
      </c>
      <c r="B2741">
        <v>2738</v>
      </c>
      <c r="F2741" s="63"/>
      <c r="G2741" s="63"/>
      <c r="H2741" t="s">
        <v>78</v>
      </c>
      <c r="I2741" s="64">
        <v>0</v>
      </c>
      <c r="J2741" s="31"/>
      <c r="K2741" s="31"/>
      <c r="L2741" s="31"/>
      <c r="M2741" s="31"/>
      <c r="N2741" s="4"/>
      <c r="AG2741" t="s">
        <v>2452</v>
      </c>
      <c r="AM2741" s="1"/>
    </row>
    <row r="2742" spans="1:39" x14ac:dyDescent="0.35">
      <c r="A2742">
        <v>2738</v>
      </c>
      <c r="B2742">
        <v>2739</v>
      </c>
      <c r="F2742" s="63"/>
      <c r="G2742" s="63"/>
      <c r="H2742" t="s">
        <v>78</v>
      </c>
      <c r="I2742" s="64">
        <v>0</v>
      </c>
      <c r="J2742" s="31"/>
      <c r="K2742" s="31"/>
      <c r="L2742" s="31"/>
      <c r="M2742" s="31"/>
      <c r="N2742" s="4"/>
      <c r="AG2742" t="s">
        <v>2453</v>
      </c>
      <c r="AM2742" s="1"/>
    </row>
    <row r="2743" spans="1:39" x14ac:dyDescent="0.35">
      <c r="A2743">
        <v>2739</v>
      </c>
      <c r="B2743">
        <v>2740</v>
      </c>
      <c r="F2743" s="63"/>
      <c r="G2743" s="63"/>
      <c r="H2743" t="s">
        <v>78</v>
      </c>
      <c r="I2743" s="64">
        <v>0</v>
      </c>
      <c r="J2743" s="31"/>
      <c r="K2743" s="31"/>
      <c r="L2743" s="31"/>
      <c r="M2743" s="31"/>
      <c r="N2743" s="4"/>
      <c r="AG2743" t="s">
        <v>2454</v>
      </c>
      <c r="AM2743" s="1"/>
    </row>
    <row r="2744" spans="1:39" x14ac:dyDescent="0.35">
      <c r="A2744">
        <v>2740</v>
      </c>
      <c r="B2744">
        <v>2741</v>
      </c>
      <c r="F2744" s="63"/>
      <c r="G2744" s="63"/>
      <c r="H2744" t="s">
        <v>78</v>
      </c>
      <c r="I2744" s="64">
        <v>0</v>
      </c>
      <c r="J2744" s="31"/>
      <c r="K2744" s="31"/>
      <c r="L2744" s="31"/>
      <c r="M2744" s="31"/>
      <c r="N2744" s="4"/>
      <c r="AG2744" t="s">
        <v>2455</v>
      </c>
      <c r="AM2744" s="1"/>
    </row>
    <row r="2745" spans="1:39" x14ac:dyDescent="0.35">
      <c r="A2745">
        <v>2741</v>
      </c>
      <c r="B2745">
        <v>2742</v>
      </c>
      <c r="F2745" s="63"/>
      <c r="G2745" s="63"/>
      <c r="H2745" t="s">
        <v>78</v>
      </c>
      <c r="I2745" s="64">
        <v>0</v>
      </c>
      <c r="J2745" s="31"/>
      <c r="K2745" s="31"/>
      <c r="L2745" s="31"/>
      <c r="M2745" s="31"/>
      <c r="N2745" s="4"/>
      <c r="AG2745" t="s">
        <v>2456</v>
      </c>
      <c r="AM2745" s="1"/>
    </row>
    <row r="2746" spans="1:39" x14ac:dyDescent="0.35">
      <c r="A2746">
        <v>2742</v>
      </c>
      <c r="B2746">
        <v>2743</v>
      </c>
      <c r="F2746" s="63"/>
      <c r="G2746" s="63"/>
      <c r="H2746" t="s">
        <v>78</v>
      </c>
      <c r="I2746" s="64">
        <v>0</v>
      </c>
      <c r="J2746" s="31"/>
      <c r="K2746" s="31"/>
      <c r="L2746" s="31"/>
      <c r="M2746" s="31"/>
      <c r="N2746" s="4"/>
      <c r="AG2746" t="s">
        <v>2457</v>
      </c>
      <c r="AM2746" s="1"/>
    </row>
    <row r="2747" spans="1:39" x14ac:dyDescent="0.35">
      <c r="A2747">
        <v>2743</v>
      </c>
      <c r="B2747">
        <v>2744</v>
      </c>
      <c r="F2747" s="63"/>
      <c r="G2747" s="63"/>
      <c r="H2747" t="s">
        <v>78</v>
      </c>
      <c r="I2747" s="64">
        <v>0</v>
      </c>
      <c r="J2747" s="31"/>
      <c r="K2747" s="31"/>
      <c r="L2747" s="31"/>
      <c r="M2747" s="31"/>
      <c r="N2747" s="4"/>
      <c r="AG2747" t="s">
        <v>2458</v>
      </c>
      <c r="AM2747" s="1"/>
    </row>
    <row r="2748" spans="1:39" x14ac:dyDescent="0.35">
      <c r="A2748">
        <v>2744</v>
      </c>
      <c r="B2748">
        <v>2745</v>
      </c>
      <c r="F2748" s="63"/>
      <c r="G2748" s="63"/>
      <c r="H2748" t="s">
        <v>78</v>
      </c>
      <c r="I2748" s="64">
        <v>0</v>
      </c>
      <c r="J2748" s="31"/>
      <c r="K2748" s="31"/>
      <c r="L2748" s="31"/>
      <c r="M2748" s="31"/>
      <c r="N2748" s="4"/>
      <c r="AG2748" t="s">
        <v>2459</v>
      </c>
      <c r="AM2748" s="1"/>
    </row>
    <row r="2749" spans="1:39" x14ac:dyDescent="0.35">
      <c r="A2749">
        <v>2745</v>
      </c>
      <c r="B2749">
        <v>2746</v>
      </c>
      <c r="F2749" s="63"/>
      <c r="G2749" s="63"/>
      <c r="H2749" t="s">
        <v>78</v>
      </c>
      <c r="I2749" s="64">
        <v>0</v>
      </c>
      <c r="J2749" s="31"/>
      <c r="K2749" s="31"/>
      <c r="L2749" s="31"/>
      <c r="M2749" s="31"/>
      <c r="N2749" s="4"/>
      <c r="AG2749" t="s">
        <v>2460</v>
      </c>
      <c r="AM2749" s="1"/>
    </row>
    <row r="2750" spans="1:39" x14ac:dyDescent="0.35">
      <c r="A2750">
        <v>2746</v>
      </c>
      <c r="B2750">
        <v>2747</v>
      </c>
      <c r="F2750" s="63"/>
      <c r="G2750" s="63"/>
      <c r="H2750" t="s">
        <v>78</v>
      </c>
      <c r="I2750" s="64">
        <v>0</v>
      </c>
      <c r="J2750" s="31"/>
      <c r="K2750" s="31"/>
      <c r="L2750" s="31"/>
      <c r="M2750" s="31"/>
      <c r="N2750" s="4"/>
      <c r="AG2750" t="s">
        <v>2461</v>
      </c>
      <c r="AM2750" s="1"/>
    </row>
    <row r="2751" spans="1:39" x14ac:dyDescent="0.35">
      <c r="A2751">
        <v>2747</v>
      </c>
      <c r="B2751">
        <v>2748</v>
      </c>
      <c r="F2751" s="63"/>
      <c r="G2751" s="63"/>
      <c r="H2751" t="s">
        <v>78</v>
      </c>
      <c r="I2751" s="64">
        <v>0</v>
      </c>
      <c r="J2751" s="31"/>
      <c r="K2751" s="31"/>
      <c r="L2751" s="31"/>
      <c r="M2751" s="31"/>
      <c r="N2751" s="4"/>
      <c r="AG2751" t="s">
        <v>2462</v>
      </c>
      <c r="AM2751" s="1"/>
    </row>
    <row r="2752" spans="1:39" x14ac:dyDescent="0.35">
      <c r="A2752">
        <v>2748</v>
      </c>
      <c r="B2752">
        <v>2749</v>
      </c>
      <c r="F2752" s="63"/>
      <c r="G2752" s="63"/>
      <c r="H2752" t="s">
        <v>78</v>
      </c>
      <c r="I2752" s="64">
        <v>0</v>
      </c>
      <c r="J2752" s="31"/>
      <c r="K2752" s="31"/>
      <c r="L2752" s="31"/>
      <c r="M2752" s="31"/>
      <c r="N2752" s="4"/>
      <c r="AG2752" t="s">
        <v>2463</v>
      </c>
      <c r="AM2752" s="1"/>
    </row>
    <row r="2753" spans="1:39" x14ac:dyDescent="0.35">
      <c r="A2753">
        <v>2749</v>
      </c>
      <c r="B2753">
        <v>2750</v>
      </c>
      <c r="F2753" s="63"/>
      <c r="G2753" s="63"/>
      <c r="H2753" t="s">
        <v>78</v>
      </c>
      <c r="I2753" s="64">
        <v>0</v>
      </c>
      <c r="J2753" s="31"/>
      <c r="K2753" s="31"/>
      <c r="L2753" s="31"/>
      <c r="M2753" s="31"/>
      <c r="N2753" s="4"/>
      <c r="AG2753" t="s">
        <v>2464</v>
      </c>
      <c r="AM2753" s="1"/>
    </row>
    <row r="2754" spans="1:39" x14ac:dyDescent="0.35">
      <c r="A2754">
        <v>2750</v>
      </c>
      <c r="B2754">
        <v>2751</v>
      </c>
      <c r="F2754" s="63"/>
      <c r="G2754" s="63"/>
      <c r="H2754" t="s">
        <v>78</v>
      </c>
      <c r="I2754" s="64">
        <v>0</v>
      </c>
      <c r="J2754" s="31"/>
      <c r="K2754" s="31"/>
      <c r="L2754" s="31"/>
      <c r="M2754" s="31"/>
      <c r="N2754" s="4"/>
      <c r="AG2754" t="s">
        <v>2465</v>
      </c>
      <c r="AM2754" s="1"/>
    </row>
    <row r="2755" spans="1:39" x14ac:dyDescent="0.35">
      <c r="A2755">
        <v>2751</v>
      </c>
      <c r="B2755">
        <v>2752</v>
      </c>
      <c r="F2755" s="63"/>
      <c r="G2755" s="63"/>
      <c r="H2755" t="s">
        <v>78</v>
      </c>
      <c r="I2755" s="64">
        <v>0</v>
      </c>
      <c r="J2755" s="31"/>
      <c r="K2755" s="31"/>
      <c r="L2755" s="31"/>
      <c r="M2755" s="31"/>
      <c r="N2755" s="4"/>
      <c r="AG2755" t="s">
        <v>2466</v>
      </c>
      <c r="AM2755" s="1"/>
    </row>
    <row r="2756" spans="1:39" x14ac:dyDescent="0.35">
      <c r="A2756">
        <v>2752</v>
      </c>
      <c r="B2756">
        <v>2753</v>
      </c>
      <c r="F2756" s="63"/>
      <c r="G2756" s="63"/>
      <c r="H2756" t="s">
        <v>78</v>
      </c>
      <c r="I2756" s="64">
        <v>0</v>
      </c>
      <c r="J2756" s="31"/>
      <c r="K2756" s="31"/>
      <c r="L2756" s="31"/>
      <c r="M2756" s="31"/>
      <c r="N2756" s="4"/>
      <c r="AG2756" t="s">
        <v>2467</v>
      </c>
      <c r="AM2756" s="1"/>
    </row>
    <row r="2757" spans="1:39" x14ac:dyDescent="0.35">
      <c r="A2757">
        <v>2753</v>
      </c>
      <c r="B2757">
        <v>2754</v>
      </c>
      <c r="F2757" s="63"/>
      <c r="G2757" s="63"/>
      <c r="H2757" t="s">
        <v>78</v>
      </c>
      <c r="I2757" s="64">
        <v>0</v>
      </c>
      <c r="J2757" s="31"/>
      <c r="K2757" s="31"/>
      <c r="L2757" s="31"/>
      <c r="M2757" s="31"/>
      <c r="N2757" s="4"/>
      <c r="AG2757" t="s">
        <v>2468</v>
      </c>
      <c r="AM2757" s="1"/>
    </row>
    <row r="2758" spans="1:39" x14ac:dyDescent="0.35">
      <c r="A2758">
        <v>2754</v>
      </c>
      <c r="B2758">
        <v>2755</v>
      </c>
      <c r="F2758" s="63"/>
      <c r="G2758" s="63"/>
      <c r="H2758" t="s">
        <v>78</v>
      </c>
      <c r="I2758" s="64">
        <v>0</v>
      </c>
      <c r="J2758" s="31"/>
      <c r="K2758" s="31"/>
      <c r="L2758" s="31"/>
      <c r="M2758" s="31"/>
      <c r="N2758" s="4"/>
      <c r="AG2758" t="s">
        <v>2469</v>
      </c>
      <c r="AM2758" s="1"/>
    </row>
    <row r="2759" spans="1:39" x14ac:dyDescent="0.35">
      <c r="A2759">
        <v>2755</v>
      </c>
      <c r="B2759">
        <v>2756</v>
      </c>
      <c r="F2759" s="63"/>
      <c r="G2759" s="63"/>
      <c r="H2759" t="s">
        <v>78</v>
      </c>
      <c r="I2759" s="64">
        <v>0</v>
      </c>
      <c r="J2759" s="31"/>
      <c r="K2759" s="31"/>
      <c r="L2759" s="31"/>
      <c r="M2759" s="31"/>
      <c r="N2759" s="4"/>
      <c r="AG2759" t="s">
        <v>2470</v>
      </c>
      <c r="AM2759" s="1"/>
    </row>
    <row r="2760" spans="1:39" x14ac:dyDescent="0.35">
      <c r="A2760">
        <v>2756</v>
      </c>
      <c r="B2760">
        <v>2757</v>
      </c>
      <c r="F2760" s="63"/>
      <c r="G2760" s="63"/>
      <c r="H2760" t="s">
        <v>78</v>
      </c>
      <c r="I2760" s="64">
        <v>0</v>
      </c>
      <c r="J2760" s="31"/>
      <c r="K2760" s="31"/>
      <c r="L2760" s="31"/>
      <c r="M2760" s="31"/>
      <c r="N2760" s="4"/>
      <c r="AG2760" t="s">
        <v>2471</v>
      </c>
      <c r="AM2760" s="1"/>
    </row>
    <row r="2761" spans="1:39" x14ac:dyDescent="0.35">
      <c r="A2761">
        <v>2757</v>
      </c>
      <c r="B2761">
        <v>2758</v>
      </c>
      <c r="F2761" s="63"/>
      <c r="G2761" s="63"/>
      <c r="H2761" t="s">
        <v>78</v>
      </c>
      <c r="I2761" s="64">
        <v>0</v>
      </c>
      <c r="J2761" s="31"/>
      <c r="K2761" s="31"/>
      <c r="L2761" s="31"/>
      <c r="M2761" s="31"/>
      <c r="N2761" s="4"/>
      <c r="AG2761" t="s">
        <v>2472</v>
      </c>
      <c r="AM2761" s="1"/>
    </row>
    <row r="2762" spans="1:39" x14ac:dyDescent="0.35">
      <c r="A2762">
        <v>2758</v>
      </c>
      <c r="B2762">
        <v>2759</v>
      </c>
      <c r="F2762" s="63"/>
      <c r="G2762" s="63"/>
      <c r="H2762" t="s">
        <v>78</v>
      </c>
      <c r="I2762" s="64">
        <v>0</v>
      </c>
      <c r="J2762" s="31"/>
      <c r="K2762" s="31"/>
      <c r="L2762" s="31"/>
      <c r="M2762" s="31"/>
      <c r="N2762" s="4"/>
      <c r="AG2762" t="s">
        <v>2473</v>
      </c>
      <c r="AM2762" s="1"/>
    </row>
    <row r="2763" spans="1:39" x14ac:dyDescent="0.35">
      <c r="A2763">
        <v>2759</v>
      </c>
      <c r="B2763">
        <v>2760</v>
      </c>
      <c r="F2763" s="63"/>
      <c r="G2763" s="63"/>
      <c r="H2763" t="s">
        <v>78</v>
      </c>
      <c r="I2763" s="64">
        <v>0</v>
      </c>
      <c r="J2763" s="31"/>
      <c r="K2763" s="31"/>
      <c r="L2763" s="31"/>
      <c r="M2763" s="31"/>
      <c r="N2763" s="4"/>
      <c r="AG2763" t="s">
        <v>2474</v>
      </c>
      <c r="AM2763" s="1"/>
    </row>
    <row r="2764" spans="1:39" x14ac:dyDescent="0.35">
      <c r="A2764">
        <v>2760</v>
      </c>
      <c r="B2764">
        <v>2761</v>
      </c>
      <c r="F2764" s="63"/>
      <c r="G2764" s="63"/>
      <c r="H2764" t="s">
        <v>78</v>
      </c>
      <c r="I2764" s="64">
        <v>0</v>
      </c>
      <c r="J2764" s="31"/>
      <c r="K2764" s="31"/>
      <c r="L2764" s="31"/>
      <c r="M2764" s="31"/>
      <c r="N2764" s="4"/>
      <c r="AG2764" t="s">
        <v>2475</v>
      </c>
      <c r="AM2764" s="1"/>
    </row>
    <row r="2765" spans="1:39" x14ac:dyDescent="0.35">
      <c r="A2765">
        <v>2761</v>
      </c>
      <c r="B2765">
        <v>2762</v>
      </c>
      <c r="F2765" s="63"/>
      <c r="G2765" s="63"/>
      <c r="H2765" t="s">
        <v>78</v>
      </c>
      <c r="I2765" s="64">
        <v>0</v>
      </c>
      <c r="J2765" s="31"/>
      <c r="K2765" s="31"/>
      <c r="L2765" s="31"/>
      <c r="M2765" s="31"/>
      <c r="N2765" s="4"/>
      <c r="AG2765" t="s">
        <v>2476</v>
      </c>
      <c r="AM2765" s="1"/>
    </row>
    <row r="2766" spans="1:39" x14ac:dyDescent="0.35">
      <c r="A2766">
        <v>2762</v>
      </c>
      <c r="B2766">
        <v>2763</v>
      </c>
      <c r="F2766" s="63"/>
      <c r="G2766" s="63"/>
      <c r="H2766" t="s">
        <v>78</v>
      </c>
      <c r="I2766" s="64">
        <v>0</v>
      </c>
      <c r="J2766" s="31"/>
      <c r="K2766" s="31"/>
      <c r="L2766" s="31"/>
      <c r="M2766" s="31"/>
      <c r="N2766" s="4"/>
      <c r="AG2766" t="s">
        <v>2477</v>
      </c>
      <c r="AM2766" s="1"/>
    </row>
    <row r="2767" spans="1:39" x14ac:dyDescent="0.35">
      <c r="A2767">
        <v>2763</v>
      </c>
      <c r="B2767">
        <v>2764</v>
      </c>
      <c r="F2767" s="63"/>
      <c r="G2767" s="63"/>
      <c r="H2767" t="s">
        <v>78</v>
      </c>
      <c r="I2767" s="64">
        <v>0</v>
      </c>
      <c r="J2767" s="31"/>
      <c r="K2767" s="31"/>
      <c r="L2767" s="31"/>
      <c r="M2767" s="31"/>
      <c r="N2767" s="4"/>
      <c r="AG2767" t="s">
        <v>2478</v>
      </c>
      <c r="AM2767" s="1"/>
    </row>
    <row r="2768" spans="1:39" x14ac:dyDescent="0.35">
      <c r="A2768">
        <v>2764</v>
      </c>
      <c r="B2768">
        <v>2765</v>
      </c>
      <c r="F2768" s="63"/>
      <c r="G2768" s="63"/>
      <c r="H2768" t="s">
        <v>78</v>
      </c>
      <c r="I2768" s="64">
        <v>0</v>
      </c>
      <c r="J2768" s="31"/>
      <c r="K2768" s="31"/>
      <c r="L2768" s="31"/>
      <c r="M2768" s="31"/>
      <c r="N2768" s="4"/>
      <c r="AG2768" t="s">
        <v>2479</v>
      </c>
      <c r="AM2768" s="1"/>
    </row>
    <row r="2769" spans="1:39" x14ac:dyDescent="0.35">
      <c r="A2769">
        <v>2765</v>
      </c>
      <c r="B2769">
        <v>2766</v>
      </c>
      <c r="F2769" s="63"/>
      <c r="G2769" s="63"/>
      <c r="H2769" t="s">
        <v>78</v>
      </c>
      <c r="I2769" s="64">
        <v>0</v>
      </c>
      <c r="J2769" s="31"/>
      <c r="K2769" s="31"/>
      <c r="L2769" s="31"/>
      <c r="M2769" s="31"/>
      <c r="N2769" s="4"/>
      <c r="AG2769" t="s">
        <v>2480</v>
      </c>
      <c r="AM2769" s="1"/>
    </row>
    <row r="2770" spans="1:39" x14ac:dyDescent="0.35">
      <c r="A2770">
        <v>2766</v>
      </c>
      <c r="B2770">
        <v>2767</v>
      </c>
      <c r="F2770" s="63"/>
      <c r="G2770" s="63"/>
      <c r="H2770" t="s">
        <v>78</v>
      </c>
      <c r="I2770" s="64">
        <v>0</v>
      </c>
      <c r="J2770" s="31"/>
      <c r="K2770" s="31"/>
      <c r="L2770" s="31"/>
      <c r="M2770" s="31"/>
      <c r="N2770" s="4"/>
      <c r="AG2770" t="s">
        <v>2481</v>
      </c>
      <c r="AM2770" s="1"/>
    </row>
    <row r="2771" spans="1:39" x14ac:dyDescent="0.35">
      <c r="A2771">
        <v>2767</v>
      </c>
      <c r="B2771">
        <v>2768</v>
      </c>
      <c r="F2771" s="63"/>
      <c r="G2771" s="63"/>
      <c r="H2771" t="s">
        <v>78</v>
      </c>
      <c r="I2771" s="64">
        <v>0</v>
      </c>
      <c r="J2771" s="31"/>
      <c r="K2771" s="31"/>
      <c r="L2771" s="31"/>
      <c r="M2771" s="31"/>
      <c r="N2771" s="4"/>
      <c r="AG2771" t="s">
        <v>2482</v>
      </c>
      <c r="AM2771" s="1"/>
    </row>
    <row r="2772" spans="1:39" x14ac:dyDescent="0.35">
      <c r="A2772">
        <v>2768</v>
      </c>
      <c r="B2772">
        <v>2769</v>
      </c>
      <c r="F2772" s="63"/>
      <c r="G2772" s="63"/>
      <c r="H2772" t="s">
        <v>78</v>
      </c>
      <c r="I2772" s="64">
        <v>0</v>
      </c>
      <c r="J2772" s="31"/>
      <c r="K2772" s="31"/>
      <c r="L2772" s="31"/>
      <c r="M2772" s="31"/>
      <c r="N2772" s="4"/>
      <c r="AG2772" t="s">
        <v>2483</v>
      </c>
      <c r="AM2772" s="1"/>
    </row>
    <row r="2773" spans="1:39" x14ac:dyDescent="0.35">
      <c r="A2773">
        <v>2769</v>
      </c>
      <c r="B2773">
        <v>2770</v>
      </c>
      <c r="F2773" s="63"/>
      <c r="G2773" s="63"/>
      <c r="H2773" t="s">
        <v>78</v>
      </c>
      <c r="I2773" s="64">
        <v>0</v>
      </c>
      <c r="J2773" s="31"/>
      <c r="K2773" s="31"/>
      <c r="L2773" s="31"/>
      <c r="M2773" s="31"/>
      <c r="N2773" s="4"/>
      <c r="AG2773" t="s">
        <v>2484</v>
      </c>
      <c r="AM2773" s="1"/>
    </row>
    <row r="2774" spans="1:39" x14ac:dyDescent="0.35">
      <c r="A2774">
        <v>2770</v>
      </c>
      <c r="B2774">
        <v>2771</v>
      </c>
      <c r="F2774" s="63"/>
      <c r="G2774" s="63"/>
      <c r="H2774" t="s">
        <v>78</v>
      </c>
      <c r="I2774" s="64">
        <v>0</v>
      </c>
      <c r="J2774" s="31"/>
      <c r="K2774" s="31"/>
      <c r="L2774" s="31"/>
      <c r="M2774" s="31"/>
      <c r="N2774" s="4"/>
      <c r="AG2774" t="s">
        <v>2485</v>
      </c>
      <c r="AM2774" s="1"/>
    </row>
    <row r="2775" spans="1:39" x14ac:dyDescent="0.35">
      <c r="A2775">
        <v>2771</v>
      </c>
      <c r="B2775">
        <v>2772</v>
      </c>
      <c r="F2775" s="63"/>
      <c r="G2775" s="63"/>
      <c r="H2775" t="s">
        <v>78</v>
      </c>
      <c r="I2775" s="64">
        <v>0</v>
      </c>
      <c r="J2775" s="31"/>
      <c r="K2775" s="31"/>
      <c r="L2775" s="31"/>
      <c r="M2775" s="31"/>
      <c r="N2775" s="4"/>
      <c r="AG2775" t="s">
        <v>2486</v>
      </c>
      <c r="AM2775" s="1"/>
    </row>
    <row r="2776" spans="1:39" x14ac:dyDescent="0.35">
      <c r="A2776">
        <v>2772</v>
      </c>
      <c r="B2776">
        <v>2773</v>
      </c>
      <c r="F2776" s="63"/>
      <c r="G2776" s="63"/>
      <c r="H2776" t="s">
        <v>78</v>
      </c>
      <c r="I2776" s="64">
        <v>0</v>
      </c>
      <c r="J2776" s="31"/>
      <c r="K2776" s="31"/>
      <c r="L2776" s="31"/>
      <c r="M2776" s="31"/>
      <c r="N2776" s="4"/>
      <c r="AG2776" t="s">
        <v>2487</v>
      </c>
      <c r="AM2776" s="1"/>
    </row>
    <row r="2777" spans="1:39" x14ac:dyDescent="0.35">
      <c r="A2777">
        <v>2773</v>
      </c>
      <c r="B2777">
        <v>2774</v>
      </c>
      <c r="F2777" s="63"/>
      <c r="G2777" s="63"/>
      <c r="H2777" t="s">
        <v>78</v>
      </c>
      <c r="I2777" s="64">
        <v>0</v>
      </c>
      <c r="J2777" s="31"/>
      <c r="K2777" s="31"/>
      <c r="L2777" s="31"/>
      <c r="M2777" s="31"/>
      <c r="N2777" s="4"/>
      <c r="AG2777" t="s">
        <v>2488</v>
      </c>
      <c r="AM2777" s="1"/>
    </row>
    <row r="2778" spans="1:39" x14ac:dyDescent="0.35">
      <c r="A2778">
        <v>2774</v>
      </c>
      <c r="B2778">
        <v>2775</v>
      </c>
      <c r="F2778" s="63"/>
      <c r="G2778" s="63"/>
      <c r="H2778" t="s">
        <v>78</v>
      </c>
      <c r="I2778" s="64">
        <v>0</v>
      </c>
      <c r="J2778" s="31"/>
      <c r="K2778" s="31"/>
      <c r="L2778" s="31"/>
      <c r="M2778" s="31"/>
      <c r="N2778" s="4"/>
      <c r="AG2778" t="s">
        <v>2489</v>
      </c>
      <c r="AM2778" s="1"/>
    </row>
    <row r="2779" spans="1:39" x14ac:dyDescent="0.35">
      <c r="A2779">
        <v>2775</v>
      </c>
      <c r="B2779">
        <v>2776</v>
      </c>
      <c r="F2779" s="63"/>
      <c r="G2779" s="63"/>
      <c r="H2779" t="s">
        <v>78</v>
      </c>
      <c r="I2779" s="64">
        <v>0</v>
      </c>
      <c r="J2779" s="31"/>
      <c r="K2779" s="31"/>
      <c r="L2779" s="31"/>
      <c r="M2779" s="31"/>
      <c r="N2779" s="4"/>
      <c r="AG2779" t="s">
        <v>2490</v>
      </c>
      <c r="AM2779" s="1"/>
    </row>
    <row r="2780" spans="1:39" x14ac:dyDescent="0.35">
      <c r="A2780">
        <v>2776</v>
      </c>
      <c r="B2780">
        <v>2777</v>
      </c>
      <c r="F2780" s="63"/>
      <c r="G2780" s="63"/>
      <c r="H2780" t="s">
        <v>78</v>
      </c>
      <c r="I2780" s="64">
        <v>0</v>
      </c>
      <c r="J2780" s="31"/>
      <c r="K2780" s="31"/>
      <c r="L2780" s="31"/>
      <c r="M2780" s="31"/>
      <c r="N2780" s="4"/>
      <c r="AG2780" t="s">
        <v>2491</v>
      </c>
      <c r="AM2780" s="1"/>
    </row>
    <row r="2781" spans="1:39" x14ac:dyDescent="0.35">
      <c r="A2781">
        <v>2777</v>
      </c>
      <c r="B2781">
        <v>2778</v>
      </c>
      <c r="F2781" s="63"/>
      <c r="G2781" s="63"/>
      <c r="H2781" t="s">
        <v>78</v>
      </c>
      <c r="I2781" s="64">
        <v>0</v>
      </c>
      <c r="J2781" s="31"/>
      <c r="K2781" s="31"/>
      <c r="L2781" s="31"/>
      <c r="M2781" s="31"/>
      <c r="N2781" s="4"/>
      <c r="AG2781" t="s">
        <v>2492</v>
      </c>
      <c r="AM2781" s="1"/>
    </row>
    <row r="2782" spans="1:39" x14ac:dyDescent="0.35">
      <c r="A2782">
        <v>2778</v>
      </c>
      <c r="B2782">
        <v>2779</v>
      </c>
      <c r="F2782" s="63"/>
      <c r="G2782" s="63"/>
      <c r="H2782" t="s">
        <v>78</v>
      </c>
      <c r="I2782" s="64">
        <v>0</v>
      </c>
      <c r="J2782" s="31"/>
      <c r="K2782" s="31"/>
      <c r="L2782" s="31"/>
      <c r="M2782" s="31"/>
      <c r="N2782" s="4"/>
      <c r="AG2782" t="s">
        <v>2493</v>
      </c>
      <c r="AM2782" s="1"/>
    </row>
    <row r="2783" spans="1:39" x14ac:dyDescent="0.35">
      <c r="A2783">
        <v>2779</v>
      </c>
      <c r="B2783">
        <v>2780</v>
      </c>
      <c r="F2783" s="63"/>
      <c r="G2783" s="63"/>
      <c r="H2783" t="s">
        <v>78</v>
      </c>
      <c r="I2783" s="64">
        <v>0</v>
      </c>
      <c r="J2783" s="31"/>
      <c r="K2783" s="31"/>
      <c r="L2783" s="31"/>
      <c r="M2783" s="31"/>
      <c r="N2783" s="4"/>
      <c r="AG2783" t="s">
        <v>2494</v>
      </c>
      <c r="AM2783" s="1"/>
    </row>
    <row r="2784" spans="1:39" x14ac:dyDescent="0.35">
      <c r="A2784">
        <v>2780</v>
      </c>
      <c r="B2784">
        <v>2781</v>
      </c>
      <c r="F2784" s="63"/>
      <c r="G2784" s="63"/>
      <c r="H2784" t="s">
        <v>78</v>
      </c>
      <c r="I2784" s="64">
        <v>0</v>
      </c>
      <c r="J2784" s="31"/>
      <c r="K2784" s="31"/>
      <c r="L2784" s="31"/>
      <c r="M2784" s="31"/>
      <c r="N2784" s="4"/>
      <c r="AG2784" t="s">
        <v>2495</v>
      </c>
      <c r="AM2784" s="1"/>
    </row>
    <row r="2785" spans="1:39" x14ac:dyDescent="0.35">
      <c r="A2785">
        <v>2781</v>
      </c>
      <c r="B2785">
        <v>2782</v>
      </c>
      <c r="F2785" s="63"/>
      <c r="G2785" s="63"/>
      <c r="H2785" t="s">
        <v>78</v>
      </c>
      <c r="I2785" s="64">
        <v>0</v>
      </c>
      <c r="J2785" s="31"/>
      <c r="K2785" s="31"/>
      <c r="L2785" s="31"/>
      <c r="M2785" s="31"/>
      <c r="N2785" s="4"/>
      <c r="AG2785" t="s">
        <v>2496</v>
      </c>
      <c r="AM2785" s="1"/>
    </row>
    <row r="2786" spans="1:39" x14ac:dyDescent="0.35">
      <c r="A2786">
        <v>2782</v>
      </c>
      <c r="B2786">
        <v>2783</v>
      </c>
      <c r="F2786" s="63"/>
      <c r="G2786" s="63"/>
      <c r="H2786" t="s">
        <v>78</v>
      </c>
      <c r="I2786" s="64">
        <v>0</v>
      </c>
      <c r="J2786" s="31"/>
      <c r="K2786" s="31"/>
      <c r="L2786" s="31"/>
      <c r="M2786" s="31"/>
      <c r="N2786" s="4"/>
      <c r="AG2786" t="s">
        <v>2497</v>
      </c>
      <c r="AM2786" s="1"/>
    </row>
    <row r="2787" spans="1:39" x14ac:dyDescent="0.35">
      <c r="A2787">
        <v>2783</v>
      </c>
      <c r="B2787">
        <v>2784</v>
      </c>
      <c r="F2787" s="63"/>
      <c r="G2787" s="63"/>
      <c r="H2787" t="s">
        <v>78</v>
      </c>
      <c r="I2787" s="64">
        <v>0</v>
      </c>
      <c r="J2787" s="31"/>
      <c r="K2787" s="31"/>
      <c r="L2787" s="31"/>
      <c r="M2787" s="31"/>
      <c r="N2787" s="4"/>
      <c r="AG2787" t="s">
        <v>2498</v>
      </c>
      <c r="AM2787" s="1"/>
    </row>
    <row r="2788" spans="1:39" x14ac:dyDescent="0.35">
      <c r="A2788">
        <v>2784</v>
      </c>
      <c r="B2788">
        <v>2785</v>
      </c>
      <c r="F2788" s="63"/>
      <c r="G2788" s="63"/>
      <c r="H2788" t="s">
        <v>78</v>
      </c>
      <c r="I2788" s="64">
        <v>0</v>
      </c>
      <c r="J2788" s="31"/>
      <c r="K2788" s="31"/>
      <c r="L2788" s="31"/>
      <c r="M2788" s="31"/>
      <c r="N2788" s="4"/>
      <c r="AG2788" t="s">
        <v>2499</v>
      </c>
      <c r="AM2788" s="1"/>
    </row>
    <row r="2789" spans="1:39" x14ac:dyDescent="0.35">
      <c r="A2789">
        <v>2785</v>
      </c>
      <c r="B2789">
        <v>2786</v>
      </c>
      <c r="F2789" s="63"/>
      <c r="G2789" s="63"/>
      <c r="H2789" t="s">
        <v>78</v>
      </c>
      <c r="I2789" s="64">
        <v>0</v>
      </c>
      <c r="J2789" s="31"/>
      <c r="K2789" s="31"/>
      <c r="L2789" s="31"/>
      <c r="M2789" s="31"/>
      <c r="N2789" s="4"/>
      <c r="AG2789" t="s">
        <v>2500</v>
      </c>
      <c r="AM2789" s="1"/>
    </row>
    <row r="2790" spans="1:39" x14ac:dyDescent="0.35">
      <c r="A2790">
        <v>2786</v>
      </c>
      <c r="B2790">
        <v>2787</v>
      </c>
      <c r="F2790" s="63"/>
      <c r="G2790" s="63"/>
      <c r="H2790" t="s">
        <v>78</v>
      </c>
      <c r="I2790" s="64">
        <v>0</v>
      </c>
      <c r="J2790" s="31"/>
      <c r="K2790" s="31"/>
      <c r="L2790" s="31"/>
      <c r="M2790" s="31"/>
      <c r="N2790" s="4"/>
      <c r="AG2790" t="s">
        <v>2501</v>
      </c>
      <c r="AM2790" s="1"/>
    </row>
    <row r="2791" spans="1:39" x14ac:dyDescent="0.35">
      <c r="A2791">
        <v>2787</v>
      </c>
      <c r="B2791">
        <v>2788</v>
      </c>
      <c r="F2791" s="63"/>
      <c r="G2791" s="63"/>
      <c r="H2791" t="s">
        <v>78</v>
      </c>
      <c r="I2791" s="64">
        <v>0</v>
      </c>
      <c r="J2791" s="31"/>
      <c r="K2791" s="31"/>
      <c r="L2791" s="31"/>
      <c r="M2791" s="31"/>
      <c r="N2791" s="4"/>
      <c r="AG2791" t="s">
        <v>2502</v>
      </c>
      <c r="AM2791" s="1"/>
    </row>
    <row r="2792" spans="1:39" x14ac:dyDescent="0.35">
      <c r="A2792">
        <v>2788</v>
      </c>
      <c r="B2792">
        <v>2789</v>
      </c>
      <c r="F2792" s="63"/>
      <c r="G2792" s="63"/>
      <c r="H2792" t="s">
        <v>78</v>
      </c>
      <c r="I2792" s="64">
        <v>0</v>
      </c>
      <c r="J2792" s="31"/>
      <c r="K2792" s="31"/>
      <c r="L2792" s="31"/>
      <c r="M2792" s="31"/>
      <c r="N2792" s="4"/>
      <c r="AG2792" t="s">
        <v>2503</v>
      </c>
      <c r="AM2792" s="1"/>
    </row>
    <row r="2793" spans="1:39" x14ac:dyDescent="0.35">
      <c r="A2793">
        <v>2789</v>
      </c>
      <c r="B2793">
        <v>2790</v>
      </c>
      <c r="F2793" s="63"/>
      <c r="G2793" s="63"/>
      <c r="H2793" t="s">
        <v>78</v>
      </c>
      <c r="I2793" s="64">
        <v>0</v>
      </c>
      <c r="J2793" s="31"/>
      <c r="K2793" s="31"/>
      <c r="L2793" s="31"/>
      <c r="M2793" s="31"/>
      <c r="N2793" s="4"/>
      <c r="AG2793" t="s">
        <v>2504</v>
      </c>
      <c r="AM2793" s="1"/>
    </row>
    <row r="2794" spans="1:39" x14ac:dyDescent="0.35">
      <c r="A2794">
        <v>2790</v>
      </c>
      <c r="B2794">
        <v>2791</v>
      </c>
      <c r="F2794" s="63"/>
      <c r="G2794" s="63"/>
      <c r="H2794" t="s">
        <v>78</v>
      </c>
      <c r="I2794" s="64">
        <v>0</v>
      </c>
      <c r="J2794" s="31"/>
      <c r="K2794" s="31"/>
      <c r="L2794" s="31"/>
      <c r="M2794" s="31"/>
      <c r="N2794" s="4"/>
      <c r="AG2794" t="s">
        <v>2505</v>
      </c>
      <c r="AM2794" s="1"/>
    </row>
    <row r="2795" spans="1:39" x14ac:dyDescent="0.35">
      <c r="A2795">
        <v>2791</v>
      </c>
      <c r="B2795">
        <v>2792</v>
      </c>
      <c r="F2795" s="63"/>
      <c r="G2795" s="63"/>
      <c r="H2795" t="s">
        <v>78</v>
      </c>
      <c r="I2795" s="64">
        <v>0</v>
      </c>
      <c r="J2795" s="31"/>
      <c r="K2795" s="31"/>
      <c r="L2795" s="31"/>
      <c r="M2795" s="31"/>
      <c r="N2795" s="4"/>
      <c r="AG2795" t="s">
        <v>2506</v>
      </c>
      <c r="AM2795" s="1"/>
    </row>
    <row r="2796" spans="1:39" x14ac:dyDescent="0.35">
      <c r="A2796">
        <v>2792</v>
      </c>
      <c r="B2796">
        <v>2793</v>
      </c>
      <c r="F2796" s="63"/>
      <c r="G2796" s="63"/>
      <c r="H2796" t="s">
        <v>78</v>
      </c>
      <c r="I2796" s="64">
        <v>0</v>
      </c>
      <c r="J2796" s="31"/>
      <c r="K2796" s="31"/>
      <c r="L2796" s="31"/>
      <c r="M2796" s="31"/>
      <c r="N2796" s="4"/>
      <c r="AG2796" t="s">
        <v>2507</v>
      </c>
      <c r="AM2796" s="1"/>
    </row>
    <row r="2797" spans="1:39" x14ac:dyDescent="0.35">
      <c r="A2797">
        <v>2793</v>
      </c>
      <c r="B2797">
        <v>2794</v>
      </c>
      <c r="F2797" s="63"/>
      <c r="G2797" s="63"/>
      <c r="H2797" t="s">
        <v>78</v>
      </c>
      <c r="I2797" s="64">
        <v>0</v>
      </c>
      <c r="J2797" s="31"/>
      <c r="K2797" s="31"/>
      <c r="L2797" s="31"/>
      <c r="M2797" s="31"/>
      <c r="N2797" s="4"/>
      <c r="AG2797" t="s">
        <v>2508</v>
      </c>
      <c r="AM2797" s="1"/>
    </row>
    <row r="2798" spans="1:39" x14ac:dyDescent="0.35">
      <c r="A2798">
        <v>2794</v>
      </c>
      <c r="B2798">
        <v>2795</v>
      </c>
      <c r="F2798" s="63"/>
      <c r="G2798" s="63"/>
      <c r="H2798" t="s">
        <v>78</v>
      </c>
      <c r="I2798" s="64">
        <v>0</v>
      </c>
      <c r="J2798" s="31"/>
      <c r="K2798" s="31"/>
      <c r="L2798" s="31"/>
      <c r="M2798" s="31"/>
      <c r="N2798" s="4"/>
      <c r="AG2798" t="s">
        <v>2509</v>
      </c>
      <c r="AM2798" s="1"/>
    </row>
    <row r="2799" spans="1:39" x14ac:dyDescent="0.35">
      <c r="A2799">
        <v>2795</v>
      </c>
      <c r="B2799">
        <v>2796</v>
      </c>
      <c r="F2799" s="63"/>
      <c r="G2799" s="63"/>
      <c r="H2799" t="s">
        <v>78</v>
      </c>
      <c r="I2799" s="64">
        <v>0</v>
      </c>
      <c r="J2799" s="31"/>
      <c r="K2799" s="31"/>
      <c r="L2799" s="31"/>
      <c r="M2799" s="31"/>
      <c r="N2799" s="4"/>
      <c r="AG2799" t="s">
        <v>2510</v>
      </c>
      <c r="AM2799" s="1"/>
    </row>
    <row r="2800" spans="1:39" x14ac:dyDescent="0.35">
      <c r="A2800">
        <v>2796</v>
      </c>
      <c r="B2800">
        <v>2797</v>
      </c>
      <c r="F2800" s="63"/>
      <c r="G2800" s="63"/>
      <c r="H2800" t="s">
        <v>78</v>
      </c>
      <c r="I2800" s="64">
        <v>0</v>
      </c>
      <c r="J2800" s="31"/>
      <c r="K2800" s="31"/>
      <c r="L2800" s="31"/>
      <c r="M2800" s="31"/>
      <c r="N2800" s="4"/>
      <c r="AG2800" t="s">
        <v>2511</v>
      </c>
      <c r="AM2800" s="1"/>
    </row>
    <row r="2801" spans="1:39" x14ac:dyDescent="0.35">
      <c r="A2801">
        <v>2797</v>
      </c>
      <c r="B2801">
        <v>2798</v>
      </c>
      <c r="F2801" s="63"/>
      <c r="G2801" s="63"/>
      <c r="H2801" t="s">
        <v>78</v>
      </c>
      <c r="I2801" s="64">
        <v>0</v>
      </c>
      <c r="J2801" s="31"/>
      <c r="K2801" s="31"/>
      <c r="L2801" s="31"/>
      <c r="M2801" s="31"/>
      <c r="N2801" s="4"/>
      <c r="AG2801" t="s">
        <v>2512</v>
      </c>
      <c r="AM2801" s="1"/>
    </row>
    <row r="2802" spans="1:39" x14ac:dyDescent="0.35">
      <c r="A2802">
        <v>2798</v>
      </c>
      <c r="B2802">
        <v>2799</v>
      </c>
      <c r="F2802" s="63"/>
      <c r="G2802" s="63"/>
      <c r="H2802" t="s">
        <v>78</v>
      </c>
      <c r="I2802" s="64">
        <v>0</v>
      </c>
      <c r="J2802" s="31"/>
      <c r="K2802" s="31"/>
      <c r="L2802" s="31"/>
      <c r="M2802" s="31"/>
      <c r="N2802" s="4"/>
      <c r="AG2802" t="s">
        <v>2513</v>
      </c>
      <c r="AM2802" s="1"/>
    </row>
    <row r="2803" spans="1:39" x14ac:dyDescent="0.35">
      <c r="A2803">
        <v>2799</v>
      </c>
      <c r="B2803">
        <v>2800</v>
      </c>
      <c r="F2803" s="63"/>
      <c r="G2803" s="63"/>
      <c r="H2803" t="s">
        <v>78</v>
      </c>
      <c r="I2803" s="64">
        <v>0</v>
      </c>
      <c r="J2803" s="31"/>
      <c r="K2803" s="31"/>
      <c r="L2803" s="31"/>
      <c r="M2803" s="31"/>
      <c r="N2803" s="4"/>
      <c r="AG2803" t="s">
        <v>2514</v>
      </c>
      <c r="AM2803" s="1"/>
    </row>
    <row r="2804" spans="1:39" x14ac:dyDescent="0.35">
      <c r="A2804">
        <v>2800</v>
      </c>
      <c r="B2804">
        <v>2801</v>
      </c>
      <c r="F2804" s="63"/>
      <c r="G2804" s="63"/>
      <c r="H2804" t="s">
        <v>78</v>
      </c>
      <c r="I2804" s="64">
        <v>0</v>
      </c>
      <c r="J2804" s="31"/>
      <c r="K2804" s="31"/>
      <c r="L2804" s="31"/>
      <c r="M2804" s="31"/>
      <c r="N2804" s="4"/>
      <c r="AG2804" t="s">
        <v>2515</v>
      </c>
      <c r="AM2804" s="1"/>
    </row>
    <row r="2805" spans="1:39" x14ac:dyDescent="0.35">
      <c r="A2805">
        <v>2801</v>
      </c>
      <c r="B2805">
        <v>2802</v>
      </c>
      <c r="F2805" s="63"/>
      <c r="G2805" s="63"/>
      <c r="H2805" t="s">
        <v>78</v>
      </c>
      <c r="I2805" s="64">
        <v>0</v>
      </c>
      <c r="J2805" s="31"/>
      <c r="K2805" s="31"/>
      <c r="L2805" s="31"/>
      <c r="M2805" s="31"/>
      <c r="N2805" s="4"/>
      <c r="AG2805" t="s">
        <v>2516</v>
      </c>
      <c r="AM2805" s="1"/>
    </row>
    <row r="2806" spans="1:39" x14ac:dyDescent="0.35">
      <c r="A2806">
        <v>2802</v>
      </c>
      <c r="B2806">
        <v>2803</v>
      </c>
      <c r="F2806" s="63"/>
      <c r="G2806" s="63"/>
      <c r="H2806" t="s">
        <v>78</v>
      </c>
      <c r="I2806" s="64">
        <v>0</v>
      </c>
      <c r="J2806" s="31"/>
      <c r="K2806" s="31"/>
      <c r="L2806" s="31"/>
      <c r="M2806" s="31"/>
      <c r="N2806" s="4"/>
      <c r="AG2806" t="s">
        <v>2517</v>
      </c>
      <c r="AM2806" s="1"/>
    </row>
    <row r="2807" spans="1:39" x14ac:dyDescent="0.35">
      <c r="A2807">
        <v>2803</v>
      </c>
      <c r="B2807">
        <v>2804</v>
      </c>
      <c r="F2807" s="63"/>
      <c r="G2807" s="63"/>
      <c r="H2807" t="s">
        <v>78</v>
      </c>
      <c r="I2807" s="64">
        <v>0</v>
      </c>
      <c r="J2807" s="31"/>
      <c r="K2807" s="31"/>
      <c r="L2807" s="31"/>
      <c r="M2807" s="31"/>
      <c r="N2807" s="4"/>
      <c r="AG2807" t="s">
        <v>2518</v>
      </c>
      <c r="AM2807" s="1"/>
    </row>
    <row r="2808" spans="1:39" x14ac:dyDescent="0.35">
      <c r="A2808">
        <v>2804</v>
      </c>
      <c r="B2808">
        <v>2805</v>
      </c>
      <c r="F2808" s="63"/>
      <c r="G2808" s="63"/>
      <c r="H2808" t="s">
        <v>78</v>
      </c>
      <c r="I2808" s="64">
        <v>0</v>
      </c>
      <c r="J2808" s="31"/>
      <c r="K2808" s="31"/>
      <c r="L2808" s="31"/>
      <c r="M2808" s="31"/>
      <c r="N2808" s="4"/>
      <c r="AG2808" t="s">
        <v>2519</v>
      </c>
      <c r="AM2808" s="1"/>
    </row>
    <row r="2809" spans="1:39" x14ac:dyDescent="0.35">
      <c r="A2809">
        <v>2805</v>
      </c>
      <c r="B2809">
        <v>2806</v>
      </c>
      <c r="F2809" s="63"/>
      <c r="G2809" s="63"/>
      <c r="H2809" t="s">
        <v>78</v>
      </c>
      <c r="I2809" s="64">
        <v>0</v>
      </c>
      <c r="J2809" s="31"/>
      <c r="K2809" s="31"/>
      <c r="L2809" s="31"/>
      <c r="M2809" s="31"/>
      <c r="N2809" s="4"/>
      <c r="AG2809" t="s">
        <v>2520</v>
      </c>
      <c r="AM2809" s="1"/>
    </row>
    <row r="2810" spans="1:39" x14ac:dyDescent="0.35">
      <c r="A2810">
        <v>2806</v>
      </c>
      <c r="B2810">
        <v>2807</v>
      </c>
      <c r="F2810" s="63"/>
      <c r="G2810" s="63"/>
      <c r="H2810" t="s">
        <v>78</v>
      </c>
      <c r="I2810" s="64">
        <v>0</v>
      </c>
      <c r="J2810" s="31"/>
      <c r="K2810" s="31"/>
      <c r="L2810" s="31"/>
      <c r="M2810" s="31"/>
      <c r="N2810" s="4"/>
      <c r="AG2810" t="s">
        <v>2521</v>
      </c>
      <c r="AM2810" s="1"/>
    </row>
    <row r="2811" spans="1:39" x14ac:dyDescent="0.35">
      <c r="A2811">
        <v>2807</v>
      </c>
      <c r="B2811">
        <v>2808</v>
      </c>
      <c r="F2811" s="63"/>
      <c r="G2811" s="63"/>
      <c r="H2811" t="s">
        <v>78</v>
      </c>
      <c r="I2811" s="64">
        <v>0</v>
      </c>
      <c r="J2811" s="31"/>
      <c r="K2811" s="31"/>
      <c r="L2811" s="31"/>
      <c r="M2811" s="31"/>
      <c r="N2811" s="4"/>
      <c r="AG2811" t="s">
        <v>2522</v>
      </c>
      <c r="AM2811" s="1"/>
    </row>
    <row r="2812" spans="1:39" x14ac:dyDescent="0.35">
      <c r="A2812">
        <v>2808</v>
      </c>
      <c r="B2812">
        <v>2809</v>
      </c>
      <c r="F2812" s="63"/>
      <c r="G2812" s="63"/>
      <c r="H2812" t="s">
        <v>78</v>
      </c>
      <c r="I2812" s="64">
        <v>0</v>
      </c>
      <c r="J2812" s="31"/>
      <c r="K2812" s="31"/>
      <c r="L2812" s="31"/>
      <c r="M2812" s="31"/>
      <c r="N2812" s="4"/>
      <c r="AG2812" t="s">
        <v>2523</v>
      </c>
      <c r="AM2812" s="1"/>
    </row>
    <row r="2813" spans="1:39" x14ac:dyDescent="0.35">
      <c r="A2813">
        <v>2809</v>
      </c>
      <c r="B2813">
        <v>2810</v>
      </c>
      <c r="F2813" s="63"/>
      <c r="G2813" s="63"/>
      <c r="H2813" t="s">
        <v>78</v>
      </c>
      <c r="I2813" s="64">
        <v>0</v>
      </c>
      <c r="J2813" s="31"/>
      <c r="K2813" s="31"/>
      <c r="L2813" s="31"/>
      <c r="M2813" s="31"/>
      <c r="N2813" s="4"/>
      <c r="AG2813" t="s">
        <v>2524</v>
      </c>
      <c r="AM2813" s="1"/>
    </row>
    <row r="2814" spans="1:39" x14ac:dyDescent="0.35">
      <c r="A2814">
        <v>2810</v>
      </c>
      <c r="B2814">
        <v>2811</v>
      </c>
      <c r="F2814" s="63"/>
      <c r="G2814" s="63"/>
      <c r="H2814" t="s">
        <v>78</v>
      </c>
      <c r="I2814" s="64">
        <v>0</v>
      </c>
      <c r="J2814" s="31"/>
      <c r="K2814" s="31"/>
      <c r="L2814" s="31"/>
      <c r="M2814" s="31"/>
      <c r="N2814" s="4"/>
      <c r="AG2814" t="s">
        <v>2525</v>
      </c>
      <c r="AM2814" s="1"/>
    </row>
    <row r="2815" spans="1:39" x14ac:dyDescent="0.35">
      <c r="A2815">
        <v>2811</v>
      </c>
      <c r="B2815">
        <v>2812</v>
      </c>
      <c r="F2815" s="63"/>
      <c r="G2815" s="63"/>
      <c r="H2815" t="s">
        <v>78</v>
      </c>
      <c r="I2815" s="64">
        <v>0</v>
      </c>
      <c r="J2815" s="31"/>
      <c r="K2815" s="31"/>
      <c r="L2815" s="31"/>
      <c r="M2815" s="31"/>
      <c r="N2815" s="4"/>
      <c r="AG2815" t="s">
        <v>2526</v>
      </c>
      <c r="AM2815" s="1"/>
    </row>
    <row r="2816" spans="1:39" x14ac:dyDescent="0.35">
      <c r="A2816">
        <v>2812</v>
      </c>
      <c r="B2816">
        <v>2813</v>
      </c>
      <c r="F2816" s="63"/>
      <c r="G2816" s="63"/>
      <c r="H2816" t="s">
        <v>78</v>
      </c>
      <c r="I2816" s="64">
        <v>0</v>
      </c>
      <c r="J2816" s="31"/>
      <c r="K2816" s="31"/>
      <c r="L2816" s="31"/>
      <c r="M2816" s="31"/>
      <c r="N2816" s="4"/>
      <c r="AG2816" t="s">
        <v>2527</v>
      </c>
      <c r="AM2816" s="1"/>
    </row>
    <row r="2817" spans="1:39" x14ac:dyDescent="0.35">
      <c r="A2817">
        <v>2813</v>
      </c>
      <c r="B2817">
        <v>2814</v>
      </c>
      <c r="F2817" s="63"/>
      <c r="G2817" s="63"/>
      <c r="H2817" t="s">
        <v>78</v>
      </c>
      <c r="I2817" s="64">
        <v>0</v>
      </c>
      <c r="J2817" s="31"/>
      <c r="K2817" s="31"/>
      <c r="L2817" s="31"/>
      <c r="M2817" s="31"/>
      <c r="N2817" s="4"/>
      <c r="AG2817" t="s">
        <v>2528</v>
      </c>
      <c r="AM2817" s="1"/>
    </row>
    <row r="2818" spans="1:39" x14ac:dyDescent="0.35">
      <c r="A2818">
        <v>2814</v>
      </c>
      <c r="B2818">
        <v>2815</v>
      </c>
      <c r="F2818" s="63"/>
      <c r="G2818" s="63"/>
      <c r="H2818" t="s">
        <v>78</v>
      </c>
      <c r="I2818" s="64">
        <v>0</v>
      </c>
      <c r="J2818" s="31"/>
      <c r="K2818" s="31"/>
      <c r="L2818" s="31"/>
      <c r="M2818" s="31"/>
      <c r="N2818" s="4"/>
      <c r="AG2818" t="s">
        <v>2529</v>
      </c>
      <c r="AM2818" s="1"/>
    </row>
    <row r="2819" spans="1:39" x14ac:dyDescent="0.35">
      <c r="A2819">
        <v>2815</v>
      </c>
      <c r="B2819">
        <v>2816</v>
      </c>
      <c r="F2819" s="63"/>
      <c r="G2819" s="63"/>
      <c r="H2819" t="s">
        <v>78</v>
      </c>
      <c r="I2819" s="64">
        <v>0</v>
      </c>
      <c r="J2819" s="31"/>
      <c r="K2819" s="31"/>
      <c r="L2819" s="31"/>
      <c r="M2819" s="31"/>
      <c r="N2819" s="4"/>
      <c r="AG2819" t="s">
        <v>2530</v>
      </c>
      <c r="AM2819" s="1"/>
    </row>
    <row r="2820" spans="1:39" x14ac:dyDescent="0.35">
      <c r="A2820">
        <v>2816</v>
      </c>
      <c r="B2820">
        <v>2817</v>
      </c>
      <c r="F2820" s="63"/>
      <c r="G2820" s="63"/>
      <c r="H2820" t="s">
        <v>78</v>
      </c>
      <c r="I2820" s="64">
        <v>0</v>
      </c>
      <c r="J2820" s="31"/>
      <c r="K2820" s="31"/>
      <c r="L2820" s="31"/>
      <c r="M2820" s="31"/>
      <c r="N2820" s="4"/>
      <c r="AG2820" t="s">
        <v>2531</v>
      </c>
      <c r="AM2820" s="1"/>
    </row>
    <row r="2821" spans="1:39" x14ac:dyDescent="0.35">
      <c r="A2821">
        <v>2817</v>
      </c>
      <c r="B2821">
        <v>2818</v>
      </c>
      <c r="F2821" s="63"/>
      <c r="G2821" s="63"/>
      <c r="H2821" t="s">
        <v>78</v>
      </c>
      <c r="I2821" s="64">
        <v>0</v>
      </c>
      <c r="J2821" s="31"/>
      <c r="K2821" s="31"/>
      <c r="L2821" s="31"/>
      <c r="M2821" s="31"/>
      <c r="N2821" s="4"/>
      <c r="AG2821" t="s">
        <v>2532</v>
      </c>
      <c r="AM2821" s="1"/>
    </row>
    <row r="2822" spans="1:39" x14ac:dyDescent="0.35">
      <c r="A2822">
        <v>2818</v>
      </c>
      <c r="B2822">
        <v>2819</v>
      </c>
      <c r="F2822" s="63"/>
      <c r="G2822" s="63"/>
      <c r="H2822" t="s">
        <v>78</v>
      </c>
      <c r="I2822" s="64">
        <v>0</v>
      </c>
      <c r="J2822" s="31"/>
      <c r="K2822" s="31"/>
      <c r="L2822" s="31"/>
      <c r="M2822" s="31"/>
      <c r="N2822" s="4"/>
      <c r="AG2822" t="s">
        <v>2533</v>
      </c>
      <c r="AM2822" s="1"/>
    </row>
    <row r="2823" spans="1:39" x14ac:dyDescent="0.35">
      <c r="A2823">
        <v>2819</v>
      </c>
      <c r="B2823">
        <v>2820</v>
      </c>
      <c r="F2823" s="63"/>
      <c r="G2823" s="63"/>
      <c r="H2823" t="s">
        <v>78</v>
      </c>
      <c r="I2823" s="64">
        <v>0</v>
      </c>
      <c r="J2823" s="31"/>
      <c r="K2823" s="31"/>
      <c r="L2823" s="31"/>
      <c r="M2823" s="31"/>
      <c r="N2823" s="4"/>
      <c r="AG2823" t="s">
        <v>2534</v>
      </c>
      <c r="AM2823" s="1"/>
    </row>
    <row r="2824" spans="1:39" x14ac:dyDescent="0.35">
      <c r="A2824">
        <v>2820</v>
      </c>
      <c r="B2824">
        <v>2821</v>
      </c>
      <c r="F2824" s="63"/>
      <c r="G2824" s="63"/>
      <c r="H2824" t="s">
        <v>78</v>
      </c>
      <c r="I2824" s="64">
        <v>0</v>
      </c>
      <c r="J2824" s="31"/>
      <c r="K2824" s="31"/>
      <c r="L2824" s="31"/>
      <c r="M2824" s="31"/>
      <c r="N2824" s="4"/>
      <c r="AG2824" t="s">
        <v>2535</v>
      </c>
      <c r="AM2824" s="1"/>
    </row>
    <row r="2825" spans="1:39" x14ac:dyDescent="0.35">
      <c r="A2825">
        <v>2821</v>
      </c>
      <c r="B2825">
        <v>2822</v>
      </c>
      <c r="F2825" s="63"/>
      <c r="G2825" s="63"/>
      <c r="H2825" t="s">
        <v>78</v>
      </c>
      <c r="I2825" s="64">
        <v>0</v>
      </c>
      <c r="J2825" s="31"/>
      <c r="K2825" s="31"/>
      <c r="L2825" s="31"/>
      <c r="M2825" s="31"/>
      <c r="N2825" s="4"/>
      <c r="AG2825" t="s">
        <v>2536</v>
      </c>
      <c r="AM2825" s="1"/>
    </row>
    <row r="2826" spans="1:39" x14ac:dyDescent="0.35">
      <c r="A2826">
        <v>2822</v>
      </c>
      <c r="B2826">
        <v>2823</v>
      </c>
      <c r="F2826" s="63"/>
      <c r="G2826" s="63"/>
      <c r="H2826" t="s">
        <v>78</v>
      </c>
      <c r="I2826" s="64">
        <v>0</v>
      </c>
      <c r="J2826" s="31"/>
      <c r="K2826" s="31"/>
      <c r="L2826" s="31"/>
      <c r="M2826" s="31"/>
      <c r="N2826" s="4"/>
      <c r="AG2826" t="s">
        <v>2537</v>
      </c>
      <c r="AM2826" s="1"/>
    </row>
    <row r="2827" spans="1:39" x14ac:dyDescent="0.35">
      <c r="A2827">
        <v>2823</v>
      </c>
      <c r="B2827">
        <v>2824</v>
      </c>
      <c r="F2827" s="63"/>
      <c r="G2827" s="63"/>
      <c r="H2827" t="s">
        <v>78</v>
      </c>
      <c r="I2827" s="64">
        <v>0</v>
      </c>
      <c r="J2827" s="31"/>
      <c r="K2827" s="31"/>
      <c r="L2827" s="31"/>
      <c r="M2827" s="31"/>
      <c r="N2827" s="4"/>
      <c r="AG2827" t="s">
        <v>2538</v>
      </c>
      <c r="AM2827" s="1"/>
    </row>
    <row r="2828" spans="1:39" x14ac:dyDescent="0.35">
      <c r="A2828">
        <v>2824</v>
      </c>
      <c r="B2828">
        <v>2825</v>
      </c>
      <c r="F2828" s="63"/>
      <c r="G2828" s="63"/>
      <c r="H2828" t="s">
        <v>78</v>
      </c>
      <c r="I2828" s="64">
        <v>0</v>
      </c>
      <c r="J2828" s="31"/>
      <c r="K2828" s="31"/>
      <c r="L2828" s="31"/>
      <c r="M2828" s="31"/>
      <c r="N2828" s="4"/>
      <c r="AG2828" t="s">
        <v>2539</v>
      </c>
      <c r="AM2828" s="1"/>
    </row>
    <row r="2829" spans="1:39" x14ac:dyDescent="0.35">
      <c r="A2829">
        <v>2825</v>
      </c>
      <c r="B2829">
        <v>2826</v>
      </c>
      <c r="F2829" s="63"/>
      <c r="G2829" s="63"/>
      <c r="H2829" t="s">
        <v>78</v>
      </c>
      <c r="I2829" s="64">
        <v>0</v>
      </c>
      <c r="J2829" s="31"/>
      <c r="K2829" s="31"/>
      <c r="L2829" s="31"/>
      <c r="M2829" s="31"/>
      <c r="N2829" s="4"/>
      <c r="AG2829" t="s">
        <v>2540</v>
      </c>
      <c r="AM2829" s="1"/>
    </row>
    <row r="2830" spans="1:39" x14ac:dyDescent="0.35">
      <c r="A2830">
        <v>2826</v>
      </c>
      <c r="B2830">
        <v>2827</v>
      </c>
      <c r="F2830" s="63"/>
      <c r="G2830" s="63"/>
      <c r="H2830" t="s">
        <v>78</v>
      </c>
      <c r="I2830" s="64">
        <v>0</v>
      </c>
      <c r="J2830" s="31"/>
      <c r="K2830" s="31"/>
      <c r="L2830" s="31"/>
      <c r="M2830" s="31"/>
      <c r="N2830" s="4"/>
      <c r="AG2830" t="s">
        <v>2541</v>
      </c>
      <c r="AM2830" s="1"/>
    </row>
    <row r="2831" spans="1:39" x14ac:dyDescent="0.35">
      <c r="A2831">
        <v>2827</v>
      </c>
      <c r="B2831">
        <v>2828</v>
      </c>
      <c r="F2831" s="63"/>
      <c r="G2831" s="63"/>
      <c r="H2831" t="s">
        <v>78</v>
      </c>
      <c r="I2831" s="64">
        <v>0</v>
      </c>
      <c r="J2831" s="31"/>
      <c r="K2831" s="31"/>
      <c r="L2831" s="31"/>
      <c r="M2831" s="31"/>
      <c r="N2831" s="4"/>
      <c r="AG2831" t="s">
        <v>2542</v>
      </c>
      <c r="AM2831" s="1"/>
    </row>
    <row r="2832" spans="1:39" x14ac:dyDescent="0.35">
      <c r="A2832">
        <v>2828</v>
      </c>
      <c r="B2832">
        <v>2829</v>
      </c>
      <c r="F2832" s="63"/>
      <c r="G2832" s="63"/>
      <c r="H2832" t="s">
        <v>78</v>
      </c>
      <c r="I2832" s="64">
        <v>0</v>
      </c>
      <c r="J2832" s="31"/>
      <c r="K2832" s="31"/>
      <c r="L2832" s="31"/>
      <c r="M2832" s="31"/>
      <c r="N2832" s="4"/>
      <c r="AG2832" t="s">
        <v>2543</v>
      </c>
      <c r="AM2832" s="1"/>
    </row>
    <row r="2833" spans="1:39" x14ac:dyDescent="0.35">
      <c r="A2833">
        <v>2829</v>
      </c>
      <c r="B2833">
        <v>2830</v>
      </c>
      <c r="F2833" s="63"/>
      <c r="G2833" s="63"/>
      <c r="H2833" t="s">
        <v>78</v>
      </c>
      <c r="I2833" s="64">
        <v>0</v>
      </c>
      <c r="J2833" s="31"/>
      <c r="K2833" s="31"/>
      <c r="L2833" s="31"/>
      <c r="M2833" s="31"/>
      <c r="N2833" s="4"/>
      <c r="AG2833" t="s">
        <v>2544</v>
      </c>
      <c r="AM2833" s="1"/>
    </row>
    <row r="2834" spans="1:39" x14ac:dyDescent="0.35">
      <c r="A2834">
        <v>2830</v>
      </c>
      <c r="B2834">
        <v>2831</v>
      </c>
      <c r="F2834" s="63"/>
      <c r="G2834" s="63"/>
      <c r="H2834" t="s">
        <v>78</v>
      </c>
      <c r="I2834" s="64">
        <v>0</v>
      </c>
      <c r="J2834" s="31"/>
      <c r="K2834" s="31"/>
      <c r="L2834" s="31"/>
      <c r="M2834" s="31"/>
      <c r="N2834" s="4"/>
      <c r="AG2834" t="s">
        <v>2545</v>
      </c>
      <c r="AM2834" s="1"/>
    </row>
    <row r="2835" spans="1:39" x14ac:dyDescent="0.35">
      <c r="A2835">
        <v>2831</v>
      </c>
      <c r="B2835">
        <v>2832</v>
      </c>
      <c r="F2835" s="63"/>
      <c r="G2835" s="63"/>
      <c r="H2835" t="s">
        <v>78</v>
      </c>
      <c r="I2835" s="64">
        <v>0</v>
      </c>
      <c r="J2835" s="31"/>
      <c r="K2835" s="31"/>
      <c r="L2835" s="31"/>
      <c r="M2835" s="31"/>
      <c r="N2835" s="4"/>
      <c r="AG2835" t="s">
        <v>2546</v>
      </c>
      <c r="AM2835" s="1"/>
    </row>
    <row r="2836" spans="1:39" x14ac:dyDescent="0.35">
      <c r="A2836">
        <v>2832</v>
      </c>
      <c r="B2836">
        <v>2833</v>
      </c>
      <c r="F2836" s="63"/>
      <c r="G2836" s="63"/>
      <c r="H2836" t="s">
        <v>78</v>
      </c>
      <c r="I2836" s="64">
        <v>0</v>
      </c>
      <c r="J2836" s="31"/>
      <c r="K2836" s="31"/>
      <c r="L2836" s="31"/>
      <c r="M2836" s="31"/>
      <c r="N2836" s="4"/>
      <c r="AG2836" t="s">
        <v>2547</v>
      </c>
      <c r="AM2836" s="1"/>
    </row>
    <row r="2837" spans="1:39" x14ac:dyDescent="0.35">
      <c r="A2837">
        <v>2833</v>
      </c>
      <c r="B2837">
        <v>2834</v>
      </c>
      <c r="F2837" s="63"/>
      <c r="G2837" s="63"/>
      <c r="H2837" t="s">
        <v>78</v>
      </c>
      <c r="I2837" s="64">
        <v>0</v>
      </c>
      <c r="J2837" s="31"/>
      <c r="K2837" s="31"/>
      <c r="L2837" s="31"/>
      <c r="M2837" s="31"/>
      <c r="N2837" s="4"/>
      <c r="AG2837" t="s">
        <v>2548</v>
      </c>
      <c r="AM2837" s="1"/>
    </row>
    <row r="2838" spans="1:39" x14ac:dyDescent="0.35">
      <c r="A2838">
        <v>2834</v>
      </c>
      <c r="B2838">
        <v>2835</v>
      </c>
      <c r="F2838" s="63"/>
      <c r="G2838" s="63"/>
      <c r="H2838" t="s">
        <v>78</v>
      </c>
      <c r="I2838" s="64">
        <v>0</v>
      </c>
      <c r="J2838" s="31"/>
      <c r="K2838" s="31"/>
      <c r="L2838" s="31"/>
      <c r="M2838" s="31"/>
      <c r="N2838" s="4"/>
      <c r="AG2838" t="s">
        <v>2549</v>
      </c>
      <c r="AM2838" s="1"/>
    </row>
    <row r="2839" spans="1:39" x14ac:dyDescent="0.35">
      <c r="A2839">
        <v>2835</v>
      </c>
      <c r="B2839">
        <v>2836</v>
      </c>
      <c r="F2839" s="63"/>
      <c r="G2839" s="63"/>
      <c r="H2839" t="s">
        <v>78</v>
      </c>
      <c r="I2839" s="64">
        <v>0</v>
      </c>
      <c r="J2839" s="31"/>
      <c r="K2839" s="31"/>
      <c r="L2839" s="31"/>
      <c r="M2839" s="31"/>
      <c r="N2839" s="4"/>
      <c r="AG2839" t="s">
        <v>2550</v>
      </c>
      <c r="AM2839" s="1"/>
    </row>
    <row r="2840" spans="1:39" x14ac:dyDescent="0.35">
      <c r="A2840">
        <v>2836</v>
      </c>
      <c r="B2840">
        <v>2837</v>
      </c>
      <c r="F2840" s="63"/>
      <c r="G2840" s="63"/>
      <c r="H2840" t="s">
        <v>78</v>
      </c>
      <c r="I2840" s="64">
        <v>0</v>
      </c>
      <c r="J2840" s="31"/>
      <c r="K2840" s="31"/>
      <c r="L2840" s="31"/>
      <c r="M2840" s="31"/>
      <c r="N2840" s="4"/>
      <c r="AG2840" t="s">
        <v>2551</v>
      </c>
      <c r="AM2840" s="1"/>
    </row>
    <row r="2841" spans="1:39" x14ac:dyDescent="0.35">
      <c r="A2841">
        <v>2837</v>
      </c>
      <c r="B2841">
        <v>2838</v>
      </c>
      <c r="F2841" s="63"/>
      <c r="G2841" s="63"/>
      <c r="H2841" t="s">
        <v>78</v>
      </c>
      <c r="I2841" s="64">
        <v>0</v>
      </c>
      <c r="J2841" s="31"/>
      <c r="K2841" s="31"/>
      <c r="L2841" s="31"/>
      <c r="M2841" s="31"/>
      <c r="N2841" s="4"/>
      <c r="AG2841" t="s">
        <v>2552</v>
      </c>
      <c r="AM2841" s="1"/>
    </row>
    <row r="2842" spans="1:39" x14ac:dyDescent="0.35">
      <c r="A2842">
        <v>2838</v>
      </c>
      <c r="B2842">
        <v>2839</v>
      </c>
      <c r="F2842" s="63"/>
      <c r="G2842" s="63"/>
      <c r="H2842" t="s">
        <v>78</v>
      </c>
      <c r="I2842" s="64">
        <v>0</v>
      </c>
      <c r="J2842" s="31"/>
      <c r="K2842" s="31"/>
      <c r="L2842" s="31"/>
      <c r="M2842" s="31"/>
      <c r="N2842" s="4"/>
      <c r="AG2842" t="s">
        <v>2553</v>
      </c>
      <c r="AM2842" s="1"/>
    </row>
    <row r="2843" spans="1:39" x14ac:dyDescent="0.35">
      <c r="A2843">
        <v>2839</v>
      </c>
      <c r="B2843">
        <v>2840</v>
      </c>
      <c r="F2843" s="63"/>
      <c r="G2843" s="63"/>
      <c r="H2843" t="s">
        <v>78</v>
      </c>
      <c r="I2843" s="64">
        <v>0</v>
      </c>
      <c r="J2843" s="31"/>
      <c r="K2843" s="31"/>
      <c r="L2843" s="31"/>
      <c r="M2843" s="31"/>
      <c r="N2843" s="4"/>
      <c r="AG2843" t="s">
        <v>2554</v>
      </c>
      <c r="AM2843" s="1"/>
    </row>
    <row r="2844" spans="1:39" x14ac:dyDescent="0.35">
      <c r="A2844">
        <v>2840</v>
      </c>
      <c r="B2844">
        <v>2841</v>
      </c>
      <c r="F2844" s="63"/>
      <c r="G2844" s="63"/>
      <c r="H2844" t="s">
        <v>78</v>
      </c>
      <c r="I2844" s="64">
        <v>0</v>
      </c>
      <c r="J2844" s="31"/>
      <c r="K2844" s="31"/>
      <c r="L2844" s="31"/>
      <c r="M2844" s="31"/>
      <c r="N2844" s="4"/>
      <c r="AG2844" t="s">
        <v>2555</v>
      </c>
      <c r="AM2844" s="1"/>
    </row>
    <row r="2845" spans="1:39" x14ac:dyDescent="0.35">
      <c r="A2845">
        <v>2841</v>
      </c>
      <c r="B2845">
        <v>2842</v>
      </c>
      <c r="F2845" s="63"/>
      <c r="G2845" s="63"/>
      <c r="H2845" t="s">
        <v>78</v>
      </c>
      <c r="I2845" s="64">
        <v>0</v>
      </c>
      <c r="J2845" s="31"/>
      <c r="K2845" s="31"/>
      <c r="L2845" s="31"/>
      <c r="M2845" s="31"/>
      <c r="N2845" s="4"/>
      <c r="AG2845" t="s">
        <v>2556</v>
      </c>
      <c r="AM2845" s="1"/>
    </row>
    <row r="2846" spans="1:39" x14ac:dyDescent="0.35">
      <c r="A2846">
        <v>2842</v>
      </c>
      <c r="B2846">
        <v>2843</v>
      </c>
      <c r="F2846" s="63"/>
      <c r="G2846" s="63"/>
      <c r="H2846" t="s">
        <v>78</v>
      </c>
      <c r="I2846" s="64">
        <v>0</v>
      </c>
      <c r="J2846" s="31"/>
      <c r="K2846" s="31"/>
      <c r="L2846" s="31"/>
      <c r="M2846" s="31"/>
      <c r="N2846" s="4"/>
      <c r="AG2846" t="s">
        <v>2557</v>
      </c>
      <c r="AM2846" s="1"/>
    </row>
    <row r="2847" spans="1:39" x14ac:dyDescent="0.35">
      <c r="A2847">
        <v>2843</v>
      </c>
      <c r="B2847">
        <v>2844</v>
      </c>
      <c r="F2847" s="63"/>
      <c r="G2847" s="63"/>
      <c r="H2847" t="s">
        <v>78</v>
      </c>
      <c r="I2847" s="64">
        <v>0</v>
      </c>
      <c r="J2847" s="31"/>
      <c r="K2847" s="31"/>
      <c r="L2847" s="31"/>
      <c r="M2847" s="31"/>
      <c r="N2847" s="4"/>
      <c r="AG2847" t="s">
        <v>2558</v>
      </c>
      <c r="AM2847" s="1"/>
    </row>
    <row r="2848" spans="1:39" x14ac:dyDescent="0.35">
      <c r="A2848">
        <v>2844</v>
      </c>
      <c r="B2848">
        <v>2845</v>
      </c>
      <c r="F2848" s="63"/>
      <c r="G2848" s="63"/>
      <c r="H2848" t="s">
        <v>78</v>
      </c>
      <c r="I2848" s="64">
        <v>0</v>
      </c>
      <c r="J2848" s="31"/>
      <c r="K2848" s="31"/>
      <c r="L2848" s="31"/>
      <c r="M2848" s="31"/>
      <c r="N2848" s="4"/>
      <c r="AG2848" t="s">
        <v>2559</v>
      </c>
      <c r="AM2848" s="1"/>
    </row>
    <row r="2849" spans="1:39" x14ac:dyDescent="0.35">
      <c r="A2849">
        <v>2845</v>
      </c>
      <c r="B2849">
        <v>2846</v>
      </c>
      <c r="F2849" s="63"/>
      <c r="G2849" s="63"/>
      <c r="H2849" t="s">
        <v>78</v>
      </c>
      <c r="I2849" s="64">
        <v>0</v>
      </c>
      <c r="J2849" s="31"/>
      <c r="K2849" s="31"/>
      <c r="L2849" s="31"/>
      <c r="M2849" s="31"/>
      <c r="N2849" s="4"/>
      <c r="AG2849" t="s">
        <v>2560</v>
      </c>
      <c r="AM2849" s="1"/>
    </row>
    <row r="2850" spans="1:39" x14ac:dyDescent="0.35">
      <c r="A2850">
        <v>2846</v>
      </c>
      <c r="B2850">
        <v>2847</v>
      </c>
      <c r="F2850" s="63"/>
      <c r="G2850" s="63"/>
      <c r="H2850" t="s">
        <v>78</v>
      </c>
      <c r="I2850" s="64">
        <v>0</v>
      </c>
      <c r="J2850" s="31"/>
      <c r="K2850" s="31"/>
      <c r="L2850" s="31"/>
      <c r="M2850" s="31"/>
      <c r="N2850" s="4"/>
      <c r="AG2850" t="s">
        <v>2561</v>
      </c>
      <c r="AM2850" s="1"/>
    </row>
    <row r="2851" spans="1:39" x14ac:dyDescent="0.35">
      <c r="A2851">
        <v>2847</v>
      </c>
      <c r="B2851">
        <v>2848</v>
      </c>
      <c r="F2851" s="63"/>
      <c r="G2851" s="63"/>
      <c r="H2851" t="s">
        <v>78</v>
      </c>
      <c r="I2851" s="64">
        <v>0</v>
      </c>
      <c r="J2851" s="31"/>
      <c r="K2851" s="31"/>
      <c r="L2851" s="31"/>
      <c r="M2851" s="31"/>
      <c r="N2851" s="4"/>
      <c r="AG2851" t="s">
        <v>2562</v>
      </c>
      <c r="AM2851" s="1"/>
    </row>
    <row r="2852" spans="1:39" x14ac:dyDescent="0.35">
      <c r="A2852">
        <v>2848</v>
      </c>
      <c r="B2852">
        <v>2849</v>
      </c>
      <c r="F2852" s="63"/>
      <c r="G2852" s="63"/>
      <c r="H2852" t="s">
        <v>78</v>
      </c>
      <c r="I2852" s="64">
        <v>0</v>
      </c>
      <c r="J2852" s="31"/>
      <c r="K2852" s="31"/>
      <c r="L2852" s="31"/>
      <c r="M2852" s="31"/>
      <c r="N2852" s="4"/>
      <c r="AG2852" t="s">
        <v>2563</v>
      </c>
      <c r="AM2852" s="1"/>
    </row>
    <row r="2853" spans="1:39" x14ac:dyDescent="0.35">
      <c r="A2853">
        <v>2849</v>
      </c>
      <c r="B2853">
        <v>2850</v>
      </c>
      <c r="F2853" s="63"/>
      <c r="G2853" s="63"/>
      <c r="H2853" t="s">
        <v>78</v>
      </c>
      <c r="I2853" s="64">
        <v>0</v>
      </c>
      <c r="J2853" s="31"/>
      <c r="K2853" s="31"/>
      <c r="L2853" s="31"/>
      <c r="M2853" s="31"/>
      <c r="N2853" s="4"/>
      <c r="AG2853" t="s">
        <v>2564</v>
      </c>
      <c r="AM2853" s="1"/>
    </row>
    <row r="2854" spans="1:39" x14ac:dyDescent="0.35">
      <c r="A2854">
        <v>2850</v>
      </c>
      <c r="B2854">
        <v>2851</v>
      </c>
      <c r="F2854" s="63"/>
      <c r="G2854" s="63"/>
      <c r="H2854" t="s">
        <v>78</v>
      </c>
      <c r="I2854" s="64">
        <v>0</v>
      </c>
      <c r="J2854" s="31"/>
      <c r="K2854" s="31"/>
      <c r="L2854" s="31"/>
      <c r="M2854" s="31"/>
      <c r="N2854" s="4"/>
      <c r="AG2854" t="s">
        <v>2565</v>
      </c>
      <c r="AM2854" s="1"/>
    </row>
    <row r="2855" spans="1:39" x14ac:dyDescent="0.35">
      <c r="A2855">
        <v>2851</v>
      </c>
      <c r="B2855">
        <v>2852</v>
      </c>
      <c r="F2855" s="63"/>
      <c r="G2855" s="63"/>
      <c r="H2855" t="s">
        <v>78</v>
      </c>
      <c r="I2855" s="64">
        <v>0</v>
      </c>
      <c r="J2855" s="31"/>
      <c r="K2855" s="31"/>
      <c r="L2855" s="31"/>
      <c r="M2855" s="31"/>
      <c r="N2855" s="4"/>
      <c r="AG2855" t="s">
        <v>2566</v>
      </c>
      <c r="AM2855" s="1"/>
    </row>
    <row r="2856" spans="1:39" x14ac:dyDescent="0.35">
      <c r="A2856">
        <v>2852</v>
      </c>
      <c r="B2856">
        <v>2853</v>
      </c>
      <c r="F2856" s="63"/>
      <c r="G2856" s="63"/>
      <c r="H2856" t="s">
        <v>78</v>
      </c>
      <c r="I2856" s="64">
        <v>0</v>
      </c>
      <c r="J2856" s="31"/>
      <c r="K2856" s="31"/>
      <c r="L2856" s="31"/>
      <c r="M2856" s="31"/>
      <c r="N2856" s="4"/>
      <c r="AG2856" t="s">
        <v>2567</v>
      </c>
      <c r="AM2856" s="1"/>
    </row>
    <row r="2857" spans="1:39" x14ac:dyDescent="0.35">
      <c r="A2857">
        <v>2853</v>
      </c>
      <c r="B2857">
        <v>2854</v>
      </c>
      <c r="F2857" s="63"/>
      <c r="G2857" s="63"/>
      <c r="H2857" t="s">
        <v>78</v>
      </c>
      <c r="I2857" s="64">
        <v>0</v>
      </c>
      <c r="J2857" s="31"/>
      <c r="K2857" s="31"/>
      <c r="L2857" s="31"/>
      <c r="M2857" s="31"/>
      <c r="N2857" s="4"/>
      <c r="AG2857" t="s">
        <v>2568</v>
      </c>
      <c r="AM2857" s="1"/>
    </row>
    <row r="2858" spans="1:39" x14ac:dyDescent="0.35">
      <c r="A2858">
        <v>2854</v>
      </c>
      <c r="B2858">
        <v>2855</v>
      </c>
      <c r="F2858" s="63"/>
      <c r="G2858" s="63"/>
      <c r="H2858" t="s">
        <v>78</v>
      </c>
      <c r="I2858" s="64">
        <v>0</v>
      </c>
      <c r="J2858" s="31"/>
      <c r="K2858" s="31"/>
      <c r="L2858" s="31"/>
      <c r="M2858" s="31"/>
      <c r="N2858" s="4"/>
      <c r="AG2858" t="s">
        <v>2569</v>
      </c>
      <c r="AM2858" s="1"/>
    </row>
    <row r="2859" spans="1:39" x14ac:dyDescent="0.35">
      <c r="A2859">
        <v>2855</v>
      </c>
      <c r="B2859">
        <v>2856</v>
      </c>
      <c r="F2859" s="63"/>
      <c r="G2859" s="63"/>
      <c r="H2859" t="s">
        <v>78</v>
      </c>
      <c r="I2859" s="64">
        <v>0</v>
      </c>
      <c r="J2859" s="31"/>
      <c r="K2859" s="31"/>
      <c r="L2859" s="31"/>
      <c r="M2859" s="31"/>
      <c r="N2859" s="4"/>
      <c r="AG2859" t="s">
        <v>2570</v>
      </c>
      <c r="AM2859" s="1"/>
    </row>
    <row r="2860" spans="1:39" x14ac:dyDescent="0.35">
      <c r="A2860">
        <v>2856</v>
      </c>
      <c r="B2860">
        <v>2857</v>
      </c>
      <c r="F2860" s="63"/>
      <c r="G2860" s="63"/>
      <c r="H2860" t="s">
        <v>78</v>
      </c>
      <c r="I2860" s="64">
        <v>0</v>
      </c>
      <c r="J2860" s="31"/>
      <c r="K2860" s="31"/>
      <c r="L2860" s="31"/>
      <c r="M2860" s="31"/>
      <c r="N2860" s="4"/>
      <c r="AG2860" t="s">
        <v>2571</v>
      </c>
      <c r="AM2860" s="1"/>
    </row>
    <row r="2861" spans="1:39" x14ac:dyDescent="0.35">
      <c r="A2861">
        <v>2857</v>
      </c>
      <c r="B2861">
        <v>2858</v>
      </c>
      <c r="F2861" s="63"/>
      <c r="G2861" s="63"/>
      <c r="H2861" t="s">
        <v>78</v>
      </c>
      <c r="I2861" s="64">
        <v>0</v>
      </c>
      <c r="J2861" s="31"/>
      <c r="K2861" s="31"/>
      <c r="L2861" s="31"/>
      <c r="M2861" s="31"/>
      <c r="N2861" s="4"/>
      <c r="AG2861" t="s">
        <v>2572</v>
      </c>
      <c r="AM2861" s="1"/>
    </row>
    <row r="2862" spans="1:39" x14ac:dyDescent="0.35">
      <c r="A2862">
        <v>2858</v>
      </c>
      <c r="B2862">
        <v>2859</v>
      </c>
      <c r="F2862" s="63"/>
      <c r="G2862" s="63"/>
      <c r="H2862" t="s">
        <v>78</v>
      </c>
      <c r="I2862" s="64">
        <v>0</v>
      </c>
      <c r="J2862" s="31"/>
      <c r="K2862" s="31"/>
      <c r="L2862" s="31"/>
      <c r="M2862" s="31"/>
      <c r="N2862" s="4"/>
      <c r="AG2862" t="s">
        <v>2573</v>
      </c>
      <c r="AM2862" s="1"/>
    </row>
    <row r="2863" spans="1:39" x14ac:dyDescent="0.35">
      <c r="A2863">
        <v>2859</v>
      </c>
      <c r="B2863">
        <v>2860</v>
      </c>
      <c r="F2863" s="63"/>
      <c r="G2863" s="63"/>
      <c r="H2863" t="s">
        <v>78</v>
      </c>
      <c r="I2863" s="64">
        <v>0</v>
      </c>
      <c r="J2863" s="31"/>
      <c r="K2863" s="31"/>
      <c r="L2863" s="31"/>
      <c r="M2863" s="31"/>
      <c r="N2863" s="4"/>
      <c r="AG2863" t="s">
        <v>2574</v>
      </c>
      <c r="AM2863" s="1"/>
    </row>
    <row r="2864" spans="1:39" x14ac:dyDescent="0.35">
      <c r="A2864">
        <v>2860</v>
      </c>
      <c r="B2864">
        <v>2861</v>
      </c>
      <c r="F2864" s="63"/>
      <c r="G2864" s="63"/>
      <c r="H2864" t="s">
        <v>78</v>
      </c>
      <c r="I2864" s="64">
        <v>0</v>
      </c>
      <c r="J2864" s="31"/>
      <c r="K2864" s="31"/>
      <c r="L2864" s="31"/>
      <c r="M2864" s="31"/>
      <c r="N2864" s="4"/>
      <c r="AG2864" t="s">
        <v>2575</v>
      </c>
      <c r="AM2864" s="1"/>
    </row>
    <row r="2865" spans="1:39" x14ac:dyDescent="0.35">
      <c r="A2865">
        <v>2861</v>
      </c>
      <c r="B2865">
        <v>2862</v>
      </c>
      <c r="F2865" s="63"/>
      <c r="G2865" s="63"/>
      <c r="H2865" t="s">
        <v>78</v>
      </c>
      <c r="I2865" s="64">
        <v>0</v>
      </c>
      <c r="J2865" s="31"/>
      <c r="K2865" s="31"/>
      <c r="L2865" s="31"/>
      <c r="M2865" s="31"/>
      <c r="N2865" s="4"/>
      <c r="AG2865" t="s">
        <v>2576</v>
      </c>
      <c r="AM2865" s="1"/>
    </row>
    <row r="2866" spans="1:39" x14ac:dyDescent="0.35">
      <c r="A2866">
        <v>2862</v>
      </c>
      <c r="B2866">
        <v>2863</v>
      </c>
      <c r="F2866" s="63"/>
      <c r="G2866" s="63"/>
      <c r="H2866" t="s">
        <v>78</v>
      </c>
      <c r="I2866" s="64">
        <v>0</v>
      </c>
      <c r="J2866" s="31"/>
      <c r="K2866" s="31"/>
      <c r="L2866" s="31"/>
      <c r="M2866" s="31"/>
      <c r="N2866" s="4"/>
      <c r="AG2866" t="s">
        <v>2577</v>
      </c>
      <c r="AM2866" s="1"/>
    </row>
    <row r="2867" spans="1:39" x14ac:dyDescent="0.35">
      <c r="A2867">
        <v>2863</v>
      </c>
      <c r="B2867">
        <v>2864</v>
      </c>
      <c r="F2867" s="63"/>
      <c r="G2867" s="63"/>
      <c r="H2867" t="s">
        <v>78</v>
      </c>
      <c r="I2867" s="64">
        <v>0</v>
      </c>
      <c r="J2867" s="31"/>
      <c r="K2867" s="31"/>
      <c r="L2867" s="31"/>
      <c r="M2867" s="31"/>
      <c r="N2867" s="4"/>
      <c r="AG2867" t="s">
        <v>2578</v>
      </c>
      <c r="AM2867" s="1"/>
    </row>
    <row r="2868" spans="1:39" x14ac:dyDescent="0.35">
      <c r="A2868">
        <v>2864</v>
      </c>
      <c r="B2868">
        <v>2865</v>
      </c>
      <c r="F2868" s="63"/>
      <c r="G2868" s="63"/>
      <c r="H2868" t="s">
        <v>78</v>
      </c>
      <c r="I2868" s="64">
        <v>0</v>
      </c>
      <c r="J2868" s="31"/>
      <c r="K2868" s="31"/>
      <c r="L2868" s="31"/>
      <c r="M2868" s="31"/>
      <c r="N2868" s="4"/>
      <c r="AG2868" t="s">
        <v>2579</v>
      </c>
      <c r="AM2868" s="1"/>
    </row>
    <row r="2869" spans="1:39" x14ac:dyDescent="0.35">
      <c r="A2869">
        <v>2865</v>
      </c>
      <c r="B2869">
        <v>2866</v>
      </c>
      <c r="F2869" s="63"/>
      <c r="G2869" s="63"/>
      <c r="H2869" t="s">
        <v>78</v>
      </c>
      <c r="I2869" s="64">
        <v>0</v>
      </c>
      <c r="J2869" s="31"/>
      <c r="K2869" s="31"/>
      <c r="L2869" s="31"/>
      <c r="M2869" s="31"/>
      <c r="N2869" s="4"/>
      <c r="AG2869" t="s">
        <v>2580</v>
      </c>
      <c r="AM2869" s="1"/>
    </row>
    <row r="2870" spans="1:39" x14ac:dyDescent="0.35">
      <c r="A2870">
        <v>2866</v>
      </c>
      <c r="B2870">
        <v>2867</v>
      </c>
      <c r="F2870" s="63"/>
      <c r="G2870" s="63"/>
      <c r="H2870" t="s">
        <v>78</v>
      </c>
      <c r="I2870" s="64">
        <v>0</v>
      </c>
      <c r="J2870" s="31"/>
      <c r="K2870" s="31"/>
      <c r="L2870" s="31"/>
      <c r="M2870" s="31"/>
      <c r="N2870" s="4"/>
      <c r="AG2870" t="s">
        <v>2581</v>
      </c>
      <c r="AM2870" s="1"/>
    </row>
    <row r="2871" spans="1:39" x14ac:dyDescent="0.35">
      <c r="A2871">
        <v>2867</v>
      </c>
      <c r="B2871">
        <v>2868</v>
      </c>
      <c r="F2871" s="63"/>
      <c r="G2871" s="63"/>
      <c r="H2871" t="s">
        <v>78</v>
      </c>
      <c r="I2871" s="64">
        <v>0</v>
      </c>
      <c r="J2871" s="31"/>
      <c r="K2871" s="31"/>
      <c r="L2871" s="31"/>
      <c r="M2871" s="31"/>
      <c r="N2871" s="4"/>
      <c r="AG2871" t="s">
        <v>2582</v>
      </c>
      <c r="AM2871" s="1"/>
    </row>
    <row r="2872" spans="1:39" x14ac:dyDescent="0.35">
      <c r="A2872">
        <v>2868</v>
      </c>
      <c r="B2872">
        <v>2869</v>
      </c>
      <c r="F2872" s="63"/>
      <c r="G2872" s="63"/>
      <c r="H2872" t="s">
        <v>78</v>
      </c>
      <c r="I2872" s="64">
        <v>0</v>
      </c>
      <c r="J2872" s="31"/>
      <c r="K2872" s="31"/>
      <c r="L2872" s="31"/>
      <c r="M2872" s="31"/>
      <c r="N2872" s="4"/>
      <c r="AG2872" t="s">
        <v>2583</v>
      </c>
      <c r="AM2872" s="1"/>
    </row>
    <row r="2873" spans="1:39" x14ac:dyDescent="0.35">
      <c r="A2873">
        <v>2869</v>
      </c>
      <c r="B2873">
        <v>2870</v>
      </c>
      <c r="F2873" s="63"/>
      <c r="G2873" s="63"/>
      <c r="H2873" t="s">
        <v>78</v>
      </c>
      <c r="I2873" s="64">
        <v>0</v>
      </c>
      <c r="J2873" s="31"/>
      <c r="K2873" s="31"/>
      <c r="L2873" s="31"/>
      <c r="M2873" s="31"/>
      <c r="N2873" s="4"/>
      <c r="AG2873" t="s">
        <v>2584</v>
      </c>
      <c r="AM2873" s="1"/>
    </row>
    <row r="2874" spans="1:39" x14ac:dyDescent="0.35">
      <c r="A2874">
        <v>2870</v>
      </c>
      <c r="B2874">
        <v>2871</v>
      </c>
      <c r="F2874" s="63"/>
      <c r="G2874" s="63"/>
      <c r="H2874" t="s">
        <v>78</v>
      </c>
      <c r="I2874" s="64">
        <v>0</v>
      </c>
      <c r="J2874" s="31"/>
      <c r="K2874" s="31"/>
      <c r="L2874" s="31"/>
      <c r="M2874" s="31"/>
      <c r="N2874" s="4"/>
      <c r="AG2874" t="s">
        <v>2585</v>
      </c>
      <c r="AM2874" s="1"/>
    </row>
    <row r="2875" spans="1:39" x14ac:dyDescent="0.35">
      <c r="A2875">
        <v>2871</v>
      </c>
      <c r="B2875">
        <v>2872</v>
      </c>
      <c r="F2875" s="63"/>
      <c r="G2875" s="63"/>
      <c r="H2875" t="s">
        <v>78</v>
      </c>
      <c r="I2875" s="64">
        <v>0</v>
      </c>
      <c r="J2875" s="31"/>
      <c r="K2875" s="31"/>
      <c r="L2875" s="31"/>
      <c r="M2875" s="31"/>
      <c r="N2875" s="4"/>
      <c r="AG2875" t="s">
        <v>2586</v>
      </c>
      <c r="AM2875" s="1"/>
    </row>
    <row r="2876" spans="1:39" x14ac:dyDescent="0.35">
      <c r="A2876">
        <v>2872</v>
      </c>
      <c r="B2876">
        <v>2873</v>
      </c>
      <c r="F2876" s="63"/>
      <c r="G2876" s="63"/>
      <c r="H2876" t="s">
        <v>78</v>
      </c>
      <c r="I2876" s="64">
        <v>0</v>
      </c>
      <c r="J2876" s="31"/>
      <c r="K2876" s="31"/>
      <c r="L2876" s="31"/>
      <c r="M2876" s="31"/>
      <c r="N2876" s="4"/>
      <c r="AG2876" t="s">
        <v>2587</v>
      </c>
      <c r="AM2876" s="1"/>
    </row>
    <row r="2877" spans="1:39" x14ac:dyDescent="0.35">
      <c r="A2877">
        <v>2873</v>
      </c>
      <c r="B2877">
        <v>2874</v>
      </c>
      <c r="F2877" s="63"/>
      <c r="G2877" s="63"/>
      <c r="H2877" t="s">
        <v>78</v>
      </c>
      <c r="I2877" s="64">
        <v>0</v>
      </c>
      <c r="J2877" s="31"/>
      <c r="K2877" s="31"/>
      <c r="L2877" s="31"/>
      <c r="M2877" s="31"/>
      <c r="N2877" s="4"/>
      <c r="AG2877" t="s">
        <v>2588</v>
      </c>
      <c r="AM2877" s="1"/>
    </row>
    <row r="2878" spans="1:39" x14ac:dyDescent="0.35">
      <c r="A2878">
        <v>2874</v>
      </c>
      <c r="B2878">
        <v>2875</v>
      </c>
      <c r="F2878" s="63"/>
      <c r="G2878" s="63"/>
      <c r="H2878" t="s">
        <v>78</v>
      </c>
      <c r="I2878" s="64">
        <v>0</v>
      </c>
      <c r="J2878" s="31"/>
      <c r="K2878" s="31"/>
      <c r="L2878" s="31"/>
      <c r="M2878" s="31"/>
      <c r="N2878" s="4"/>
      <c r="AG2878" t="s">
        <v>2589</v>
      </c>
      <c r="AM2878" s="1"/>
    </row>
    <row r="2879" spans="1:39" x14ac:dyDescent="0.35">
      <c r="A2879">
        <v>2875</v>
      </c>
      <c r="B2879">
        <v>2876</v>
      </c>
      <c r="F2879" s="63"/>
      <c r="G2879" s="63"/>
      <c r="H2879" t="s">
        <v>78</v>
      </c>
      <c r="I2879" s="64">
        <v>0</v>
      </c>
      <c r="J2879" s="31"/>
      <c r="K2879" s="31"/>
      <c r="L2879" s="31"/>
      <c r="M2879" s="31"/>
      <c r="N2879" s="4"/>
      <c r="AG2879" t="s">
        <v>2590</v>
      </c>
      <c r="AM2879" s="1"/>
    </row>
    <row r="2880" spans="1:39" x14ac:dyDescent="0.35">
      <c r="A2880">
        <v>2876</v>
      </c>
      <c r="B2880">
        <v>2877</v>
      </c>
      <c r="F2880" s="63"/>
      <c r="G2880" s="63"/>
      <c r="H2880" t="s">
        <v>78</v>
      </c>
      <c r="I2880" s="64">
        <v>0</v>
      </c>
      <c r="J2880" s="31"/>
      <c r="K2880" s="31"/>
      <c r="L2880" s="31"/>
      <c r="M2880" s="31"/>
      <c r="N2880" s="4"/>
      <c r="AG2880" t="s">
        <v>2591</v>
      </c>
      <c r="AM2880" s="1"/>
    </row>
    <row r="2881" spans="1:39" x14ac:dyDescent="0.35">
      <c r="A2881">
        <v>2877</v>
      </c>
      <c r="B2881">
        <v>2878</v>
      </c>
      <c r="F2881" s="63"/>
      <c r="G2881" s="63"/>
      <c r="H2881" t="s">
        <v>78</v>
      </c>
      <c r="I2881" s="64">
        <v>0</v>
      </c>
      <c r="J2881" s="31"/>
      <c r="K2881" s="31"/>
      <c r="L2881" s="31"/>
      <c r="M2881" s="31"/>
      <c r="N2881" s="4"/>
      <c r="AG2881" t="s">
        <v>2592</v>
      </c>
      <c r="AM2881" s="1"/>
    </row>
    <row r="2882" spans="1:39" x14ac:dyDescent="0.35">
      <c r="A2882">
        <v>2878</v>
      </c>
      <c r="B2882">
        <v>2879</v>
      </c>
      <c r="F2882" s="63"/>
      <c r="G2882" s="63"/>
      <c r="H2882" t="s">
        <v>78</v>
      </c>
      <c r="I2882" s="64">
        <v>0</v>
      </c>
      <c r="J2882" s="31"/>
      <c r="K2882" s="31"/>
      <c r="L2882" s="31"/>
      <c r="M2882" s="31"/>
      <c r="N2882" s="4"/>
      <c r="AG2882" t="s">
        <v>2593</v>
      </c>
      <c r="AM2882" s="1"/>
    </row>
    <row r="2883" spans="1:39" x14ac:dyDescent="0.35">
      <c r="A2883">
        <v>2879</v>
      </c>
      <c r="B2883">
        <v>2880</v>
      </c>
      <c r="F2883" s="63"/>
      <c r="G2883" s="63"/>
      <c r="H2883" t="s">
        <v>78</v>
      </c>
      <c r="I2883" s="64">
        <v>0</v>
      </c>
      <c r="J2883" s="31"/>
      <c r="K2883" s="31"/>
      <c r="L2883" s="31"/>
      <c r="M2883" s="31"/>
      <c r="N2883" s="4"/>
      <c r="AG2883" t="s">
        <v>2594</v>
      </c>
      <c r="AM2883" s="1"/>
    </row>
    <row r="2884" spans="1:39" x14ac:dyDescent="0.35">
      <c r="A2884">
        <v>2880</v>
      </c>
      <c r="B2884">
        <v>2881</v>
      </c>
      <c r="F2884" s="63"/>
      <c r="G2884" s="63"/>
      <c r="H2884" t="s">
        <v>78</v>
      </c>
      <c r="I2884" s="64">
        <v>0</v>
      </c>
      <c r="J2884" s="31"/>
      <c r="K2884" s="31"/>
      <c r="L2884" s="31"/>
      <c r="M2884" s="31"/>
      <c r="N2884" s="4"/>
      <c r="AG2884" t="s">
        <v>2595</v>
      </c>
      <c r="AM2884" s="1"/>
    </row>
    <row r="2885" spans="1:39" x14ac:dyDescent="0.35">
      <c r="A2885">
        <v>2881</v>
      </c>
      <c r="B2885">
        <v>2882</v>
      </c>
      <c r="F2885" s="63"/>
      <c r="G2885" s="63"/>
      <c r="H2885" t="s">
        <v>78</v>
      </c>
      <c r="I2885" s="64">
        <v>0</v>
      </c>
      <c r="J2885" s="31"/>
      <c r="K2885" s="31"/>
      <c r="L2885" s="31"/>
      <c r="M2885" s="31"/>
      <c r="N2885" s="4"/>
      <c r="AG2885" t="s">
        <v>2596</v>
      </c>
      <c r="AM2885" s="1"/>
    </row>
    <row r="2886" spans="1:39" x14ac:dyDescent="0.35">
      <c r="A2886">
        <v>2882</v>
      </c>
      <c r="B2886">
        <v>2883</v>
      </c>
      <c r="F2886" s="63"/>
      <c r="G2886" s="63"/>
      <c r="H2886" t="s">
        <v>78</v>
      </c>
      <c r="I2886" s="64">
        <v>0</v>
      </c>
      <c r="J2886" s="31"/>
      <c r="K2886" s="31"/>
      <c r="L2886" s="31"/>
      <c r="M2886" s="31"/>
      <c r="N2886" s="4"/>
      <c r="AG2886" t="s">
        <v>2597</v>
      </c>
      <c r="AM2886" s="1"/>
    </row>
    <row r="2887" spans="1:39" x14ac:dyDescent="0.35">
      <c r="A2887">
        <v>2883</v>
      </c>
      <c r="B2887">
        <v>2884</v>
      </c>
      <c r="F2887" s="63"/>
      <c r="G2887" s="63"/>
      <c r="H2887" t="s">
        <v>78</v>
      </c>
      <c r="I2887" s="64">
        <v>0</v>
      </c>
      <c r="J2887" s="31"/>
      <c r="K2887" s="31"/>
      <c r="L2887" s="31"/>
      <c r="M2887" s="31"/>
      <c r="N2887" s="4"/>
      <c r="AG2887" t="s">
        <v>2598</v>
      </c>
      <c r="AM2887" s="1"/>
    </row>
    <row r="2888" spans="1:39" x14ac:dyDescent="0.35">
      <c r="A2888">
        <v>2884</v>
      </c>
      <c r="B2888">
        <v>2885</v>
      </c>
      <c r="F2888" s="63"/>
      <c r="G2888" s="63"/>
      <c r="H2888" t="s">
        <v>78</v>
      </c>
      <c r="I2888" s="64">
        <v>0</v>
      </c>
      <c r="J2888" s="31"/>
      <c r="K2888" s="31"/>
      <c r="L2888" s="31"/>
      <c r="M2888" s="31"/>
      <c r="N2888" s="4"/>
      <c r="AG2888" t="s">
        <v>2599</v>
      </c>
      <c r="AM2888" s="1"/>
    </row>
    <row r="2889" spans="1:39" x14ac:dyDescent="0.35">
      <c r="A2889">
        <v>2885</v>
      </c>
      <c r="B2889">
        <v>2886</v>
      </c>
      <c r="F2889" s="63"/>
      <c r="G2889" s="63"/>
      <c r="H2889" t="s">
        <v>78</v>
      </c>
      <c r="I2889" s="64">
        <v>0</v>
      </c>
      <c r="J2889" s="31"/>
      <c r="K2889" s="31"/>
      <c r="L2889" s="31"/>
      <c r="M2889" s="31"/>
      <c r="N2889" s="4"/>
      <c r="AG2889" t="s">
        <v>2600</v>
      </c>
      <c r="AM2889" s="1"/>
    </row>
    <row r="2890" spans="1:39" x14ac:dyDescent="0.35">
      <c r="A2890">
        <v>2886</v>
      </c>
      <c r="B2890">
        <v>2887</v>
      </c>
      <c r="F2890" s="63"/>
      <c r="G2890" s="63"/>
      <c r="H2890" t="s">
        <v>78</v>
      </c>
      <c r="I2890" s="64">
        <v>0</v>
      </c>
      <c r="J2890" s="31"/>
      <c r="K2890" s="31"/>
      <c r="L2890" s="31"/>
      <c r="M2890" s="31"/>
      <c r="N2890" s="4"/>
      <c r="AG2890" t="s">
        <v>2601</v>
      </c>
      <c r="AM2890" s="1"/>
    </row>
    <row r="2891" spans="1:39" x14ac:dyDescent="0.35">
      <c r="A2891">
        <v>2887</v>
      </c>
      <c r="B2891">
        <v>2888</v>
      </c>
      <c r="F2891" s="63"/>
      <c r="G2891" s="63"/>
      <c r="H2891" t="s">
        <v>78</v>
      </c>
      <c r="I2891" s="64">
        <v>0</v>
      </c>
      <c r="J2891" s="31"/>
      <c r="K2891" s="31"/>
      <c r="L2891" s="31"/>
      <c r="M2891" s="31"/>
      <c r="N2891" s="4"/>
      <c r="AG2891" t="s">
        <v>2602</v>
      </c>
      <c r="AM2891" s="1"/>
    </row>
    <row r="2892" spans="1:39" x14ac:dyDescent="0.35">
      <c r="A2892">
        <v>2888</v>
      </c>
      <c r="B2892">
        <v>2889</v>
      </c>
      <c r="F2892" s="63"/>
      <c r="G2892" s="63"/>
      <c r="H2892" t="s">
        <v>78</v>
      </c>
      <c r="I2892" s="64">
        <v>0</v>
      </c>
      <c r="J2892" s="31"/>
      <c r="K2892" s="31"/>
      <c r="L2892" s="31"/>
      <c r="M2892" s="31"/>
      <c r="N2892" s="4"/>
      <c r="AG2892" t="s">
        <v>2603</v>
      </c>
      <c r="AM2892" s="1"/>
    </row>
    <row r="2893" spans="1:39" x14ac:dyDescent="0.35">
      <c r="A2893">
        <v>2889</v>
      </c>
      <c r="B2893">
        <v>2890</v>
      </c>
      <c r="F2893" s="63"/>
      <c r="G2893" s="63"/>
      <c r="H2893" t="s">
        <v>78</v>
      </c>
      <c r="I2893" s="64">
        <v>0</v>
      </c>
      <c r="J2893" s="31"/>
      <c r="K2893" s="31"/>
      <c r="L2893" s="31"/>
      <c r="M2893" s="31"/>
      <c r="N2893" s="4"/>
      <c r="AG2893" t="s">
        <v>2604</v>
      </c>
      <c r="AM2893" s="1"/>
    </row>
    <row r="2894" spans="1:39" x14ac:dyDescent="0.35">
      <c r="A2894">
        <v>2890</v>
      </c>
      <c r="B2894">
        <v>2891</v>
      </c>
      <c r="F2894" s="63"/>
      <c r="G2894" s="63"/>
      <c r="H2894" t="s">
        <v>78</v>
      </c>
      <c r="I2894" s="64">
        <v>0</v>
      </c>
      <c r="J2894" s="31"/>
      <c r="K2894" s="31"/>
      <c r="L2894" s="31"/>
      <c r="M2894" s="31"/>
      <c r="N2894" s="4"/>
      <c r="AG2894" t="s">
        <v>2605</v>
      </c>
      <c r="AM2894" s="1"/>
    </row>
    <row r="2895" spans="1:39" x14ac:dyDescent="0.35">
      <c r="A2895">
        <v>2891</v>
      </c>
      <c r="B2895">
        <v>2892</v>
      </c>
      <c r="F2895" s="63"/>
      <c r="G2895" s="63"/>
      <c r="H2895" t="s">
        <v>78</v>
      </c>
      <c r="I2895" s="64">
        <v>0</v>
      </c>
      <c r="J2895" s="31"/>
      <c r="K2895" s="31"/>
      <c r="L2895" s="31"/>
      <c r="M2895" s="31"/>
      <c r="N2895" s="4"/>
      <c r="AG2895" t="s">
        <v>2606</v>
      </c>
      <c r="AM2895" s="1"/>
    </row>
    <row r="2896" spans="1:39" x14ac:dyDescent="0.35">
      <c r="A2896">
        <v>2892</v>
      </c>
      <c r="B2896">
        <v>2893</v>
      </c>
      <c r="F2896" s="63"/>
      <c r="G2896" s="63"/>
      <c r="H2896" t="s">
        <v>78</v>
      </c>
      <c r="I2896" s="64">
        <v>0</v>
      </c>
      <c r="J2896" s="31"/>
      <c r="K2896" s="31"/>
      <c r="L2896" s="31"/>
      <c r="M2896" s="31"/>
      <c r="N2896" s="4"/>
      <c r="AG2896" t="s">
        <v>2607</v>
      </c>
      <c r="AM2896" s="1"/>
    </row>
    <row r="2897" spans="1:39" x14ac:dyDescent="0.35">
      <c r="A2897">
        <v>2893</v>
      </c>
      <c r="B2897">
        <v>2894</v>
      </c>
      <c r="F2897" s="63"/>
      <c r="G2897" s="63"/>
      <c r="H2897" t="s">
        <v>78</v>
      </c>
      <c r="I2897" s="64">
        <v>0</v>
      </c>
      <c r="J2897" s="31"/>
      <c r="K2897" s="31"/>
      <c r="L2897" s="31"/>
      <c r="M2897" s="31"/>
      <c r="N2897" s="4"/>
      <c r="AG2897" t="s">
        <v>2608</v>
      </c>
      <c r="AM2897" s="1"/>
    </row>
    <row r="2898" spans="1:39" x14ac:dyDescent="0.35">
      <c r="A2898">
        <v>2894</v>
      </c>
      <c r="B2898">
        <v>2895</v>
      </c>
      <c r="F2898" s="63"/>
      <c r="G2898" s="63"/>
      <c r="H2898" t="s">
        <v>78</v>
      </c>
      <c r="I2898" s="64">
        <v>0</v>
      </c>
      <c r="J2898" s="31"/>
      <c r="K2898" s="31"/>
      <c r="L2898" s="31"/>
      <c r="M2898" s="31"/>
      <c r="N2898" s="4"/>
      <c r="AG2898" t="s">
        <v>2609</v>
      </c>
      <c r="AM2898" s="1"/>
    </row>
    <row r="2899" spans="1:39" x14ac:dyDescent="0.35">
      <c r="A2899">
        <v>2895</v>
      </c>
      <c r="B2899">
        <v>2896</v>
      </c>
      <c r="F2899" s="63"/>
      <c r="G2899" s="63"/>
      <c r="H2899" t="s">
        <v>78</v>
      </c>
      <c r="I2899" s="64">
        <v>0</v>
      </c>
      <c r="J2899" s="31"/>
      <c r="K2899" s="31"/>
      <c r="L2899" s="31"/>
      <c r="M2899" s="31"/>
      <c r="N2899" s="4"/>
      <c r="AG2899" t="s">
        <v>2610</v>
      </c>
      <c r="AM2899" s="1"/>
    </row>
    <row r="2900" spans="1:39" x14ac:dyDescent="0.35">
      <c r="A2900">
        <v>2896</v>
      </c>
      <c r="B2900">
        <v>2897</v>
      </c>
      <c r="F2900" s="63"/>
      <c r="G2900" s="63"/>
      <c r="H2900" t="s">
        <v>78</v>
      </c>
      <c r="I2900" s="64">
        <v>0</v>
      </c>
      <c r="J2900" s="31"/>
      <c r="K2900" s="31"/>
      <c r="L2900" s="31"/>
      <c r="M2900" s="31"/>
      <c r="N2900" s="4"/>
      <c r="AG2900" t="s">
        <v>2611</v>
      </c>
      <c r="AM2900" s="1"/>
    </row>
    <row r="2901" spans="1:39" x14ac:dyDescent="0.35">
      <c r="A2901">
        <v>2897</v>
      </c>
      <c r="B2901">
        <v>2898</v>
      </c>
      <c r="F2901" s="63"/>
      <c r="G2901" s="63"/>
      <c r="H2901" t="s">
        <v>78</v>
      </c>
      <c r="I2901" s="64">
        <v>0</v>
      </c>
      <c r="J2901" s="31"/>
      <c r="K2901" s="31"/>
      <c r="L2901" s="31"/>
      <c r="M2901" s="31"/>
      <c r="N2901" s="4"/>
      <c r="AG2901" t="s">
        <v>2612</v>
      </c>
      <c r="AM2901" s="1"/>
    </row>
    <row r="2902" spans="1:39" x14ac:dyDescent="0.35">
      <c r="A2902">
        <v>2898</v>
      </c>
      <c r="B2902">
        <v>2899</v>
      </c>
      <c r="F2902" s="63"/>
      <c r="G2902" s="63"/>
      <c r="H2902" t="s">
        <v>78</v>
      </c>
      <c r="I2902" s="64">
        <v>0</v>
      </c>
      <c r="J2902" s="31"/>
      <c r="K2902" s="31"/>
      <c r="L2902" s="31"/>
      <c r="M2902" s="31"/>
      <c r="N2902" s="4"/>
      <c r="AG2902" t="s">
        <v>2613</v>
      </c>
      <c r="AM2902" s="1"/>
    </row>
    <row r="2903" spans="1:39" x14ac:dyDescent="0.35">
      <c r="A2903">
        <v>2899</v>
      </c>
      <c r="B2903">
        <v>2900</v>
      </c>
      <c r="F2903" s="63"/>
      <c r="G2903" s="63"/>
      <c r="H2903" t="s">
        <v>78</v>
      </c>
      <c r="I2903" s="64">
        <v>0</v>
      </c>
      <c r="J2903" s="31"/>
      <c r="K2903" s="31"/>
      <c r="L2903" s="31"/>
      <c r="M2903" s="31"/>
      <c r="N2903" s="4"/>
      <c r="AG2903" t="s">
        <v>2614</v>
      </c>
      <c r="AM2903" s="1"/>
    </row>
    <row r="2904" spans="1:39" x14ac:dyDescent="0.35">
      <c r="A2904">
        <v>2900</v>
      </c>
      <c r="B2904">
        <v>2901</v>
      </c>
      <c r="F2904" s="63"/>
      <c r="G2904" s="63"/>
      <c r="H2904" t="s">
        <v>78</v>
      </c>
      <c r="I2904" s="64">
        <v>0</v>
      </c>
      <c r="J2904" s="31"/>
      <c r="K2904" s="31"/>
      <c r="L2904" s="31"/>
      <c r="M2904" s="31"/>
      <c r="N2904" s="4"/>
      <c r="AG2904" t="s">
        <v>2615</v>
      </c>
      <c r="AM2904" s="1"/>
    </row>
    <row r="2905" spans="1:39" x14ac:dyDescent="0.35">
      <c r="A2905">
        <v>2901</v>
      </c>
      <c r="B2905">
        <v>2902</v>
      </c>
      <c r="F2905" s="63"/>
      <c r="G2905" s="63"/>
      <c r="H2905" t="s">
        <v>78</v>
      </c>
      <c r="I2905" s="64">
        <v>0</v>
      </c>
      <c r="J2905" s="31"/>
      <c r="K2905" s="31"/>
      <c r="L2905" s="31"/>
      <c r="M2905" s="31"/>
      <c r="N2905" s="4"/>
      <c r="AG2905" t="s">
        <v>2616</v>
      </c>
      <c r="AM2905" s="1"/>
    </row>
    <row r="2906" spans="1:39" x14ac:dyDescent="0.35">
      <c r="A2906">
        <v>2902</v>
      </c>
      <c r="B2906">
        <v>2903</v>
      </c>
      <c r="F2906" s="63"/>
      <c r="G2906" s="63"/>
      <c r="H2906" t="s">
        <v>78</v>
      </c>
      <c r="I2906" s="64">
        <v>0</v>
      </c>
      <c r="J2906" s="31"/>
      <c r="K2906" s="31"/>
      <c r="L2906" s="31"/>
      <c r="M2906" s="31"/>
      <c r="N2906" s="4"/>
      <c r="AG2906" t="s">
        <v>2617</v>
      </c>
      <c r="AM2906" s="1"/>
    </row>
    <row r="2907" spans="1:39" x14ac:dyDescent="0.35">
      <c r="A2907">
        <v>2903</v>
      </c>
      <c r="B2907">
        <v>2904</v>
      </c>
      <c r="F2907" s="63"/>
      <c r="G2907" s="63"/>
      <c r="H2907" t="s">
        <v>78</v>
      </c>
      <c r="I2907" s="64">
        <v>0</v>
      </c>
      <c r="J2907" s="31"/>
      <c r="K2907" s="31"/>
      <c r="L2907" s="31"/>
      <c r="M2907" s="31"/>
      <c r="N2907" s="4"/>
      <c r="AG2907" t="s">
        <v>2618</v>
      </c>
      <c r="AM2907" s="1"/>
    </row>
    <row r="2908" spans="1:39" x14ac:dyDescent="0.35">
      <c r="A2908">
        <v>2904</v>
      </c>
      <c r="B2908">
        <v>2905</v>
      </c>
      <c r="F2908" s="63"/>
      <c r="G2908" s="63"/>
      <c r="H2908" t="s">
        <v>78</v>
      </c>
      <c r="I2908" s="64">
        <v>0</v>
      </c>
      <c r="J2908" s="31"/>
      <c r="K2908" s="31"/>
      <c r="L2908" s="31"/>
      <c r="M2908" s="31"/>
      <c r="N2908" s="4"/>
      <c r="AG2908" t="s">
        <v>2619</v>
      </c>
      <c r="AM2908" s="1"/>
    </row>
    <row r="2909" spans="1:39" x14ac:dyDescent="0.35">
      <c r="A2909">
        <v>2905</v>
      </c>
      <c r="B2909">
        <v>2906</v>
      </c>
      <c r="F2909" s="63"/>
      <c r="G2909" s="63"/>
      <c r="H2909" t="s">
        <v>78</v>
      </c>
      <c r="I2909" s="64">
        <v>0</v>
      </c>
      <c r="J2909" s="31"/>
      <c r="K2909" s="31"/>
      <c r="L2909" s="31"/>
      <c r="M2909" s="31"/>
      <c r="N2909" s="4"/>
      <c r="AG2909" t="s">
        <v>2620</v>
      </c>
      <c r="AM2909" s="1"/>
    </row>
    <row r="2910" spans="1:39" x14ac:dyDescent="0.35">
      <c r="A2910">
        <v>2906</v>
      </c>
      <c r="B2910">
        <v>2907</v>
      </c>
      <c r="F2910" s="63"/>
      <c r="G2910" s="63"/>
      <c r="H2910" t="s">
        <v>78</v>
      </c>
      <c r="I2910" s="64">
        <v>0</v>
      </c>
      <c r="J2910" s="31"/>
      <c r="K2910" s="31"/>
      <c r="L2910" s="31"/>
      <c r="M2910" s="31"/>
      <c r="N2910" s="4"/>
      <c r="AG2910" t="s">
        <v>2621</v>
      </c>
      <c r="AM2910" s="1"/>
    </row>
    <row r="2911" spans="1:39" x14ac:dyDescent="0.35">
      <c r="A2911">
        <v>2907</v>
      </c>
      <c r="B2911">
        <v>2908</v>
      </c>
      <c r="F2911" s="63"/>
      <c r="G2911" s="63"/>
      <c r="H2911" t="s">
        <v>78</v>
      </c>
      <c r="I2911" s="64">
        <v>0</v>
      </c>
      <c r="J2911" s="31"/>
      <c r="K2911" s="31"/>
      <c r="L2911" s="31"/>
      <c r="M2911" s="31"/>
      <c r="N2911" s="4"/>
      <c r="AG2911" t="s">
        <v>2622</v>
      </c>
      <c r="AM2911" s="1"/>
    </row>
    <row r="2912" spans="1:39" x14ac:dyDescent="0.35">
      <c r="A2912">
        <v>2908</v>
      </c>
      <c r="B2912">
        <v>2909</v>
      </c>
      <c r="F2912" s="63"/>
      <c r="G2912" s="63"/>
      <c r="H2912" t="s">
        <v>78</v>
      </c>
      <c r="I2912" s="64">
        <v>0</v>
      </c>
      <c r="J2912" s="31"/>
      <c r="K2912" s="31"/>
      <c r="L2912" s="31"/>
      <c r="M2912" s="31"/>
      <c r="N2912" s="4"/>
      <c r="AG2912" t="s">
        <v>2623</v>
      </c>
      <c r="AM2912" s="1"/>
    </row>
    <row r="2913" spans="1:39" x14ac:dyDescent="0.35">
      <c r="A2913">
        <v>2909</v>
      </c>
      <c r="B2913">
        <v>2910</v>
      </c>
      <c r="F2913" s="63"/>
      <c r="G2913" s="63"/>
      <c r="H2913" t="s">
        <v>78</v>
      </c>
      <c r="I2913" s="64">
        <v>0</v>
      </c>
      <c r="J2913" s="31"/>
      <c r="K2913" s="31"/>
      <c r="L2913" s="31"/>
      <c r="M2913" s="31"/>
      <c r="N2913" s="4"/>
      <c r="AG2913" t="s">
        <v>2624</v>
      </c>
      <c r="AM2913" s="1"/>
    </row>
    <row r="2914" spans="1:39" x14ac:dyDescent="0.35">
      <c r="A2914">
        <v>2910</v>
      </c>
      <c r="B2914">
        <v>2911</v>
      </c>
      <c r="F2914" s="63"/>
      <c r="G2914" s="63"/>
      <c r="H2914" t="s">
        <v>78</v>
      </c>
      <c r="I2914" s="64">
        <v>0</v>
      </c>
      <c r="J2914" s="31"/>
      <c r="K2914" s="31"/>
      <c r="L2914" s="31"/>
      <c r="M2914" s="31"/>
      <c r="N2914" s="4"/>
      <c r="AG2914" t="s">
        <v>2625</v>
      </c>
      <c r="AM2914" s="1"/>
    </row>
    <row r="2915" spans="1:39" x14ac:dyDescent="0.35">
      <c r="A2915">
        <v>2911</v>
      </c>
      <c r="B2915">
        <v>2912</v>
      </c>
      <c r="F2915" s="63"/>
      <c r="G2915" s="63"/>
      <c r="H2915" t="s">
        <v>78</v>
      </c>
      <c r="I2915" s="64">
        <v>0</v>
      </c>
      <c r="J2915" s="31"/>
      <c r="K2915" s="31"/>
      <c r="L2915" s="31"/>
      <c r="M2915" s="31"/>
      <c r="N2915" s="4"/>
      <c r="AG2915" t="s">
        <v>2626</v>
      </c>
      <c r="AM2915" s="1"/>
    </row>
    <row r="2916" spans="1:39" x14ac:dyDescent="0.35">
      <c r="A2916">
        <v>2912</v>
      </c>
      <c r="B2916">
        <v>2913</v>
      </c>
      <c r="F2916" s="63"/>
      <c r="G2916" s="63"/>
      <c r="H2916" t="s">
        <v>78</v>
      </c>
      <c r="I2916" s="64">
        <v>0</v>
      </c>
      <c r="J2916" s="31"/>
      <c r="K2916" s="31"/>
      <c r="L2916" s="31"/>
      <c r="M2916" s="31"/>
      <c r="N2916" s="4"/>
      <c r="AG2916" t="s">
        <v>2627</v>
      </c>
      <c r="AM2916" s="1"/>
    </row>
    <row r="2917" spans="1:39" x14ac:dyDescent="0.35">
      <c r="A2917">
        <v>2913</v>
      </c>
      <c r="B2917">
        <v>2914</v>
      </c>
      <c r="F2917" s="63"/>
      <c r="G2917" s="63"/>
      <c r="H2917" t="s">
        <v>78</v>
      </c>
      <c r="I2917" s="64">
        <v>0</v>
      </c>
      <c r="J2917" s="31"/>
      <c r="K2917" s="31"/>
      <c r="L2917" s="31"/>
      <c r="M2917" s="31"/>
      <c r="N2917" s="4"/>
      <c r="AG2917" t="s">
        <v>2628</v>
      </c>
      <c r="AM2917" s="1"/>
    </row>
    <row r="2918" spans="1:39" x14ac:dyDescent="0.35">
      <c r="A2918">
        <v>2914</v>
      </c>
      <c r="B2918">
        <v>2915</v>
      </c>
      <c r="F2918" s="63"/>
      <c r="G2918" s="63"/>
      <c r="H2918" t="s">
        <v>78</v>
      </c>
      <c r="I2918" s="64">
        <v>0</v>
      </c>
      <c r="J2918" s="31"/>
      <c r="K2918" s="31"/>
      <c r="L2918" s="31"/>
      <c r="M2918" s="31"/>
      <c r="N2918" s="4"/>
      <c r="AG2918" t="s">
        <v>2629</v>
      </c>
      <c r="AM2918" s="1"/>
    </row>
    <row r="2919" spans="1:39" x14ac:dyDescent="0.35">
      <c r="A2919">
        <v>2915</v>
      </c>
      <c r="B2919">
        <v>2916</v>
      </c>
      <c r="F2919" s="63"/>
      <c r="G2919" s="63"/>
      <c r="H2919" t="s">
        <v>78</v>
      </c>
      <c r="I2919" s="64">
        <v>0</v>
      </c>
      <c r="J2919" s="31"/>
      <c r="K2919" s="31"/>
      <c r="L2919" s="31"/>
      <c r="M2919" s="31"/>
      <c r="N2919" s="4"/>
      <c r="AG2919" t="s">
        <v>2630</v>
      </c>
      <c r="AM2919" s="1"/>
    </row>
    <row r="2920" spans="1:39" x14ac:dyDescent="0.35">
      <c r="A2920">
        <v>2916</v>
      </c>
      <c r="B2920">
        <v>2917</v>
      </c>
      <c r="F2920" s="63"/>
      <c r="G2920" s="63"/>
      <c r="H2920" t="s">
        <v>78</v>
      </c>
      <c r="I2920" s="64">
        <v>0</v>
      </c>
      <c r="J2920" s="31"/>
      <c r="K2920" s="31"/>
      <c r="L2920" s="31"/>
      <c r="M2920" s="31"/>
      <c r="N2920" s="4"/>
      <c r="AG2920" t="s">
        <v>2631</v>
      </c>
      <c r="AM2920" s="1"/>
    </row>
    <row r="2921" spans="1:39" x14ac:dyDescent="0.35">
      <c r="A2921">
        <v>2917</v>
      </c>
      <c r="B2921">
        <v>2918</v>
      </c>
      <c r="F2921" s="63"/>
      <c r="G2921" s="63"/>
      <c r="H2921" t="s">
        <v>78</v>
      </c>
      <c r="I2921" s="64">
        <v>0</v>
      </c>
      <c r="J2921" s="31"/>
      <c r="K2921" s="31"/>
      <c r="L2921" s="31"/>
      <c r="M2921" s="31"/>
      <c r="N2921" s="4"/>
      <c r="AG2921" t="s">
        <v>2632</v>
      </c>
      <c r="AM2921" s="1"/>
    </row>
    <row r="2922" spans="1:39" x14ac:dyDescent="0.35">
      <c r="A2922">
        <v>2918</v>
      </c>
      <c r="B2922">
        <v>2919</v>
      </c>
      <c r="F2922" s="63"/>
      <c r="G2922" s="63"/>
      <c r="H2922" t="s">
        <v>78</v>
      </c>
      <c r="I2922" s="64">
        <v>0</v>
      </c>
      <c r="J2922" s="31"/>
      <c r="K2922" s="31"/>
      <c r="L2922" s="31"/>
      <c r="M2922" s="31"/>
      <c r="N2922" s="4"/>
      <c r="AG2922" t="s">
        <v>2633</v>
      </c>
      <c r="AM2922" s="1"/>
    </row>
    <row r="2923" spans="1:39" x14ac:dyDescent="0.35">
      <c r="A2923">
        <v>2919</v>
      </c>
      <c r="B2923">
        <v>2920</v>
      </c>
      <c r="F2923" s="63"/>
      <c r="G2923" s="63"/>
      <c r="H2923" t="s">
        <v>78</v>
      </c>
      <c r="I2923" s="64">
        <v>0</v>
      </c>
      <c r="J2923" s="31"/>
      <c r="K2923" s="31"/>
      <c r="L2923" s="31"/>
      <c r="M2923" s="31"/>
      <c r="N2923" s="4"/>
      <c r="AG2923" t="s">
        <v>2634</v>
      </c>
      <c r="AM2923" s="1"/>
    </row>
    <row r="2924" spans="1:39" x14ac:dyDescent="0.35">
      <c r="A2924">
        <v>2920</v>
      </c>
      <c r="B2924">
        <v>2921</v>
      </c>
      <c r="F2924" s="63"/>
      <c r="G2924" s="63"/>
      <c r="H2924" t="s">
        <v>78</v>
      </c>
      <c r="I2924" s="64">
        <v>0</v>
      </c>
      <c r="J2924" s="31"/>
      <c r="K2924" s="31"/>
      <c r="L2924" s="31"/>
      <c r="M2924" s="31"/>
      <c r="N2924" s="4"/>
      <c r="AG2924" t="s">
        <v>2635</v>
      </c>
      <c r="AM2924" s="1"/>
    </row>
    <row r="2925" spans="1:39" x14ac:dyDescent="0.35">
      <c r="A2925">
        <v>2921</v>
      </c>
      <c r="B2925">
        <v>2922</v>
      </c>
      <c r="F2925" s="63"/>
      <c r="G2925" s="63"/>
      <c r="H2925" t="s">
        <v>78</v>
      </c>
      <c r="I2925" s="64">
        <v>0</v>
      </c>
      <c r="J2925" s="31"/>
      <c r="K2925" s="31"/>
      <c r="L2925" s="31"/>
      <c r="M2925" s="31"/>
      <c r="N2925" s="4"/>
      <c r="AG2925" t="s">
        <v>2636</v>
      </c>
      <c r="AM2925" s="1"/>
    </row>
    <row r="2926" spans="1:39" x14ac:dyDescent="0.35">
      <c r="A2926">
        <v>2922</v>
      </c>
      <c r="B2926">
        <v>2923</v>
      </c>
      <c r="F2926" s="63"/>
      <c r="G2926" s="63"/>
      <c r="H2926" t="s">
        <v>78</v>
      </c>
      <c r="I2926" s="64">
        <v>0</v>
      </c>
      <c r="J2926" s="31"/>
      <c r="K2926" s="31"/>
      <c r="L2926" s="31"/>
      <c r="M2926" s="31"/>
      <c r="N2926" s="4"/>
      <c r="AG2926" t="s">
        <v>2637</v>
      </c>
      <c r="AM2926" s="1"/>
    </row>
    <row r="2927" spans="1:39" x14ac:dyDescent="0.35">
      <c r="A2927">
        <v>2923</v>
      </c>
      <c r="B2927">
        <v>2924</v>
      </c>
      <c r="F2927" s="63"/>
      <c r="G2927" s="63"/>
      <c r="H2927" t="s">
        <v>78</v>
      </c>
      <c r="I2927" s="64">
        <v>0</v>
      </c>
      <c r="J2927" s="31"/>
      <c r="K2927" s="31"/>
      <c r="L2927" s="31"/>
      <c r="M2927" s="31"/>
      <c r="N2927" s="4"/>
      <c r="AG2927" t="s">
        <v>2638</v>
      </c>
      <c r="AM2927" s="1"/>
    </row>
    <row r="2928" spans="1:39" x14ac:dyDescent="0.35">
      <c r="A2928">
        <v>2924</v>
      </c>
      <c r="B2928">
        <v>2925</v>
      </c>
      <c r="F2928" s="63"/>
      <c r="G2928" s="63"/>
      <c r="H2928" t="s">
        <v>78</v>
      </c>
      <c r="I2928" s="64">
        <v>0</v>
      </c>
      <c r="J2928" s="31"/>
      <c r="K2928" s="31"/>
      <c r="L2928" s="31"/>
      <c r="M2928" s="31"/>
      <c r="N2928" s="4"/>
      <c r="AG2928" t="s">
        <v>2639</v>
      </c>
      <c r="AM2928" s="1"/>
    </row>
    <row r="2929" spans="1:39" x14ac:dyDescent="0.35">
      <c r="A2929">
        <v>2925</v>
      </c>
      <c r="B2929">
        <v>2926</v>
      </c>
      <c r="F2929" s="63"/>
      <c r="G2929" s="63"/>
      <c r="H2929" t="s">
        <v>78</v>
      </c>
      <c r="I2929" s="64">
        <v>0</v>
      </c>
      <c r="J2929" s="31"/>
      <c r="K2929" s="31"/>
      <c r="L2929" s="31"/>
      <c r="M2929" s="31"/>
      <c r="N2929" s="4"/>
      <c r="AG2929" t="s">
        <v>2640</v>
      </c>
      <c r="AM2929" s="1"/>
    </row>
    <row r="2930" spans="1:39" x14ac:dyDescent="0.35">
      <c r="A2930">
        <v>2926</v>
      </c>
      <c r="B2930">
        <v>2927</v>
      </c>
      <c r="F2930" s="63"/>
      <c r="G2930" s="63"/>
      <c r="H2930" t="s">
        <v>78</v>
      </c>
      <c r="I2930" s="64">
        <v>0</v>
      </c>
      <c r="J2930" s="31"/>
      <c r="K2930" s="31"/>
      <c r="L2930" s="31"/>
      <c r="M2930" s="31"/>
      <c r="N2930" s="4"/>
      <c r="AG2930" t="s">
        <v>2641</v>
      </c>
      <c r="AM2930" s="1"/>
    </row>
    <row r="2931" spans="1:39" x14ac:dyDescent="0.35">
      <c r="A2931">
        <v>2927</v>
      </c>
      <c r="B2931">
        <v>2928</v>
      </c>
      <c r="F2931" s="63"/>
      <c r="G2931" s="63"/>
      <c r="H2931" t="s">
        <v>78</v>
      </c>
      <c r="I2931" s="64">
        <v>0</v>
      </c>
      <c r="J2931" s="31"/>
      <c r="K2931" s="31"/>
      <c r="L2931" s="31"/>
      <c r="M2931" s="31"/>
      <c r="N2931" s="4"/>
      <c r="AG2931" t="s">
        <v>2642</v>
      </c>
      <c r="AM2931" s="1"/>
    </row>
    <row r="2932" spans="1:39" x14ac:dyDescent="0.35">
      <c r="A2932">
        <v>2928</v>
      </c>
      <c r="B2932">
        <v>2929</v>
      </c>
      <c r="F2932" s="63"/>
      <c r="G2932" s="63"/>
      <c r="H2932" t="s">
        <v>78</v>
      </c>
      <c r="I2932" s="64">
        <v>0</v>
      </c>
      <c r="J2932" s="31"/>
      <c r="K2932" s="31"/>
      <c r="L2932" s="31"/>
      <c r="M2932" s="31"/>
      <c r="N2932" s="4"/>
      <c r="AG2932" t="s">
        <v>2643</v>
      </c>
      <c r="AM2932" s="1"/>
    </row>
    <row r="2933" spans="1:39" x14ac:dyDescent="0.35">
      <c r="A2933">
        <v>2929</v>
      </c>
      <c r="B2933">
        <v>2930</v>
      </c>
      <c r="F2933" s="63"/>
      <c r="G2933" s="63"/>
      <c r="H2933" t="s">
        <v>78</v>
      </c>
      <c r="I2933" s="64">
        <v>0</v>
      </c>
      <c r="J2933" s="31"/>
      <c r="K2933" s="31"/>
      <c r="L2933" s="31"/>
      <c r="M2933" s="31"/>
      <c r="N2933" s="4"/>
      <c r="AG2933" t="s">
        <v>2644</v>
      </c>
      <c r="AM2933" s="1"/>
    </row>
    <row r="2934" spans="1:39" x14ac:dyDescent="0.35">
      <c r="A2934">
        <v>2930</v>
      </c>
      <c r="B2934">
        <v>2931</v>
      </c>
      <c r="F2934" s="63"/>
      <c r="G2934" s="63"/>
      <c r="H2934" t="s">
        <v>78</v>
      </c>
      <c r="I2934" s="64">
        <v>0</v>
      </c>
      <c r="J2934" s="31"/>
      <c r="K2934" s="31"/>
      <c r="L2934" s="31"/>
      <c r="M2934" s="31"/>
      <c r="N2934" s="4"/>
      <c r="AG2934" t="s">
        <v>2645</v>
      </c>
      <c r="AM2934" s="1"/>
    </row>
    <row r="2935" spans="1:39" x14ac:dyDescent="0.35">
      <c r="A2935">
        <v>2931</v>
      </c>
      <c r="B2935">
        <v>2932</v>
      </c>
      <c r="F2935" s="63"/>
      <c r="G2935" s="63"/>
      <c r="H2935" t="s">
        <v>78</v>
      </c>
      <c r="I2935" s="64">
        <v>0</v>
      </c>
      <c r="J2935" s="31"/>
      <c r="K2935" s="31"/>
      <c r="L2935" s="31"/>
      <c r="M2935" s="31"/>
      <c r="N2935" s="4"/>
      <c r="AG2935" t="s">
        <v>2646</v>
      </c>
      <c r="AM2935" s="1"/>
    </row>
    <row r="2936" spans="1:39" x14ac:dyDescent="0.35">
      <c r="A2936">
        <v>2932</v>
      </c>
      <c r="B2936">
        <v>2933</v>
      </c>
      <c r="F2936" s="63"/>
      <c r="G2936" s="63"/>
      <c r="H2936" t="s">
        <v>78</v>
      </c>
      <c r="I2936" s="64">
        <v>0</v>
      </c>
      <c r="J2936" s="31"/>
      <c r="K2936" s="31"/>
      <c r="L2936" s="31"/>
      <c r="M2936" s="31"/>
      <c r="N2936" s="4"/>
      <c r="AG2936" t="s">
        <v>2647</v>
      </c>
      <c r="AM2936" s="1"/>
    </row>
    <row r="2937" spans="1:39" x14ac:dyDescent="0.35">
      <c r="A2937">
        <v>2933</v>
      </c>
      <c r="B2937">
        <v>2934</v>
      </c>
      <c r="F2937" s="63"/>
      <c r="G2937" s="63"/>
      <c r="H2937" t="s">
        <v>78</v>
      </c>
      <c r="I2937" s="64">
        <v>0</v>
      </c>
      <c r="J2937" s="31"/>
      <c r="K2937" s="31"/>
      <c r="L2937" s="31"/>
      <c r="M2937" s="31"/>
      <c r="N2937" s="4"/>
      <c r="AG2937" t="s">
        <v>2648</v>
      </c>
      <c r="AM2937" s="1"/>
    </row>
    <row r="2938" spans="1:39" x14ac:dyDescent="0.35">
      <c r="A2938">
        <v>2934</v>
      </c>
      <c r="B2938">
        <v>2935</v>
      </c>
      <c r="F2938" s="63"/>
      <c r="G2938" s="63"/>
      <c r="H2938" t="s">
        <v>78</v>
      </c>
      <c r="I2938" s="64">
        <v>0</v>
      </c>
      <c r="J2938" s="31"/>
      <c r="K2938" s="31"/>
      <c r="L2938" s="31"/>
      <c r="M2938" s="31"/>
      <c r="N2938" s="4"/>
      <c r="AG2938" t="s">
        <v>2649</v>
      </c>
      <c r="AM2938" s="1"/>
    </row>
    <row r="2939" spans="1:39" x14ac:dyDescent="0.35">
      <c r="A2939">
        <v>2935</v>
      </c>
      <c r="B2939">
        <v>2936</v>
      </c>
      <c r="F2939" s="63"/>
      <c r="G2939" s="63"/>
      <c r="H2939" t="s">
        <v>78</v>
      </c>
      <c r="I2939" s="64">
        <v>0</v>
      </c>
      <c r="J2939" s="31"/>
      <c r="K2939" s="31"/>
      <c r="L2939" s="31"/>
      <c r="M2939" s="31"/>
      <c r="N2939" s="4"/>
      <c r="AG2939" t="s">
        <v>2650</v>
      </c>
      <c r="AM2939" s="1"/>
    </row>
    <row r="2940" spans="1:39" x14ac:dyDescent="0.35">
      <c r="A2940">
        <v>2936</v>
      </c>
      <c r="B2940">
        <v>2937</v>
      </c>
      <c r="F2940" s="63"/>
      <c r="G2940" s="63"/>
      <c r="H2940" t="s">
        <v>78</v>
      </c>
      <c r="I2940" s="64">
        <v>0</v>
      </c>
      <c r="J2940" s="31"/>
      <c r="K2940" s="31"/>
      <c r="L2940" s="31"/>
      <c r="M2940" s="31"/>
      <c r="N2940" s="4"/>
      <c r="AG2940" t="s">
        <v>2651</v>
      </c>
      <c r="AM2940" s="1"/>
    </row>
    <row r="2941" spans="1:39" x14ac:dyDescent="0.35">
      <c r="A2941">
        <v>2937</v>
      </c>
      <c r="B2941">
        <v>2938</v>
      </c>
      <c r="F2941" s="63"/>
      <c r="G2941" s="63"/>
      <c r="H2941" t="s">
        <v>78</v>
      </c>
      <c r="I2941" s="64">
        <v>0</v>
      </c>
      <c r="J2941" s="31"/>
      <c r="K2941" s="31"/>
      <c r="L2941" s="31"/>
      <c r="M2941" s="31"/>
      <c r="N2941" s="4"/>
      <c r="AG2941" t="s">
        <v>2652</v>
      </c>
      <c r="AM2941" s="1"/>
    </row>
    <row r="2942" spans="1:39" x14ac:dyDescent="0.35">
      <c r="A2942">
        <v>2938</v>
      </c>
      <c r="B2942">
        <v>2939</v>
      </c>
      <c r="F2942" s="63"/>
      <c r="G2942" s="63"/>
      <c r="H2942" t="s">
        <v>78</v>
      </c>
      <c r="I2942" s="64">
        <v>0</v>
      </c>
      <c r="J2942" s="31"/>
      <c r="K2942" s="31"/>
      <c r="L2942" s="31"/>
      <c r="M2942" s="31"/>
      <c r="N2942" s="4"/>
      <c r="AG2942" t="s">
        <v>2653</v>
      </c>
      <c r="AM2942" s="1"/>
    </row>
    <row r="2943" spans="1:39" x14ac:dyDescent="0.35">
      <c r="A2943">
        <v>2939</v>
      </c>
      <c r="B2943">
        <v>2940</v>
      </c>
      <c r="F2943" s="63"/>
      <c r="G2943" s="63"/>
      <c r="H2943" t="s">
        <v>78</v>
      </c>
      <c r="I2943" s="64">
        <v>0</v>
      </c>
      <c r="J2943" s="31"/>
      <c r="K2943" s="31"/>
      <c r="L2943" s="31"/>
      <c r="M2943" s="31"/>
      <c r="N2943" s="4"/>
      <c r="AG2943" t="s">
        <v>2654</v>
      </c>
      <c r="AM2943" s="1"/>
    </row>
    <row r="2944" spans="1:39" x14ac:dyDescent="0.35">
      <c r="A2944">
        <v>2940</v>
      </c>
      <c r="B2944">
        <v>2941</v>
      </c>
      <c r="F2944" s="63"/>
      <c r="G2944" s="63"/>
      <c r="H2944" t="s">
        <v>78</v>
      </c>
      <c r="I2944" s="64">
        <v>0</v>
      </c>
      <c r="J2944" s="31"/>
      <c r="K2944" s="31"/>
      <c r="L2944" s="31"/>
      <c r="M2944" s="31"/>
      <c r="N2944" s="4"/>
      <c r="AG2944" t="s">
        <v>2655</v>
      </c>
      <c r="AM2944" s="1"/>
    </row>
    <row r="2945" spans="1:39" x14ac:dyDescent="0.35">
      <c r="A2945">
        <v>2941</v>
      </c>
      <c r="B2945">
        <v>2942</v>
      </c>
      <c r="F2945" s="63"/>
      <c r="G2945" s="63"/>
      <c r="H2945" t="s">
        <v>78</v>
      </c>
      <c r="I2945" s="64">
        <v>0</v>
      </c>
      <c r="J2945" s="31"/>
      <c r="K2945" s="31"/>
      <c r="L2945" s="31"/>
      <c r="M2945" s="31"/>
      <c r="N2945" s="4"/>
      <c r="AG2945" t="s">
        <v>2656</v>
      </c>
      <c r="AM2945" s="1"/>
    </row>
    <row r="2946" spans="1:39" x14ac:dyDescent="0.35">
      <c r="A2946">
        <v>2942</v>
      </c>
      <c r="B2946">
        <v>2943</v>
      </c>
      <c r="F2946" s="63"/>
      <c r="G2946" s="63"/>
      <c r="H2946" t="s">
        <v>78</v>
      </c>
      <c r="I2946" s="64">
        <v>0</v>
      </c>
      <c r="J2946" s="31"/>
      <c r="K2946" s="31"/>
      <c r="L2946" s="31"/>
      <c r="M2946" s="31"/>
      <c r="N2946" s="4"/>
      <c r="AG2946" t="s">
        <v>2657</v>
      </c>
      <c r="AM2946" s="1"/>
    </row>
    <row r="2947" spans="1:39" x14ac:dyDescent="0.35">
      <c r="A2947">
        <v>2943</v>
      </c>
      <c r="B2947">
        <v>2944</v>
      </c>
      <c r="F2947" s="63"/>
      <c r="G2947" s="63"/>
      <c r="H2947" t="s">
        <v>78</v>
      </c>
      <c r="I2947" s="64">
        <v>0</v>
      </c>
      <c r="J2947" s="31"/>
      <c r="K2947" s="31"/>
      <c r="L2947" s="31"/>
      <c r="M2947" s="31"/>
      <c r="N2947" s="4"/>
      <c r="AG2947" t="s">
        <v>2658</v>
      </c>
      <c r="AM2947" s="1"/>
    </row>
    <row r="2948" spans="1:39" x14ac:dyDescent="0.35">
      <c r="A2948">
        <v>2944</v>
      </c>
      <c r="B2948">
        <v>2945</v>
      </c>
      <c r="F2948" s="63"/>
      <c r="G2948" s="63"/>
      <c r="H2948" t="s">
        <v>78</v>
      </c>
      <c r="I2948" s="64">
        <v>0</v>
      </c>
      <c r="J2948" s="31"/>
      <c r="K2948" s="31"/>
      <c r="L2948" s="31"/>
      <c r="M2948" s="31"/>
      <c r="N2948" s="4"/>
      <c r="AG2948" t="s">
        <v>2659</v>
      </c>
      <c r="AM2948" s="1"/>
    </row>
    <row r="2949" spans="1:39" x14ac:dyDescent="0.35">
      <c r="A2949">
        <v>2945</v>
      </c>
      <c r="B2949">
        <v>2946</v>
      </c>
      <c r="F2949" s="63"/>
      <c r="G2949" s="63"/>
      <c r="H2949" t="s">
        <v>78</v>
      </c>
      <c r="I2949" s="64">
        <v>0</v>
      </c>
      <c r="J2949" s="31"/>
      <c r="K2949" s="31"/>
      <c r="L2949" s="31"/>
      <c r="M2949" s="31"/>
      <c r="N2949" s="4"/>
      <c r="AG2949" t="s">
        <v>2660</v>
      </c>
      <c r="AM2949" s="1"/>
    </row>
    <row r="2950" spans="1:39" x14ac:dyDescent="0.35">
      <c r="A2950">
        <v>2946</v>
      </c>
      <c r="B2950">
        <v>2947</v>
      </c>
      <c r="F2950" s="63"/>
      <c r="G2950" s="63"/>
      <c r="H2950" t="s">
        <v>78</v>
      </c>
      <c r="I2950" s="64">
        <v>0</v>
      </c>
      <c r="J2950" s="31"/>
      <c r="K2950" s="31"/>
      <c r="L2950" s="31"/>
      <c r="M2950" s="31"/>
      <c r="N2950" s="4"/>
      <c r="AG2950" t="s">
        <v>2661</v>
      </c>
      <c r="AM2950" s="1"/>
    </row>
    <row r="2951" spans="1:39" x14ac:dyDescent="0.35">
      <c r="A2951">
        <v>2947</v>
      </c>
      <c r="B2951">
        <v>2948</v>
      </c>
      <c r="F2951" s="63"/>
      <c r="G2951" s="63"/>
      <c r="H2951" t="s">
        <v>78</v>
      </c>
      <c r="I2951" s="64">
        <v>0</v>
      </c>
      <c r="J2951" s="31"/>
      <c r="K2951" s="31"/>
      <c r="L2951" s="31"/>
      <c r="M2951" s="31"/>
      <c r="N2951" s="4"/>
      <c r="AG2951" t="s">
        <v>2662</v>
      </c>
      <c r="AM2951" s="1"/>
    </row>
    <row r="2952" spans="1:39" x14ac:dyDescent="0.35">
      <c r="A2952">
        <v>2948</v>
      </c>
      <c r="B2952">
        <v>2949</v>
      </c>
      <c r="F2952" s="63"/>
      <c r="G2952" s="63"/>
      <c r="H2952" t="s">
        <v>78</v>
      </c>
      <c r="I2952" s="64">
        <v>0</v>
      </c>
      <c r="J2952" s="31"/>
      <c r="K2952" s="31"/>
      <c r="L2952" s="31"/>
      <c r="M2952" s="31"/>
      <c r="N2952" s="4"/>
      <c r="AG2952" t="s">
        <v>2663</v>
      </c>
      <c r="AM2952" s="1"/>
    </row>
    <row r="2953" spans="1:39" x14ac:dyDescent="0.35">
      <c r="A2953">
        <v>2949</v>
      </c>
      <c r="B2953">
        <v>2950</v>
      </c>
      <c r="F2953" s="63"/>
      <c r="G2953" s="63"/>
      <c r="H2953" t="s">
        <v>78</v>
      </c>
      <c r="I2953" s="64">
        <v>0</v>
      </c>
      <c r="J2953" s="31"/>
      <c r="K2953" s="31"/>
      <c r="L2953" s="31"/>
      <c r="M2953" s="31"/>
      <c r="N2953" s="4"/>
      <c r="AG2953" t="s">
        <v>2664</v>
      </c>
      <c r="AM2953" s="1"/>
    </row>
    <row r="2954" spans="1:39" x14ac:dyDescent="0.35">
      <c r="A2954">
        <v>2950</v>
      </c>
      <c r="B2954">
        <v>2951</v>
      </c>
      <c r="F2954" s="63"/>
      <c r="G2954" s="63"/>
      <c r="H2954" t="s">
        <v>78</v>
      </c>
      <c r="I2954" s="64">
        <v>0</v>
      </c>
      <c r="J2954" s="31"/>
      <c r="K2954" s="31"/>
      <c r="L2954" s="31"/>
      <c r="M2954" s="31"/>
      <c r="N2954" s="4"/>
      <c r="AG2954" t="s">
        <v>2665</v>
      </c>
      <c r="AM2954" s="1"/>
    </row>
    <row r="2955" spans="1:39" x14ac:dyDescent="0.35">
      <c r="A2955">
        <v>2951</v>
      </c>
      <c r="B2955">
        <v>2952</v>
      </c>
      <c r="F2955" s="63"/>
      <c r="G2955" s="63"/>
      <c r="H2955" t="s">
        <v>78</v>
      </c>
      <c r="I2955" s="64">
        <v>0</v>
      </c>
      <c r="J2955" s="31"/>
      <c r="K2955" s="31"/>
      <c r="L2955" s="31"/>
      <c r="M2955" s="31"/>
      <c r="N2955" s="4"/>
      <c r="AG2955" t="s">
        <v>2666</v>
      </c>
      <c r="AM2955" s="1"/>
    </row>
    <row r="2956" spans="1:39" x14ac:dyDescent="0.35">
      <c r="A2956">
        <v>2952</v>
      </c>
      <c r="B2956">
        <v>2953</v>
      </c>
      <c r="F2956" s="63"/>
      <c r="G2956" s="63"/>
      <c r="H2956" t="s">
        <v>78</v>
      </c>
      <c r="I2956" s="64">
        <v>0</v>
      </c>
      <c r="J2956" s="31"/>
      <c r="K2956" s="31"/>
      <c r="L2956" s="31"/>
      <c r="M2956" s="31"/>
      <c r="N2956" s="4"/>
      <c r="AG2956" t="s">
        <v>2667</v>
      </c>
      <c r="AM2956" s="1"/>
    </row>
    <row r="2957" spans="1:39" x14ac:dyDescent="0.35">
      <c r="A2957">
        <v>2953</v>
      </c>
      <c r="B2957">
        <v>2954</v>
      </c>
      <c r="F2957" s="63"/>
      <c r="G2957" s="63"/>
      <c r="H2957" t="s">
        <v>78</v>
      </c>
      <c r="I2957" s="64">
        <v>0</v>
      </c>
      <c r="J2957" s="31"/>
      <c r="K2957" s="31"/>
      <c r="L2957" s="31"/>
      <c r="M2957" s="31"/>
      <c r="N2957" s="4"/>
      <c r="AG2957" t="s">
        <v>2668</v>
      </c>
      <c r="AM2957" s="1"/>
    </row>
    <row r="2958" spans="1:39" x14ac:dyDescent="0.35">
      <c r="A2958">
        <v>2954</v>
      </c>
      <c r="B2958">
        <v>2955</v>
      </c>
      <c r="F2958" s="63"/>
      <c r="G2958" s="63"/>
      <c r="H2958" t="s">
        <v>78</v>
      </c>
      <c r="I2958" s="64">
        <v>0</v>
      </c>
      <c r="J2958" s="31"/>
      <c r="K2958" s="31"/>
      <c r="L2958" s="31"/>
      <c r="M2958" s="31"/>
      <c r="N2958" s="4"/>
      <c r="AG2958" t="s">
        <v>2669</v>
      </c>
      <c r="AM2958" s="1"/>
    </row>
    <row r="2959" spans="1:39" x14ac:dyDescent="0.35">
      <c r="A2959">
        <v>2955</v>
      </c>
      <c r="B2959">
        <v>2956</v>
      </c>
      <c r="F2959" s="63"/>
      <c r="G2959" s="63"/>
      <c r="H2959" t="s">
        <v>78</v>
      </c>
      <c r="I2959" s="64">
        <v>0</v>
      </c>
      <c r="J2959" s="31"/>
      <c r="K2959" s="31"/>
      <c r="L2959" s="31"/>
      <c r="M2959" s="31"/>
      <c r="N2959" s="4"/>
      <c r="AG2959" t="s">
        <v>2670</v>
      </c>
      <c r="AM2959" s="1"/>
    </row>
    <row r="2960" spans="1:39" x14ac:dyDescent="0.35">
      <c r="A2960">
        <v>2956</v>
      </c>
      <c r="B2960">
        <v>2957</v>
      </c>
      <c r="F2960" s="63"/>
      <c r="G2960" s="63"/>
      <c r="H2960" t="s">
        <v>78</v>
      </c>
      <c r="I2960" s="64">
        <v>0</v>
      </c>
      <c r="J2960" s="31"/>
      <c r="K2960" s="31"/>
      <c r="L2960" s="31"/>
      <c r="M2960" s="31"/>
      <c r="N2960" s="4"/>
      <c r="AG2960" t="s">
        <v>2671</v>
      </c>
      <c r="AM2960" s="1"/>
    </row>
    <row r="2961" spans="1:39" x14ac:dyDescent="0.35">
      <c r="A2961">
        <v>2957</v>
      </c>
      <c r="B2961">
        <v>2958</v>
      </c>
      <c r="F2961" s="63"/>
      <c r="G2961" s="63"/>
      <c r="H2961" t="s">
        <v>78</v>
      </c>
      <c r="I2961" s="64">
        <v>0</v>
      </c>
      <c r="J2961" s="31"/>
      <c r="K2961" s="31"/>
      <c r="L2961" s="31"/>
      <c r="M2961" s="31"/>
      <c r="N2961" s="4"/>
      <c r="AG2961" t="s">
        <v>2672</v>
      </c>
      <c r="AM2961" s="1"/>
    </row>
    <row r="2962" spans="1:39" x14ac:dyDescent="0.35">
      <c r="A2962">
        <v>2958</v>
      </c>
      <c r="B2962">
        <v>2959</v>
      </c>
      <c r="F2962" s="63"/>
      <c r="G2962" s="63"/>
      <c r="H2962" t="s">
        <v>78</v>
      </c>
      <c r="I2962" s="64">
        <v>0</v>
      </c>
      <c r="J2962" s="31"/>
      <c r="K2962" s="31"/>
      <c r="L2962" s="31"/>
      <c r="M2962" s="31"/>
      <c r="N2962" s="4"/>
      <c r="AG2962" t="s">
        <v>2673</v>
      </c>
      <c r="AM2962" s="1"/>
    </row>
    <row r="2963" spans="1:39" x14ac:dyDescent="0.35">
      <c r="A2963">
        <v>2959</v>
      </c>
      <c r="B2963">
        <v>2960</v>
      </c>
      <c r="F2963" s="63"/>
      <c r="G2963" s="63"/>
      <c r="H2963" t="s">
        <v>78</v>
      </c>
      <c r="I2963" s="64">
        <v>0</v>
      </c>
      <c r="J2963" s="31"/>
      <c r="K2963" s="31"/>
      <c r="L2963" s="31"/>
      <c r="M2963" s="31"/>
      <c r="N2963" s="4"/>
      <c r="AG2963" t="s">
        <v>2674</v>
      </c>
      <c r="AM2963" s="1"/>
    </row>
    <row r="2964" spans="1:39" x14ac:dyDescent="0.35">
      <c r="A2964">
        <v>2960</v>
      </c>
      <c r="B2964">
        <v>2961</v>
      </c>
      <c r="F2964" s="63"/>
      <c r="G2964" s="63"/>
      <c r="H2964" t="s">
        <v>78</v>
      </c>
      <c r="I2964" s="64">
        <v>0</v>
      </c>
      <c r="J2964" s="31"/>
      <c r="K2964" s="31"/>
      <c r="L2964" s="31"/>
      <c r="M2964" s="31"/>
      <c r="N2964" s="4"/>
      <c r="AG2964" t="s">
        <v>2675</v>
      </c>
      <c r="AM2964" s="1"/>
    </row>
    <row r="2965" spans="1:39" x14ac:dyDescent="0.35">
      <c r="A2965">
        <v>2961</v>
      </c>
      <c r="B2965">
        <v>2962</v>
      </c>
      <c r="F2965" s="63"/>
      <c r="G2965" s="63"/>
      <c r="H2965" t="s">
        <v>78</v>
      </c>
      <c r="I2965" s="64">
        <v>0</v>
      </c>
      <c r="J2965" s="31"/>
      <c r="K2965" s="31"/>
      <c r="L2965" s="31"/>
      <c r="M2965" s="31"/>
      <c r="N2965" s="4"/>
      <c r="AG2965" t="s">
        <v>2676</v>
      </c>
      <c r="AM2965" s="1"/>
    </row>
    <row r="2966" spans="1:39" x14ac:dyDescent="0.35">
      <c r="A2966">
        <v>2962</v>
      </c>
      <c r="B2966">
        <v>2963</v>
      </c>
      <c r="F2966" s="63"/>
      <c r="G2966" s="63"/>
      <c r="H2966" t="s">
        <v>78</v>
      </c>
      <c r="I2966" s="64">
        <v>0</v>
      </c>
      <c r="J2966" s="31"/>
      <c r="K2966" s="31"/>
      <c r="L2966" s="31"/>
      <c r="M2966" s="31"/>
      <c r="N2966" s="4"/>
      <c r="AG2966" t="s">
        <v>2677</v>
      </c>
      <c r="AM2966" s="1"/>
    </row>
    <row r="2967" spans="1:39" x14ac:dyDescent="0.35">
      <c r="A2967">
        <v>2963</v>
      </c>
      <c r="B2967">
        <v>2964</v>
      </c>
      <c r="F2967" s="63"/>
      <c r="G2967" s="63"/>
      <c r="H2967" t="s">
        <v>78</v>
      </c>
      <c r="I2967" s="64">
        <v>0</v>
      </c>
      <c r="J2967" s="31"/>
      <c r="K2967" s="31"/>
      <c r="L2967" s="31"/>
      <c r="M2967" s="31"/>
      <c r="N2967" s="4"/>
      <c r="AG2967" t="s">
        <v>2678</v>
      </c>
      <c r="AM2967" s="1"/>
    </row>
    <row r="2968" spans="1:39" x14ac:dyDescent="0.35">
      <c r="A2968">
        <v>2964</v>
      </c>
      <c r="B2968">
        <v>2965</v>
      </c>
      <c r="F2968" s="63"/>
      <c r="G2968" s="63"/>
      <c r="H2968" t="s">
        <v>78</v>
      </c>
      <c r="I2968" s="64">
        <v>0</v>
      </c>
      <c r="J2968" s="31"/>
      <c r="K2968" s="31"/>
      <c r="L2968" s="31"/>
      <c r="M2968" s="31"/>
      <c r="N2968" s="4"/>
      <c r="AG2968" t="s">
        <v>2679</v>
      </c>
      <c r="AM2968" s="1"/>
    </row>
    <row r="2969" spans="1:39" x14ac:dyDescent="0.35">
      <c r="A2969">
        <v>2965</v>
      </c>
      <c r="B2969">
        <v>2966</v>
      </c>
      <c r="F2969" s="63"/>
      <c r="G2969" s="63"/>
      <c r="H2969" t="s">
        <v>78</v>
      </c>
      <c r="I2969" s="64">
        <v>0</v>
      </c>
      <c r="J2969" s="31"/>
      <c r="K2969" s="31"/>
      <c r="L2969" s="31"/>
      <c r="M2969" s="31"/>
      <c r="N2969" s="4"/>
      <c r="AG2969" t="s">
        <v>2680</v>
      </c>
      <c r="AM2969" s="1"/>
    </row>
    <row r="2970" spans="1:39" x14ac:dyDescent="0.35">
      <c r="A2970">
        <v>2966</v>
      </c>
      <c r="B2970">
        <v>2967</v>
      </c>
      <c r="F2970" s="63"/>
      <c r="G2970" s="63"/>
      <c r="H2970" t="s">
        <v>78</v>
      </c>
      <c r="I2970" s="64">
        <v>0</v>
      </c>
      <c r="J2970" s="31"/>
      <c r="K2970" s="31"/>
      <c r="L2970" s="31"/>
      <c r="M2970" s="31"/>
      <c r="N2970" s="4"/>
      <c r="AG2970" t="s">
        <v>2681</v>
      </c>
      <c r="AM2970" s="1"/>
    </row>
    <row r="2971" spans="1:39" x14ac:dyDescent="0.35">
      <c r="A2971">
        <v>2967</v>
      </c>
      <c r="B2971">
        <v>2968</v>
      </c>
      <c r="F2971" s="63"/>
      <c r="G2971" s="63"/>
      <c r="H2971" t="s">
        <v>78</v>
      </c>
      <c r="I2971" s="64">
        <v>0</v>
      </c>
      <c r="J2971" s="31"/>
      <c r="K2971" s="31"/>
      <c r="L2971" s="31"/>
      <c r="M2971" s="31"/>
      <c r="N2971" s="4"/>
      <c r="AG2971" t="s">
        <v>2682</v>
      </c>
      <c r="AM2971" s="1"/>
    </row>
    <row r="2972" spans="1:39" x14ac:dyDescent="0.35">
      <c r="A2972">
        <v>2968</v>
      </c>
      <c r="B2972">
        <v>2969</v>
      </c>
      <c r="F2972" s="63"/>
      <c r="G2972" s="63"/>
      <c r="H2972" t="s">
        <v>78</v>
      </c>
      <c r="I2972" s="64">
        <v>0</v>
      </c>
      <c r="J2972" s="31"/>
      <c r="K2972" s="31"/>
      <c r="L2972" s="31"/>
      <c r="M2972" s="31"/>
      <c r="N2972" s="4"/>
      <c r="AG2972" t="s">
        <v>2683</v>
      </c>
      <c r="AM2972" s="1"/>
    </row>
    <row r="2973" spans="1:39" x14ac:dyDescent="0.35">
      <c r="A2973">
        <v>2969</v>
      </c>
      <c r="B2973">
        <v>2970</v>
      </c>
      <c r="F2973" s="63"/>
      <c r="G2973" s="63"/>
      <c r="H2973" t="s">
        <v>78</v>
      </c>
      <c r="I2973" s="64">
        <v>0</v>
      </c>
      <c r="J2973" s="31"/>
      <c r="K2973" s="31"/>
      <c r="L2973" s="31"/>
      <c r="M2973" s="31"/>
      <c r="N2973" s="4"/>
      <c r="AG2973" t="s">
        <v>2684</v>
      </c>
      <c r="AM2973" s="1"/>
    </row>
    <row r="2974" spans="1:39" x14ac:dyDescent="0.35">
      <c r="A2974">
        <v>2970</v>
      </c>
      <c r="B2974">
        <v>2971</v>
      </c>
      <c r="F2974" s="63"/>
      <c r="G2974" s="63"/>
      <c r="H2974" t="s">
        <v>78</v>
      </c>
      <c r="I2974" s="64">
        <v>0</v>
      </c>
      <c r="J2974" s="31"/>
      <c r="K2974" s="31"/>
      <c r="L2974" s="31"/>
      <c r="M2974" s="31"/>
      <c r="N2974" s="4"/>
      <c r="AG2974" t="s">
        <v>2685</v>
      </c>
      <c r="AM2974" s="1"/>
    </row>
    <row r="2975" spans="1:39" x14ac:dyDescent="0.35">
      <c r="A2975">
        <v>2971</v>
      </c>
      <c r="B2975">
        <v>2972</v>
      </c>
      <c r="F2975" s="63"/>
      <c r="G2975" s="63"/>
      <c r="H2975" t="s">
        <v>78</v>
      </c>
      <c r="I2975" s="64">
        <v>0</v>
      </c>
      <c r="J2975" s="31"/>
      <c r="K2975" s="31"/>
      <c r="L2975" s="31"/>
      <c r="M2975" s="31"/>
      <c r="N2975" s="4"/>
      <c r="AG2975" t="s">
        <v>2686</v>
      </c>
      <c r="AM2975" s="1"/>
    </row>
    <row r="2976" spans="1:39" x14ac:dyDescent="0.35">
      <c r="A2976">
        <v>2972</v>
      </c>
      <c r="B2976">
        <v>2973</v>
      </c>
      <c r="F2976" s="63"/>
      <c r="G2976" s="63"/>
      <c r="H2976" t="s">
        <v>78</v>
      </c>
      <c r="I2976" s="64">
        <v>0</v>
      </c>
      <c r="J2976" s="31"/>
      <c r="K2976" s="31"/>
      <c r="L2976" s="31"/>
      <c r="M2976" s="31"/>
      <c r="N2976" s="4"/>
      <c r="AG2976" t="s">
        <v>2687</v>
      </c>
      <c r="AM2976" s="1"/>
    </row>
    <row r="2977" spans="1:39" x14ac:dyDescent="0.35">
      <c r="A2977">
        <v>2973</v>
      </c>
      <c r="B2977">
        <v>2974</v>
      </c>
      <c r="F2977" s="63"/>
      <c r="G2977" s="63"/>
      <c r="H2977" t="s">
        <v>78</v>
      </c>
      <c r="I2977" s="64">
        <v>0</v>
      </c>
      <c r="J2977" s="31"/>
      <c r="K2977" s="31"/>
      <c r="L2977" s="31"/>
      <c r="M2977" s="31"/>
      <c r="N2977" s="4"/>
      <c r="AG2977" t="s">
        <v>2688</v>
      </c>
      <c r="AM2977" s="1"/>
    </row>
    <row r="2978" spans="1:39" x14ac:dyDescent="0.35">
      <c r="A2978">
        <v>2974</v>
      </c>
      <c r="B2978">
        <v>2975</v>
      </c>
      <c r="F2978" s="63"/>
      <c r="G2978" s="63"/>
      <c r="H2978" t="s">
        <v>78</v>
      </c>
      <c r="I2978" s="64">
        <v>0</v>
      </c>
      <c r="J2978" s="31"/>
      <c r="K2978" s="31"/>
      <c r="L2978" s="31"/>
      <c r="M2978" s="31"/>
      <c r="N2978" s="4"/>
      <c r="AG2978" t="s">
        <v>2689</v>
      </c>
      <c r="AM2978" s="1"/>
    </row>
    <row r="2979" spans="1:39" x14ac:dyDescent="0.35">
      <c r="A2979">
        <v>2975</v>
      </c>
      <c r="B2979">
        <v>2976</v>
      </c>
      <c r="F2979" s="63"/>
      <c r="G2979" s="63"/>
      <c r="H2979" t="s">
        <v>78</v>
      </c>
      <c r="I2979" s="64">
        <v>0</v>
      </c>
      <c r="J2979" s="31"/>
      <c r="K2979" s="31"/>
      <c r="L2979" s="31"/>
      <c r="M2979" s="31"/>
      <c r="N2979" s="4"/>
      <c r="AG2979" t="s">
        <v>2690</v>
      </c>
      <c r="AM2979" s="1"/>
    </row>
    <row r="2980" spans="1:39" x14ac:dyDescent="0.35">
      <c r="A2980">
        <v>2976</v>
      </c>
      <c r="B2980">
        <v>2977</v>
      </c>
      <c r="F2980" s="63"/>
      <c r="G2980" s="63"/>
      <c r="H2980" t="s">
        <v>78</v>
      </c>
      <c r="I2980" s="64">
        <v>0</v>
      </c>
      <c r="J2980" s="31"/>
      <c r="K2980" s="31"/>
      <c r="L2980" s="31"/>
      <c r="M2980" s="31"/>
      <c r="N2980" s="4"/>
      <c r="AG2980" t="s">
        <v>2691</v>
      </c>
      <c r="AM2980" s="1"/>
    </row>
    <row r="2981" spans="1:39" x14ac:dyDescent="0.35">
      <c r="A2981">
        <v>2977</v>
      </c>
      <c r="B2981">
        <v>2978</v>
      </c>
      <c r="F2981" s="63"/>
      <c r="G2981" s="63"/>
      <c r="H2981" t="s">
        <v>78</v>
      </c>
      <c r="I2981" s="64">
        <v>0</v>
      </c>
      <c r="J2981" s="31"/>
      <c r="K2981" s="31"/>
      <c r="L2981" s="31"/>
      <c r="M2981" s="31"/>
      <c r="N2981" s="4"/>
      <c r="AG2981" t="s">
        <v>2692</v>
      </c>
      <c r="AM2981" s="1"/>
    </row>
    <row r="2982" spans="1:39" x14ac:dyDescent="0.35">
      <c r="A2982">
        <v>2978</v>
      </c>
      <c r="B2982">
        <v>2979</v>
      </c>
      <c r="F2982" s="63"/>
      <c r="G2982" s="63"/>
      <c r="H2982" t="s">
        <v>78</v>
      </c>
      <c r="I2982" s="64">
        <v>0</v>
      </c>
      <c r="J2982" s="31"/>
      <c r="K2982" s="31"/>
      <c r="L2982" s="31"/>
      <c r="M2982" s="31"/>
      <c r="N2982" s="4"/>
      <c r="AG2982" t="s">
        <v>2693</v>
      </c>
      <c r="AM2982" s="1"/>
    </row>
    <row r="2983" spans="1:39" x14ac:dyDescent="0.35">
      <c r="A2983">
        <v>2979</v>
      </c>
      <c r="B2983">
        <v>2980</v>
      </c>
      <c r="F2983" s="63"/>
      <c r="G2983" s="63"/>
      <c r="H2983" t="s">
        <v>78</v>
      </c>
      <c r="I2983" s="64">
        <v>0</v>
      </c>
      <c r="J2983" s="31"/>
      <c r="K2983" s="31"/>
      <c r="L2983" s="31"/>
      <c r="M2983" s="31"/>
      <c r="N2983" s="4"/>
      <c r="AG2983" t="s">
        <v>2694</v>
      </c>
      <c r="AM2983" s="1"/>
    </row>
    <row r="2984" spans="1:39" x14ac:dyDescent="0.35">
      <c r="A2984">
        <v>2980</v>
      </c>
      <c r="B2984">
        <v>2981</v>
      </c>
      <c r="F2984" s="63"/>
      <c r="G2984" s="63"/>
      <c r="H2984" t="s">
        <v>78</v>
      </c>
      <c r="I2984" s="64">
        <v>0</v>
      </c>
      <c r="J2984" s="31"/>
      <c r="K2984" s="31"/>
      <c r="L2984" s="31"/>
      <c r="M2984" s="31"/>
      <c r="N2984" s="4"/>
      <c r="AG2984" t="s">
        <v>2695</v>
      </c>
      <c r="AM2984" s="1"/>
    </row>
    <row r="2985" spans="1:39" x14ac:dyDescent="0.35">
      <c r="A2985">
        <v>2981</v>
      </c>
      <c r="B2985">
        <v>2982</v>
      </c>
      <c r="F2985" s="63"/>
      <c r="G2985" s="63"/>
      <c r="H2985" t="s">
        <v>78</v>
      </c>
      <c r="I2985" s="64">
        <v>0</v>
      </c>
      <c r="J2985" s="31"/>
      <c r="K2985" s="31"/>
      <c r="L2985" s="31"/>
      <c r="M2985" s="31"/>
      <c r="N2985" s="4"/>
      <c r="AG2985" t="s">
        <v>2696</v>
      </c>
      <c r="AM2985" s="1"/>
    </row>
    <row r="2986" spans="1:39" x14ac:dyDescent="0.35">
      <c r="A2986">
        <v>2982</v>
      </c>
      <c r="B2986">
        <v>2983</v>
      </c>
      <c r="F2986" s="63"/>
      <c r="G2986" s="63"/>
      <c r="H2986" t="s">
        <v>78</v>
      </c>
      <c r="I2986" s="64">
        <v>0</v>
      </c>
      <c r="J2986" s="31"/>
      <c r="K2986" s="31"/>
      <c r="L2986" s="31"/>
      <c r="M2986" s="31"/>
      <c r="N2986" s="4"/>
      <c r="AG2986" t="s">
        <v>2697</v>
      </c>
      <c r="AM2986" s="1"/>
    </row>
    <row r="2987" spans="1:39" x14ac:dyDescent="0.35">
      <c r="A2987">
        <v>2983</v>
      </c>
      <c r="B2987">
        <v>2984</v>
      </c>
      <c r="F2987" s="63"/>
      <c r="G2987" s="63"/>
      <c r="H2987" t="s">
        <v>78</v>
      </c>
      <c r="I2987" s="64">
        <v>0</v>
      </c>
      <c r="J2987" s="31"/>
      <c r="K2987" s="31"/>
      <c r="L2987" s="31"/>
      <c r="M2987" s="31"/>
      <c r="N2987" s="4"/>
      <c r="AG2987" t="s">
        <v>2698</v>
      </c>
      <c r="AM2987" s="1"/>
    </row>
    <row r="2988" spans="1:39" x14ac:dyDescent="0.35">
      <c r="A2988">
        <v>2984</v>
      </c>
      <c r="B2988">
        <v>2985</v>
      </c>
      <c r="F2988" s="63"/>
      <c r="G2988" s="63"/>
      <c r="H2988" t="s">
        <v>78</v>
      </c>
      <c r="I2988" s="64">
        <v>0</v>
      </c>
      <c r="J2988" s="31"/>
      <c r="K2988" s="31"/>
      <c r="L2988" s="31"/>
      <c r="M2988" s="31"/>
      <c r="N2988" s="4"/>
      <c r="AG2988" t="s">
        <v>2699</v>
      </c>
      <c r="AM2988" s="1"/>
    </row>
    <row r="2989" spans="1:39" x14ac:dyDescent="0.35">
      <c r="A2989">
        <v>2985</v>
      </c>
      <c r="B2989">
        <v>2986</v>
      </c>
      <c r="F2989" s="63"/>
      <c r="G2989" s="63"/>
      <c r="H2989" t="s">
        <v>78</v>
      </c>
      <c r="I2989" s="64">
        <v>0</v>
      </c>
      <c r="J2989" s="31"/>
      <c r="K2989" s="31"/>
      <c r="L2989" s="31"/>
      <c r="M2989" s="31"/>
      <c r="N2989" s="4"/>
      <c r="AG2989" t="s">
        <v>2700</v>
      </c>
      <c r="AM2989" s="1"/>
    </row>
    <row r="2990" spans="1:39" x14ac:dyDescent="0.35">
      <c r="A2990">
        <v>2986</v>
      </c>
      <c r="B2990">
        <v>2987</v>
      </c>
      <c r="F2990" s="63"/>
      <c r="G2990" s="63"/>
      <c r="H2990" t="s">
        <v>78</v>
      </c>
      <c r="I2990" s="64">
        <v>0</v>
      </c>
      <c r="J2990" s="31"/>
      <c r="K2990" s="31"/>
      <c r="L2990" s="31"/>
      <c r="M2990" s="31"/>
      <c r="N2990" s="4"/>
      <c r="AG2990" t="s">
        <v>2701</v>
      </c>
      <c r="AM2990" s="1"/>
    </row>
    <row r="2991" spans="1:39" x14ac:dyDescent="0.35">
      <c r="A2991">
        <v>2987</v>
      </c>
      <c r="B2991">
        <v>2988</v>
      </c>
      <c r="F2991" s="63"/>
      <c r="G2991" s="63"/>
      <c r="H2991" t="s">
        <v>78</v>
      </c>
      <c r="I2991" s="64">
        <v>0</v>
      </c>
      <c r="J2991" s="31"/>
      <c r="K2991" s="31"/>
      <c r="L2991" s="31"/>
      <c r="M2991" s="31"/>
      <c r="N2991" s="4"/>
      <c r="AG2991" t="s">
        <v>2702</v>
      </c>
      <c r="AM2991" s="1"/>
    </row>
    <row r="2992" spans="1:39" x14ac:dyDescent="0.35">
      <c r="A2992">
        <v>2988</v>
      </c>
      <c r="B2992">
        <v>2989</v>
      </c>
      <c r="F2992" s="63"/>
      <c r="G2992" s="63"/>
      <c r="H2992" t="s">
        <v>78</v>
      </c>
      <c r="I2992" s="64">
        <v>0</v>
      </c>
      <c r="J2992" s="31"/>
      <c r="K2992" s="31"/>
      <c r="L2992" s="31"/>
      <c r="M2992" s="31"/>
      <c r="N2992" s="4"/>
      <c r="AG2992" t="s">
        <v>2703</v>
      </c>
      <c r="AM2992" s="1"/>
    </row>
    <row r="2993" spans="1:39" x14ac:dyDescent="0.35">
      <c r="A2993">
        <v>2989</v>
      </c>
      <c r="B2993">
        <v>2990</v>
      </c>
      <c r="F2993" s="63"/>
      <c r="G2993" s="63"/>
      <c r="H2993" t="s">
        <v>78</v>
      </c>
      <c r="I2993" s="64">
        <v>0</v>
      </c>
      <c r="J2993" s="31"/>
      <c r="K2993" s="31"/>
      <c r="L2993" s="31"/>
      <c r="M2993" s="31"/>
      <c r="N2993" s="4"/>
      <c r="AG2993" t="s">
        <v>2704</v>
      </c>
      <c r="AM2993" s="1"/>
    </row>
    <row r="2994" spans="1:39" x14ac:dyDescent="0.35">
      <c r="A2994">
        <v>2990</v>
      </c>
      <c r="B2994">
        <v>2991</v>
      </c>
      <c r="F2994" s="63"/>
      <c r="G2994" s="63"/>
      <c r="H2994" t="s">
        <v>78</v>
      </c>
      <c r="I2994" s="64">
        <v>0</v>
      </c>
      <c r="J2994" s="31"/>
      <c r="K2994" s="31"/>
      <c r="L2994" s="31"/>
      <c r="M2994" s="31"/>
      <c r="N2994" s="4"/>
      <c r="AG2994" t="s">
        <v>2705</v>
      </c>
      <c r="AM2994" s="1"/>
    </row>
    <row r="2995" spans="1:39" x14ac:dyDescent="0.35">
      <c r="A2995">
        <v>2991</v>
      </c>
      <c r="B2995">
        <v>2992</v>
      </c>
      <c r="F2995" s="63"/>
      <c r="G2995" s="63"/>
      <c r="H2995" t="s">
        <v>78</v>
      </c>
      <c r="I2995" s="64">
        <v>0</v>
      </c>
      <c r="J2995" s="31"/>
      <c r="K2995" s="31"/>
      <c r="L2995" s="31"/>
      <c r="M2995" s="31"/>
      <c r="N2995" s="4"/>
      <c r="AG2995" t="s">
        <v>2706</v>
      </c>
      <c r="AM2995" s="1"/>
    </row>
    <row r="2996" spans="1:39" x14ac:dyDescent="0.35">
      <c r="A2996">
        <v>2992</v>
      </c>
      <c r="B2996">
        <v>2993</v>
      </c>
      <c r="F2996" s="63"/>
      <c r="G2996" s="63"/>
      <c r="H2996" t="s">
        <v>78</v>
      </c>
      <c r="I2996" s="64">
        <v>0</v>
      </c>
      <c r="J2996" s="31"/>
      <c r="K2996" s="31"/>
      <c r="L2996" s="31"/>
      <c r="M2996" s="31"/>
      <c r="N2996" s="4"/>
      <c r="AG2996" t="s">
        <v>2707</v>
      </c>
      <c r="AM2996" s="1"/>
    </row>
    <row r="2997" spans="1:39" x14ac:dyDescent="0.35">
      <c r="A2997">
        <v>2993</v>
      </c>
      <c r="B2997">
        <v>2994</v>
      </c>
      <c r="F2997" s="63"/>
      <c r="G2997" s="63"/>
      <c r="H2997" t="s">
        <v>78</v>
      </c>
      <c r="I2997" s="64">
        <v>0</v>
      </c>
      <c r="J2997" s="31"/>
      <c r="K2997" s="31"/>
      <c r="L2997" s="31"/>
      <c r="M2997" s="31"/>
      <c r="N2997" s="4"/>
      <c r="AG2997" t="s">
        <v>2708</v>
      </c>
      <c r="AM2997" s="1"/>
    </row>
    <row r="2998" spans="1:39" x14ac:dyDescent="0.35">
      <c r="A2998">
        <v>2994</v>
      </c>
      <c r="B2998">
        <v>2995</v>
      </c>
      <c r="F2998" s="63"/>
      <c r="G2998" s="63"/>
      <c r="H2998" t="s">
        <v>78</v>
      </c>
      <c r="I2998" s="64">
        <v>0</v>
      </c>
      <c r="J2998" s="31"/>
      <c r="K2998" s="31"/>
      <c r="L2998" s="31"/>
      <c r="M2998" s="31"/>
      <c r="N2998" s="4"/>
      <c r="AG2998" t="s">
        <v>2709</v>
      </c>
      <c r="AM2998" s="1"/>
    </row>
    <row r="2999" spans="1:39" x14ac:dyDescent="0.35">
      <c r="A2999">
        <v>2995</v>
      </c>
      <c r="B2999">
        <v>2996</v>
      </c>
      <c r="F2999" s="63"/>
      <c r="G2999" s="63"/>
      <c r="H2999" t="s">
        <v>78</v>
      </c>
      <c r="I2999" s="64">
        <v>0</v>
      </c>
      <c r="J2999" s="31"/>
      <c r="K2999" s="31"/>
      <c r="L2999" s="31"/>
      <c r="M2999" s="31"/>
      <c r="N2999" s="4"/>
      <c r="AG2999" t="s">
        <v>2710</v>
      </c>
      <c r="AM2999" s="1"/>
    </row>
    <row r="3000" spans="1:39" x14ac:dyDescent="0.35">
      <c r="A3000">
        <v>2996</v>
      </c>
      <c r="B3000">
        <v>2997</v>
      </c>
      <c r="F3000" s="63"/>
      <c r="G3000" s="63"/>
      <c r="H3000" t="s">
        <v>78</v>
      </c>
      <c r="I3000" s="64">
        <v>0</v>
      </c>
      <c r="J3000" s="31"/>
      <c r="K3000" s="31"/>
      <c r="L3000" s="31"/>
      <c r="M3000" s="31"/>
      <c r="N3000" s="4"/>
      <c r="AG3000" t="s">
        <v>2711</v>
      </c>
      <c r="AM3000" s="1"/>
    </row>
    <row r="3001" spans="1:39" x14ac:dyDescent="0.35">
      <c r="A3001">
        <v>2997</v>
      </c>
      <c r="B3001">
        <v>2998</v>
      </c>
      <c r="F3001" s="63"/>
      <c r="G3001" s="63"/>
      <c r="H3001" t="s">
        <v>78</v>
      </c>
      <c r="I3001" s="64">
        <v>0</v>
      </c>
      <c r="J3001" s="31"/>
      <c r="K3001" s="31"/>
      <c r="L3001" s="31"/>
      <c r="M3001" s="31"/>
      <c r="N3001" s="4"/>
      <c r="AG3001" t="s">
        <v>2712</v>
      </c>
      <c r="AM3001" s="1"/>
    </row>
    <row r="3002" spans="1:39" x14ac:dyDescent="0.35">
      <c r="A3002">
        <v>2998</v>
      </c>
      <c r="B3002">
        <v>2999</v>
      </c>
      <c r="F3002" s="63"/>
      <c r="G3002" s="63"/>
      <c r="H3002" t="s">
        <v>78</v>
      </c>
      <c r="I3002" s="64">
        <v>0</v>
      </c>
      <c r="J3002" s="31"/>
      <c r="K3002" s="31"/>
      <c r="L3002" s="31"/>
      <c r="M3002" s="31"/>
      <c r="N3002" s="4"/>
      <c r="AG3002" t="s">
        <v>2713</v>
      </c>
      <c r="AM3002" s="1"/>
    </row>
    <row r="3003" spans="1:39" x14ac:dyDescent="0.35">
      <c r="A3003">
        <v>2999</v>
      </c>
      <c r="B3003">
        <v>3000</v>
      </c>
      <c r="F3003" s="63"/>
      <c r="G3003" s="63"/>
      <c r="H3003" t="s">
        <v>78</v>
      </c>
      <c r="I3003" s="64">
        <v>0</v>
      </c>
      <c r="J3003" s="31"/>
      <c r="K3003" s="31"/>
      <c r="L3003" s="31"/>
      <c r="M3003" s="31"/>
      <c r="N3003" s="4"/>
      <c r="AG3003" t="s">
        <v>2714</v>
      </c>
      <c r="AM3003" s="1"/>
    </row>
    <row r="3004" spans="1:39" x14ac:dyDescent="0.35">
      <c r="A3004">
        <v>3000</v>
      </c>
      <c r="B3004">
        <v>3001</v>
      </c>
      <c r="F3004" s="63"/>
      <c r="G3004" s="63"/>
      <c r="H3004" t="s">
        <v>78</v>
      </c>
      <c r="I3004" s="64">
        <v>0</v>
      </c>
      <c r="J3004" s="31"/>
      <c r="K3004" s="31"/>
      <c r="L3004" s="31"/>
      <c r="M3004" s="31"/>
      <c r="N3004" s="4"/>
      <c r="AG3004" t="s">
        <v>2715</v>
      </c>
      <c r="AM3004" s="1"/>
    </row>
    <row r="3005" spans="1:39" x14ac:dyDescent="0.35">
      <c r="A3005">
        <v>3001</v>
      </c>
      <c r="B3005">
        <v>3002</v>
      </c>
      <c r="F3005" s="63"/>
      <c r="G3005" s="63"/>
      <c r="H3005" t="s">
        <v>78</v>
      </c>
      <c r="I3005" s="64">
        <v>0</v>
      </c>
      <c r="J3005" s="31"/>
      <c r="K3005" s="31"/>
      <c r="L3005" s="31"/>
      <c r="M3005" s="31"/>
      <c r="N3005" s="4"/>
      <c r="AG3005" t="s">
        <v>2716</v>
      </c>
      <c r="AM3005" s="1"/>
    </row>
    <row r="3006" spans="1:39" x14ac:dyDescent="0.35">
      <c r="A3006">
        <v>3002</v>
      </c>
      <c r="B3006">
        <v>3003</v>
      </c>
      <c r="F3006" s="63"/>
      <c r="G3006" s="63"/>
      <c r="H3006" t="s">
        <v>78</v>
      </c>
      <c r="I3006" s="64">
        <v>0</v>
      </c>
      <c r="J3006" s="31"/>
      <c r="K3006" s="31"/>
      <c r="L3006" s="31"/>
      <c r="M3006" s="31"/>
      <c r="N3006" s="4"/>
      <c r="AG3006" t="s">
        <v>2717</v>
      </c>
      <c r="AM3006" s="1"/>
    </row>
    <row r="3007" spans="1:39" x14ac:dyDescent="0.35">
      <c r="A3007">
        <v>3003</v>
      </c>
      <c r="B3007">
        <v>3004</v>
      </c>
      <c r="F3007" s="63"/>
      <c r="G3007" s="63"/>
      <c r="H3007" t="s">
        <v>78</v>
      </c>
      <c r="I3007" s="64">
        <v>0</v>
      </c>
      <c r="J3007" s="31"/>
      <c r="K3007" s="31"/>
      <c r="L3007" s="31"/>
      <c r="M3007" s="31"/>
      <c r="N3007" s="4"/>
      <c r="AG3007" t="s">
        <v>2718</v>
      </c>
      <c r="AM3007" s="1"/>
    </row>
    <row r="3008" spans="1:39" x14ac:dyDescent="0.35">
      <c r="A3008">
        <v>3004</v>
      </c>
      <c r="B3008">
        <v>3005</v>
      </c>
      <c r="F3008" s="63"/>
      <c r="G3008" s="63"/>
      <c r="H3008" t="s">
        <v>78</v>
      </c>
      <c r="I3008" s="64">
        <v>0</v>
      </c>
      <c r="J3008" s="31"/>
      <c r="K3008" s="31"/>
      <c r="L3008" s="31"/>
      <c r="M3008" s="31"/>
      <c r="N3008" s="4"/>
      <c r="AG3008" t="s">
        <v>2719</v>
      </c>
      <c r="AM3008" s="1"/>
    </row>
    <row r="3009" spans="1:39" x14ac:dyDescent="0.35">
      <c r="A3009">
        <v>3005</v>
      </c>
      <c r="B3009">
        <v>3006</v>
      </c>
      <c r="F3009" s="63"/>
      <c r="G3009" s="63"/>
      <c r="H3009" t="s">
        <v>78</v>
      </c>
      <c r="I3009" s="64">
        <v>0</v>
      </c>
      <c r="J3009" s="31"/>
      <c r="K3009" s="31"/>
      <c r="L3009" s="31"/>
      <c r="M3009" s="31"/>
      <c r="N3009" s="4"/>
      <c r="AG3009" t="s">
        <v>2720</v>
      </c>
      <c r="AM3009" s="1"/>
    </row>
    <row r="3010" spans="1:39" x14ac:dyDescent="0.35">
      <c r="A3010">
        <v>3006</v>
      </c>
      <c r="B3010">
        <v>3007</v>
      </c>
      <c r="F3010" s="63"/>
      <c r="G3010" s="63"/>
      <c r="H3010" t="s">
        <v>78</v>
      </c>
      <c r="I3010" s="64">
        <v>0</v>
      </c>
      <c r="J3010" s="31"/>
      <c r="K3010" s="31"/>
      <c r="L3010" s="31"/>
      <c r="M3010" s="31"/>
      <c r="N3010" s="4"/>
      <c r="AG3010" t="s">
        <v>2721</v>
      </c>
      <c r="AM3010" s="1"/>
    </row>
    <row r="3011" spans="1:39" x14ac:dyDescent="0.35">
      <c r="A3011">
        <v>3007</v>
      </c>
      <c r="B3011">
        <v>3008</v>
      </c>
      <c r="F3011" s="63"/>
      <c r="G3011" s="63"/>
      <c r="H3011" t="s">
        <v>78</v>
      </c>
      <c r="I3011" s="64">
        <v>0</v>
      </c>
      <c r="J3011" s="31"/>
      <c r="K3011" s="31"/>
      <c r="L3011" s="31"/>
      <c r="M3011" s="31"/>
      <c r="N3011" s="4"/>
      <c r="AG3011" t="s">
        <v>2722</v>
      </c>
      <c r="AM3011" s="1"/>
    </row>
    <row r="3012" spans="1:39" x14ac:dyDescent="0.35">
      <c r="A3012">
        <v>3008</v>
      </c>
      <c r="B3012">
        <v>3009</v>
      </c>
      <c r="F3012" s="63"/>
      <c r="G3012" s="63"/>
      <c r="H3012" t="s">
        <v>78</v>
      </c>
      <c r="I3012" s="64">
        <v>0</v>
      </c>
      <c r="J3012" s="31"/>
      <c r="K3012" s="31"/>
      <c r="L3012" s="31"/>
      <c r="M3012" s="31"/>
      <c r="N3012" s="4"/>
      <c r="AG3012" t="s">
        <v>2723</v>
      </c>
      <c r="AM3012" s="1"/>
    </row>
    <row r="3013" spans="1:39" x14ac:dyDescent="0.35">
      <c r="A3013">
        <v>3009</v>
      </c>
      <c r="B3013">
        <v>3010</v>
      </c>
      <c r="F3013" s="63"/>
      <c r="G3013" s="63"/>
      <c r="H3013" t="s">
        <v>78</v>
      </c>
      <c r="I3013" s="64">
        <v>0</v>
      </c>
      <c r="J3013" s="31"/>
      <c r="K3013" s="31"/>
      <c r="L3013" s="31"/>
      <c r="M3013" s="31"/>
      <c r="N3013" s="4"/>
      <c r="AG3013" t="s">
        <v>2724</v>
      </c>
      <c r="AM3013" s="1"/>
    </row>
    <row r="3014" spans="1:39" x14ac:dyDescent="0.35">
      <c r="A3014">
        <v>3010</v>
      </c>
      <c r="B3014">
        <v>3011</v>
      </c>
      <c r="F3014" s="63"/>
      <c r="G3014" s="63"/>
      <c r="H3014" t="s">
        <v>78</v>
      </c>
      <c r="I3014" s="64">
        <v>0</v>
      </c>
      <c r="J3014" s="31"/>
      <c r="K3014" s="31"/>
      <c r="L3014" s="31"/>
      <c r="M3014" s="31"/>
      <c r="N3014" s="4"/>
      <c r="AG3014" t="s">
        <v>2725</v>
      </c>
      <c r="AM3014" s="1"/>
    </row>
    <row r="3015" spans="1:39" x14ac:dyDescent="0.35">
      <c r="A3015">
        <v>3011</v>
      </c>
      <c r="B3015">
        <v>3012</v>
      </c>
      <c r="F3015" s="63"/>
      <c r="G3015" s="63"/>
      <c r="H3015" t="s">
        <v>78</v>
      </c>
      <c r="I3015" s="64">
        <v>0</v>
      </c>
      <c r="J3015" s="31"/>
      <c r="K3015" s="31"/>
      <c r="L3015" s="31"/>
      <c r="M3015" s="31"/>
      <c r="N3015" s="4"/>
      <c r="AG3015" t="s">
        <v>2726</v>
      </c>
      <c r="AM3015" s="1"/>
    </row>
    <row r="3016" spans="1:39" x14ac:dyDescent="0.35">
      <c r="A3016">
        <v>3012</v>
      </c>
      <c r="B3016">
        <v>3013</v>
      </c>
      <c r="F3016" s="63"/>
      <c r="G3016" s="63"/>
      <c r="H3016" t="s">
        <v>78</v>
      </c>
      <c r="I3016" s="64">
        <v>0</v>
      </c>
      <c r="J3016" s="31"/>
      <c r="K3016" s="31"/>
      <c r="L3016" s="31"/>
      <c r="M3016" s="31"/>
      <c r="N3016" s="4"/>
      <c r="AG3016" t="s">
        <v>2727</v>
      </c>
      <c r="AM3016" s="1"/>
    </row>
    <row r="3017" spans="1:39" x14ac:dyDescent="0.35">
      <c r="A3017">
        <v>3013</v>
      </c>
      <c r="B3017">
        <v>3014</v>
      </c>
      <c r="F3017" s="63"/>
      <c r="G3017" s="63"/>
      <c r="H3017" t="s">
        <v>78</v>
      </c>
      <c r="I3017" s="64">
        <v>0</v>
      </c>
      <c r="J3017" s="31"/>
      <c r="K3017" s="31"/>
      <c r="L3017" s="31"/>
      <c r="M3017" s="31"/>
      <c r="N3017" s="4"/>
      <c r="AG3017" t="s">
        <v>2728</v>
      </c>
      <c r="AM3017" s="1"/>
    </row>
    <row r="3018" spans="1:39" x14ac:dyDescent="0.35">
      <c r="A3018">
        <v>3014</v>
      </c>
      <c r="B3018">
        <v>3015</v>
      </c>
      <c r="F3018" s="63"/>
      <c r="G3018" s="63"/>
      <c r="H3018" t="s">
        <v>78</v>
      </c>
      <c r="I3018" s="64">
        <v>0</v>
      </c>
      <c r="J3018" s="31"/>
      <c r="K3018" s="31"/>
      <c r="L3018" s="31"/>
      <c r="M3018" s="31"/>
      <c r="N3018" s="4"/>
      <c r="AG3018" t="s">
        <v>2729</v>
      </c>
      <c r="AM3018" s="1"/>
    </row>
    <row r="3019" spans="1:39" x14ac:dyDescent="0.35">
      <c r="A3019">
        <v>3015</v>
      </c>
      <c r="B3019">
        <v>3016</v>
      </c>
      <c r="F3019" s="63"/>
      <c r="G3019" s="63"/>
      <c r="H3019" t="s">
        <v>78</v>
      </c>
      <c r="I3019" s="64">
        <v>0</v>
      </c>
      <c r="J3019" s="31"/>
      <c r="K3019" s="31"/>
      <c r="L3019" s="31"/>
      <c r="M3019" s="31"/>
      <c r="N3019" s="4"/>
      <c r="AG3019" t="s">
        <v>2730</v>
      </c>
      <c r="AM3019" s="1"/>
    </row>
    <row r="3020" spans="1:39" x14ac:dyDescent="0.35">
      <c r="A3020">
        <v>3016</v>
      </c>
      <c r="B3020">
        <v>3017</v>
      </c>
      <c r="F3020" s="63"/>
      <c r="G3020" s="63"/>
      <c r="H3020" t="s">
        <v>78</v>
      </c>
      <c r="I3020" s="64">
        <v>0</v>
      </c>
      <c r="J3020" s="31"/>
      <c r="K3020" s="31"/>
      <c r="L3020" s="31"/>
      <c r="M3020" s="31"/>
      <c r="N3020" s="4"/>
      <c r="AG3020" t="s">
        <v>2731</v>
      </c>
      <c r="AM3020" s="1"/>
    </row>
    <row r="3021" spans="1:39" x14ac:dyDescent="0.35">
      <c r="A3021">
        <v>3017</v>
      </c>
      <c r="B3021">
        <v>3018</v>
      </c>
      <c r="F3021" s="63"/>
      <c r="G3021" s="63"/>
      <c r="H3021" t="s">
        <v>78</v>
      </c>
      <c r="I3021" s="64">
        <v>0</v>
      </c>
      <c r="J3021" s="31"/>
      <c r="K3021" s="31"/>
      <c r="L3021" s="31"/>
      <c r="M3021" s="31"/>
      <c r="N3021" s="4"/>
      <c r="AG3021" t="s">
        <v>2732</v>
      </c>
      <c r="AM3021" s="1"/>
    </row>
    <row r="3022" spans="1:39" x14ac:dyDescent="0.35">
      <c r="A3022">
        <v>3018</v>
      </c>
      <c r="B3022">
        <v>3019</v>
      </c>
      <c r="F3022" s="63"/>
      <c r="G3022" s="63"/>
      <c r="H3022" t="s">
        <v>78</v>
      </c>
      <c r="I3022" s="64">
        <v>0</v>
      </c>
      <c r="J3022" s="31"/>
      <c r="K3022" s="31"/>
      <c r="L3022" s="31"/>
      <c r="M3022" s="31"/>
      <c r="N3022" s="4"/>
      <c r="AG3022" t="s">
        <v>2733</v>
      </c>
      <c r="AM3022" s="1"/>
    </row>
    <row r="3023" spans="1:39" x14ac:dyDescent="0.35">
      <c r="A3023">
        <v>3019</v>
      </c>
      <c r="B3023">
        <v>3020</v>
      </c>
      <c r="F3023" s="63"/>
      <c r="G3023" s="63"/>
      <c r="H3023" t="s">
        <v>78</v>
      </c>
      <c r="I3023" s="64">
        <v>0</v>
      </c>
      <c r="J3023" s="31"/>
      <c r="K3023" s="31"/>
      <c r="L3023" s="31"/>
      <c r="M3023" s="31"/>
      <c r="N3023" s="4"/>
      <c r="AG3023" t="s">
        <v>2734</v>
      </c>
      <c r="AM3023" s="1"/>
    </row>
    <row r="3024" spans="1:39" x14ac:dyDescent="0.35">
      <c r="A3024">
        <v>3020</v>
      </c>
      <c r="B3024">
        <v>3021</v>
      </c>
      <c r="F3024" s="63"/>
      <c r="G3024" s="63"/>
      <c r="H3024" t="s">
        <v>78</v>
      </c>
      <c r="I3024" s="64">
        <v>0</v>
      </c>
      <c r="J3024" s="31"/>
      <c r="K3024" s="31"/>
      <c r="L3024" s="31"/>
      <c r="M3024" s="31"/>
      <c r="N3024" s="4"/>
      <c r="AG3024" t="s">
        <v>2735</v>
      </c>
      <c r="AM3024" s="1"/>
    </row>
    <row r="3025" spans="1:39" x14ac:dyDescent="0.35">
      <c r="A3025">
        <v>3021</v>
      </c>
      <c r="B3025">
        <v>3022</v>
      </c>
      <c r="F3025" s="63"/>
      <c r="G3025" s="63"/>
      <c r="H3025" t="s">
        <v>78</v>
      </c>
      <c r="I3025" s="64">
        <v>0</v>
      </c>
      <c r="J3025" s="31"/>
      <c r="K3025" s="31"/>
      <c r="L3025" s="31"/>
      <c r="M3025" s="31"/>
      <c r="N3025" s="4"/>
      <c r="AG3025" t="s">
        <v>2736</v>
      </c>
      <c r="AM3025" s="1"/>
    </row>
    <row r="3026" spans="1:39" x14ac:dyDescent="0.35">
      <c r="A3026">
        <v>3022</v>
      </c>
      <c r="B3026">
        <v>3023</v>
      </c>
      <c r="F3026" s="63"/>
      <c r="G3026" s="63"/>
      <c r="H3026" t="s">
        <v>78</v>
      </c>
      <c r="I3026" s="64">
        <v>0</v>
      </c>
      <c r="J3026" s="31"/>
      <c r="K3026" s="31"/>
      <c r="L3026" s="31"/>
      <c r="M3026" s="31"/>
      <c r="N3026" s="4"/>
      <c r="AG3026" t="s">
        <v>2737</v>
      </c>
      <c r="AM3026" s="1"/>
    </row>
    <row r="3027" spans="1:39" x14ac:dyDescent="0.35">
      <c r="A3027">
        <v>3023</v>
      </c>
      <c r="B3027">
        <v>3024</v>
      </c>
      <c r="F3027" s="63"/>
      <c r="G3027" s="63"/>
      <c r="H3027" t="s">
        <v>78</v>
      </c>
      <c r="I3027" s="64">
        <v>0</v>
      </c>
      <c r="J3027" s="31"/>
      <c r="K3027" s="31"/>
      <c r="L3027" s="31"/>
      <c r="M3027" s="31"/>
      <c r="N3027" s="4"/>
      <c r="AG3027" t="s">
        <v>2738</v>
      </c>
      <c r="AM3027" s="1"/>
    </row>
    <row r="3028" spans="1:39" x14ac:dyDescent="0.35">
      <c r="A3028">
        <v>3024</v>
      </c>
      <c r="B3028">
        <v>3025</v>
      </c>
      <c r="F3028" s="63"/>
      <c r="G3028" s="63"/>
      <c r="H3028" t="s">
        <v>78</v>
      </c>
      <c r="I3028" s="64">
        <v>0</v>
      </c>
      <c r="J3028" s="31"/>
      <c r="K3028" s="31"/>
      <c r="L3028" s="31"/>
      <c r="M3028" s="31"/>
      <c r="N3028" s="4"/>
      <c r="AG3028" t="s">
        <v>2739</v>
      </c>
      <c r="AM3028" s="1"/>
    </row>
    <row r="3029" spans="1:39" x14ac:dyDescent="0.35">
      <c r="A3029">
        <v>3025</v>
      </c>
      <c r="B3029">
        <v>3026</v>
      </c>
      <c r="F3029" s="63"/>
      <c r="G3029" s="63"/>
      <c r="H3029" t="s">
        <v>78</v>
      </c>
      <c r="I3029" s="64">
        <v>0</v>
      </c>
      <c r="J3029" s="31"/>
      <c r="K3029" s="31"/>
      <c r="L3029" s="31"/>
      <c r="M3029" s="31"/>
      <c r="N3029" s="4"/>
      <c r="AG3029" t="s">
        <v>2740</v>
      </c>
      <c r="AM3029" s="1"/>
    </row>
    <row r="3030" spans="1:39" x14ac:dyDescent="0.35">
      <c r="A3030">
        <v>3026</v>
      </c>
      <c r="B3030">
        <v>3027</v>
      </c>
      <c r="F3030" s="63"/>
      <c r="G3030" s="63"/>
      <c r="H3030" t="s">
        <v>78</v>
      </c>
      <c r="I3030" s="64">
        <v>0</v>
      </c>
      <c r="J3030" s="31"/>
      <c r="K3030" s="31"/>
      <c r="L3030" s="31"/>
      <c r="M3030" s="31"/>
      <c r="N3030" s="4"/>
      <c r="AG3030" t="s">
        <v>2741</v>
      </c>
      <c r="AM3030" s="1"/>
    </row>
    <row r="3031" spans="1:39" x14ac:dyDescent="0.35">
      <c r="A3031">
        <v>3027</v>
      </c>
      <c r="B3031">
        <v>3028</v>
      </c>
      <c r="F3031" s="63"/>
      <c r="G3031" s="63"/>
      <c r="H3031" t="s">
        <v>78</v>
      </c>
      <c r="I3031" s="64">
        <v>0</v>
      </c>
      <c r="J3031" s="31"/>
      <c r="K3031" s="31"/>
      <c r="L3031" s="31"/>
      <c r="M3031" s="31"/>
      <c r="N3031" s="4"/>
      <c r="AG3031" t="s">
        <v>2742</v>
      </c>
      <c r="AM3031" s="1"/>
    </row>
    <row r="3032" spans="1:39" x14ac:dyDescent="0.35">
      <c r="A3032">
        <v>3028</v>
      </c>
      <c r="B3032">
        <v>3029</v>
      </c>
      <c r="F3032" s="63"/>
      <c r="G3032" s="63"/>
      <c r="H3032" t="s">
        <v>78</v>
      </c>
      <c r="I3032" s="64">
        <v>0</v>
      </c>
      <c r="J3032" s="31"/>
      <c r="K3032" s="31"/>
      <c r="L3032" s="31"/>
      <c r="M3032" s="31"/>
      <c r="N3032" s="4"/>
      <c r="AG3032" t="s">
        <v>2743</v>
      </c>
      <c r="AM3032" s="1"/>
    </row>
    <row r="3033" spans="1:39" x14ac:dyDescent="0.35">
      <c r="A3033">
        <v>3029</v>
      </c>
      <c r="B3033">
        <v>3030</v>
      </c>
      <c r="F3033" s="63"/>
      <c r="G3033" s="63"/>
      <c r="H3033" t="s">
        <v>78</v>
      </c>
      <c r="I3033" s="64">
        <v>0</v>
      </c>
      <c r="J3033" s="31"/>
      <c r="K3033" s="31"/>
      <c r="L3033" s="31"/>
      <c r="M3033" s="31"/>
      <c r="N3033" s="4"/>
      <c r="AG3033" t="s">
        <v>2744</v>
      </c>
      <c r="AM3033" s="1"/>
    </row>
    <row r="3034" spans="1:39" x14ac:dyDescent="0.35">
      <c r="A3034">
        <v>3030</v>
      </c>
      <c r="B3034">
        <v>3031</v>
      </c>
      <c r="F3034" s="63"/>
      <c r="G3034" s="63"/>
      <c r="H3034" t="s">
        <v>78</v>
      </c>
      <c r="I3034" s="64">
        <v>0</v>
      </c>
      <c r="J3034" s="31"/>
      <c r="K3034" s="31"/>
      <c r="L3034" s="31"/>
      <c r="M3034" s="31"/>
      <c r="N3034" s="4"/>
      <c r="AG3034" t="s">
        <v>2745</v>
      </c>
      <c r="AM3034" s="1"/>
    </row>
    <row r="3035" spans="1:39" x14ac:dyDescent="0.35">
      <c r="A3035">
        <v>3031</v>
      </c>
      <c r="B3035">
        <v>3032</v>
      </c>
      <c r="F3035" s="63"/>
      <c r="G3035" s="63"/>
      <c r="H3035" t="s">
        <v>78</v>
      </c>
      <c r="I3035" s="64">
        <v>0</v>
      </c>
      <c r="J3035" s="31"/>
      <c r="K3035" s="31"/>
      <c r="L3035" s="31"/>
      <c r="M3035" s="31"/>
      <c r="N3035" s="4"/>
      <c r="AG3035" t="s">
        <v>2746</v>
      </c>
      <c r="AM3035" s="1"/>
    </row>
    <row r="3036" spans="1:39" x14ac:dyDescent="0.35">
      <c r="A3036">
        <v>3032</v>
      </c>
      <c r="B3036">
        <v>3033</v>
      </c>
      <c r="F3036" s="63"/>
      <c r="G3036" s="63"/>
      <c r="H3036" t="s">
        <v>78</v>
      </c>
      <c r="I3036" s="64">
        <v>0</v>
      </c>
      <c r="J3036" s="31"/>
      <c r="K3036" s="31"/>
      <c r="L3036" s="31"/>
      <c r="M3036" s="31"/>
      <c r="N3036" s="4"/>
      <c r="AG3036" t="s">
        <v>2747</v>
      </c>
      <c r="AM3036" s="1"/>
    </row>
    <row r="3037" spans="1:39" x14ac:dyDescent="0.35">
      <c r="A3037">
        <v>3033</v>
      </c>
      <c r="B3037">
        <v>3034</v>
      </c>
      <c r="F3037" s="63"/>
      <c r="G3037" s="63"/>
      <c r="H3037" t="s">
        <v>78</v>
      </c>
      <c r="I3037" s="64">
        <v>0</v>
      </c>
      <c r="J3037" s="31"/>
      <c r="K3037" s="31"/>
      <c r="L3037" s="31"/>
      <c r="M3037" s="31"/>
      <c r="N3037" s="4"/>
      <c r="AG3037" t="s">
        <v>2748</v>
      </c>
      <c r="AM3037" s="1"/>
    </row>
    <row r="3038" spans="1:39" x14ac:dyDescent="0.35">
      <c r="A3038">
        <v>3034</v>
      </c>
      <c r="B3038">
        <v>3035</v>
      </c>
      <c r="F3038" s="63"/>
      <c r="G3038" s="63"/>
      <c r="H3038" t="s">
        <v>78</v>
      </c>
      <c r="I3038" s="64">
        <v>0</v>
      </c>
      <c r="J3038" s="31"/>
      <c r="K3038" s="31"/>
      <c r="L3038" s="31"/>
      <c r="M3038" s="31"/>
      <c r="N3038" s="4"/>
      <c r="AG3038" t="s">
        <v>2749</v>
      </c>
      <c r="AM3038" s="1"/>
    </row>
    <row r="3039" spans="1:39" x14ac:dyDescent="0.35">
      <c r="A3039">
        <v>3035</v>
      </c>
      <c r="B3039">
        <v>3036</v>
      </c>
      <c r="F3039" s="63"/>
      <c r="G3039" s="63"/>
      <c r="H3039" t="s">
        <v>78</v>
      </c>
      <c r="I3039" s="64">
        <v>0</v>
      </c>
      <c r="J3039" s="31"/>
      <c r="K3039" s="31"/>
      <c r="L3039" s="31"/>
      <c r="M3039" s="31"/>
      <c r="N3039" s="4"/>
      <c r="AG3039" t="s">
        <v>2750</v>
      </c>
      <c r="AM3039" s="1"/>
    </row>
    <row r="3040" spans="1:39" x14ac:dyDescent="0.35">
      <c r="A3040">
        <v>3036</v>
      </c>
      <c r="B3040">
        <v>3037</v>
      </c>
      <c r="F3040" s="63"/>
      <c r="G3040" s="63"/>
      <c r="H3040" t="s">
        <v>78</v>
      </c>
      <c r="I3040" s="64">
        <v>0</v>
      </c>
      <c r="J3040" s="31"/>
      <c r="K3040" s="31"/>
      <c r="L3040" s="31"/>
      <c r="M3040" s="31"/>
      <c r="N3040" s="4"/>
      <c r="AG3040" t="s">
        <v>2751</v>
      </c>
      <c r="AM3040" s="1"/>
    </row>
    <row r="3041" spans="1:39" x14ac:dyDescent="0.35">
      <c r="A3041">
        <v>3037</v>
      </c>
      <c r="B3041">
        <v>3038</v>
      </c>
      <c r="F3041" s="63"/>
      <c r="G3041" s="63"/>
      <c r="H3041" t="s">
        <v>78</v>
      </c>
      <c r="I3041" s="64">
        <v>0</v>
      </c>
      <c r="J3041" s="31"/>
      <c r="K3041" s="31"/>
      <c r="L3041" s="31"/>
      <c r="M3041" s="31"/>
      <c r="N3041" s="4"/>
      <c r="AG3041" t="s">
        <v>2752</v>
      </c>
      <c r="AM3041" s="1"/>
    </row>
    <row r="3042" spans="1:39" x14ac:dyDescent="0.35">
      <c r="A3042">
        <v>3038</v>
      </c>
      <c r="B3042">
        <v>3039</v>
      </c>
      <c r="F3042" s="63"/>
      <c r="G3042" s="63"/>
      <c r="H3042" t="s">
        <v>78</v>
      </c>
      <c r="I3042" s="64">
        <v>0</v>
      </c>
      <c r="J3042" s="31"/>
      <c r="K3042" s="31"/>
      <c r="L3042" s="31"/>
      <c r="M3042" s="31"/>
      <c r="N3042" s="4"/>
      <c r="AG3042" t="s">
        <v>2753</v>
      </c>
      <c r="AM3042" s="1"/>
    </row>
    <row r="3043" spans="1:39" x14ac:dyDescent="0.35">
      <c r="A3043">
        <v>3039</v>
      </c>
      <c r="B3043">
        <v>3040</v>
      </c>
      <c r="F3043" s="63"/>
      <c r="G3043" s="63"/>
      <c r="H3043" t="s">
        <v>78</v>
      </c>
      <c r="I3043" s="64">
        <v>0</v>
      </c>
      <c r="J3043" s="31"/>
      <c r="K3043" s="31"/>
      <c r="L3043" s="31"/>
      <c r="M3043" s="31"/>
      <c r="N3043" s="4"/>
      <c r="AG3043" t="s">
        <v>2754</v>
      </c>
      <c r="AM3043" s="1"/>
    </row>
    <row r="3044" spans="1:39" x14ac:dyDescent="0.35">
      <c r="A3044">
        <v>3040</v>
      </c>
      <c r="B3044">
        <v>3041</v>
      </c>
      <c r="F3044" s="63"/>
      <c r="G3044" s="63"/>
      <c r="H3044" t="s">
        <v>78</v>
      </c>
      <c r="I3044" s="64">
        <v>0</v>
      </c>
      <c r="J3044" s="31"/>
      <c r="K3044" s="31"/>
      <c r="L3044" s="31"/>
      <c r="M3044" s="31"/>
      <c r="N3044" s="4"/>
      <c r="AG3044" t="s">
        <v>2755</v>
      </c>
      <c r="AM3044" s="1"/>
    </row>
    <row r="3045" spans="1:39" x14ac:dyDescent="0.35">
      <c r="A3045">
        <v>3041</v>
      </c>
      <c r="B3045">
        <v>3042</v>
      </c>
      <c r="F3045" s="63"/>
      <c r="G3045" s="63"/>
      <c r="H3045" t="s">
        <v>78</v>
      </c>
      <c r="I3045" s="64">
        <v>0</v>
      </c>
      <c r="J3045" s="31"/>
      <c r="K3045" s="31"/>
      <c r="L3045" s="31"/>
      <c r="M3045" s="31"/>
      <c r="N3045" s="4"/>
      <c r="AG3045" t="s">
        <v>2756</v>
      </c>
      <c r="AM3045" s="1"/>
    </row>
    <row r="3046" spans="1:39" x14ac:dyDescent="0.35">
      <c r="A3046">
        <v>3042</v>
      </c>
      <c r="B3046">
        <v>3043</v>
      </c>
      <c r="F3046" s="63"/>
      <c r="G3046" s="63"/>
      <c r="H3046" t="s">
        <v>78</v>
      </c>
      <c r="I3046" s="64">
        <v>0</v>
      </c>
      <c r="J3046" s="31"/>
      <c r="K3046" s="31"/>
      <c r="L3046" s="31"/>
      <c r="M3046" s="31"/>
      <c r="N3046" s="4"/>
      <c r="AG3046" t="s">
        <v>2757</v>
      </c>
      <c r="AM3046" s="1"/>
    </row>
    <row r="3047" spans="1:39" x14ac:dyDescent="0.35">
      <c r="A3047">
        <v>3043</v>
      </c>
      <c r="B3047">
        <v>3044</v>
      </c>
      <c r="F3047" s="63"/>
      <c r="G3047" s="63"/>
      <c r="H3047" t="s">
        <v>78</v>
      </c>
      <c r="I3047" s="64">
        <v>0</v>
      </c>
      <c r="J3047" s="31"/>
      <c r="K3047" s="31"/>
      <c r="L3047" s="31"/>
      <c r="M3047" s="31"/>
      <c r="N3047" s="4"/>
      <c r="AG3047" t="s">
        <v>2758</v>
      </c>
      <c r="AM3047" s="1"/>
    </row>
    <row r="3048" spans="1:39" x14ac:dyDescent="0.35">
      <c r="A3048">
        <v>3044</v>
      </c>
      <c r="B3048">
        <v>3045</v>
      </c>
      <c r="F3048" s="63"/>
      <c r="G3048" s="63"/>
      <c r="H3048" t="s">
        <v>78</v>
      </c>
      <c r="I3048" s="64">
        <v>0</v>
      </c>
      <c r="J3048" s="31"/>
      <c r="K3048" s="31"/>
      <c r="L3048" s="31"/>
      <c r="M3048" s="31"/>
      <c r="N3048" s="4"/>
      <c r="AG3048" t="s">
        <v>2759</v>
      </c>
      <c r="AM3048" s="1"/>
    </row>
    <row r="3049" spans="1:39" x14ac:dyDescent="0.35">
      <c r="A3049">
        <v>3045</v>
      </c>
      <c r="B3049">
        <v>3046</v>
      </c>
      <c r="F3049" s="63"/>
      <c r="G3049" s="63"/>
      <c r="H3049" t="s">
        <v>78</v>
      </c>
      <c r="I3049" s="64">
        <v>0</v>
      </c>
      <c r="J3049" s="31"/>
      <c r="K3049" s="31"/>
      <c r="L3049" s="31"/>
      <c r="M3049" s="31"/>
      <c r="N3049" s="4"/>
      <c r="AG3049" t="s">
        <v>2760</v>
      </c>
      <c r="AM3049" s="1"/>
    </row>
    <row r="3050" spans="1:39" x14ac:dyDescent="0.35">
      <c r="A3050">
        <v>3046</v>
      </c>
      <c r="B3050">
        <v>3047</v>
      </c>
      <c r="F3050" s="63"/>
      <c r="G3050" s="63"/>
      <c r="H3050" t="s">
        <v>78</v>
      </c>
      <c r="I3050" s="64">
        <v>0</v>
      </c>
      <c r="J3050" s="31"/>
      <c r="K3050" s="31"/>
      <c r="L3050" s="31"/>
      <c r="M3050" s="31"/>
      <c r="N3050" s="4"/>
      <c r="AG3050" t="s">
        <v>2761</v>
      </c>
      <c r="AM3050" s="1"/>
    </row>
    <row r="3051" spans="1:39" x14ac:dyDescent="0.35">
      <c r="A3051">
        <v>3047</v>
      </c>
      <c r="B3051">
        <v>3048</v>
      </c>
      <c r="F3051" s="63"/>
      <c r="G3051" s="63"/>
      <c r="H3051" t="s">
        <v>78</v>
      </c>
      <c r="I3051" s="64">
        <v>0</v>
      </c>
      <c r="J3051" s="31"/>
      <c r="K3051" s="31"/>
      <c r="L3051" s="31"/>
      <c r="M3051" s="31"/>
      <c r="N3051" s="4"/>
      <c r="AG3051" t="s">
        <v>2762</v>
      </c>
      <c r="AM3051" s="1"/>
    </row>
    <row r="3052" spans="1:39" x14ac:dyDescent="0.35">
      <c r="A3052">
        <v>3048</v>
      </c>
      <c r="B3052">
        <v>3049</v>
      </c>
      <c r="F3052" s="63"/>
      <c r="G3052" s="63"/>
      <c r="H3052" t="s">
        <v>78</v>
      </c>
      <c r="I3052" s="64">
        <v>0</v>
      </c>
      <c r="J3052" s="31"/>
      <c r="K3052" s="31"/>
      <c r="L3052" s="31"/>
      <c r="M3052" s="31"/>
      <c r="N3052" s="4"/>
      <c r="AG3052" t="s">
        <v>2763</v>
      </c>
      <c r="AM3052" s="1"/>
    </row>
    <row r="3053" spans="1:39" x14ac:dyDescent="0.35">
      <c r="A3053">
        <v>3049</v>
      </c>
      <c r="B3053">
        <v>3050</v>
      </c>
      <c r="F3053" s="63"/>
      <c r="G3053" s="63"/>
      <c r="H3053" t="s">
        <v>78</v>
      </c>
      <c r="I3053" s="64">
        <v>0</v>
      </c>
      <c r="J3053" s="31"/>
      <c r="K3053" s="31"/>
      <c r="L3053" s="31"/>
      <c r="M3053" s="31"/>
      <c r="N3053" s="4"/>
      <c r="AG3053" t="s">
        <v>2764</v>
      </c>
      <c r="AM3053" s="1"/>
    </row>
    <row r="3054" spans="1:39" x14ac:dyDescent="0.35">
      <c r="A3054">
        <v>3050</v>
      </c>
      <c r="B3054">
        <v>3051</v>
      </c>
      <c r="F3054" s="63"/>
      <c r="G3054" s="63"/>
      <c r="H3054" t="s">
        <v>78</v>
      </c>
      <c r="I3054" s="64">
        <v>0</v>
      </c>
      <c r="J3054" s="31"/>
      <c r="K3054" s="31"/>
      <c r="L3054" s="31"/>
      <c r="M3054" s="31"/>
      <c r="N3054" s="4"/>
      <c r="AG3054" t="s">
        <v>2765</v>
      </c>
      <c r="AM3054" s="1"/>
    </row>
    <row r="3055" spans="1:39" x14ac:dyDescent="0.35">
      <c r="A3055">
        <v>3051</v>
      </c>
      <c r="B3055">
        <v>3052</v>
      </c>
      <c r="F3055" s="63"/>
      <c r="G3055" s="63"/>
      <c r="H3055" t="s">
        <v>78</v>
      </c>
      <c r="I3055" s="64">
        <v>0</v>
      </c>
      <c r="J3055" s="31"/>
      <c r="K3055" s="31"/>
      <c r="L3055" s="31"/>
      <c r="M3055" s="31"/>
      <c r="N3055" s="4"/>
      <c r="AG3055" t="s">
        <v>2766</v>
      </c>
      <c r="AM3055" s="1"/>
    </row>
    <row r="3056" spans="1:39" x14ac:dyDescent="0.35">
      <c r="A3056">
        <v>3052</v>
      </c>
      <c r="B3056">
        <v>3053</v>
      </c>
      <c r="F3056" s="63"/>
      <c r="G3056" s="63"/>
      <c r="H3056" t="s">
        <v>78</v>
      </c>
      <c r="I3056" s="64">
        <v>0</v>
      </c>
      <c r="J3056" s="31"/>
      <c r="K3056" s="31"/>
      <c r="L3056" s="31"/>
      <c r="M3056" s="31"/>
      <c r="N3056" s="4"/>
      <c r="AG3056" t="s">
        <v>2767</v>
      </c>
      <c r="AM3056" s="1"/>
    </row>
    <row r="3057" spans="1:39" x14ac:dyDescent="0.35">
      <c r="A3057">
        <v>3053</v>
      </c>
      <c r="B3057">
        <v>3054</v>
      </c>
      <c r="F3057" s="63"/>
      <c r="G3057" s="63"/>
      <c r="H3057" t="s">
        <v>78</v>
      </c>
      <c r="I3057" s="64">
        <v>0</v>
      </c>
      <c r="J3057" s="31"/>
      <c r="K3057" s="31"/>
      <c r="L3057" s="31"/>
      <c r="M3057" s="31"/>
      <c r="N3057" s="4"/>
      <c r="AG3057" t="s">
        <v>2768</v>
      </c>
      <c r="AM3057" s="1"/>
    </row>
    <row r="3058" spans="1:39" x14ac:dyDescent="0.35">
      <c r="A3058">
        <v>3054</v>
      </c>
      <c r="B3058">
        <v>3055</v>
      </c>
      <c r="F3058" s="63"/>
      <c r="G3058" s="63"/>
      <c r="H3058" t="s">
        <v>78</v>
      </c>
      <c r="I3058" s="64">
        <v>0</v>
      </c>
      <c r="J3058" s="31"/>
      <c r="K3058" s="31"/>
      <c r="L3058" s="31"/>
      <c r="M3058" s="31"/>
      <c r="N3058" s="4"/>
      <c r="AG3058" t="s">
        <v>2769</v>
      </c>
      <c r="AM3058" s="1"/>
    </row>
    <row r="3059" spans="1:39" x14ac:dyDescent="0.35">
      <c r="A3059">
        <v>3055</v>
      </c>
      <c r="B3059">
        <v>3056</v>
      </c>
      <c r="F3059" s="63"/>
      <c r="G3059" s="63"/>
      <c r="H3059" t="s">
        <v>78</v>
      </c>
      <c r="I3059" s="64">
        <v>0</v>
      </c>
      <c r="J3059" s="31"/>
      <c r="K3059" s="31"/>
      <c r="L3059" s="31"/>
      <c r="M3059" s="31"/>
      <c r="N3059" s="4"/>
      <c r="AG3059" t="s">
        <v>2770</v>
      </c>
      <c r="AM3059" s="1"/>
    </row>
    <row r="3060" spans="1:39" x14ac:dyDescent="0.35">
      <c r="A3060">
        <v>3056</v>
      </c>
      <c r="B3060">
        <v>3057</v>
      </c>
      <c r="F3060" s="63"/>
      <c r="G3060" s="63"/>
      <c r="H3060" t="s">
        <v>78</v>
      </c>
      <c r="I3060" s="64">
        <v>0</v>
      </c>
      <c r="J3060" s="31"/>
      <c r="K3060" s="31"/>
      <c r="L3060" s="31"/>
      <c r="M3060" s="31"/>
      <c r="N3060" s="4"/>
      <c r="AG3060" t="s">
        <v>2771</v>
      </c>
      <c r="AM3060" s="1"/>
    </row>
    <row r="3061" spans="1:39" x14ac:dyDescent="0.35">
      <c r="A3061">
        <v>3057</v>
      </c>
      <c r="B3061">
        <v>3058</v>
      </c>
      <c r="F3061" s="63"/>
      <c r="G3061" s="63"/>
      <c r="H3061" t="s">
        <v>78</v>
      </c>
      <c r="I3061" s="64">
        <v>0</v>
      </c>
      <c r="J3061" s="31"/>
      <c r="K3061" s="31"/>
      <c r="L3061" s="31"/>
      <c r="M3061" s="31"/>
      <c r="N3061" s="4"/>
      <c r="AG3061" t="s">
        <v>2772</v>
      </c>
      <c r="AM3061" s="1"/>
    </row>
    <row r="3062" spans="1:39" x14ac:dyDescent="0.35">
      <c r="A3062">
        <v>3058</v>
      </c>
      <c r="B3062">
        <v>3059</v>
      </c>
      <c r="F3062" s="63"/>
      <c r="G3062" s="63"/>
      <c r="H3062" t="s">
        <v>78</v>
      </c>
      <c r="I3062" s="64">
        <v>0</v>
      </c>
      <c r="J3062" s="31"/>
      <c r="K3062" s="31"/>
      <c r="L3062" s="31"/>
      <c r="M3062" s="31"/>
      <c r="N3062" s="4"/>
      <c r="AG3062" t="s">
        <v>2773</v>
      </c>
      <c r="AM3062" s="1"/>
    </row>
    <row r="3063" spans="1:39" x14ac:dyDescent="0.35">
      <c r="A3063">
        <v>3059</v>
      </c>
      <c r="B3063">
        <v>3060</v>
      </c>
      <c r="F3063" s="63"/>
      <c r="G3063" s="63"/>
      <c r="H3063" t="s">
        <v>78</v>
      </c>
      <c r="I3063" s="64">
        <v>0</v>
      </c>
      <c r="J3063" s="31"/>
      <c r="K3063" s="31"/>
      <c r="L3063" s="31"/>
      <c r="M3063" s="31"/>
      <c r="N3063" s="4"/>
      <c r="AG3063" t="s">
        <v>2774</v>
      </c>
      <c r="AM3063" s="1"/>
    </row>
    <row r="3064" spans="1:39" x14ac:dyDescent="0.35">
      <c r="A3064">
        <v>3060</v>
      </c>
      <c r="B3064">
        <v>3061</v>
      </c>
      <c r="F3064" s="63"/>
      <c r="G3064" s="63"/>
      <c r="H3064" t="s">
        <v>78</v>
      </c>
      <c r="I3064" s="64">
        <v>0</v>
      </c>
      <c r="J3064" s="31"/>
      <c r="K3064" s="31"/>
      <c r="L3064" s="31"/>
      <c r="M3064" s="31"/>
      <c r="N3064" s="4"/>
      <c r="AG3064" t="s">
        <v>2775</v>
      </c>
      <c r="AM3064" s="1"/>
    </row>
    <row r="3065" spans="1:39" x14ac:dyDescent="0.35">
      <c r="A3065">
        <v>3061</v>
      </c>
      <c r="B3065">
        <v>3062</v>
      </c>
      <c r="F3065" s="63"/>
      <c r="G3065" s="63"/>
      <c r="H3065" t="s">
        <v>78</v>
      </c>
      <c r="I3065" s="64">
        <v>0</v>
      </c>
      <c r="J3065" s="31"/>
      <c r="K3065" s="31"/>
      <c r="L3065" s="31"/>
      <c r="M3065" s="31"/>
      <c r="N3065" s="4"/>
      <c r="AG3065" t="s">
        <v>2776</v>
      </c>
      <c r="AM3065" s="1"/>
    </row>
    <row r="3066" spans="1:39" x14ac:dyDescent="0.35">
      <c r="A3066">
        <v>3062</v>
      </c>
      <c r="B3066">
        <v>3063</v>
      </c>
      <c r="F3066" s="63"/>
      <c r="G3066" s="63"/>
      <c r="H3066" t="s">
        <v>78</v>
      </c>
      <c r="I3066" s="64">
        <v>0</v>
      </c>
      <c r="J3066" s="31"/>
      <c r="K3066" s="31"/>
      <c r="L3066" s="31"/>
      <c r="M3066" s="31"/>
      <c r="N3066" s="4"/>
      <c r="AG3066" t="s">
        <v>2777</v>
      </c>
      <c r="AM3066" s="1"/>
    </row>
    <row r="3067" spans="1:39" x14ac:dyDescent="0.35">
      <c r="A3067">
        <v>3063</v>
      </c>
      <c r="B3067">
        <v>3064</v>
      </c>
      <c r="F3067" s="63"/>
      <c r="G3067" s="63"/>
      <c r="H3067" t="s">
        <v>78</v>
      </c>
      <c r="I3067" s="64">
        <v>0</v>
      </c>
      <c r="J3067" s="31"/>
      <c r="K3067" s="31"/>
      <c r="L3067" s="31"/>
      <c r="M3067" s="31"/>
      <c r="N3067" s="4"/>
      <c r="AG3067" t="s">
        <v>2778</v>
      </c>
      <c r="AM3067" s="1"/>
    </row>
    <row r="3068" spans="1:39" x14ac:dyDescent="0.35">
      <c r="A3068">
        <v>3064</v>
      </c>
      <c r="B3068">
        <v>3065</v>
      </c>
      <c r="F3068" s="63"/>
      <c r="G3068" s="63"/>
      <c r="H3068" t="s">
        <v>78</v>
      </c>
      <c r="I3068" s="64">
        <v>0</v>
      </c>
      <c r="J3068" s="31"/>
      <c r="K3068" s="31"/>
      <c r="L3068" s="31"/>
      <c r="M3068" s="31"/>
      <c r="N3068" s="4"/>
      <c r="AG3068" t="s">
        <v>2779</v>
      </c>
      <c r="AM3068" s="1"/>
    </row>
    <row r="3069" spans="1:39" x14ac:dyDescent="0.35">
      <c r="A3069">
        <v>3065</v>
      </c>
      <c r="B3069">
        <v>3066</v>
      </c>
      <c r="F3069" s="63"/>
      <c r="G3069" s="63"/>
      <c r="H3069" t="s">
        <v>78</v>
      </c>
      <c r="I3069" s="64">
        <v>0</v>
      </c>
      <c r="J3069" s="31"/>
      <c r="K3069" s="31"/>
      <c r="L3069" s="31"/>
      <c r="M3069" s="31"/>
      <c r="N3069" s="4"/>
      <c r="AG3069" t="s">
        <v>2780</v>
      </c>
      <c r="AM3069" s="1"/>
    </row>
    <row r="3070" spans="1:39" x14ac:dyDescent="0.35">
      <c r="A3070">
        <v>3066</v>
      </c>
      <c r="B3070">
        <v>3067</v>
      </c>
      <c r="F3070" s="63"/>
      <c r="G3070" s="63"/>
      <c r="H3070" t="s">
        <v>78</v>
      </c>
      <c r="I3070" s="64">
        <v>0</v>
      </c>
      <c r="J3070" s="31"/>
      <c r="K3070" s="31"/>
      <c r="L3070" s="31"/>
      <c r="M3070" s="31"/>
      <c r="N3070" s="4"/>
      <c r="AG3070" t="s">
        <v>2781</v>
      </c>
      <c r="AM3070" s="1"/>
    </row>
    <row r="3071" spans="1:39" x14ac:dyDescent="0.35">
      <c r="A3071">
        <v>3067</v>
      </c>
      <c r="B3071">
        <v>3068</v>
      </c>
      <c r="F3071" s="63"/>
      <c r="G3071" s="63"/>
      <c r="H3071" t="s">
        <v>78</v>
      </c>
      <c r="I3071" s="64">
        <v>0</v>
      </c>
      <c r="J3071" s="31"/>
      <c r="K3071" s="31"/>
      <c r="L3071" s="31"/>
      <c r="M3071" s="31"/>
      <c r="N3071" s="4"/>
      <c r="AG3071" t="s">
        <v>2782</v>
      </c>
      <c r="AM3071" s="1"/>
    </row>
    <row r="3072" spans="1:39" x14ac:dyDescent="0.35">
      <c r="A3072">
        <v>3068</v>
      </c>
      <c r="B3072">
        <v>3069</v>
      </c>
      <c r="F3072" s="63"/>
      <c r="G3072" s="63"/>
      <c r="H3072" t="s">
        <v>78</v>
      </c>
      <c r="I3072" s="64">
        <v>0</v>
      </c>
      <c r="J3072" s="31"/>
      <c r="K3072" s="31"/>
      <c r="L3072" s="31"/>
      <c r="M3072" s="31"/>
      <c r="N3072" s="4"/>
      <c r="AG3072" t="s">
        <v>2783</v>
      </c>
      <c r="AM3072" s="1"/>
    </row>
    <row r="3073" spans="1:39" x14ac:dyDescent="0.35">
      <c r="A3073">
        <v>3069</v>
      </c>
      <c r="B3073">
        <v>3070</v>
      </c>
      <c r="F3073" s="63"/>
      <c r="G3073" s="63"/>
      <c r="H3073" t="s">
        <v>78</v>
      </c>
      <c r="I3073" s="64">
        <v>0</v>
      </c>
      <c r="J3073" s="31"/>
      <c r="K3073" s="31"/>
      <c r="L3073" s="31"/>
      <c r="M3073" s="31"/>
      <c r="N3073" s="4"/>
      <c r="AG3073" t="s">
        <v>2784</v>
      </c>
      <c r="AM3073" s="1"/>
    </row>
    <row r="3074" spans="1:39" x14ac:dyDescent="0.35">
      <c r="A3074">
        <v>3070</v>
      </c>
      <c r="B3074">
        <v>3071</v>
      </c>
      <c r="F3074" s="63"/>
      <c r="G3074" s="63"/>
      <c r="H3074" t="s">
        <v>78</v>
      </c>
      <c r="I3074" s="64">
        <v>0</v>
      </c>
      <c r="J3074" s="31"/>
      <c r="K3074" s="31"/>
      <c r="L3074" s="31"/>
      <c r="M3074" s="31"/>
      <c r="N3074" s="4"/>
      <c r="AG3074" t="s">
        <v>2785</v>
      </c>
      <c r="AM3074" s="1"/>
    </row>
    <row r="3075" spans="1:39" x14ac:dyDescent="0.35">
      <c r="A3075">
        <v>3071</v>
      </c>
      <c r="B3075">
        <v>3072</v>
      </c>
      <c r="F3075" s="63"/>
      <c r="G3075" s="63"/>
      <c r="H3075" t="s">
        <v>78</v>
      </c>
      <c r="I3075" s="64">
        <v>0</v>
      </c>
      <c r="J3075" s="31"/>
      <c r="K3075" s="31"/>
      <c r="L3075" s="31"/>
      <c r="M3075" s="31"/>
      <c r="N3075" s="4"/>
      <c r="AG3075" t="s">
        <v>2786</v>
      </c>
      <c r="AM3075" s="1"/>
    </row>
    <row r="3076" spans="1:39" x14ac:dyDescent="0.35">
      <c r="A3076">
        <v>3072</v>
      </c>
      <c r="B3076">
        <v>3073</v>
      </c>
      <c r="F3076" s="63"/>
      <c r="G3076" s="63"/>
      <c r="H3076" t="s">
        <v>78</v>
      </c>
      <c r="I3076" s="64">
        <v>0</v>
      </c>
      <c r="J3076" s="31"/>
      <c r="K3076" s="31"/>
      <c r="L3076" s="31"/>
      <c r="M3076" s="31"/>
      <c r="N3076" s="4"/>
      <c r="AG3076" t="s">
        <v>2787</v>
      </c>
      <c r="AM3076" s="1"/>
    </row>
    <row r="3077" spans="1:39" x14ac:dyDescent="0.35">
      <c r="A3077">
        <v>3073</v>
      </c>
      <c r="B3077">
        <v>3074</v>
      </c>
      <c r="F3077" s="63"/>
      <c r="G3077" s="63"/>
      <c r="H3077" t="s">
        <v>78</v>
      </c>
      <c r="I3077" s="64">
        <v>0</v>
      </c>
      <c r="J3077" s="31"/>
      <c r="K3077" s="31"/>
      <c r="L3077" s="31"/>
      <c r="M3077" s="31"/>
      <c r="N3077" s="4"/>
      <c r="AG3077" t="s">
        <v>2788</v>
      </c>
      <c r="AM3077" s="1"/>
    </row>
    <row r="3078" spans="1:39" x14ac:dyDescent="0.35">
      <c r="A3078">
        <v>3074</v>
      </c>
      <c r="B3078">
        <v>3075</v>
      </c>
      <c r="F3078" s="63"/>
      <c r="G3078" s="63"/>
      <c r="H3078" t="s">
        <v>78</v>
      </c>
      <c r="I3078" s="64">
        <v>0</v>
      </c>
      <c r="J3078" s="31"/>
      <c r="K3078" s="31"/>
      <c r="L3078" s="31"/>
      <c r="M3078" s="31"/>
      <c r="N3078" s="4"/>
      <c r="AG3078" t="s">
        <v>2789</v>
      </c>
      <c r="AM3078" s="1"/>
    </row>
    <row r="3079" spans="1:39" x14ac:dyDescent="0.35">
      <c r="A3079">
        <v>3075</v>
      </c>
      <c r="B3079">
        <v>3076</v>
      </c>
      <c r="F3079" s="63"/>
      <c r="G3079" s="63"/>
      <c r="H3079" t="s">
        <v>78</v>
      </c>
      <c r="I3079" s="64">
        <v>0</v>
      </c>
      <c r="J3079" s="31"/>
      <c r="K3079" s="31"/>
      <c r="L3079" s="31"/>
      <c r="M3079" s="31"/>
      <c r="N3079" s="4"/>
      <c r="AG3079" t="s">
        <v>2790</v>
      </c>
      <c r="AM3079" s="1"/>
    </row>
    <row r="3080" spans="1:39" x14ac:dyDescent="0.35">
      <c r="A3080">
        <v>3076</v>
      </c>
      <c r="B3080">
        <v>3077</v>
      </c>
      <c r="F3080" s="63"/>
      <c r="G3080" s="63"/>
      <c r="H3080" t="s">
        <v>78</v>
      </c>
      <c r="I3080" s="64">
        <v>0</v>
      </c>
      <c r="J3080" s="31"/>
      <c r="K3080" s="31"/>
      <c r="L3080" s="31"/>
      <c r="M3080" s="31"/>
      <c r="N3080" s="4"/>
      <c r="AG3080" t="s">
        <v>2791</v>
      </c>
      <c r="AM3080" s="1"/>
    </row>
    <row r="3081" spans="1:39" x14ac:dyDescent="0.35">
      <c r="A3081">
        <v>3077</v>
      </c>
      <c r="B3081">
        <v>3078</v>
      </c>
      <c r="F3081" s="63"/>
      <c r="G3081" s="63"/>
      <c r="H3081" t="s">
        <v>78</v>
      </c>
      <c r="I3081" s="64">
        <v>0</v>
      </c>
      <c r="J3081" s="31"/>
      <c r="K3081" s="31"/>
      <c r="L3081" s="31"/>
      <c r="M3081" s="31"/>
      <c r="N3081" s="4"/>
      <c r="AG3081" t="s">
        <v>2792</v>
      </c>
      <c r="AM3081" s="1"/>
    </row>
    <row r="3082" spans="1:39" x14ac:dyDescent="0.35">
      <c r="A3082">
        <v>3078</v>
      </c>
      <c r="B3082">
        <v>3079</v>
      </c>
      <c r="F3082" s="63"/>
      <c r="G3082" s="63"/>
      <c r="H3082" t="s">
        <v>78</v>
      </c>
      <c r="I3082" s="64">
        <v>0</v>
      </c>
      <c r="J3082" s="31"/>
      <c r="K3082" s="31"/>
      <c r="L3082" s="31"/>
      <c r="M3082" s="31"/>
      <c r="N3082" s="4"/>
      <c r="AG3082" t="s">
        <v>2793</v>
      </c>
      <c r="AM3082" s="1"/>
    </row>
    <row r="3083" spans="1:39" x14ac:dyDescent="0.35">
      <c r="A3083">
        <v>3079</v>
      </c>
      <c r="B3083">
        <v>3080</v>
      </c>
      <c r="F3083" s="63"/>
      <c r="G3083" s="63"/>
      <c r="H3083" t="s">
        <v>78</v>
      </c>
      <c r="I3083" s="64">
        <v>0</v>
      </c>
      <c r="J3083" s="31"/>
      <c r="K3083" s="31"/>
      <c r="L3083" s="31"/>
      <c r="M3083" s="31"/>
      <c r="N3083" s="4"/>
      <c r="AG3083" t="s">
        <v>2794</v>
      </c>
      <c r="AM3083" s="1"/>
    </row>
    <row r="3084" spans="1:39" x14ac:dyDescent="0.35">
      <c r="A3084">
        <v>3080</v>
      </c>
      <c r="B3084">
        <v>3081</v>
      </c>
      <c r="F3084" s="63"/>
      <c r="G3084" s="63"/>
      <c r="H3084" t="s">
        <v>78</v>
      </c>
      <c r="I3084" s="64">
        <v>0</v>
      </c>
      <c r="J3084" s="31"/>
      <c r="K3084" s="31"/>
      <c r="L3084" s="31"/>
      <c r="M3084" s="31"/>
      <c r="N3084" s="4"/>
      <c r="AG3084" t="s">
        <v>2795</v>
      </c>
      <c r="AM3084" s="1"/>
    </row>
    <row r="3085" spans="1:39" x14ac:dyDescent="0.35">
      <c r="A3085">
        <v>3081</v>
      </c>
      <c r="B3085">
        <v>3082</v>
      </c>
      <c r="F3085" s="63"/>
      <c r="G3085" s="63"/>
      <c r="H3085" t="s">
        <v>78</v>
      </c>
      <c r="I3085" s="64">
        <v>0</v>
      </c>
      <c r="J3085" s="31"/>
      <c r="K3085" s="31"/>
      <c r="L3085" s="31"/>
      <c r="M3085" s="31"/>
      <c r="N3085" s="4"/>
      <c r="AG3085" t="s">
        <v>2796</v>
      </c>
      <c r="AM3085" s="1"/>
    </row>
    <row r="3086" spans="1:39" x14ac:dyDescent="0.35">
      <c r="A3086">
        <v>3082</v>
      </c>
      <c r="B3086">
        <v>3083</v>
      </c>
      <c r="F3086" s="63"/>
      <c r="G3086" s="63"/>
      <c r="H3086" t="s">
        <v>78</v>
      </c>
      <c r="I3086" s="64">
        <v>0</v>
      </c>
      <c r="J3086" s="31"/>
      <c r="K3086" s="31"/>
      <c r="L3086" s="31"/>
      <c r="M3086" s="31"/>
      <c r="N3086" s="4"/>
      <c r="AG3086" t="s">
        <v>2797</v>
      </c>
      <c r="AM3086" s="1"/>
    </row>
    <row r="3087" spans="1:39" x14ac:dyDescent="0.35">
      <c r="A3087">
        <v>3083</v>
      </c>
      <c r="B3087">
        <v>3084</v>
      </c>
      <c r="F3087" s="63"/>
      <c r="G3087" s="63"/>
      <c r="H3087" t="s">
        <v>78</v>
      </c>
      <c r="I3087" s="64">
        <v>0</v>
      </c>
      <c r="J3087" s="31"/>
      <c r="K3087" s="31"/>
      <c r="L3087" s="31"/>
      <c r="M3087" s="31"/>
      <c r="N3087" s="4"/>
      <c r="AG3087" t="s">
        <v>2798</v>
      </c>
      <c r="AM3087" s="1"/>
    </row>
    <row r="3088" spans="1:39" x14ac:dyDescent="0.35">
      <c r="A3088">
        <v>3084</v>
      </c>
      <c r="B3088">
        <v>3085</v>
      </c>
      <c r="F3088" s="63"/>
      <c r="G3088" s="63"/>
      <c r="H3088" t="s">
        <v>78</v>
      </c>
      <c r="I3088" s="64">
        <v>0</v>
      </c>
      <c r="J3088" s="31"/>
      <c r="K3088" s="31"/>
      <c r="L3088" s="31"/>
      <c r="M3088" s="31"/>
      <c r="N3088" s="4"/>
      <c r="AG3088" t="s">
        <v>2799</v>
      </c>
      <c r="AM3088" s="1"/>
    </row>
    <row r="3089" spans="1:39" x14ac:dyDescent="0.35">
      <c r="A3089">
        <v>3085</v>
      </c>
      <c r="B3089">
        <v>3086</v>
      </c>
      <c r="F3089" s="63"/>
      <c r="G3089" s="63"/>
      <c r="H3089" t="s">
        <v>78</v>
      </c>
      <c r="I3089" s="64">
        <v>0</v>
      </c>
      <c r="J3089" s="31"/>
      <c r="K3089" s="31"/>
      <c r="L3089" s="31"/>
      <c r="M3089" s="31"/>
      <c r="N3089" s="4"/>
      <c r="AG3089" t="s">
        <v>2800</v>
      </c>
      <c r="AM3089" s="1"/>
    </row>
    <row r="3090" spans="1:39" x14ac:dyDescent="0.35">
      <c r="A3090">
        <v>3086</v>
      </c>
      <c r="B3090">
        <v>3087</v>
      </c>
      <c r="F3090" s="63"/>
      <c r="G3090" s="63"/>
      <c r="H3090" t="s">
        <v>78</v>
      </c>
      <c r="I3090" s="64">
        <v>0</v>
      </c>
      <c r="J3090" s="31"/>
      <c r="K3090" s="31"/>
      <c r="L3090" s="31"/>
      <c r="M3090" s="31"/>
      <c r="N3090" s="4"/>
      <c r="AG3090" t="s">
        <v>2801</v>
      </c>
      <c r="AM3090" s="1"/>
    </row>
    <row r="3091" spans="1:39" x14ac:dyDescent="0.35">
      <c r="A3091">
        <v>3087</v>
      </c>
      <c r="B3091">
        <v>3088</v>
      </c>
      <c r="F3091" s="63"/>
      <c r="G3091" s="63"/>
      <c r="H3091" t="s">
        <v>78</v>
      </c>
      <c r="I3091" s="64">
        <v>0</v>
      </c>
      <c r="J3091" s="31"/>
      <c r="K3091" s="31"/>
      <c r="L3091" s="31"/>
      <c r="M3091" s="31"/>
      <c r="N3091" s="4"/>
      <c r="AG3091" t="s">
        <v>2802</v>
      </c>
      <c r="AM3091" s="1"/>
    </row>
    <row r="3092" spans="1:39" x14ac:dyDescent="0.35">
      <c r="A3092">
        <v>3088</v>
      </c>
      <c r="B3092">
        <v>3089</v>
      </c>
      <c r="F3092" s="63"/>
      <c r="G3092" s="63"/>
      <c r="H3092" t="s">
        <v>78</v>
      </c>
      <c r="I3092" s="64">
        <v>0</v>
      </c>
      <c r="J3092" s="31"/>
      <c r="K3092" s="31"/>
      <c r="L3092" s="31"/>
      <c r="M3092" s="31"/>
      <c r="N3092" s="4"/>
      <c r="AG3092" t="s">
        <v>2803</v>
      </c>
      <c r="AM3092" s="1"/>
    </row>
    <row r="3093" spans="1:39" x14ac:dyDescent="0.35">
      <c r="A3093">
        <v>3089</v>
      </c>
      <c r="B3093">
        <v>3090</v>
      </c>
      <c r="F3093" s="63"/>
      <c r="G3093" s="63"/>
      <c r="H3093" t="s">
        <v>78</v>
      </c>
      <c r="I3093" s="64">
        <v>0</v>
      </c>
      <c r="J3093" s="31"/>
      <c r="K3093" s="31"/>
      <c r="L3093" s="31"/>
      <c r="M3093" s="31"/>
      <c r="N3093" s="4"/>
      <c r="AG3093" t="s">
        <v>2804</v>
      </c>
      <c r="AM3093" s="1"/>
    </row>
    <row r="3094" spans="1:39" x14ac:dyDescent="0.35">
      <c r="A3094">
        <v>3090</v>
      </c>
      <c r="B3094">
        <v>3091</v>
      </c>
      <c r="F3094" s="63"/>
      <c r="G3094" s="63"/>
      <c r="H3094" t="s">
        <v>78</v>
      </c>
      <c r="I3094" s="64">
        <v>0</v>
      </c>
      <c r="J3094" s="31"/>
      <c r="K3094" s="31"/>
      <c r="L3094" s="31"/>
      <c r="M3094" s="31"/>
      <c r="N3094" s="4"/>
      <c r="AG3094" t="s">
        <v>2805</v>
      </c>
      <c r="AM3094" s="1"/>
    </row>
    <row r="3095" spans="1:39" x14ac:dyDescent="0.35">
      <c r="A3095">
        <v>3091</v>
      </c>
      <c r="B3095">
        <v>3092</v>
      </c>
      <c r="F3095" s="63"/>
      <c r="G3095" s="63"/>
      <c r="H3095" t="s">
        <v>78</v>
      </c>
      <c r="I3095" s="64">
        <v>0</v>
      </c>
      <c r="J3095" s="31"/>
      <c r="K3095" s="31"/>
      <c r="L3095" s="31"/>
      <c r="M3095" s="31"/>
      <c r="N3095" s="4"/>
      <c r="AG3095" t="s">
        <v>2806</v>
      </c>
      <c r="AM3095" s="1"/>
    </row>
    <row r="3096" spans="1:39" x14ac:dyDescent="0.35">
      <c r="A3096">
        <v>3092</v>
      </c>
      <c r="B3096">
        <v>3093</v>
      </c>
      <c r="F3096" s="63"/>
      <c r="G3096" s="63"/>
      <c r="H3096" t="s">
        <v>78</v>
      </c>
      <c r="I3096" s="64">
        <v>0</v>
      </c>
      <c r="J3096" s="31"/>
      <c r="K3096" s="31"/>
      <c r="L3096" s="31"/>
      <c r="M3096" s="31"/>
      <c r="N3096" s="4"/>
      <c r="AG3096" t="s">
        <v>2807</v>
      </c>
      <c r="AM3096" s="1"/>
    </row>
    <row r="3097" spans="1:39" x14ac:dyDescent="0.35">
      <c r="A3097">
        <v>3093</v>
      </c>
      <c r="B3097">
        <v>3094</v>
      </c>
      <c r="F3097" s="63"/>
      <c r="G3097" s="63"/>
      <c r="H3097" t="s">
        <v>78</v>
      </c>
      <c r="I3097" s="64">
        <v>0</v>
      </c>
      <c r="J3097" s="31"/>
      <c r="K3097" s="31"/>
      <c r="L3097" s="31"/>
      <c r="M3097" s="31"/>
      <c r="N3097" s="4"/>
      <c r="AG3097" t="s">
        <v>2808</v>
      </c>
      <c r="AM3097" s="1"/>
    </row>
    <row r="3098" spans="1:39" x14ac:dyDescent="0.35">
      <c r="A3098">
        <v>3094</v>
      </c>
      <c r="B3098">
        <v>3095</v>
      </c>
      <c r="F3098" s="63"/>
      <c r="G3098" s="63"/>
      <c r="H3098" t="s">
        <v>78</v>
      </c>
      <c r="I3098" s="64">
        <v>0</v>
      </c>
      <c r="J3098" s="31"/>
      <c r="K3098" s="31"/>
      <c r="L3098" s="31"/>
      <c r="M3098" s="31"/>
      <c r="N3098" s="4"/>
      <c r="AG3098" t="s">
        <v>2809</v>
      </c>
      <c r="AM3098" s="1"/>
    </row>
    <row r="3099" spans="1:39" x14ac:dyDescent="0.35">
      <c r="A3099">
        <v>3095</v>
      </c>
      <c r="B3099">
        <v>3096</v>
      </c>
      <c r="F3099" s="63"/>
      <c r="G3099" s="63"/>
      <c r="H3099" t="s">
        <v>78</v>
      </c>
      <c r="I3099" s="64">
        <v>0</v>
      </c>
      <c r="J3099" s="31"/>
      <c r="K3099" s="31"/>
      <c r="L3099" s="31"/>
      <c r="M3099" s="31"/>
      <c r="N3099" s="4"/>
      <c r="AG3099" t="s">
        <v>2810</v>
      </c>
      <c r="AM3099" s="1"/>
    </row>
    <row r="3100" spans="1:39" x14ac:dyDescent="0.35">
      <c r="A3100">
        <v>3096</v>
      </c>
      <c r="B3100">
        <v>3097</v>
      </c>
      <c r="F3100" s="63"/>
      <c r="G3100" s="63"/>
      <c r="H3100" t="s">
        <v>78</v>
      </c>
      <c r="I3100" s="64">
        <v>0</v>
      </c>
      <c r="J3100" s="31"/>
      <c r="K3100" s="31"/>
      <c r="L3100" s="31"/>
      <c r="M3100" s="31"/>
      <c r="N3100" s="4"/>
      <c r="AG3100" t="s">
        <v>2811</v>
      </c>
      <c r="AM3100" s="1"/>
    </row>
    <row r="3101" spans="1:39" x14ac:dyDescent="0.35">
      <c r="A3101">
        <v>3097</v>
      </c>
      <c r="B3101">
        <v>3098</v>
      </c>
      <c r="F3101" s="63"/>
      <c r="G3101" s="63"/>
      <c r="H3101" t="s">
        <v>78</v>
      </c>
      <c r="I3101" s="64">
        <v>0</v>
      </c>
      <c r="J3101" s="31"/>
      <c r="K3101" s="31"/>
      <c r="L3101" s="31"/>
      <c r="M3101" s="31"/>
      <c r="N3101" s="4"/>
      <c r="AG3101" t="s">
        <v>2812</v>
      </c>
      <c r="AM3101" s="1"/>
    </row>
    <row r="3102" spans="1:39" x14ac:dyDescent="0.35">
      <c r="A3102">
        <v>3098</v>
      </c>
      <c r="B3102">
        <v>3099</v>
      </c>
      <c r="F3102" s="63"/>
      <c r="G3102" s="63"/>
      <c r="H3102" t="s">
        <v>78</v>
      </c>
      <c r="I3102" s="64">
        <v>0</v>
      </c>
      <c r="J3102" s="31"/>
      <c r="K3102" s="31"/>
      <c r="L3102" s="31"/>
      <c r="M3102" s="31"/>
      <c r="N3102" s="4"/>
      <c r="AG3102" t="s">
        <v>2813</v>
      </c>
      <c r="AM3102" s="1"/>
    </row>
    <row r="3103" spans="1:39" x14ac:dyDescent="0.35">
      <c r="A3103">
        <v>3099</v>
      </c>
      <c r="B3103">
        <v>3100</v>
      </c>
      <c r="F3103" s="63"/>
      <c r="G3103" s="63"/>
      <c r="H3103" t="s">
        <v>78</v>
      </c>
      <c r="I3103" s="64">
        <v>0</v>
      </c>
      <c r="J3103" s="31"/>
      <c r="K3103" s="31"/>
      <c r="L3103" s="31"/>
      <c r="M3103" s="31"/>
      <c r="N3103" s="4"/>
      <c r="AG3103" t="s">
        <v>2814</v>
      </c>
      <c r="AM3103" s="1"/>
    </row>
    <row r="3104" spans="1:39" x14ac:dyDescent="0.35">
      <c r="A3104">
        <v>3100</v>
      </c>
      <c r="B3104">
        <v>3101</v>
      </c>
      <c r="F3104" s="63"/>
      <c r="G3104" s="63"/>
      <c r="H3104" t="s">
        <v>78</v>
      </c>
      <c r="I3104" s="64">
        <v>0</v>
      </c>
      <c r="J3104" s="31"/>
      <c r="K3104" s="31"/>
      <c r="L3104" s="31"/>
      <c r="M3104" s="31"/>
      <c r="N3104" s="4"/>
      <c r="AG3104" t="s">
        <v>2815</v>
      </c>
      <c r="AM3104" s="1"/>
    </row>
    <row r="3105" spans="1:39" x14ac:dyDescent="0.35">
      <c r="A3105">
        <v>3101</v>
      </c>
      <c r="B3105">
        <v>3102</v>
      </c>
      <c r="F3105" s="63"/>
      <c r="G3105" s="63"/>
      <c r="H3105" t="s">
        <v>78</v>
      </c>
      <c r="I3105" s="64">
        <v>0</v>
      </c>
      <c r="J3105" s="31"/>
      <c r="K3105" s="31"/>
      <c r="L3105" s="31"/>
      <c r="M3105" s="31"/>
      <c r="N3105" s="4"/>
      <c r="AG3105" t="s">
        <v>2816</v>
      </c>
      <c r="AM3105" s="1"/>
    </row>
    <row r="3106" spans="1:39" x14ac:dyDescent="0.35">
      <c r="A3106">
        <v>3102</v>
      </c>
      <c r="B3106">
        <v>3103</v>
      </c>
      <c r="F3106" s="63"/>
      <c r="G3106" s="63"/>
      <c r="H3106" t="s">
        <v>78</v>
      </c>
      <c r="I3106" s="64">
        <v>0</v>
      </c>
      <c r="J3106" s="31"/>
      <c r="K3106" s="31"/>
      <c r="L3106" s="31"/>
      <c r="M3106" s="31"/>
      <c r="N3106" s="4"/>
      <c r="AG3106" t="s">
        <v>2817</v>
      </c>
      <c r="AM3106" s="1"/>
    </row>
    <row r="3107" spans="1:39" x14ac:dyDescent="0.35">
      <c r="A3107">
        <v>3103</v>
      </c>
      <c r="B3107">
        <v>3104</v>
      </c>
      <c r="F3107" s="63"/>
      <c r="G3107" s="63"/>
      <c r="H3107" t="s">
        <v>78</v>
      </c>
      <c r="I3107" s="64">
        <v>0</v>
      </c>
      <c r="J3107" s="31"/>
      <c r="K3107" s="31"/>
      <c r="L3107" s="31"/>
      <c r="M3107" s="31"/>
      <c r="N3107" s="4"/>
      <c r="AG3107" t="s">
        <v>2818</v>
      </c>
      <c r="AM3107" s="1"/>
    </row>
    <row r="3108" spans="1:39" x14ac:dyDescent="0.35">
      <c r="A3108">
        <v>3104</v>
      </c>
      <c r="B3108">
        <v>3105</v>
      </c>
      <c r="F3108" s="63"/>
      <c r="G3108" s="63"/>
      <c r="H3108" t="s">
        <v>78</v>
      </c>
      <c r="I3108" s="64">
        <v>0</v>
      </c>
      <c r="J3108" s="31"/>
      <c r="K3108" s="31"/>
      <c r="L3108" s="31"/>
      <c r="M3108" s="31"/>
      <c r="N3108" s="4"/>
      <c r="AG3108" t="s">
        <v>2819</v>
      </c>
      <c r="AM3108" s="1"/>
    </row>
    <row r="3109" spans="1:39" x14ac:dyDescent="0.35">
      <c r="A3109">
        <v>3105</v>
      </c>
      <c r="B3109">
        <v>3106</v>
      </c>
      <c r="F3109" s="63"/>
      <c r="G3109" s="63"/>
      <c r="H3109" t="s">
        <v>78</v>
      </c>
      <c r="I3109" s="64">
        <v>0</v>
      </c>
      <c r="J3109" s="31"/>
      <c r="K3109" s="31"/>
      <c r="L3109" s="31"/>
      <c r="M3109" s="31"/>
      <c r="N3109" s="4"/>
      <c r="AG3109" t="s">
        <v>2820</v>
      </c>
      <c r="AM3109" s="1"/>
    </row>
    <row r="3110" spans="1:39" x14ac:dyDescent="0.35">
      <c r="A3110">
        <v>3106</v>
      </c>
      <c r="B3110">
        <v>3107</v>
      </c>
      <c r="F3110" s="63"/>
      <c r="G3110" s="63"/>
      <c r="H3110" t="s">
        <v>78</v>
      </c>
      <c r="I3110" s="64">
        <v>0</v>
      </c>
      <c r="J3110" s="31"/>
      <c r="K3110" s="31"/>
      <c r="L3110" s="31"/>
      <c r="M3110" s="31"/>
      <c r="N3110" s="4"/>
      <c r="AG3110" t="s">
        <v>2821</v>
      </c>
      <c r="AM3110" s="1"/>
    </row>
    <row r="3111" spans="1:39" x14ac:dyDescent="0.35">
      <c r="A3111">
        <v>3107</v>
      </c>
      <c r="B3111">
        <v>3108</v>
      </c>
      <c r="F3111" s="63"/>
      <c r="G3111" s="63"/>
      <c r="H3111" t="s">
        <v>78</v>
      </c>
      <c r="I3111" s="64">
        <v>0</v>
      </c>
      <c r="J3111" s="31"/>
      <c r="K3111" s="31"/>
      <c r="L3111" s="31"/>
      <c r="M3111" s="31"/>
      <c r="N3111" s="4"/>
      <c r="AG3111" t="s">
        <v>2822</v>
      </c>
      <c r="AM3111" s="1"/>
    </row>
    <row r="3112" spans="1:39" x14ac:dyDescent="0.35">
      <c r="A3112">
        <v>3108</v>
      </c>
      <c r="B3112">
        <v>3109</v>
      </c>
      <c r="F3112" s="63"/>
      <c r="G3112" s="63"/>
      <c r="H3112" t="s">
        <v>78</v>
      </c>
      <c r="I3112" s="64">
        <v>0</v>
      </c>
      <c r="J3112" s="31"/>
      <c r="K3112" s="31"/>
      <c r="L3112" s="31"/>
      <c r="M3112" s="31"/>
      <c r="N3112" s="4"/>
      <c r="AG3112" t="s">
        <v>2823</v>
      </c>
      <c r="AM3112" s="1"/>
    </row>
    <row r="3113" spans="1:39" x14ac:dyDescent="0.35">
      <c r="A3113">
        <v>3109</v>
      </c>
      <c r="B3113">
        <v>3110</v>
      </c>
      <c r="F3113" s="63"/>
      <c r="G3113" s="63"/>
      <c r="H3113" t="s">
        <v>78</v>
      </c>
      <c r="I3113" s="64">
        <v>0</v>
      </c>
      <c r="J3113" s="31"/>
      <c r="K3113" s="31"/>
      <c r="L3113" s="31"/>
      <c r="M3113" s="31"/>
      <c r="N3113" s="4"/>
      <c r="AG3113" t="s">
        <v>2824</v>
      </c>
      <c r="AM3113" s="1"/>
    </row>
    <row r="3114" spans="1:39" x14ac:dyDescent="0.35">
      <c r="A3114">
        <v>3110</v>
      </c>
      <c r="B3114">
        <v>3111</v>
      </c>
      <c r="F3114" s="63"/>
      <c r="G3114" s="63"/>
      <c r="H3114" t="s">
        <v>78</v>
      </c>
      <c r="I3114" s="64">
        <v>0</v>
      </c>
      <c r="J3114" s="31"/>
      <c r="K3114" s="31"/>
      <c r="L3114" s="31"/>
      <c r="M3114" s="31"/>
      <c r="N3114" s="4"/>
      <c r="AG3114" t="s">
        <v>2825</v>
      </c>
      <c r="AM3114" s="1"/>
    </row>
    <row r="3115" spans="1:39" x14ac:dyDescent="0.35">
      <c r="A3115">
        <v>3111</v>
      </c>
      <c r="B3115">
        <v>3112</v>
      </c>
      <c r="F3115" s="63"/>
      <c r="G3115" s="63"/>
      <c r="H3115" t="s">
        <v>78</v>
      </c>
      <c r="I3115" s="64">
        <v>0</v>
      </c>
      <c r="J3115" s="31"/>
      <c r="K3115" s="31"/>
      <c r="L3115" s="31"/>
      <c r="M3115" s="31"/>
      <c r="N3115" s="4"/>
      <c r="AG3115" t="s">
        <v>2826</v>
      </c>
      <c r="AM3115" s="1"/>
    </row>
    <row r="3116" spans="1:39" x14ac:dyDescent="0.35">
      <c r="A3116">
        <v>3112</v>
      </c>
      <c r="B3116">
        <v>3113</v>
      </c>
      <c r="F3116" s="63"/>
      <c r="G3116" s="63"/>
      <c r="H3116" t="s">
        <v>78</v>
      </c>
      <c r="I3116" s="64">
        <v>0</v>
      </c>
      <c r="J3116" s="31"/>
      <c r="K3116" s="31"/>
      <c r="L3116" s="31"/>
      <c r="M3116" s="31"/>
      <c r="N3116" s="4"/>
      <c r="AG3116" t="s">
        <v>2827</v>
      </c>
      <c r="AM3116" s="1">
        <f t="shared" ref="AM3116:AM3147" si="38">HYPERLINK("E:\CAFNEC_GBRF\2023\JohnstoneRiver\Frames_for_Analysis\" &amp; F3117, F3117)</f>
        <v>0</v>
      </c>
    </row>
    <row r="3117" spans="1:39" x14ac:dyDescent="0.35">
      <c r="A3117">
        <v>3113</v>
      </c>
      <c r="B3117">
        <v>3114</v>
      </c>
      <c r="F3117" s="63"/>
      <c r="G3117" s="63"/>
      <c r="H3117" t="s">
        <v>78</v>
      </c>
      <c r="I3117" s="64">
        <v>0</v>
      </c>
      <c r="J3117" s="31"/>
      <c r="K3117" s="31"/>
      <c r="L3117" s="31"/>
      <c r="M3117" s="31"/>
      <c r="N3117" s="4"/>
      <c r="AG3117" t="s">
        <v>2828</v>
      </c>
      <c r="AM3117" s="1">
        <f t="shared" si="38"/>
        <v>0</v>
      </c>
    </row>
    <row r="3118" spans="1:39" x14ac:dyDescent="0.35">
      <c r="A3118">
        <v>3114</v>
      </c>
      <c r="B3118">
        <v>3115</v>
      </c>
      <c r="F3118" s="63"/>
      <c r="G3118" s="63"/>
      <c r="H3118" t="s">
        <v>78</v>
      </c>
      <c r="I3118" s="64">
        <v>0</v>
      </c>
      <c r="J3118" s="31"/>
      <c r="K3118" s="31"/>
      <c r="L3118" s="31"/>
      <c r="M3118" s="31"/>
      <c r="N3118" s="4"/>
      <c r="AG3118" t="s">
        <v>2829</v>
      </c>
      <c r="AM3118" s="1">
        <f t="shared" si="38"/>
        <v>0</v>
      </c>
    </row>
    <row r="3119" spans="1:39" x14ac:dyDescent="0.35">
      <c r="A3119">
        <v>3115</v>
      </c>
      <c r="B3119">
        <v>3116</v>
      </c>
      <c r="F3119" s="63"/>
      <c r="G3119" s="63"/>
      <c r="H3119" t="s">
        <v>78</v>
      </c>
      <c r="I3119" s="64">
        <v>0</v>
      </c>
      <c r="J3119" s="31"/>
      <c r="K3119" s="31"/>
      <c r="L3119" s="31"/>
      <c r="M3119" s="31"/>
      <c r="N3119" s="4"/>
      <c r="AG3119" t="s">
        <v>2830</v>
      </c>
      <c r="AM3119" s="1">
        <f t="shared" si="38"/>
        <v>0</v>
      </c>
    </row>
    <row r="3120" spans="1:39" x14ac:dyDescent="0.35">
      <c r="A3120">
        <v>3116</v>
      </c>
      <c r="B3120">
        <v>3117</v>
      </c>
      <c r="F3120" s="63"/>
      <c r="G3120" s="63"/>
      <c r="H3120" t="s">
        <v>78</v>
      </c>
      <c r="I3120" s="64">
        <v>0</v>
      </c>
      <c r="J3120" s="31"/>
      <c r="K3120" s="31"/>
      <c r="L3120" s="31"/>
      <c r="M3120" s="31"/>
      <c r="N3120" s="4"/>
      <c r="AG3120" t="s">
        <v>2831</v>
      </c>
      <c r="AM3120" s="1">
        <f t="shared" si="38"/>
        <v>0</v>
      </c>
    </row>
    <row r="3121" spans="1:39" x14ac:dyDescent="0.35">
      <c r="A3121">
        <v>3117</v>
      </c>
      <c r="B3121">
        <v>3118</v>
      </c>
      <c r="F3121" s="63"/>
      <c r="G3121" s="63"/>
      <c r="H3121" t="s">
        <v>78</v>
      </c>
      <c r="I3121" s="64">
        <v>0</v>
      </c>
      <c r="J3121" s="31"/>
      <c r="K3121" s="31"/>
      <c r="L3121" s="31"/>
      <c r="M3121" s="31"/>
      <c r="N3121" s="4"/>
      <c r="AG3121" t="s">
        <v>2832</v>
      </c>
      <c r="AM3121" s="1">
        <f t="shared" si="38"/>
        <v>0</v>
      </c>
    </row>
    <row r="3122" spans="1:39" x14ac:dyDescent="0.35">
      <c r="A3122">
        <v>3118</v>
      </c>
      <c r="B3122">
        <v>3119</v>
      </c>
      <c r="F3122" s="63"/>
      <c r="G3122" s="63"/>
      <c r="H3122" t="s">
        <v>78</v>
      </c>
      <c r="I3122" s="64">
        <v>0</v>
      </c>
      <c r="J3122" s="31"/>
      <c r="K3122" s="31"/>
      <c r="L3122" s="31"/>
      <c r="M3122" s="31"/>
      <c r="N3122" s="4"/>
      <c r="AG3122" t="s">
        <v>2833</v>
      </c>
      <c r="AM3122" s="1">
        <f t="shared" si="38"/>
        <v>0</v>
      </c>
    </row>
    <row r="3123" spans="1:39" x14ac:dyDescent="0.35">
      <c r="A3123">
        <v>3119</v>
      </c>
      <c r="B3123">
        <v>3120</v>
      </c>
      <c r="F3123" s="63"/>
      <c r="G3123" s="63"/>
      <c r="H3123" t="s">
        <v>78</v>
      </c>
      <c r="I3123" s="64">
        <v>0</v>
      </c>
      <c r="J3123" s="31"/>
      <c r="K3123" s="31"/>
      <c r="L3123" s="31"/>
      <c r="M3123" s="31"/>
      <c r="N3123" s="4"/>
      <c r="AG3123" t="s">
        <v>2834</v>
      </c>
      <c r="AM3123" s="1">
        <f t="shared" si="38"/>
        <v>0</v>
      </c>
    </row>
    <row r="3124" spans="1:39" x14ac:dyDescent="0.35">
      <c r="A3124">
        <v>3120</v>
      </c>
      <c r="B3124">
        <v>3121</v>
      </c>
      <c r="F3124" s="63"/>
      <c r="G3124" s="63"/>
      <c r="H3124" t="s">
        <v>78</v>
      </c>
      <c r="I3124" s="64">
        <v>0</v>
      </c>
      <c r="J3124" s="31"/>
      <c r="K3124" s="31"/>
      <c r="L3124" s="31"/>
      <c r="M3124" s="31"/>
      <c r="N3124" s="4"/>
      <c r="AG3124" t="s">
        <v>2835</v>
      </c>
      <c r="AM3124" s="1">
        <f t="shared" si="38"/>
        <v>0</v>
      </c>
    </row>
    <row r="3125" spans="1:39" x14ac:dyDescent="0.35">
      <c r="A3125">
        <v>3121</v>
      </c>
      <c r="B3125">
        <v>3122</v>
      </c>
      <c r="F3125" s="63"/>
      <c r="G3125" s="63"/>
      <c r="H3125" t="s">
        <v>78</v>
      </c>
      <c r="I3125" s="64">
        <v>0</v>
      </c>
      <c r="J3125" s="31"/>
      <c r="K3125" s="31"/>
      <c r="L3125" s="31"/>
      <c r="M3125" s="31"/>
      <c r="N3125" s="4"/>
      <c r="AG3125" t="s">
        <v>2836</v>
      </c>
      <c r="AM3125" s="1">
        <f t="shared" si="38"/>
        <v>0</v>
      </c>
    </row>
    <row r="3126" spans="1:39" x14ac:dyDescent="0.35">
      <c r="A3126">
        <v>3122</v>
      </c>
      <c r="B3126">
        <v>3123</v>
      </c>
      <c r="F3126" s="63"/>
      <c r="G3126" s="63"/>
      <c r="H3126" t="s">
        <v>78</v>
      </c>
      <c r="I3126" s="64">
        <v>0</v>
      </c>
      <c r="J3126" s="31"/>
      <c r="K3126" s="31"/>
      <c r="L3126" s="31"/>
      <c r="M3126" s="31"/>
      <c r="N3126" s="4"/>
      <c r="AG3126" t="s">
        <v>2837</v>
      </c>
      <c r="AM3126" s="1">
        <f t="shared" si="38"/>
        <v>0</v>
      </c>
    </row>
    <row r="3127" spans="1:39" x14ac:dyDescent="0.35">
      <c r="A3127">
        <v>3123</v>
      </c>
      <c r="B3127">
        <v>3124</v>
      </c>
      <c r="F3127" s="63"/>
      <c r="G3127" s="63"/>
      <c r="H3127" t="s">
        <v>78</v>
      </c>
      <c r="I3127" s="64">
        <v>0</v>
      </c>
      <c r="J3127" s="31"/>
      <c r="K3127" s="31"/>
      <c r="L3127" s="31"/>
      <c r="M3127" s="31"/>
      <c r="N3127" s="4"/>
      <c r="AG3127" t="s">
        <v>2838</v>
      </c>
      <c r="AM3127" s="1">
        <f t="shared" si="38"/>
        <v>0</v>
      </c>
    </row>
    <row r="3128" spans="1:39" x14ac:dyDescent="0.35">
      <c r="A3128">
        <v>3124</v>
      </c>
      <c r="B3128">
        <v>3125</v>
      </c>
      <c r="F3128" s="63"/>
      <c r="G3128" s="63"/>
      <c r="H3128" t="s">
        <v>78</v>
      </c>
      <c r="I3128" s="64">
        <v>0</v>
      </c>
      <c r="J3128" s="31"/>
      <c r="K3128" s="31"/>
      <c r="L3128" s="31"/>
      <c r="M3128" s="31"/>
      <c r="N3128" s="4"/>
      <c r="AG3128" t="s">
        <v>2839</v>
      </c>
      <c r="AM3128" s="1">
        <f t="shared" si="38"/>
        <v>0</v>
      </c>
    </row>
    <row r="3129" spans="1:39" x14ac:dyDescent="0.35">
      <c r="A3129">
        <v>3125</v>
      </c>
      <c r="B3129">
        <v>3126</v>
      </c>
      <c r="F3129" s="63"/>
      <c r="G3129" s="63"/>
      <c r="H3129" t="s">
        <v>78</v>
      </c>
      <c r="I3129" s="64">
        <v>0</v>
      </c>
      <c r="J3129" s="31"/>
      <c r="K3129" s="31"/>
      <c r="L3129" s="31"/>
      <c r="M3129" s="31"/>
      <c r="N3129" s="4"/>
      <c r="AG3129" t="s">
        <v>2840</v>
      </c>
      <c r="AM3129" s="1">
        <f t="shared" si="38"/>
        <v>0</v>
      </c>
    </row>
    <row r="3130" spans="1:39" x14ac:dyDescent="0.35">
      <c r="A3130">
        <v>3126</v>
      </c>
      <c r="B3130">
        <v>3127</v>
      </c>
      <c r="F3130" s="63"/>
      <c r="G3130" s="63"/>
      <c r="H3130" t="s">
        <v>78</v>
      </c>
      <c r="I3130" s="64">
        <v>0</v>
      </c>
      <c r="J3130" s="31"/>
      <c r="K3130" s="31"/>
      <c r="L3130" s="31"/>
      <c r="M3130" s="31"/>
      <c r="N3130" s="4"/>
      <c r="AG3130" t="s">
        <v>2841</v>
      </c>
      <c r="AM3130" s="1">
        <f t="shared" si="38"/>
        <v>0</v>
      </c>
    </row>
    <row r="3131" spans="1:39" x14ac:dyDescent="0.35">
      <c r="A3131">
        <v>3127</v>
      </c>
      <c r="B3131">
        <v>3128</v>
      </c>
      <c r="F3131" s="63"/>
      <c r="G3131" s="63"/>
      <c r="H3131" t="s">
        <v>78</v>
      </c>
      <c r="I3131" s="64">
        <v>0</v>
      </c>
      <c r="J3131" s="31"/>
      <c r="K3131" s="31"/>
      <c r="L3131" s="31"/>
      <c r="M3131" s="31"/>
      <c r="N3131" s="4"/>
      <c r="AG3131" t="s">
        <v>2842</v>
      </c>
      <c r="AM3131" s="1">
        <f t="shared" si="38"/>
        <v>0</v>
      </c>
    </row>
    <row r="3132" spans="1:39" x14ac:dyDescent="0.35">
      <c r="A3132">
        <v>3128</v>
      </c>
      <c r="B3132">
        <v>3129</v>
      </c>
      <c r="F3132" s="63"/>
      <c r="G3132" s="63"/>
      <c r="H3132" t="s">
        <v>78</v>
      </c>
      <c r="I3132" s="64">
        <v>0</v>
      </c>
      <c r="J3132" s="31"/>
      <c r="K3132" s="31"/>
      <c r="L3132" s="31"/>
      <c r="M3132" s="31"/>
      <c r="N3132" s="4"/>
      <c r="AG3132" t="s">
        <v>2843</v>
      </c>
      <c r="AM3132" s="1">
        <f t="shared" si="38"/>
        <v>0</v>
      </c>
    </row>
    <row r="3133" spans="1:39" x14ac:dyDescent="0.35">
      <c r="A3133">
        <v>3129</v>
      </c>
      <c r="B3133">
        <v>3130</v>
      </c>
      <c r="F3133" s="63"/>
      <c r="G3133" s="63"/>
      <c r="H3133" t="s">
        <v>78</v>
      </c>
      <c r="I3133" s="64">
        <v>0</v>
      </c>
      <c r="J3133" s="31"/>
      <c r="K3133" s="31"/>
      <c r="L3133" s="31"/>
      <c r="M3133" s="31"/>
      <c r="N3133" s="4"/>
      <c r="AG3133" t="s">
        <v>2844</v>
      </c>
      <c r="AM3133" s="1">
        <f t="shared" si="38"/>
        <v>0</v>
      </c>
    </row>
    <row r="3134" spans="1:39" x14ac:dyDescent="0.35">
      <c r="A3134">
        <v>3130</v>
      </c>
      <c r="B3134">
        <v>3131</v>
      </c>
      <c r="F3134" s="63"/>
      <c r="G3134" s="63"/>
      <c r="H3134" t="s">
        <v>78</v>
      </c>
      <c r="I3134" s="64">
        <v>0</v>
      </c>
      <c r="J3134" s="31"/>
      <c r="K3134" s="31"/>
      <c r="L3134" s="31"/>
      <c r="M3134" s="31"/>
      <c r="N3134" s="4"/>
      <c r="AG3134" t="s">
        <v>2845</v>
      </c>
      <c r="AM3134" s="1">
        <f t="shared" si="38"/>
        <v>0</v>
      </c>
    </row>
    <row r="3135" spans="1:39" x14ac:dyDescent="0.35">
      <c r="A3135">
        <v>3131</v>
      </c>
      <c r="B3135">
        <v>3132</v>
      </c>
      <c r="F3135" s="63"/>
      <c r="G3135" s="63"/>
      <c r="H3135" t="s">
        <v>78</v>
      </c>
      <c r="I3135" s="64">
        <v>0</v>
      </c>
      <c r="J3135" s="31"/>
      <c r="K3135" s="31"/>
      <c r="L3135" s="31"/>
      <c r="M3135" s="31"/>
      <c r="N3135" s="4"/>
      <c r="AG3135" t="s">
        <v>2846</v>
      </c>
      <c r="AM3135" s="1">
        <f t="shared" si="38"/>
        <v>0</v>
      </c>
    </row>
    <row r="3136" spans="1:39" x14ac:dyDescent="0.35">
      <c r="A3136">
        <v>3132</v>
      </c>
      <c r="B3136">
        <v>3133</v>
      </c>
      <c r="F3136" s="63"/>
      <c r="G3136" s="63"/>
      <c r="H3136" t="s">
        <v>78</v>
      </c>
      <c r="I3136" s="64">
        <v>0</v>
      </c>
      <c r="J3136" s="31"/>
      <c r="K3136" s="31"/>
      <c r="L3136" s="31"/>
      <c r="M3136" s="31"/>
      <c r="N3136" s="4"/>
      <c r="AG3136" t="s">
        <v>2847</v>
      </c>
      <c r="AM3136" s="1">
        <f t="shared" si="38"/>
        <v>0</v>
      </c>
    </row>
    <row r="3137" spans="1:39" x14ac:dyDescent="0.35">
      <c r="A3137">
        <v>3133</v>
      </c>
      <c r="B3137">
        <v>3134</v>
      </c>
      <c r="F3137" s="63"/>
      <c r="G3137" s="63"/>
      <c r="H3137" t="s">
        <v>78</v>
      </c>
      <c r="I3137" s="64">
        <v>0</v>
      </c>
      <c r="J3137" s="31"/>
      <c r="K3137" s="31"/>
      <c r="L3137" s="31"/>
      <c r="M3137" s="31"/>
      <c r="N3137" s="4"/>
      <c r="AG3137" t="s">
        <v>2848</v>
      </c>
      <c r="AM3137" s="1">
        <f t="shared" si="38"/>
        <v>0</v>
      </c>
    </row>
    <row r="3138" spans="1:39" x14ac:dyDescent="0.35">
      <c r="A3138">
        <v>3134</v>
      </c>
      <c r="B3138">
        <v>3135</v>
      </c>
      <c r="F3138" s="63"/>
      <c r="G3138" s="63"/>
      <c r="H3138" t="s">
        <v>78</v>
      </c>
      <c r="I3138" s="64">
        <v>0</v>
      </c>
      <c r="J3138" s="31"/>
      <c r="K3138" s="31"/>
      <c r="L3138" s="31"/>
      <c r="M3138" s="31"/>
      <c r="N3138" s="4"/>
      <c r="AG3138" t="s">
        <v>2849</v>
      </c>
      <c r="AM3138" s="1">
        <f t="shared" si="38"/>
        <v>0</v>
      </c>
    </row>
    <row r="3139" spans="1:39" x14ac:dyDescent="0.35">
      <c r="A3139">
        <v>3135</v>
      </c>
      <c r="B3139">
        <v>3136</v>
      </c>
      <c r="F3139" s="63"/>
      <c r="G3139" s="63"/>
      <c r="H3139" t="s">
        <v>78</v>
      </c>
      <c r="I3139" s="64">
        <v>0</v>
      </c>
      <c r="J3139" s="31"/>
      <c r="K3139" s="31"/>
      <c r="L3139" s="31"/>
      <c r="M3139" s="31"/>
      <c r="N3139" s="4"/>
      <c r="AG3139" t="s">
        <v>2850</v>
      </c>
      <c r="AM3139" s="1">
        <f t="shared" si="38"/>
        <v>0</v>
      </c>
    </row>
    <row r="3140" spans="1:39" x14ac:dyDescent="0.35">
      <c r="A3140">
        <v>3136</v>
      </c>
      <c r="B3140">
        <v>3137</v>
      </c>
      <c r="F3140" s="63"/>
      <c r="G3140" s="63"/>
      <c r="H3140" t="s">
        <v>78</v>
      </c>
      <c r="I3140" s="64">
        <v>0</v>
      </c>
      <c r="J3140" s="31"/>
      <c r="K3140" s="31"/>
      <c r="L3140" s="31"/>
      <c r="M3140" s="31"/>
      <c r="N3140" s="4"/>
      <c r="AG3140" t="s">
        <v>2851</v>
      </c>
      <c r="AM3140" s="1">
        <f t="shared" si="38"/>
        <v>0</v>
      </c>
    </row>
    <row r="3141" spans="1:39" x14ac:dyDescent="0.35">
      <c r="A3141">
        <v>3137</v>
      </c>
      <c r="B3141">
        <v>3138</v>
      </c>
      <c r="F3141" s="63"/>
      <c r="G3141" s="63"/>
      <c r="H3141" t="s">
        <v>78</v>
      </c>
      <c r="I3141" s="64">
        <v>0</v>
      </c>
      <c r="J3141" s="31"/>
      <c r="K3141" s="31"/>
      <c r="L3141" s="31"/>
      <c r="M3141" s="31"/>
      <c r="N3141" s="4"/>
      <c r="AG3141" t="s">
        <v>2852</v>
      </c>
      <c r="AM3141" s="1">
        <f t="shared" si="38"/>
        <v>0</v>
      </c>
    </row>
    <row r="3142" spans="1:39" x14ac:dyDescent="0.35">
      <c r="A3142">
        <v>3138</v>
      </c>
      <c r="B3142">
        <v>3139</v>
      </c>
      <c r="F3142" s="63"/>
      <c r="G3142" s="63"/>
      <c r="H3142" t="s">
        <v>78</v>
      </c>
      <c r="I3142" s="64">
        <v>0</v>
      </c>
      <c r="J3142" s="31"/>
      <c r="K3142" s="31"/>
      <c r="L3142" s="31"/>
      <c r="M3142" s="31"/>
      <c r="N3142" s="4"/>
      <c r="AG3142" t="s">
        <v>2853</v>
      </c>
      <c r="AM3142" s="1">
        <f t="shared" si="38"/>
        <v>0</v>
      </c>
    </row>
    <row r="3143" spans="1:39" x14ac:dyDescent="0.35">
      <c r="A3143">
        <v>3139</v>
      </c>
      <c r="B3143">
        <v>3140</v>
      </c>
      <c r="F3143" s="63"/>
      <c r="G3143" s="63"/>
      <c r="H3143" t="s">
        <v>78</v>
      </c>
      <c r="I3143" s="64">
        <v>0</v>
      </c>
      <c r="J3143" s="31"/>
      <c r="K3143" s="31"/>
      <c r="L3143" s="31"/>
      <c r="M3143" s="31"/>
      <c r="N3143" s="4"/>
      <c r="AG3143" t="s">
        <v>2854</v>
      </c>
      <c r="AM3143" s="1">
        <f t="shared" si="38"/>
        <v>0</v>
      </c>
    </row>
    <row r="3144" spans="1:39" x14ac:dyDescent="0.35">
      <c r="A3144">
        <v>3140</v>
      </c>
      <c r="B3144">
        <v>3141</v>
      </c>
      <c r="F3144" s="63"/>
      <c r="G3144" s="63"/>
      <c r="H3144" t="s">
        <v>78</v>
      </c>
      <c r="I3144" s="64">
        <v>0</v>
      </c>
      <c r="J3144" s="31"/>
      <c r="K3144" s="31"/>
      <c r="L3144" s="31"/>
      <c r="M3144" s="31"/>
      <c r="N3144" s="4"/>
      <c r="AG3144" t="s">
        <v>2855</v>
      </c>
      <c r="AM3144" s="1">
        <f t="shared" si="38"/>
        <v>0</v>
      </c>
    </row>
    <row r="3145" spans="1:39" x14ac:dyDescent="0.35">
      <c r="A3145">
        <v>3141</v>
      </c>
      <c r="B3145">
        <v>3142</v>
      </c>
      <c r="F3145" s="63"/>
      <c r="G3145" s="63"/>
      <c r="H3145" t="s">
        <v>78</v>
      </c>
      <c r="I3145" s="64">
        <v>0</v>
      </c>
      <c r="J3145" s="31"/>
      <c r="K3145" s="31"/>
      <c r="L3145" s="31"/>
      <c r="M3145" s="31"/>
      <c r="N3145" s="4"/>
      <c r="AG3145" t="s">
        <v>2856</v>
      </c>
      <c r="AM3145" s="1">
        <f t="shared" si="38"/>
        <v>0</v>
      </c>
    </row>
    <row r="3146" spans="1:39" x14ac:dyDescent="0.35">
      <c r="A3146">
        <v>3142</v>
      </c>
      <c r="B3146">
        <v>3143</v>
      </c>
      <c r="F3146" s="63"/>
      <c r="G3146" s="63"/>
      <c r="H3146" t="s">
        <v>78</v>
      </c>
      <c r="I3146" s="64">
        <v>0</v>
      </c>
      <c r="J3146" s="31"/>
      <c r="K3146" s="31"/>
      <c r="L3146" s="31"/>
      <c r="M3146" s="31"/>
      <c r="N3146" s="4"/>
      <c r="AG3146" t="s">
        <v>2857</v>
      </c>
      <c r="AM3146" s="1">
        <f t="shared" si="38"/>
        <v>0</v>
      </c>
    </row>
    <row r="3147" spans="1:39" x14ac:dyDescent="0.35">
      <c r="A3147">
        <v>3143</v>
      </c>
      <c r="B3147">
        <v>3144</v>
      </c>
      <c r="F3147" s="63"/>
      <c r="G3147" s="63"/>
      <c r="H3147" t="s">
        <v>78</v>
      </c>
      <c r="I3147" s="64">
        <v>0</v>
      </c>
      <c r="J3147" s="31"/>
      <c r="K3147" s="31"/>
      <c r="L3147" s="31"/>
      <c r="M3147" s="31"/>
      <c r="N3147" s="4"/>
      <c r="AG3147" t="s">
        <v>2858</v>
      </c>
      <c r="AM3147" s="1">
        <f t="shared" si="38"/>
        <v>0</v>
      </c>
    </row>
    <row r="3148" spans="1:39" x14ac:dyDescent="0.35">
      <c r="A3148">
        <v>3144</v>
      </c>
      <c r="B3148">
        <v>3145</v>
      </c>
      <c r="F3148" s="63"/>
      <c r="G3148" s="63"/>
      <c r="H3148" t="s">
        <v>78</v>
      </c>
      <c r="I3148" s="64">
        <v>0</v>
      </c>
      <c r="J3148" s="31"/>
      <c r="K3148" s="31"/>
      <c r="L3148" s="31"/>
      <c r="M3148" s="31"/>
      <c r="N3148" s="4"/>
      <c r="AG3148" t="s">
        <v>2859</v>
      </c>
      <c r="AM3148" s="1">
        <f t="shared" ref="AM3148:AM3179" si="39">HYPERLINK("E:\CAFNEC_GBRF\2023\JohnstoneRiver\Frames_for_Analysis\" &amp; F3149, F3149)</f>
        <v>0</v>
      </c>
    </row>
    <row r="3149" spans="1:39" x14ac:dyDescent="0.35">
      <c r="A3149">
        <v>3145</v>
      </c>
      <c r="B3149">
        <v>3146</v>
      </c>
      <c r="F3149" s="63"/>
      <c r="G3149" s="63"/>
      <c r="H3149" t="s">
        <v>78</v>
      </c>
      <c r="I3149" s="64">
        <v>0</v>
      </c>
      <c r="J3149" s="31"/>
      <c r="K3149" s="31"/>
      <c r="L3149" s="31"/>
      <c r="M3149" s="31"/>
      <c r="N3149" s="4"/>
      <c r="AG3149" t="s">
        <v>2860</v>
      </c>
      <c r="AM3149" s="1">
        <f t="shared" si="39"/>
        <v>0</v>
      </c>
    </row>
    <row r="3150" spans="1:39" x14ac:dyDescent="0.35">
      <c r="A3150">
        <v>3146</v>
      </c>
      <c r="B3150">
        <v>3147</v>
      </c>
      <c r="F3150" s="63"/>
      <c r="G3150" s="63"/>
      <c r="H3150" t="s">
        <v>78</v>
      </c>
      <c r="I3150" s="64">
        <v>0</v>
      </c>
      <c r="J3150" s="31"/>
      <c r="K3150" s="31"/>
      <c r="L3150" s="31"/>
      <c r="M3150" s="31"/>
      <c r="N3150" s="4"/>
      <c r="AG3150" t="s">
        <v>2861</v>
      </c>
      <c r="AM3150" s="1">
        <f t="shared" si="39"/>
        <v>0</v>
      </c>
    </row>
    <row r="3151" spans="1:39" x14ac:dyDescent="0.35">
      <c r="A3151">
        <v>3147</v>
      </c>
      <c r="B3151">
        <v>3148</v>
      </c>
      <c r="F3151" s="63"/>
      <c r="G3151" s="63"/>
      <c r="H3151" t="s">
        <v>78</v>
      </c>
      <c r="I3151" s="64">
        <v>0</v>
      </c>
      <c r="J3151" s="31"/>
      <c r="K3151" s="31"/>
      <c r="L3151" s="31"/>
      <c r="M3151" s="31"/>
      <c r="N3151" s="4"/>
      <c r="AG3151" t="s">
        <v>2862</v>
      </c>
      <c r="AM3151" s="1">
        <f t="shared" si="39"/>
        <v>0</v>
      </c>
    </row>
    <row r="3152" spans="1:39" x14ac:dyDescent="0.35">
      <c r="A3152">
        <v>3148</v>
      </c>
      <c r="B3152">
        <v>3149</v>
      </c>
      <c r="F3152" s="63"/>
      <c r="G3152" s="63"/>
      <c r="H3152" t="s">
        <v>78</v>
      </c>
      <c r="I3152" s="64">
        <v>0</v>
      </c>
      <c r="J3152" s="31"/>
      <c r="K3152" s="31"/>
      <c r="L3152" s="31"/>
      <c r="M3152" s="31"/>
      <c r="N3152" s="4"/>
      <c r="AG3152" t="s">
        <v>2863</v>
      </c>
      <c r="AM3152" s="1">
        <f t="shared" si="39"/>
        <v>0</v>
      </c>
    </row>
    <row r="3153" spans="1:39" x14ac:dyDescent="0.35">
      <c r="A3153">
        <v>3149</v>
      </c>
      <c r="B3153">
        <v>3150</v>
      </c>
      <c r="F3153" s="63"/>
      <c r="G3153" s="63"/>
      <c r="H3153" t="s">
        <v>78</v>
      </c>
      <c r="I3153" s="64">
        <v>0</v>
      </c>
      <c r="J3153" s="31"/>
      <c r="K3153" s="31"/>
      <c r="L3153" s="31"/>
      <c r="M3153" s="31"/>
      <c r="N3153" s="4"/>
      <c r="AG3153" t="s">
        <v>2864</v>
      </c>
      <c r="AM3153" s="1">
        <f t="shared" si="39"/>
        <v>0</v>
      </c>
    </row>
    <row r="3154" spans="1:39" x14ac:dyDescent="0.35">
      <c r="A3154">
        <v>3150</v>
      </c>
      <c r="B3154">
        <v>3151</v>
      </c>
      <c r="F3154" s="63"/>
      <c r="G3154" s="63"/>
      <c r="H3154" t="s">
        <v>78</v>
      </c>
      <c r="I3154" s="64">
        <v>0</v>
      </c>
      <c r="J3154" s="31"/>
      <c r="K3154" s="31"/>
      <c r="L3154" s="31"/>
      <c r="M3154" s="31"/>
      <c r="N3154" s="4"/>
      <c r="AG3154" t="s">
        <v>2865</v>
      </c>
      <c r="AM3154" s="1">
        <f t="shared" si="39"/>
        <v>0</v>
      </c>
    </row>
    <row r="3155" spans="1:39" x14ac:dyDescent="0.35">
      <c r="A3155">
        <v>3151</v>
      </c>
      <c r="B3155">
        <v>3152</v>
      </c>
      <c r="F3155" s="63"/>
      <c r="G3155" s="63"/>
      <c r="H3155" t="s">
        <v>78</v>
      </c>
      <c r="I3155" s="64">
        <v>0</v>
      </c>
      <c r="J3155" s="31"/>
      <c r="K3155" s="31"/>
      <c r="L3155" s="31"/>
      <c r="M3155" s="31"/>
      <c r="N3155" s="4"/>
      <c r="AG3155" t="s">
        <v>2866</v>
      </c>
      <c r="AM3155" s="1">
        <f t="shared" si="39"/>
        <v>0</v>
      </c>
    </row>
    <row r="3156" spans="1:39" x14ac:dyDescent="0.35">
      <c r="A3156">
        <v>3152</v>
      </c>
      <c r="B3156">
        <v>3153</v>
      </c>
      <c r="F3156" s="63"/>
      <c r="G3156" s="63"/>
      <c r="H3156" t="s">
        <v>78</v>
      </c>
      <c r="I3156" s="64">
        <v>0</v>
      </c>
      <c r="J3156" s="31"/>
      <c r="K3156" s="31"/>
      <c r="L3156" s="31"/>
      <c r="M3156" s="31"/>
      <c r="N3156" s="4"/>
      <c r="AG3156" t="s">
        <v>2867</v>
      </c>
      <c r="AM3156" s="1">
        <f t="shared" si="39"/>
        <v>0</v>
      </c>
    </row>
    <row r="3157" spans="1:39" x14ac:dyDescent="0.35">
      <c r="A3157">
        <v>3153</v>
      </c>
      <c r="B3157">
        <v>3154</v>
      </c>
      <c r="F3157" s="63"/>
      <c r="G3157" s="63"/>
      <c r="H3157" t="s">
        <v>78</v>
      </c>
      <c r="I3157" s="64">
        <v>0</v>
      </c>
      <c r="J3157" s="31"/>
      <c r="K3157" s="31"/>
      <c r="L3157" s="31"/>
      <c r="M3157" s="31"/>
      <c r="N3157" s="4"/>
      <c r="AG3157" t="s">
        <v>2868</v>
      </c>
      <c r="AM3157" s="1">
        <f t="shared" si="39"/>
        <v>0</v>
      </c>
    </row>
    <row r="3158" spans="1:39" x14ac:dyDescent="0.35">
      <c r="A3158">
        <v>3154</v>
      </c>
      <c r="B3158">
        <v>3155</v>
      </c>
      <c r="F3158" s="63"/>
      <c r="G3158" s="63"/>
      <c r="H3158" t="s">
        <v>78</v>
      </c>
      <c r="I3158" s="64">
        <v>0</v>
      </c>
      <c r="J3158" s="31"/>
      <c r="K3158" s="31"/>
      <c r="L3158" s="31"/>
      <c r="M3158" s="31"/>
      <c r="N3158" s="4"/>
      <c r="AG3158" t="s">
        <v>2869</v>
      </c>
      <c r="AM3158" s="1">
        <f t="shared" si="39"/>
        <v>0</v>
      </c>
    </row>
    <row r="3159" spans="1:39" x14ac:dyDescent="0.35">
      <c r="A3159">
        <v>3155</v>
      </c>
      <c r="B3159">
        <v>3156</v>
      </c>
      <c r="F3159" s="63"/>
      <c r="G3159" s="63"/>
      <c r="H3159" t="s">
        <v>78</v>
      </c>
      <c r="I3159" s="64">
        <v>0</v>
      </c>
      <c r="J3159" s="31"/>
      <c r="K3159" s="31"/>
      <c r="L3159" s="31"/>
      <c r="M3159" s="31"/>
      <c r="N3159" s="4"/>
      <c r="AG3159" t="s">
        <v>2870</v>
      </c>
      <c r="AM3159" s="1">
        <f t="shared" si="39"/>
        <v>0</v>
      </c>
    </row>
    <row r="3160" spans="1:39" x14ac:dyDescent="0.35">
      <c r="A3160">
        <v>3156</v>
      </c>
      <c r="B3160">
        <v>3157</v>
      </c>
      <c r="F3160" s="63"/>
      <c r="G3160" s="63"/>
      <c r="H3160" t="s">
        <v>78</v>
      </c>
      <c r="I3160" s="64">
        <v>0</v>
      </c>
      <c r="J3160" s="31"/>
      <c r="K3160" s="31"/>
      <c r="L3160" s="31"/>
      <c r="M3160" s="31"/>
      <c r="N3160" s="4"/>
      <c r="AG3160" t="s">
        <v>2871</v>
      </c>
      <c r="AM3160" s="1">
        <f t="shared" si="39"/>
        <v>0</v>
      </c>
    </row>
    <row r="3161" spans="1:39" x14ac:dyDescent="0.35">
      <c r="A3161">
        <v>3157</v>
      </c>
      <c r="B3161">
        <v>3158</v>
      </c>
      <c r="F3161" s="63"/>
      <c r="G3161" s="63"/>
      <c r="H3161" t="s">
        <v>78</v>
      </c>
      <c r="I3161" s="64">
        <v>0</v>
      </c>
      <c r="J3161" s="31"/>
      <c r="K3161" s="31"/>
      <c r="L3161" s="31"/>
      <c r="M3161" s="31"/>
      <c r="N3161" s="4"/>
      <c r="AG3161" t="s">
        <v>2872</v>
      </c>
      <c r="AM3161" s="1">
        <f t="shared" si="39"/>
        <v>0</v>
      </c>
    </row>
    <row r="3162" spans="1:39" x14ac:dyDescent="0.35">
      <c r="A3162">
        <v>3158</v>
      </c>
      <c r="B3162">
        <v>3159</v>
      </c>
      <c r="F3162" s="63"/>
      <c r="G3162" s="63"/>
      <c r="H3162" t="s">
        <v>78</v>
      </c>
      <c r="I3162" s="64">
        <v>0</v>
      </c>
      <c r="J3162" s="31"/>
      <c r="K3162" s="31"/>
      <c r="L3162" s="31"/>
      <c r="M3162" s="31"/>
      <c r="N3162" s="4"/>
      <c r="AG3162" t="s">
        <v>2873</v>
      </c>
      <c r="AM3162" s="1">
        <f t="shared" si="39"/>
        <v>0</v>
      </c>
    </row>
    <row r="3163" spans="1:39" x14ac:dyDescent="0.35">
      <c r="A3163">
        <v>3159</v>
      </c>
      <c r="B3163">
        <v>3160</v>
      </c>
      <c r="F3163" s="63"/>
      <c r="G3163" s="63"/>
      <c r="H3163" t="s">
        <v>78</v>
      </c>
      <c r="I3163" s="64">
        <v>0</v>
      </c>
      <c r="J3163" s="31"/>
      <c r="K3163" s="31"/>
      <c r="L3163" s="31"/>
      <c r="M3163" s="31"/>
      <c r="N3163" s="4"/>
      <c r="AG3163" t="s">
        <v>2874</v>
      </c>
      <c r="AM3163" s="1">
        <f t="shared" si="39"/>
        <v>0</v>
      </c>
    </row>
    <row r="3164" spans="1:39" x14ac:dyDescent="0.35">
      <c r="A3164">
        <v>3160</v>
      </c>
      <c r="B3164">
        <v>3161</v>
      </c>
      <c r="F3164" s="63"/>
      <c r="G3164" s="63"/>
      <c r="H3164" t="s">
        <v>78</v>
      </c>
      <c r="I3164" s="64">
        <v>0</v>
      </c>
      <c r="J3164" s="31"/>
      <c r="K3164" s="31"/>
      <c r="L3164" s="31"/>
      <c r="M3164" s="31"/>
      <c r="N3164" s="4"/>
      <c r="AG3164" t="s">
        <v>2875</v>
      </c>
      <c r="AM3164" s="1">
        <f t="shared" si="39"/>
        <v>0</v>
      </c>
    </row>
    <row r="3165" spans="1:39" x14ac:dyDescent="0.35">
      <c r="A3165">
        <v>3161</v>
      </c>
      <c r="B3165">
        <v>3162</v>
      </c>
      <c r="F3165" s="63"/>
      <c r="G3165" s="63"/>
      <c r="H3165" t="s">
        <v>78</v>
      </c>
      <c r="I3165" s="64">
        <v>0</v>
      </c>
      <c r="J3165" s="31"/>
      <c r="K3165" s="31"/>
      <c r="L3165" s="31"/>
      <c r="M3165" s="31"/>
      <c r="N3165" s="4"/>
      <c r="AG3165" t="s">
        <v>2876</v>
      </c>
      <c r="AM3165" s="1">
        <f t="shared" si="39"/>
        <v>0</v>
      </c>
    </row>
    <row r="3166" spans="1:39" x14ac:dyDescent="0.35">
      <c r="A3166">
        <v>3162</v>
      </c>
      <c r="B3166">
        <v>3163</v>
      </c>
      <c r="F3166" s="63"/>
      <c r="G3166" s="63"/>
      <c r="H3166" t="s">
        <v>78</v>
      </c>
      <c r="I3166" s="64">
        <v>0</v>
      </c>
      <c r="J3166" s="31"/>
      <c r="K3166" s="31"/>
      <c r="L3166" s="31"/>
      <c r="M3166" s="31"/>
      <c r="N3166" s="4"/>
      <c r="AG3166" t="s">
        <v>2877</v>
      </c>
      <c r="AM3166" s="1">
        <f t="shared" si="39"/>
        <v>0</v>
      </c>
    </row>
    <row r="3167" spans="1:39" x14ac:dyDescent="0.35">
      <c r="A3167">
        <v>3163</v>
      </c>
      <c r="B3167">
        <v>3164</v>
      </c>
      <c r="F3167" s="63"/>
      <c r="G3167" s="63"/>
      <c r="H3167" t="s">
        <v>78</v>
      </c>
      <c r="I3167" s="64">
        <v>0</v>
      </c>
      <c r="J3167" s="31"/>
      <c r="K3167" s="31"/>
      <c r="L3167" s="31"/>
      <c r="M3167" s="31"/>
      <c r="N3167" s="4"/>
      <c r="AG3167" t="s">
        <v>2878</v>
      </c>
      <c r="AM3167" s="1">
        <f t="shared" si="39"/>
        <v>0</v>
      </c>
    </row>
    <row r="3168" spans="1:39" x14ac:dyDescent="0.35">
      <c r="A3168">
        <v>3164</v>
      </c>
      <c r="B3168">
        <v>3165</v>
      </c>
      <c r="F3168" s="63"/>
      <c r="G3168" s="63"/>
      <c r="H3168" t="s">
        <v>78</v>
      </c>
      <c r="I3168" s="64">
        <v>0</v>
      </c>
      <c r="J3168" s="31"/>
      <c r="K3168" s="31"/>
      <c r="L3168" s="31"/>
      <c r="M3168" s="31"/>
      <c r="N3168" s="4"/>
      <c r="AG3168" t="s">
        <v>2879</v>
      </c>
      <c r="AM3168" s="1">
        <f t="shared" si="39"/>
        <v>0</v>
      </c>
    </row>
    <row r="3169" spans="1:39" x14ac:dyDescent="0.35">
      <c r="A3169">
        <v>3165</v>
      </c>
      <c r="B3169">
        <v>3166</v>
      </c>
      <c r="F3169" s="63"/>
      <c r="G3169" s="63"/>
      <c r="H3169" t="s">
        <v>78</v>
      </c>
      <c r="I3169" s="64">
        <v>0</v>
      </c>
      <c r="J3169" s="31"/>
      <c r="K3169" s="31"/>
      <c r="L3169" s="31"/>
      <c r="M3169" s="31"/>
      <c r="N3169" s="4"/>
      <c r="AG3169" t="s">
        <v>2880</v>
      </c>
      <c r="AM3169" s="1">
        <f t="shared" si="39"/>
        <v>0</v>
      </c>
    </row>
    <row r="3170" spans="1:39" x14ac:dyDescent="0.35">
      <c r="A3170">
        <v>3166</v>
      </c>
      <c r="B3170">
        <v>3167</v>
      </c>
      <c r="F3170" s="63"/>
      <c r="G3170" s="63"/>
      <c r="H3170" t="s">
        <v>78</v>
      </c>
      <c r="I3170" s="64">
        <v>0</v>
      </c>
      <c r="J3170" s="31"/>
      <c r="K3170" s="31"/>
      <c r="L3170" s="31"/>
      <c r="M3170" s="31"/>
      <c r="N3170" s="4"/>
      <c r="AG3170" t="s">
        <v>2881</v>
      </c>
      <c r="AM3170" s="1">
        <f t="shared" si="39"/>
        <v>0</v>
      </c>
    </row>
    <row r="3171" spans="1:39" x14ac:dyDescent="0.35">
      <c r="A3171">
        <v>3167</v>
      </c>
      <c r="B3171">
        <v>3168</v>
      </c>
      <c r="F3171" s="63"/>
      <c r="G3171" s="63"/>
      <c r="H3171" t="s">
        <v>78</v>
      </c>
      <c r="I3171" s="64">
        <v>0</v>
      </c>
      <c r="J3171" s="31"/>
      <c r="K3171" s="31"/>
      <c r="L3171" s="31"/>
      <c r="M3171" s="31"/>
      <c r="N3171" s="4"/>
      <c r="AG3171" t="s">
        <v>2882</v>
      </c>
      <c r="AM3171" s="1">
        <f t="shared" si="39"/>
        <v>0</v>
      </c>
    </row>
    <row r="3172" spans="1:39" x14ac:dyDescent="0.35">
      <c r="A3172">
        <v>3168</v>
      </c>
      <c r="B3172">
        <v>3169</v>
      </c>
      <c r="F3172" s="63"/>
      <c r="G3172" s="63"/>
      <c r="H3172" t="s">
        <v>78</v>
      </c>
      <c r="I3172" s="64">
        <v>0</v>
      </c>
      <c r="J3172" s="31"/>
      <c r="K3172" s="31"/>
      <c r="L3172" s="31"/>
      <c r="M3172" s="31"/>
      <c r="N3172" s="4"/>
      <c r="AG3172" t="s">
        <v>2883</v>
      </c>
      <c r="AM3172" s="1">
        <f t="shared" si="39"/>
        <v>0</v>
      </c>
    </row>
    <row r="3173" spans="1:39" x14ac:dyDescent="0.35">
      <c r="A3173">
        <v>3169</v>
      </c>
      <c r="B3173">
        <v>3170</v>
      </c>
      <c r="F3173" s="63"/>
      <c r="G3173" s="63"/>
      <c r="H3173" t="s">
        <v>78</v>
      </c>
      <c r="I3173" s="64">
        <v>0</v>
      </c>
      <c r="J3173" s="31"/>
      <c r="K3173" s="31"/>
      <c r="L3173" s="31"/>
      <c r="M3173" s="31"/>
      <c r="N3173" s="4"/>
      <c r="AG3173" t="s">
        <v>2884</v>
      </c>
      <c r="AM3173" s="1">
        <f t="shared" si="39"/>
        <v>0</v>
      </c>
    </row>
    <row r="3174" spans="1:39" x14ac:dyDescent="0.35">
      <c r="A3174">
        <v>3170</v>
      </c>
      <c r="B3174">
        <v>3171</v>
      </c>
      <c r="F3174" s="63"/>
      <c r="G3174" s="63"/>
      <c r="H3174" t="s">
        <v>78</v>
      </c>
      <c r="I3174" s="64">
        <v>0</v>
      </c>
      <c r="J3174" s="31"/>
      <c r="K3174" s="31"/>
      <c r="L3174" s="31"/>
      <c r="M3174" s="31"/>
      <c r="N3174" s="4"/>
      <c r="AG3174" t="s">
        <v>2885</v>
      </c>
      <c r="AM3174" s="1">
        <f t="shared" si="39"/>
        <v>0</v>
      </c>
    </row>
    <row r="3175" spans="1:39" x14ac:dyDescent="0.35">
      <c r="A3175">
        <v>3171</v>
      </c>
      <c r="B3175">
        <v>3172</v>
      </c>
      <c r="F3175" s="63"/>
      <c r="G3175" s="63"/>
      <c r="H3175" t="s">
        <v>78</v>
      </c>
      <c r="I3175" s="64">
        <v>0</v>
      </c>
      <c r="J3175" s="31"/>
      <c r="K3175" s="31"/>
      <c r="L3175" s="31"/>
      <c r="M3175" s="31"/>
      <c r="N3175" s="4"/>
      <c r="AG3175" t="s">
        <v>2886</v>
      </c>
      <c r="AM3175" s="1">
        <f t="shared" si="39"/>
        <v>0</v>
      </c>
    </row>
    <row r="3176" spans="1:39" x14ac:dyDescent="0.35">
      <c r="A3176">
        <v>3172</v>
      </c>
      <c r="B3176">
        <v>3173</v>
      </c>
      <c r="F3176" s="63"/>
      <c r="G3176" s="63"/>
      <c r="H3176" t="s">
        <v>78</v>
      </c>
      <c r="I3176" s="64">
        <v>0</v>
      </c>
      <c r="J3176" s="31"/>
      <c r="K3176" s="31"/>
      <c r="L3176" s="31"/>
      <c r="M3176" s="31"/>
      <c r="N3176" s="4"/>
      <c r="AG3176" t="s">
        <v>2887</v>
      </c>
      <c r="AM3176" s="1">
        <f t="shared" si="39"/>
        <v>0</v>
      </c>
    </row>
    <row r="3177" spans="1:39" x14ac:dyDescent="0.35">
      <c r="A3177">
        <v>3173</v>
      </c>
      <c r="B3177">
        <v>3174</v>
      </c>
      <c r="F3177" s="63"/>
      <c r="G3177" s="63"/>
      <c r="H3177" t="s">
        <v>78</v>
      </c>
      <c r="I3177" s="64">
        <v>0</v>
      </c>
      <c r="J3177" s="31"/>
      <c r="K3177" s="31"/>
      <c r="L3177" s="31"/>
      <c r="M3177" s="31"/>
      <c r="N3177" s="4"/>
      <c r="AG3177" t="s">
        <v>2888</v>
      </c>
      <c r="AM3177" s="1">
        <f t="shared" si="39"/>
        <v>0</v>
      </c>
    </row>
    <row r="3178" spans="1:39" x14ac:dyDescent="0.35">
      <c r="A3178">
        <v>3174</v>
      </c>
      <c r="B3178">
        <v>3175</v>
      </c>
      <c r="F3178" s="63"/>
      <c r="G3178" s="63"/>
      <c r="H3178" t="s">
        <v>78</v>
      </c>
      <c r="I3178" s="64">
        <v>0</v>
      </c>
      <c r="J3178" s="31"/>
      <c r="K3178" s="31"/>
      <c r="L3178" s="31"/>
      <c r="M3178" s="31"/>
      <c r="N3178" s="4"/>
      <c r="AG3178" t="s">
        <v>2889</v>
      </c>
      <c r="AM3178" s="1">
        <f t="shared" si="39"/>
        <v>0</v>
      </c>
    </row>
    <row r="3179" spans="1:39" x14ac:dyDescent="0.35">
      <c r="A3179">
        <v>3175</v>
      </c>
      <c r="B3179">
        <v>3176</v>
      </c>
      <c r="F3179" s="63"/>
      <c r="G3179" s="63"/>
      <c r="H3179" t="s">
        <v>78</v>
      </c>
      <c r="I3179" s="64">
        <v>0</v>
      </c>
      <c r="J3179" s="31"/>
      <c r="K3179" s="31"/>
      <c r="L3179" s="31"/>
      <c r="M3179" s="31"/>
      <c r="N3179" s="4"/>
      <c r="AG3179" t="s">
        <v>2890</v>
      </c>
      <c r="AM3179" s="1">
        <f t="shared" si="39"/>
        <v>0</v>
      </c>
    </row>
    <row r="3180" spans="1:39" x14ac:dyDescent="0.35">
      <c r="A3180">
        <v>3176</v>
      </c>
      <c r="B3180">
        <v>3177</v>
      </c>
      <c r="F3180" s="63"/>
      <c r="G3180" s="63"/>
      <c r="H3180" t="s">
        <v>78</v>
      </c>
      <c r="I3180" s="64">
        <v>0</v>
      </c>
      <c r="J3180" s="31"/>
      <c r="K3180" s="31"/>
      <c r="L3180" s="31"/>
      <c r="M3180" s="31"/>
      <c r="N3180" s="4"/>
      <c r="AG3180" t="s">
        <v>2891</v>
      </c>
      <c r="AM3180" s="1">
        <f t="shared" ref="AM3180:AM3204" si="40">HYPERLINK("E:\CAFNEC_GBRF\2023\JohnstoneRiver\Frames_for_Analysis\" &amp; F3181, F3181)</f>
        <v>0</v>
      </c>
    </row>
    <row r="3181" spans="1:39" x14ac:dyDescent="0.35">
      <c r="A3181">
        <v>3177</v>
      </c>
      <c r="B3181">
        <v>3178</v>
      </c>
      <c r="F3181" s="63"/>
      <c r="G3181" s="63"/>
      <c r="H3181" t="s">
        <v>78</v>
      </c>
      <c r="I3181" s="64">
        <v>0</v>
      </c>
      <c r="J3181" s="31"/>
      <c r="K3181" s="31"/>
      <c r="L3181" s="31"/>
      <c r="M3181" s="31"/>
      <c r="N3181" s="4"/>
      <c r="AG3181" t="s">
        <v>2892</v>
      </c>
      <c r="AM3181" s="1">
        <f t="shared" si="40"/>
        <v>0</v>
      </c>
    </row>
    <row r="3182" spans="1:39" x14ac:dyDescent="0.35">
      <c r="A3182">
        <v>3178</v>
      </c>
      <c r="B3182">
        <v>3179</v>
      </c>
      <c r="F3182" s="63"/>
      <c r="G3182" s="63"/>
      <c r="H3182" t="s">
        <v>78</v>
      </c>
      <c r="I3182" s="64">
        <v>0</v>
      </c>
      <c r="J3182" s="31"/>
      <c r="K3182" s="31"/>
      <c r="L3182" s="31"/>
      <c r="M3182" s="31"/>
      <c r="N3182" s="4"/>
      <c r="AG3182" t="s">
        <v>2893</v>
      </c>
      <c r="AM3182" s="1">
        <f t="shared" si="40"/>
        <v>0</v>
      </c>
    </row>
    <row r="3183" spans="1:39" x14ac:dyDescent="0.35">
      <c r="A3183">
        <v>3179</v>
      </c>
      <c r="B3183">
        <v>3180</v>
      </c>
      <c r="F3183" s="63"/>
      <c r="G3183" s="63"/>
      <c r="H3183" t="s">
        <v>78</v>
      </c>
      <c r="I3183" s="64">
        <v>0</v>
      </c>
      <c r="J3183" s="31"/>
      <c r="K3183" s="31"/>
      <c r="L3183" s="31"/>
      <c r="M3183" s="31"/>
      <c r="N3183" s="4"/>
      <c r="AG3183" t="s">
        <v>2894</v>
      </c>
      <c r="AM3183" s="1">
        <f t="shared" si="40"/>
        <v>0</v>
      </c>
    </row>
    <row r="3184" spans="1:39" x14ac:dyDescent="0.35">
      <c r="A3184">
        <v>3180</v>
      </c>
      <c r="B3184">
        <v>3181</v>
      </c>
      <c r="F3184" s="63"/>
      <c r="G3184" s="63"/>
      <c r="H3184" t="s">
        <v>78</v>
      </c>
      <c r="I3184" s="64">
        <v>0</v>
      </c>
      <c r="J3184" s="31"/>
      <c r="K3184" s="31"/>
      <c r="L3184" s="31"/>
      <c r="M3184" s="31"/>
      <c r="N3184" s="4"/>
      <c r="AG3184" t="s">
        <v>2895</v>
      </c>
      <c r="AM3184" s="1">
        <f t="shared" si="40"/>
        <v>0</v>
      </c>
    </row>
    <row r="3185" spans="1:39" x14ac:dyDescent="0.35">
      <c r="A3185">
        <v>3181</v>
      </c>
      <c r="B3185">
        <v>3182</v>
      </c>
      <c r="F3185" s="63"/>
      <c r="G3185" s="63"/>
      <c r="H3185" t="s">
        <v>78</v>
      </c>
      <c r="I3185" s="64">
        <v>0</v>
      </c>
      <c r="J3185" s="31"/>
      <c r="K3185" s="31"/>
      <c r="L3185" s="31"/>
      <c r="M3185" s="31"/>
      <c r="N3185" s="4"/>
      <c r="AG3185" t="s">
        <v>2896</v>
      </c>
      <c r="AM3185" s="1">
        <f t="shared" si="40"/>
        <v>0</v>
      </c>
    </row>
    <row r="3186" spans="1:39" x14ac:dyDescent="0.35">
      <c r="A3186">
        <v>3182</v>
      </c>
      <c r="B3186">
        <v>3183</v>
      </c>
      <c r="F3186" s="63"/>
      <c r="G3186" s="63"/>
      <c r="H3186" t="s">
        <v>78</v>
      </c>
      <c r="I3186" s="64">
        <v>0</v>
      </c>
      <c r="J3186" s="31"/>
      <c r="K3186" s="31"/>
      <c r="L3186" s="31"/>
      <c r="M3186" s="31"/>
      <c r="N3186" s="4"/>
      <c r="AG3186" t="s">
        <v>2897</v>
      </c>
      <c r="AM3186" s="1">
        <f t="shared" si="40"/>
        <v>0</v>
      </c>
    </row>
    <row r="3187" spans="1:39" x14ac:dyDescent="0.35">
      <c r="A3187">
        <v>3183</v>
      </c>
      <c r="B3187">
        <v>3184</v>
      </c>
      <c r="F3187" s="63"/>
      <c r="G3187" s="63"/>
      <c r="H3187" t="s">
        <v>78</v>
      </c>
      <c r="I3187" s="64">
        <v>0</v>
      </c>
      <c r="J3187" s="31"/>
      <c r="K3187" s="31"/>
      <c r="L3187" s="31"/>
      <c r="M3187" s="31"/>
      <c r="N3187" s="4"/>
      <c r="AG3187" t="s">
        <v>2898</v>
      </c>
      <c r="AM3187" s="1">
        <f t="shared" si="40"/>
        <v>0</v>
      </c>
    </row>
    <row r="3188" spans="1:39" x14ac:dyDescent="0.35">
      <c r="A3188">
        <v>3184</v>
      </c>
      <c r="B3188">
        <v>3185</v>
      </c>
      <c r="F3188" s="63"/>
      <c r="G3188" s="63"/>
      <c r="H3188" t="s">
        <v>78</v>
      </c>
      <c r="I3188" s="64">
        <v>0</v>
      </c>
      <c r="J3188" s="31"/>
      <c r="K3188" s="31"/>
      <c r="L3188" s="31"/>
      <c r="M3188" s="31"/>
      <c r="N3188" s="4"/>
      <c r="AG3188" t="s">
        <v>2899</v>
      </c>
      <c r="AM3188" s="1">
        <f t="shared" si="40"/>
        <v>0</v>
      </c>
    </row>
    <row r="3189" spans="1:39" x14ac:dyDescent="0.35">
      <c r="A3189">
        <v>3185</v>
      </c>
      <c r="B3189">
        <v>3186</v>
      </c>
      <c r="F3189" s="63"/>
      <c r="G3189" s="63"/>
      <c r="H3189" t="s">
        <v>78</v>
      </c>
      <c r="I3189" s="64">
        <v>0</v>
      </c>
      <c r="J3189" s="31"/>
      <c r="K3189" s="31"/>
      <c r="L3189" s="31"/>
      <c r="M3189" s="31"/>
      <c r="N3189" s="4"/>
      <c r="AG3189" t="s">
        <v>2900</v>
      </c>
      <c r="AM3189" s="1">
        <f t="shared" si="40"/>
        <v>0</v>
      </c>
    </row>
    <row r="3190" spans="1:39" x14ac:dyDescent="0.35">
      <c r="A3190">
        <v>3186</v>
      </c>
      <c r="B3190">
        <v>3187</v>
      </c>
      <c r="F3190" s="63"/>
      <c r="G3190" s="63"/>
      <c r="H3190" t="s">
        <v>78</v>
      </c>
      <c r="I3190" s="64">
        <v>0</v>
      </c>
      <c r="J3190" s="31"/>
      <c r="K3190" s="31"/>
      <c r="L3190" s="31"/>
      <c r="M3190" s="31"/>
      <c r="N3190" s="4"/>
      <c r="AG3190" t="s">
        <v>2901</v>
      </c>
      <c r="AM3190" s="1">
        <f t="shared" si="40"/>
        <v>0</v>
      </c>
    </row>
    <row r="3191" spans="1:39" x14ac:dyDescent="0.35">
      <c r="A3191">
        <v>3187</v>
      </c>
      <c r="B3191">
        <v>3188</v>
      </c>
      <c r="F3191" s="63"/>
      <c r="G3191" s="63"/>
      <c r="H3191" t="s">
        <v>78</v>
      </c>
      <c r="I3191" s="64">
        <v>0</v>
      </c>
      <c r="J3191" s="31"/>
      <c r="K3191" s="31"/>
      <c r="L3191" s="31"/>
      <c r="M3191" s="31"/>
      <c r="N3191" s="4"/>
      <c r="AG3191" t="s">
        <v>2902</v>
      </c>
      <c r="AM3191" s="1">
        <f t="shared" si="40"/>
        <v>0</v>
      </c>
    </row>
    <row r="3192" spans="1:39" x14ac:dyDescent="0.35">
      <c r="A3192">
        <v>3188</v>
      </c>
      <c r="B3192">
        <v>3189</v>
      </c>
      <c r="F3192" s="63"/>
      <c r="G3192" s="63"/>
      <c r="H3192" t="s">
        <v>78</v>
      </c>
      <c r="I3192" s="64">
        <v>0</v>
      </c>
      <c r="J3192" s="31"/>
      <c r="K3192" s="31"/>
      <c r="L3192" s="31"/>
      <c r="M3192" s="31"/>
      <c r="N3192" s="4"/>
      <c r="AG3192" t="s">
        <v>2903</v>
      </c>
      <c r="AM3192" s="1">
        <f t="shared" si="40"/>
        <v>0</v>
      </c>
    </row>
    <row r="3193" spans="1:39" x14ac:dyDescent="0.35">
      <c r="A3193">
        <v>3189</v>
      </c>
      <c r="B3193">
        <v>3190</v>
      </c>
      <c r="F3193" s="63"/>
      <c r="G3193" s="63"/>
      <c r="H3193" t="s">
        <v>78</v>
      </c>
      <c r="I3193" s="64">
        <v>0</v>
      </c>
      <c r="J3193" s="31"/>
      <c r="K3193" s="31"/>
      <c r="L3193" s="31"/>
      <c r="M3193" s="31"/>
      <c r="N3193" s="4"/>
      <c r="AG3193" t="s">
        <v>2904</v>
      </c>
      <c r="AM3193" s="1">
        <f t="shared" si="40"/>
        <v>0</v>
      </c>
    </row>
    <row r="3194" spans="1:39" x14ac:dyDescent="0.35">
      <c r="A3194">
        <v>3190</v>
      </c>
      <c r="B3194">
        <v>3191</v>
      </c>
      <c r="F3194" s="63"/>
      <c r="G3194" s="63"/>
      <c r="H3194" t="s">
        <v>78</v>
      </c>
      <c r="I3194" s="64">
        <v>0</v>
      </c>
      <c r="J3194" s="31"/>
      <c r="K3194" s="31"/>
      <c r="L3194" s="31"/>
      <c r="M3194" s="31"/>
      <c r="N3194" s="4"/>
      <c r="AG3194" t="s">
        <v>2905</v>
      </c>
      <c r="AM3194" s="1">
        <f t="shared" si="40"/>
        <v>0</v>
      </c>
    </row>
    <row r="3195" spans="1:39" x14ac:dyDescent="0.35">
      <c r="A3195">
        <v>3191</v>
      </c>
      <c r="B3195">
        <v>3192</v>
      </c>
      <c r="F3195" s="63"/>
      <c r="G3195" s="63"/>
      <c r="H3195" t="s">
        <v>78</v>
      </c>
      <c r="I3195" s="64">
        <v>0</v>
      </c>
      <c r="J3195" s="31"/>
      <c r="K3195" s="31"/>
      <c r="L3195" s="31"/>
      <c r="M3195" s="31"/>
      <c r="N3195" s="4"/>
      <c r="AG3195" t="s">
        <v>2906</v>
      </c>
      <c r="AM3195" s="1">
        <f t="shared" si="40"/>
        <v>0</v>
      </c>
    </row>
    <row r="3196" spans="1:39" x14ac:dyDescent="0.35">
      <c r="A3196">
        <v>3192</v>
      </c>
      <c r="B3196">
        <v>3193</v>
      </c>
      <c r="F3196" s="63"/>
      <c r="G3196" s="63"/>
      <c r="H3196" t="s">
        <v>78</v>
      </c>
      <c r="I3196" s="64">
        <v>0</v>
      </c>
      <c r="J3196" s="31"/>
      <c r="K3196" s="31"/>
      <c r="L3196" s="31"/>
      <c r="M3196" s="31"/>
      <c r="N3196" s="4"/>
      <c r="AG3196" t="s">
        <v>2907</v>
      </c>
      <c r="AM3196" s="1">
        <f t="shared" si="40"/>
        <v>0</v>
      </c>
    </row>
    <row r="3197" spans="1:39" x14ac:dyDescent="0.35">
      <c r="A3197">
        <v>3193</v>
      </c>
      <c r="B3197">
        <v>3194</v>
      </c>
      <c r="F3197" s="63"/>
      <c r="G3197" s="63"/>
      <c r="H3197" t="s">
        <v>26</v>
      </c>
      <c r="I3197" s="64"/>
      <c r="J3197" s="31"/>
      <c r="K3197" s="31"/>
      <c r="L3197" s="31"/>
      <c r="M3197" s="31"/>
      <c r="N3197" s="4"/>
      <c r="AG3197" t="s">
        <v>2908</v>
      </c>
      <c r="AM3197" s="1">
        <f t="shared" si="40"/>
        <v>0</v>
      </c>
    </row>
    <row r="3198" spans="1:39" x14ac:dyDescent="0.35">
      <c r="A3198">
        <v>3194</v>
      </c>
      <c r="B3198">
        <v>3195</v>
      </c>
      <c r="F3198" s="63"/>
      <c r="G3198" s="63"/>
      <c r="H3198" t="s">
        <v>26</v>
      </c>
      <c r="I3198" s="64"/>
      <c r="J3198" s="31"/>
      <c r="K3198" s="31"/>
      <c r="L3198" s="31"/>
      <c r="M3198" s="31"/>
      <c r="N3198" s="4"/>
      <c r="AG3198" t="s">
        <v>2909</v>
      </c>
      <c r="AM3198" s="1">
        <f t="shared" si="40"/>
        <v>0</v>
      </c>
    </row>
    <row r="3199" spans="1:39" x14ac:dyDescent="0.35">
      <c r="A3199">
        <v>3195</v>
      </c>
      <c r="B3199">
        <v>3196</v>
      </c>
      <c r="F3199" s="63"/>
      <c r="G3199" s="63"/>
      <c r="H3199" t="s">
        <v>26</v>
      </c>
      <c r="I3199" s="64"/>
      <c r="J3199" s="31"/>
      <c r="K3199" s="31"/>
      <c r="L3199" s="31"/>
      <c r="M3199" s="31"/>
      <c r="N3199" s="4"/>
      <c r="AG3199" t="s">
        <v>2910</v>
      </c>
      <c r="AM3199" s="1">
        <f t="shared" si="40"/>
        <v>0</v>
      </c>
    </row>
    <row r="3200" spans="1:39" x14ac:dyDescent="0.35">
      <c r="A3200">
        <v>3196</v>
      </c>
      <c r="B3200">
        <v>3197</v>
      </c>
      <c r="F3200" s="63"/>
      <c r="G3200" s="63"/>
      <c r="H3200" t="s">
        <v>26</v>
      </c>
      <c r="I3200" s="64"/>
      <c r="J3200" s="31"/>
      <c r="K3200" s="31"/>
      <c r="L3200" s="31"/>
      <c r="M3200" s="31"/>
      <c r="N3200" s="4"/>
      <c r="AG3200" t="s">
        <v>2911</v>
      </c>
      <c r="AM3200" s="1">
        <f t="shared" si="40"/>
        <v>0</v>
      </c>
    </row>
    <row r="3201" spans="1:39" x14ac:dyDescent="0.35">
      <c r="A3201">
        <v>3197</v>
      </c>
      <c r="B3201">
        <v>3198</v>
      </c>
      <c r="F3201" s="63"/>
      <c r="G3201" s="63"/>
      <c r="H3201" t="s">
        <v>26</v>
      </c>
      <c r="I3201" s="64"/>
      <c r="J3201" s="31"/>
      <c r="K3201" s="31"/>
      <c r="L3201" s="31"/>
      <c r="M3201" s="31"/>
      <c r="N3201" s="4"/>
      <c r="AG3201" t="s">
        <v>2912</v>
      </c>
      <c r="AM3201" s="1">
        <f t="shared" si="40"/>
        <v>0</v>
      </c>
    </row>
    <row r="3202" spans="1:39" x14ac:dyDescent="0.35">
      <c r="A3202">
        <v>3198</v>
      </c>
      <c r="B3202">
        <v>3199</v>
      </c>
      <c r="F3202" s="63"/>
      <c r="G3202" s="63"/>
      <c r="H3202" t="s">
        <v>26</v>
      </c>
      <c r="I3202" s="64"/>
      <c r="J3202" s="31"/>
      <c r="K3202" s="31"/>
      <c r="L3202" s="31"/>
      <c r="M3202" s="31"/>
      <c r="N3202" s="4"/>
      <c r="AG3202" t="s">
        <v>2913</v>
      </c>
      <c r="AM3202" s="1">
        <f t="shared" si="40"/>
        <v>0</v>
      </c>
    </row>
    <row r="3203" spans="1:39" x14ac:dyDescent="0.35">
      <c r="A3203">
        <v>3199</v>
      </c>
      <c r="B3203">
        <v>3200</v>
      </c>
      <c r="F3203" s="63"/>
      <c r="G3203" s="63"/>
      <c r="H3203" t="s">
        <v>26</v>
      </c>
      <c r="I3203" s="64"/>
      <c r="J3203" s="31"/>
      <c r="K3203" s="31"/>
      <c r="L3203" s="31"/>
      <c r="M3203" s="31"/>
      <c r="N3203" s="4"/>
      <c r="AG3203" t="s">
        <v>2914</v>
      </c>
      <c r="AM3203" s="1">
        <f t="shared" si="40"/>
        <v>0</v>
      </c>
    </row>
    <row r="3204" spans="1:39" x14ac:dyDescent="0.35">
      <c r="A3204">
        <v>3200</v>
      </c>
      <c r="B3204">
        <v>3201</v>
      </c>
      <c r="F3204" s="63"/>
      <c r="G3204" s="63"/>
      <c r="H3204" t="s">
        <v>26</v>
      </c>
      <c r="I3204" s="64"/>
      <c r="J3204" s="31"/>
      <c r="K3204" s="31"/>
      <c r="L3204" s="31"/>
      <c r="M3204" s="31"/>
      <c r="N3204" s="4"/>
      <c r="AG3204" t="s">
        <v>2915</v>
      </c>
      <c r="AM3204" s="1">
        <f t="shared" si="40"/>
        <v>0</v>
      </c>
    </row>
    <row r="3205" spans="1:39" x14ac:dyDescent="0.35">
      <c r="A3205">
        <v>3201</v>
      </c>
      <c r="B3205">
        <v>3202</v>
      </c>
      <c r="F3205" s="63"/>
      <c r="G3205" s="63"/>
      <c r="H3205" t="s">
        <v>26</v>
      </c>
      <c r="I3205" s="64"/>
      <c r="J3205" s="31"/>
      <c r="K3205" s="31"/>
      <c r="L3205" s="31"/>
      <c r="M3205" s="31"/>
      <c r="N3205" s="4"/>
      <c r="AG3205" t="s">
        <v>2916</v>
      </c>
      <c r="AM3205" s="1"/>
    </row>
    <row r="3206" spans="1:39" x14ac:dyDescent="0.35">
      <c r="A3206">
        <v>3202</v>
      </c>
      <c r="B3206">
        <v>3203</v>
      </c>
      <c r="F3206" s="63"/>
      <c r="G3206" s="63"/>
      <c r="H3206" t="s">
        <v>26</v>
      </c>
      <c r="I3206" s="64"/>
      <c r="J3206" s="31"/>
      <c r="K3206" s="31"/>
      <c r="L3206" s="31"/>
      <c r="M3206" s="31"/>
      <c r="N3206" s="4"/>
      <c r="AG3206" t="s">
        <v>2917</v>
      </c>
      <c r="AM3206" s="1"/>
    </row>
    <row r="3207" spans="1:39" x14ac:dyDescent="0.35">
      <c r="A3207">
        <v>3203</v>
      </c>
      <c r="B3207">
        <v>3204</v>
      </c>
      <c r="F3207" s="63"/>
      <c r="G3207" s="63"/>
      <c r="H3207" t="s">
        <v>26</v>
      </c>
      <c r="I3207" s="64"/>
      <c r="J3207" s="31"/>
      <c r="K3207" s="31"/>
      <c r="L3207" s="31"/>
      <c r="M3207" s="31"/>
      <c r="N3207" s="4"/>
      <c r="AG3207" t="s">
        <v>2918</v>
      </c>
      <c r="AM3207" s="1"/>
    </row>
    <row r="3208" spans="1:39" x14ac:dyDescent="0.35">
      <c r="A3208">
        <v>3204</v>
      </c>
      <c r="B3208">
        <v>3205</v>
      </c>
      <c r="F3208" s="63"/>
      <c r="G3208" s="63"/>
      <c r="H3208" t="s">
        <v>26</v>
      </c>
      <c r="I3208" s="64"/>
      <c r="J3208" s="31"/>
      <c r="K3208" s="31"/>
      <c r="L3208" s="31"/>
      <c r="M3208" s="31"/>
      <c r="N3208" s="4"/>
      <c r="AG3208" t="s">
        <v>2919</v>
      </c>
      <c r="AM3208" s="1"/>
    </row>
    <row r="3209" spans="1:39" x14ac:dyDescent="0.35">
      <c r="A3209">
        <v>3205</v>
      </c>
      <c r="B3209">
        <v>3206</v>
      </c>
      <c r="F3209" s="63"/>
      <c r="G3209" s="63"/>
      <c r="H3209" t="s">
        <v>26</v>
      </c>
      <c r="I3209" s="64"/>
      <c r="J3209" s="31"/>
      <c r="K3209" s="31"/>
      <c r="L3209" s="31"/>
      <c r="M3209" s="31"/>
      <c r="N3209" s="4"/>
      <c r="AG3209" t="s">
        <v>2920</v>
      </c>
      <c r="AM3209" s="1"/>
    </row>
    <row r="3210" spans="1:39" x14ac:dyDescent="0.35">
      <c r="A3210">
        <v>3206</v>
      </c>
      <c r="B3210">
        <v>3207</v>
      </c>
      <c r="F3210" s="63"/>
      <c r="G3210" s="63"/>
      <c r="H3210" t="s">
        <v>26</v>
      </c>
      <c r="I3210" s="64"/>
      <c r="J3210" s="31"/>
      <c r="K3210" s="31"/>
      <c r="L3210" s="31"/>
      <c r="M3210" s="31"/>
      <c r="N3210" s="4"/>
      <c r="AG3210" t="s">
        <v>2921</v>
      </c>
      <c r="AM3210" s="1"/>
    </row>
    <row r="3211" spans="1:39" x14ac:dyDescent="0.35">
      <c r="A3211">
        <v>3207</v>
      </c>
      <c r="B3211">
        <v>3208</v>
      </c>
      <c r="F3211" s="63"/>
      <c r="G3211" s="63"/>
      <c r="H3211" t="s">
        <v>26</v>
      </c>
      <c r="I3211" s="64"/>
      <c r="J3211" s="31"/>
      <c r="K3211" s="31"/>
      <c r="L3211" s="31"/>
      <c r="M3211" s="31"/>
      <c r="N3211" s="4"/>
      <c r="AG3211" t="s">
        <v>2922</v>
      </c>
      <c r="AM3211" s="1"/>
    </row>
    <row r="3212" spans="1:39" x14ac:dyDescent="0.35">
      <c r="A3212">
        <v>3208</v>
      </c>
      <c r="B3212">
        <v>3209</v>
      </c>
      <c r="F3212" s="63"/>
      <c r="G3212" s="63"/>
      <c r="H3212" t="s">
        <v>26</v>
      </c>
      <c r="I3212" s="64"/>
      <c r="J3212" s="31"/>
      <c r="K3212" s="31"/>
      <c r="L3212" s="31"/>
      <c r="M3212" s="31"/>
      <c r="N3212" s="4"/>
      <c r="AG3212" t="s">
        <v>2923</v>
      </c>
      <c r="AM3212" s="1"/>
    </row>
    <row r="3213" spans="1:39" x14ac:dyDescent="0.35">
      <c r="A3213">
        <v>3209</v>
      </c>
      <c r="B3213">
        <v>3210</v>
      </c>
      <c r="F3213" s="63"/>
      <c r="G3213" s="63"/>
      <c r="H3213" t="s">
        <v>26</v>
      </c>
      <c r="I3213" s="64"/>
      <c r="J3213" s="31"/>
      <c r="K3213" s="31"/>
      <c r="L3213" s="31"/>
      <c r="M3213" s="31"/>
      <c r="N3213" s="4"/>
      <c r="AG3213" t="s">
        <v>2924</v>
      </c>
      <c r="AM3213" s="1"/>
    </row>
    <row r="3214" spans="1:39" x14ac:dyDescent="0.35">
      <c r="A3214">
        <v>3210</v>
      </c>
      <c r="B3214">
        <v>3211</v>
      </c>
      <c r="F3214" s="63"/>
      <c r="G3214" s="63"/>
      <c r="H3214" t="s">
        <v>26</v>
      </c>
      <c r="I3214" s="64"/>
      <c r="J3214" s="31"/>
      <c r="K3214" s="31"/>
      <c r="L3214" s="31"/>
      <c r="M3214" s="31"/>
      <c r="N3214" s="4"/>
      <c r="AG3214" t="s">
        <v>2925</v>
      </c>
      <c r="AM3214" s="1"/>
    </row>
    <row r="3215" spans="1:39" x14ac:dyDescent="0.35">
      <c r="A3215">
        <v>3211</v>
      </c>
      <c r="B3215">
        <v>3212</v>
      </c>
      <c r="F3215" s="63"/>
      <c r="G3215" s="63"/>
      <c r="H3215" t="s">
        <v>26</v>
      </c>
      <c r="I3215" s="64"/>
      <c r="J3215" s="31"/>
      <c r="K3215" s="31"/>
      <c r="L3215" s="31"/>
      <c r="M3215" s="31"/>
      <c r="N3215" s="4"/>
      <c r="AG3215" t="s">
        <v>2926</v>
      </c>
      <c r="AM3215" s="1"/>
    </row>
    <row r="3216" spans="1:39" x14ac:dyDescent="0.35">
      <c r="A3216">
        <v>3212</v>
      </c>
      <c r="B3216">
        <v>3213</v>
      </c>
      <c r="F3216" s="63"/>
      <c r="G3216" s="63"/>
      <c r="H3216" t="s">
        <v>26</v>
      </c>
      <c r="I3216" s="64"/>
      <c r="J3216" s="31"/>
      <c r="K3216" s="31"/>
      <c r="L3216" s="31"/>
      <c r="M3216" s="31"/>
      <c r="N3216" s="4"/>
      <c r="AG3216" t="s">
        <v>2927</v>
      </c>
      <c r="AM3216" s="1"/>
    </row>
    <row r="3217" spans="1:39" x14ac:dyDescent="0.35">
      <c r="A3217">
        <v>3213</v>
      </c>
      <c r="B3217">
        <v>3214</v>
      </c>
      <c r="F3217" s="63"/>
      <c r="G3217" s="63"/>
      <c r="H3217" t="s">
        <v>26</v>
      </c>
      <c r="I3217" s="64"/>
      <c r="J3217" s="31"/>
      <c r="K3217" s="31"/>
      <c r="L3217" s="31"/>
      <c r="M3217" s="31"/>
      <c r="N3217" s="4"/>
      <c r="AG3217" t="s">
        <v>2928</v>
      </c>
      <c r="AM3217" s="1"/>
    </row>
    <row r="3218" spans="1:39" x14ac:dyDescent="0.35">
      <c r="A3218">
        <v>3214</v>
      </c>
      <c r="B3218">
        <v>3215</v>
      </c>
      <c r="F3218" s="63"/>
      <c r="G3218" s="63"/>
      <c r="H3218" t="s">
        <v>26</v>
      </c>
      <c r="I3218" s="64"/>
      <c r="J3218" s="31"/>
      <c r="K3218" s="31"/>
      <c r="L3218" s="31"/>
      <c r="M3218" s="31"/>
      <c r="N3218" s="4"/>
      <c r="AG3218" t="s">
        <v>2929</v>
      </c>
      <c r="AM3218" s="1"/>
    </row>
    <row r="3219" spans="1:39" x14ac:dyDescent="0.35">
      <c r="A3219">
        <v>3215</v>
      </c>
      <c r="B3219">
        <v>3216</v>
      </c>
      <c r="F3219" s="63"/>
      <c r="G3219" s="63"/>
      <c r="H3219" t="s">
        <v>26</v>
      </c>
      <c r="I3219" s="64"/>
      <c r="J3219" s="31"/>
      <c r="K3219" s="31"/>
      <c r="L3219" s="31"/>
      <c r="M3219" s="31"/>
      <c r="N3219" s="4"/>
      <c r="AG3219" t="s">
        <v>2930</v>
      </c>
      <c r="AM3219" s="1"/>
    </row>
    <row r="3220" spans="1:39" x14ac:dyDescent="0.35">
      <c r="A3220">
        <v>3216</v>
      </c>
      <c r="B3220">
        <v>3217</v>
      </c>
      <c r="F3220" s="63"/>
      <c r="G3220" s="63"/>
      <c r="H3220" t="s">
        <v>26</v>
      </c>
      <c r="I3220" s="64"/>
      <c r="J3220" s="31"/>
      <c r="K3220" s="31"/>
      <c r="L3220" s="31"/>
      <c r="M3220" s="31"/>
      <c r="N3220" s="4"/>
      <c r="AG3220" t="s">
        <v>2931</v>
      </c>
      <c r="AM3220" s="1"/>
    </row>
    <row r="3221" spans="1:39" x14ac:dyDescent="0.35">
      <c r="A3221">
        <v>3217</v>
      </c>
      <c r="B3221">
        <v>3218</v>
      </c>
      <c r="F3221" s="63"/>
      <c r="G3221" s="63"/>
      <c r="H3221" t="s">
        <v>26</v>
      </c>
      <c r="I3221" s="64"/>
      <c r="J3221" s="31"/>
      <c r="K3221" s="31"/>
      <c r="L3221" s="31"/>
      <c r="M3221" s="31"/>
      <c r="N3221" s="4"/>
      <c r="AG3221" t="s">
        <v>2932</v>
      </c>
      <c r="AM3221" s="1"/>
    </row>
    <row r="3222" spans="1:39" x14ac:dyDescent="0.35">
      <c r="A3222">
        <v>3218</v>
      </c>
      <c r="B3222">
        <v>3219</v>
      </c>
      <c r="F3222" s="63"/>
      <c r="G3222" s="63"/>
      <c r="H3222" t="s">
        <v>26</v>
      </c>
      <c r="I3222" s="64"/>
      <c r="J3222" s="31"/>
      <c r="K3222" s="31"/>
      <c r="L3222" s="31"/>
      <c r="M3222" s="31"/>
      <c r="N3222" s="4"/>
      <c r="AG3222" t="s">
        <v>2933</v>
      </c>
      <c r="AM3222" s="1"/>
    </row>
    <row r="3223" spans="1:39" x14ac:dyDescent="0.35">
      <c r="A3223">
        <v>3219</v>
      </c>
      <c r="B3223">
        <v>3220</v>
      </c>
      <c r="F3223" s="63"/>
      <c r="G3223" s="63"/>
      <c r="H3223" t="s">
        <v>26</v>
      </c>
      <c r="I3223" s="64"/>
      <c r="J3223" s="31"/>
      <c r="K3223" s="31"/>
      <c r="L3223" s="31"/>
      <c r="M3223" s="31"/>
      <c r="N3223" s="4"/>
      <c r="AG3223" t="s">
        <v>2934</v>
      </c>
      <c r="AM3223" s="1"/>
    </row>
    <row r="3224" spans="1:39" x14ac:dyDescent="0.35">
      <c r="A3224">
        <v>3220</v>
      </c>
      <c r="B3224">
        <v>3221</v>
      </c>
      <c r="F3224" s="63"/>
      <c r="G3224" s="63"/>
      <c r="H3224" t="s">
        <v>26</v>
      </c>
      <c r="I3224" s="64"/>
      <c r="J3224" s="31"/>
      <c r="K3224" s="31"/>
      <c r="L3224" s="31"/>
      <c r="M3224" s="31"/>
      <c r="N3224" s="4"/>
      <c r="AG3224" t="s">
        <v>2935</v>
      </c>
      <c r="AM3224" s="1"/>
    </row>
    <row r="3225" spans="1:39" x14ac:dyDescent="0.35">
      <c r="A3225">
        <v>3221</v>
      </c>
      <c r="B3225">
        <v>3222</v>
      </c>
      <c r="F3225" s="63"/>
      <c r="G3225" s="63"/>
      <c r="H3225" t="s">
        <v>26</v>
      </c>
      <c r="I3225" s="64"/>
      <c r="J3225" s="31"/>
      <c r="K3225" s="31"/>
      <c r="L3225" s="31"/>
      <c r="M3225" s="31"/>
      <c r="N3225" s="4"/>
      <c r="AG3225" t="s">
        <v>2936</v>
      </c>
      <c r="AM3225" s="1"/>
    </row>
    <row r="3226" spans="1:39" x14ac:dyDescent="0.35">
      <c r="A3226">
        <v>3222</v>
      </c>
      <c r="B3226">
        <v>3223</v>
      </c>
      <c r="F3226" s="63"/>
      <c r="G3226" s="63"/>
      <c r="H3226" t="s">
        <v>26</v>
      </c>
      <c r="I3226" s="64"/>
      <c r="J3226" s="31"/>
      <c r="K3226" s="31"/>
      <c r="L3226" s="31"/>
      <c r="M3226" s="31"/>
      <c r="N3226" s="4"/>
      <c r="AG3226" t="s">
        <v>2937</v>
      </c>
      <c r="AM3226" s="1"/>
    </row>
    <row r="3227" spans="1:39" x14ac:dyDescent="0.35">
      <c r="A3227">
        <v>3223</v>
      </c>
      <c r="B3227">
        <v>3224</v>
      </c>
      <c r="F3227" s="63"/>
      <c r="G3227" s="63"/>
      <c r="H3227" t="s">
        <v>26</v>
      </c>
      <c r="I3227" s="64"/>
      <c r="J3227" s="31"/>
      <c r="K3227" s="31"/>
      <c r="L3227" s="31"/>
      <c r="M3227" s="31"/>
      <c r="N3227" s="4"/>
      <c r="AG3227" t="s">
        <v>2938</v>
      </c>
      <c r="AM3227" s="1"/>
    </row>
    <row r="3228" spans="1:39" x14ac:dyDescent="0.35">
      <c r="A3228">
        <v>3224</v>
      </c>
      <c r="B3228">
        <v>3225</v>
      </c>
      <c r="F3228" s="63"/>
      <c r="G3228" s="63"/>
      <c r="H3228" t="s">
        <v>26</v>
      </c>
      <c r="I3228" s="64"/>
      <c r="J3228" s="31"/>
      <c r="K3228" s="31"/>
      <c r="L3228" s="31"/>
      <c r="M3228" s="31"/>
      <c r="N3228" s="4"/>
      <c r="AG3228" t="s">
        <v>2939</v>
      </c>
      <c r="AM3228" s="1"/>
    </row>
    <row r="3229" spans="1:39" x14ac:dyDescent="0.35">
      <c r="A3229">
        <v>3225</v>
      </c>
      <c r="B3229">
        <v>3226</v>
      </c>
      <c r="F3229" s="63"/>
      <c r="G3229" s="63"/>
      <c r="H3229" t="s">
        <v>26</v>
      </c>
      <c r="I3229" s="64"/>
      <c r="J3229" s="31"/>
      <c r="K3229" s="31"/>
      <c r="L3229" s="31"/>
      <c r="M3229" s="31"/>
      <c r="N3229" s="4"/>
      <c r="AG3229" t="s">
        <v>2940</v>
      </c>
      <c r="AM3229" s="1"/>
    </row>
    <row r="3230" spans="1:39" x14ac:dyDescent="0.35">
      <c r="A3230">
        <v>3226</v>
      </c>
      <c r="B3230">
        <v>3227</v>
      </c>
      <c r="F3230" s="63"/>
      <c r="G3230" s="63"/>
      <c r="H3230" t="s">
        <v>26</v>
      </c>
      <c r="I3230" s="64"/>
      <c r="J3230" s="31"/>
      <c r="K3230" s="31"/>
      <c r="L3230" s="31"/>
      <c r="M3230" s="31"/>
      <c r="N3230" s="4"/>
      <c r="AG3230" t="s">
        <v>2941</v>
      </c>
      <c r="AM3230" s="1"/>
    </row>
    <row r="3231" spans="1:39" x14ac:dyDescent="0.35">
      <c r="A3231">
        <v>3227</v>
      </c>
      <c r="B3231">
        <v>3228</v>
      </c>
      <c r="F3231" s="63"/>
      <c r="G3231" s="63"/>
      <c r="H3231" t="s">
        <v>26</v>
      </c>
      <c r="I3231" s="64"/>
      <c r="J3231" s="31"/>
      <c r="K3231" s="31"/>
      <c r="L3231" s="31"/>
      <c r="M3231" s="31"/>
      <c r="N3231" s="4"/>
      <c r="AG3231" t="s">
        <v>2942</v>
      </c>
      <c r="AM3231" s="1"/>
    </row>
    <row r="3232" spans="1:39" x14ac:dyDescent="0.35">
      <c r="A3232">
        <v>3228</v>
      </c>
      <c r="B3232">
        <v>3229</v>
      </c>
      <c r="F3232" s="63"/>
      <c r="G3232" s="63"/>
      <c r="H3232" t="s">
        <v>26</v>
      </c>
      <c r="I3232" s="64"/>
      <c r="J3232" s="31"/>
      <c r="K3232" s="31"/>
      <c r="L3232" s="31"/>
      <c r="M3232" s="31"/>
      <c r="N3232" s="4"/>
      <c r="AG3232" t="s">
        <v>2943</v>
      </c>
      <c r="AM3232" s="1"/>
    </row>
    <row r="3233" spans="1:39" x14ac:dyDescent="0.35">
      <c r="A3233">
        <v>3229</v>
      </c>
      <c r="B3233">
        <v>3230</v>
      </c>
      <c r="F3233" s="63"/>
      <c r="G3233" s="63"/>
      <c r="H3233" t="s">
        <v>26</v>
      </c>
      <c r="I3233" s="64"/>
      <c r="J3233" s="31"/>
      <c r="K3233" s="31"/>
      <c r="L3233" s="31"/>
      <c r="M3233" s="31"/>
      <c r="N3233" s="4"/>
      <c r="AG3233" t="s">
        <v>2944</v>
      </c>
      <c r="AM3233" s="1"/>
    </row>
    <row r="3234" spans="1:39" x14ac:dyDescent="0.35">
      <c r="A3234">
        <v>3230</v>
      </c>
      <c r="B3234">
        <v>3231</v>
      </c>
      <c r="F3234" s="63"/>
      <c r="G3234" s="63"/>
      <c r="H3234" t="s">
        <v>26</v>
      </c>
      <c r="I3234" s="64"/>
      <c r="J3234" s="31"/>
      <c r="K3234" s="31"/>
      <c r="L3234" s="31"/>
      <c r="M3234" s="31"/>
      <c r="N3234" s="4"/>
      <c r="AG3234" t="s">
        <v>2945</v>
      </c>
      <c r="AM3234" s="1"/>
    </row>
    <row r="3235" spans="1:39" x14ac:dyDescent="0.35">
      <c r="A3235">
        <v>3231</v>
      </c>
      <c r="B3235">
        <v>3232</v>
      </c>
      <c r="F3235" s="63"/>
      <c r="G3235" s="63"/>
      <c r="H3235" t="s">
        <v>26</v>
      </c>
      <c r="I3235" s="64"/>
      <c r="J3235" s="31"/>
      <c r="K3235" s="31"/>
      <c r="L3235" s="31"/>
      <c r="M3235" s="31"/>
      <c r="N3235" s="4"/>
      <c r="AG3235" t="s">
        <v>2946</v>
      </c>
      <c r="AM3235" s="1"/>
    </row>
    <row r="3236" spans="1:39" x14ac:dyDescent="0.35">
      <c r="A3236">
        <v>3232</v>
      </c>
      <c r="B3236">
        <v>3233</v>
      </c>
      <c r="F3236" s="63"/>
      <c r="G3236" s="63"/>
      <c r="H3236" t="s">
        <v>26</v>
      </c>
      <c r="I3236" s="64"/>
      <c r="J3236" s="31"/>
      <c r="K3236" s="31"/>
      <c r="L3236" s="31"/>
      <c r="M3236" s="31"/>
      <c r="N3236" s="4"/>
      <c r="AG3236" t="s">
        <v>2947</v>
      </c>
      <c r="AM3236" s="1"/>
    </row>
    <row r="3237" spans="1:39" x14ac:dyDescent="0.35">
      <c r="A3237">
        <v>3233</v>
      </c>
      <c r="B3237">
        <v>3234</v>
      </c>
      <c r="F3237" s="63"/>
      <c r="G3237" s="63"/>
      <c r="H3237" t="s">
        <v>26</v>
      </c>
      <c r="I3237" s="64"/>
      <c r="J3237" s="31"/>
      <c r="K3237" s="31"/>
      <c r="L3237" s="31"/>
      <c r="M3237" s="31"/>
      <c r="N3237" s="4"/>
      <c r="AG3237" t="s">
        <v>2948</v>
      </c>
      <c r="AM3237" s="1"/>
    </row>
    <row r="3238" spans="1:39" x14ac:dyDescent="0.35">
      <c r="A3238">
        <v>3234</v>
      </c>
      <c r="B3238">
        <v>3235</v>
      </c>
      <c r="F3238" s="63"/>
      <c r="G3238" s="63"/>
      <c r="H3238" t="s">
        <v>26</v>
      </c>
      <c r="I3238" s="64"/>
      <c r="J3238" s="31"/>
      <c r="K3238" s="31"/>
      <c r="L3238" s="31"/>
      <c r="M3238" s="31"/>
      <c r="N3238" s="4"/>
      <c r="AG3238" t="s">
        <v>2949</v>
      </c>
      <c r="AM3238" s="1"/>
    </row>
    <row r="3239" spans="1:39" x14ac:dyDescent="0.35">
      <c r="A3239">
        <v>3235</v>
      </c>
      <c r="B3239">
        <v>3236</v>
      </c>
      <c r="F3239" s="63"/>
      <c r="G3239" s="63"/>
      <c r="H3239" t="s">
        <v>26</v>
      </c>
      <c r="I3239" s="64"/>
      <c r="J3239" s="31"/>
      <c r="K3239" s="31"/>
      <c r="L3239" s="31"/>
      <c r="M3239" s="31"/>
      <c r="N3239" s="4"/>
      <c r="AG3239" t="s">
        <v>2950</v>
      </c>
      <c r="AM3239" s="1"/>
    </row>
    <row r="3240" spans="1:39" x14ac:dyDescent="0.35">
      <c r="A3240">
        <v>3236</v>
      </c>
      <c r="B3240">
        <v>3237</v>
      </c>
      <c r="F3240" s="63"/>
      <c r="G3240" s="63"/>
      <c r="H3240" t="s">
        <v>26</v>
      </c>
      <c r="I3240" s="64"/>
      <c r="J3240" s="31"/>
      <c r="K3240" s="31"/>
      <c r="L3240" s="31"/>
      <c r="M3240" s="31"/>
      <c r="N3240" s="4"/>
      <c r="AG3240" t="s">
        <v>2951</v>
      </c>
      <c r="AM3240" s="1"/>
    </row>
    <row r="3241" spans="1:39" x14ac:dyDescent="0.35">
      <c r="A3241">
        <v>3237</v>
      </c>
      <c r="B3241">
        <v>3238</v>
      </c>
      <c r="F3241" s="63"/>
      <c r="G3241" s="63"/>
      <c r="H3241" t="s">
        <v>26</v>
      </c>
      <c r="I3241" s="64"/>
      <c r="J3241" s="31"/>
      <c r="K3241" s="31"/>
      <c r="L3241" s="31"/>
      <c r="M3241" s="31"/>
      <c r="N3241" s="4"/>
      <c r="AG3241" t="s">
        <v>2952</v>
      </c>
      <c r="AM3241" s="1"/>
    </row>
    <row r="3242" spans="1:39" x14ac:dyDescent="0.35">
      <c r="A3242">
        <v>3238</v>
      </c>
      <c r="B3242">
        <v>3239</v>
      </c>
      <c r="F3242" s="63"/>
      <c r="G3242" s="63"/>
      <c r="H3242" t="s">
        <v>26</v>
      </c>
      <c r="I3242" s="64"/>
      <c r="J3242" s="31"/>
      <c r="K3242" s="31"/>
      <c r="L3242" s="31"/>
      <c r="M3242" s="31"/>
      <c r="N3242" s="4"/>
      <c r="AG3242" t="s">
        <v>2953</v>
      </c>
      <c r="AM3242" s="1">
        <f>HYPERLINK("E:\CAFNEC_GBRF\2023\JohnstoneRiver\Frames_for_Analysis\" &amp; F3243, F3243)</f>
        <v>0</v>
      </c>
    </row>
    <row r="3243" spans="1:39" x14ac:dyDescent="0.35">
      <c r="A3243">
        <v>3239</v>
      </c>
      <c r="B3243">
        <v>3240</v>
      </c>
      <c r="F3243" s="63"/>
      <c r="G3243" s="63"/>
      <c r="H3243" t="s">
        <v>26</v>
      </c>
      <c r="I3243" s="64"/>
      <c r="J3243" s="31"/>
      <c r="K3243" s="31"/>
      <c r="L3243" s="31"/>
      <c r="M3243" s="31"/>
      <c r="N3243" s="4"/>
      <c r="AG3243" t="s">
        <v>2954</v>
      </c>
      <c r="AM3243" s="1">
        <f>HYPERLINK("E:\CAFNEC_GBRF\2023\JohnstoneRiver\Frames_for_Analysis\" &amp; F3244, F3244)</f>
        <v>0</v>
      </c>
    </row>
    <row r="3244" spans="1:39" x14ac:dyDescent="0.35">
      <c r="A3244">
        <v>3240</v>
      </c>
      <c r="B3244">
        <v>3241</v>
      </c>
      <c r="F3244" s="63"/>
      <c r="G3244" s="63"/>
      <c r="H3244" t="s">
        <v>26</v>
      </c>
      <c r="I3244" s="64"/>
      <c r="J3244" s="31"/>
      <c r="K3244" s="31"/>
      <c r="L3244" s="31"/>
      <c r="M3244" s="31"/>
      <c r="N3244" s="4"/>
      <c r="AG3244" t="s">
        <v>2955</v>
      </c>
      <c r="AM3244" s="1">
        <f>HYPERLINK("E:\CAFNEC_GBRF\2023\JohnstoneRiver\Frames_for_Analysis\" &amp; F3245, F3245)</f>
        <v>0</v>
      </c>
    </row>
    <row r="3245" spans="1:39" x14ac:dyDescent="0.35">
      <c r="A3245">
        <v>3241</v>
      </c>
      <c r="B3245">
        <v>3242</v>
      </c>
      <c r="F3245" s="63"/>
      <c r="G3245" s="63"/>
      <c r="H3245" t="s">
        <v>26</v>
      </c>
      <c r="I3245" s="64"/>
      <c r="J3245" s="31"/>
      <c r="K3245" s="31"/>
      <c r="L3245" s="31"/>
      <c r="M3245" s="31"/>
      <c r="N3245" s="4"/>
      <c r="AG3245" t="s">
        <v>2956</v>
      </c>
      <c r="AM3245" s="1"/>
    </row>
    <row r="3246" spans="1:39" x14ac:dyDescent="0.35">
      <c r="A3246">
        <v>3242</v>
      </c>
      <c r="B3246">
        <v>3243</v>
      </c>
      <c r="F3246" s="63"/>
      <c r="G3246" s="63"/>
      <c r="H3246" t="s">
        <v>26</v>
      </c>
      <c r="I3246" s="64"/>
      <c r="J3246" s="31"/>
      <c r="K3246" s="31"/>
      <c r="L3246" s="31"/>
      <c r="M3246" s="31"/>
      <c r="N3246" s="4"/>
      <c r="AG3246" t="s">
        <v>2957</v>
      </c>
      <c r="AM3246" s="1"/>
    </row>
    <row r="3247" spans="1:39" x14ac:dyDescent="0.35">
      <c r="A3247">
        <v>3243</v>
      </c>
      <c r="B3247">
        <v>3244</v>
      </c>
      <c r="F3247" s="63"/>
      <c r="G3247" s="63"/>
      <c r="H3247" t="s">
        <v>26</v>
      </c>
      <c r="I3247" s="64"/>
      <c r="J3247" s="31"/>
      <c r="K3247" s="31"/>
      <c r="L3247" s="31"/>
      <c r="M3247" s="31"/>
      <c r="N3247" s="4"/>
      <c r="AG3247" t="s">
        <v>2958</v>
      </c>
      <c r="AM3247" s="1"/>
    </row>
    <row r="3248" spans="1:39" x14ac:dyDescent="0.35">
      <c r="A3248">
        <v>3244</v>
      </c>
      <c r="B3248">
        <v>3245</v>
      </c>
      <c r="F3248" s="63"/>
      <c r="G3248" s="63"/>
      <c r="H3248" t="s">
        <v>26</v>
      </c>
      <c r="I3248" s="64"/>
      <c r="J3248" s="31"/>
      <c r="K3248" s="31"/>
      <c r="L3248" s="31"/>
      <c r="M3248" s="31"/>
      <c r="N3248" s="4"/>
      <c r="AG3248" t="s">
        <v>2959</v>
      </c>
      <c r="AM3248" s="1">
        <f t="shared" ref="AM3248:AM3311" si="41">HYPERLINK("E:\CAFNEC_GBRF\2023\JohnstoneRiver\Frames_for_Analysis\" &amp; F3249, F3249)</f>
        <v>0</v>
      </c>
    </row>
    <row r="3249" spans="1:39" x14ac:dyDescent="0.35">
      <c r="A3249">
        <v>3245</v>
      </c>
      <c r="B3249">
        <v>3246</v>
      </c>
      <c r="F3249" s="63"/>
      <c r="G3249" s="63"/>
      <c r="H3249" t="s">
        <v>26</v>
      </c>
      <c r="I3249" s="64"/>
      <c r="J3249" s="31"/>
      <c r="K3249" s="31"/>
      <c r="L3249" s="31"/>
      <c r="M3249" s="31"/>
      <c r="N3249" s="4"/>
      <c r="AG3249" t="s">
        <v>2960</v>
      </c>
      <c r="AM3249" s="1">
        <f t="shared" si="41"/>
        <v>0</v>
      </c>
    </row>
    <row r="3250" spans="1:39" x14ac:dyDescent="0.35">
      <c r="A3250">
        <v>3246</v>
      </c>
      <c r="B3250">
        <v>3247</v>
      </c>
      <c r="F3250" s="63"/>
      <c r="G3250" s="63"/>
      <c r="H3250" t="s">
        <v>26</v>
      </c>
      <c r="I3250" s="64"/>
      <c r="J3250" s="31"/>
      <c r="K3250" s="31"/>
      <c r="L3250" s="31"/>
      <c r="M3250" s="31"/>
      <c r="N3250" s="4"/>
      <c r="AG3250" t="s">
        <v>2961</v>
      </c>
      <c r="AM3250" s="1">
        <f t="shared" si="41"/>
        <v>0</v>
      </c>
    </row>
    <row r="3251" spans="1:39" x14ac:dyDescent="0.35">
      <c r="A3251">
        <v>3247</v>
      </c>
      <c r="B3251">
        <v>3248</v>
      </c>
      <c r="F3251" s="63"/>
      <c r="G3251" s="63"/>
      <c r="H3251" t="s">
        <v>26</v>
      </c>
      <c r="I3251" s="64"/>
      <c r="J3251" s="31"/>
      <c r="K3251" s="31"/>
      <c r="L3251" s="31"/>
      <c r="M3251" s="31"/>
      <c r="N3251" s="4"/>
      <c r="AG3251" t="s">
        <v>2962</v>
      </c>
      <c r="AM3251" s="1">
        <f t="shared" si="41"/>
        <v>0</v>
      </c>
    </row>
    <row r="3252" spans="1:39" x14ac:dyDescent="0.35">
      <c r="A3252">
        <v>3248</v>
      </c>
      <c r="B3252">
        <v>3249</v>
      </c>
      <c r="F3252" s="63"/>
      <c r="G3252" s="63"/>
      <c r="H3252" t="s">
        <v>26</v>
      </c>
      <c r="I3252" s="64"/>
      <c r="J3252" s="31"/>
      <c r="K3252" s="31"/>
      <c r="L3252" s="31"/>
      <c r="M3252" s="31"/>
      <c r="N3252" s="4"/>
      <c r="AG3252" t="s">
        <v>2963</v>
      </c>
      <c r="AM3252" s="1">
        <f t="shared" si="41"/>
        <v>0</v>
      </c>
    </row>
    <row r="3253" spans="1:39" x14ac:dyDescent="0.35">
      <c r="A3253">
        <v>3249</v>
      </c>
      <c r="B3253">
        <v>3250</v>
      </c>
      <c r="F3253" s="63"/>
      <c r="G3253" s="63"/>
      <c r="H3253" t="s">
        <v>26</v>
      </c>
      <c r="I3253" s="64"/>
      <c r="J3253" s="31"/>
      <c r="K3253" s="31"/>
      <c r="L3253" s="31"/>
      <c r="M3253" s="31"/>
      <c r="N3253" s="4"/>
      <c r="AG3253" t="s">
        <v>2964</v>
      </c>
      <c r="AM3253" s="1">
        <f t="shared" si="41"/>
        <v>0</v>
      </c>
    </row>
    <row r="3254" spans="1:39" x14ac:dyDescent="0.35">
      <c r="A3254">
        <v>3250</v>
      </c>
      <c r="B3254">
        <v>3251</v>
      </c>
      <c r="F3254" s="63"/>
      <c r="G3254" s="63"/>
      <c r="H3254" t="s">
        <v>26</v>
      </c>
      <c r="I3254" s="64"/>
      <c r="J3254" s="31"/>
      <c r="K3254" s="31"/>
      <c r="L3254" s="31"/>
      <c r="M3254" s="31"/>
      <c r="N3254" s="4"/>
      <c r="AG3254" t="s">
        <v>2965</v>
      </c>
      <c r="AM3254" s="1">
        <f t="shared" si="41"/>
        <v>0</v>
      </c>
    </row>
    <row r="3255" spans="1:39" x14ac:dyDescent="0.35">
      <c r="A3255">
        <v>3251</v>
      </c>
      <c r="B3255">
        <v>3252</v>
      </c>
      <c r="F3255" s="63"/>
      <c r="G3255" s="63"/>
      <c r="H3255" t="s">
        <v>26</v>
      </c>
      <c r="I3255" s="64"/>
      <c r="J3255" s="31"/>
      <c r="K3255" s="31"/>
      <c r="L3255" s="31"/>
      <c r="M3255" s="31"/>
      <c r="N3255" s="4"/>
      <c r="AG3255" t="s">
        <v>2966</v>
      </c>
      <c r="AM3255" s="1">
        <f t="shared" si="41"/>
        <v>0</v>
      </c>
    </row>
    <row r="3256" spans="1:39" x14ac:dyDescent="0.35">
      <c r="A3256">
        <v>3252</v>
      </c>
      <c r="B3256">
        <v>3253</v>
      </c>
      <c r="F3256" s="63"/>
      <c r="G3256" s="63"/>
      <c r="H3256" t="s">
        <v>26</v>
      </c>
      <c r="I3256" s="64"/>
      <c r="J3256" s="31"/>
      <c r="K3256" s="31"/>
      <c r="L3256" s="31"/>
      <c r="M3256" s="31"/>
      <c r="N3256" s="4"/>
      <c r="AG3256" t="s">
        <v>2967</v>
      </c>
      <c r="AM3256" s="1">
        <f t="shared" si="41"/>
        <v>0</v>
      </c>
    </row>
    <row r="3257" spans="1:39" x14ac:dyDescent="0.35">
      <c r="A3257">
        <v>3253</v>
      </c>
      <c r="B3257">
        <v>3254</v>
      </c>
      <c r="F3257" s="63"/>
      <c r="G3257" s="63"/>
      <c r="H3257" t="s">
        <v>26</v>
      </c>
      <c r="I3257" s="64"/>
      <c r="J3257" s="31"/>
      <c r="K3257" s="31"/>
      <c r="L3257" s="31"/>
      <c r="M3257" s="31"/>
      <c r="N3257" s="4"/>
      <c r="AG3257" t="s">
        <v>2968</v>
      </c>
      <c r="AM3257" s="1">
        <f t="shared" si="41"/>
        <v>0</v>
      </c>
    </row>
    <row r="3258" spans="1:39" x14ac:dyDescent="0.35">
      <c r="A3258">
        <v>3254</v>
      </c>
      <c r="B3258">
        <v>3255</v>
      </c>
      <c r="F3258" s="63"/>
      <c r="G3258" s="63"/>
      <c r="H3258" t="s">
        <v>26</v>
      </c>
      <c r="I3258" s="64"/>
      <c r="J3258" s="31"/>
      <c r="K3258" s="31"/>
      <c r="L3258" s="31"/>
      <c r="M3258" s="31"/>
      <c r="N3258" s="4"/>
      <c r="AG3258" t="s">
        <v>2969</v>
      </c>
      <c r="AM3258" s="1">
        <f t="shared" si="41"/>
        <v>0</v>
      </c>
    </row>
    <row r="3259" spans="1:39" x14ac:dyDescent="0.35">
      <c r="A3259">
        <v>3255</v>
      </c>
      <c r="B3259">
        <v>3256</v>
      </c>
      <c r="F3259" s="63"/>
      <c r="G3259" s="63"/>
      <c r="H3259" t="s">
        <v>26</v>
      </c>
      <c r="I3259" s="64"/>
      <c r="J3259" s="31"/>
      <c r="K3259" s="31"/>
      <c r="L3259" s="31"/>
      <c r="M3259" s="31"/>
      <c r="N3259" s="4"/>
      <c r="AG3259" t="s">
        <v>2970</v>
      </c>
      <c r="AM3259" s="1">
        <f t="shared" si="41"/>
        <v>0</v>
      </c>
    </row>
    <row r="3260" spans="1:39" x14ac:dyDescent="0.35">
      <c r="A3260">
        <v>3256</v>
      </c>
      <c r="B3260">
        <v>3257</v>
      </c>
      <c r="F3260" s="63"/>
      <c r="G3260" s="63"/>
      <c r="H3260" t="s">
        <v>26</v>
      </c>
      <c r="I3260" s="64"/>
      <c r="J3260" s="31"/>
      <c r="K3260" s="31"/>
      <c r="L3260" s="31"/>
      <c r="M3260" s="31"/>
      <c r="N3260" s="4"/>
      <c r="AG3260" t="s">
        <v>2971</v>
      </c>
      <c r="AM3260" s="1">
        <f t="shared" si="41"/>
        <v>0</v>
      </c>
    </row>
    <row r="3261" spans="1:39" x14ac:dyDescent="0.35">
      <c r="A3261">
        <v>3257</v>
      </c>
      <c r="B3261">
        <v>3258</v>
      </c>
      <c r="F3261" s="63"/>
      <c r="G3261" s="63"/>
      <c r="H3261" t="s">
        <v>26</v>
      </c>
      <c r="I3261" s="64"/>
      <c r="J3261" s="31"/>
      <c r="K3261" s="31"/>
      <c r="L3261" s="31"/>
      <c r="M3261" s="31"/>
      <c r="N3261" s="4"/>
      <c r="AG3261" t="s">
        <v>2972</v>
      </c>
      <c r="AM3261" s="1">
        <f t="shared" si="41"/>
        <v>0</v>
      </c>
    </row>
    <row r="3262" spans="1:39" x14ac:dyDescent="0.35">
      <c r="A3262">
        <v>3258</v>
      </c>
      <c r="B3262">
        <v>3259</v>
      </c>
      <c r="F3262" s="63"/>
      <c r="G3262" s="63"/>
      <c r="H3262" t="s">
        <v>26</v>
      </c>
      <c r="I3262" s="64"/>
      <c r="J3262" s="31"/>
      <c r="K3262" s="31"/>
      <c r="L3262" s="31"/>
      <c r="M3262" s="31"/>
      <c r="N3262" s="4"/>
      <c r="AG3262" t="s">
        <v>2973</v>
      </c>
      <c r="AM3262" s="1">
        <f t="shared" si="41"/>
        <v>0</v>
      </c>
    </row>
    <row r="3263" spans="1:39" x14ac:dyDescent="0.35">
      <c r="A3263">
        <v>3259</v>
      </c>
      <c r="B3263">
        <v>3260</v>
      </c>
      <c r="F3263" s="63"/>
      <c r="G3263" s="63"/>
      <c r="H3263" t="s">
        <v>26</v>
      </c>
      <c r="I3263" s="64"/>
      <c r="J3263" s="31"/>
      <c r="K3263" s="31"/>
      <c r="L3263" s="31"/>
      <c r="M3263" s="31"/>
      <c r="N3263" s="4"/>
      <c r="AG3263" t="s">
        <v>2974</v>
      </c>
      <c r="AM3263" s="1">
        <f t="shared" si="41"/>
        <v>0</v>
      </c>
    </row>
    <row r="3264" spans="1:39" x14ac:dyDescent="0.35">
      <c r="A3264">
        <v>3260</v>
      </c>
      <c r="B3264">
        <v>3261</v>
      </c>
      <c r="F3264" s="63"/>
      <c r="G3264" s="63"/>
      <c r="H3264" t="s">
        <v>26</v>
      </c>
      <c r="I3264" s="64"/>
      <c r="J3264" s="31"/>
      <c r="K3264" s="31"/>
      <c r="L3264" s="31"/>
      <c r="M3264" s="31"/>
      <c r="N3264" s="4"/>
      <c r="AG3264" t="s">
        <v>2975</v>
      </c>
      <c r="AM3264" s="1">
        <f t="shared" si="41"/>
        <v>0</v>
      </c>
    </row>
    <row r="3265" spans="1:39" x14ac:dyDescent="0.35">
      <c r="A3265">
        <v>3261</v>
      </c>
      <c r="B3265">
        <v>3262</v>
      </c>
      <c r="F3265" s="63"/>
      <c r="G3265" s="63"/>
      <c r="H3265" t="s">
        <v>26</v>
      </c>
      <c r="I3265" s="64"/>
      <c r="J3265" s="31"/>
      <c r="K3265" s="31"/>
      <c r="L3265" s="31"/>
      <c r="M3265" s="31"/>
      <c r="N3265" s="4"/>
      <c r="AG3265" t="s">
        <v>2976</v>
      </c>
      <c r="AM3265" s="1">
        <f t="shared" si="41"/>
        <v>0</v>
      </c>
    </row>
    <row r="3266" spans="1:39" x14ac:dyDescent="0.35">
      <c r="A3266">
        <v>3262</v>
      </c>
      <c r="B3266">
        <v>3263</v>
      </c>
      <c r="F3266" s="63"/>
      <c r="G3266" s="63"/>
      <c r="H3266" t="s">
        <v>26</v>
      </c>
      <c r="I3266" s="64"/>
      <c r="J3266" s="31"/>
      <c r="K3266" s="31"/>
      <c r="L3266" s="31"/>
      <c r="M3266" s="31"/>
      <c r="N3266" s="4"/>
      <c r="AG3266" t="s">
        <v>2977</v>
      </c>
      <c r="AM3266" s="1">
        <f t="shared" si="41"/>
        <v>0</v>
      </c>
    </row>
    <row r="3267" spans="1:39" x14ac:dyDescent="0.35">
      <c r="A3267">
        <v>3263</v>
      </c>
      <c r="B3267">
        <v>3264</v>
      </c>
      <c r="F3267" s="63"/>
      <c r="G3267" s="63"/>
      <c r="H3267" t="s">
        <v>26</v>
      </c>
      <c r="I3267" s="64"/>
      <c r="J3267" s="31"/>
      <c r="K3267" s="31"/>
      <c r="L3267" s="31"/>
      <c r="M3267" s="31"/>
      <c r="N3267" s="4"/>
      <c r="AG3267" t="s">
        <v>2978</v>
      </c>
      <c r="AM3267" s="1">
        <f t="shared" si="41"/>
        <v>0</v>
      </c>
    </row>
    <row r="3268" spans="1:39" x14ac:dyDescent="0.35">
      <c r="A3268">
        <v>3264</v>
      </c>
      <c r="B3268">
        <v>3265</v>
      </c>
      <c r="F3268" s="63"/>
      <c r="G3268" s="63"/>
      <c r="H3268" t="s">
        <v>26</v>
      </c>
      <c r="I3268" s="64"/>
      <c r="J3268" s="31"/>
      <c r="K3268" s="31"/>
      <c r="L3268" s="31"/>
      <c r="M3268" s="31"/>
      <c r="N3268" s="4"/>
      <c r="AG3268" t="s">
        <v>2979</v>
      </c>
      <c r="AM3268" s="1">
        <f t="shared" si="41"/>
        <v>0</v>
      </c>
    </row>
    <row r="3269" spans="1:39" x14ac:dyDescent="0.35">
      <c r="A3269">
        <v>3265</v>
      </c>
      <c r="B3269">
        <v>3266</v>
      </c>
      <c r="F3269" s="63"/>
      <c r="G3269" s="63"/>
      <c r="H3269" t="s">
        <v>26</v>
      </c>
      <c r="I3269" s="64"/>
      <c r="J3269" s="31"/>
      <c r="K3269" s="31"/>
      <c r="L3269" s="31"/>
      <c r="M3269" s="31"/>
      <c r="N3269" s="4"/>
      <c r="AG3269" t="s">
        <v>2980</v>
      </c>
      <c r="AM3269" s="1">
        <f t="shared" si="41"/>
        <v>0</v>
      </c>
    </row>
    <row r="3270" spans="1:39" x14ac:dyDescent="0.35">
      <c r="A3270">
        <v>3266</v>
      </c>
      <c r="B3270">
        <v>3267</v>
      </c>
      <c r="F3270" s="63"/>
      <c r="G3270" s="63"/>
      <c r="H3270" t="s">
        <v>26</v>
      </c>
      <c r="I3270" s="64"/>
      <c r="J3270" s="31"/>
      <c r="K3270" s="31"/>
      <c r="L3270" s="31"/>
      <c r="M3270" s="31"/>
      <c r="N3270" s="4"/>
      <c r="AG3270" t="s">
        <v>2981</v>
      </c>
      <c r="AM3270" s="1">
        <f t="shared" si="41"/>
        <v>0</v>
      </c>
    </row>
    <row r="3271" spans="1:39" x14ac:dyDescent="0.35">
      <c r="A3271">
        <v>3267</v>
      </c>
      <c r="B3271">
        <v>3268</v>
      </c>
      <c r="F3271" s="63"/>
      <c r="G3271" s="63"/>
      <c r="H3271" t="s">
        <v>26</v>
      </c>
      <c r="I3271" s="64"/>
      <c r="J3271" s="31"/>
      <c r="K3271" s="31"/>
      <c r="L3271" s="31"/>
      <c r="M3271" s="31"/>
      <c r="N3271" s="4"/>
      <c r="AG3271" t="s">
        <v>2982</v>
      </c>
      <c r="AM3271" s="1">
        <f t="shared" si="41"/>
        <v>0</v>
      </c>
    </row>
    <row r="3272" spans="1:39" x14ac:dyDescent="0.35">
      <c r="A3272">
        <v>3268</v>
      </c>
      <c r="B3272">
        <v>3269</v>
      </c>
      <c r="F3272" s="63"/>
      <c r="G3272" s="63"/>
      <c r="H3272" t="s">
        <v>26</v>
      </c>
      <c r="I3272" s="64"/>
      <c r="J3272" s="31"/>
      <c r="K3272" s="31"/>
      <c r="L3272" s="31"/>
      <c r="M3272" s="31"/>
      <c r="N3272" s="4"/>
      <c r="AG3272" t="s">
        <v>2983</v>
      </c>
      <c r="AM3272" s="1">
        <f t="shared" si="41"/>
        <v>0</v>
      </c>
    </row>
    <row r="3273" spans="1:39" x14ac:dyDescent="0.35">
      <c r="A3273">
        <v>3269</v>
      </c>
      <c r="B3273">
        <v>3270</v>
      </c>
      <c r="F3273" s="63"/>
      <c r="G3273" s="63"/>
      <c r="H3273" t="s">
        <v>26</v>
      </c>
      <c r="I3273" s="64"/>
      <c r="J3273" s="31"/>
      <c r="K3273" s="31"/>
      <c r="L3273" s="31"/>
      <c r="M3273" s="31"/>
      <c r="N3273" s="4"/>
      <c r="AG3273" t="s">
        <v>2984</v>
      </c>
      <c r="AM3273" s="1">
        <f t="shared" si="41"/>
        <v>0</v>
      </c>
    </row>
    <row r="3274" spans="1:39" x14ac:dyDescent="0.35">
      <c r="A3274">
        <v>3270</v>
      </c>
      <c r="B3274">
        <v>3271</v>
      </c>
      <c r="F3274" s="63"/>
      <c r="G3274" s="63"/>
      <c r="H3274" t="s">
        <v>26</v>
      </c>
      <c r="I3274" s="64"/>
      <c r="J3274" s="31"/>
      <c r="K3274" s="31"/>
      <c r="L3274" s="31"/>
      <c r="M3274" s="31"/>
      <c r="N3274" s="4"/>
      <c r="AG3274" t="s">
        <v>2985</v>
      </c>
      <c r="AM3274" s="1">
        <f t="shared" si="41"/>
        <v>0</v>
      </c>
    </row>
    <row r="3275" spans="1:39" x14ac:dyDescent="0.35">
      <c r="A3275">
        <v>3271</v>
      </c>
      <c r="B3275">
        <v>3272</v>
      </c>
      <c r="F3275" s="63"/>
      <c r="G3275" s="63"/>
      <c r="H3275" t="s">
        <v>26</v>
      </c>
      <c r="I3275" s="64"/>
      <c r="J3275" s="31"/>
      <c r="K3275" s="31"/>
      <c r="L3275" s="31"/>
      <c r="M3275" s="31"/>
      <c r="N3275" s="4"/>
      <c r="AG3275" t="s">
        <v>2986</v>
      </c>
      <c r="AM3275" s="1">
        <f t="shared" si="41"/>
        <v>0</v>
      </c>
    </row>
    <row r="3276" spans="1:39" x14ac:dyDescent="0.35">
      <c r="A3276">
        <v>3272</v>
      </c>
      <c r="B3276">
        <v>3273</v>
      </c>
      <c r="F3276" s="63"/>
      <c r="G3276" s="63"/>
      <c r="H3276" t="s">
        <v>26</v>
      </c>
      <c r="I3276" s="64"/>
      <c r="J3276" s="31"/>
      <c r="K3276" s="31"/>
      <c r="L3276" s="31"/>
      <c r="M3276" s="31"/>
      <c r="N3276" s="4"/>
      <c r="AG3276" t="s">
        <v>2987</v>
      </c>
      <c r="AM3276" s="1">
        <f t="shared" si="41"/>
        <v>0</v>
      </c>
    </row>
    <row r="3277" spans="1:39" x14ac:dyDescent="0.35">
      <c r="A3277">
        <v>3273</v>
      </c>
      <c r="B3277">
        <v>3274</v>
      </c>
      <c r="F3277" s="63"/>
      <c r="G3277" s="63"/>
      <c r="H3277" t="s">
        <v>26</v>
      </c>
      <c r="I3277" s="64"/>
      <c r="J3277" s="31"/>
      <c r="K3277" s="31"/>
      <c r="L3277" s="31"/>
      <c r="M3277" s="31"/>
      <c r="N3277" s="4"/>
      <c r="AG3277" t="s">
        <v>2988</v>
      </c>
      <c r="AM3277" s="1">
        <f t="shared" si="41"/>
        <v>0</v>
      </c>
    </row>
    <row r="3278" spans="1:39" x14ac:dyDescent="0.35">
      <c r="A3278">
        <v>3274</v>
      </c>
      <c r="B3278">
        <v>3275</v>
      </c>
      <c r="F3278" s="63"/>
      <c r="G3278" s="63"/>
      <c r="H3278" t="s">
        <v>26</v>
      </c>
      <c r="I3278" s="64"/>
      <c r="J3278" s="31"/>
      <c r="K3278" s="31"/>
      <c r="L3278" s="31"/>
      <c r="M3278" s="31"/>
      <c r="N3278" s="4"/>
      <c r="AG3278" t="s">
        <v>2989</v>
      </c>
      <c r="AM3278" s="1">
        <f t="shared" si="41"/>
        <v>0</v>
      </c>
    </row>
    <row r="3279" spans="1:39" x14ac:dyDescent="0.35">
      <c r="A3279">
        <v>3275</v>
      </c>
      <c r="B3279">
        <v>3276</v>
      </c>
      <c r="F3279" s="63"/>
      <c r="G3279" s="63"/>
      <c r="H3279" t="s">
        <v>26</v>
      </c>
      <c r="I3279" s="64"/>
      <c r="J3279" s="31"/>
      <c r="K3279" s="31"/>
      <c r="L3279" s="31"/>
      <c r="M3279" s="31"/>
      <c r="N3279" s="4"/>
      <c r="AG3279" t="s">
        <v>2990</v>
      </c>
      <c r="AM3279" s="1">
        <f t="shared" si="41"/>
        <v>0</v>
      </c>
    </row>
    <row r="3280" spans="1:39" x14ac:dyDescent="0.35">
      <c r="A3280">
        <v>3276</v>
      </c>
      <c r="B3280">
        <v>3277</v>
      </c>
      <c r="F3280" s="63"/>
      <c r="G3280" s="63"/>
      <c r="H3280" t="s">
        <v>26</v>
      </c>
      <c r="I3280" s="64"/>
      <c r="J3280" s="31"/>
      <c r="K3280" s="31"/>
      <c r="L3280" s="31"/>
      <c r="M3280" s="31"/>
      <c r="N3280" s="4"/>
      <c r="AG3280" t="s">
        <v>2991</v>
      </c>
      <c r="AM3280" s="1">
        <f t="shared" si="41"/>
        <v>0</v>
      </c>
    </row>
    <row r="3281" spans="1:39" x14ac:dyDescent="0.35">
      <c r="A3281">
        <v>3277</v>
      </c>
      <c r="B3281">
        <v>3278</v>
      </c>
      <c r="F3281" s="63"/>
      <c r="G3281" s="63"/>
      <c r="H3281" t="s">
        <v>26</v>
      </c>
      <c r="I3281" s="64"/>
      <c r="J3281" s="31"/>
      <c r="K3281" s="31"/>
      <c r="L3281" s="31"/>
      <c r="M3281" s="31"/>
      <c r="N3281" s="4"/>
      <c r="AG3281" t="s">
        <v>2992</v>
      </c>
      <c r="AM3281" s="1">
        <f t="shared" si="41"/>
        <v>0</v>
      </c>
    </row>
    <row r="3282" spans="1:39" x14ac:dyDescent="0.35">
      <c r="A3282">
        <v>3278</v>
      </c>
      <c r="B3282">
        <v>3279</v>
      </c>
      <c r="F3282" s="63"/>
      <c r="G3282" s="63"/>
      <c r="H3282" t="s">
        <v>26</v>
      </c>
      <c r="I3282" s="64"/>
      <c r="J3282" s="31"/>
      <c r="K3282" s="31"/>
      <c r="L3282" s="31"/>
      <c r="M3282" s="31"/>
      <c r="N3282" s="4"/>
      <c r="AG3282" t="s">
        <v>2993</v>
      </c>
      <c r="AM3282" s="1">
        <f t="shared" si="41"/>
        <v>0</v>
      </c>
    </row>
    <row r="3283" spans="1:39" x14ac:dyDescent="0.35">
      <c r="A3283">
        <v>3279</v>
      </c>
      <c r="B3283">
        <v>3280</v>
      </c>
      <c r="F3283" s="63"/>
      <c r="G3283" s="63"/>
      <c r="H3283" t="s">
        <v>26</v>
      </c>
      <c r="I3283" s="64"/>
      <c r="J3283" s="31"/>
      <c r="K3283" s="31"/>
      <c r="L3283" s="31"/>
      <c r="M3283" s="31"/>
      <c r="N3283" s="4"/>
      <c r="AG3283" t="s">
        <v>2994</v>
      </c>
      <c r="AM3283" s="1">
        <f t="shared" si="41"/>
        <v>0</v>
      </c>
    </row>
    <row r="3284" spans="1:39" x14ac:dyDescent="0.35">
      <c r="A3284">
        <v>3280</v>
      </c>
      <c r="B3284">
        <v>3281</v>
      </c>
      <c r="F3284" s="63"/>
      <c r="G3284" s="63"/>
      <c r="H3284" t="s">
        <v>26</v>
      </c>
      <c r="I3284" s="64"/>
      <c r="J3284" s="31"/>
      <c r="K3284" s="31"/>
      <c r="L3284" s="31"/>
      <c r="M3284" s="31"/>
      <c r="N3284" s="4"/>
      <c r="AG3284" t="s">
        <v>2995</v>
      </c>
      <c r="AM3284" s="1">
        <f t="shared" si="41"/>
        <v>0</v>
      </c>
    </row>
    <row r="3285" spans="1:39" x14ac:dyDescent="0.35">
      <c r="A3285">
        <v>3281</v>
      </c>
      <c r="B3285">
        <v>3282</v>
      </c>
      <c r="F3285" s="63"/>
      <c r="G3285" s="63"/>
      <c r="H3285" t="s">
        <v>26</v>
      </c>
      <c r="I3285" s="64"/>
      <c r="J3285" s="31"/>
      <c r="K3285" s="31"/>
      <c r="L3285" s="31"/>
      <c r="M3285" s="31"/>
      <c r="N3285" s="4"/>
      <c r="AG3285" t="s">
        <v>2996</v>
      </c>
      <c r="AM3285" s="1">
        <f t="shared" si="41"/>
        <v>0</v>
      </c>
    </row>
    <row r="3286" spans="1:39" x14ac:dyDescent="0.35">
      <c r="A3286">
        <v>3282</v>
      </c>
      <c r="B3286">
        <v>3283</v>
      </c>
      <c r="F3286" s="63"/>
      <c r="G3286" s="63"/>
      <c r="H3286" t="s">
        <v>26</v>
      </c>
      <c r="I3286" s="64"/>
      <c r="J3286" s="31"/>
      <c r="K3286" s="31"/>
      <c r="L3286" s="31"/>
      <c r="M3286" s="31"/>
      <c r="N3286" s="4"/>
      <c r="AG3286" t="s">
        <v>2997</v>
      </c>
      <c r="AM3286" s="1">
        <f t="shared" si="41"/>
        <v>0</v>
      </c>
    </row>
    <row r="3287" spans="1:39" x14ac:dyDescent="0.35">
      <c r="A3287">
        <v>3283</v>
      </c>
      <c r="B3287">
        <v>3284</v>
      </c>
      <c r="F3287" s="63"/>
      <c r="G3287" s="63"/>
      <c r="H3287" t="s">
        <v>26</v>
      </c>
      <c r="I3287" s="64"/>
      <c r="J3287" s="31"/>
      <c r="K3287" s="31"/>
      <c r="L3287" s="31"/>
      <c r="M3287" s="31"/>
      <c r="N3287" s="4"/>
      <c r="AG3287" t="s">
        <v>2998</v>
      </c>
      <c r="AM3287" s="1">
        <f t="shared" si="41"/>
        <v>0</v>
      </c>
    </row>
    <row r="3288" spans="1:39" x14ac:dyDescent="0.35">
      <c r="A3288">
        <v>3284</v>
      </c>
      <c r="B3288">
        <v>3285</v>
      </c>
      <c r="F3288" s="63"/>
      <c r="G3288" s="63"/>
      <c r="H3288" t="s">
        <v>26</v>
      </c>
      <c r="I3288" s="64"/>
      <c r="J3288" s="31"/>
      <c r="K3288" s="31"/>
      <c r="L3288" s="31"/>
      <c r="M3288" s="31"/>
      <c r="N3288" s="4"/>
      <c r="AG3288" t="s">
        <v>2999</v>
      </c>
      <c r="AM3288" s="1">
        <f t="shared" si="41"/>
        <v>0</v>
      </c>
    </row>
    <row r="3289" spans="1:39" x14ac:dyDescent="0.35">
      <c r="A3289">
        <v>3285</v>
      </c>
      <c r="B3289">
        <v>3286</v>
      </c>
      <c r="F3289" s="63"/>
      <c r="G3289" s="63"/>
      <c r="H3289" t="s">
        <v>26</v>
      </c>
      <c r="I3289" s="64"/>
      <c r="J3289" s="31"/>
      <c r="K3289" s="31"/>
      <c r="L3289" s="31"/>
      <c r="M3289" s="31"/>
      <c r="N3289" s="4"/>
      <c r="AG3289" t="s">
        <v>3000</v>
      </c>
      <c r="AM3289" s="1">
        <f t="shared" si="41"/>
        <v>0</v>
      </c>
    </row>
    <row r="3290" spans="1:39" x14ac:dyDescent="0.35">
      <c r="A3290">
        <v>3286</v>
      </c>
      <c r="B3290">
        <v>3287</v>
      </c>
      <c r="F3290" s="63"/>
      <c r="G3290" s="63"/>
      <c r="H3290" t="s">
        <v>26</v>
      </c>
      <c r="I3290" s="64"/>
      <c r="J3290" s="31"/>
      <c r="K3290" s="31"/>
      <c r="L3290" s="31"/>
      <c r="M3290" s="31"/>
      <c r="N3290" s="4"/>
      <c r="AG3290" t="s">
        <v>3001</v>
      </c>
      <c r="AM3290" s="1">
        <f t="shared" si="41"/>
        <v>0</v>
      </c>
    </row>
    <row r="3291" spans="1:39" x14ac:dyDescent="0.35">
      <c r="A3291">
        <v>3287</v>
      </c>
      <c r="B3291">
        <v>3288</v>
      </c>
      <c r="F3291" s="63"/>
      <c r="G3291" s="63"/>
      <c r="H3291" t="s">
        <v>26</v>
      </c>
      <c r="I3291" s="64"/>
      <c r="J3291" s="31"/>
      <c r="K3291" s="31"/>
      <c r="L3291" s="31"/>
      <c r="M3291" s="31"/>
      <c r="N3291" s="4"/>
      <c r="AG3291" t="s">
        <v>3002</v>
      </c>
      <c r="AM3291" s="1">
        <f t="shared" si="41"/>
        <v>0</v>
      </c>
    </row>
    <row r="3292" spans="1:39" x14ac:dyDescent="0.35">
      <c r="A3292">
        <v>3288</v>
      </c>
      <c r="B3292">
        <v>3289</v>
      </c>
      <c r="F3292" s="63"/>
      <c r="G3292" s="63"/>
      <c r="H3292" t="s">
        <v>26</v>
      </c>
      <c r="I3292" s="64"/>
      <c r="J3292" s="31"/>
      <c r="K3292" s="31"/>
      <c r="L3292" s="31"/>
      <c r="M3292" s="31"/>
      <c r="N3292" s="4"/>
      <c r="AG3292" t="s">
        <v>3003</v>
      </c>
      <c r="AM3292" s="1">
        <f t="shared" si="41"/>
        <v>0</v>
      </c>
    </row>
    <row r="3293" spans="1:39" x14ac:dyDescent="0.35">
      <c r="A3293">
        <v>3289</v>
      </c>
      <c r="B3293">
        <v>3290</v>
      </c>
      <c r="F3293" s="63"/>
      <c r="G3293" s="63"/>
      <c r="H3293" t="s">
        <v>26</v>
      </c>
      <c r="I3293" s="64"/>
      <c r="J3293" s="31"/>
      <c r="K3293" s="31"/>
      <c r="L3293" s="31"/>
      <c r="M3293" s="31"/>
      <c r="N3293" s="4"/>
      <c r="AG3293" t="s">
        <v>3004</v>
      </c>
      <c r="AM3293" s="1">
        <f t="shared" si="41"/>
        <v>0</v>
      </c>
    </row>
    <row r="3294" spans="1:39" x14ac:dyDescent="0.35">
      <c r="A3294">
        <v>3290</v>
      </c>
      <c r="B3294">
        <v>3291</v>
      </c>
      <c r="F3294" s="63"/>
      <c r="G3294" s="63"/>
      <c r="H3294" t="s">
        <v>26</v>
      </c>
      <c r="I3294" s="64"/>
      <c r="J3294" s="31"/>
      <c r="K3294" s="31"/>
      <c r="L3294" s="31"/>
      <c r="M3294" s="31"/>
      <c r="N3294" s="4"/>
      <c r="AG3294" t="s">
        <v>3005</v>
      </c>
      <c r="AM3294" s="1">
        <f t="shared" si="41"/>
        <v>0</v>
      </c>
    </row>
    <row r="3295" spans="1:39" x14ac:dyDescent="0.35">
      <c r="A3295">
        <v>3291</v>
      </c>
      <c r="B3295">
        <v>3292</v>
      </c>
      <c r="F3295" s="63"/>
      <c r="G3295" s="63"/>
      <c r="H3295" t="s">
        <v>26</v>
      </c>
      <c r="I3295" s="64"/>
      <c r="J3295" s="31"/>
      <c r="K3295" s="31"/>
      <c r="L3295" s="31"/>
      <c r="M3295" s="31"/>
      <c r="N3295" s="4"/>
      <c r="AG3295" t="s">
        <v>3006</v>
      </c>
      <c r="AM3295" s="1">
        <f t="shared" si="41"/>
        <v>0</v>
      </c>
    </row>
    <row r="3296" spans="1:39" x14ac:dyDescent="0.35">
      <c r="A3296">
        <v>3292</v>
      </c>
      <c r="B3296">
        <v>3293</v>
      </c>
      <c r="F3296" s="63"/>
      <c r="G3296" s="63"/>
      <c r="H3296" t="s">
        <v>26</v>
      </c>
      <c r="I3296" s="64"/>
      <c r="J3296" s="31"/>
      <c r="K3296" s="31"/>
      <c r="L3296" s="31"/>
      <c r="M3296" s="31"/>
      <c r="N3296" s="4"/>
      <c r="AG3296" t="s">
        <v>3007</v>
      </c>
      <c r="AM3296" s="1">
        <f t="shared" si="41"/>
        <v>0</v>
      </c>
    </row>
    <row r="3297" spans="1:39" x14ac:dyDescent="0.35">
      <c r="A3297">
        <v>3293</v>
      </c>
      <c r="B3297">
        <v>3294</v>
      </c>
      <c r="F3297" s="63"/>
      <c r="G3297" s="63"/>
      <c r="H3297" t="s">
        <v>26</v>
      </c>
      <c r="I3297" s="64"/>
      <c r="J3297" s="31"/>
      <c r="K3297" s="31"/>
      <c r="L3297" s="31"/>
      <c r="M3297" s="31"/>
      <c r="N3297" s="4"/>
      <c r="AG3297" t="s">
        <v>3008</v>
      </c>
      <c r="AM3297" s="1">
        <f t="shared" si="41"/>
        <v>0</v>
      </c>
    </row>
    <row r="3298" spans="1:39" x14ac:dyDescent="0.35">
      <c r="A3298">
        <v>3294</v>
      </c>
      <c r="B3298">
        <v>3295</v>
      </c>
      <c r="F3298" s="63"/>
      <c r="G3298" s="63"/>
      <c r="H3298" t="s">
        <v>26</v>
      </c>
      <c r="I3298" s="64"/>
      <c r="J3298" s="31"/>
      <c r="K3298" s="31"/>
      <c r="L3298" s="31"/>
      <c r="M3298" s="31"/>
      <c r="N3298" s="4"/>
      <c r="AG3298" t="s">
        <v>3009</v>
      </c>
      <c r="AM3298" s="1">
        <f t="shared" si="41"/>
        <v>0</v>
      </c>
    </row>
    <row r="3299" spans="1:39" x14ac:dyDescent="0.35">
      <c r="A3299">
        <v>3295</v>
      </c>
      <c r="B3299">
        <v>3296</v>
      </c>
      <c r="F3299" s="63"/>
      <c r="G3299" s="63"/>
      <c r="H3299" t="s">
        <v>26</v>
      </c>
      <c r="I3299" s="64"/>
      <c r="J3299" s="31"/>
      <c r="K3299" s="31"/>
      <c r="L3299" s="31"/>
      <c r="M3299" s="31"/>
      <c r="N3299" s="4"/>
      <c r="AG3299" t="s">
        <v>3010</v>
      </c>
      <c r="AM3299" s="1">
        <f t="shared" si="41"/>
        <v>0</v>
      </c>
    </row>
    <row r="3300" spans="1:39" x14ac:dyDescent="0.35">
      <c r="A3300">
        <v>3296</v>
      </c>
      <c r="B3300">
        <v>3297</v>
      </c>
      <c r="F3300" s="63"/>
      <c r="G3300" s="63"/>
      <c r="H3300" t="s">
        <v>26</v>
      </c>
      <c r="I3300" s="64"/>
      <c r="J3300" s="31"/>
      <c r="K3300" s="31"/>
      <c r="L3300" s="31"/>
      <c r="M3300" s="31"/>
      <c r="N3300" s="4"/>
      <c r="AG3300" t="s">
        <v>3011</v>
      </c>
      <c r="AM3300" s="1">
        <f t="shared" si="41"/>
        <v>0</v>
      </c>
    </row>
    <row r="3301" spans="1:39" x14ac:dyDescent="0.35">
      <c r="A3301">
        <v>3297</v>
      </c>
      <c r="B3301">
        <v>3298</v>
      </c>
      <c r="F3301" s="63"/>
      <c r="G3301" s="63"/>
      <c r="H3301" t="s">
        <v>26</v>
      </c>
      <c r="I3301" s="64"/>
      <c r="J3301" s="31"/>
      <c r="K3301" s="31"/>
      <c r="L3301" s="31"/>
      <c r="M3301" s="31"/>
      <c r="N3301" s="4"/>
      <c r="AG3301" t="s">
        <v>3012</v>
      </c>
      <c r="AM3301" s="1">
        <f t="shared" si="41"/>
        <v>0</v>
      </c>
    </row>
    <row r="3302" spans="1:39" x14ac:dyDescent="0.35">
      <c r="A3302">
        <v>3298</v>
      </c>
      <c r="B3302">
        <v>3299</v>
      </c>
      <c r="F3302" s="63"/>
      <c r="G3302" s="63"/>
      <c r="H3302" t="s">
        <v>26</v>
      </c>
      <c r="I3302" s="64"/>
      <c r="J3302" s="31"/>
      <c r="K3302" s="31"/>
      <c r="L3302" s="31"/>
      <c r="M3302" s="31"/>
      <c r="N3302" s="4"/>
      <c r="AG3302" t="s">
        <v>3013</v>
      </c>
      <c r="AM3302" s="1">
        <f t="shared" si="41"/>
        <v>0</v>
      </c>
    </row>
    <row r="3303" spans="1:39" x14ac:dyDescent="0.35">
      <c r="A3303">
        <v>3299</v>
      </c>
      <c r="B3303">
        <v>3300</v>
      </c>
      <c r="F3303" s="63"/>
      <c r="G3303" s="63"/>
      <c r="H3303" t="s">
        <v>26</v>
      </c>
      <c r="I3303" s="64"/>
      <c r="J3303" s="31"/>
      <c r="K3303" s="31"/>
      <c r="L3303" s="31"/>
      <c r="M3303" s="31"/>
      <c r="N3303" s="4"/>
      <c r="AG3303" t="s">
        <v>3014</v>
      </c>
      <c r="AM3303" s="1">
        <f t="shared" si="41"/>
        <v>0</v>
      </c>
    </row>
    <row r="3304" spans="1:39" x14ac:dyDescent="0.35">
      <c r="A3304">
        <v>3300</v>
      </c>
      <c r="B3304">
        <v>3301</v>
      </c>
      <c r="F3304" s="63"/>
      <c r="G3304" s="63"/>
      <c r="H3304" t="s">
        <v>26</v>
      </c>
      <c r="I3304" s="64"/>
      <c r="J3304" s="31"/>
      <c r="K3304" s="31"/>
      <c r="L3304" s="31"/>
      <c r="M3304" s="31"/>
      <c r="N3304" s="4"/>
      <c r="AG3304" t="s">
        <v>3015</v>
      </c>
      <c r="AM3304" s="1">
        <f t="shared" si="41"/>
        <v>0</v>
      </c>
    </row>
    <row r="3305" spans="1:39" x14ac:dyDescent="0.35">
      <c r="A3305">
        <v>3301</v>
      </c>
      <c r="B3305">
        <v>3302</v>
      </c>
      <c r="F3305" s="63"/>
      <c r="G3305" s="63"/>
      <c r="H3305" t="s">
        <v>26</v>
      </c>
      <c r="I3305" s="64"/>
      <c r="J3305" s="31"/>
      <c r="K3305" s="31"/>
      <c r="L3305" s="31"/>
      <c r="M3305" s="31"/>
      <c r="N3305" s="4"/>
      <c r="AG3305" t="s">
        <v>3016</v>
      </c>
      <c r="AM3305" s="1">
        <f t="shared" si="41"/>
        <v>0</v>
      </c>
    </row>
    <row r="3306" spans="1:39" x14ac:dyDescent="0.35">
      <c r="A3306">
        <v>3302</v>
      </c>
      <c r="B3306">
        <v>3303</v>
      </c>
      <c r="F3306" s="63"/>
      <c r="G3306" s="63"/>
      <c r="H3306" t="s">
        <v>26</v>
      </c>
      <c r="I3306" s="64"/>
      <c r="J3306" s="31"/>
      <c r="K3306" s="31"/>
      <c r="L3306" s="31"/>
      <c r="M3306" s="31"/>
      <c r="N3306" s="4"/>
      <c r="AG3306" t="s">
        <v>3017</v>
      </c>
      <c r="AM3306" s="1">
        <f t="shared" si="41"/>
        <v>0</v>
      </c>
    </row>
    <row r="3307" spans="1:39" x14ac:dyDescent="0.35">
      <c r="A3307">
        <v>3303</v>
      </c>
      <c r="B3307">
        <v>3304</v>
      </c>
      <c r="F3307" s="63"/>
      <c r="G3307" s="63"/>
      <c r="H3307" t="s">
        <v>26</v>
      </c>
      <c r="I3307" s="64"/>
      <c r="J3307" s="31"/>
      <c r="K3307" s="31"/>
      <c r="L3307" s="31"/>
      <c r="M3307" s="31"/>
      <c r="N3307" s="4"/>
      <c r="AG3307" t="s">
        <v>3018</v>
      </c>
      <c r="AM3307" s="1">
        <f t="shared" si="41"/>
        <v>0</v>
      </c>
    </row>
    <row r="3308" spans="1:39" x14ac:dyDescent="0.35">
      <c r="A3308">
        <v>3304</v>
      </c>
      <c r="B3308">
        <v>3305</v>
      </c>
      <c r="F3308" s="63"/>
      <c r="G3308" s="63"/>
      <c r="H3308" t="s">
        <v>26</v>
      </c>
      <c r="I3308" s="64"/>
      <c r="J3308" s="31"/>
      <c r="K3308" s="31"/>
      <c r="L3308" s="31"/>
      <c r="M3308" s="31"/>
      <c r="N3308" s="4"/>
      <c r="AG3308" t="s">
        <v>3019</v>
      </c>
      <c r="AM3308" s="1">
        <f t="shared" si="41"/>
        <v>0</v>
      </c>
    </row>
    <row r="3309" spans="1:39" x14ac:dyDescent="0.35">
      <c r="A3309">
        <v>3305</v>
      </c>
      <c r="B3309">
        <v>3306</v>
      </c>
      <c r="F3309" s="63"/>
      <c r="G3309" s="63"/>
      <c r="H3309" t="s">
        <v>26</v>
      </c>
      <c r="I3309" s="64"/>
      <c r="J3309" s="31"/>
      <c r="K3309" s="31"/>
      <c r="L3309" s="31"/>
      <c r="M3309" s="31"/>
      <c r="N3309" s="4"/>
      <c r="AG3309" t="s">
        <v>3020</v>
      </c>
      <c r="AM3309" s="1">
        <f t="shared" si="41"/>
        <v>0</v>
      </c>
    </row>
    <row r="3310" spans="1:39" x14ac:dyDescent="0.35">
      <c r="A3310">
        <v>3306</v>
      </c>
      <c r="B3310">
        <v>3307</v>
      </c>
      <c r="F3310" s="63"/>
      <c r="G3310" s="63"/>
      <c r="H3310" t="s">
        <v>26</v>
      </c>
      <c r="I3310" s="64"/>
      <c r="J3310" s="31"/>
      <c r="K3310" s="31"/>
      <c r="L3310" s="31"/>
      <c r="M3310" s="31"/>
      <c r="N3310" s="4"/>
      <c r="AG3310" t="s">
        <v>3021</v>
      </c>
      <c r="AM3310" s="1">
        <f t="shared" si="41"/>
        <v>0</v>
      </c>
    </row>
    <row r="3311" spans="1:39" x14ac:dyDescent="0.35">
      <c r="A3311">
        <v>3307</v>
      </c>
      <c r="B3311">
        <v>3308</v>
      </c>
      <c r="F3311" s="63"/>
      <c r="G3311" s="63"/>
      <c r="H3311" t="s">
        <v>26</v>
      </c>
      <c r="I3311" s="64"/>
      <c r="J3311" s="31"/>
      <c r="K3311" s="31"/>
      <c r="L3311" s="31"/>
      <c r="M3311" s="31"/>
      <c r="N3311" s="4"/>
      <c r="AG3311" t="s">
        <v>3022</v>
      </c>
      <c r="AM3311" s="1">
        <f t="shared" si="41"/>
        <v>0</v>
      </c>
    </row>
    <row r="3312" spans="1:39" x14ac:dyDescent="0.35">
      <c r="A3312">
        <v>3308</v>
      </c>
      <c r="B3312">
        <v>3309</v>
      </c>
      <c r="F3312" s="63"/>
      <c r="G3312" s="63"/>
      <c r="H3312" t="s">
        <v>26</v>
      </c>
      <c r="I3312" s="64"/>
      <c r="J3312" s="31"/>
      <c r="K3312" s="31"/>
      <c r="L3312" s="31"/>
      <c r="M3312" s="31"/>
      <c r="N3312" s="4"/>
      <c r="AG3312" t="s">
        <v>3023</v>
      </c>
      <c r="AM3312" s="1">
        <f t="shared" ref="AM3312:AM3375" si="42">HYPERLINK("E:\CAFNEC_GBRF\2023\JohnstoneRiver\Frames_for_Analysis\" &amp; F3313, F3313)</f>
        <v>0</v>
      </c>
    </row>
    <row r="3313" spans="1:39" x14ac:dyDescent="0.35">
      <c r="A3313">
        <v>3309</v>
      </c>
      <c r="B3313">
        <v>3310</v>
      </c>
      <c r="F3313" s="63"/>
      <c r="G3313" s="63"/>
      <c r="H3313" t="s">
        <v>26</v>
      </c>
      <c r="I3313" s="64"/>
      <c r="J3313" s="31"/>
      <c r="K3313" s="31"/>
      <c r="L3313" s="31"/>
      <c r="M3313" s="31"/>
      <c r="N3313" s="4"/>
      <c r="AG3313" t="s">
        <v>3024</v>
      </c>
      <c r="AM3313" s="1">
        <f t="shared" si="42"/>
        <v>0</v>
      </c>
    </row>
    <row r="3314" spans="1:39" x14ac:dyDescent="0.35">
      <c r="A3314">
        <v>3310</v>
      </c>
      <c r="B3314">
        <v>3311</v>
      </c>
      <c r="F3314" s="63"/>
      <c r="G3314" s="63"/>
      <c r="H3314" t="s">
        <v>26</v>
      </c>
      <c r="I3314" s="64"/>
      <c r="J3314" s="31"/>
      <c r="K3314" s="31"/>
      <c r="L3314" s="31"/>
      <c r="M3314" s="31"/>
      <c r="N3314" s="4"/>
      <c r="AG3314" t="s">
        <v>3025</v>
      </c>
      <c r="AM3314" s="1">
        <f t="shared" si="42"/>
        <v>0</v>
      </c>
    </row>
    <row r="3315" spans="1:39" x14ac:dyDescent="0.35">
      <c r="A3315">
        <v>3311</v>
      </c>
      <c r="B3315">
        <v>3312</v>
      </c>
      <c r="F3315" s="63"/>
      <c r="G3315" s="63"/>
      <c r="H3315" t="s">
        <v>26</v>
      </c>
      <c r="I3315" s="64"/>
      <c r="J3315" s="31"/>
      <c r="K3315" s="31"/>
      <c r="L3315" s="31"/>
      <c r="M3315" s="31"/>
      <c r="N3315" s="4"/>
      <c r="AG3315" t="s">
        <v>3026</v>
      </c>
      <c r="AM3315" s="1">
        <f t="shared" si="42"/>
        <v>0</v>
      </c>
    </row>
    <row r="3316" spans="1:39" x14ac:dyDescent="0.35">
      <c r="A3316">
        <v>3312</v>
      </c>
      <c r="B3316">
        <v>3313</v>
      </c>
      <c r="F3316" s="63"/>
      <c r="G3316" s="63"/>
      <c r="H3316" t="s">
        <v>26</v>
      </c>
      <c r="I3316" s="64"/>
      <c r="J3316" s="31"/>
      <c r="K3316" s="31"/>
      <c r="L3316" s="31"/>
      <c r="M3316" s="31"/>
      <c r="N3316" s="4"/>
      <c r="AG3316" t="s">
        <v>3027</v>
      </c>
      <c r="AM3316" s="1">
        <f t="shared" si="42"/>
        <v>0</v>
      </c>
    </row>
    <row r="3317" spans="1:39" x14ac:dyDescent="0.35">
      <c r="A3317">
        <v>3313</v>
      </c>
      <c r="B3317">
        <v>3314</v>
      </c>
      <c r="F3317" s="63"/>
      <c r="G3317" s="63"/>
      <c r="H3317" t="s">
        <v>26</v>
      </c>
      <c r="I3317" s="64"/>
      <c r="J3317" s="31"/>
      <c r="K3317" s="31"/>
      <c r="L3317" s="31"/>
      <c r="M3317" s="31"/>
      <c r="N3317" s="4"/>
      <c r="AG3317" t="s">
        <v>3028</v>
      </c>
      <c r="AM3317" s="1">
        <f t="shared" si="42"/>
        <v>0</v>
      </c>
    </row>
    <row r="3318" spans="1:39" x14ac:dyDescent="0.35">
      <c r="A3318">
        <v>3314</v>
      </c>
      <c r="B3318">
        <v>3315</v>
      </c>
      <c r="F3318" s="63"/>
      <c r="G3318" s="63"/>
      <c r="H3318" t="s">
        <v>26</v>
      </c>
      <c r="I3318" s="64"/>
      <c r="J3318" s="31"/>
      <c r="K3318" s="31"/>
      <c r="L3318" s="31"/>
      <c r="M3318" s="31"/>
      <c r="N3318" s="4"/>
      <c r="AG3318" t="s">
        <v>3029</v>
      </c>
      <c r="AM3318" s="1">
        <f t="shared" si="42"/>
        <v>0</v>
      </c>
    </row>
    <row r="3319" spans="1:39" x14ac:dyDescent="0.35">
      <c r="A3319">
        <v>3315</v>
      </c>
      <c r="B3319">
        <v>3316</v>
      </c>
      <c r="F3319" s="63"/>
      <c r="G3319" s="63"/>
      <c r="H3319" t="s">
        <v>26</v>
      </c>
      <c r="I3319" s="64"/>
      <c r="J3319" s="31"/>
      <c r="K3319" s="31"/>
      <c r="L3319" s="31"/>
      <c r="M3319" s="31"/>
      <c r="N3319" s="4"/>
      <c r="AG3319" t="s">
        <v>3030</v>
      </c>
      <c r="AM3319" s="1">
        <f t="shared" si="42"/>
        <v>0</v>
      </c>
    </row>
    <row r="3320" spans="1:39" x14ac:dyDescent="0.35">
      <c r="A3320">
        <v>3316</v>
      </c>
      <c r="B3320">
        <v>3317</v>
      </c>
      <c r="F3320" s="63"/>
      <c r="G3320" s="63"/>
      <c r="H3320" t="s">
        <v>26</v>
      </c>
      <c r="I3320" s="64"/>
      <c r="J3320" s="31"/>
      <c r="K3320" s="31"/>
      <c r="L3320" s="31"/>
      <c r="M3320" s="31"/>
      <c r="N3320" s="4"/>
      <c r="AG3320" t="s">
        <v>3031</v>
      </c>
      <c r="AM3320" s="1">
        <f t="shared" si="42"/>
        <v>0</v>
      </c>
    </row>
    <row r="3321" spans="1:39" x14ac:dyDescent="0.35">
      <c r="A3321">
        <v>3317</v>
      </c>
      <c r="B3321">
        <v>3318</v>
      </c>
      <c r="F3321" s="63"/>
      <c r="G3321" s="63"/>
      <c r="H3321" t="s">
        <v>26</v>
      </c>
      <c r="I3321" s="64"/>
      <c r="J3321" s="31"/>
      <c r="K3321" s="31"/>
      <c r="L3321" s="31"/>
      <c r="M3321" s="31"/>
      <c r="N3321" s="4"/>
      <c r="AG3321" t="s">
        <v>3032</v>
      </c>
    </row>
    <row r="3322" spans="1:39" x14ac:dyDescent="0.35">
      <c r="A3322">
        <v>3318</v>
      </c>
      <c r="B3322">
        <v>3319</v>
      </c>
      <c r="F3322" s="63"/>
      <c r="G3322" s="63"/>
      <c r="H3322" t="s">
        <v>26</v>
      </c>
      <c r="I3322" s="64"/>
      <c r="J3322" s="31"/>
      <c r="K3322" s="31"/>
      <c r="L3322" s="31"/>
      <c r="M3322" s="31"/>
      <c r="N3322" s="4"/>
      <c r="AG3322" t="s">
        <v>3033</v>
      </c>
      <c r="AM3322" s="1">
        <f t="shared" si="42"/>
        <v>0</v>
      </c>
    </row>
    <row r="3323" spans="1:39" x14ac:dyDescent="0.35">
      <c r="A3323">
        <v>3319</v>
      </c>
      <c r="B3323">
        <v>3320</v>
      </c>
      <c r="F3323" s="63"/>
      <c r="G3323" s="63"/>
      <c r="H3323" t="s">
        <v>26</v>
      </c>
      <c r="I3323" s="64"/>
      <c r="J3323" s="31"/>
      <c r="K3323" s="31"/>
      <c r="L3323" s="31"/>
      <c r="M3323" s="31"/>
      <c r="N3323" s="4"/>
      <c r="AG3323" t="s">
        <v>3034</v>
      </c>
      <c r="AM3323" s="1">
        <f t="shared" si="42"/>
        <v>0</v>
      </c>
    </row>
    <row r="3324" spans="1:39" x14ac:dyDescent="0.35">
      <c r="A3324">
        <v>3320</v>
      </c>
      <c r="B3324">
        <v>3321</v>
      </c>
      <c r="F3324" s="63"/>
      <c r="G3324" s="63"/>
      <c r="H3324" t="s">
        <v>26</v>
      </c>
      <c r="I3324" s="64"/>
      <c r="J3324" s="31"/>
      <c r="K3324" s="31"/>
      <c r="L3324" s="31"/>
      <c r="M3324" s="31"/>
      <c r="N3324" s="4"/>
      <c r="AG3324" t="s">
        <v>3035</v>
      </c>
      <c r="AM3324" s="1">
        <f t="shared" si="42"/>
        <v>0</v>
      </c>
    </row>
    <row r="3325" spans="1:39" x14ac:dyDescent="0.35">
      <c r="A3325">
        <v>3321</v>
      </c>
      <c r="B3325">
        <v>3322</v>
      </c>
      <c r="F3325" s="63"/>
      <c r="G3325" s="63"/>
      <c r="H3325" t="s">
        <v>26</v>
      </c>
      <c r="I3325" s="64"/>
      <c r="J3325" s="31"/>
      <c r="K3325" s="31"/>
      <c r="L3325" s="31"/>
      <c r="M3325" s="31"/>
      <c r="N3325" s="4"/>
      <c r="AG3325" t="s">
        <v>3036</v>
      </c>
      <c r="AK3325" s="1">
        <f>HYPERLINK("E:\CAFNEC_GBRF\2023\JohnstoneRiver\Frames_for_Analysis\" &amp; F3322, F3322)</f>
        <v>0</v>
      </c>
      <c r="AM3325" s="1">
        <f t="shared" si="42"/>
        <v>0</v>
      </c>
    </row>
    <row r="3326" spans="1:39" x14ac:dyDescent="0.35">
      <c r="A3326">
        <v>3322</v>
      </c>
      <c r="B3326">
        <v>3323</v>
      </c>
      <c r="F3326" s="63"/>
      <c r="G3326" s="63"/>
      <c r="H3326" t="s">
        <v>26</v>
      </c>
      <c r="I3326" s="64"/>
      <c r="J3326" s="31"/>
      <c r="K3326" s="31"/>
      <c r="L3326" s="31"/>
      <c r="M3326" s="31"/>
      <c r="N3326" s="4"/>
      <c r="AG3326" t="s">
        <v>3037</v>
      </c>
      <c r="AM3326" s="1">
        <f t="shared" si="42"/>
        <v>0</v>
      </c>
    </row>
    <row r="3327" spans="1:39" x14ac:dyDescent="0.35">
      <c r="A3327">
        <v>3323</v>
      </c>
      <c r="B3327">
        <v>3324</v>
      </c>
      <c r="F3327" s="63"/>
      <c r="G3327" s="63"/>
      <c r="H3327" t="s">
        <v>26</v>
      </c>
      <c r="I3327" s="64"/>
      <c r="J3327" s="31"/>
      <c r="K3327" s="31"/>
      <c r="L3327" s="31"/>
      <c r="M3327" s="31"/>
      <c r="N3327" s="4"/>
      <c r="AG3327" t="s">
        <v>3038</v>
      </c>
      <c r="AM3327" s="1">
        <f t="shared" si="42"/>
        <v>0</v>
      </c>
    </row>
    <row r="3328" spans="1:39" x14ac:dyDescent="0.35">
      <c r="A3328">
        <v>3324</v>
      </c>
      <c r="B3328">
        <v>3325</v>
      </c>
      <c r="F3328" s="63"/>
      <c r="G3328" s="63"/>
      <c r="H3328" t="s">
        <v>26</v>
      </c>
      <c r="I3328" s="64"/>
      <c r="J3328" s="31"/>
      <c r="K3328" s="31"/>
      <c r="L3328" s="31"/>
      <c r="M3328" s="31"/>
      <c r="N3328" s="4"/>
      <c r="AG3328" t="s">
        <v>3039</v>
      </c>
      <c r="AM3328" s="1">
        <f t="shared" si="42"/>
        <v>0</v>
      </c>
    </row>
    <row r="3329" spans="1:39" x14ac:dyDescent="0.35">
      <c r="A3329">
        <v>3325</v>
      </c>
      <c r="B3329">
        <v>3326</v>
      </c>
      <c r="F3329" s="63"/>
      <c r="G3329" s="63"/>
      <c r="H3329" t="s">
        <v>26</v>
      </c>
      <c r="I3329" s="64"/>
      <c r="J3329" s="31"/>
      <c r="K3329" s="31"/>
      <c r="L3329" s="31"/>
      <c r="M3329" s="31"/>
      <c r="N3329" s="4"/>
      <c r="AG3329" t="s">
        <v>3040</v>
      </c>
      <c r="AM3329" s="1">
        <f t="shared" si="42"/>
        <v>0</v>
      </c>
    </row>
    <row r="3330" spans="1:39" x14ac:dyDescent="0.35">
      <c r="A3330">
        <v>3326</v>
      </c>
      <c r="B3330">
        <v>3327</v>
      </c>
      <c r="F3330" s="63"/>
      <c r="G3330" s="63"/>
      <c r="H3330" t="s">
        <v>26</v>
      </c>
      <c r="I3330" s="64"/>
      <c r="J3330" s="31"/>
      <c r="K3330" s="31"/>
      <c r="L3330" s="31"/>
      <c r="M3330" s="31"/>
      <c r="N3330" s="4"/>
      <c r="AG3330" t="s">
        <v>3041</v>
      </c>
      <c r="AM3330" s="1">
        <f t="shared" si="42"/>
        <v>0</v>
      </c>
    </row>
    <row r="3331" spans="1:39" x14ac:dyDescent="0.35">
      <c r="A3331">
        <v>3327</v>
      </c>
      <c r="B3331">
        <v>3328</v>
      </c>
      <c r="F3331" s="63"/>
      <c r="G3331" s="63"/>
      <c r="H3331" t="s">
        <v>26</v>
      </c>
      <c r="I3331" s="64"/>
      <c r="J3331" s="31"/>
      <c r="K3331" s="31"/>
      <c r="L3331" s="31"/>
      <c r="M3331" s="31"/>
      <c r="N3331" s="4"/>
      <c r="AG3331" t="s">
        <v>3042</v>
      </c>
      <c r="AM3331" s="1">
        <f t="shared" si="42"/>
        <v>0</v>
      </c>
    </row>
    <row r="3332" spans="1:39" x14ac:dyDescent="0.35">
      <c r="A3332">
        <v>3328</v>
      </c>
      <c r="B3332">
        <v>3329</v>
      </c>
      <c r="F3332" s="63"/>
      <c r="G3332" s="63"/>
      <c r="H3332" t="s">
        <v>26</v>
      </c>
      <c r="I3332" s="64"/>
      <c r="J3332" s="31"/>
      <c r="K3332" s="31"/>
      <c r="L3332" s="31"/>
      <c r="M3332" s="31"/>
      <c r="N3332" s="4"/>
      <c r="AG3332" t="s">
        <v>3043</v>
      </c>
      <c r="AM3332" s="1">
        <f t="shared" si="42"/>
        <v>0</v>
      </c>
    </row>
    <row r="3333" spans="1:39" x14ac:dyDescent="0.35">
      <c r="A3333">
        <v>3329</v>
      </c>
      <c r="B3333">
        <v>3330</v>
      </c>
      <c r="F3333" s="63"/>
      <c r="G3333" s="63"/>
      <c r="H3333" t="s">
        <v>26</v>
      </c>
      <c r="I3333" s="64"/>
      <c r="J3333" s="31"/>
      <c r="K3333" s="31"/>
      <c r="L3333" s="31"/>
      <c r="M3333" s="31"/>
      <c r="N3333" s="4"/>
      <c r="AG3333" t="s">
        <v>3044</v>
      </c>
      <c r="AM3333" s="1">
        <f t="shared" si="42"/>
        <v>0</v>
      </c>
    </row>
    <row r="3334" spans="1:39" x14ac:dyDescent="0.35">
      <c r="A3334">
        <v>3330</v>
      </c>
      <c r="B3334">
        <v>3331</v>
      </c>
      <c r="F3334" s="63"/>
      <c r="G3334" s="63"/>
      <c r="H3334" t="s">
        <v>26</v>
      </c>
      <c r="I3334" s="64"/>
      <c r="J3334" s="31"/>
      <c r="K3334" s="31"/>
      <c r="L3334" s="31"/>
      <c r="M3334" s="31"/>
      <c r="N3334" s="4"/>
      <c r="AG3334" t="s">
        <v>3045</v>
      </c>
      <c r="AM3334" s="1">
        <f t="shared" si="42"/>
        <v>0</v>
      </c>
    </row>
    <row r="3335" spans="1:39" x14ac:dyDescent="0.35">
      <c r="A3335">
        <v>3331</v>
      </c>
      <c r="B3335">
        <v>3332</v>
      </c>
      <c r="F3335" s="63"/>
      <c r="G3335" s="63"/>
      <c r="H3335" t="s">
        <v>26</v>
      </c>
      <c r="I3335" s="64"/>
      <c r="J3335" s="31"/>
      <c r="K3335" s="31"/>
      <c r="L3335" s="31"/>
      <c r="M3335" s="31"/>
      <c r="N3335" s="4"/>
      <c r="AG3335" t="s">
        <v>3046</v>
      </c>
      <c r="AM3335" s="1">
        <f t="shared" si="42"/>
        <v>0</v>
      </c>
    </row>
    <row r="3336" spans="1:39" x14ac:dyDescent="0.35">
      <c r="A3336">
        <v>3332</v>
      </c>
      <c r="B3336">
        <v>3333</v>
      </c>
      <c r="F3336" s="63"/>
      <c r="G3336" s="63"/>
      <c r="H3336" t="s">
        <v>26</v>
      </c>
      <c r="I3336" s="64"/>
      <c r="J3336" s="31"/>
      <c r="K3336" s="31"/>
      <c r="L3336" s="31"/>
      <c r="M3336" s="31"/>
      <c r="N3336" s="4"/>
      <c r="AG3336" t="s">
        <v>3047</v>
      </c>
      <c r="AM3336" s="1">
        <f t="shared" si="42"/>
        <v>0</v>
      </c>
    </row>
    <row r="3337" spans="1:39" x14ac:dyDescent="0.35">
      <c r="A3337">
        <v>3333</v>
      </c>
      <c r="B3337">
        <v>3334</v>
      </c>
      <c r="F3337" s="63"/>
      <c r="G3337" s="63"/>
      <c r="H3337" t="s">
        <v>26</v>
      </c>
      <c r="I3337" s="64"/>
      <c r="J3337" s="31"/>
      <c r="K3337" s="31"/>
      <c r="L3337" s="31"/>
      <c r="M3337" s="31"/>
      <c r="N3337" s="4"/>
      <c r="AG3337" t="s">
        <v>3048</v>
      </c>
      <c r="AM3337" s="1">
        <f t="shared" si="42"/>
        <v>0</v>
      </c>
    </row>
    <row r="3338" spans="1:39" x14ac:dyDescent="0.35">
      <c r="A3338">
        <v>3334</v>
      </c>
      <c r="B3338">
        <v>3335</v>
      </c>
      <c r="F3338" s="63"/>
      <c r="G3338" s="63"/>
      <c r="H3338" t="s">
        <v>26</v>
      </c>
      <c r="I3338" s="64"/>
      <c r="J3338" s="31"/>
      <c r="K3338" s="31"/>
      <c r="L3338" s="31"/>
      <c r="M3338" s="31"/>
      <c r="N3338" s="4"/>
      <c r="AG3338" t="s">
        <v>3049</v>
      </c>
      <c r="AM3338" s="1">
        <f t="shared" si="42"/>
        <v>0</v>
      </c>
    </row>
    <row r="3339" spans="1:39" x14ac:dyDescent="0.35">
      <c r="A3339">
        <v>3335</v>
      </c>
      <c r="B3339">
        <v>3336</v>
      </c>
      <c r="F3339" s="63"/>
      <c r="G3339" s="63"/>
      <c r="H3339" t="s">
        <v>26</v>
      </c>
      <c r="I3339" s="64"/>
      <c r="J3339" s="31"/>
      <c r="K3339" s="31"/>
      <c r="L3339" s="31"/>
      <c r="M3339" s="31"/>
      <c r="N3339" s="4"/>
      <c r="AG3339" t="s">
        <v>3050</v>
      </c>
      <c r="AM3339" s="1">
        <f t="shared" si="42"/>
        <v>0</v>
      </c>
    </row>
    <row r="3340" spans="1:39" x14ac:dyDescent="0.35">
      <c r="A3340">
        <v>3336</v>
      </c>
      <c r="B3340">
        <v>3337</v>
      </c>
      <c r="F3340" s="63"/>
      <c r="G3340" s="63"/>
      <c r="H3340" t="s">
        <v>26</v>
      </c>
      <c r="I3340" s="64"/>
      <c r="N3340" s="4"/>
      <c r="AG3340" t="s">
        <v>3051</v>
      </c>
      <c r="AM3340" s="1">
        <f t="shared" si="42"/>
        <v>0</v>
      </c>
    </row>
    <row r="3341" spans="1:39" x14ac:dyDescent="0.35">
      <c r="A3341">
        <v>3337</v>
      </c>
      <c r="B3341">
        <v>3338</v>
      </c>
      <c r="F3341" s="63"/>
      <c r="G3341" s="63"/>
      <c r="H3341" t="s">
        <v>26</v>
      </c>
      <c r="I3341" s="64"/>
      <c r="N3341" s="4"/>
      <c r="AG3341" t="s">
        <v>3052</v>
      </c>
      <c r="AM3341" s="1">
        <f t="shared" si="42"/>
        <v>0</v>
      </c>
    </row>
    <row r="3342" spans="1:39" x14ac:dyDescent="0.35">
      <c r="A3342">
        <v>3338</v>
      </c>
      <c r="B3342">
        <v>3339</v>
      </c>
      <c r="F3342" s="63"/>
      <c r="G3342" s="63"/>
      <c r="H3342" t="s">
        <v>26</v>
      </c>
      <c r="I3342" s="64"/>
      <c r="N3342" s="4"/>
      <c r="AG3342" t="s">
        <v>3053</v>
      </c>
      <c r="AM3342" s="1">
        <f t="shared" si="42"/>
        <v>0</v>
      </c>
    </row>
    <row r="3343" spans="1:39" x14ac:dyDescent="0.35">
      <c r="A3343">
        <v>3339</v>
      </c>
      <c r="B3343">
        <v>3340</v>
      </c>
      <c r="F3343" s="63"/>
      <c r="G3343" s="63"/>
      <c r="H3343" t="s">
        <v>26</v>
      </c>
      <c r="I3343" s="64"/>
      <c r="N3343" s="4"/>
      <c r="AG3343" t="s">
        <v>3054</v>
      </c>
      <c r="AM3343" s="1">
        <f t="shared" si="42"/>
        <v>0</v>
      </c>
    </row>
    <row r="3344" spans="1:39" x14ac:dyDescent="0.35">
      <c r="A3344">
        <v>3340</v>
      </c>
      <c r="B3344">
        <v>3341</v>
      </c>
      <c r="F3344" s="63"/>
      <c r="G3344" s="63"/>
      <c r="H3344" t="s">
        <v>26</v>
      </c>
      <c r="I3344" s="64"/>
      <c r="N3344" s="4"/>
      <c r="AG3344" t="s">
        <v>3055</v>
      </c>
      <c r="AM3344" s="1">
        <f t="shared" si="42"/>
        <v>0</v>
      </c>
    </row>
    <row r="3345" spans="1:39" x14ac:dyDescent="0.35">
      <c r="A3345">
        <v>3341</v>
      </c>
      <c r="B3345">
        <v>3342</v>
      </c>
      <c r="F3345" s="63"/>
      <c r="G3345" s="63"/>
      <c r="H3345" t="s">
        <v>26</v>
      </c>
      <c r="I3345" s="64"/>
      <c r="N3345" s="4"/>
      <c r="AG3345" t="s">
        <v>3056</v>
      </c>
      <c r="AM3345" s="1">
        <f t="shared" si="42"/>
        <v>0</v>
      </c>
    </row>
    <row r="3346" spans="1:39" x14ac:dyDescent="0.35">
      <c r="A3346">
        <v>3342</v>
      </c>
      <c r="B3346">
        <v>3343</v>
      </c>
      <c r="F3346" s="63"/>
      <c r="G3346" s="63"/>
      <c r="H3346" t="s">
        <v>26</v>
      </c>
      <c r="I3346" s="64"/>
      <c r="N3346" s="4"/>
      <c r="AG3346" t="s">
        <v>3057</v>
      </c>
      <c r="AM3346" s="1">
        <f t="shared" si="42"/>
        <v>0</v>
      </c>
    </row>
    <row r="3347" spans="1:39" x14ac:dyDescent="0.35">
      <c r="A3347">
        <v>3343</v>
      </c>
      <c r="B3347">
        <v>3344</v>
      </c>
      <c r="F3347" s="63"/>
      <c r="G3347" s="63"/>
      <c r="H3347" t="s">
        <v>26</v>
      </c>
      <c r="I3347" s="64"/>
      <c r="N3347" s="4"/>
      <c r="AG3347" t="s">
        <v>3058</v>
      </c>
      <c r="AM3347" s="1">
        <f t="shared" si="42"/>
        <v>0</v>
      </c>
    </row>
    <row r="3348" spans="1:39" x14ac:dyDescent="0.35">
      <c r="A3348">
        <v>3344</v>
      </c>
      <c r="B3348">
        <v>3345</v>
      </c>
      <c r="F3348" s="63"/>
      <c r="G3348" s="63"/>
      <c r="H3348" t="s">
        <v>26</v>
      </c>
      <c r="I3348" s="64"/>
      <c r="N3348" s="4"/>
      <c r="AG3348" t="s">
        <v>3059</v>
      </c>
      <c r="AM3348" s="1">
        <f t="shared" si="42"/>
        <v>0</v>
      </c>
    </row>
    <row r="3349" spans="1:39" x14ac:dyDescent="0.35">
      <c r="A3349">
        <v>3345</v>
      </c>
      <c r="B3349">
        <v>3346</v>
      </c>
      <c r="F3349" s="63"/>
      <c r="G3349" s="63"/>
      <c r="H3349" t="s">
        <v>26</v>
      </c>
      <c r="I3349" s="64"/>
      <c r="N3349" s="4"/>
      <c r="AG3349" t="s">
        <v>3060</v>
      </c>
      <c r="AM3349" s="1">
        <f t="shared" si="42"/>
        <v>0</v>
      </c>
    </row>
    <row r="3350" spans="1:39" x14ac:dyDescent="0.35">
      <c r="A3350">
        <v>3346</v>
      </c>
      <c r="B3350">
        <v>3347</v>
      </c>
      <c r="F3350" s="63"/>
      <c r="G3350" s="63"/>
      <c r="H3350" t="s">
        <v>26</v>
      </c>
      <c r="I3350" s="64"/>
      <c r="N3350" s="4"/>
      <c r="AG3350" t="s">
        <v>3061</v>
      </c>
      <c r="AM3350" s="1">
        <f t="shared" si="42"/>
        <v>0</v>
      </c>
    </row>
    <row r="3351" spans="1:39" x14ac:dyDescent="0.35">
      <c r="A3351">
        <v>3347</v>
      </c>
      <c r="B3351">
        <v>3348</v>
      </c>
      <c r="F3351" s="63"/>
      <c r="G3351" s="63"/>
      <c r="H3351" t="s">
        <v>26</v>
      </c>
      <c r="I3351" s="64"/>
      <c r="N3351" s="4"/>
      <c r="AG3351" t="s">
        <v>3062</v>
      </c>
      <c r="AM3351" s="1">
        <f t="shared" si="42"/>
        <v>0</v>
      </c>
    </row>
    <row r="3352" spans="1:39" x14ac:dyDescent="0.35">
      <c r="A3352">
        <v>3348</v>
      </c>
      <c r="B3352">
        <v>3349</v>
      </c>
      <c r="F3352" s="63"/>
      <c r="G3352" s="63"/>
      <c r="H3352" t="s">
        <v>26</v>
      </c>
      <c r="I3352" s="64"/>
      <c r="N3352" s="4"/>
      <c r="AG3352" t="s">
        <v>3063</v>
      </c>
      <c r="AM3352" s="1">
        <f t="shared" si="42"/>
        <v>0</v>
      </c>
    </row>
    <row r="3353" spans="1:39" x14ac:dyDescent="0.35">
      <c r="A3353">
        <v>3349</v>
      </c>
      <c r="B3353">
        <v>3350</v>
      </c>
      <c r="F3353" s="63"/>
      <c r="G3353" s="63"/>
      <c r="H3353" t="s">
        <v>26</v>
      </c>
      <c r="I3353" s="64"/>
      <c r="N3353" s="4"/>
      <c r="AG3353" t="s">
        <v>3064</v>
      </c>
      <c r="AM3353" s="1">
        <f t="shared" si="42"/>
        <v>0</v>
      </c>
    </row>
    <row r="3354" spans="1:39" x14ac:dyDescent="0.35">
      <c r="A3354">
        <v>3350</v>
      </c>
      <c r="B3354">
        <v>3351</v>
      </c>
      <c r="F3354" s="63"/>
      <c r="G3354" s="63"/>
      <c r="H3354" t="s">
        <v>26</v>
      </c>
      <c r="I3354" s="64"/>
      <c r="N3354" s="4"/>
      <c r="AG3354" t="s">
        <v>3065</v>
      </c>
      <c r="AM3354" s="1">
        <f t="shared" si="42"/>
        <v>0</v>
      </c>
    </row>
    <row r="3355" spans="1:39" x14ac:dyDescent="0.35">
      <c r="A3355">
        <v>3351</v>
      </c>
      <c r="B3355">
        <v>3352</v>
      </c>
      <c r="F3355" s="63"/>
      <c r="G3355" s="63"/>
      <c r="H3355" t="s">
        <v>26</v>
      </c>
      <c r="I3355" s="64"/>
      <c r="N3355" s="4"/>
      <c r="AG3355" t="s">
        <v>3066</v>
      </c>
      <c r="AM3355" s="1">
        <f t="shared" si="42"/>
        <v>0</v>
      </c>
    </row>
    <row r="3356" spans="1:39" x14ac:dyDescent="0.35">
      <c r="A3356">
        <v>3352</v>
      </c>
      <c r="B3356">
        <v>3353</v>
      </c>
      <c r="F3356" s="63"/>
      <c r="G3356" s="63"/>
      <c r="H3356" t="s">
        <v>26</v>
      </c>
      <c r="I3356" s="64"/>
      <c r="N3356" s="4"/>
      <c r="AG3356" t="s">
        <v>3067</v>
      </c>
      <c r="AM3356" s="1">
        <f t="shared" si="42"/>
        <v>0</v>
      </c>
    </row>
    <row r="3357" spans="1:39" x14ac:dyDescent="0.35">
      <c r="A3357">
        <v>3353</v>
      </c>
      <c r="B3357">
        <v>3354</v>
      </c>
      <c r="F3357" s="63"/>
      <c r="G3357" s="63"/>
      <c r="H3357" t="s">
        <v>26</v>
      </c>
      <c r="I3357" s="64"/>
      <c r="N3357" s="4"/>
      <c r="AG3357" t="s">
        <v>3068</v>
      </c>
      <c r="AM3357" s="1">
        <f t="shared" si="42"/>
        <v>0</v>
      </c>
    </row>
    <row r="3358" spans="1:39" x14ac:dyDescent="0.35">
      <c r="A3358">
        <v>3354</v>
      </c>
      <c r="B3358">
        <v>3355</v>
      </c>
      <c r="F3358" s="63"/>
      <c r="G3358" s="63"/>
      <c r="H3358" t="s">
        <v>26</v>
      </c>
      <c r="I3358" s="64"/>
      <c r="N3358" s="4"/>
      <c r="AG3358" t="s">
        <v>3069</v>
      </c>
      <c r="AM3358" s="1">
        <f t="shared" si="42"/>
        <v>0</v>
      </c>
    </row>
    <row r="3359" spans="1:39" x14ac:dyDescent="0.35">
      <c r="A3359">
        <v>3355</v>
      </c>
      <c r="B3359">
        <v>3356</v>
      </c>
      <c r="F3359" s="63"/>
      <c r="G3359" s="63"/>
      <c r="H3359" t="s">
        <v>26</v>
      </c>
      <c r="I3359" s="64"/>
      <c r="N3359" s="4"/>
      <c r="AG3359" t="s">
        <v>3070</v>
      </c>
      <c r="AM3359" s="1">
        <f t="shared" si="42"/>
        <v>0</v>
      </c>
    </row>
    <row r="3360" spans="1:39" x14ac:dyDescent="0.35">
      <c r="A3360">
        <v>3356</v>
      </c>
      <c r="B3360">
        <v>3357</v>
      </c>
      <c r="F3360" s="63"/>
      <c r="G3360" s="63"/>
      <c r="H3360" t="s">
        <v>26</v>
      </c>
      <c r="I3360" s="64"/>
      <c r="N3360" s="4"/>
      <c r="AG3360" t="s">
        <v>3071</v>
      </c>
      <c r="AM3360" s="1">
        <f t="shared" si="42"/>
        <v>0</v>
      </c>
    </row>
    <row r="3361" spans="1:39" x14ac:dyDescent="0.35">
      <c r="A3361">
        <v>3357</v>
      </c>
      <c r="B3361">
        <v>3358</v>
      </c>
      <c r="F3361" s="63"/>
      <c r="G3361" s="63"/>
      <c r="H3361" t="s">
        <v>26</v>
      </c>
      <c r="I3361" s="64"/>
      <c r="N3361" s="4"/>
      <c r="AG3361" t="s">
        <v>3072</v>
      </c>
      <c r="AM3361" s="1">
        <f t="shared" si="42"/>
        <v>0</v>
      </c>
    </row>
    <row r="3362" spans="1:39" x14ac:dyDescent="0.35">
      <c r="A3362">
        <v>3358</v>
      </c>
      <c r="B3362">
        <v>3359</v>
      </c>
      <c r="F3362" s="63"/>
      <c r="G3362" s="63"/>
      <c r="H3362" t="s">
        <v>26</v>
      </c>
      <c r="I3362" s="64"/>
      <c r="N3362" s="4"/>
      <c r="AG3362" t="s">
        <v>3073</v>
      </c>
      <c r="AM3362" s="1">
        <f t="shared" si="42"/>
        <v>0</v>
      </c>
    </row>
    <row r="3363" spans="1:39" x14ac:dyDescent="0.35">
      <c r="A3363">
        <v>3359</v>
      </c>
      <c r="B3363">
        <v>3360</v>
      </c>
      <c r="F3363" s="63"/>
      <c r="G3363" s="63"/>
      <c r="H3363" t="s">
        <v>26</v>
      </c>
      <c r="I3363" s="64"/>
      <c r="N3363" s="4"/>
      <c r="AG3363" t="s">
        <v>3074</v>
      </c>
      <c r="AM3363" s="1">
        <f t="shared" si="42"/>
        <v>0</v>
      </c>
    </row>
    <row r="3364" spans="1:39" x14ac:dyDescent="0.35">
      <c r="A3364">
        <v>3360</v>
      </c>
      <c r="B3364">
        <v>3361</v>
      </c>
      <c r="F3364" s="63"/>
      <c r="G3364" s="63"/>
      <c r="H3364" t="s">
        <v>26</v>
      </c>
      <c r="I3364" s="64"/>
      <c r="N3364" s="4"/>
      <c r="AG3364" t="s">
        <v>3075</v>
      </c>
      <c r="AM3364" s="1">
        <f t="shared" si="42"/>
        <v>0</v>
      </c>
    </row>
    <row r="3365" spans="1:39" x14ac:dyDescent="0.35">
      <c r="A3365">
        <v>3361</v>
      </c>
      <c r="B3365">
        <v>3362</v>
      </c>
      <c r="F3365" s="63"/>
      <c r="G3365" s="63"/>
      <c r="H3365" t="s">
        <v>26</v>
      </c>
      <c r="I3365" s="64"/>
      <c r="N3365" s="4"/>
      <c r="AG3365" t="s">
        <v>3076</v>
      </c>
      <c r="AM3365" s="1">
        <f t="shared" si="42"/>
        <v>0</v>
      </c>
    </row>
    <row r="3366" spans="1:39" x14ac:dyDescent="0.35">
      <c r="A3366">
        <v>3362</v>
      </c>
      <c r="B3366">
        <v>3363</v>
      </c>
      <c r="F3366" s="63"/>
      <c r="G3366" s="63"/>
      <c r="H3366" t="s">
        <v>26</v>
      </c>
      <c r="I3366" s="64"/>
      <c r="N3366" s="4"/>
      <c r="AG3366" t="s">
        <v>3077</v>
      </c>
      <c r="AM3366" s="1">
        <f t="shared" si="42"/>
        <v>0</v>
      </c>
    </row>
    <row r="3367" spans="1:39" x14ac:dyDescent="0.35">
      <c r="A3367">
        <v>3363</v>
      </c>
      <c r="B3367">
        <v>3364</v>
      </c>
      <c r="F3367" s="63"/>
      <c r="G3367" s="63"/>
      <c r="H3367" t="s">
        <v>26</v>
      </c>
      <c r="I3367" s="64"/>
      <c r="N3367" s="4"/>
      <c r="AG3367" t="s">
        <v>3078</v>
      </c>
      <c r="AM3367" s="1">
        <f t="shared" si="42"/>
        <v>0</v>
      </c>
    </row>
    <row r="3368" spans="1:39" x14ac:dyDescent="0.35">
      <c r="A3368">
        <v>3364</v>
      </c>
      <c r="B3368">
        <v>3365</v>
      </c>
      <c r="F3368" s="63"/>
      <c r="G3368" s="63"/>
      <c r="H3368" t="s">
        <v>26</v>
      </c>
      <c r="I3368" s="64"/>
      <c r="N3368" s="4"/>
      <c r="AG3368" t="s">
        <v>3079</v>
      </c>
      <c r="AM3368" s="1">
        <f t="shared" si="42"/>
        <v>0</v>
      </c>
    </row>
    <row r="3369" spans="1:39" x14ac:dyDescent="0.35">
      <c r="A3369">
        <v>3365</v>
      </c>
      <c r="B3369">
        <v>3366</v>
      </c>
      <c r="F3369" s="63"/>
      <c r="G3369" s="63"/>
      <c r="H3369" t="s">
        <v>26</v>
      </c>
      <c r="I3369" s="64"/>
      <c r="N3369" s="4"/>
      <c r="AG3369" t="s">
        <v>3080</v>
      </c>
      <c r="AM3369" s="1">
        <f t="shared" si="42"/>
        <v>0</v>
      </c>
    </row>
    <row r="3370" spans="1:39" x14ac:dyDescent="0.35">
      <c r="A3370">
        <v>3366</v>
      </c>
      <c r="B3370">
        <v>3367</v>
      </c>
      <c r="F3370" s="63"/>
      <c r="G3370" s="63"/>
      <c r="H3370" t="s">
        <v>26</v>
      </c>
      <c r="I3370" s="64"/>
      <c r="N3370" s="4"/>
      <c r="AG3370" t="s">
        <v>3081</v>
      </c>
      <c r="AM3370" s="1">
        <f t="shared" si="42"/>
        <v>0</v>
      </c>
    </row>
    <row r="3371" spans="1:39" x14ac:dyDescent="0.35">
      <c r="A3371">
        <v>3367</v>
      </c>
      <c r="B3371">
        <v>3368</v>
      </c>
      <c r="F3371" s="63"/>
      <c r="G3371" s="63"/>
      <c r="H3371" t="s">
        <v>26</v>
      </c>
      <c r="I3371" s="64"/>
      <c r="N3371" s="4"/>
      <c r="AG3371" t="s">
        <v>3082</v>
      </c>
      <c r="AM3371" s="1">
        <f t="shared" si="42"/>
        <v>0</v>
      </c>
    </row>
    <row r="3372" spans="1:39" x14ac:dyDescent="0.35">
      <c r="A3372">
        <v>3368</v>
      </c>
      <c r="B3372">
        <v>3369</v>
      </c>
      <c r="F3372" s="63"/>
      <c r="G3372" s="63"/>
      <c r="H3372" t="s">
        <v>26</v>
      </c>
      <c r="I3372" s="64"/>
      <c r="N3372" s="4"/>
      <c r="AG3372" t="s">
        <v>3083</v>
      </c>
      <c r="AM3372" s="1">
        <f t="shared" si="42"/>
        <v>0</v>
      </c>
    </row>
    <row r="3373" spans="1:39" x14ac:dyDescent="0.35">
      <c r="A3373">
        <v>3369</v>
      </c>
      <c r="B3373">
        <v>3370</v>
      </c>
      <c r="F3373" s="63"/>
      <c r="G3373" s="63"/>
      <c r="H3373" t="s">
        <v>26</v>
      </c>
      <c r="I3373" s="64"/>
      <c r="N3373" s="4"/>
      <c r="AG3373" t="s">
        <v>3084</v>
      </c>
      <c r="AM3373" s="1">
        <f t="shared" si="42"/>
        <v>0</v>
      </c>
    </row>
    <row r="3374" spans="1:39" x14ac:dyDescent="0.35">
      <c r="A3374">
        <v>3370</v>
      </c>
      <c r="B3374">
        <v>3371</v>
      </c>
      <c r="F3374" s="63"/>
      <c r="G3374" s="63"/>
      <c r="H3374" t="s">
        <v>26</v>
      </c>
      <c r="I3374" s="64"/>
      <c r="N3374" s="4"/>
      <c r="AG3374" t="s">
        <v>3085</v>
      </c>
      <c r="AM3374" s="1">
        <f t="shared" si="42"/>
        <v>0</v>
      </c>
    </row>
    <row r="3375" spans="1:39" x14ac:dyDescent="0.35">
      <c r="A3375">
        <v>3371</v>
      </c>
      <c r="B3375">
        <v>3372</v>
      </c>
      <c r="F3375" s="63"/>
      <c r="G3375" s="63"/>
      <c r="H3375" t="s">
        <v>26</v>
      </c>
      <c r="I3375" s="64"/>
      <c r="N3375" s="4"/>
      <c r="AG3375" t="s">
        <v>3086</v>
      </c>
      <c r="AM3375" s="1">
        <f t="shared" si="42"/>
        <v>0</v>
      </c>
    </row>
    <row r="3376" spans="1:39" x14ac:dyDescent="0.35">
      <c r="A3376">
        <v>3372</v>
      </c>
      <c r="B3376">
        <v>3373</v>
      </c>
      <c r="F3376" s="63"/>
      <c r="G3376" s="63"/>
      <c r="H3376" t="s">
        <v>26</v>
      </c>
      <c r="I3376" s="64"/>
      <c r="N3376" s="4"/>
      <c r="AG3376" t="s">
        <v>3087</v>
      </c>
      <c r="AM3376" s="1">
        <f t="shared" ref="AM3376:AM3439" si="43">HYPERLINK("E:\CAFNEC_GBRF\2023\JohnstoneRiver\Frames_for_Analysis\" &amp; F3377, F3377)</f>
        <v>0</v>
      </c>
    </row>
    <row r="3377" spans="1:39" x14ac:dyDescent="0.35">
      <c r="A3377">
        <v>3373</v>
      </c>
      <c r="B3377">
        <v>3374</v>
      </c>
      <c r="F3377" s="63"/>
      <c r="G3377" s="63"/>
      <c r="H3377" t="s">
        <v>26</v>
      </c>
      <c r="I3377" s="64"/>
      <c r="N3377" s="4"/>
      <c r="AG3377" t="s">
        <v>3088</v>
      </c>
      <c r="AM3377" s="1">
        <f t="shared" si="43"/>
        <v>0</v>
      </c>
    </row>
    <row r="3378" spans="1:39" x14ac:dyDescent="0.35">
      <c r="A3378">
        <v>3374</v>
      </c>
      <c r="B3378">
        <v>3375</v>
      </c>
      <c r="F3378" s="63"/>
      <c r="G3378" s="63"/>
      <c r="H3378" t="s">
        <v>26</v>
      </c>
      <c r="I3378" s="64"/>
      <c r="N3378" s="4"/>
      <c r="AG3378" t="s">
        <v>3089</v>
      </c>
      <c r="AM3378" s="1">
        <f t="shared" si="43"/>
        <v>0</v>
      </c>
    </row>
    <row r="3379" spans="1:39" x14ac:dyDescent="0.35">
      <c r="A3379">
        <v>3375</v>
      </c>
      <c r="B3379">
        <v>3376</v>
      </c>
      <c r="F3379" s="63"/>
      <c r="G3379" s="63"/>
      <c r="H3379" t="s">
        <v>26</v>
      </c>
      <c r="I3379" s="64"/>
      <c r="N3379" s="4"/>
      <c r="AG3379" t="s">
        <v>3090</v>
      </c>
      <c r="AM3379" s="1">
        <f t="shared" si="43"/>
        <v>0</v>
      </c>
    </row>
    <row r="3380" spans="1:39" x14ac:dyDescent="0.35">
      <c r="A3380">
        <v>3376</v>
      </c>
      <c r="B3380">
        <v>3377</v>
      </c>
      <c r="F3380" s="63"/>
      <c r="G3380" s="63"/>
      <c r="H3380" t="s">
        <v>26</v>
      </c>
      <c r="I3380" s="64"/>
      <c r="N3380" s="4"/>
      <c r="AG3380" t="s">
        <v>3091</v>
      </c>
      <c r="AM3380" s="1">
        <f t="shared" si="43"/>
        <v>0</v>
      </c>
    </row>
    <row r="3381" spans="1:39" x14ac:dyDescent="0.35">
      <c r="A3381">
        <v>3377</v>
      </c>
      <c r="B3381">
        <v>3378</v>
      </c>
      <c r="F3381" s="63"/>
      <c r="G3381" s="63"/>
      <c r="H3381" t="s">
        <v>26</v>
      </c>
      <c r="I3381" s="64"/>
      <c r="N3381" s="4"/>
      <c r="AG3381" t="s">
        <v>3092</v>
      </c>
      <c r="AM3381" s="1">
        <f t="shared" si="43"/>
        <v>0</v>
      </c>
    </row>
    <row r="3382" spans="1:39" x14ac:dyDescent="0.35">
      <c r="A3382">
        <v>3378</v>
      </c>
      <c r="B3382">
        <v>3379</v>
      </c>
      <c r="F3382" s="63"/>
      <c r="G3382" s="63"/>
      <c r="H3382" t="s">
        <v>26</v>
      </c>
      <c r="I3382" s="64"/>
      <c r="N3382" s="4"/>
      <c r="AG3382" t="s">
        <v>3093</v>
      </c>
      <c r="AM3382" s="1">
        <f t="shared" si="43"/>
        <v>0</v>
      </c>
    </row>
    <row r="3383" spans="1:39" x14ac:dyDescent="0.35">
      <c r="A3383">
        <v>3379</v>
      </c>
      <c r="B3383">
        <v>3380</v>
      </c>
      <c r="F3383" s="63"/>
      <c r="G3383" s="63"/>
      <c r="H3383" t="s">
        <v>26</v>
      </c>
      <c r="I3383" s="64"/>
      <c r="N3383" s="4"/>
      <c r="AG3383" t="s">
        <v>3094</v>
      </c>
      <c r="AM3383" s="1">
        <f t="shared" si="43"/>
        <v>0</v>
      </c>
    </row>
    <row r="3384" spans="1:39" x14ac:dyDescent="0.35">
      <c r="A3384">
        <v>3380</v>
      </c>
      <c r="B3384">
        <v>3381</v>
      </c>
      <c r="F3384" s="63"/>
      <c r="G3384" s="63"/>
      <c r="H3384" t="s">
        <v>26</v>
      </c>
      <c r="I3384" s="64"/>
      <c r="N3384" s="4"/>
      <c r="AG3384" t="s">
        <v>3095</v>
      </c>
      <c r="AM3384" s="1">
        <f t="shared" si="43"/>
        <v>0</v>
      </c>
    </row>
    <row r="3385" spans="1:39" x14ac:dyDescent="0.35">
      <c r="A3385">
        <v>3381</v>
      </c>
      <c r="B3385">
        <v>3382</v>
      </c>
      <c r="F3385" s="63"/>
      <c r="G3385" s="63"/>
      <c r="H3385" t="s">
        <v>26</v>
      </c>
      <c r="I3385" s="64"/>
      <c r="N3385" s="4"/>
      <c r="AG3385" t="s">
        <v>3096</v>
      </c>
      <c r="AM3385" s="1">
        <f t="shared" si="43"/>
        <v>0</v>
      </c>
    </row>
    <row r="3386" spans="1:39" x14ac:dyDescent="0.35">
      <c r="A3386">
        <v>3382</v>
      </c>
      <c r="B3386">
        <v>3383</v>
      </c>
      <c r="F3386" s="63"/>
      <c r="G3386" s="63"/>
      <c r="H3386" t="s">
        <v>26</v>
      </c>
      <c r="I3386" s="64"/>
      <c r="N3386" s="4"/>
      <c r="AG3386" t="s">
        <v>3097</v>
      </c>
      <c r="AM3386" s="1">
        <f t="shared" si="43"/>
        <v>0</v>
      </c>
    </row>
    <row r="3387" spans="1:39" x14ac:dyDescent="0.35">
      <c r="A3387">
        <v>3383</v>
      </c>
      <c r="B3387">
        <v>3384</v>
      </c>
      <c r="F3387" s="63"/>
      <c r="G3387" s="63"/>
      <c r="H3387" t="s">
        <v>26</v>
      </c>
      <c r="I3387" s="64"/>
      <c r="N3387" s="4"/>
      <c r="AG3387" t="s">
        <v>3098</v>
      </c>
      <c r="AM3387" s="1">
        <f t="shared" si="43"/>
        <v>0</v>
      </c>
    </row>
    <row r="3388" spans="1:39" x14ac:dyDescent="0.35">
      <c r="A3388">
        <v>3384</v>
      </c>
      <c r="B3388">
        <v>3385</v>
      </c>
      <c r="F3388" s="63"/>
      <c r="G3388" s="63"/>
      <c r="H3388" t="s">
        <v>26</v>
      </c>
      <c r="I3388" s="64"/>
      <c r="N3388" s="4"/>
      <c r="AG3388" t="s">
        <v>3099</v>
      </c>
      <c r="AM3388" s="1">
        <f t="shared" si="43"/>
        <v>0</v>
      </c>
    </row>
    <row r="3389" spans="1:39" x14ac:dyDescent="0.35">
      <c r="A3389">
        <v>3385</v>
      </c>
      <c r="B3389">
        <v>3386</v>
      </c>
      <c r="F3389" s="63"/>
      <c r="G3389" s="63"/>
      <c r="H3389" t="s">
        <v>26</v>
      </c>
      <c r="I3389" s="64"/>
      <c r="N3389" s="4"/>
      <c r="AG3389" t="s">
        <v>3100</v>
      </c>
      <c r="AM3389" s="1">
        <f t="shared" si="43"/>
        <v>0</v>
      </c>
    </row>
    <row r="3390" spans="1:39" x14ac:dyDescent="0.35">
      <c r="A3390">
        <v>3386</v>
      </c>
      <c r="B3390">
        <v>3387</v>
      </c>
      <c r="F3390" s="63"/>
      <c r="G3390" s="63"/>
      <c r="H3390" t="s">
        <v>26</v>
      </c>
      <c r="I3390" s="64"/>
      <c r="N3390" s="4"/>
      <c r="AG3390" t="s">
        <v>3101</v>
      </c>
      <c r="AM3390" s="1">
        <f t="shared" si="43"/>
        <v>0</v>
      </c>
    </row>
    <row r="3391" spans="1:39" x14ac:dyDescent="0.35">
      <c r="A3391">
        <v>3387</v>
      </c>
      <c r="B3391">
        <v>3388</v>
      </c>
      <c r="F3391" s="63"/>
      <c r="G3391" s="63"/>
      <c r="H3391" t="s">
        <v>26</v>
      </c>
      <c r="I3391" s="64"/>
      <c r="N3391" s="4"/>
      <c r="AG3391" t="s">
        <v>3102</v>
      </c>
      <c r="AM3391" s="1">
        <f t="shared" si="43"/>
        <v>0</v>
      </c>
    </row>
    <row r="3392" spans="1:39" x14ac:dyDescent="0.35">
      <c r="A3392">
        <v>3388</v>
      </c>
      <c r="B3392">
        <v>3389</v>
      </c>
      <c r="F3392" s="63"/>
      <c r="G3392" s="63"/>
      <c r="H3392" t="s">
        <v>26</v>
      </c>
      <c r="I3392" s="64"/>
      <c r="N3392" s="4"/>
      <c r="AG3392" t="s">
        <v>3103</v>
      </c>
      <c r="AM3392" s="1">
        <f t="shared" si="43"/>
        <v>0</v>
      </c>
    </row>
    <row r="3393" spans="1:39" x14ac:dyDescent="0.35">
      <c r="A3393">
        <v>3389</v>
      </c>
      <c r="B3393">
        <v>3390</v>
      </c>
      <c r="F3393" s="63"/>
      <c r="G3393" s="63"/>
      <c r="H3393" t="s">
        <v>26</v>
      </c>
      <c r="I3393" s="64"/>
      <c r="N3393" s="4"/>
      <c r="AG3393" t="s">
        <v>3104</v>
      </c>
      <c r="AM3393" s="1">
        <f t="shared" si="43"/>
        <v>0</v>
      </c>
    </row>
    <row r="3394" spans="1:39" x14ac:dyDescent="0.35">
      <c r="A3394">
        <v>3390</v>
      </c>
      <c r="B3394">
        <v>3391</v>
      </c>
      <c r="F3394" s="63"/>
      <c r="G3394" s="63"/>
      <c r="H3394" t="s">
        <v>26</v>
      </c>
      <c r="I3394" s="64"/>
      <c r="N3394" s="4"/>
      <c r="AG3394" t="s">
        <v>3105</v>
      </c>
      <c r="AM3394" s="1">
        <f t="shared" si="43"/>
        <v>0</v>
      </c>
    </row>
    <row r="3395" spans="1:39" x14ac:dyDescent="0.35">
      <c r="A3395">
        <v>3391</v>
      </c>
      <c r="B3395">
        <v>3392</v>
      </c>
      <c r="F3395" s="63"/>
      <c r="G3395" s="63"/>
      <c r="H3395" t="s">
        <v>26</v>
      </c>
      <c r="I3395" s="64"/>
      <c r="N3395" s="4"/>
      <c r="AG3395" t="s">
        <v>3106</v>
      </c>
      <c r="AM3395" s="1">
        <f t="shared" si="43"/>
        <v>0</v>
      </c>
    </row>
    <row r="3396" spans="1:39" x14ac:dyDescent="0.35">
      <c r="A3396">
        <v>3392</v>
      </c>
      <c r="B3396">
        <v>3393</v>
      </c>
      <c r="F3396" s="63"/>
      <c r="G3396" s="63"/>
      <c r="H3396" t="s">
        <v>26</v>
      </c>
      <c r="I3396" s="64"/>
      <c r="N3396" s="4"/>
      <c r="AG3396" t="s">
        <v>3107</v>
      </c>
      <c r="AM3396" s="1">
        <f t="shared" si="43"/>
        <v>0</v>
      </c>
    </row>
    <row r="3397" spans="1:39" x14ac:dyDescent="0.35">
      <c r="A3397">
        <v>3393</v>
      </c>
      <c r="B3397">
        <v>3394</v>
      </c>
      <c r="F3397" s="63"/>
      <c r="G3397" s="63"/>
      <c r="H3397" t="s">
        <v>26</v>
      </c>
      <c r="I3397" s="64"/>
      <c r="N3397" s="4"/>
      <c r="AG3397" t="s">
        <v>3108</v>
      </c>
      <c r="AM3397" s="1">
        <f t="shared" si="43"/>
        <v>0</v>
      </c>
    </row>
    <row r="3398" spans="1:39" x14ac:dyDescent="0.35">
      <c r="A3398">
        <v>3394</v>
      </c>
      <c r="B3398">
        <v>3395</v>
      </c>
      <c r="F3398" s="63"/>
      <c r="G3398" s="63"/>
      <c r="H3398" t="s">
        <v>26</v>
      </c>
      <c r="I3398" s="64"/>
      <c r="N3398" s="4"/>
      <c r="AG3398" t="s">
        <v>3109</v>
      </c>
      <c r="AM3398" s="1">
        <f t="shared" si="43"/>
        <v>0</v>
      </c>
    </row>
    <row r="3399" spans="1:39" x14ac:dyDescent="0.35">
      <c r="A3399">
        <v>3395</v>
      </c>
      <c r="B3399">
        <v>3396</v>
      </c>
      <c r="F3399" s="63"/>
      <c r="G3399" s="63"/>
      <c r="H3399" t="s">
        <v>26</v>
      </c>
      <c r="I3399" s="64"/>
      <c r="N3399" s="4"/>
      <c r="AG3399" t="s">
        <v>3110</v>
      </c>
      <c r="AM3399" s="1">
        <f t="shared" si="43"/>
        <v>0</v>
      </c>
    </row>
    <row r="3400" spans="1:39" x14ac:dyDescent="0.35">
      <c r="A3400">
        <v>3396</v>
      </c>
      <c r="B3400">
        <v>3397</v>
      </c>
      <c r="F3400" s="63"/>
      <c r="G3400" s="63"/>
      <c r="H3400" t="s">
        <v>26</v>
      </c>
      <c r="I3400" s="64"/>
      <c r="N3400" s="4"/>
      <c r="AG3400" t="s">
        <v>3111</v>
      </c>
      <c r="AM3400" s="1">
        <f t="shared" si="43"/>
        <v>0</v>
      </c>
    </row>
    <row r="3401" spans="1:39" x14ac:dyDescent="0.35">
      <c r="A3401">
        <v>3397</v>
      </c>
      <c r="B3401">
        <v>3398</v>
      </c>
      <c r="F3401" s="63"/>
      <c r="G3401" s="63"/>
      <c r="H3401" t="s">
        <v>26</v>
      </c>
      <c r="I3401" s="64"/>
      <c r="N3401" s="4"/>
      <c r="AG3401" t="s">
        <v>3112</v>
      </c>
      <c r="AM3401" s="1">
        <f t="shared" si="43"/>
        <v>0</v>
      </c>
    </row>
    <row r="3402" spans="1:39" x14ac:dyDescent="0.35">
      <c r="A3402">
        <v>3398</v>
      </c>
      <c r="B3402">
        <v>3399</v>
      </c>
      <c r="F3402" s="63"/>
      <c r="G3402" s="63"/>
      <c r="H3402" t="s">
        <v>26</v>
      </c>
      <c r="I3402" s="64"/>
      <c r="N3402" s="4"/>
      <c r="AG3402" t="s">
        <v>3113</v>
      </c>
      <c r="AM3402" s="1">
        <f t="shared" si="43"/>
        <v>0</v>
      </c>
    </row>
    <row r="3403" spans="1:39" x14ac:dyDescent="0.35">
      <c r="A3403">
        <v>3399</v>
      </c>
      <c r="B3403">
        <v>3400</v>
      </c>
      <c r="F3403" s="63"/>
      <c r="G3403" s="63"/>
      <c r="H3403" t="s">
        <v>26</v>
      </c>
      <c r="I3403" s="64"/>
      <c r="N3403" s="4"/>
      <c r="AG3403" t="s">
        <v>3114</v>
      </c>
      <c r="AM3403" s="1">
        <f t="shared" si="43"/>
        <v>0</v>
      </c>
    </row>
    <row r="3404" spans="1:39" x14ac:dyDescent="0.35">
      <c r="A3404">
        <v>3400</v>
      </c>
      <c r="B3404">
        <v>3401</v>
      </c>
      <c r="F3404" s="63"/>
      <c r="G3404" s="63"/>
      <c r="H3404" t="s">
        <v>26</v>
      </c>
      <c r="I3404" s="64"/>
      <c r="N3404" s="4"/>
      <c r="AG3404" t="s">
        <v>3115</v>
      </c>
      <c r="AM3404" s="1">
        <f t="shared" si="43"/>
        <v>0</v>
      </c>
    </row>
    <row r="3405" spans="1:39" x14ac:dyDescent="0.35">
      <c r="A3405">
        <v>3401</v>
      </c>
      <c r="B3405">
        <v>3402</v>
      </c>
      <c r="F3405" s="63"/>
      <c r="G3405" s="63"/>
      <c r="H3405" t="s">
        <v>26</v>
      </c>
      <c r="I3405" s="64"/>
      <c r="N3405" s="4"/>
      <c r="AG3405" t="s">
        <v>3116</v>
      </c>
      <c r="AM3405" s="1">
        <f t="shared" si="43"/>
        <v>0</v>
      </c>
    </row>
    <row r="3406" spans="1:39" x14ac:dyDescent="0.35">
      <c r="A3406">
        <v>3402</v>
      </c>
      <c r="B3406">
        <v>3403</v>
      </c>
      <c r="F3406" s="63"/>
      <c r="G3406" s="63"/>
      <c r="H3406" t="s">
        <v>26</v>
      </c>
      <c r="I3406" s="64"/>
      <c r="N3406" s="4"/>
      <c r="AG3406" t="s">
        <v>3117</v>
      </c>
      <c r="AM3406" s="1">
        <f t="shared" si="43"/>
        <v>0</v>
      </c>
    </row>
    <row r="3407" spans="1:39" x14ac:dyDescent="0.35">
      <c r="A3407">
        <v>3403</v>
      </c>
      <c r="B3407">
        <v>3404</v>
      </c>
      <c r="F3407" s="63"/>
      <c r="G3407" s="63"/>
      <c r="H3407" t="s">
        <v>26</v>
      </c>
      <c r="I3407" s="64"/>
      <c r="N3407" s="4"/>
      <c r="AG3407" t="s">
        <v>3118</v>
      </c>
      <c r="AM3407" s="1">
        <f t="shared" si="43"/>
        <v>0</v>
      </c>
    </row>
    <row r="3408" spans="1:39" x14ac:dyDescent="0.35">
      <c r="A3408">
        <v>3404</v>
      </c>
      <c r="B3408">
        <v>3405</v>
      </c>
      <c r="F3408" s="63"/>
      <c r="G3408" s="63"/>
      <c r="H3408" t="s">
        <v>26</v>
      </c>
      <c r="I3408" s="64"/>
      <c r="N3408" s="4"/>
      <c r="AG3408" t="s">
        <v>3119</v>
      </c>
      <c r="AM3408" s="1">
        <f t="shared" si="43"/>
        <v>0</v>
      </c>
    </row>
    <row r="3409" spans="1:39" x14ac:dyDescent="0.35">
      <c r="A3409">
        <v>3405</v>
      </c>
      <c r="B3409">
        <v>3406</v>
      </c>
      <c r="F3409" s="63"/>
      <c r="G3409" s="63"/>
      <c r="H3409" t="s">
        <v>26</v>
      </c>
      <c r="I3409" s="64"/>
      <c r="N3409" s="4"/>
      <c r="AG3409" t="s">
        <v>3120</v>
      </c>
      <c r="AM3409" s="1">
        <f t="shared" si="43"/>
        <v>0</v>
      </c>
    </row>
    <row r="3410" spans="1:39" x14ac:dyDescent="0.35">
      <c r="A3410">
        <v>3406</v>
      </c>
      <c r="B3410">
        <v>3407</v>
      </c>
      <c r="F3410" s="63"/>
      <c r="G3410" s="63"/>
      <c r="H3410" t="s">
        <v>26</v>
      </c>
      <c r="I3410" s="64"/>
      <c r="N3410" s="4"/>
      <c r="AG3410" t="s">
        <v>3121</v>
      </c>
      <c r="AM3410" s="1">
        <f t="shared" si="43"/>
        <v>0</v>
      </c>
    </row>
    <row r="3411" spans="1:39" x14ac:dyDescent="0.35">
      <c r="A3411">
        <v>3407</v>
      </c>
      <c r="B3411">
        <v>3408</v>
      </c>
      <c r="F3411" s="63"/>
      <c r="G3411" s="63"/>
      <c r="H3411" t="s">
        <v>26</v>
      </c>
      <c r="I3411" s="64"/>
      <c r="N3411" s="4"/>
      <c r="AG3411" t="s">
        <v>3122</v>
      </c>
      <c r="AM3411" s="1">
        <f t="shared" si="43"/>
        <v>0</v>
      </c>
    </row>
    <row r="3412" spans="1:39" x14ac:dyDescent="0.35">
      <c r="A3412">
        <v>3408</v>
      </c>
      <c r="B3412">
        <v>3409</v>
      </c>
      <c r="F3412" s="63"/>
      <c r="G3412" s="63"/>
      <c r="H3412" t="s">
        <v>26</v>
      </c>
      <c r="I3412" s="64"/>
      <c r="N3412" s="4"/>
      <c r="AG3412" t="s">
        <v>3123</v>
      </c>
      <c r="AM3412" s="1">
        <f t="shared" si="43"/>
        <v>0</v>
      </c>
    </row>
    <row r="3413" spans="1:39" x14ac:dyDescent="0.35">
      <c r="A3413">
        <v>3409</v>
      </c>
      <c r="B3413">
        <v>3410</v>
      </c>
      <c r="F3413" s="63"/>
      <c r="G3413" s="63"/>
      <c r="H3413" t="s">
        <v>26</v>
      </c>
      <c r="I3413" s="64"/>
      <c r="N3413" s="4"/>
      <c r="AG3413" t="s">
        <v>3124</v>
      </c>
      <c r="AM3413" s="1">
        <f t="shared" si="43"/>
        <v>0</v>
      </c>
    </row>
    <row r="3414" spans="1:39" x14ac:dyDescent="0.35">
      <c r="A3414">
        <v>3410</v>
      </c>
      <c r="B3414">
        <v>3411</v>
      </c>
      <c r="F3414" s="63"/>
      <c r="G3414" s="63"/>
      <c r="H3414" t="s">
        <v>26</v>
      </c>
      <c r="I3414" s="64"/>
      <c r="N3414" s="4"/>
      <c r="AG3414" t="s">
        <v>3125</v>
      </c>
      <c r="AM3414" s="1">
        <f t="shared" si="43"/>
        <v>0</v>
      </c>
    </row>
    <row r="3415" spans="1:39" x14ac:dyDescent="0.35">
      <c r="A3415">
        <v>3411</v>
      </c>
      <c r="B3415">
        <v>3412</v>
      </c>
      <c r="F3415" s="63"/>
      <c r="G3415" s="63"/>
      <c r="H3415" t="s">
        <v>26</v>
      </c>
      <c r="I3415" s="64"/>
      <c r="N3415" s="4"/>
      <c r="AG3415" t="s">
        <v>3126</v>
      </c>
      <c r="AM3415" s="1">
        <f t="shared" si="43"/>
        <v>0</v>
      </c>
    </row>
    <row r="3416" spans="1:39" x14ac:dyDescent="0.35">
      <c r="A3416">
        <v>3412</v>
      </c>
      <c r="B3416">
        <v>3413</v>
      </c>
      <c r="F3416" s="63"/>
      <c r="G3416" s="63"/>
      <c r="H3416" t="s">
        <v>26</v>
      </c>
      <c r="I3416" s="64"/>
      <c r="N3416" s="4"/>
      <c r="AG3416" t="s">
        <v>3127</v>
      </c>
      <c r="AM3416" s="1">
        <f t="shared" si="43"/>
        <v>0</v>
      </c>
    </row>
    <row r="3417" spans="1:39" x14ac:dyDescent="0.35">
      <c r="A3417">
        <v>3413</v>
      </c>
      <c r="B3417">
        <v>3414</v>
      </c>
      <c r="F3417" s="63"/>
      <c r="G3417" s="63"/>
      <c r="H3417" t="s">
        <v>26</v>
      </c>
      <c r="I3417" s="64"/>
      <c r="N3417" s="4"/>
      <c r="AG3417" t="s">
        <v>3128</v>
      </c>
      <c r="AM3417" s="1">
        <f t="shared" si="43"/>
        <v>0</v>
      </c>
    </row>
    <row r="3418" spans="1:39" x14ac:dyDescent="0.35">
      <c r="A3418">
        <v>3414</v>
      </c>
      <c r="B3418">
        <v>3415</v>
      </c>
      <c r="F3418" s="63"/>
      <c r="G3418" s="63"/>
      <c r="H3418" t="s">
        <v>26</v>
      </c>
      <c r="I3418" s="64"/>
      <c r="N3418" s="4"/>
      <c r="AG3418" t="s">
        <v>3129</v>
      </c>
      <c r="AM3418" s="1">
        <f t="shared" si="43"/>
        <v>0</v>
      </c>
    </row>
    <row r="3419" spans="1:39" x14ac:dyDescent="0.35">
      <c r="A3419">
        <v>3415</v>
      </c>
      <c r="B3419">
        <v>3416</v>
      </c>
      <c r="F3419" s="63"/>
      <c r="G3419" s="63"/>
      <c r="H3419" t="s">
        <v>26</v>
      </c>
      <c r="I3419" s="64"/>
      <c r="N3419" s="4"/>
      <c r="AG3419" t="s">
        <v>3130</v>
      </c>
      <c r="AM3419" s="1">
        <f t="shared" si="43"/>
        <v>0</v>
      </c>
    </row>
    <row r="3420" spans="1:39" x14ac:dyDescent="0.35">
      <c r="A3420">
        <v>3416</v>
      </c>
      <c r="B3420">
        <v>3417</v>
      </c>
      <c r="F3420" s="63"/>
      <c r="G3420" s="63"/>
      <c r="H3420" t="s">
        <v>26</v>
      </c>
      <c r="I3420" s="64"/>
      <c r="N3420" s="4"/>
      <c r="AG3420" t="s">
        <v>3131</v>
      </c>
      <c r="AM3420" s="1">
        <f t="shared" si="43"/>
        <v>0</v>
      </c>
    </row>
    <row r="3421" spans="1:39" x14ac:dyDescent="0.35">
      <c r="A3421">
        <v>3417</v>
      </c>
      <c r="B3421">
        <v>3418</v>
      </c>
      <c r="F3421" s="63"/>
      <c r="G3421" s="63"/>
      <c r="H3421" t="s">
        <v>26</v>
      </c>
      <c r="I3421" s="64"/>
      <c r="N3421" s="4"/>
      <c r="AG3421" t="s">
        <v>3132</v>
      </c>
      <c r="AM3421" s="1">
        <f t="shared" si="43"/>
        <v>0</v>
      </c>
    </row>
    <row r="3422" spans="1:39" x14ac:dyDescent="0.35">
      <c r="A3422">
        <v>3418</v>
      </c>
      <c r="B3422">
        <v>3419</v>
      </c>
      <c r="F3422" s="63"/>
      <c r="G3422" s="63"/>
      <c r="H3422" t="s">
        <v>26</v>
      </c>
      <c r="I3422" s="64"/>
      <c r="N3422" s="4"/>
      <c r="AG3422" t="s">
        <v>3133</v>
      </c>
      <c r="AM3422" s="1">
        <f t="shared" si="43"/>
        <v>0</v>
      </c>
    </row>
    <row r="3423" spans="1:39" x14ac:dyDescent="0.35">
      <c r="A3423">
        <v>3419</v>
      </c>
      <c r="B3423">
        <v>3420</v>
      </c>
      <c r="F3423" s="63"/>
      <c r="G3423" s="63"/>
      <c r="H3423" t="s">
        <v>26</v>
      </c>
      <c r="I3423" s="64"/>
      <c r="N3423" s="4"/>
      <c r="AG3423" t="s">
        <v>3134</v>
      </c>
      <c r="AM3423" s="1">
        <f t="shared" si="43"/>
        <v>0</v>
      </c>
    </row>
    <row r="3424" spans="1:39" x14ac:dyDescent="0.35">
      <c r="A3424">
        <v>3420</v>
      </c>
      <c r="B3424">
        <v>3421</v>
      </c>
      <c r="F3424" s="63"/>
      <c r="G3424" s="63"/>
      <c r="H3424" t="s">
        <v>26</v>
      </c>
      <c r="I3424" s="64"/>
      <c r="N3424" s="4"/>
      <c r="AG3424" t="s">
        <v>3135</v>
      </c>
      <c r="AM3424" s="1">
        <f t="shared" si="43"/>
        <v>0</v>
      </c>
    </row>
    <row r="3425" spans="1:39" x14ac:dyDescent="0.35">
      <c r="A3425">
        <v>3421</v>
      </c>
      <c r="B3425">
        <v>3422</v>
      </c>
      <c r="F3425" s="63"/>
      <c r="G3425" s="63"/>
      <c r="H3425" t="s">
        <v>26</v>
      </c>
      <c r="I3425" s="64"/>
      <c r="N3425" s="4"/>
      <c r="AG3425" t="s">
        <v>3136</v>
      </c>
      <c r="AM3425" s="1">
        <f t="shared" si="43"/>
        <v>0</v>
      </c>
    </row>
    <row r="3426" spans="1:39" x14ac:dyDescent="0.35">
      <c r="A3426">
        <v>3422</v>
      </c>
      <c r="B3426">
        <v>3423</v>
      </c>
      <c r="F3426" s="63"/>
      <c r="G3426" s="63"/>
      <c r="H3426" t="s">
        <v>26</v>
      </c>
      <c r="I3426" s="64"/>
      <c r="N3426" s="4"/>
      <c r="AG3426" t="s">
        <v>3137</v>
      </c>
      <c r="AM3426" s="1">
        <f t="shared" si="43"/>
        <v>0</v>
      </c>
    </row>
    <row r="3427" spans="1:39" x14ac:dyDescent="0.35">
      <c r="A3427">
        <v>3423</v>
      </c>
      <c r="B3427">
        <v>3424</v>
      </c>
      <c r="F3427" s="63"/>
      <c r="G3427" s="63"/>
      <c r="H3427" t="s">
        <v>26</v>
      </c>
      <c r="I3427" s="64"/>
      <c r="N3427" s="4"/>
      <c r="AG3427" t="s">
        <v>3138</v>
      </c>
      <c r="AM3427" s="1">
        <f t="shared" si="43"/>
        <v>0</v>
      </c>
    </row>
    <row r="3428" spans="1:39" x14ac:dyDescent="0.35">
      <c r="A3428">
        <v>3424</v>
      </c>
      <c r="B3428">
        <v>3425</v>
      </c>
      <c r="F3428" s="63"/>
      <c r="G3428" s="63"/>
      <c r="H3428" t="s">
        <v>26</v>
      </c>
      <c r="I3428" s="64"/>
      <c r="N3428" s="4"/>
      <c r="AG3428" t="s">
        <v>3139</v>
      </c>
      <c r="AM3428" s="1">
        <f t="shared" si="43"/>
        <v>0</v>
      </c>
    </row>
    <row r="3429" spans="1:39" x14ac:dyDescent="0.35">
      <c r="A3429">
        <v>3425</v>
      </c>
      <c r="B3429">
        <v>3426</v>
      </c>
      <c r="F3429" s="63"/>
      <c r="G3429" s="63"/>
      <c r="H3429" t="s">
        <v>26</v>
      </c>
      <c r="I3429" s="64"/>
      <c r="N3429" s="4"/>
      <c r="AG3429" t="s">
        <v>3140</v>
      </c>
      <c r="AM3429" s="1">
        <f t="shared" si="43"/>
        <v>0</v>
      </c>
    </row>
    <row r="3430" spans="1:39" x14ac:dyDescent="0.35">
      <c r="A3430">
        <v>3426</v>
      </c>
      <c r="B3430">
        <v>3427</v>
      </c>
      <c r="F3430" s="63"/>
      <c r="G3430" s="63"/>
      <c r="H3430" t="s">
        <v>26</v>
      </c>
      <c r="I3430" s="64"/>
      <c r="N3430" s="4"/>
      <c r="AG3430" t="s">
        <v>3141</v>
      </c>
      <c r="AM3430" s="1">
        <f t="shared" si="43"/>
        <v>0</v>
      </c>
    </row>
    <row r="3431" spans="1:39" x14ac:dyDescent="0.35">
      <c r="A3431">
        <v>3427</v>
      </c>
      <c r="B3431">
        <v>3428</v>
      </c>
      <c r="F3431" s="63"/>
      <c r="G3431" s="63"/>
      <c r="H3431" t="s">
        <v>26</v>
      </c>
      <c r="I3431" s="64"/>
      <c r="N3431" s="4"/>
      <c r="AG3431" t="s">
        <v>3142</v>
      </c>
      <c r="AM3431" s="1">
        <f t="shared" si="43"/>
        <v>0</v>
      </c>
    </row>
    <row r="3432" spans="1:39" x14ac:dyDescent="0.35">
      <c r="A3432">
        <v>3428</v>
      </c>
      <c r="B3432">
        <v>3429</v>
      </c>
      <c r="F3432" s="63"/>
      <c r="G3432" s="63"/>
      <c r="H3432" t="s">
        <v>26</v>
      </c>
      <c r="I3432" s="64"/>
      <c r="N3432" s="4"/>
      <c r="AG3432" t="s">
        <v>3143</v>
      </c>
      <c r="AM3432" s="1">
        <f t="shared" si="43"/>
        <v>0</v>
      </c>
    </row>
    <row r="3433" spans="1:39" x14ac:dyDescent="0.35">
      <c r="A3433">
        <v>3429</v>
      </c>
      <c r="B3433">
        <v>3430</v>
      </c>
      <c r="F3433" s="63"/>
      <c r="G3433" s="63"/>
      <c r="H3433" t="s">
        <v>26</v>
      </c>
      <c r="I3433" s="64"/>
      <c r="N3433" s="4"/>
      <c r="AG3433" t="s">
        <v>3144</v>
      </c>
      <c r="AM3433" s="1">
        <f t="shared" si="43"/>
        <v>0</v>
      </c>
    </row>
    <row r="3434" spans="1:39" x14ac:dyDescent="0.35">
      <c r="A3434">
        <v>3430</v>
      </c>
      <c r="B3434">
        <v>3431</v>
      </c>
      <c r="F3434" s="63"/>
      <c r="G3434" s="63"/>
      <c r="H3434" t="s">
        <v>26</v>
      </c>
      <c r="I3434" s="64"/>
      <c r="N3434" s="4"/>
      <c r="AG3434" t="s">
        <v>3145</v>
      </c>
      <c r="AM3434" s="1">
        <f t="shared" si="43"/>
        <v>0</v>
      </c>
    </row>
    <row r="3435" spans="1:39" x14ac:dyDescent="0.35">
      <c r="A3435">
        <v>3431</v>
      </c>
      <c r="B3435">
        <v>3432</v>
      </c>
      <c r="F3435" s="63"/>
      <c r="G3435" s="63"/>
      <c r="H3435" t="s">
        <v>26</v>
      </c>
      <c r="I3435" s="64"/>
      <c r="N3435" s="4"/>
      <c r="AG3435" t="s">
        <v>3146</v>
      </c>
      <c r="AM3435" s="1">
        <f t="shared" si="43"/>
        <v>0</v>
      </c>
    </row>
    <row r="3436" spans="1:39" x14ac:dyDescent="0.35">
      <c r="A3436">
        <v>3432</v>
      </c>
      <c r="B3436">
        <v>3433</v>
      </c>
      <c r="F3436" s="63"/>
      <c r="G3436" s="63"/>
      <c r="H3436" t="s">
        <v>26</v>
      </c>
      <c r="I3436" s="64"/>
      <c r="N3436" s="4"/>
      <c r="AG3436" t="s">
        <v>3147</v>
      </c>
      <c r="AM3436" s="1">
        <f t="shared" si="43"/>
        <v>0</v>
      </c>
    </row>
    <row r="3437" spans="1:39" x14ac:dyDescent="0.35">
      <c r="A3437">
        <v>3433</v>
      </c>
      <c r="B3437">
        <v>3434</v>
      </c>
      <c r="F3437" s="63"/>
      <c r="G3437" s="63"/>
      <c r="H3437" t="s">
        <v>26</v>
      </c>
      <c r="I3437" s="64"/>
      <c r="N3437" s="4"/>
      <c r="AG3437" t="s">
        <v>3148</v>
      </c>
      <c r="AM3437" s="1">
        <f t="shared" si="43"/>
        <v>0</v>
      </c>
    </row>
    <row r="3438" spans="1:39" x14ac:dyDescent="0.35">
      <c r="A3438">
        <v>3434</v>
      </c>
      <c r="B3438">
        <v>3435</v>
      </c>
      <c r="F3438" s="63"/>
      <c r="G3438" s="63"/>
      <c r="H3438" t="s">
        <v>26</v>
      </c>
      <c r="I3438" s="64"/>
      <c r="N3438" s="4"/>
      <c r="AG3438" t="s">
        <v>3149</v>
      </c>
      <c r="AM3438" s="1">
        <f t="shared" si="43"/>
        <v>0</v>
      </c>
    </row>
    <row r="3439" spans="1:39" x14ac:dyDescent="0.35">
      <c r="A3439">
        <v>3435</v>
      </c>
      <c r="B3439">
        <v>3436</v>
      </c>
      <c r="F3439" s="63"/>
      <c r="G3439" s="63"/>
      <c r="H3439" t="s">
        <v>26</v>
      </c>
      <c r="I3439" s="64"/>
      <c r="N3439" s="4"/>
      <c r="AG3439" t="s">
        <v>3150</v>
      </c>
      <c r="AM3439" s="1">
        <f t="shared" si="43"/>
        <v>0</v>
      </c>
    </row>
    <row r="3440" spans="1:39" x14ac:dyDescent="0.35">
      <c r="A3440">
        <v>3436</v>
      </c>
      <c r="B3440">
        <v>3437</v>
      </c>
      <c r="F3440" s="63"/>
      <c r="G3440" s="63"/>
      <c r="H3440" t="s">
        <v>26</v>
      </c>
      <c r="I3440" s="64"/>
      <c r="N3440" s="4"/>
      <c r="AG3440" t="s">
        <v>3151</v>
      </c>
      <c r="AM3440" s="1">
        <f t="shared" ref="AM3440:AM3503" si="44">HYPERLINK("E:\CAFNEC_GBRF\2023\JohnstoneRiver\Frames_for_Analysis\" &amp; F3441, F3441)</f>
        <v>0</v>
      </c>
    </row>
    <row r="3441" spans="1:39" x14ac:dyDescent="0.35">
      <c r="A3441">
        <v>3437</v>
      </c>
      <c r="B3441">
        <v>3438</v>
      </c>
      <c r="F3441" s="63"/>
      <c r="G3441" s="63"/>
      <c r="H3441" t="s">
        <v>26</v>
      </c>
      <c r="I3441" s="64"/>
      <c r="N3441" s="4"/>
      <c r="AG3441" t="s">
        <v>3152</v>
      </c>
      <c r="AM3441" s="1">
        <f t="shared" si="44"/>
        <v>0</v>
      </c>
    </row>
    <row r="3442" spans="1:39" x14ac:dyDescent="0.35">
      <c r="A3442">
        <v>3438</v>
      </c>
      <c r="B3442">
        <v>3439</v>
      </c>
      <c r="F3442" s="63"/>
      <c r="G3442" s="63"/>
      <c r="H3442" t="s">
        <v>26</v>
      </c>
      <c r="I3442" s="64"/>
      <c r="N3442" s="4"/>
      <c r="AG3442" t="s">
        <v>3153</v>
      </c>
      <c r="AM3442" s="1">
        <f t="shared" si="44"/>
        <v>0</v>
      </c>
    </row>
    <row r="3443" spans="1:39" x14ac:dyDescent="0.35">
      <c r="A3443">
        <v>3439</v>
      </c>
      <c r="B3443">
        <v>3440</v>
      </c>
      <c r="F3443" s="63"/>
      <c r="G3443" s="63"/>
      <c r="H3443" t="s">
        <v>26</v>
      </c>
      <c r="I3443" s="64"/>
      <c r="N3443" s="4"/>
      <c r="AG3443" t="s">
        <v>3154</v>
      </c>
      <c r="AM3443" s="1">
        <f t="shared" si="44"/>
        <v>0</v>
      </c>
    </row>
    <row r="3444" spans="1:39" x14ac:dyDescent="0.35">
      <c r="A3444">
        <v>3440</v>
      </c>
      <c r="B3444">
        <v>3441</v>
      </c>
      <c r="F3444" s="63"/>
      <c r="G3444" s="63"/>
      <c r="H3444" t="s">
        <v>26</v>
      </c>
      <c r="I3444" s="64"/>
      <c r="N3444" s="4"/>
      <c r="AG3444" t="s">
        <v>3155</v>
      </c>
      <c r="AM3444" s="1">
        <f t="shared" si="44"/>
        <v>0</v>
      </c>
    </row>
    <row r="3445" spans="1:39" x14ac:dyDescent="0.35">
      <c r="A3445">
        <v>3441</v>
      </c>
      <c r="B3445">
        <v>3442</v>
      </c>
      <c r="F3445" s="63"/>
      <c r="G3445" s="63"/>
      <c r="H3445" t="s">
        <v>26</v>
      </c>
      <c r="I3445" s="64"/>
      <c r="N3445" s="4"/>
      <c r="AG3445" t="s">
        <v>3156</v>
      </c>
      <c r="AM3445" s="1">
        <f t="shared" si="44"/>
        <v>0</v>
      </c>
    </row>
    <row r="3446" spans="1:39" x14ac:dyDescent="0.35">
      <c r="A3446">
        <v>3442</v>
      </c>
      <c r="B3446">
        <v>3443</v>
      </c>
      <c r="F3446" s="63"/>
      <c r="G3446" s="63"/>
      <c r="H3446" t="s">
        <v>26</v>
      </c>
      <c r="I3446" s="64"/>
      <c r="N3446" s="4"/>
      <c r="AG3446" t="s">
        <v>3157</v>
      </c>
      <c r="AM3446" s="1">
        <f t="shared" si="44"/>
        <v>0</v>
      </c>
    </row>
    <row r="3447" spans="1:39" x14ac:dyDescent="0.35">
      <c r="A3447">
        <v>3443</v>
      </c>
      <c r="B3447">
        <v>3444</v>
      </c>
      <c r="F3447" s="63"/>
      <c r="G3447" s="63"/>
      <c r="H3447" t="s">
        <v>26</v>
      </c>
      <c r="I3447" s="64"/>
      <c r="N3447" s="4"/>
      <c r="AG3447" t="s">
        <v>3158</v>
      </c>
      <c r="AM3447" s="1">
        <f t="shared" si="44"/>
        <v>0</v>
      </c>
    </row>
    <row r="3448" spans="1:39" x14ac:dyDescent="0.35">
      <c r="A3448">
        <v>3444</v>
      </c>
      <c r="B3448">
        <v>3445</v>
      </c>
      <c r="F3448" s="63"/>
      <c r="G3448" s="63"/>
      <c r="H3448" t="s">
        <v>26</v>
      </c>
      <c r="I3448" s="64"/>
      <c r="N3448" s="4"/>
      <c r="AG3448" t="s">
        <v>3159</v>
      </c>
      <c r="AM3448" s="1">
        <f t="shared" si="44"/>
        <v>0</v>
      </c>
    </row>
    <row r="3449" spans="1:39" x14ac:dyDescent="0.35">
      <c r="A3449">
        <v>3445</v>
      </c>
      <c r="B3449">
        <v>3446</v>
      </c>
      <c r="F3449" s="63"/>
      <c r="G3449" s="63"/>
      <c r="H3449" t="s">
        <v>26</v>
      </c>
      <c r="I3449" s="64"/>
      <c r="N3449" s="4"/>
      <c r="AG3449" t="s">
        <v>3160</v>
      </c>
      <c r="AM3449" s="1">
        <f t="shared" si="44"/>
        <v>0</v>
      </c>
    </row>
    <row r="3450" spans="1:39" x14ac:dyDescent="0.35">
      <c r="A3450">
        <v>3446</v>
      </c>
      <c r="B3450">
        <v>3447</v>
      </c>
      <c r="F3450" s="63"/>
      <c r="G3450" s="63"/>
      <c r="H3450" t="s">
        <v>26</v>
      </c>
      <c r="I3450" s="64"/>
      <c r="N3450" s="4"/>
      <c r="AG3450" t="s">
        <v>3161</v>
      </c>
      <c r="AM3450" s="1">
        <f t="shared" si="44"/>
        <v>0</v>
      </c>
    </row>
    <row r="3451" spans="1:39" x14ac:dyDescent="0.35">
      <c r="A3451">
        <v>3447</v>
      </c>
      <c r="B3451">
        <v>3448</v>
      </c>
      <c r="F3451" s="63"/>
      <c r="G3451" s="63"/>
      <c r="H3451" t="s">
        <v>26</v>
      </c>
      <c r="I3451" s="64"/>
      <c r="N3451" s="4"/>
      <c r="AG3451" t="s">
        <v>3162</v>
      </c>
      <c r="AM3451" s="1">
        <f t="shared" si="44"/>
        <v>0</v>
      </c>
    </row>
    <row r="3452" spans="1:39" x14ac:dyDescent="0.35">
      <c r="A3452">
        <v>3448</v>
      </c>
      <c r="B3452">
        <v>3449</v>
      </c>
      <c r="F3452" s="63"/>
      <c r="G3452" s="63"/>
      <c r="H3452" t="s">
        <v>26</v>
      </c>
      <c r="I3452" s="64"/>
      <c r="N3452" s="4"/>
      <c r="AG3452" t="s">
        <v>3163</v>
      </c>
      <c r="AM3452" s="1">
        <f t="shared" si="44"/>
        <v>0</v>
      </c>
    </row>
    <row r="3453" spans="1:39" x14ac:dyDescent="0.35">
      <c r="A3453">
        <v>3449</v>
      </c>
      <c r="B3453">
        <v>3450</v>
      </c>
      <c r="F3453" s="63"/>
      <c r="G3453" s="63"/>
      <c r="H3453" t="s">
        <v>26</v>
      </c>
      <c r="I3453" s="64"/>
      <c r="N3453" s="4"/>
      <c r="AG3453" t="s">
        <v>3164</v>
      </c>
      <c r="AM3453" s="1">
        <f t="shared" si="44"/>
        <v>0</v>
      </c>
    </row>
    <row r="3454" spans="1:39" x14ac:dyDescent="0.35">
      <c r="A3454">
        <v>3450</v>
      </c>
      <c r="B3454">
        <v>3451</v>
      </c>
      <c r="F3454" s="63"/>
      <c r="G3454" s="63"/>
      <c r="H3454" t="s">
        <v>26</v>
      </c>
      <c r="I3454" s="64"/>
      <c r="N3454" s="4"/>
      <c r="AG3454" t="s">
        <v>3165</v>
      </c>
      <c r="AM3454" s="1">
        <f t="shared" si="44"/>
        <v>0</v>
      </c>
    </row>
    <row r="3455" spans="1:39" x14ac:dyDescent="0.35">
      <c r="A3455">
        <v>3451</v>
      </c>
      <c r="B3455">
        <v>3452</v>
      </c>
      <c r="F3455" s="63"/>
      <c r="G3455" s="63"/>
      <c r="H3455" t="s">
        <v>26</v>
      </c>
      <c r="I3455" s="64"/>
      <c r="N3455" s="4"/>
      <c r="AG3455" t="s">
        <v>3166</v>
      </c>
      <c r="AM3455" s="1">
        <f t="shared" si="44"/>
        <v>0</v>
      </c>
    </row>
    <row r="3456" spans="1:39" x14ac:dyDescent="0.35">
      <c r="A3456">
        <v>3452</v>
      </c>
      <c r="B3456">
        <v>3453</v>
      </c>
      <c r="F3456" s="63"/>
      <c r="G3456" s="63"/>
      <c r="H3456" t="s">
        <v>26</v>
      </c>
      <c r="I3456" s="64"/>
      <c r="N3456" s="4"/>
      <c r="AG3456" t="s">
        <v>3167</v>
      </c>
      <c r="AM3456" s="1">
        <f t="shared" si="44"/>
        <v>0</v>
      </c>
    </row>
    <row r="3457" spans="1:39" x14ac:dyDescent="0.35">
      <c r="A3457">
        <v>3453</v>
      </c>
      <c r="B3457">
        <v>3454</v>
      </c>
      <c r="F3457" s="63"/>
      <c r="G3457" s="63"/>
      <c r="H3457" t="s">
        <v>26</v>
      </c>
      <c r="I3457" s="64"/>
      <c r="N3457" s="4"/>
      <c r="AG3457" t="s">
        <v>3168</v>
      </c>
      <c r="AM3457" s="1">
        <f t="shared" si="44"/>
        <v>0</v>
      </c>
    </row>
    <row r="3458" spans="1:39" x14ac:dyDescent="0.35">
      <c r="A3458">
        <v>3454</v>
      </c>
      <c r="B3458">
        <v>3455</v>
      </c>
      <c r="F3458" s="63"/>
      <c r="G3458" s="63"/>
      <c r="H3458" t="s">
        <v>26</v>
      </c>
      <c r="I3458" s="64"/>
      <c r="N3458" s="4"/>
      <c r="AG3458" t="s">
        <v>3169</v>
      </c>
      <c r="AM3458" s="1">
        <f t="shared" si="44"/>
        <v>0</v>
      </c>
    </row>
    <row r="3459" spans="1:39" x14ac:dyDescent="0.35">
      <c r="A3459">
        <v>3455</v>
      </c>
      <c r="B3459">
        <v>3456</v>
      </c>
      <c r="F3459" s="63"/>
      <c r="G3459" s="63"/>
      <c r="H3459" t="s">
        <v>26</v>
      </c>
      <c r="I3459" s="64"/>
      <c r="N3459" s="4"/>
      <c r="AG3459" t="s">
        <v>3170</v>
      </c>
      <c r="AM3459" s="1">
        <f t="shared" si="44"/>
        <v>0</v>
      </c>
    </row>
    <row r="3460" spans="1:39" x14ac:dyDescent="0.35">
      <c r="A3460">
        <v>3456</v>
      </c>
      <c r="B3460">
        <v>3457</v>
      </c>
      <c r="F3460" s="63"/>
      <c r="G3460" s="63"/>
      <c r="H3460" t="s">
        <v>26</v>
      </c>
      <c r="I3460" s="64"/>
      <c r="N3460" s="4"/>
      <c r="AG3460" t="s">
        <v>3171</v>
      </c>
      <c r="AM3460" s="1">
        <f t="shared" si="44"/>
        <v>0</v>
      </c>
    </row>
    <row r="3461" spans="1:39" x14ac:dyDescent="0.35">
      <c r="A3461">
        <v>3457</v>
      </c>
      <c r="B3461">
        <v>3458</v>
      </c>
      <c r="F3461" s="63"/>
      <c r="G3461" s="63"/>
      <c r="H3461" t="s">
        <v>26</v>
      </c>
      <c r="I3461" s="64"/>
      <c r="N3461" s="4"/>
      <c r="AG3461" t="s">
        <v>3172</v>
      </c>
      <c r="AM3461" s="1">
        <f t="shared" si="44"/>
        <v>0</v>
      </c>
    </row>
    <row r="3462" spans="1:39" x14ac:dyDescent="0.35">
      <c r="A3462">
        <v>3458</v>
      </c>
      <c r="B3462">
        <v>3459</v>
      </c>
      <c r="F3462" s="63"/>
      <c r="G3462" s="63"/>
      <c r="H3462" t="s">
        <v>26</v>
      </c>
      <c r="I3462" s="64"/>
      <c r="N3462" s="4"/>
      <c r="AG3462" t="s">
        <v>3173</v>
      </c>
      <c r="AM3462" s="1">
        <f t="shared" si="44"/>
        <v>0</v>
      </c>
    </row>
    <row r="3463" spans="1:39" x14ac:dyDescent="0.35">
      <c r="A3463">
        <v>3459</v>
      </c>
      <c r="B3463">
        <v>3460</v>
      </c>
      <c r="F3463" s="63"/>
      <c r="G3463" s="63"/>
      <c r="H3463" t="s">
        <v>26</v>
      </c>
      <c r="I3463" s="64"/>
      <c r="N3463" s="4"/>
      <c r="AG3463" t="s">
        <v>3174</v>
      </c>
      <c r="AM3463" s="1">
        <f t="shared" si="44"/>
        <v>0</v>
      </c>
    </row>
    <row r="3464" spans="1:39" x14ac:dyDescent="0.35">
      <c r="A3464">
        <v>3460</v>
      </c>
      <c r="B3464">
        <v>3461</v>
      </c>
      <c r="F3464" s="63"/>
      <c r="G3464" s="63"/>
      <c r="H3464" t="s">
        <v>26</v>
      </c>
      <c r="I3464" s="64"/>
      <c r="N3464" s="4"/>
      <c r="AG3464" t="s">
        <v>3175</v>
      </c>
      <c r="AM3464" s="1">
        <f t="shared" si="44"/>
        <v>0</v>
      </c>
    </row>
    <row r="3465" spans="1:39" x14ac:dyDescent="0.35">
      <c r="A3465">
        <v>3461</v>
      </c>
      <c r="B3465">
        <v>3462</v>
      </c>
      <c r="F3465" s="63"/>
      <c r="G3465" s="63"/>
      <c r="H3465" t="s">
        <v>26</v>
      </c>
      <c r="I3465" s="64"/>
      <c r="N3465" s="4"/>
      <c r="AG3465" t="s">
        <v>3176</v>
      </c>
      <c r="AM3465" s="1">
        <f t="shared" si="44"/>
        <v>0</v>
      </c>
    </row>
    <row r="3466" spans="1:39" x14ac:dyDescent="0.35">
      <c r="A3466">
        <v>3462</v>
      </c>
      <c r="B3466">
        <v>3463</v>
      </c>
      <c r="F3466" s="63"/>
      <c r="G3466" s="63"/>
      <c r="H3466" t="s">
        <v>26</v>
      </c>
      <c r="I3466" s="64"/>
      <c r="N3466" s="4"/>
      <c r="AG3466" t="s">
        <v>3177</v>
      </c>
      <c r="AM3466" s="1">
        <f t="shared" si="44"/>
        <v>0</v>
      </c>
    </row>
    <row r="3467" spans="1:39" x14ac:dyDescent="0.35">
      <c r="A3467">
        <v>3463</v>
      </c>
      <c r="B3467">
        <v>3464</v>
      </c>
      <c r="F3467" s="63"/>
      <c r="G3467" s="63"/>
      <c r="H3467" t="s">
        <v>26</v>
      </c>
      <c r="I3467" s="64"/>
      <c r="N3467" s="4"/>
      <c r="AG3467" t="s">
        <v>3178</v>
      </c>
      <c r="AM3467" s="1">
        <f t="shared" si="44"/>
        <v>0</v>
      </c>
    </row>
    <row r="3468" spans="1:39" x14ac:dyDescent="0.35">
      <c r="A3468">
        <v>3464</v>
      </c>
      <c r="B3468">
        <v>3465</v>
      </c>
      <c r="F3468" s="63"/>
      <c r="G3468" s="63"/>
      <c r="H3468" t="s">
        <v>26</v>
      </c>
      <c r="I3468" s="64"/>
      <c r="N3468" s="4"/>
      <c r="AG3468" t="s">
        <v>3179</v>
      </c>
      <c r="AM3468" s="1">
        <f t="shared" si="44"/>
        <v>0</v>
      </c>
    </row>
    <row r="3469" spans="1:39" x14ac:dyDescent="0.35">
      <c r="A3469">
        <v>3465</v>
      </c>
      <c r="B3469">
        <v>3466</v>
      </c>
      <c r="F3469" s="63"/>
      <c r="G3469" s="63"/>
      <c r="H3469" t="s">
        <v>26</v>
      </c>
      <c r="I3469" s="64"/>
      <c r="N3469" s="4"/>
      <c r="AG3469" t="s">
        <v>3180</v>
      </c>
      <c r="AM3469" s="1">
        <f t="shared" si="44"/>
        <v>0</v>
      </c>
    </row>
    <row r="3470" spans="1:39" x14ac:dyDescent="0.35">
      <c r="A3470">
        <v>3466</v>
      </c>
      <c r="B3470">
        <v>3467</v>
      </c>
      <c r="F3470" s="63"/>
      <c r="G3470" s="63"/>
      <c r="H3470" t="s">
        <v>26</v>
      </c>
      <c r="I3470" s="64"/>
      <c r="N3470" s="4"/>
      <c r="AG3470" t="s">
        <v>3181</v>
      </c>
      <c r="AM3470" s="1">
        <f t="shared" si="44"/>
        <v>0</v>
      </c>
    </row>
    <row r="3471" spans="1:39" x14ac:dyDescent="0.35">
      <c r="A3471">
        <v>3467</v>
      </c>
      <c r="B3471">
        <v>3468</v>
      </c>
      <c r="F3471" s="63"/>
      <c r="G3471" s="63"/>
      <c r="H3471" t="s">
        <v>26</v>
      </c>
      <c r="I3471" s="64"/>
      <c r="N3471" s="4"/>
      <c r="AG3471" t="s">
        <v>3182</v>
      </c>
      <c r="AM3471" s="1">
        <f t="shared" si="44"/>
        <v>0</v>
      </c>
    </row>
    <row r="3472" spans="1:39" x14ac:dyDescent="0.35">
      <c r="A3472">
        <v>3468</v>
      </c>
      <c r="B3472">
        <v>3469</v>
      </c>
      <c r="F3472" s="63"/>
      <c r="G3472" s="63"/>
      <c r="H3472" t="s">
        <v>26</v>
      </c>
      <c r="I3472" s="64"/>
      <c r="N3472" s="4"/>
      <c r="AG3472" t="s">
        <v>3183</v>
      </c>
      <c r="AM3472" s="1">
        <f t="shared" si="44"/>
        <v>0</v>
      </c>
    </row>
    <row r="3473" spans="1:39" x14ac:dyDescent="0.35">
      <c r="A3473">
        <v>3469</v>
      </c>
      <c r="B3473">
        <v>3470</v>
      </c>
      <c r="F3473" s="63"/>
      <c r="G3473" s="63"/>
      <c r="H3473" t="s">
        <v>26</v>
      </c>
      <c r="I3473" s="64"/>
      <c r="N3473" s="4"/>
      <c r="AG3473" t="s">
        <v>3184</v>
      </c>
      <c r="AM3473" s="1">
        <f t="shared" si="44"/>
        <v>0</v>
      </c>
    </row>
    <row r="3474" spans="1:39" x14ac:dyDescent="0.35">
      <c r="A3474">
        <v>3470</v>
      </c>
      <c r="B3474">
        <v>3471</v>
      </c>
      <c r="F3474" s="63"/>
      <c r="G3474" s="63"/>
      <c r="H3474" t="s">
        <v>26</v>
      </c>
      <c r="I3474" s="64"/>
      <c r="N3474" s="4"/>
      <c r="AG3474" t="s">
        <v>3185</v>
      </c>
      <c r="AM3474" s="1">
        <f t="shared" si="44"/>
        <v>0</v>
      </c>
    </row>
    <row r="3475" spans="1:39" x14ac:dyDescent="0.35">
      <c r="A3475">
        <v>3471</v>
      </c>
      <c r="B3475">
        <v>3472</v>
      </c>
      <c r="F3475" s="63"/>
      <c r="G3475" s="63"/>
      <c r="H3475" t="s">
        <v>26</v>
      </c>
      <c r="I3475" s="64"/>
      <c r="N3475" s="4"/>
      <c r="AG3475" t="s">
        <v>3186</v>
      </c>
      <c r="AM3475" s="1">
        <f t="shared" si="44"/>
        <v>0</v>
      </c>
    </row>
    <row r="3476" spans="1:39" x14ac:dyDescent="0.35">
      <c r="A3476">
        <v>3472</v>
      </c>
      <c r="B3476">
        <v>3473</v>
      </c>
      <c r="F3476" s="63"/>
      <c r="G3476" s="63"/>
      <c r="H3476" t="s">
        <v>26</v>
      </c>
      <c r="I3476" s="64"/>
      <c r="N3476" s="4"/>
      <c r="AG3476" t="s">
        <v>3187</v>
      </c>
      <c r="AM3476" s="1">
        <f t="shared" si="44"/>
        <v>0</v>
      </c>
    </row>
    <row r="3477" spans="1:39" x14ac:dyDescent="0.35">
      <c r="A3477">
        <v>3473</v>
      </c>
      <c r="B3477">
        <v>3474</v>
      </c>
      <c r="F3477" s="63"/>
      <c r="G3477" s="63"/>
      <c r="H3477" t="s">
        <v>26</v>
      </c>
      <c r="I3477" s="64"/>
      <c r="N3477" s="4"/>
      <c r="AG3477" t="s">
        <v>3188</v>
      </c>
      <c r="AM3477" s="1">
        <f t="shared" si="44"/>
        <v>0</v>
      </c>
    </row>
    <row r="3478" spans="1:39" x14ac:dyDescent="0.35">
      <c r="A3478">
        <v>3474</v>
      </c>
      <c r="B3478">
        <v>3475</v>
      </c>
      <c r="F3478" s="63"/>
      <c r="G3478" s="63"/>
      <c r="H3478" t="s">
        <v>26</v>
      </c>
      <c r="I3478" s="64"/>
      <c r="N3478" s="4"/>
      <c r="AG3478" t="s">
        <v>3189</v>
      </c>
      <c r="AM3478" s="1">
        <f t="shared" si="44"/>
        <v>0</v>
      </c>
    </row>
    <row r="3479" spans="1:39" x14ac:dyDescent="0.35">
      <c r="A3479">
        <v>3475</v>
      </c>
      <c r="B3479">
        <v>3476</v>
      </c>
      <c r="F3479" s="63"/>
      <c r="G3479" s="63"/>
      <c r="H3479" t="s">
        <v>26</v>
      </c>
      <c r="I3479" s="64"/>
      <c r="N3479" s="4"/>
      <c r="AG3479" t="s">
        <v>3190</v>
      </c>
      <c r="AM3479" s="1">
        <f t="shared" si="44"/>
        <v>0</v>
      </c>
    </row>
    <row r="3480" spans="1:39" x14ac:dyDescent="0.35">
      <c r="A3480">
        <v>3476</v>
      </c>
      <c r="B3480">
        <v>3477</v>
      </c>
      <c r="F3480" s="63"/>
      <c r="G3480" s="63"/>
      <c r="H3480" t="s">
        <v>26</v>
      </c>
      <c r="I3480" s="64"/>
      <c r="N3480" s="4"/>
      <c r="AG3480" t="s">
        <v>3191</v>
      </c>
      <c r="AM3480" s="1">
        <f t="shared" si="44"/>
        <v>0</v>
      </c>
    </row>
    <row r="3481" spans="1:39" x14ac:dyDescent="0.35">
      <c r="A3481">
        <v>3477</v>
      </c>
      <c r="B3481">
        <v>3478</v>
      </c>
      <c r="F3481" s="63"/>
      <c r="G3481" s="63"/>
      <c r="H3481" t="s">
        <v>26</v>
      </c>
      <c r="I3481" s="64"/>
      <c r="N3481" s="4"/>
      <c r="AG3481" t="s">
        <v>3192</v>
      </c>
      <c r="AM3481" s="1">
        <f t="shared" si="44"/>
        <v>0</v>
      </c>
    </row>
    <row r="3482" spans="1:39" x14ac:dyDescent="0.35">
      <c r="A3482">
        <v>3478</v>
      </c>
      <c r="B3482">
        <v>3479</v>
      </c>
      <c r="F3482" s="63"/>
      <c r="G3482" s="63"/>
      <c r="H3482" t="s">
        <v>26</v>
      </c>
      <c r="I3482" s="64"/>
      <c r="N3482" s="4"/>
      <c r="AG3482" t="s">
        <v>3193</v>
      </c>
      <c r="AM3482" s="1">
        <f t="shared" si="44"/>
        <v>0</v>
      </c>
    </row>
    <row r="3483" spans="1:39" x14ac:dyDescent="0.35">
      <c r="A3483">
        <v>3479</v>
      </c>
      <c r="B3483">
        <v>3480</v>
      </c>
      <c r="F3483" s="63"/>
      <c r="G3483" s="63"/>
      <c r="H3483" t="s">
        <v>26</v>
      </c>
      <c r="I3483" s="64"/>
      <c r="N3483" s="4"/>
      <c r="AG3483" t="s">
        <v>3194</v>
      </c>
      <c r="AM3483" s="1">
        <f t="shared" si="44"/>
        <v>0</v>
      </c>
    </row>
    <row r="3484" spans="1:39" x14ac:dyDescent="0.35">
      <c r="A3484">
        <v>3480</v>
      </c>
      <c r="B3484">
        <v>3481</v>
      </c>
      <c r="F3484" s="63"/>
      <c r="G3484" s="63"/>
      <c r="H3484" t="s">
        <v>26</v>
      </c>
      <c r="I3484" s="64"/>
      <c r="N3484" s="4"/>
      <c r="AG3484" t="s">
        <v>3195</v>
      </c>
      <c r="AM3484" s="1">
        <f t="shared" si="44"/>
        <v>0</v>
      </c>
    </row>
    <row r="3485" spans="1:39" x14ac:dyDescent="0.35">
      <c r="A3485">
        <v>3481</v>
      </c>
      <c r="B3485">
        <v>3482</v>
      </c>
      <c r="F3485" s="63"/>
      <c r="G3485" s="63"/>
      <c r="H3485" t="s">
        <v>26</v>
      </c>
      <c r="I3485" s="64"/>
      <c r="N3485" s="4"/>
      <c r="AG3485" t="s">
        <v>3196</v>
      </c>
      <c r="AM3485" s="1">
        <f t="shared" si="44"/>
        <v>0</v>
      </c>
    </row>
    <row r="3486" spans="1:39" x14ac:dyDescent="0.35">
      <c r="A3486">
        <v>3482</v>
      </c>
      <c r="B3486">
        <v>3483</v>
      </c>
      <c r="F3486" s="63"/>
      <c r="G3486" s="63"/>
      <c r="H3486" t="s">
        <v>26</v>
      </c>
      <c r="I3486" s="64"/>
      <c r="N3486" s="4"/>
      <c r="AG3486" t="s">
        <v>3197</v>
      </c>
      <c r="AM3486" s="1">
        <f t="shared" si="44"/>
        <v>0</v>
      </c>
    </row>
    <row r="3487" spans="1:39" x14ac:dyDescent="0.35">
      <c r="A3487">
        <v>3483</v>
      </c>
      <c r="B3487">
        <v>3484</v>
      </c>
      <c r="F3487" s="63"/>
      <c r="G3487" s="63"/>
      <c r="H3487" t="s">
        <v>26</v>
      </c>
      <c r="I3487" s="64"/>
      <c r="N3487" s="4"/>
      <c r="AG3487" t="s">
        <v>3198</v>
      </c>
      <c r="AM3487" s="1">
        <f t="shared" si="44"/>
        <v>0</v>
      </c>
    </row>
    <row r="3488" spans="1:39" x14ac:dyDescent="0.35">
      <c r="A3488">
        <v>3484</v>
      </c>
      <c r="B3488">
        <v>3485</v>
      </c>
      <c r="F3488" s="63"/>
      <c r="G3488" s="63"/>
      <c r="H3488" t="s">
        <v>26</v>
      </c>
      <c r="I3488" s="64"/>
      <c r="N3488" s="4"/>
      <c r="AG3488" t="s">
        <v>3199</v>
      </c>
      <c r="AM3488" s="1">
        <f t="shared" si="44"/>
        <v>0</v>
      </c>
    </row>
    <row r="3489" spans="1:39" x14ac:dyDescent="0.35">
      <c r="A3489">
        <v>3485</v>
      </c>
      <c r="B3489">
        <v>3486</v>
      </c>
      <c r="F3489" s="63"/>
      <c r="G3489" s="63"/>
      <c r="H3489" t="s">
        <v>26</v>
      </c>
      <c r="I3489" s="64"/>
      <c r="N3489" s="4"/>
      <c r="AG3489" t="s">
        <v>3200</v>
      </c>
      <c r="AM3489" s="1">
        <f t="shared" si="44"/>
        <v>0</v>
      </c>
    </row>
    <row r="3490" spans="1:39" x14ac:dyDescent="0.35">
      <c r="A3490">
        <v>3486</v>
      </c>
      <c r="B3490">
        <v>3487</v>
      </c>
      <c r="F3490" s="63"/>
      <c r="G3490" s="63"/>
      <c r="H3490" t="s">
        <v>26</v>
      </c>
      <c r="I3490" s="64"/>
      <c r="N3490" s="4"/>
      <c r="AG3490" t="s">
        <v>3201</v>
      </c>
      <c r="AM3490" s="1">
        <f t="shared" si="44"/>
        <v>0</v>
      </c>
    </row>
    <row r="3491" spans="1:39" x14ac:dyDescent="0.35">
      <c r="A3491">
        <v>3487</v>
      </c>
      <c r="B3491">
        <v>3488</v>
      </c>
      <c r="F3491" s="63"/>
      <c r="G3491" s="63"/>
      <c r="H3491" t="s">
        <v>26</v>
      </c>
      <c r="I3491" s="64"/>
      <c r="N3491" s="4"/>
      <c r="AG3491" t="s">
        <v>3202</v>
      </c>
      <c r="AM3491" s="1">
        <f t="shared" si="44"/>
        <v>0</v>
      </c>
    </row>
    <row r="3492" spans="1:39" x14ac:dyDescent="0.35">
      <c r="A3492">
        <v>3488</v>
      </c>
      <c r="B3492">
        <v>3489</v>
      </c>
      <c r="F3492" s="63"/>
      <c r="G3492" s="63"/>
      <c r="H3492" t="s">
        <v>26</v>
      </c>
      <c r="I3492" s="64"/>
      <c r="N3492" s="4"/>
      <c r="AG3492" t="s">
        <v>3203</v>
      </c>
      <c r="AM3492" s="1">
        <f t="shared" si="44"/>
        <v>0</v>
      </c>
    </row>
    <row r="3493" spans="1:39" x14ac:dyDescent="0.35">
      <c r="A3493">
        <v>3489</v>
      </c>
      <c r="B3493">
        <v>3490</v>
      </c>
      <c r="F3493" s="63"/>
      <c r="G3493" s="63"/>
      <c r="H3493" t="s">
        <v>26</v>
      </c>
      <c r="I3493" s="64"/>
      <c r="N3493" s="4"/>
      <c r="AG3493" t="s">
        <v>3204</v>
      </c>
      <c r="AM3493" s="1">
        <f t="shared" si="44"/>
        <v>0</v>
      </c>
    </row>
    <row r="3494" spans="1:39" x14ac:dyDescent="0.35">
      <c r="A3494">
        <v>3490</v>
      </c>
      <c r="B3494">
        <v>3491</v>
      </c>
      <c r="F3494" s="63"/>
      <c r="G3494" s="63"/>
      <c r="H3494" t="s">
        <v>26</v>
      </c>
      <c r="I3494" s="64"/>
      <c r="N3494" s="4"/>
      <c r="AG3494" t="s">
        <v>3205</v>
      </c>
      <c r="AM3494" s="1">
        <f t="shared" si="44"/>
        <v>0</v>
      </c>
    </row>
    <row r="3495" spans="1:39" x14ac:dyDescent="0.35">
      <c r="A3495">
        <v>3491</v>
      </c>
      <c r="B3495">
        <v>3492</v>
      </c>
      <c r="F3495" s="63"/>
      <c r="G3495" s="63"/>
      <c r="H3495" t="s">
        <v>26</v>
      </c>
      <c r="I3495" s="64"/>
      <c r="N3495" s="4"/>
      <c r="AG3495" t="s">
        <v>3206</v>
      </c>
      <c r="AM3495" s="1">
        <f t="shared" si="44"/>
        <v>0</v>
      </c>
    </row>
    <row r="3496" spans="1:39" x14ac:dyDescent="0.35">
      <c r="A3496">
        <v>3492</v>
      </c>
      <c r="B3496">
        <v>3493</v>
      </c>
      <c r="F3496" s="63"/>
      <c r="G3496" s="63"/>
      <c r="H3496" t="s">
        <v>26</v>
      </c>
      <c r="I3496" s="64"/>
      <c r="N3496" s="4"/>
      <c r="AG3496" t="s">
        <v>3207</v>
      </c>
      <c r="AM3496" s="1">
        <f t="shared" si="44"/>
        <v>0</v>
      </c>
    </row>
    <row r="3497" spans="1:39" x14ac:dyDescent="0.35">
      <c r="A3497">
        <v>3493</v>
      </c>
      <c r="B3497">
        <v>3494</v>
      </c>
      <c r="F3497" s="63"/>
      <c r="G3497" s="63"/>
      <c r="H3497" t="s">
        <v>26</v>
      </c>
      <c r="I3497" s="64"/>
      <c r="N3497" s="4"/>
      <c r="AG3497" t="s">
        <v>3208</v>
      </c>
      <c r="AM3497" s="1">
        <f t="shared" si="44"/>
        <v>0</v>
      </c>
    </row>
    <row r="3498" spans="1:39" x14ac:dyDescent="0.35">
      <c r="A3498">
        <v>3494</v>
      </c>
      <c r="B3498">
        <v>3495</v>
      </c>
      <c r="F3498" s="63"/>
      <c r="G3498" s="63"/>
      <c r="H3498" t="s">
        <v>26</v>
      </c>
      <c r="I3498" s="64"/>
      <c r="N3498" s="4"/>
      <c r="AG3498" t="s">
        <v>3209</v>
      </c>
      <c r="AM3498" s="1">
        <f t="shared" si="44"/>
        <v>0</v>
      </c>
    </row>
    <row r="3499" spans="1:39" x14ac:dyDescent="0.35">
      <c r="A3499">
        <v>3495</v>
      </c>
      <c r="B3499">
        <v>3496</v>
      </c>
      <c r="F3499" s="63"/>
      <c r="G3499" s="63"/>
      <c r="H3499" t="s">
        <v>26</v>
      </c>
      <c r="I3499" s="64"/>
      <c r="N3499" s="4"/>
      <c r="AG3499" t="s">
        <v>3210</v>
      </c>
      <c r="AM3499" s="1">
        <f t="shared" si="44"/>
        <v>0</v>
      </c>
    </row>
    <row r="3500" spans="1:39" x14ac:dyDescent="0.35">
      <c r="A3500">
        <v>3496</v>
      </c>
      <c r="B3500">
        <v>3497</v>
      </c>
      <c r="F3500" s="63"/>
      <c r="G3500" s="63"/>
      <c r="H3500" t="s">
        <v>26</v>
      </c>
      <c r="I3500" s="64"/>
      <c r="N3500" s="4"/>
      <c r="AG3500" t="s">
        <v>3211</v>
      </c>
      <c r="AM3500" s="1">
        <f t="shared" si="44"/>
        <v>0</v>
      </c>
    </row>
    <row r="3501" spans="1:39" x14ac:dyDescent="0.35">
      <c r="A3501">
        <v>3497</v>
      </c>
      <c r="B3501">
        <v>3498</v>
      </c>
      <c r="F3501" s="63"/>
      <c r="G3501" s="63"/>
      <c r="H3501" t="s">
        <v>26</v>
      </c>
      <c r="I3501" s="64"/>
      <c r="N3501" s="4"/>
      <c r="AG3501" t="s">
        <v>3212</v>
      </c>
      <c r="AM3501" s="1">
        <f t="shared" si="44"/>
        <v>0</v>
      </c>
    </row>
    <row r="3502" spans="1:39" x14ac:dyDescent="0.35">
      <c r="A3502">
        <v>3498</v>
      </c>
      <c r="B3502">
        <v>3499</v>
      </c>
      <c r="F3502" s="63"/>
      <c r="G3502" s="63"/>
      <c r="H3502" t="s">
        <v>26</v>
      </c>
      <c r="I3502" s="64"/>
      <c r="N3502" s="4"/>
      <c r="AG3502" t="s">
        <v>3213</v>
      </c>
      <c r="AM3502" s="1">
        <f t="shared" si="44"/>
        <v>0</v>
      </c>
    </row>
    <row r="3503" spans="1:39" x14ac:dyDescent="0.35">
      <c r="A3503">
        <v>3499</v>
      </c>
      <c r="B3503">
        <v>3500</v>
      </c>
      <c r="F3503" s="63"/>
      <c r="G3503" s="63"/>
      <c r="H3503" t="s">
        <v>26</v>
      </c>
      <c r="I3503" s="64"/>
      <c r="N3503" s="4"/>
      <c r="AG3503" t="s">
        <v>3214</v>
      </c>
      <c r="AM3503" s="1">
        <f t="shared" si="44"/>
        <v>0</v>
      </c>
    </row>
    <row r="3504" spans="1:39" x14ac:dyDescent="0.35">
      <c r="A3504">
        <v>3500</v>
      </c>
      <c r="B3504">
        <v>3501</v>
      </c>
      <c r="F3504" s="63"/>
      <c r="G3504" s="63"/>
      <c r="H3504" t="s">
        <v>26</v>
      </c>
      <c r="I3504" s="64"/>
      <c r="N3504" s="4"/>
      <c r="AG3504" t="s">
        <v>3215</v>
      </c>
      <c r="AM3504" s="1">
        <f t="shared" ref="AM3504:AM3567" si="45">HYPERLINK("E:\CAFNEC_GBRF\2023\JohnstoneRiver\Frames_for_Analysis\" &amp; F3505, F3505)</f>
        <v>0</v>
      </c>
    </row>
    <row r="3505" spans="1:39" x14ac:dyDescent="0.35">
      <c r="A3505">
        <v>3501</v>
      </c>
      <c r="B3505">
        <v>3502</v>
      </c>
      <c r="F3505" s="63"/>
      <c r="G3505" s="63"/>
      <c r="H3505" t="s">
        <v>26</v>
      </c>
      <c r="I3505" s="64"/>
      <c r="N3505" s="4"/>
      <c r="AG3505" t="s">
        <v>3216</v>
      </c>
      <c r="AM3505" s="1">
        <f t="shared" si="45"/>
        <v>0</v>
      </c>
    </row>
    <row r="3506" spans="1:39" x14ac:dyDescent="0.35">
      <c r="A3506">
        <v>3502</v>
      </c>
      <c r="B3506">
        <v>3503</v>
      </c>
      <c r="F3506" s="63"/>
      <c r="G3506" s="63"/>
      <c r="H3506" t="s">
        <v>26</v>
      </c>
      <c r="I3506" s="64"/>
      <c r="N3506" s="4"/>
      <c r="AG3506" t="s">
        <v>3217</v>
      </c>
      <c r="AM3506" s="1">
        <f t="shared" si="45"/>
        <v>0</v>
      </c>
    </row>
    <row r="3507" spans="1:39" x14ac:dyDescent="0.35">
      <c r="A3507">
        <v>3503</v>
      </c>
      <c r="B3507">
        <v>3504</v>
      </c>
      <c r="F3507" s="63"/>
      <c r="G3507" s="63"/>
      <c r="H3507" t="s">
        <v>26</v>
      </c>
      <c r="I3507" s="64"/>
      <c r="N3507" s="4"/>
      <c r="AG3507" t="s">
        <v>3218</v>
      </c>
      <c r="AM3507" s="1">
        <f t="shared" si="45"/>
        <v>0</v>
      </c>
    </row>
    <row r="3508" spans="1:39" x14ac:dyDescent="0.35">
      <c r="A3508">
        <v>3504</v>
      </c>
      <c r="B3508">
        <v>3505</v>
      </c>
      <c r="F3508" s="63"/>
      <c r="G3508" s="63"/>
      <c r="H3508" t="s">
        <v>26</v>
      </c>
      <c r="I3508" s="64"/>
      <c r="N3508" s="4"/>
      <c r="AG3508" t="s">
        <v>3219</v>
      </c>
      <c r="AM3508" s="1">
        <f t="shared" si="45"/>
        <v>0</v>
      </c>
    </row>
    <row r="3509" spans="1:39" x14ac:dyDescent="0.35">
      <c r="A3509">
        <v>3505</v>
      </c>
      <c r="B3509">
        <v>3506</v>
      </c>
      <c r="F3509" s="63"/>
      <c r="G3509" s="63"/>
      <c r="H3509" t="s">
        <v>26</v>
      </c>
      <c r="I3509" s="64"/>
      <c r="N3509" s="4"/>
      <c r="AG3509" t="s">
        <v>3220</v>
      </c>
      <c r="AM3509" s="1">
        <f t="shared" si="45"/>
        <v>0</v>
      </c>
    </row>
    <row r="3510" spans="1:39" x14ac:dyDescent="0.35">
      <c r="A3510">
        <v>3506</v>
      </c>
      <c r="B3510">
        <v>3507</v>
      </c>
      <c r="F3510" s="63"/>
      <c r="G3510" s="63"/>
      <c r="H3510" t="s">
        <v>26</v>
      </c>
      <c r="I3510" s="64"/>
      <c r="N3510" s="4"/>
      <c r="AG3510" t="s">
        <v>3221</v>
      </c>
      <c r="AM3510" s="1">
        <f t="shared" si="45"/>
        <v>0</v>
      </c>
    </row>
    <row r="3511" spans="1:39" x14ac:dyDescent="0.35">
      <c r="A3511">
        <v>3507</v>
      </c>
      <c r="B3511">
        <v>3508</v>
      </c>
      <c r="F3511" s="63"/>
      <c r="G3511" s="63"/>
      <c r="H3511" t="s">
        <v>26</v>
      </c>
      <c r="I3511" s="64"/>
      <c r="N3511" s="4"/>
      <c r="AG3511" t="s">
        <v>3222</v>
      </c>
      <c r="AM3511" s="1">
        <f t="shared" si="45"/>
        <v>0</v>
      </c>
    </row>
    <row r="3512" spans="1:39" x14ac:dyDescent="0.35">
      <c r="A3512">
        <v>3508</v>
      </c>
      <c r="B3512">
        <v>3509</v>
      </c>
      <c r="F3512" s="63"/>
      <c r="G3512" s="63"/>
      <c r="H3512" t="s">
        <v>26</v>
      </c>
      <c r="I3512" s="64"/>
      <c r="N3512" s="4"/>
      <c r="AG3512" t="s">
        <v>3223</v>
      </c>
      <c r="AM3512" s="1">
        <f t="shared" si="45"/>
        <v>0</v>
      </c>
    </row>
    <row r="3513" spans="1:39" x14ac:dyDescent="0.35">
      <c r="A3513">
        <v>3509</v>
      </c>
      <c r="B3513">
        <v>3510</v>
      </c>
      <c r="F3513" s="63"/>
      <c r="G3513" s="63"/>
      <c r="H3513" t="s">
        <v>26</v>
      </c>
      <c r="I3513" s="64"/>
      <c r="N3513" s="4"/>
      <c r="AG3513" t="s">
        <v>3224</v>
      </c>
      <c r="AM3513" s="1">
        <f t="shared" si="45"/>
        <v>0</v>
      </c>
    </row>
    <row r="3514" spans="1:39" x14ac:dyDescent="0.35">
      <c r="A3514">
        <v>3510</v>
      </c>
      <c r="B3514">
        <v>3511</v>
      </c>
      <c r="F3514" s="63"/>
      <c r="G3514" s="63"/>
      <c r="H3514" t="s">
        <v>26</v>
      </c>
      <c r="I3514" s="64"/>
      <c r="N3514" s="4"/>
      <c r="AG3514" t="s">
        <v>3225</v>
      </c>
      <c r="AM3514" s="1">
        <f t="shared" si="45"/>
        <v>0</v>
      </c>
    </row>
    <row r="3515" spans="1:39" x14ac:dyDescent="0.35">
      <c r="A3515">
        <v>3511</v>
      </c>
      <c r="B3515">
        <v>3512</v>
      </c>
      <c r="F3515" s="63"/>
      <c r="G3515" s="63"/>
      <c r="H3515" t="s">
        <v>26</v>
      </c>
      <c r="I3515" s="64"/>
      <c r="N3515" s="4"/>
      <c r="AG3515" t="s">
        <v>3226</v>
      </c>
      <c r="AM3515" s="1">
        <f t="shared" si="45"/>
        <v>0</v>
      </c>
    </row>
    <row r="3516" spans="1:39" x14ac:dyDescent="0.35">
      <c r="A3516">
        <v>3512</v>
      </c>
      <c r="B3516">
        <v>3513</v>
      </c>
      <c r="F3516" s="63"/>
      <c r="G3516" s="63"/>
      <c r="H3516" t="s">
        <v>26</v>
      </c>
      <c r="I3516" s="64"/>
      <c r="N3516" s="4"/>
      <c r="AG3516" t="s">
        <v>3227</v>
      </c>
      <c r="AM3516" s="1">
        <f t="shared" si="45"/>
        <v>0</v>
      </c>
    </row>
    <row r="3517" spans="1:39" x14ac:dyDescent="0.35">
      <c r="A3517">
        <v>3513</v>
      </c>
      <c r="B3517">
        <v>3514</v>
      </c>
      <c r="F3517" s="63"/>
      <c r="G3517" s="63"/>
      <c r="H3517" t="s">
        <v>26</v>
      </c>
      <c r="I3517" s="64"/>
      <c r="N3517" s="4"/>
      <c r="AG3517" t="s">
        <v>3228</v>
      </c>
      <c r="AM3517" s="1">
        <f t="shared" si="45"/>
        <v>0</v>
      </c>
    </row>
    <row r="3518" spans="1:39" x14ac:dyDescent="0.35">
      <c r="A3518">
        <v>3514</v>
      </c>
      <c r="B3518">
        <v>3515</v>
      </c>
      <c r="F3518" s="63"/>
      <c r="G3518" s="63"/>
      <c r="H3518" t="s">
        <v>26</v>
      </c>
      <c r="I3518" s="64"/>
      <c r="N3518" s="4"/>
      <c r="AG3518" t="s">
        <v>3229</v>
      </c>
      <c r="AM3518" s="1">
        <f t="shared" si="45"/>
        <v>0</v>
      </c>
    </row>
    <row r="3519" spans="1:39" x14ac:dyDescent="0.35">
      <c r="A3519">
        <v>3515</v>
      </c>
      <c r="B3519">
        <v>3516</v>
      </c>
      <c r="F3519" s="63"/>
      <c r="G3519" s="63"/>
      <c r="H3519" t="s">
        <v>26</v>
      </c>
      <c r="I3519" s="64"/>
      <c r="N3519" s="4"/>
      <c r="AG3519" t="s">
        <v>3230</v>
      </c>
      <c r="AM3519" s="1">
        <f t="shared" si="45"/>
        <v>0</v>
      </c>
    </row>
    <row r="3520" spans="1:39" x14ac:dyDescent="0.35">
      <c r="A3520">
        <v>3516</v>
      </c>
      <c r="B3520">
        <v>3517</v>
      </c>
      <c r="F3520" s="63"/>
      <c r="G3520" s="63"/>
      <c r="H3520" t="s">
        <v>26</v>
      </c>
      <c r="I3520" s="64"/>
      <c r="N3520" s="4"/>
      <c r="AG3520" t="s">
        <v>3231</v>
      </c>
      <c r="AM3520" s="1">
        <f t="shared" si="45"/>
        <v>0</v>
      </c>
    </row>
    <row r="3521" spans="1:39" x14ac:dyDescent="0.35">
      <c r="A3521">
        <v>3517</v>
      </c>
      <c r="B3521">
        <v>3518</v>
      </c>
      <c r="F3521" s="63"/>
      <c r="G3521" s="63"/>
      <c r="H3521" t="s">
        <v>26</v>
      </c>
      <c r="I3521" s="64"/>
      <c r="N3521" s="4"/>
      <c r="AG3521" t="s">
        <v>3232</v>
      </c>
      <c r="AM3521" s="1">
        <f t="shared" si="45"/>
        <v>0</v>
      </c>
    </row>
    <row r="3522" spans="1:39" x14ac:dyDescent="0.35">
      <c r="A3522">
        <v>3518</v>
      </c>
      <c r="B3522">
        <v>3519</v>
      </c>
      <c r="F3522" s="63"/>
      <c r="G3522" s="63"/>
      <c r="H3522" t="s">
        <v>26</v>
      </c>
      <c r="I3522" s="64"/>
      <c r="N3522" s="4"/>
      <c r="AG3522" t="s">
        <v>3233</v>
      </c>
      <c r="AM3522" s="1">
        <f t="shared" si="45"/>
        <v>0</v>
      </c>
    </row>
    <row r="3523" spans="1:39" x14ac:dyDescent="0.35">
      <c r="A3523">
        <v>3519</v>
      </c>
      <c r="B3523">
        <v>3520</v>
      </c>
      <c r="F3523" s="63"/>
      <c r="G3523" s="63"/>
      <c r="H3523" t="s">
        <v>26</v>
      </c>
      <c r="I3523" s="64"/>
      <c r="N3523" s="4"/>
      <c r="AG3523" t="s">
        <v>3234</v>
      </c>
      <c r="AM3523" s="1">
        <f t="shared" si="45"/>
        <v>0</v>
      </c>
    </row>
    <row r="3524" spans="1:39" x14ac:dyDescent="0.35">
      <c r="A3524">
        <v>3520</v>
      </c>
      <c r="B3524">
        <v>3521</v>
      </c>
      <c r="F3524" s="63"/>
      <c r="G3524" s="63"/>
      <c r="H3524" t="s">
        <v>26</v>
      </c>
      <c r="I3524" s="64"/>
      <c r="N3524" s="4"/>
      <c r="AG3524" t="s">
        <v>3235</v>
      </c>
      <c r="AM3524" s="1">
        <f t="shared" si="45"/>
        <v>0</v>
      </c>
    </row>
    <row r="3525" spans="1:39" x14ac:dyDescent="0.35">
      <c r="A3525">
        <v>3521</v>
      </c>
      <c r="B3525">
        <v>3522</v>
      </c>
      <c r="F3525" s="63"/>
      <c r="G3525" s="63"/>
      <c r="H3525" t="s">
        <v>26</v>
      </c>
      <c r="I3525" s="64"/>
      <c r="N3525" s="4"/>
      <c r="AG3525" t="s">
        <v>3236</v>
      </c>
      <c r="AM3525" s="1">
        <f t="shared" si="45"/>
        <v>0</v>
      </c>
    </row>
    <row r="3526" spans="1:39" x14ac:dyDescent="0.35">
      <c r="A3526">
        <v>3522</v>
      </c>
      <c r="B3526">
        <v>3523</v>
      </c>
      <c r="F3526" s="63"/>
      <c r="G3526" s="63"/>
      <c r="H3526" t="s">
        <v>26</v>
      </c>
      <c r="I3526" s="64"/>
      <c r="N3526" s="4"/>
      <c r="AG3526" t="s">
        <v>3237</v>
      </c>
      <c r="AM3526" s="1">
        <f t="shared" si="45"/>
        <v>0</v>
      </c>
    </row>
    <row r="3527" spans="1:39" x14ac:dyDescent="0.35">
      <c r="A3527">
        <v>3523</v>
      </c>
      <c r="B3527">
        <v>3524</v>
      </c>
      <c r="F3527" s="63"/>
      <c r="G3527" s="63"/>
      <c r="H3527" t="s">
        <v>26</v>
      </c>
      <c r="I3527" s="64"/>
      <c r="N3527" s="4"/>
      <c r="AG3527" t="s">
        <v>3238</v>
      </c>
      <c r="AM3527" s="1">
        <f t="shared" si="45"/>
        <v>0</v>
      </c>
    </row>
    <row r="3528" spans="1:39" x14ac:dyDescent="0.35">
      <c r="A3528">
        <v>3524</v>
      </c>
      <c r="B3528">
        <v>3525</v>
      </c>
      <c r="F3528" s="63"/>
      <c r="G3528" s="63"/>
      <c r="H3528" t="s">
        <v>26</v>
      </c>
      <c r="I3528" s="64"/>
      <c r="N3528" s="4"/>
      <c r="AG3528" t="s">
        <v>3239</v>
      </c>
      <c r="AM3528" s="1">
        <f t="shared" si="45"/>
        <v>0</v>
      </c>
    </row>
    <row r="3529" spans="1:39" x14ac:dyDescent="0.35">
      <c r="A3529">
        <v>3525</v>
      </c>
      <c r="B3529">
        <v>3526</v>
      </c>
      <c r="F3529" s="63"/>
      <c r="G3529" s="63"/>
      <c r="H3529" t="s">
        <v>26</v>
      </c>
      <c r="I3529" s="64"/>
      <c r="N3529" s="4"/>
      <c r="AG3529" t="s">
        <v>3240</v>
      </c>
      <c r="AM3529" s="1">
        <f t="shared" si="45"/>
        <v>0</v>
      </c>
    </row>
    <row r="3530" spans="1:39" x14ac:dyDescent="0.35">
      <c r="A3530">
        <v>3526</v>
      </c>
      <c r="B3530">
        <v>3527</v>
      </c>
      <c r="F3530" s="63"/>
      <c r="G3530" s="63"/>
      <c r="H3530" t="s">
        <v>26</v>
      </c>
      <c r="I3530" s="64"/>
      <c r="N3530" s="4"/>
      <c r="AG3530" t="s">
        <v>3241</v>
      </c>
      <c r="AM3530" s="1">
        <f t="shared" si="45"/>
        <v>0</v>
      </c>
    </row>
    <row r="3531" spans="1:39" x14ac:dyDescent="0.35">
      <c r="A3531">
        <v>3527</v>
      </c>
      <c r="B3531">
        <v>3528</v>
      </c>
      <c r="F3531" s="63"/>
      <c r="G3531" s="63"/>
      <c r="H3531" t="s">
        <v>26</v>
      </c>
      <c r="I3531" s="64"/>
      <c r="N3531" s="4"/>
      <c r="AG3531" t="s">
        <v>3242</v>
      </c>
      <c r="AM3531" s="1">
        <f t="shared" si="45"/>
        <v>0</v>
      </c>
    </row>
    <row r="3532" spans="1:39" x14ac:dyDescent="0.35">
      <c r="A3532">
        <v>3528</v>
      </c>
      <c r="B3532">
        <v>3529</v>
      </c>
      <c r="F3532" s="63"/>
      <c r="G3532" s="63"/>
      <c r="H3532" t="s">
        <v>26</v>
      </c>
      <c r="I3532" s="64"/>
      <c r="N3532" s="4"/>
      <c r="AG3532" t="s">
        <v>3243</v>
      </c>
      <c r="AM3532" s="1">
        <f t="shared" si="45"/>
        <v>0</v>
      </c>
    </row>
    <row r="3533" spans="1:39" x14ac:dyDescent="0.35">
      <c r="A3533">
        <v>3529</v>
      </c>
      <c r="B3533">
        <v>3530</v>
      </c>
      <c r="F3533" s="63"/>
      <c r="G3533" s="63"/>
      <c r="H3533" t="s">
        <v>26</v>
      </c>
      <c r="I3533" s="64"/>
      <c r="N3533" s="4"/>
      <c r="AG3533" t="s">
        <v>3244</v>
      </c>
      <c r="AM3533" s="1">
        <f t="shared" si="45"/>
        <v>0</v>
      </c>
    </row>
    <row r="3534" spans="1:39" x14ac:dyDescent="0.35">
      <c r="A3534">
        <v>3530</v>
      </c>
      <c r="B3534">
        <v>3531</v>
      </c>
      <c r="F3534" s="63"/>
      <c r="G3534" s="63"/>
      <c r="H3534" t="s">
        <v>26</v>
      </c>
      <c r="I3534" s="64"/>
      <c r="N3534" s="4"/>
      <c r="AG3534" t="s">
        <v>3245</v>
      </c>
      <c r="AM3534" s="1">
        <f t="shared" si="45"/>
        <v>0</v>
      </c>
    </row>
    <row r="3535" spans="1:39" x14ac:dyDescent="0.35">
      <c r="A3535">
        <v>3531</v>
      </c>
      <c r="B3535">
        <v>3532</v>
      </c>
      <c r="F3535" s="63"/>
      <c r="G3535" s="63"/>
      <c r="H3535" t="s">
        <v>26</v>
      </c>
      <c r="I3535" s="64"/>
      <c r="N3535" s="4"/>
      <c r="AG3535" t="s">
        <v>3246</v>
      </c>
      <c r="AM3535" s="1">
        <f t="shared" si="45"/>
        <v>0</v>
      </c>
    </row>
    <row r="3536" spans="1:39" x14ac:dyDescent="0.35">
      <c r="A3536">
        <v>3532</v>
      </c>
      <c r="B3536">
        <v>3533</v>
      </c>
      <c r="F3536" s="63"/>
      <c r="G3536" s="63"/>
      <c r="H3536" t="s">
        <v>26</v>
      </c>
      <c r="I3536" s="64"/>
      <c r="N3536" s="4"/>
      <c r="AG3536" t="s">
        <v>3247</v>
      </c>
      <c r="AM3536" s="1">
        <f t="shared" si="45"/>
        <v>0</v>
      </c>
    </row>
    <row r="3537" spans="1:39" x14ac:dyDescent="0.35">
      <c r="A3537">
        <v>3533</v>
      </c>
      <c r="B3537">
        <v>3534</v>
      </c>
      <c r="F3537" s="63"/>
      <c r="G3537" s="63"/>
      <c r="H3537" t="s">
        <v>26</v>
      </c>
      <c r="I3537" s="64"/>
      <c r="N3537" s="4"/>
      <c r="AG3537" t="s">
        <v>3248</v>
      </c>
      <c r="AM3537" s="1">
        <f t="shared" si="45"/>
        <v>0</v>
      </c>
    </row>
    <row r="3538" spans="1:39" x14ac:dyDescent="0.35">
      <c r="A3538">
        <v>3534</v>
      </c>
      <c r="B3538">
        <v>3535</v>
      </c>
      <c r="F3538" s="63"/>
      <c r="G3538" s="63"/>
      <c r="H3538" t="s">
        <v>26</v>
      </c>
      <c r="I3538" s="64"/>
      <c r="N3538" s="4"/>
      <c r="AG3538" t="s">
        <v>3249</v>
      </c>
      <c r="AM3538" s="1">
        <f t="shared" si="45"/>
        <v>0</v>
      </c>
    </row>
    <row r="3539" spans="1:39" x14ac:dyDescent="0.35">
      <c r="A3539">
        <v>3535</v>
      </c>
      <c r="B3539">
        <v>3536</v>
      </c>
      <c r="F3539" s="63"/>
      <c r="G3539" s="63"/>
      <c r="H3539" t="s">
        <v>26</v>
      </c>
      <c r="I3539" s="64"/>
      <c r="N3539" s="4"/>
      <c r="AG3539" t="s">
        <v>3250</v>
      </c>
      <c r="AM3539" s="1">
        <f t="shared" si="45"/>
        <v>0</v>
      </c>
    </row>
    <row r="3540" spans="1:39" x14ac:dyDescent="0.35">
      <c r="A3540">
        <v>3536</v>
      </c>
      <c r="B3540">
        <v>3537</v>
      </c>
      <c r="F3540" s="63"/>
      <c r="G3540" s="63"/>
      <c r="H3540" t="s">
        <v>26</v>
      </c>
      <c r="I3540" s="64"/>
      <c r="N3540" s="4"/>
      <c r="AG3540" t="s">
        <v>3251</v>
      </c>
      <c r="AM3540" s="1">
        <f t="shared" si="45"/>
        <v>0</v>
      </c>
    </row>
    <row r="3541" spans="1:39" x14ac:dyDescent="0.35">
      <c r="A3541">
        <v>3537</v>
      </c>
      <c r="B3541">
        <v>3538</v>
      </c>
      <c r="F3541" s="63"/>
      <c r="G3541" s="63"/>
      <c r="H3541" t="s">
        <v>26</v>
      </c>
      <c r="I3541" s="64"/>
      <c r="N3541" s="4"/>
      <c r="AG3541" t="s">
        <v>3252</v>
      </c>
      <c r="AM3541" s="1">
        <f t="shared" si="45"/>
        <v>0</v>
      </c>
    </row>
    <row r="3542" spans="1:39" x14ac:dyDescent="0.35">
      <c r="A3542">
        <v>3538</v>
      </c>
      <c r="B3542">
        <v>3539</v>
      </c>
      <c r="F3542" s="63"/>
      <c r="G3542" s="63"/>
      <c r="H3542" t="s">
        <v>26</v>
      </c>
      <c r="I3542" s="64"/>
      <c r="N3542" s="4"/>
      <c r="AG3542" t="s">
        <v>3253</v>
      </c>
      <c r="AM3542" s="1">
        <f t="shared" si="45"/>
        <v>0</v>
      </c>
    </row>
    <row r="3543" spans="1:39" x14ac:dyDescent="0.35">
      <c r="A3543">
        <v>3539</v>
      </c>
      <c r="B3543">
        <v>3540</v>
      </c>
      <c r="F3543" s="63"/>
      <c r="G3543" s="63"/>
      <c r="H3543" t="s">
        <v>26</v>
      </c>
      <c r="I3543" s="64"/>
      <c r="N3543" s="4"/>
      <c r="AG3543" t="s">
        <v>3254</v>
      </c>
      <c r="AM3543" s="1">
        <f t="shared" si="45"/>
        <v>0</v>
      </c>
    </row>
    <row r="3544" spans="1:39" x14ac:dyDescent="0.35">
      <c r="A3544">
        <v>3540</v>
      </c>
      <c r="B3544">
        <v>3541</v>
      </c>
      <c r="F3544" s="63"/>
      <c r="G3544" s="63"/>
      <c r="H3544" t="s">
        <v>26</v>
      </c>
      <c r="I3544" s="64"/>
      <c r="N3544" s="4"/>
      <c r="AG3544" t="s">
        <v>3255</v>
      </c>
      <c r="AM3544" s="1">
        <f t="shared" si="45"/>
        <v>0</v>
      </c>
    </row>
    <row r="3545" spans="1:39" x14ac:dyDescent="0.35">
      <c r="A3545">
        <v>3541</v>
      </c>
      <c r="B3545">
        <v>3542</v>
      </c>
      <c r="F3545" s="63"/>
      <c r="G3545" s="63"/>
      <c r="H3545" t="s">
        <v>26</v>
      </c>
      <c r="I3545" s="64"/>
      <c r="N3545" s="4"/>
      <c r="AG3545" t="s">
        <v>3256</v>
      </c>
      <c r="AM3545" s="1">
        <f t="shared" si="45"/>
        <v>0</v>
      </c>
    </row>
    <row r="3546" spans="1:39" x14ac:dyDescent="0.35">
      <c r="A3546">
        <v>3542</v>
      </c>
      <c r="B3546">
        <v>3543</v>
      </c>
      <c r="F3546" s="63"/>
      <c r="G3546" s="63"/>
      <c r="H3546" t="s">
        <v>26</v>
      </c>
      <c r="I3546" s="64"/>
      <c r="N3546" s="4"/>
      <c r="AG3546" t="s">
        <v>3257</v>
      </c>
      <c r="AM3546" s="1">
        <f t="shared" si="45"/>
        <v>0</v>
      </c>
    </row>
    <row r="3547" spans="1:39" x14ac:dyDescent="0.35">
      <c r="A3547">
        <v>3543</v>
      </c>
      <c r="B3547">
        <v>3544</v>
      </c>
      <c r="F3547" s="63"/>
      <c r="G3547" s="63"/>
      <c r="H3547" t="s">
        <v>26</v>
      </c>
      <c r="I3547" s="64"/>
      <c r="N3547" s="4"/>
      <c r="AG3547" t="s">
        <v>3258</v>
      </c>
      <c r="AM3547" s="1">
        <f t="shared" si="45"/>
        <v>0</v>
      </c>
    </row>
    <row r="3548" spans="1:39" x14ac:dyDescent="0.35">
      <c r="A3548">
        <v>3544</v>
      </c>
      <c r="B3548">
        <v>3545</v>
      </c>
      <c r="F3548" s="63"/>
      <c r="G3548" s="63"/>
      <c r="H3548" t="s">
        <v>78</v>
      </c>
      <c r="I3548" s="64">
        <v>0</v>
      </c>
      <c r="N3548" s="4"/>
      <c r="AG3548" t="s">
        <v>3259</v>
      </c>
      <c r="AM3548" s="1">
        <f t="shared" si="45"/>
        <v>0</v>
      </c>
    </row>
    <row r="3549" spans="1:39" x14ac:dyDescent="0.35">
      <c r="A3549">
        <v>3545</v>
      </c>
      <c r="B3549">
        <v>3546</v>
      </c>
      <c r="F3549" s="63"/>
      <c r="G3549" s="63"/>
      <c r="H3549" t="s">
        <v>78</v>
      </c>
      <c r="I3549" s="64">
        <v>0</v>
      </c>
      <c r="N3549" s="4"/>
      <c r="AG3549" t="s">
        <v>3260</v>
      </c>
      <c r="AM3549" s="1">
        <f t="shared" si="45"/>
        <v>0</v>
      </c>
    </row>
    <row r="3550" spans="1:39" x14ac:dyDescent="0.35">
      <c r="A3550">
        <v>3546</v>
      </c>
      <c r="B3550">
        <v>3547</v>
      </c>
      <c r="F3550" s="63"/>
      <c r="G3550" s="63"/>
      <c r="H3550" t="s">
        <v>78</v>
      </c>
      <c r="I3550" s="64">
        <v>0</v>
      </c>
      <c r="N3550" s="4"/>
      <c r="AG3550" t="s">
        <v>3261</v>
      </c>
      <c r="AM3550" s="1">
        <f t="shared" si="45"/>
        <v>0</v>
      </c>
    </row>
    <row r="3551" spans="1:39" x14ac:dyDescent="0.35">
      <c r="A3551">
        <v>3547</v>
      </c>
      <c r="B3551">
        <v>3548</v>
      </c>
      <c r="F3551" s="63"/>
      <c r="G3551" s="63"/>
      <c r="H3551" t="s">
        <v>78</v>
      </c>
      <c r="I3551" s="64">
        <v>0</v>
      </c>
      <c r="N3551" s="4"/>
      <c r="AG3551" t="s">
        <v>3262</v>
      </c>
      <c r="AM3551" s="1">
        <f t="shared" si="45"/>
        <v>0</v>
      </c>
    </row>
    <row r="3552" spans="1:39" x14ac:dyDescent="0.35">
      <c r="A3552">
        <v>3548</v>
      </c>
      <c r="B3552">
        <v>3549</v>
      </c>
      <c r="F3552" s="63"/>
      <c r="G3552" s="63"/>
      <c r="H3552" t="s">
        <v>78</v>
      </c>
      <c r="I3552" s="64">
        <v>0</v>
      </c>
      <c r="N3552" s="4"/>
      <c r="AG3552" t="s">
        <v>3263</v>
      </c>
      <c r="AM3552" s="1">
        <f t="shared" si="45"/>
        <v>0</v>
      </c>
    </row>
    <row r="3553" spans="1:39" x14ac:dyDescent="0.35">
      <c r="A3553">
        <v>3549</v>
      </c>
      <c r="B3553">
        <v>3550</v>
      </c>
      <c r="F3553" s="63"/>
      <c r="G3553" s="63"/>
      <c r="H3553" t="s">
        <v>78</v>
      </c>
      <c r="I3553" s="64">
        <v>0</v>
      </c>
      <c r="N3553" s="4"/>
      <c r="AG3553" t="s">
        <v>3264</v>
      </c>
      <c r="AM3553" s="1">
        <f t="shared" si="45"/>
        <v>0</v>
      </c>
    </row>
    <row r="3554" spans="1:39" x14ac:dyDescent="0.35">
      <c r="A3554">
        <v>3550</v>
      </c>
      <c r="B3554">
        <v>3551</v>
      </c>
      <c r="F3554" s="63"/>
      <c r="G3554" s="63"/>
      <c r="H3554" t="s">
        <v>78</v>
      </c>
      <c r="I3554" s="64">
        <v>0</v>
      </c>
      <c r="N3554" s="4"/>
      <c r="AG3554" t="s">
        <v>3265</v>
      </c>
      <c r="AM3554" s="1">
        <f t="shared" si="45"/>
        <v>0</v>
      </c>
    </row>
    <row r="3555" spans="1:39" x14ac:dyDescent="0.35">
      <c r="A3555">
        <v>3551</v>
      </c>
      <c r="B3555">
        <v>3552</v>
      </c>
      <c r="F3555" s="63"/>
      <c r="G3555" s="63"/>
      <c r="H3555" t="s">
        <v>78</v>
      </c>
      <c r="I3555" s="64">
        <v>0</v>
      </c>
      <c r="N3555" s="4"/>
      <c r="AG3555" t="s">
        <v>3266</v>
      </c>
      <c r="AM3555" s="1">
        <f t="shared" si="45"/>
        <v>0</v>
      </c>
    </row>
    <row r="3556" spans="1:39" x14ac:dyDescent="0.35">
      <c r="A3556">
        <v>3552</v>
      </c>
      <c r="B3556">
        <v>3553</v>
      </c>
      <c r="F3556" s="63"/>
      <c r="G3556" s="63"/>
      <c r="H3556" t="s">
        <v>78</v>
      </c>
      <c r="I3556" s="64">
        <v>0</v>
      </c>
      <c r="N3556" s="4"/>
      <c r="AG3556" t="s">
        <v>3267</v>
      </c>
      <c r="AM3556" s="1">
        <f t="shared" si="45"/>
        <v>0</v>
      </c>
    </row>
    <row r="3557" spans="1:39" x14ac:dyDescent="0.35">
      <c r="A3557">
        <v>3553</v>
      </c>
      <c r="B3557">
        <v>3554</v>
      </c>
      <c r="F3557" s="63"/>
      <c r="G3557" s="63"/>
      <c r="H3557" t="s">
        <v>78</v>
      </c>
      <c r="I3557" s="64">
        <v>0</v>
      </c>
      <c r="N3557" s="4"/>
      <c r="AG3557" t="s">
        <v>3268</v>
      </c>
      <c r="AM3557" s="1">
        <f t="shared" si="45"/>
        <v>0</v>
      </c>
    </row>
    <row r="3558" spans="1:39" x14ac:dyDescent="0.35">
      <c r="A3558">
        <v>3554</v>
      </c>
      <c r="B3558">
        <v>3555</v>
      </c>
      <c r="F3558" s="63"/>
      <c r="G3558" s="63"/>
      <c r="H3558" t="s">
        <v>78</v>
      </c>
      <c r="I3558" s="64">
        <v>0</v>
      </c>
      <c r="N3558" s="4"/>
      <c r="AG3558" t="s">
        <v>3269</v>
      </c>
      <c r="AM3558" s="1">
        <f t="shared" si="45"/>
        <v>0</v>
      </c>
    </row>
    <row r="3559" spans="1:39" x14ac:dyDescent="0.35">
      <c r="A3559">
        <v>3555</v>
      </c>
      <c r="B3559">
        <v>3556</v>
      </c>
      <c r="F3559" s="63"/>
      <c r="G3559" s="63"/>
      <c r="H3559" t="s">
        <v>78</v>
      </c>
      <c r="I3559" s="64">
        <v>0</v>
      </c>
      <c r="N3559" s="4"/>
      <c r="AG3559" t="s">
        <v>3270</v>
      </c>
      <c r="AM3559" s="1">
        <f t="shared" si="45"/>
        <v>0</v>
      </c>
    </row>
    <row r="3560" spans="1:39" x14ac:dyDescent="0.35">
      <c r="A3560">
        <v>3556</v>
      </c>
      <c r="B3560">
        <v>3557</v>
      </c>
      <c r="F3560" s="63"/>
      <c r="G3560" s="63"/>
      <c r="H3560" t="s">
        <v>78</v>
      </c>
      <c r="I3560" s="64">
        <v>0</v>
      </c>
      <c r="N3560" s="4"/>
      <c r="AG3560" t="s">
        <v>3271</v>
      </c>
      <c r="AM3560" s="1">
        <f t="shared" si="45"/>
        <v>0</v>
      </c>
    </row>
    <row r="3561" spans="1:39" x14ac:dyDescent="0.35">
      <c r="A3561">
        <v>3557</v>
      </c>
      <c r="B3561">
        <v>3558</v>
      </c>
      <c r="F3561" s="63"/>
      <c r="G3561" s="63"/>
      <c r="H3561" t="s">
        <v>78</v>
      </c>
      <c r="I3561" s="64">
        <v>0</v>
      </c>
      <c r="N3561" s="4"/>
      <c r="AG3561" t="s">
        <v>3272</v>
      </c>
      <c r="AM3561" s="1">
        <f t="shared" si="45"/>
        <v>0</v>
      </c>
    </row>
    <row r="3562" spans="1:39" x14ac:dyDescent="0.35">
      <c r="A3562">
        <v>3558</v>
      </c>
      <c r="B3562">
        <v>3559</v>
      </c>
      <c r="F3562" s="63"/>
      <c r="G3562" s="63"/>
      <c r="H3562" t="s">
        <v>78</v>
      </c>
      <c r="I3562" s="64">
        <v>0</v>
      </c>
      <c r="N3562" s="4"/>
      <c r="AG3562" t="s">
        <v>3273</v>
      </c>
      <c r="AM3562" s="1">
        <f t="shared" si="45"/>
        <v>0</v>
      </c>
    </row>
    <row r="3563" spans="1:39" x14ac:dyDescent="0.35">
      <c r="A3563">
        <v>3559</v>
      </c>
      <c r="B3563">
        <v>3560</v>
      </c>
      <c r="F3563" s="63"/>
      <c r="G3563" s="63"/>
      <c r="H3563" t="s">
        <v>78</v>
      </c>
      <c r="I3563" s="64">
        <v>0</v>
      </c>
      <c r="N3563" s="4"/>
      <c r="AG3563" t="s">
        <v>3274</v>
      </c>
      <c r="AM3563" s="1">
        <f t="shared" si="45"/>
        <v>0</v>
      </c>
    </row>
    <row r="3564" spans="1:39" x14ac:dyDescent="0.35">
      <c r="A3564">
        <v>3560</v>
      </c>
      <c r="B3564">
        <v>3561</v>
      </c>
      <c r="F3564" s="63"/>
      <c r="G3564" s="63"/>
      <c r="H3564" t="s">
        <v>78</v>
      </c>
      <c r="I3564" s="64">
        <v>0</v>
      </c>
      <c r="N3564" s="4"/>
      <c r="AG3564" t="s">
        <v>3275</v>
      </c>
      <c r="AM3564" s="1">
        <f t="shared" si="45"/>
        <v>0</v>
      </c>
    </row>
    <row r="3565" spans="1:39" x14ac:dyDescent="0.35">
      <c r="A3565">
        <v>3561</v>
      </c>
      <c r="B3565">
        <v>3562</v>
      </c>
      <c r="F3565" s="63"/>
      <c r="G3565" s="63"/>
      <c r="H3565" t="s">
        <v>78</v>
      </c>
      <c r="I3565" s="64">
        <v>0</v>
      </c>
      <c r="N3565" s="4"/>
      <c r="AG3565" t="s">
        <v>3276</v>
      </c>
      <c r="AM3565" s="1">
        <f t="shared" si="45"/>
        <v>0</v>
      </c>
    </row>
    <row r="3566" spans="1:39" x14ac:dyDescent="0.35">
      <c r="A3566">
        <v>3562</v>
      </c>
      <c r="B3566">
        <v>3563</v>
      </c>
      <c r="F3566" s="63"/>
      <c r="G3566" s="63"/>
      <c r="H3566" t="s">
        <v>78</v>
      </c>
      <c r="I3566" s="64">
        <v>0</v>
      </c>
      <c r="N3566" s="4"/>
      <c r="AG3566" t="s">
        <v>3277</v>
      </c>
      <c r="AM3566" s="1">
        <f t="shared" si="45"/>
        <v>0</v>
      </c>
    </row>
    <row r="3567" spans="1:39" x14ac:dyDescent="0.35">
      <c r="A3567">
        <v>3563</v>
      </c>
      <c r="B3567">
        <v>3564</v>
      </c>
      <c r="F3567" s="63"/>
      <c r="G3567" s="63"/>
      <c r="H3567" t="s">
        <v>78</v>
      </c>
      <c r="I3567" s="64">
        <v>0</v>
      </c>
      <c r="N3567" s="4"/>
      <c r="AG3567" t="s">
        <v>3278</v>
      </c>
      <c r="AM3567" s="1">
        <f t="shared" si="45"/>
        <v>0</v>
      </c>
    </row>
    <row r="3568" spans="1:39" x14ac:dyDescent="0.35">
      <c r="A3568">
        <v>3564</v>
      </c>
      <c r="B3568">
        <v>3565</v>
      </c>
      <c r="F3568" s="63"/>
      <c r="G3568" s="63"/>
      <c r="H3568" t="s">
        <v>78</v>
      </c>
      <c r="I3568" s="64">
        <v>0</v>
      </c>
      <c r="N3568" s="4"/>
      <c r="AG3568" t="s">
        <v>3279</v>
      </c>
      <c r="AM3568" s="1">
        <f t="shared" ref="AM3568:AM3618" si="46">HYPERLINK("E:\CAFNEC_GBRF\2023\JohnstoneRiver\Frames_for_Analysis\" &amp; F3569, F3569)</f>
        <v>0</v>
      </c>
    </row>
    <row r="3569" spans="1:39" x14ac:dyDescent="0.35">
      <c r="A3569">
        <v>3565</v>
      </c>
      <c r="B3569">
        <v>3566</v>
      </c>
      <c r="F3569" s="63"/>
      <c r="G3569" s="63"/>
      <c r="H3569" t="s">
        <v>26</v>
      </c>
      <c r="I3569" s="64"/>
      <c r="N3569" s="4"/>
      <c r="AG3569" t="s">
        <v>3280</v>
      </c>
      <c r="AM3569" s="1">
        <f t="shared" si="46"/>
        <v>0</v>
      </c>
    </row>
    <row r="3570" spans="1:39" x14ac:dyDescent="0.35">
      <c r="A3570">
        <v>3566</v>
      </c>
      <c r="B3570">
        <v>3567</v>
      </c>
      <c r="F3570" s="63"/>
      <c r="G3570" s="63"/>
      <c r="H3570" t="s">
        <v>26</v>
      </c>
      <c r="I3570" s="64"/>
      <c r="N3570" s="4"/>
      <c r="AG3570" t="s">
        <v>3281</v>
      </c>
      <c r="AM3570" s="1">
        <f t="shared" si="46"/>
        <v>0</v>
      </c>
    </row>
    <row r="3571" spans="1:39" x14ac:dyDescent="0.35">
      <c r="A3571">
        <v>3567</v>
      </c>
      <c r="B3571">
        <v>3568</v>
      </c>
      <c r="F3571" s="63"/>
      <c r="G3571" s="63"/>
      <c r="H3571" t="s">
        <v>26</v>
      </c>
      <c r="I3571" s="64"/>
      <c r="N3571" s="4"/>
      <c r="AG3571" t="s">
        <v>3282</v>
      </c>
      <c r="AM3571" s="1">
        <f t="shared" si="46"/>
        <v>0</v>
      </c>
    </row>
    <row r="3572" spans="1:39" x14ac:dyDescent="0.35">
      <c r="A3572">
        <v>3568</v>
      </c>
      <c r="B3572">
        <v>3569</v>
      </c>
      <c r="F3572" s="63"/>
      <c r="G3572" s="63"/>
      <c r="H3572" t="s">
        <v>26</v>
      </c>
      <c r="I3572" s="64"/>
      <c r="N3572" s="4"/>
      <c r="AG3572" t="s">
        <v>3283</v>
      </c>
      <c r="AM3572" s="1">
        <f t="shared" si="46"/>
        <v>0</v>
      </c>
    </row>
    <row r="3573" spans="1:39" x14ac:dyDescent="0.35">
      <c r="A3573">
        <v>3569</v>
      </c>
      <c r="B3573">
        <v>3570</v>
      </c>
      <c r="F3573" s="63"/>
      <c r="G3573" s="63"/>
      <c r="H3573" t="s">
        <v>26</v>
      </c>
      <c r="I3573" s="64"/>
      <c r="N3573" s="4"/>
      <c r="AG3573" t="s">
        <v>3284</v>
      </c>
      <c r="AM3573" s="1">
        <f t="shared" si="46"/>
        <v>0</v>
      </c>
    </row>
    <row r="3574" spans="1:39" x14ac:dyDescent="0.35">
      <c r="A3574">
        <v>3570</v>
      </c>
      <c r="B3574">
        <v>3571</v>
      </c>
      <c r="F3574" s="63"/>
      <c r="G3574" s="63"/>
      <c r="H3574" t="s">
        <v>26</v>
      </c>
      <c r="I3574" s="64"/>
      <c r="N3574" s="4"/>
      <c r="AG3574" t="s">
        <v>3285</v>
      </c>
      <c r="AM3574" s="1">
        <f t="shared" si="46"/>
        <v>0</v>
      </c>
    </row>
    <row r="3575" spans="1:39" x14ac:dyDescent="0.35">
      <c r="A3575">
        <v>3571</v>
      </c>
      <c r="B3575">
        <v>3572</v>
      </c>
      <c r="F3575" s="63"/>
      <c r="G3575" s="63"/>
      <c r="H3575" t="s">
        <v>26</v>
      </c>
      <c r="I3575" s="64"/>
      <c r="N3575" s="4"/>
      <c r="AG3575" t="s">
        <v>3286</v>
      </c>
      <c r="AM3575" s="1">
        <f t="shared" si="46"/>
        <v>0</v>
      </c>
    </row>
    <row r="3576" spans="1:39" x14ac:dyDescent="0.35">
      <c r="A3576">
        <v>3572</v>
      </c>
      <c r="B3576">
        <v>3573</v>
      </c>
      <c r="F3576" s="63"/>
      <c r="G3576" s="63"/>
      <c r="H3576" t="s">
        <v>26</v>
      </c>
      <c r="I3576" s="64"/>
      <c r="N3576" s="4"/>
      <c r="AG3576" t="s">
        <v>3287</v>
      </c>
      <c r="AM3576" s="1">
        <f t="shared" si="46"/>
        <v>0</v>
      </c>
    </row>
    <row r="3577" spans="1:39" x14ac:dyDescent="0.35">
      <c r="A3577">
        <v>3573</v>
      </c>
      <c r="B3577">
        <v>3574</v>
      </c>
      <c r="F3577" s="63"/>
      <c r="G3577" s="63"/>
      <c r="H3577" t="s">
        <v>26</v>
      </c>
      <c r="I3577" s="64"/>
      <c r="N3577" s="4"/>
      <c r="AG3577" t="s">
        <v>3288</v>
      </c>
      <c r="AM3577" s="1">
        <f t="shared" si="46"/>
        <v>0</v>
      </c>
    </row>
    <row r="3578" spans="1:39" x14ac:dyDescent="0.35">
      <c r="A3578">
        <v>3574</v>
      </c>
      <c r="B3578">
        <v>3575</v>
      </c>
      <c r="F3578" s="63"/>
      <c r="G3578" s="63"/>
      <c r="H3578" t="s">
        <v>26</v>
      </c>
      <c r="I3578" s="64"/>
      <c r="N3578" s="4"/>
      <c r="AG3578" t="s">
        <v>3289</v>
      </c>
      <c r="AM3578" s="1">
        <f t="shared" si="46"/>
        <v>0</v>
      </c>
    </row>
    <row r="3579" spans="1:39" x14ac:dyDescent="0.35">
      <c r="A3579">
        <v>3575</v>
      </c>
      <c r="B3579">
        <v>3576</v>
      </c>
      <c r="F3579" s="63"/>
      <c r="G3579" s="63"/>
      <c r="H3579" t="s">
        <v>26</v>
      </c>
      <c r="I3579" s="64"/>
      <c r="N3579" s="4"/>
      <c r="AG3579" t="s">
        <v>3290</v>
      </c>
      <c r="AM3579" s="1">
        <f t="shared" si="46"/>
        <v>0</v>
      </c>
    </row>
    <row r="3580" spans="1:39" x14ac:dyDescent="0.35">
      <c r="A3580">
        <v>3576</v>
      </c>
      <c r="B3580">
        <v>3577</v>
      </c>
      <c r="F3580" s="63"/>
      <c r="G3580" s="63"/>
      <c r="H3580" t="s">
        <v>26</v>
      </c>
      <c r="I3580" s="64"/>
      <c r="N3580" s="4"/>
      <c r="AG3580" t="s">
        <v>3291</v>
      </c>
      <c r="AM3580" s="1">
        <f t="shared" si="46"/>
        <v>0</v>
      </c>
    </row>
    <row r="3581" spans="1:39" x14ac:dyDescent="0.35">
      <c r="A3581">
        <v>3577</v>
      </c>
      <c r="B3581">
        <v>3578</v>
      </c>
      <c r="F3581" s="63"/>
      <c r="G3581" s="63"/>
      <c r="H3581" t="s">
        <v>26</v>
      </c>
      <c r="I3581" s="64"/>
      <c r="N3581" s="4"/>
      <c r="AG3581" t="s">
        <v>3292</v>
      </c>
      <c r="AM3581" s="1">
        <f t="shared" si="46"/>
        <v>0</v>
      </c>
    </row>
    <row r="3582" spans="1:39" x14ac:dyDescent="0.35">
      <c r="A3582">
        <v>3578</v>
      </c>
      <c r="B3582">
        <v>3579</v>
      </c>
      <c r="F3582" s="63"/>
      <c r="G3582" s="63"/>
      <c r="H3582" t="s">
        <v>26</v>
      </c>
      <c r="I3582" s="64"/>
      <c r="N3582" s="4"/>
      <c r="AG3582" t="s">
        <v>3293</v>
      </c>
      <c r="AM3582" s="1">
        <f t="shared" si="46"/>
        <v>0</v>
      </c>
    </row>
    <row r="3583" spans="1:39" x14ac:dyDescent="0.35">
      <c r="A3583">
        <v>3579</v>
      </c>
      <c r="B3583">
        <v>3580</v>
      </c>
      <c r="F3583" s="63"/>
      <c r="G3583" s="63"/>
      <c r="H3583" t="s">
        <v>78</v>
      </c>
      <c r="I3583" s="64">
        <v>0</v>
      </c>
      <c r="N3583" s="4"/>
      <c r="AG3583" t="s">
        <v>3294</v>
      </c>
      <c r="AM3583" s="1">
        <f t="shared" si="46"/>
        <v>0</v>
      </c>
    </row>
    <row r="3584" spans="1:39" x14ac:dyDescent="0.35">
      <c r="A3584">
        <v>3580</v>
      </c>
      <c r="B3584">
        <v>3581</v>
      </c>
      <c r="F3584" s="63"/>
      <c r="G3584" s="63"/>
      <c r="H3584" t="s">
        <v>78</v>
      </c>
      <c r="I3584" s="64">
        <v>0</v>
      </c>
      <c r="N3584" s="4"/>
      <c r="AG3584" t="s">
        <v>3295</v>
      </c>
      <c r="AM3584" s="1">
        <f t="shared" si="46"/>
        <v>0</v>
      </c>
    </row>
    <row r="3585" spans="1:39" x14ac:dyDescent="0.35">
      <c r="A3585">
        <v>3581</v>
      </c>
      <c r="B3585">
        <v>3582</v>
      </c>
      <c r="F3585" s="63"/>
      <c r="G3585" s="63"/>
      <c r="H3585" t="s">
        <v>26</v>
      </c>
      <c r="I3585" s="64"/>
      <c r="N3585" s="4"/>
      <c r="AG3585" t="s">
        <v>3296</v>
      </c>
      <c r="AM3585" s="1">
        <f t="shared" si="46"/>
        <v>0</v>
      </c>
    </row>
    <row r="3586" spans="1:39" x14ac:dyDescent="0.35">
      <c r="A3586">
        <v>3582</v>
      </c>
      <c r="B3586">
        <v>3583</v>
      </c>
      <c r="F3586" s="63"/>
      <c r="G3586" s="63"/>
      <c r="H3586" t="s">
        <v>26</v>
      </c>
      <c r="I3586" s="64"/>
      <c r="N3586" s="4"/>
      <c r="AG3586" t="s">
        <v>3297</v>
      </c>
      <c r="AM3586" s="1">
        <f t="shared" si="46"/>
        <v>0</v>
      </c>
    </row>
    <row r="3587" spans="1:39" x14ac:dyDescent="0.35">
      <c r="A3587">
        <v>3583</v>
      </c>
      <c r="B3587">
        <v>3584</v>
      </c>
      <c r="F3587" s="63"/>
      <c r="G3587" s="63"/>
      <c r="H3587" t="s">
        <v>26</v>
      </c>
      <c r="I3587" s="64"/>
      <c r="N3587" s="4"/>
      <c r="AG3587" t="s">
        <v>3298</v>
      </c>
      <c r="AM3587" s="1">
        <f t="shared" si="46"/>
        <v>0</v>
      </c>
    </row>
    <row r="3588" spans="1:39" x14ac:dyDescent="0.35">
      <c r="A3588">
        <v>3584</v>
      </c>
      <c r="B3588">
        <v>3585</v>
      </c>
      <c r="F3588" s="63"/>
      <c r="G3588" s="63"/>
      <c r="H3588" t="s">
        <v>26</v>
      </c>
      <c r="I3588" s="64"/>
      <c r="N3588" s="4"/>
      <c r="AG3588" t="s">
        <v>3299</v>
      </c>
      <c r="AM3588" s="1">
        <f t="shared" si="46"/>
        <v>0</v>
      </c>
    </row>
    <row r="3589" spans="1:39" x14ac:dyDescent="0.35">
      <c r="A3589">
        <v>3585</v>
      </c>
      <c r="B3589">
        <v>3586</v>
      </c>
      <c r="F3589" s="63"/>
      <c r="G3589" s="63"/>
      <c r="H3589" t="s">
        <v>26</v>
      </c>
      <c r="I3589" s="64"/>
      <c r="N3589" s="4"/>
      <c r="AG3589" t="s">
        <v>3300</v>
      </c>
      <c r="AM3589" s="1">
        <f t="shared" si="46"/>
        <v>0</v>
      </c>
    </row>
    <row r="3590" spans="1:39" x14ac:dyDescent="0.35">
      <c r="A3590">
        <v>3586</v>
      </c>
      <c r="B3590">
        <v>3587</v>
      </c>
      <c r="F3590" s="63"/>
      <c r="G3590" s="63"/>
      <c r="H3590" t="s">
        <v>26</v>
      </c>
      <c r="I3590" s="64"/>
      <c r="N3590" s="4"/>
      <c r="AG3590" t="s">
        <v>3301</v>
      </c>
      <c r="AM3590" s="1">
        <f t="shared" si="46"/>
        <v>0</v>
      </c>
    </row>
    <row r="3591" spans="1:39" x14ac:dyDescent="0.35">
      <c r="A3591">
        <v>3587</v>
      </c>
      <c r="B3591">
        <v>3588</v>
      </c>
      <c r="F3591" s="63"/>
      <c r="G3591" s="63"/>
      <c r="H3591" t="s">
        <v>78</v>
      </c>
      <c r="I3591" s="64">
        <v>0</v>
      </c>
      <c r="N3591" s="4"/>
      <c r="AG3591" t="s">
        <v>3302</v>
      </c>
      <c r="AM3591" s="1">
        <f t="shared" si="46"/>
        <v>0</v>
      </c>
    </row>
    <row r="3592" spans="1:39" x14ac:dyDescent="0.35">
      <c r="A3592">
        <v>3588</v>
      </c>
      <c r="B3592">
        <v>3589</v>
      </c>
      <c r="F3592" s="63"/>
      <c r="G3592" s="63"/>
      <c r="H3592" t="s">
        <v>78</v>
      </c>
      <c r="I3592" s="64">
        <v>0</v>
      </c>
      <c r="N3592" s="4"/>
      <c r="AG3592" t="s">
        <v>3303</v>
      </c>
      <c r="AM3592" s="1">
        <f t="shared" si="46"/>
        <v>0</v>
      </c>
    </row>
    <row r="3593" spans="1:39" x14ac:dyDescent="0.35">
      <c r="A3593">
        <v>3589</v>
      </c>
      <c r="B3593">
        <v>3590</v>
      </c>
      <c r="F3593" s="63"/>
      <c r="G3593" s="63"/>
      <c r="H3593" t="s">
        <v>78</v>
      </c>
      <c r="I3593" s="64">
        <v>0</v>
      </c>
      <c r="N3593" s="4"/>
      <c r="AG3593" t="s">
        <v>3304</v>
      </c>
      <c r="AM3593" s="1">
        <f t="shared" si="46"/>
        <v>0</v>
      </c>
    </row>
    <row r="3594" spans="1:39" x14ac:dyDescent="0.35">
      <c r="A3594">
        <v>3590</v>
      </c>
      <c r="B3594">
        <v>3591</v>
      </c>
      <c r="F3594" s="63"/>
      <c r="G3594" s="63"/>
      <c r="H3594" t="s">
        <v>78</v>
      </c>
      <c r="I3594" s="64">
        <v>0</v>
      </c>
      <c r="N3594" s="4"/>
      <c r="AG3594" t="s">
        <v>3305</v>
      </c>
      <c r="AM3594" s="1">
        <f t="shared" si="46"/>
        <v>0</v>
      </c>
    </row>
    <row r="3595" spans="1:39" x14ac:dyDescent="0.35">
      <c r="A3595">
        <v>3591</v>
      </c>
      <c r="B3595">
        <v>3592</v>
      </c>
      <c r="F3595" s="63"/>
      <c r="G3595" s="63"/>
      <c r="H3595" t="s">
        <v>78</v>
      </c>
      <c r="I3595" s="64">
        <v>0</v>
      </c>
      <c r="N3595" s="4"/>
      <c r="AG3595" t="s">
        <v>3306</v>
      </c>
      <c r="AM3595" s="1">
        <f t="shared" si="46"/>
        <v>0</v>
      </c>
    </row>
    <row r="3596" spans="1:39" x14ac:dyDescent="0.35">
      <c r="A3596">
        <v>3592</v>
      </c>
      <c r="B3596">
        <v>3593</v>
      </c>
      <c r="F3596" s="63"/>
      <c r="G3596" s="63"/>
      <c r="H3596" t="s">
        <v>78</v>
      </c>
      <c r="I3596" s="64">
        <v>0</v>
      </c>
      <c r="N3596" s="4"/>
      <c r="AG3596" t="s">
        <v>3307</v>
      </c>
      <c r="AM3596" s="1">
        <f t="shared" si="46"/>
        <v>0</v>
      </c>
    </row>
    <row r="3597" spans="1:39" x14ac:dyDescent="0.35">
      <c r="A3597">
        <v>3593</v>
      </c>
      <c r="B3597">
        <v>3594</v>
      </c>
      <c r="F3597" s="63"/>
      <c r="G3597" s="63"/>
      <c r="H3597" t="s">
        <v>78</v>
      </c>
      <c r="I3597" s="64">
        <v>0</v>
      </c>
      <c r="N3597" s="4"/>
      <c r="AG3597" t="s">
        <v>3308</v>
      </c>
      <c r="AM3597" s="1">
        <f t="shared" si="46"/>
        <v>0</v>
      </c>
    </row>
    <row r="3598" spans="1:39" x14ac:dyDescent="0.35">
      <c r="A3598">
        <v>3594</v>
      </c>
      <c r="B3598">
        <v>3595</v>
      </c>
      <c r="F3598" s="63"/>
      <c r="G3598" s="63"/>
      <c r="H3598" t="s">
        <v>78</v>
      </c>
      <c r="I3598" s="64">
        <v>0</v>
      </c>
      <c r="N3598" s="4"/>
      <c r="AG3598" t="s">
        <v>3309</v>
      </c>
      <c r="AM3598" s="1">
        <f t="shared" si="46"/>
        <v>0</v>
      </c>
    </row>
    <row r="3599" spans="1:39" x14ac:dyDescent="0.35">
      <c r="A3599">
        <v>3595</v>
      </c>
      <c r="B3599">
        <v>3596</v>
      </c>
      <c r="F3599" s="63"/>
      <c r="G3599" s="63"/>
      <c r="H3599" t="s">
        <v>78</v>
      </c>
      <c r="I3599" s="64">
        <v>0</v>
      </c>
      <c r="N3599" s="4"/>
      <c r="AG3599" t="s">
        <v>3310</v>
      </c>
      <c r="AM3599" s="1">
        <f t="shared" si="46"/>
        <v>0</v>
      </c>
    </row>
    <row r="3600" spans="1:39" x14ac:dyDescent="0.35">
      <c r="A3600">
        <v>3596</v>
      </c>
      <c r="B3600">
        <v>3597</v>
      </c>
      <c r="F3600" s="63"/>
      <c r="G3600" s="63"/>
      <c r="H3600" t="s">
        <v>78</v>
      </c>
      <c r="I3600" s="64">
        <v>0</v>
      </c>
      <c r="N3600" s="4"/>
      <c r="AG3600" t="s">
        <v>3311</v>
      </c>
      <c r="AM3600" s="1">
        <f t="shared" si="46"/>
        <v>0</v>
      </c>
    </row>
    <row r="3601" spans="1:39" x14ac:dyDescent="0.35">
      <c r="A3601">
        <v>3597</v>
      </c>
      <c r="B3601">
        <v>3598</v>
      </c>
      <c r="F3601" s="63"/>
      <c r="G3601" s="63"/>
      <c r="H3601" t="s">
        <v>78</v>
      </c>
      <c r="I3601" s="64">
        <v>0</v>
      </c>
      <c r="N3601" s="4"/>
      <c r="AG3601" t="s">
        <v>3312</v>
      </c>
      <c r="AM3601" s="1">
        <f t="shared" si="46"/>
        <v>0</v>
      </c>
    </row>
    <row r="3602" spans="1:39" x14ac:dyDescent="0.35">
      <c r="A3602">
        <v>3598</v>
      </c>
      <c r="B3602">
        <v>3599</v>
      </c>
      <c r="F3602" s="63"/>
      <c r="G3602" s="63"/>
      <c r="H3602" t="s">
        <v>78</v>
      </c>
      <c r="I3602" s="64">
        <v>0</v>
      </c>
      <c r="N3602" s="4"/>
      <c r="AG3602" t="s">
        <v>3313</v>
      </c>
      <c r="AM3602" s="1">
        <f t="shared" si="46"/>
        <v>0</v>
      </c>
    </row>
    <row r="3603" spans="1:39" x14ac:dyDescent="0.35">
      <c r="A3603">
        <v>3599</v>
      </c>
      <c r="B3603">
        <v>3600</v>
      </c>
      <c r="F3603" s="63"/>
      <c r="G3603" s="63"/>
      <c r="H3603" t="s">
        <v>78</v>
      </c>
      <c r="I3603" s="64">
        <v>0</v>
      </c>
      <c r="N3603" s="4"/>
      <c r="AG3603" t="s">
        <v>3314</v>
      </c>
      <c r="AM3603" s="1">
        <f t="shared" si="46"/>
        <v>0</v>
      </c>
    </row>
    <row r="3604" spans="1:39" x14ac:dyDescent="0.35">
      <c r="A3604">
        <v>3600</v>
      </c>
      <c r="B3604">
        <v>3601</v>
      </c>
      <c r="F3604" s="63"/>
      <c r="G3604" s="63"/>
      <c r="H3604" t="s">
        <v>78</v>
      </c>
      <c r="I3604" s="64">
        <v>0</v>
      </c>
      <c r="N3604" s="4"/>
      <c r="AG3604" t="s">
        <v>3315</v>
      </c>
      <c r="AM3604" s="1">
        <f t="shared" si="46"/>
        <v>0</v>
      </c>
    </row>
    <row r="3605" spans="1:39" x14ac:dyDescent="0.35">
      <c r="A3605">
        <v>3601</v>
      </c>
      <c r="B3605">
        <v>3602</v>
      </c>
      <c r="F3605" s="63"/>
      <c r="G3605" s="63"/>
      <c r="H3605" t="s">
        <v>78</v>
      </c>
      <c r="I3605" s="64">
        <v>0</v>
      </c>
      <c r="N3605" s="4"/>
      <c r="AG3605" t="s">
        <v>3316</v>
      </c>
      <c r="AM3605" s="1">
        <f t="shared" si="46"/>
        <v>0</v>
      </c>
    </row>
    <row r="3606" spans="1:39" x14ac:dyDescent="0.35">
      <c r="A3606">
        <v>3602</v>
      </c>
      <c r="B3606">
        <v>3603</v>
      </c>
      <c r="F3606" s="63"/>
      <c r="G3606" s="63"/>
      <c r="H3606" t="s">
        <v>78</v>
      </c>
      <c r="I3606" s="64">
        <v>0</v>
      </c>
      <c r="N3606" s="4"/>
      <c r="AG3606" t="s">
        <v>3317</v>
      </c>
      <c r="AM3606" s="1">
        <f t="shared" si="46"/>
        <v>0</v>
      </c>
    </row>
    <row r="3607" spans="1:39" x14ac:dyDescent="0.35">
      <c r="A3607">
        <v>3603</v>
      </c>
      <c r="B3607">
        <v>3604</v>
      </c>
      <c r="F3607" s="63"/>
      <c r="G3607" s="63"/>
      <c r="H3607" t="s">
        <v>78</v>
      </c>
      <c r="I3607" s="64">
        <v>0</v>
      </c>
      <c r="N3607" s="4"/>
      <c r="AG3607" t="s">
        <v>3318</v>
      </c>
      <c r="AM3607" s="1">
        <f t="shared" si="46"/>
        <v>0</v>
      </c>
    </row>
    <row r="3608" spans="1:39" x14ac:dyDescent="0.35">
      <c r="A3608">
        <v>3604</v>
      </c>
      <c r="B3608">
        <v>3605</v>
      </c>
      <c r="F3608" s="63"/>
      <c r="G3608" s="63"/>
      <c r="H3608" t="s">
        <v>78</v>
      </c>
      <c r="I3608" s="64">
        <v>0</v>
      </c>
      <c r="N3608" s="4"/>
      <c r="AG3608" t="s">
        <v>3319</v>
      </c>
      <c r="AM3608" s="1">
        <f t="shared" si="46"/>
        <v>0</v>
      </c>
    </row>
    <row r="3609" spans="1:39" x14ac:dyDescent="0.35">
      <c r="A3609">
        <v>3605</v>
      </c>
      <c r="B3609">
        <v>3606</v>
      </c>
      <c r="F3609" s="63"/>
      <c r="G3609" s="63"/>
      <c r="H3609" t="s">
        <v>78</v>
      </c>
      <c r="I3609" s="64">
        <v>0</v>
      </c>
      <c r="N3609" s="4"/>
      <c r="AG3609" t="s">
        <v>3320</v>
      </c>
      <c r="AM3609" s="1">
        <f t="shared" si="46"/>
        <v>0</v>
      </c>
    </row>
    <row r="3610" spans="1:39" x14ac:dyDescent="0.35">
      <c r="A3610">
        <v>3606</v>
      </c>
      <c r="B3610">
        <v>3607</v>
      </c>
      <c r="F3610" s="63"/>
      <c r="G3610" s="63"/>
      <c r="H3610" t="s">
        <v>78</v>
      </c>
      <c r="I3610" s="64">
        <v>0</v>
      </c>
      <c r="N3610" s="4"/>
      <c r="AG3610" t="s">
        <v>3321</v>
      </c>
      <c r="AM3610" s="1">
        <f t="shared" si="46"/>
        <v>0</v>
      </c>
    </row>
    <row r="3611" spans="1:39" x14ac:dyDescent="0.35">
      <c r="A3611">
        <v>3607</v>
      </c>
      <c r="B3611">
        <v>3608</v>
      </c>
      <c r="F3611" s="63"/>
      <c r="G3611" s="63"/>
      <c r="H3611" t="s">
        <v>78</v>
      </c>
      <c r="I3611" s="64">
        <v>0</v>
      </c>
      <c r="N3611" s="4"/>
      <c r="AG3611" t="s">
        <v>3322</v>
      </c>
      <c r="AM3611" s="1">
        <f t="shared" si="46"/>
        <v>0</v>
      </c>
    </row>
    <row r="3612" spans="1:39" x14ac:dyDescent="0.35">
      <c r="A3612">
        <v>3608</v>
      </c>
      <c r="B3612">
        <v>3609</v>
      </c>
      <c r="F3612" s="63"/>
      <c r="G3612" s="63"/>
      <c r="H3612" t="s">
        <v>78</v>
      </c>
      <c r="I3612" s="64">
        <v>0</v>
      </c>
      <c r="N3612" s="4"/>
      <c r="AG3612" t="s">
        <v>3323</v>
      </c>
      <c r="AM3612" s="1">
        <f t="shared" si="46"/>
        <v>0</v>
      </c>
    </row>
    <row r="3613" spans="1:39" x14ac:dyDescent="0.35">
      <c r="A3613">
        <v>3609</v>
      </c>
      <c r="B3613">
        <v>3610</v>
      </c>
      <c r="F3613" s="63"/>
      <c r="G3613" s="63"/>
      <c r="H3613" t="s">
        <v>78</v>
      </c>
      <c r="I3613" s="64">
        <v>0</v>
      </c>
      <c r="N3613" s="4"/>
      <c r="AG3613" t="s">
        <v>3324</v>
      </c>
      <c r="AM3613" s="1">
        <f t="shared" si="46"/>
        <v>0</v>
      </c>
    </row>
    <row r="3614" spans="1:39" x14ac:dyDescent="0.35">
      <c r="A3614">
        <v>3610</v>
      </c>
      <c r="B3614">
        <v>3611</v>
      </c>
      <c r="F3614" s="63"/>
      <c r="G3614" s="63"/>
      <c r="H3614" t="s">
        <v>78</v>
      </c>
      <c r="I3614" s="64">
        <v>0</v>
      </c>
      <c r="N3614" s="4"/>
      <c r="AG3614" t="s">
        <v>3325</v>
      </c>
      <c r="AM3614" s="1">
        <f t="shared" si="46"/>
        <v>0</v>
      </c>
    </row>
    <row r="3615" spans="1:39" x14ac:dyDescent="0.35">
      <c r="A3615">
        <v>3611</v>
      </c>
      <c r="B3615">
        <v>3612</v>
      </c>
      <c r="F3615" s="63"/>
      <c r="G3615" s="63"/>
      <c r="H3615" t="s">
        <v>78</v>
      </c>
      <c r="I3615" s="64">
        <v>0</v>
      </c>
      <c r="N3615" s="4"/>
      <c r="AG3615" t="s">
        <v>3326</v>
      </c>
      <c r="AM3615" s="1">
        <f t="shared" si="46"/>
        <v>0</v>
      </c>
    </row>
    <row r="3616" spans="1:39" x14ac:dyDescent="0.35">
      <c r="A3616">
        <v>3612</v>
      </c>
      <c r="B3616">
        <v>3613</v>
      </c>
      <c r="F3616" s="63"/>
      <c r="G3616" s="63"/>
      <c r="H3616" t="s">
        <v>78</v>
      </c>
      <c r="I3616" s="64">
        <v>0</v>
      </c>
      <c r="N3616" s="4"/>
      <c r="AG3616" t="s">
        <v>3327</v>
      </c>
      <c r="AM3616" s="1">
        <f t="shared" si="46"/>
        <v>0</v>
      </c>
    </row>
    <row r="3617" spans="1:39" x14ac:dyDescent="0.35">
      <c r="A3617">
        <v>3613</v>
      </c>
      <c r="B3617">
        <v>3614</v>
      </c>
      <c r="F3617" s="63"/>
      <c r="G3617" s="63"/>
      <c r="H3617" t="s">
        <v>78</v>
      </c>
      <c r="I3617" s="64">
        <v>0</v>
      </c>
      <c r="N3617" s="4"/>
      <c r="AG3617" t="s">
        <v>3328</v>
      </c>
      <c r="AM3617" s="1">
        <f t="shared" si="46"/>
        <v>0</v>
      </c>
    </row>
    <row r="3618" spans="1:39" x14ac:dyDescent="0.35">
      <c r="A3618">
        <v>3614</v>
      </c>
      <c r="B3618">
        <v>3615</v>
      </c>
      <c r="F3618" s="63"/>
      <c r="G3618" s="63"/>
      <c r="H3618" t="s">
        <v>78</v>
      </c>
      <c r="I3618" s="64">
        <v>0</v>
      </c>
      <c r="N3618" s="4"/>
      <c r="AG3618" t="s">
        <v>3329</v>
      </c>
      <c r="AM3618" s="1">
        <f t="shared" si="46"/>
        <v>0</v>
      </c>
    </row>
    <row r="3619" spans="1:39" x14ac:dyDescent="0.35">
      <c r="A3619">
        <v>3615</v>
      </c>
      <c r="B3619">
        <v>3616</v>
      </c>
      <c r="F3619" s="63"/>
      <c r="G3619" s="63"/>
      <c r="H3619" t="s">
        <v>78</v>
      </c>
      <c r="I3619" s="64">
        <v>0</v>
      </c>
      <c r="N3619" s="4"/>
      <c r="AG3619" t="s">
        <v>3330</v>
      </c>
      <c r="AM3619" s="1"/>
    </row>
    <row r="3620" spans="1:39" x14ac:dyDescent="0.35">
      <c r="A3620">
        <v>3616</v>
      </c>
      <c r="B3620">
        <v>3617</v>
      </c>
      <c r="F3620" s="63"/>
      <c r="G3620" s="63"/>
      <c r="H3620" t="s">
        <v>78</v>
      </c>
      <c r="I3620" s="64">
        <v>0</v>
      </c>
      <c r="N3620" s="4"/>
      <c r="AG3620" t="s">
        <v>3331</v>
      </c>
      <c r="AM3620" s="1"/>
    </row>
    <row r="3621" spans="1:39" x14ac:dyDescent="0.35">
      <c r="A3621">
        <v>3617</v>
      </c>
      <c r="B3621">
        <v>3618</v>
      </c>
      <c r="F3621" s="63"/>
      <c r="G3621" s="63"/>
      <c r="H3621" t="s">
        <v>78</v>
      </c>
      <c r="I3621" s="64">
        <v>0</v>
      </c>
      <c r="N3621" s="4"/>
      <c r="AG3621" t="s">
        <v>3332</v>
      </c>
      <c r="AM3621" s="1"/>
    </row>
    <row r="3622" spans="1:39" x14ac:dyDescent="0.35">
      <c r="A3622">
        <v>3618</v>
      </c>
      <c r="B3622">
        <v>3619</v>
      </c>
      <c r="F3622" s="63"/>
      <c r="G3622" s="63"/>
      <c r="H3622" t="s">
        <v>78</v>
      </c>
      <c r="I3622" s="64">
        <v>0</v>
      </c>
      <c r="N3622" s="4"/>
      <c r="AG3622" t="s">
        <v>3333</v>
      </c>
      <c r="AM3622" s="1"/>
    </row>
    <row r="3623" spans="1:39" x14ac:dyDescent="0.35">
      <c r="A3623">
        <v>3619</v>
      </c>
      <c r="B3623">
        <v>3620</v>
      </c>
      <c r="F3623" s="63"/>
      <c r="G3623" s="63"/>
      <c r="H3623" t="s">
        <v>78</v>
      </c>
      <c r="I3623" s="64">
        <v>0</v>
      </c>
      <c r="N3623" s="4"/>
      <c r="AG3623" t="s">
        <v>3334</v>
      </c>
      <c r="AM3623" s="1"/>
    </row>
    <row r="3624" spans="1:39" x14ac:dyDescent="0.35">
      <c r="A3624">
        <v>3620</v>
      </c>
      <c r="B3624">
        <v>3621</v>
      </c>
      <c r="F3624" s="63"/>
      <c r="G3624" s="63"/>
      <c r="H3624" t="s">
        <v>78</v>
      </c>
      <c r="I3624" s="64">
        <v>0</v>
      </c>
      <c r="N3624" s="4"/>
      <c r="AG3624" t="s">
        <v>3335</v>
      </c>
      <c r="AM3624" s="1"/>
    </row>
    <row r="3625" spans="1:39" x14ac:dyDescent="0.35">
      <c r="A3625">
        <v>3621</v>
      </c>
      <c r="B3625">
        <v>3622</v>
      </c>
      <c r="F3625" s="63"/>
      <c r="G3625" s="63"/>
      <c r="H3625" t="s">
        <v>78</v>
      </c>
      <c r="I3625" s="64">
        <v>0</v>
      </c>
      <c r="N3625" s="4"/>
      <c r="AG3625" t="s">
        <v>3336</v>
      </c>
      <c r="AM3625" s="1"/>
    </row>
    <row r="3626" spans="1:39" x14ac:dyDescent="0.35">
      <c r="A3626">
        <v>3622</v>
      </c>
      <c r="B3626">
        <v>3623</v>
      </c>
      <c r="F3626" s="63"/>
      <c r="G3626" s="63"/>
      <c r="H3626" t="s">
        <v>78</v>
      </c>
      <c r="I3626" s="64">
        <v>0</v>
      </c>
      <c r="N3626" s="4"/>
      <c r="AG3626" t="s">
        <v>3337</v>
      </c>
      <c r="AM3626" s="1"/>
    </row>
    <row r="3627" spans="1:39" x14ac:dyDescent="0.35">
      <c r="A3627">
        <v>3623</v>
      </c>
      <c r="B3627">
        <v>3624</v>
      </c>
      <c r="F3627" s="63"/>
      <c r="G3627" s="63"/>
      <c r="H3627" t="s">
        <v>78</v>
      </c>
      <c r="I3627" s="64">
        <v>0</v>
      </c>
      <c r="N3627" s="4"/>
      <c r="AG3627" t="s">
        <v>3338</v>
      </c>
      <c r="AM3627" s="1"/>
    </row>
    <row r="3628" spans="1:39" x14ac:dyDescent="0.35">
      <c r="A3628">
        <v>3624</v>
      </c>
      <c r="B3628">
        <v>3625</v>
      </c>
      <c r="F3628" s="63"/>
      <c r="G3628" s="63"/>
      <c r="H3628" t="s">
        <v>78</v>
      </c>
      <c r="I3628" s="64">
        <v>0</v>
      </c>
      <c r="N3628" s="4"/>
      <c r="AG3628" t="s">
        <v>3339</v>
      </c>
      <c r="AM3628" s="1"/>
    </row>
    <row r="3629" spans="1:39" x14ac:dyDescent="0.35">
      <c r="A3629">
        <v>3625</v>
      </c>
      <c r="B3629">
        <v>3626</v>
      </c>
      <c r="F3629" s="63"/>
      <c r="G3629" s="63"/>
      <c r="H3629" t="s">
        <v>78</v>
      </c>
      <c r="I3629" s="64">
        <v>0</v>
      </c>
      <c r="N3629" s="4"/>
      <c r="AG3629" t="s">
        <v>3340</v>
      </c>
      <c r="AM3629" s="1"/>
    </row>
    <row r="3630" spans="1:39" x14ac:dyDescent="0.35">
      <c r="A3630">
        <v>3626</v>
      </c>
      <c r="B3630">
        <v>3627</v>
      </c>
      <c r="F3630" s="63"/>
      <c r="G3630" s="63"/>
      <c r="H3630" t="s">
        <v>78</v>
      </c>
      <c r="I3630" s="64">
        <v>0</v>
      </c>
      <c r="N3630" s="4"/>
      <c r="AG3630" t="s">
        <v>3341</v>
      </c>
      <c r="AM3630" s="1"/>
    </row>
    <row r="3631" spans="1:39" x14ac:dyDescent="0.35">
      <c r="A3631">
        <v>3627</v>
      </c>
      <c r="B3631">
        <v>3628</v>
      </c>
      <c r="F3631" s="63"/>
      <c r="G3631" s="63"/>
      <c r="H3631" t="s">
        <v>78</v>
      </c>
      <c r="I3631" s="64">
        <v>0</v>
      </c>
      <c r="N3631" s="4"/>
      <c r="AG3631" t="s">
        <v>3342</v>
      </c>
      <c r="AM3631" s="1"/>
    </row>
    <row r="3632" spans="1:39" x14ac:dyDescent="0.35">
      <c r="A3632">
        <v>3628</v>
      </c>
      <c r="B3632">
        <v>3629</v>
      </c>
      <c r="F3632" s="63"/>
      <c r="G3632" s="63"/>
      <c r="H3632" t="s">
        <v>78</v>
      </c>
      <c r="I3632" s="64">
        <v>0</v>
      </c>
      <c r="N3632" s="4"/>
      <c r="AG3632" t="s">
        <v>3343</v>
      </c>
      <c r="AM3632" s="1"/>
    </row>
    <row r="3633" spans="1:39" x14ac:dyDescent="0.35">
      <c r="A3633">
        <v>3629</v>
      </c>
      <c r="B3633">
        <v>3630</v>
      </c>
      <c r="F3633" s="63"/>
      <c r="G3633" s="63"/>
      <c r="H3633" t="s">
        <v>78</v>
      </c>
      <c r="I3633" s="64">
        <v>0</v>
      </c>
      <c r="N3633" s="4"/>
      <c r="AG3633" t="s">
        <v>3344</v>
      </c>
      <c r="AM3633" s="1"/>
    </row>
    <row r="3634" spans="1:39" x14ac:dyDescent="0.35">
      <c r="A3634">
        <v>3630</v>
      </c>
      <c r="B3634">
        <v>3631</v>
      </c>
      <c r="F3634" s="63"/>
      <c r="G3634" s="63"/>
      <c r="H3634" t="s">
        <v>78</v>
      </c>
      <c r="I3634" s="64">
        <v>0</v>
      </c>
      <c r="N3634" s="4"/>
      <c r="AG3634" t="s">
        <v>3345</v>
      </c>
      <c r="AM3634" s="1"/>
    </row>
    <row r="3635" spans="1:39" x14ac:dyDescent="0.35">
      <c r="A3635">
        <v>3631</v>
      </c>
      <c r="B3635">
        <v>3632</v>
      </c>
      <c r="F3635" s="63"/>
      <c r="G3635" s="63"/>
      <c r="H3635" t="s">
        <v>78</v>
      </c>
      <c r="I3635" s="64">
        <v>0</v>
      </c>
      <c r="N3635" s="4"/>
      <c r="AG3635" t="s">
        <v>3346</v>
      </c>
      <c r="AM3635" s="1"/>
    </row>
    <row r="3636" spans="1:39" x14ac:dyDescent="0.35">
      <c r="A3636">
        <v>3632</v>
      </c>
      <c r="B3636">
        <v>3633</v>
      </c>
      <c r="F3636" s="63"/>
      <c r="G3636" s="63"/>
      <c r="H3636" t="s">
        <v>78</v>
      </c>
      <c r="I3636" s="64">
        <v>0</v>
      </c>
      <c r="N3636" s="4"/>
      <c r="AG3636" t="s">
        <v>3347</v>
      </c>
      <c r="AM3636" s="1"/>
    </row>
    <row r="3637" spans="1:39" x14ac:dyDescent="0.35">
      <c r="A3637">
        <v>3633</v>
      </c>
      <c r="B3637">
        <v>3634</v>
      </c>
      <c r="F3637" s="63"/>
      <c r="G3637" s="63"/>
      <c r="H3637" t="s">
        <v>78</v>
      </c>
      <c r="I3637" s="64">
        <v>0</v>
      </c>
      <c r="N3637" s="4"/>
      <c r="AG3637" t="s">
        <v>3348</v>
      </c>
      <c r="AM3637" s="1"/>
    </row>
    <row r="3638" spans="1:39" x14ac:dyDescent="0.35">
      <c r="A3638">
        <v>3634</v>
      </c>
      <c r="B3638">
        <v>3635</v>
      </c>
      <c r="F3638" s="63"/>
      <c r="G3638" s="63"/>
      <c r="H3638" t="s">
        <v>78</v>
      </c>
      <c r="I3638" s="64">
        <v>0</v>
      </c>
      <c r="N3638" s="4"/>
      <c r="AG3638" t="s">
        <v>3349</v>
      </c>
      <c r="AM3638" s="1"/>
    </row>
    <row r="3639" spans="1:39" x14ac:dyDescent="0.35">
      <c r="A3639">
        <v>3635</v>
      </c>
      <c r="B3639">
        <v>3636</v>
      </c>
      <c r="F3639" s="63"/>
      <c r="G3639" s="63"/>
      <c r="H3639" t="s">
        <v>78</v>
      </c>
      <c r="I3639" s="64">
        <v>0</v>
      </c>
      <c r="N3639" s="4"/>
      <c r="AG3639" t="s">
        <v>3350</v>
      </c>
      <c r="AM3639" s="1"/>
    </row>
    <row r="3640" spans="1:39" x14ac:dyDescent="0.35">
      <c r="A3640">
        <v>3636</v>
      </c>
      <c r="B3640">
        <v>3637</v>
      </c>
      <c r="F3640" s="63"/>
      <c r="G3640" s="63"/>
      <c r="H3640" t="s">
        <v>78</v>
      </c>
      <c r="I3640" s="64">
        <v>0</v>
      </c>
      <c r="N3640" s="4"/>
      <c r="AG3640" t="s">
        <v>3351</v>
      </c>
      <c r="AM3640" s="1"/>
    </row>
    <row r="3641" spans="1:39" x14ac:dyDescent="0.35">
      <c r="A3641">
        <v>3637</v>
      </c>
      <c r="B3641">
        <v>3638</v>
      </c>
      <c r="F3641" s="63"/>
      <c r="G3641" s="63"/>
      <c r="H3641" t="s">
        <v>78</v>
      </c>
      <c r="I3641" s="64">
        <v>0</v>
      </c>
      <c r="N3641" s="4"/>
      <c r="AG3641" t="s">
        <v>3352</v>
      </c>
      <c r="AM3641" s="1"/>
    </row>
    <row r="3642" spans="1:39" x14ac:dyDescent="0.35">
      <c r="A3642">
        <v>3638</v>
      </c>
      <c r="B3642">
        <v>3639</v>
      </c>
      <c r="F3642" s="63"/>
      <c r="G3642" s="63"/>
      <c r="H3642" t="s">
        <v>78</v>
      </c>
      <c r="I3642" s="64">
        <v>0</v>
      </c>
      <c r="N3642" s="4"/>
      <c r="AG3642" t="s">
        <v>3353</v>
      </c>
      <c r="AM3642" s="1"/>
    </row>
    <row r="3643" spans="1:39" x14ac:dyDescent="0.35">
      <c r="A3643">
        <v>3639</v>
      </c>
      <c r="B3643">
        <v>3640</v>
      </c>
      <c r="F3643" s="63"/>
      <c r="G3643" s="63"/>
      <c r="H3643" t="s">
        <v>78</v>
      </c>
      <c r="I3643" s="64">
        <v>0</v>
      </c>
      <c r="N3643" s="4"/>
      <c r="AG3643" t="s">
        <v>3354</v>
      </c>
      <c r="AM3643" s="1"/>
    </row>
    <row r="3644" spans="1:39" x14ac:dyDescent="0.35">
      <c r="A3644">
        <v>3640</v>
      </c>
      <c r="B3644">
        <v>3641</v>
      </c>
      <c r="F3644" s="63"/>
      <c r="G3644" s="63"/>
      <c r="H3644" t="s">
        <v>78</v>
      </c>
      <c r="I3644" s="64">
        <v>0</v>
      </c>
      <c r="N3644" s="4"/>
      <c r="AG3644" t="s">
        <v>3355</v>
      </c>
      <c r="AM3644" s="1"/>
    </row>
    <row r="3645" spans="1:39" x14ac:dyDescent="0.35">
      <c r="A3645">
        <v>3641</v>
      </c>
      <c r="B3645">
        <v>3642</v>
      </c>
      <c r="F3645" s="63"/>
      <c r="G3645" s="63"/>
      <c r="H3645" t="s">
        <v>78</v>
      </c>
      <c r="I3645" s="64">
        <v>0</v>
      </c>
      <c r="N3645" s="4"/>
      <c r="AG3645" t="s">
        <v>3356</v>
      </c>
      <c r="AM3645" s="1"/>
    </row>
    <row r="3646" spans="1:39" x14ac:dyDescent="0.35">
      <c r="A3646">
        <v>3642</v>
      </c>
      <c r="B3646">
        <v>3643</v>
      </c>
      <c r="F3646" s="63"/>
      <c r="G3646" s="63"/>
      <c r="H3646" t="s">
        <v>78</v>
      </c>
      <c r="I3646" s="64">
        <v>0</v>
      </c>
      <c r="N3646" s="4"/>
      <c r="AG3646" t="s">
        <v>3357</v>
      </c>
      <c r="AM3646" s="1"/>
    </row>
    <row r="3647" spans="1:39" x14ac:dyDescent="0.35">
      <c r="A3647">
        <v>3643</v>
      </c>
      <c r="B3647">
        <v>3644</v>
      </c>
      <c r="F3647" s="63"/>
      <c r="G3647" s="63"/>
      <c r="H3647" t="s">
        <v>78</v>
      </c>
      <c r="I3647" s="64">
        <v>0</v>
      </c>
      <c r="N3647" s="4"/>
      <c r="AG3647" t="s">
        <v>3358</v>
      </c>
      <c r="AM3647" s="1"/>
    </row>
    <row r="3648" spans="1:39" x14ac:dyDescent="0.35">
      <c r="A3648">
        <v>3644</v>
      </c>
      <c r="B3648">
        <v>3645</v>
      </c>
      <c r="F3648" s="63"/>
      <c r="G3648" s="63"/>
      <c r="H3648" t="s">
        <v>78</v>
      </c>
      <c r="I3648" s="64">
        <v>0</v>
      </c>
      <c r="N3648" s="4"/>
      <c r="AG3648" t="s">
        <v>3359</v>
      </c>
      <c r="AM3648" s="1"/>
    </row>
    <row r="3649" spans="1:39" x14ac:dyDescent="0.35">
      <c r="A3649">
        <v>3645</v>
      </c>
      <c r="B3649">
        <v>3646</v>
      </c>
      <c r="F3649" s="63"/>
      <c r="G3649" s="63"/>
      <c r="H3649" t="s">
        <v>78</v>
      </c>
      <c r="I3649" s="64">
        <v>0</v>
      </c>
      <c r="N3649" s="4"/>
      <c r="AG3649" t="s">
        <v>3360</v>
      </c>
      <c r="AM3649" s="1"/>
    </row>
    <row r="3650" spans="1:39" x14ac:dyDescent="0.35">
      <c r="A3650">
        <v>3646</v>
      </c>
      <c r="B3650">
        <v>3647</v>
      </c>
      <c r="F3650" s="63"/>
      <c r="G3650" s="63"/>
      <c r="H3650" t="s">
        <v>78</v>
      </c>
      <c r="I3650" s="64">
        <v>0</v>
      </c>
      <c r="N3650" s="4"/>
      <c r="AG3650" t="s">
        <v>3361</v>
      </c>
      <c r="AM3650" s="1"/>
    </row>
    <row r="3651" spans="1:39" x14ac:dyDescent="0.35">
      <c r="A3651">
        <v>3647</v>
      </c>
      <c r="B3651">
        <v>3648</v>
      </c>
      <c r="F3651" s="63"/>
      <c r="G3651" s="63"/>
      <c r="H3651" t="s">
        <v>78</v>
      </c>
      <c r="I3651" s="64">
        <v>0</v>
      </c>
      <c r="N3651" s="4"/>
      <c r="AG3651" t="s">
        <v>3362</v>
      </c>
      <c r="AM3651" s="1"/>
    </row>
    <row r="3652" spans="1:39" x14ac:dyDescent="0.35">
      <c r="A3652">
        <v>3648</v>
      </c>
      <c r="B3652">
        <v>3649</v>
      </c>
      <c r="F3652" s="63"/>
      <c r="G3652" s="63"/>
      <c r="H3652" t="s">
        <v>78</v>
      </c>
      <c r="I3652" s="64">
        <v>0</v>
      </c>
      <c r="N3652" s="4"/>
      <c r="AG3652" t="s">
        <v>3363</v>
      </c>
      <c r="AM3652" s="1"/>
    </row>
    <row r="3653" spans="1:39" x14ac:dyDescent="0.35">
      <c r="A3653">
        <v>3649</v>
      </c>
      <c r="B3653">
        <v>3650</v>
      </c>
      <c r="F3653" s="63"/>
      <c r="G3653" s="63"/>
      <c r="H3653" t="s">
        <v>78</v>
      </c>
      <c r="I3653" s="64">
        <v>0</v>
      </c>
      <c r="N3653" s="4"/>
      <c r="AG3653" t="s">
        <v>3364</v>
      </c>
      <c r="AM3653" s="1"/>
    </row>
    <row r="3654" spans="1:39" x14ac:dyDescent="0.35">
      <c r="A3654">
        <v>3650</v>
      </c>
      <c r="B3654">
        <v>3651</v>
      </c>
      <c r="F3654" s="63"/>
      <c r="G3654" s="63"/>
      <c r="H3654" t="s">
        <v>78</v>
      </c>
      <c r="I3654" s="64">
        <v>0</v>
      </c>
      <c r="N3654" s="4"/>
      <c r="AG3654" t="s">
        <v>3365</v>
      </c>
      <c r="AM3654" s="1"/>
    </row>
    <row r="3655" spans="1:39" x14ac:dyDescent="0.35">
      <c r="A3655">
        <v>3651</v>
      </c>
      <c r="B3655">
        <v>3652</v>
      </c>
      <c r="F3655" s="63"/>
      <c r="G3655" s="63"/>
      <c r="H3655" t="s">
        <v>78</v>
      </c>
      <c r="I3655" s="64">
        <v>0</v>
      </c>
      <c r="N3655" s="4"/>
      <c r="AG3655" t="s">
        <v>3366</v>
      </c>
      <c r="AM3655" s="1"/>
    </row>
    <row r="3656" spans="1:39" x14ac:dyDescent="0.35">
      <c r="A3656">
        <v>3652</v>
      </c>
      <c r="B3656">
        <v>3653</v>
      </c>
      <c r="F3656" s="63"/>
      <c r="G3656" s="63"/>
      <c r="H3656" t="s">
        <v>78</v>
      </c>
      <c r="I3656" s="64">
        <v>0</v>
      </c>
      <c r="N3656" s="4"/>
      <c r="AG3656" t="s">
        <v>3367</v>
      </c>
      <c r="AM3656" s="1"/>
    </row>
    <row r="3657" spans="1:39" x14ac:dyDescent="0.35">
      <c r="A3657">
        <v>3653</v>
      </c>
      <c r="B3657">
        <v>3654</v>
      </c>
      <c r="F3657" s="63"/>
      <c r="G3657" s="63"/>
      <c r="H3657" t="s">
        <v>78</v>
      </c>
      <c r="I3657" s="64">
        <v>0</v>
      </c>
      <c r="N3657" s="4"/>
      <c r="AG3657" t="s">
        <v>3368</v>
      </c>
      <c r="AM3657" s="1"/>
    </row>
    <row r="3658" spans="1:39" x14ac:dyDescent="0.35">
      <c r="A3658">
        <v>3654</v>
      </c>
      <c r="B3658">
        <v>3655</v>
      </c>
      <c r="F3658" s="63"/>
      <c r="G3658" s="63"/>
      <c r="H3658" t="s">
        <v>78</v>
      </c>
      <c r="I3658" s="64">
        <v>0</v>
      </c>
      <c r="N3658" s="4"/>
      <c r="AG3658" t="s">
        <v>3369</v>
      </c>
      <c r="AM3658" s="1"/>
    </row>
    <row r="3659" spans="1:39" x14ac:dyDescent="0.35">
      <c r="A3659">
        <v>3655</v>
      </c>
      <c r="B3659">
        <v>3656</v>
      </c>
      <c r="F3659" s="63"/>
      <c r="G3659" s="63"/>
      <c r="H3659" t="s">
        <v>78</v>
      </c>
      <c r="I3659" s="64">
        <v>0</v>
      </c>
      <c r="N3659" s="4"/>
      <c r="AG3659" t="s">
        <v>3370</v>
      </c>
      <c r="AM3659" s="1"/>
    </row>
    <row r="3660" spans="1:39" x14ac:dyDescent="0.35">
      <c r="A3660">
        <v>3656</v>
      </c>
      <c r="B3660">
        <v>3657</v>
      </c>
      <c r="F3660" s="63"/>
      <c r="G3660" s="63"/>
      <c r="H3660" t="s">
        <v>78</v>
      </c>
      <c r="I3660" s="64">
        <v>0</v>
      </c>
      <c r="N3660" s="4"/>
      <c r="AG3660" t="s">
        <v>3371</v>
      </c>
      <c r="AM3660" s="1"/>
    </row>
    <row r="3661" spans="1:39" x14ac:dyDescent="0.35">
      <c r="A3661">
        <v>3657</v>
      </c>
      <c r="B3661">
        <v>3658</v>
      </c>
      <c r="F3661" s="63"/>
      <c r="G3661" s="63"/>
      <c r="H3661" t="s">
        <v>78</v>
      </c>
      <c r="I3661" s="64">
        <v>0</v>
      </c>
      <c r="N3661" s="4"/>
      <c r="AG3661" t="s">
        <v>3372</v>
      </c>
      <c r="AM3661" s="1"/>
    </row>
    <row r="3662" spans="1:39" x14ac:dyDescent="0.35">
      <c r="A3662">
        <v>3658</v>
      </c>
      <c r="B3662">
        <v>3659</v>
      </c>
      <c r="F3662" s="63"/>
      <c r="G3662" s="63"/>
      <c r="H3662" t="s">
        <v>78</v>
      </c>
      <c r="I3662" s="64">
        <v>0</v>
      </c>
      <c r="N3662" s="4"/>
      <c r="AG3662" t="s">
        <v>3373</v>
      </c>
      <c r="AM3662" s="1"/>
    </row>
    <row r="3663" spans="1:39" x14ac:dyDescent="0.35">
      <c r="A3663">
        <v>3659</v>
      </c>
      <c r="B3663">
        <v>3660</v>
      </c>
      <c r="F3663" s="63"/>
      <c r="G3663" s="63"/>
      <c r="H3663" t="s">
        <v>78</v>
      </c>
      <c r="I3663" s="64">
        <v>0</v>
      </c>
      <c r="N3663" s="4"/>
      <c r="AG3663" t="s">
        <v>3374</v>
      </c>
      <c r="AM3663" s="1"/>
    </row>
    <row r="3664" spans="1:39" x14ac:dyDescent="0.35">
      <c r="A3664">
        <v>3660</v>
      </c>
      <c r="B3664">
        <v>3661</v>
      </c>
      <c r="F3664" s="63"/>
      <c r="G3664" s="63"/>
      <c r="H3664" t="s">
        <v>78</v>
      </c>
      <c r="I3664" s="64">
        <v>0</v>
      </c>
      <c r="N3664" s="4"/>
      <c r="AG3664" t="s">
        <v>3375</v>
      </c>
      <c r="AM3664" s="1"/>
    </row>
    <row r="3665" spans="1:39" x14ac:dyDescent="0.35">
      <c r="A3665">
        <v>3661</v>
      </c>
      <c r="B3665">
        <v>3662</v>
      </c>
      <c r="F3665" s="63"/>
      <c r="G3665" s="63"/>
      <c r="H3665" t="s">
        <v>78</v>
      </c>
      <c r="I3665" s="64">
        <v>0</v>
      </c>
      <c r="N3665" s="4"/>
      <c r="AG3665" t="s">
        <v>3376</v>
      </c>
      <c r="AM3665" s="1"/>
    </row>
    <row r="3666" spans="1:39" x14ac:dyDescent="0.35">
      <c r="A3666">
        <v>3662</v>
      </c>
      <c r="B3666">
        <v>3663</v>
      </c>
      <c r="F3666" s="63"/>
      <c r="G3666" s="63"/>
      <c r="H3666" t="s">
        <v>78</v>
      </c>
      <c r="I3666" s="64">
        <v>0</v>
      </c>
      <c r="N3666" s="4"/>
      <c r="AG3666" t="s">
        <v>3377</v>
      </c>
      <c r="AM3666" s="1"/>
    </row>
    <row r="3667" spans="1:39" x14ac:dyDescent="0.35">
      <c r="A3667">
        <v>3663</v>
      </c>
      <c r="B3667">
        <v>3664</v>
      </c>
      <c r="F3667" s="63"/>
      <c r="G3667" s="63"/>
      <c r="H3667" t="s">
        <v>78</v>
      </c>
      <c r="I3667" s="64">
        <v>0</v>
      </c>
      <c r="N3667" s="4"/>
      <c r="AG3667" t="s">
        <v>3378</v>
      </c>
      <c r="AM3667" s="1"/>
    </row>
    <row r="3668" spans="1:39" x14ac:dyDescent="0.35">
      <c r="A3668">
        <v>3664</v>
      </c>
      <c r="B3668">
        <v>3665</v>
      </c>
      <c r="F3668" s="63"/>
      <c r="G3668" s="63"/>
      <c r="H3668" t="s">
        <v>78</v>
      </c>
      <c r="I3668" s="64">
        <v>0</v>
      </c>
      <c r="N3668" s="4"/>
      <c r="AG3668" t="s">
        <v>3379</v>
      </c>
      <c r="AM3668" s="1"/>
    </row>
    <row r="3669" spans="1:39" x14ac:dyDescent="0.35">
      <c r="A3669">
        <v>3665</v>
      </c>
      <c r="B3669">
        <v>3666</v>
      </c>
      <c r="F3669" s="63"/>
      <c r="G3669" s="63"/>
      <c r="H3669" t="s">
        <v>78</v>
      </c>
      <c r="I3669" s="64">
        <v>0</v>
      </c>
      <c r="N3669" s="4"/>
      <c r="AG3669" t="s">
        <v>3380</v>
      </c>
      <c r="AM3669" s="1"/>
    </row>
    <row r="3670" spans="1:39" x14ac:dyDescent="0.35">
      <c r="A3670">
        <v>3666</v>
      </c>
      <c r="B3670">
        <v>3667</v>
      </c>
      <c r="F3670" s="63"/>
      <c r="G3670" s="63"/>
      <c r="H3670" t="s">
        <v>78</v>
      </c>
      <c r="I3670" s="64">
        <v>0</v>
      </c>
      <c r="N3670" s="4"/>
      <c r="AG3670" t="s">
        <v>3381</v>
      </c>
      <c r="AM3670" s="1"/>
    </row>
    <row r="3671" spans="1:39" x14ac:dyDescent="0.35">
      <c r="A3671">
        <v>3667</v>
      </c>
      <c r="B3671">
        <v>3668</v>
      </c>
      <c r="F3671" s="63"/>
      <c r="G3671" s="63"/>
      <c r="H3671" t="s">
        <v>78</v>
      </c>
      <c r="I3671" s="64">
        <v>0</v>
      </c>
      <c r="N3671" s="4"/>
      <c r="AG3671" t="s">
        <v>3382</v>
      </c>
      <c r="AM3671" s="1"/>
    </row>
    <row r="3672" spans="1:39" x14ac:dyDescent="0.35">
      <c r="A3672">
        <v>3668</v>
      </c>
      <c r="B3672">
        <v>3669</v>
      </c>
      <c r="F3672" s="63"/>
      <c r="G3672" s="63"/>
      <c r="H3672" t="s">
        <v>78</v>
      </c>
      <c r="I3672" s="64">
        <v>0</v>
      </c>
      <c r="N3672" s="4"/>
      <c r="AG3672" t="s">
        <v>3383</v>
      </c>
      <c r="AM3672" s="1"/>
    </row>
    <row r="3673" spans="1:39" x14ac:dyDescent="0.35">
      <c r="A3673">
        <v>3669</v>
      </c>
      <c r="B3673">
        <v>3670</v>
      </c>
      <c r="F3673" s="63"/>
      <c r="G3673" s="63"/>
      <c r="H3673" t="s">
        <v>78</v>
      </c>
      <c r="I3673" s="64">
        <v>0</v>
      </c>
      <c r="N3673" s="4"/>
      <c r="AG3673" t="s">
        <v>3384</v>
      </c>
      <c r="AM3673" s="1"/>
    </row>
    <row r="3674" spans="1:39" x14ac:dyDescent="0.35">
      <c r="A3674">
        <v>3670</v>
      </c>
      <c r="B3674">
        <v>3671</v>
      </c>
      <c r="F3674" s="63"/>
      <c r="G3674" s="63"/>
      <c r="H3674" t="s">
        <v>78</v>
      </c>
      <c r="I3674" s="64">
        <v>0</v>
      </c>
      <c r="N3674" s="4"/>
      <c r="AG3674" t="s">
        <v>3385</v>
      </c>
      <c r="AM3674" s="1"/>
    </row>
    <row r="3675" spans="1:39" x14ac:dyDescent="0.35">
      <c r="A3675">
        <v>3671</v>
      </c>
      <c r="B3675">
        <v>3672</v>
      </c>
      <c r="F3675" s="63"/>
      <c r="G3675" s="63"/>
      <c r="H3675" t="s">
        <v>78</v>
      </c>
      <c r="I3675" s="64">
        <v>0</v>
      </c>
      <c r="N3675" s="4"/>
      <c r="AG3675" t="s">
        <v>3386</v>
      </c>
      <c r="AM3675" s="1"/>
    </row>
    <row r="3676" spans="1:39" x14ac:dyDescent="0.35">
      <c r="A3676">
        <v>3672</v>
      </c>
      <c r="B3676">
        <v>3673</v>
      </c>
      <c r="F3676" s="63"/>
      <c r="G3676" s="63"/>
      <c r="H3676" t="s">
        <v>78</v>
      </c>
      <c r="I3676" s="64">
        <v>0</v>
      </c>
      <c r="N3676" s="4"/>
      <c r="AG3676" t="s">
        <v>3387</v>
      </c>
      <c r="AM3676" s="1"/>
    </row>
    <row r="3677" spans="1:39" x14ac:dyDescent="0.35">
      <c r="A3677">
        <v>3673</v>
      </c>
      <c r="B3677">
        <v>3674</v>
      </c>
      <c r="F3677" s="63"/>
      <c r="G3677" s="63"/>
      <c r="H3677" t="s">
        <v>78</v>
      </c>
      <c r="I3677" s="64">
        <v>0</v>
      </c>
      <c r="N3677" s="4"/>
      <c r="AG3677" t="s">
        <v>3388</v>
      </c>
      <c r="AM3677" s="1"/>
    </row>
    <row r="3678" spans="1:39" x14ac:dyDescent="0.35">
      <c r="A3678">
        <v>3674</v>
      </c>
      <c r="B3678">
        <v>3675</v>
      </c>
      <c r="F3678" s="63"/>
      <c r="G3678" s="63"/>
      <c r="H3678" t="s">
        <v>78</v>
      </c>
      <c r="I3678" s="64">
        <v>0</v>
      </c>
      <c r="N3678" s="4"/>
      <c r="AG3678" t="s">
        <v>3389</v>
      </c>
      <c r="AM3678" s="1"/>
    </row>
    <row r="3679" spans="1:39" x14ac:dyDescent="0.35">
      <c r="A3679">
        <v>3675</v>
      </c>
      <c r="B3679">
        <v>3676</v>
      </c>
      <c r="F3679" s="63"/>
      <c r="G3679" s="63"/>
      <c r="H3679" t="s">
        <v>78</v>
      </c>
      <c r="I3679" s="64">
        <v>0</v>
      </c>
      <c r="N3679" s="4"/>
      <c r="AG3679" t="s">
        <v>3390</v>
      </c>
      <c r="AM3679" s="1"/>
    </row>
    <row r="3680" spans="1:39" x14ac:dyDescent="0.35">
      <c r="A3680">
        <v>3676</v>
      </c>
      <c r="B3680">
        <v>3677</v>
      </c>
      <c r="F3680" s="63"/>
      <c r="G3680" s="63"/>
      <c r="H3680" t="s">
        <v>78</v>
      </c>
      <c r="I3680" s="64">
        <v>0</v>
      </c>
      <c r="N3680" s="4"/>
      <c r="AG3680" t="s">
        <v>3391</v>
      </c>
      <c r="AM3680" s="1"/>
    </row>
    <row r="3681" spans="1:39" x14ac:dyDescent="0.35">
      <c r="A3681">
        <v>3677</v>
      </c>
      <c r="B3681">
        <v>3678</v>
      </c>
      <c r="F3681" s="63"/>
      <c r="G3681" s="63"/>
      <c r="H3681" t="s">
        <v>78</v>
      </c>
      <c r="I3681" s="64">
        <v>0</v>
      </c>
      <c r="N3681" s="4"/>
      <c r="AG3681" t="s">
        <v>3392</v>
      </c>
      <c r="AM3681" s="1"/>
    </row>
    <row r="3682" spans="1:39" x14ac:dyDescent="0.35">
      <c r="A3682">
        <v>3678</v>
      </c>
      <c r="B3682">
        <v>3679</v>
      </c>
      <c r="F3682" s="63"/>
      <c r="G3682" s="63"/>
      <c r="H3682" t="s">
        <v>78</v>
      </c>
      <c r="I3682" s="64">
        <v>0</v>
      </c>
      <c r="N3682" s="4"/>
      <c r="AG3682" t="s">
        <v>3393</v>
      </c>
      <c r="AM3682" s="1"/>
    </row>
    <row r="3683" spans="1:39" x14ac:dyDescent="0.35">
      <c r="A3683">
        <v>3679</v>
      </c>
      <c r="B3683">
        <v>3680</v>
      </c>
      <c r="F3683" s="63"/>
      <c r="G3683" s="63"/>
      <c r="H3683" t="s">
        <v>78</v>
      </c>
      <c r="I3683" s="64">
        <v>0</v>
      </c>
      <c r="N3683" s="4"/>
      <c r="AG3683" t="s">
        <v>3394</v>
      </c>
      <c r="AM3683" s="1"/>
    </row>
    <row r="3684" spans="1:39" x14ac:dyDescent="0.35">
      <c r="A3684">
        <v>3680</v>
      </c>
      <c r="B3684">
        <v>3681</v>
      </c>
      <c r="F3684" s="63"/>
      <c r="G3684" s="63"/>
      <c r="H3684" t="s">
        <v>78</v>
      </c>
      <c r="I3684" s="64">
        <v>0</v>
      </c>
      <c r="N3684" s="4"/>
      <c r="AG3684" t="s">
        <v>3395</v>
      </c>
      <c r="AM3684" s="1"/>
    </row>
    <row r="3685" spans="1:39" x14ac:dyDescent="0.35">
      <c r="A3685">
        <v>3681</v>
      </c>
      <c r="B3685">
        <v>3682</v>
      </c>
      <c r="F3685" s="63"/>
      <c r="G3685" s="63"/>
      <c r="H3685" t="s">
        <v>78</v>
      </c>
      <c r="I3685" s="64">
        <v>0</v>
      </c>
      <c r="N3685" s="4"/>
      <c r="AG3685" t="s">
        <v>3396</v>
      </c>
      <c r="AM3685" s="1"/>
    </row>
    <row r="3686" spans="1:39" x14ac:dyDescent="0.35">
      <c r="A3686">
        <v>3682</v>
      </c>
      <c r="B3686">
        <v>3683</v>
      </c>
      <c r="F3686" s="63"/>
      <c r="G3686" s="63"/>
      <c r="H3686" t="s">
        <v>78</v>
      </c>
      <c r="I3686" s="64">
        <v>0</v>
      </c>
      <c r="N3686" s="4"/>
      <c r="AG3686" t="s">
        <v>3397</v>
      </c>
      <c r="AM3686" s="1"/>
    </row>
    <row r="3687" spans="1:39" x14ac:dyDescent="0.35">
      <c r="A3687">
        <v>3683</v>
      </c>
      <c r="B3687">
        <v>3684</v>
      </c>
      <c r="F3687" s="63"/>
      <c r="G3687" s="63"/>
      <c r="H3687" t="s">
        <v>78</v>
      </c>
      <c r="I3687" s="64">
        <v>0</v>
      </c>
      <c r="N3687" s="4"/>
      <c r="AG3687" t="s">
        <v>3398</v>
      </c>
      <c r="AM3687" s="1"/>
    </row>
    <row r="3688" spans="1:39" x14ac:dyDescent="0.35">
      <c r="A3688">
        <v>3684</v>
      </c>
      <c r="B3688">
        <v>3685</v>
      </c>
      <c r="F3688" s="63"/>
      <c r="G3688" s="63"/>
      <c r="H3688" t="s">
        <v>78</v>
      </c>
      <c r="I3688" s="64">
        <v>0</v>
      </c>
      <c r="N3688" s="4"/>
      <c r="AG3688" t="s">
        <v>3399</v>
      </c>
      <c r="AM3688" s="1"/>
    </row>
    <row r="3689" spans="1:39" x14ac:dyDescent="0.35">
      <c r="A3689">
        <v>3685</v>
      </c>
      <c r="B3689">
        <v>3686</v>
      </c>
      <c r="F3689" s="63"/>
      <c r="G3689" s="63"/>
      <c r="H3689" t="s">
        <v>78</v>
      </c>
      <c r="I3689" s="64">
        <v>0</v>
      </c>
      <c r="N3689" s="4"/>
      <c r="AG3689" t="s">
        <v>3400</v>
      </c>
      <c r="AM3689" s="1"/>
    </row>
    <row r="3690" spans="1:39" x14ac:dyDescent="0.35">
      <c r="A3690">
        <v>3686</v>
      </c>
      <c r="B3690">
        <v>3687</v>
      </c>
      <c r="F3690" s="63"/>
      <c r="G3690" s="63"/>
      <c r="H3690" t="s">
        <v>78</v>
      </c>
      <c r="I3690" s="64">
        <v>0</v>
      </c>
      <c r="N3690" s="4"/>
      <c r="AG3690" t="s">
        <v>3401</v>
      </c>
      <c r="AM3690" s="1"/>
    </row>
    <row r="3691" spans="1:39" x14ac:dyDescent="0.35">
      <c r="A3691">
        <v>3687</v>
      </c>
      <c r="B3691">
        <v>3688</v>
      </c>
      <c r="F3691" s="63"/>
      <c r="G3691" s="63"/>
      <c r="H3691" t="s">
        <v>78</v>
      </c>
      <c r="I3691" s="64">
        <v>0</v>
      </c>
      <c r="N3691" s="4"/>
      <c r="AG3691" t="s">
        <v>3402</v>
      </c>
      <c r="AM3691" s="1"/>
    </row>
    <row r="3692" spans="1:39" x14ac:dyDescent="0.35">
      <c r="A3692">
        <v>3688</v>
      </c>
      <c r="B3692">
        <v>3689</v>
      </c>
      <c r="F3692" s="63"/>
      <c r="G3692" s="63"/>
      <c r="H3692" t="s">
        <v>78</v>
      </c>
      <c r="I3692" s="64">
        <v>0</v>
      </c>
      <c r="N3692" s="4"/>
      <c r="AG3692" t="s">
        <v>3403</v>
      </c>
      <c r="AM3692" s="1"/>
    </row>
    <row r="3693" spans="1:39" x14ac:dyDescent="0.35">
      <c r="A3693">
        <v>3689</v>
      </c>
      <c r="B3693">
        <v>3690</v>
      </c>
      <c r="F3693" s="63"/>
      <c r="G3693" s="63"/>
      <c r="H3693" t="s">
        <v>78</v>
      </c>
      <c r="I3693" s="64">
        <v>0</v>
      </c>
      <c r="N3693" s="4"/>
      <c r="AG3693" t="s">
        <v>3404</v>
      </c>
      <c r="AM3693" s="1"/>
    </row>
    <row r="3694" spans="1:39" x14ac:dyDescent="0.35">
      <c r="A3694">
        <v>3690</v>
      </c>
      <c r="B3694">
        <v>3691</v>
      </c>
      <c r="F3694" s="63"/>
      <c r="G3694" s="63"/>
      <c r="H3694" t="s">
        <v>78</v>
      </c>
      <c r="I3694" s="64">
        <v>0</v>
      </c>
      <c r="N3694" s="4"/>
      <c r="AG3694" t="s">
        <v>3405</v>
      </c>
      <c r="AM3694" s="1"/>
    </row>
    <row r="3695" spans="1:39" x14ac:dyDescent="0.35">
      <c r="A3695">
        <v>3691</v>
      </c>
      <c r="B3695">
        <v>3692</v>
      </c>
      <c r="F3695" s="63"/>
      <c r="G3695" s="63"/>
      <c r="H3695" t="s">
        <v>78</v>
      </c>
      <c r="I3695" s="64">
        <v>0</v>
      </c>
      <c r="N3695" s="4"/>
      <c r="AG3695" t="s">
        <v>3406</v>
      </c>
      <c r="AM3695" s="1"/>
    </row>
    <row r="3696" spans="1:39" x14ac:dyDescent="0.35">
      <c r="A3696">
        <v>3692</v>
      </c>
      <c r="B3696">
        <v>3693</v>
      </c>
      <c r="F3696" s="63"/>
      <c r="G3696" s="63"/>
      <c r="H3696" t="s">
        <v>78</v>
      </c>
      <c r="I3696" s="64">
        <v>0</v>
      </c>
      <c r="N3696" s="4"/>
      <c r="AG3696" t="s">
        <v>3407</v>
      </c>
      <c r="AM3696" s="1"/>
    </row>
    <row r="3697" spans="1:39" x14ac:dyDescent="0.35">
      <c r="A3697">
        <v>3693</v>
      </c>
      <c r="B3697">
        <v>3694</v>
      </c>
      <c r="F3697" s="63"/>
      <c r="G3697" s="63"/>
      <c r="H3697" t="s">
        <v>78</v>
      </c>
      <c r="I3697" s="64">
        <v>0</v>
      </c>
      <c r="N3697" s="4"/>
      <c r="AG3697" t="s">
        <v>3408</v>
      </c>
      <c r="AM3697" s="1"/>
    </row>
    <row r="3698" spans="1:39" x14ac:dyDescent="0.35">
      <c r="A3698">
        <v>3694</v>
      </c>
      <c r="B3698">
        <v>3695</v>
      </c>
      <c r="F3698" s="63"/>
      <c r="G3698" s="63"/>
      <c r="H3698" t="s">
        <v>78</v>
      </c>
      <c r="I3698" s="64">
        <v>0</v>
      </c>
      <c r="N3698" s="4"/>
      <c r="AG3698" t="s">
        <v>3409</v>
      </c>
      <c r="AM3698" s="1"/>
    </row>
    <row r="3699" spans="1:39" x14ac:dyDescent="0.35">
      <c r="A3699">
        <v>3695</v>
      </c>
      <c r="B3699">
        <v>3696</v>
      </c>
      <c r="F3699" s="63"/>
      <c r="G3699" s="63"/>
      <c r="H3699" t="s">
        <v>78</v>
      </c>
      <c r="I3699" s="64">
        <v>0</v>
      </c>
      <c r="N3699" s="4"/>
      <c r="AG3699" t="s">
        <v>3410</v>
      </c>
      <c r="AM3699" s="1"/>
    </row>
    <row r="3700" spans="1:39" x14ac:dyDescent="0.35">
      <c r="A3700">
        <v>3696</v>
      </c>
      <c r="B3700">
        <v>3697</v>
      </c>
      <c r="F3700" s="63"/>
      <c r="G3700" s="63"/>
      <c r="H3700" t="s">
        <v>78</v>
      </c>
      <c r="I3700" s="64">
        <v>0</v>
      </c>
      <c r="N3700" s="4"/>
      <c r="AG3700" t="s">
        <v>3411</v>
      </c>
      <c r="AM3700" s="1"/>
    </row>
    <row r="3701" spans="1:39" x14ac:dyDescent="0.35">
      <c r="A3701">
        <v>3697</v>
      </c>
      <c r="B3701">
        <v>3698</v>
      </c>
      <c r="F3701" s="63"/>
      <c r="G3701" s="63"/>
      <c r="H3701" t="s">
        <v>78</v>
      </c>
      <c r="I3701" s="64">
        <v>0</v>
      </c>
      <c r="N3701" s="4"/>
      <c r="AG3701" t="s">
        <v>3412</v>
      </c>
      <c r="AM3701" s="1"/>
    </row>
    <row r="3702" spans="1:39" x14ac:dyDescent="0.35">
      <c r="A3702">
        <v>3698</v>
      </c>
      <c r="B3702">
        <v>3699</v>
      </c>
      <c r="F3702" s="63"/>
      <c r="G3702" s="63"/>
      <c r="H3702" t="s">
        <v>78</v>
      </c>
      <c r="I3702" s="64">
        <v>0</v>
      </c>
      <c r="N3702" s="4"/>
      <c r="AG3702" t="s">
        <v>3413</v>
      </c>
      <c r="AM3702" s="1"/>
    </row>
    <row r="3703" spans="1:39" x14ac:dyDescent="0.35">
      <c r="A3703">
        <v>3699</v>
      </c>
      <c r="B3703">
        <v>3700</v>
      </c>
      <c r="F3703" s="63"/>
      <c r="G3703" s="63"/>
      <c r="H3703" t="s">
        <v>78</v>
      </c>
      <c r="I3703" s="64">
        <v>0</v>
      </c>
      <c r="N3703" s="4"/>
      <c r="AG3703" t="s">
        <v>3414</v>
      </c>
      <c r="AM3703" s="1"/>
    </row>
    <row r="3704" spans="1:39" x14ac:dyDescent="0.35">
      <c r="A3704">
        <v>3700</v>
      </c>
      <c r="B3704">
        <v>3701</v>
      </c>
      <c r="F3704" s="63"/>
      <c r="G3704" s="63"/>
      <c r="H3704" t="s">
        <v>78</v>
      </c>
      <c r="I3704" s="64">
        <v>0</v>
      </c>
      <c r="N3704" s="4"/>
      <c r="AG3704" t="s">
        <v>3415</v>
      </c>
      <c r="AM3704" s="1"/>
    </row>
    <row r="3705" spans="1:39" x14ac:dyDescent="0.35">
      <c r="A3705">
        <v>3701</v>
      </c>
      <c r="B3705">
        <v>3702</v>
      </c>
      <c r="F3705" s="63"/>
      <c r="G3705" s="63"/>
      <c r="H3705" t="s">
        <v>78</v>
      </c>
      <c r="I3705" s="64">
        <v>0</v>
      </c>
      <c r="N3705" s="4"/>
      <c r="AG3705" t="s">
        <v>3416</v>
      </c>
      <c r="AM3705" s="1"/>
    </row>
    <row r="3706" spans="1:39" x14ac:dyDescent="0.35">
      <c r="A3706">
        <v>3702</v>
      </c>
      <c r="B3706">
        <v>3703</v>
      </c>
      <c r="F3706" s="63"/>
      <c r="G3706" s="63"/>
      <c r="H3706" t="s">
        <v>78</v>
      </c>
      <c r="I3706" s="64">
        <v>0</v>
      </c>
      <c r="N3706" s="4"/>
      <c r="AG3706" t="s">
        <v>3417</v>
      </c>
      <c r="AM3706" s="1"/>
    </row>
    <row r="3707" spans="1:39" x14ac:dyDescent="0.35">
      <c r="A3707">
        <v>3703</v>
      </c>
      <c r="B3707">
        <v>3704</v>
      </c>
      <c r="F3707" s="63"/>
      <c r="G3707" s="63"/>
      <c r="H3707" t="s">
        <v>78</v>
      </c>
      <c r="I3707" s="64">
        <v>0</v>
      </c>
      <c r="N3707" s="4"/>
      <c r="AG3707" t="s">
        <v>3418</v>
      </c>
      <c r="AM3707" s="1"/>
    </row>
    <row r="3708" spans="1:39" x14ac:dyDescent="0.35">
      <c r="A3708">
        <v>3704</v>
      </c>
      <c r="B3708">
        <v>3705</v>
      </c>
      <c r="F3708" s="63"/>
      <c r="G3708" s="63"/>
      <c r="H3708" t="s">
        <v>78</v>
      </c>
      <c r="I3708" s="64">
        <v>0</v>
      </c>
      <c r="N3708" s="4"/>
      <c r="AG3708" t="s">
        <v>3419</v>
      </c>
      <c r="AM3708" s="1"/>
    </row>
    <row r="3709" spans="1:39" x14ac:dyDescent="0.35">
      <c r="A3709">
        <v>3705</v>
      </c>
      <c r="B3709">
        <v>3706</v>
      </c>
      <c r="F3709" s="63"/>
      <c r="G3709" s="63"/>
      <c r="H3709" t="s">
        <v>78</v>
      </c>
      <c r="I3709" s="64">
        <v>0</v>
      </c>
      <c r="N3709" s="4"/>
      <c r="AG3709" t="s">
        <v>3420</v>
      </c>
      <c r="AM3709" s="1"/>
    </row>
    <row r="3710" spans="1:39" x14ac:dyDescent="0.35">
      <c r="A3710">
        <v>3706</v>
      </c>
      <c r="B3710">
        <v>3707</v>
      </c>
      <c r="F3710" s="63"/>
      <c r="G3710" s="63"/>
      <c r="H3710" t="s">
        <v>78</v>
      </c>
      <c r="I3710" s="64">
        <v>0</v>
      </c>
      <c r="N3710" s="4"/>
      <c r="AG3710" t="s">
        <v>3421</v>
      </c>
      <c r="AM3710" s="1"/>
    </row>
    <row r="3711" spans="1:39" x14ac:dyDescent="0.35">
      <c r="A3711">
        <v>3707</v>
      </c>
      <c r="B3711">
        <v>3708</v>
      </c>
      <c r="F3711" s="63"/>
      <c r="G3711" s="63"/>
      <c r="H3711" t="s">
        <v>78</v>
      </c>
      <c r="I3711" s="64">
        <v>0</v>
      </c>
      <c r="N3711" s="4"/>
      <c r="AG3711" t="s">
        <v>3422</v>
      </c>
      <c r="AM3711" s="1"/>
    </row>
    <row r="3712" spans="1:39" x14ac:dyDescent="0.35">
      <c r="A3712">
        <v>3708</v>
      </c>
      <c r="B3712">
        <v>3709</v>
      </c>
      <c r="F3712" s="63"/>
      <c r="G3712" s="63"/>
      <c r="H3712" t="s">
        <v>78</v>
      </c>
      <c r="I3712" s="64">
        <v>0</v>
      </c>
      <c r="N3712" s="4"/>
      <c r="AG3712" t="s">
        <v>3423</v>
      </c>
      <c r="AM3712" s="1"/>
    </row>
    <row r="3713" spans="1:39" x14ac:dyDescent="0.35">
      <c r="A3713">
        <v>3709</v>
      </c>
      <c r="B3713">
        <v>3710</v>
      </c>
      <c r="F3713" s="63"/>
      <c r="G3713" s="63"/>
      <c r="H3713" t="s">
        <v>78</v>
      </c>
      <c r="I3713" s="64">
        <v>0</v>
      </c>
      <c r="N3713" s="4"/>
      <c r="AG3713" t="s">
        <v>3424</v>
      </c>
      <c r="AM3713" s="1"/>
    </row>
    <row r="3714" spans="1:39" x14ac:dyDescent="0.35">
      <c r="A3714">
        <v>3710</v>
      </c>
      <c r="B3714">
        <v>3711</v>
      </c>
      <c r="F3714" s="63"/>
      <c r="G3714" s="63"/>
      <c r="H3714" t="s">
        <v>78</v>
      </c>
      <c r="I3714" s="64">
        <v>0</v>
      </c>
      <c r="N3714" s="4"/>
      <c r="AG3714" t="s">
        <v>3425</v>
      </c>
      <c r="AM3714" s="1"/>
    </row>
    <row r="3715" spans="1:39" x14ac:dyDescent="0.35">
      <c r="A3715">
        <v>3711</v>
      </c>
      <c r="B3715">
        <v>3712</v>
      </c>
      <c r="F3715" s="63"/>
      <c r="G3715" s="63"/>
      <c r="H3715" t="s">
        <v>78</v>
      </c>
      <c r="I3715" s="64">
        <v>0</v>
      </c>
      <c r="N3715" s="4"/>
      <c r="AG3715" t="s">
        <v>3426</v>
      </c>
      <c r="AM3715" s="1"/>
    </row>
    <row r="3716" spans="1:39" x14ac:dyDescent="0.35">
      <c r="A3716">
        <v>3712</v>
      </c>
      <c r="B3716">
        <v>3713</v>
      </c>
      <c r="F3716" s="63"/>
      <c r="G3716" s="63"/>
      <c r="H3716" t="s">
        <v>78</v>
      </c>
      <c r="I3716" s="64">
        <v>0</v>
      </c>
      <c r="N3716" s="4"/>
      <c r="AG3716" t="s">
        <v>3427</v>
      </c>
      <c r="AM3716" s="1"/>
    </row>
    <row r="3717" spans="1:39" x14ac:dyDescent="0.35">
      <c r="A3717">
        <v>3713</v>
      </c>
      <c r="B3717">
        <v>3714</v>
      </c>
      <c r="F3717" s="63"/>
      <c r="G3717" s="63"/>
      <c r="H3717" t="s">
        <v>78</v>
      </c>
      <c r="I3717" s="64">
        <v>0</v>
      </c>
      <c r="N3717" s="4"/>
      <c r="AG3717" t="s">
        <v>3428</v>
      </c>
      <c r="AM3717" s="1"/>
    </row>
    <row r="3718" spans="1:39" x14ac:dyDescent="0.35">
      <c r="A3718">
        <v>3714</v>
      </c>
      <c r="B3718">
        <v>3715</v>
      </c>
      <c r="F3718" s="63"/>
      <c r="G3718" s="63"/>
      <c r="H3718" t="s">
        <v>78</v>
      </c>
      <c r="I3718" s="64">
        <v>0</v>
      </c>
      <c r="N3718" s="4"/>
      <c r="AG3718" t="s">
        <v>3429</v>
      </c>
      <c r="AM3718" s="1"/>
    </row>
    <row r="3719" spans="1:39" x14ac:dyDescent="0.35">
      <c r="A3719">
        <v>3715</v>
      </c>
      <c r="B3719">
        <v>3716</v>
      </c>
      <c r="F3719" s="63"/>
      <c r="G3719" s="63"/>
      <c r="H3719" t="s">
        <v>26</v>
      </c>
      <c r="I3719" s="64"/>
      <c r="N3719" s="4"/>
      <c r="AG3719" t="s">
        <v>3430</v>
      </c>
      <c r="AM3719" s="1"/>
    </row>
    <row r="3720" spans="1:39" x14ac:dyDescent="0.35">
      <c r="A3720">
        <v>3716</v>
      </c>
      <c r="B3720">
        <v>3717</v>
      </c>
      <c r="F3720" s="63"/>
      <c r="G3720" s="63"/>
      <c r="H3720" t="s">
        <v>26</v>
      </c>
      <c r="I3720" s="64"/>
      <c r="N3720" s="4"/>
      <c r="AG3720" t="s">
        <v>3431</v>
      </c>
      <c r="AM3720" s="1"/>
    </row>
    <row r="3721" spans="1:39" x14ac:dyDescent="0.35">
      <c r="A3721">
        <v>3717</v>
      </c>
      <c r="B3721">
        <v>3718</v>
      </c>
      <c r="F3721" s="63"/>
      <c r="G3721" s="63"/>
      <c r="H3721" t="s">
        <v>26</v>
      </c>
      <c r="I3721" s="64"/>
      <c r="N3721" s="4"/>
      <c r="AG3721" t="s">
        <v>3432</v>
      </c>
      <c r="AM3721" s="1"/>
    </row>
    <row r="3722" spans="1:39" x14ac:dyDescent="0.35">
      <c r="A3722">
        <v>3718</v>
      </c>
      <c r="B3722">
        <v>3719</v>
      </c>
      <c r="F3722" s="63"/>
      <c r="G3722" s="63"/>
      <c r="H3722" t="s">
        <v>26</v>
      </c>
      <c r="I3722" s="64"/>
      <c r="N3722" s="4"/>
      <c r="AG3722" t="s">
        <v>3433</v>
      </c>
      <c r="AM3722" s="1"/>
    </row>
    <row r="3723" spans="1:39" x14ac:dyDescent="0.35">
      <c r="A3723">
        <v>3719</v>
      </c>
      <c r="B3723">
        <v>3720</v>
      </c>
      <c r="F3723" s="63"/>
      <c r="G3723" s="63"/>
      <c r="H3723" t="s">
        <v>26</v>
      </c>
      <c r="I3723" s="64"/>
      <c r="N3723" s="4"/>
      <c r="AG3723" t="s">
        <v>3434</v>
      </c>
      <c r="AM3723" s="1"/>
    </row>
    <row r="3724" spans="1:39" x14ac:dyDescent="0.35">
      <c r="A3724">
        <v>3720</v>
      </c>
      <c r="B3724">
        <v>3721</v>
      </c>
      <c r="F3724" s="63"/>
      <c r="G3724" s="63"/>
      <c r="H3724" t="s">
        <v>26</v>
      </c>
      <c r="I3724" s="64"/>
      <c r="N3724" s="4"/>
      <c r="AG3724" t="s">
        <v>3435</v>
      </c>
      <c r="AM3724" s="1"/>
    </row>
    <row r="3725" spans="1:39" x14ac:dyDescent="0.35">
      <c r="A3725">
        <v>3721</v>
      </c>
      <c r="B3725">
        <v>3722</v>
      </c>
      <c r="F3725" s="63"/>
      <c r="G3725" s="63"/>
      <c r="H3725" t="s">
        <v>26</v>
      </c>
      <c r="I3725" s="64"/>
      <c r="N3725" s="4"/>
      <c r="AG3725" t="s">
        <v>3436</v>
      </c>
      <c r="AM3725" s="1"/>
    </row>
    <row r="3726" spans="1:39" x14ac:dyDescent="0.35">
      <c r="A3726">
        <v>3722</v>
      </c>
      <c r="B3726">
        <v>3723</v>
      </c>
      <c r="F3726" s="63"/>
      <c r="G3726" s="63"/>
      <c r="H3726" t="s">
        <v>26</v>
      </c>
      <c r="I3726" s="64"/>
      <c r="N3726" s="4"/>
      <c r="AG3726" t="s">
        <v>3437</v>
      </c>
      <c r="AM3726" s="1"/>
    </row>
    <row r="3727" spans="1:39" x14ac:dyDescent="0.35">
      <c r="A3727">
        <v>3723</v>
      </c>
      <c r="B3727">
        <v>3724</v>
      </c>
      <c r="F3727" s="63"/>
      <c r="G3727" s="63"/>
      <c r="H3727" t="s">
        <v>78</v>
      </c>
      <c r="I3727" s="64">
        <v>0</v>
      </c>
      <c r="N3727" s="4"/>
      <c r="AG3727" t="s">
        <v>3438</v>
      </c>
      <c r="AM3727" s="1"/>
    </row>
    <row r="3728" spans="1:39" x14ac:dyDescent="0.35">
      <c r="A3728">
        <v>3724</v>
      </c>
      <c r="B3728">
        <v>3725</v>
      </c>
      <c r="F3728" s="63"/>
      <c r="G3728" s="63"/>
      <c r="H3728" t="s">
        <v>78</v>
      </c>
      <c r="I3728" s="64">
        <v>0</v>
      </c>
      <c r="N3728" s="4"/>
      <c r="AG3728" t="s">
        <v>3439</v>
      </c>
      <c r="AM3728" s="1"/>
    </row>
    <row r="3729" spans="1:39" x14ac:dyDescent="0.35">
      <c r="A3729">
        <v>3725</v>
      </c>
      <c r="B3729">
        <v>3726</v>
      </c>
      <c r="F3729" s="63"/>
      <c r="G3729" s="63"/>
      <c r="H3729" t="s">
        <v>78</v>
      </c>
      <c r="I3729" s="64">
        <v>0</v>
      </c>
      <c r="N3729" s="4"/>
      <c r="AG3729" t="s">
        <v>3440</v>
      </c>
      <c r="AM3729" s="1"/>
    </row>
    <row r="3730" spans="1:39" x14ac:dyDescent="0.35">
      <c r="A3730">
        <v>3726</v>
      </c>
      <c r="B3730">
        <v>3727</v>
      </c>
      <c r="F3730" s="63"/>
      <c r="G3730" s="63"/>
      <c r="H3730" t="s">
        <v>78</v>
      </c>
      <c r="I3730" s="64">
        <v>0</v>
      </c>
      <c r="N3730" s="4"/>
      <c r="AG3730" t="s">
        <v>3441</v>
      </c>
      <c r="AM3730" s="1"/>
    </row>
    <row r="3731" spans="1:39" x14ac:dyDescent="0.35">
      <c r="A3731">
        <v>3727</v>
      </c>
      <c r="B3731">
        <v>3728</v>
      </c>
      <c r="F3731" s="63"/>
      <c r="G3731" s="63"/>
      <c r="H3731" t="s">
        <v>78</v>
      </c>
      <c r="I3731" s="64">
        <v>0</v>
      </c>
      <c r="N3731" s="4"/>
      <c r="AG3731" t="s">
        <v>78</v>
      </c>
      <c r="AM3731" s="1"/>
    </row>
    <row r="3732" spans="1:39" x14ac:dyDescent="0.35">
      <c r="A3732">
        <v>3728</v>
      </c>
      <c r="B3732">
        <v>3729</v>
      </c>
      <c r="F3732" s="63"/>
      <c r="G3732" s="63"/>
      <c r="H3732" t="s">
        <v>78</v>
      </c>
      <c r="I3732" s="64">
        <v>0</v>
      </c>
      <c r="N3732" s="4"/>
      <c r="AG3732" t="s">
        <v>78</v>
      </c>
      <c r="AM3732" s="1"/>
    </row>
    <row r="3733" spans="1:39" x14ac:dyDescent="0.35">
      <c r="A3733">
        <v>3729</v>
      </c>
      <c r="B3733">
        <v>3730</v>
      </c>
      <c r="F3733" s="63"/>
      <c r="G3733" s="63"/>
      <c r="H3733" t="s">
        <v>78</v>
      </c>
      <c r="I3733" s="64">
        <v>0</v>
      </c>
      <c r="N3733" s="4"/>
      <c r="AG3733" t="s">
        <v>78</v>
      </c>
      <c r="AM3733" s="1"/>
    </row>
    <row r="3734" spans="1:39" x14ac:dyDescent="0.35">
      <c r="A3734">
        <v>3730</v>
      </c>
      <c r="B3734">
        <v>3731</v>
      </c>
      <c r="F3734" s="63"/>
      <c r="G3734" s="63"/>
      <c r="H3734" t="s">
        <v>78</v>
      </c>
      <c r="I3734" s="64">
        <v>0</v>
      </c>
      <c r="N3734" s="4"/>
      <c r="AG3734" t="s">
        <v>78</v>
      </c>
      <c r="AM3734" s="1"/>
    </row>
    <row r="3735" spans="1:39" x14ac:dyDescent="0.35">
      <c r="A3735">
        <v>3731</v>
      </c>
      <c r="B3735">
        <v>3732</v>
      </c>
      <c r="F3735" s="63"/>
      <c r="G3735" s="63"/>
      <c r="H3735" t="s">
        <v>78</v>
      </c>
      <c r="I3735" s="64">
        <v>0</v>
      </c>
      <c r="N3735" s="4"/>
      <c r="AG3735" t="s">
        <v>3442</v>
      </c>
      <c r="AM3735" s="1"/>
    </row>
    <row r="3736" spans="1:39" x14ac:dyDescent="0.35">
      <c r="A3736">
        <v>3732</v>
      </c>
      <c r="B3736">
        <v>3733</v>
      </c>
      <c r="F3736" s="63"/>
      <c r="G3736" s="63"/>
      <c r="H3736" t="s">
        <v>78</v>
      </c>
      <c r="I3736" s="64">
        <v>0</v>
      </c>
      <c r="N3736" s="4"/>
      <c r="AG3736" t="s">
        <v>3443</v>
      </c>
      <c r="AM3736" s="1"/>
    </row>
    <row r="3737" spans="1:39" x14ac:dyDescent="0.35">
      <c r="A3737">
        <v>3733</v>
      </c>
      <c r="B3737">
        <v>3734</v>
      </c>
      <c r="F3737" s="63"/>
      <c r="G3737" s="63"/>
      <c r="H3737" t="s">
        <v>78</v>
      </c>
      <c r="I3737" s="64">
        <v>0</v>
      </c>
      <c r="N3737" s="4"/>
      <c r="AG3737" t="s">
        <v>3444</v>
      </c>
      <c r="AM3737" s="1"/>
    </row>
    <row r="3738" spans="1:39" x14ac:dyDescent="0.35">
      <c r="A3738">
        <v>3734</v>
      </c>
      <c r="B3738">
        <v>3735</v>
      </c>
      <c r="F3738" s="63"/>
      <c r="G3738" s="63"/>
      <c r="H3738" t="s">
        <v>78</v>
      </c>
      <c r="I3738" s="64">
        <v>0</v>
      </c>
      <c r="N3738" s="4"/>
      <c r="AG3738" t="s">
        <v>3445</v>
      </c>
      <c r="AM3738" s="1"/>
    </row>
    <row r="3739" spans="1:39" x14ac:dyDescent="0.35">
      <c r="A3739">
        <v>3735</v>
      </c>
      <c r="B3739">
        <v>3736</v>
      </c>
      <c r="F3739" s="63"/>
      <c r="G3739" s="63"/>
      <c r="H3739" t="s">
        <v>78</v>
      </c>
      <c r="I3739" s="64">
        <v>0</v>
      </c>
      <c r="N3739" s="4"/>
      <c r="AG3739" t="s">
        <v>3446</v>
      </c>
      <c r="AM3739" s="1"/>
    </row>
    <row r="3740" spans="1:39" x14ac:dyDescent="0.35">
      <c r="A3740">
        <v>3736</v>
      </c>
      <c r="B3740">
        <v>3737</v>
      </c>
      <c r="F3740" s="63"/>
      <c r="G3740" s="63"/>
      <c r="H3740" t="s">
        <v>78</v>
      </c>
      <c r="I3740" s="64">
        <v>0</v>
      </c>
      <c r="N3740" s="4"/>
      <c r="AG3740" t="s">
        <v>3447</v>
      </c>
      <c r="AM3740" s="1"/>
    </row>
    <row r="3741" spans="1:39" x14ac:dyDescent="0.35">
      <c r="A3741">
        <v>3737</v>
      </c>
      <c r="B3741">
        <v>3738</v>
      </c>
      <c r="F3741" s="63"/>
      <c r="G3741" s="63"/>
      <c r="H3741" t="s">
        <v>78</v>
      </c>
      <c r="I3741" s="64">
        <v>0</v>
      </c>
      <c r="N3741" s="4"/>
      <c r="AG3741" t="s">
        <v>3448</v>
      </c>
      <c r="AM3741" s="1"/>
    </row>
    <row r="3742" spans="1:39" x14ac:dyDescent="0.35">
      <c r="A3742">
        <v>3738</v>
      </c>
      <c r="B3742">
        <v>3739</v>
      </c>
      <c r="F3742" s="63"/>
      <c r="G3742" s="63"/>
      <c r="H3742" t="s">
        <v>78</v>
      </c>
      <c r="I3742" s="64">
        <v>0</v>
      </c>
      <c r="N3742" s="4"/>
      <c r="AG3742" t="s">
        <v>3449</v>
      </c>
      <c r="AM3742" s="1"/>
    </row>
    <row r="3743" spans="1:39" x14ac:dyDescent="0.35">
      <c r="A3743">
        <v>3739</v>
      </c>
      <c r="B3743">
        <v>3740</v>
      </c>
      <c r="F3743" s="63"/>
      <c r="G3743" s="63"/>
      <c r="H3743" t="s">
        <v>78</v>
      </c>
      <c r="I3743" s="64">
        <v>0</v>
      </c>
      <c r="N3743" s="4"/>
      <c r="AG3743" t="s">
        <v>3450</v>
      </c>
      <c r="AM3743" s="1"/>
    </row>
    <row r="3744" spans="1:39" x14ac:dyDescent="0.35">
      <c r="A3744">
        <v>3740</v>
      </c>
      <c r="B3744">
        <v>3741</v>
      </c>
      <c r="F3744" s="63"/>
      <c r="G3744" s="63"/>
      <c r="H3744" t="s">
        <v>78</v>
      </c>
      <c r="I3744" s="64">
        <v>0</v>
      </c>
      <c r="N3744" s="4"/>
      <c r="AG3744" t="s">
        <v>3451</v>
      </c>
      <c r="AM3744" s="1"/>
    </row>
    <row r="3745" spans="1:39" x14ac:dyDescent="0.35">
      <c r="A3745">
        <v>3741</v>
      </c>
      <c r="B3745">
        <v>3742</v>
      </c>
      <c r="F3745" s="63"/>
      <c r="G3745" s="63"/>
      <c r="H3745" t="s">
        <v>78</v>
      </c>
      <c r="I3745" s="64">
        <v>0</v>
      </c>
      <c r="N3745" s="4"/>
      <c r="AG3745" t="s">
        <v>3452</v>
      </c>
      <c r="AM3745" s="1"/>
    </row>
    <row r="3746" spans="1:39" x14ac:dyDescent="0.35">
      <c r="A3746">
        <v>3742</v>
      </c>
      <c r="B3746">
        <v>3743</v>
      </c>
      <c r="F3746" s="63"/>
      <c r="G3746" s="63"/>
      <c r="H3746" t="s">
        <v>78</v>
      </c>
      <c r="I3746" s="64">
        <v>0</v>
      </c>
      <c r="N3746" s="4"/>
      <c r="AG3746" t="s">
        <v>3453</v>
      </c>
      <c r="AM3746" s="1"/>
    </row>
    <row r="3747" spans="1:39" x14ac:dyDescent="0.35">
      <c r="A3747">
        <v>3743</v>
      </c>
      <c r="B3747">
        <v>3744</v>
      </c>
      <c r="F3747" s="63"/>
      <c r="G3747" s="63"/>
      <c r="H3747" t="s">
        <v>78</v>
      </c>
      <c r="I3747" s="64">
        <v>0</v>
      </c>
      <c r="N3747" s="4"/>
      <c r="AG3747" t="s">
        <v>3454</v>
      </c>
      <c r="AM3747" s="1"/>
    </row>
    <row r="3748" spans="1:39" x14ac:dyDescent="0.35">
      <c r="A3748">
        <v>3744</v>
      </c>
      <c r="B3748">
        <v>3745</v>
      </c>
      <c r="F3748" s="63"/>
      <c r="G3748" s="63"/>
      <c r="H3748" t="s">
        <v>78</v>
      </c>
      <c r="I3748" s="64">
        <v>0</v>
      </c>
      <c r="N3748" s="4"/>
      <c r="AG3748" t="s">
        <v>3455</v>
      </c>
      <c r="AM3748" s="1"/>
    </row>
    <row r="3749" spans="1:39" x14ac:dyDescent="0.35">
      <c r="A3749">
        <v>3745</v>
      </c>
      <c r="B3749">
        <v>3746</v>
      </c>
      <c r="F3749" s="63"/>
      <c r="G3749" s="63"/>
      <c r="H3749" t="s">
        <v>78</v>
      </c>
      <c r="I3749" s="64">
        <v>0</v>
      </c>
      <c r="N3749" s="4"/>
      <c r="AG3749" t="s">
        <v>3456</v>
      </c>
      <c r="AM3749" s="1"/>
    </row>
    <row r="3750" spans="1:39" x14ac:dyDescent="0.35">
      <c r="A3750">
        <v>3746</v>
      </c>
      <c r="B3750">
        <v>3747</v>
      </c>
      <c r="F3750" s="63"/>
      <c r="G3750" s="63"/>
      <c r="H3750" t="s">
        <v>78</v>
      </c>
      <c r="I3750" s="64">
        <v>0</v>
      </c>
      <c r="N3750" s="4"/>
      <c r="AG3750" t="s">
        <v>3457</v>
      </c>
      <c r="AM3750" s="1"/>
    </row>
    <row r="3751" spans="1:39" x14ac:dyDescent="0.35">
      <c r="A3751">
        <v>3747</v>
      </c>
      <c r="B3751">
        <v>3748</v>
      </c>
      <c r="F3751" s="63"/>
      <c r="G3751" s="63"/>
      <c r="H3751" t="s">
        <v>78</v>
      </c>
      <c r="I3751" s="64">
        <v>0</v>
      </c>
      <c r="N3751" s="4"/>
      <c r="AG3751" t="s">
        <v>3458</v>
      </c>
      <c r="AM3751" s="1"/>
    </row>
    <row r="3752" spans="1:39" x14ac:dyDescent="0.35">
      <c r="A3752">
        <v>3748</v>
      </c>
      <c r="B3752">
        <v>3749</v>
      </c>
      <c r="F3752" s="63"/>
      <c r="G3752" s="63"/>
      <c r="H3752" t="s">
        <v>78</v>
      </c>
      <c r="I3752" s="64">
        <v>0</v>
      </c>
      <c r="N3752" s="4"/>
      <c r="AG3752" t="s">
        <v>3459</v>
      </c>
      <c r="AM3752" s="1"/>
    </row>
    <row r="3753" spans="1:39" x14ac:dyDescent="0.35">
      <c r="A3753">
        <v>3749</v>
      </c>
      <c r="B3753">
        <v>3750</v>
      </c>
      <c r="F3753" s="63"/>
      <c r="G3753" s="63"/>
      <c r="H3753" t="s">
        <v>78</v>
      </c>
      <c r="I3753" s="64">
        <v>0</v>
      </c>
      <c r="N3753" s="4"/>
      <c r="AG3753" t="s">
        <v>3460</v>
      </c>
      <c r="AM3753" s="1"/>
    </row>
    <row r="3754" spans="1:39" x14ac:dyDescent="0.35">
      <c r="A3754">
        <v>3750</v>
      </c>
      <c r="B3754">
        <v>3751</v>
      </c>
      <c r="F3754" s="63"/>
      <c r="G3754" s="63"/>
      <c r="H3754" t="s">
        <v>78</v>
      </c>
      <c r="I3754" s="64">
        <v>0</v>
      </c>
      <c r="N3754" s="4"/>
      <c r="AG3754" t="s">
        <v>3461</v>
      </c>
      <c r="AM3754" s="1"/>
    </row>
    <row r="3755" spans="1:39" x14ac:dyDescent="0.35">
      <c r="A3755">
        <v>3751</v>
      </c>
      <c r="B3755">
        <v>3752</v>
      </c>
      <c r="F3755" s="63"/>
      <c r="G3755" s="63"/>
      <c r="H3755" t="s">
        <v>78</v>
      </c>
      <c r="I3755" s="64">
        <v>0</v>
      </c>
      <c r="N3755" s="4"/>
      <c r="AG3755" t="s">
        <v>3462</v>
      </c>
      <c r="AM3755" s="1"/>
    </row>
    <row r="3756" spans="1:39" x14ac:dyDescent="0.35">
      <c r="A3756">
        <v>3752</v>
      </c>
      <c r="B3756">
        <v>3753</v>
      </c>
      <c r="F3756" s="63"/>
      <c r="G3756" s="63"/>
      <c r="H3756" t="s">
        <v>78</v>
      </c>
      <c r="I3756" s="64">
        <v>0</v>
      </c>
      <c r="N3756" s="4"/>
      <c r="AG3756" t="s">
        <v>3463</v>
      </c>
      <c r="AM3756" s="1"/>
    </row>
    <row r="3757" spans="1:39" x14ac:dyDescent="0.35">
      <c r="A3757">
        <v>3753</v>
      </c>
      <c r="B3757">
        <v>3754</v>
      </c>
      <c r="F3757" s="63"/>
      <c r="G3757" s="63"/>
      <c r="H3757" t="s">
        <v>78</v>
      </c>
      <c r="I3757" s="64">
        <v>0</v>
      </c>
      <c r="N3757" s="4"/>
      <c r="AG3757" t="s">
        <v>3464</v>
      </c>
      <c r="AM3757" s="1"/>
    </row>
    <row r="3758" spans="1:39" x14ac:dyDescent="0.35">
      <c r="A3758">
        <v>3754</v>
      </c>
      <c r="B3758">
        <v>3755</v>
      </c>
      <c r="F3758" s="63"/>
      <c r="G3758" s="63"/>
      <c r="H3758" t="s">
        <v>78</v>
      </c>
      <c r="I3758" s="64">
        <v>0</v>
      </c>
      <c r="N3758" s="4"/>
      <c r="AG3758" t="s">
        <v>3465</v>
      </c>
      <c r="AM3758" s="1"/>
    </row>
    <row r="3759" spans="1:39" x14ac:dyDescent="0.35">
      <c r="A3759">
        <v>3755</v>
      </c>
      <c r="B3759">
        <v>3756</v>
      </c>
      <c r="F3759" s="63"/>
      <c r="G3759" s="63"/>
      <c r="H3759" t="s">
        <v>78</v>
      </c>
      <c r="I3759" s="64">
        <v>0</v>
      </c>
      <c r="N3759" s="4"/>
      <c r="AG3759" t="s">
        <v>3466</v>
      </c>
      <c r="AM3759" s="1"/>
    </row>
    <row r="3760" spans="1:39" x14ac:dyDescent="0.35">
      <c r="A3760">
        <v>3756</v>
      </c>
      <c r="B3760">
        <v>3757</v>
      </c>
      <c r="F3760" s="63"/>
      <c r="G3760" s="63"/>
      <c r="H3760" t="s">
        <v>78</v>
      </c>
      <c r="I3760" s="64">
        <v>0</v>
      </c>
      <c r="N3760" s="4"/>
      <c r="AG3760" t="s">
        <v>3467</v>
      </c>
      <c r="AM3760" s="1"/>
    </row>
    <row r="3761" spans="1:39" x14ac:dyDescent="0.35">
      <c r="A3761">
        <v>3757</v>
      </c>
      <c r="B3761">
        <v>3758</v>
      </c>
      <c r="F3761" s="63"/>
      <c r="G3761" s="63"/>
      <c r="H3761" t="s">
        <v>78</v>
      </c>
      <c r="I3761" s="64">
        <v>0</v>
      </c>
      <c r="N3761" s="4"/>
      <c r="AG3761" t="s">
        <v>3468</v>
      </c>
      <c r="AM3761" s="1"/>
    </row>
    <row r="3762" spans="1:39" x14ac:dyDescent="0.35">
      <c r="A3762">
        <v>3758</v>
      </c>
      <c r="B3762">
        <v>3759</v>
      </c>
      <c r="F3762" s="63"/>
      <c r="G3762" s="63"/>
      <c r="H3762" t="s">
        <v>78</v>
      </c>
      <c r="I3762" s="64">
        <v>0</v>
      </c>
      <c r="N3762" s="4"/>
      <c r="AG3762" t="s">
        <v>3469</v>
      </c>
      <c r="AM3762" s="1"/>
    </row>
    <row r="3763" spans="1:39" x14ac:dyDescent="0.35">
      <c r="A3763">
        <v>3759</v>
      </c>
      <c r="B3763">
        <v>3760</v>
      </c>
      <c r="F3763" s="63"/>
      <c r="G3763" s="63"/>
      <c r="H3763" t="s">
        <v>78</v>
      </c>
      <c r="I3763" s="64">
        <v>0</v>
      </c>
      <c r="N3763" s="4"/>
      <c r="AG3763" t="s">
        <v>3470</v>
      </c>
      <c r="AM3763" s="1"/>
    </row>
    <row r="3764" spans="1:39" x14ac:dyDescent="0.35">
      <c r="A3764">
        <v>3760</v>
      </c>
      <c r="B3764">
        <v>3761</v>
      </c>
      <c r="F3764" s="63"/>
      <c r="G3764" s="63"/>
      <c r="H3764" t="s">
        <v>78</v>
      </c>
      <c r="I3764" s="64">
        <v>0</v>
      </c>
      <c r="N3764" s="4"/>
      <c r="AG3764" t="s">
        <v>3471</v>
      </c>
      <c r="AM3764" s="1"/>
    </row>
    <row r="3765" spans="1:39" x14ac:dyDescent="0.35">
      <c r="A3765">
        <v>3761</v>
      </c>
      <c r="B3765">
        <v>3762</v>
      </c>
      <c r="F3765" s="63"/>
      <c r="G3765" s="63"/>
      <c r="H3765" t="s">
        <v>78</v>
      </c>
      <c r="I3765" s="64">
        <v>0</v>
      </c>
      <c r="N3765" s="4"/>
      <c r="AG3765" t="s">
        <v>3472</v>
      </c>
      <c r="AM3765" s="1"/>
    </row>
    <row r="3766" spans="1:39" x14ac:dyDescent="0.35">
      <c r="A3766">
        <v>3762</v>
      </c>
      <c r="B3766">
        <v>3763</v>
      </c>
      <c r="F3766" s="63"/>
      <c r="G3766" s="63"/>
      <c r="H3766" t="s">
        <v>78</v>
      </c>
      <c r="I3766" s="64">
        <v>0</v>
      </c>
      <c r="N3766" s="4"/>
      <c r="AG3766" t="s">
        <v>3473</v>
      </c>
      <c r="AM3766" s="1"/>
    </row>
    <row r="3767" spans="1:39" x14ac:dyDescent="0.35">
      <c r="A3767">
        <v>3763</v>
      </c>
      <c r="B3767">
        <v>3764</v>
      </c>
      <c r="F3767" s="63"/>
      <c r="G3767" s="63"/>
      <c r="H3767" t="s">
        <v>78</v>
      </c>
      <c r="I3767" s="64">
        <v>0</v>
      </c>
      <c r="N3767" s="4"/>
      <c r="AG3767" t="s">
        <v>3474</v>
      </c>
      <c r="AM3767" s="1"/>
    </row>
    <row r="3768" spans="1:39" x14ac:dyDescent="0.35">
      <c r="A3768">
        <v>3764</v>
      </c>
      <c r="B3768">
        <v>3765</v>
      </c>
      <c r="F3768" s="63"/>
      <c r="G3768" s="63"/>
      <c r="H3768" t="s">
        <v>78</v>
      </c>
      <c r="I3768" s="64">
        <v>0</v>
      </c>
      <c r="N3768" s="4"/>
      <c r="AG3768" t="s">
        <v>3475</v>
      </c>
      <c r="AM3768" s="1"/>
    </row>
    <row r="3769" spans="1:39" x14ac:dyDescent="0.35">
      <c r="A3769">
        <v>3765</v>
      </c>
      <c r="B3769">
        <v>3766</v>
      </c>
      <c r="F3769" s="63"/>
      <c r="G3769" s="63"/>
      <c r="H3769" t="s">
        <v>78</v>
      </c>
      <c r="I3769" s="64">
        <v>0</v>
      </c>
      <c r="N3769" s="4"/>
      <c r="AG3769" t="s">
        <v>3476</v>
      </c>
      <c r="AM3769" s="1"/>
    </row>
    <row r="3770" spans="1:39" x14ac:dyDescent="0.35">
      <c r="A3770">
        <v>3766</v>
      </c>
      <c r="B3770">
        <v>3767</v>
      </c>
      <c r="F3770" s="63"/>
      <c r="G3770" s="63"/>
      <c r="H3770" t="s">
        <v>78</v>
      </c>
      <c r="I3770" s="64">
        <v>0</v>
      </c>
      <c r="N3770" s="4"/>
      <c r="AG3770" t="s">
        <v>3477</v>
      </c>
      <c r="AM3770" s="1"/>
    </row>
    <row r="3771" spans="1:39" x14ac:dyDescent="0.35">
      <c r="A3771">
        <v>3767</v>
      </c>
      <c r="B3771">
        <v>3768</v>
      </c>
      <c r="F3771" s="63"/>
      <c r="G3771" s="63"/>
      <c r="H3771" t="s">
        <v>78</v>
      </c>
      <c r="I3771" s="64">
        <v>0</v>
      </c>
      <c r="N3771" s="4"/>
      <c r="AG3771" t="s">
        <v>3478</v>
      </c>
      <c r="AM3771" s="1"/>
    </row>
    <row r="3772" spans="1:39" x14ac:dyDescent="0.35">
      <c r="A3772">
        <v>3768</v>
      </c>
      <c r="B3772">
        <v>3769</v>
      </c>
      <c r="F3772" s="63"/>
      <c r="G3772" s="63"/>
      <c r="H3772" t="s">
        <v>78</v>
      </c>
      <c r="I3772" s="64">
        <v>0</v>
      </c>
      <c r="N3772" s="4"/>
      <c r="AG3772" t="s">
        <v>3479</v>
      </c>
      <c r="AM3772" s="1"/>
    </row>
    <row r="3773" spans="1:39" x14ac:dyDescent="0.35">
      <c r="A3773">
        <v>3769</v>
      </c>
      <c r="B3773">
        <v>3770</v>
      </c>
      <c r="F3773" s="63"/>
      <c r="G3773" s="63"/>
      <c r="H3773" t="s">
        <v>78</v>
      </c>
      <c r="I3773" s="64">
        <v>0</v>
      </c>
      <c r="N3773" s="4"/>
      <c r="AG3773" t="s">
        <v>3480</v>
      </c>
      <c r="AM3773" s="1"/>
    </row>
    <row r="3774" spans="1:39" x14ac:dyDescent="0.35">
      <c r="A3774">
        <v>3770</v>
      </c>
      <c r="B3774">
        <v>3771</v>
      </c>
      <c r="F3774" s="63"/>
      <c r="G3774" s="63"/>
      <c r="H3774" t="s">
        <v>78</v>
      </c>
      <c r="I3774" s="64">
        <v>0</v>
      </c>
      <c r="N3774" s="4"/>
      <c r="AG3774" t="s">
        <v>3481</v>
      </c>
      <c r="AM3774" s="1"/>
    </row>
    <row r="3775" spans="1:39" x14ac:dyDescent="0.35">
      <c r="A3775">
        <v>3771</v>
      </c>
      <c r="B3775">
        <v>3772</v>
      </c>
      <c r="F3775" s="63"/>
      <c r="G3775" s="63"/>
      <c r="H3775" t="s">
        <v>78</v>
      </c>
      <c r="I3775" s="64">
        <v>0</v>
      </c>
      <c r="N3775" s="4"/>
      <c r="AG3775" t="s">
        <v>3482</v>
      </c>
      <c r="AM3775" s="1"/>
    </row>
    <row r="3776" spans="1:39" x14ac:dyDescent="0.35">
      <c r="A3776">
        <v>3772</v>
      </c>
      <c r="B3776">
        <v>3773</v>
      </c>
      <c r="F3776" s="63"/>
      <c r="G3776" s="63"/>
      <c r="H3776" t="s">
        <v>78</v>
      </c>
      <c r="I3776" s="64">
        <v>0</v>
      </c>
      <c r="N3776" s="4"/>
      <c r="AG3776" t="s">
        <v>3483</v>
      </c>
      <c r="AM3776" s="1"/>
    </row>
    <row r="3777" spans="1:39" x14ac:dyDescent="0.35">
      <c r="A3777">
        <v>3773</v>
      </c>
      <c r="B3777">
        <v>3774</v>
      </c>
      <c r="F3777" s="63"/>
      <c r="G3777" s="63"/>
      <c r="H3777" t="s">
        <v>78</v>
      </c>
      <c r="I3777" s="64">
        <v>0</v>
      </c>
      <c r="N3777" s="4"/>
      <c r="AG3777" t="s">
        <v>3484</v>
      </c>
      <c r="AM3777" s="1"/>
    </row>
    <row r="3778" spans="1:39" x14ac:dyDescent="0.35">
      <c r="A3778">
        <v>3774</v>
      </c>
      <c r="B3778">
        <v>3775</v>
      </c>
      <c r="F3778" s="63"/>
      <c r="G3778" s="63"/>
      <c r="H3778" t="s">
        <v>78</v>
      </c>
      <c r="I3778" s="64">
        <v>0</v>
      </c>
      <c r="N3778" s="4"/>
      <c r="AG3778" t="s">
        <v>3485</v>
      </c>
      <c r="AM3778" s="1"/>
    </row>
    <row r="3779" spans="1:39" x14ac:dyDescent="0.35">
      <c r="A3779">
        <v>3775</v>
      </c>
      <c r="B3779">
        <v>3776</v>
      </c>
      <c r="F3779" s="63"/>
      <c r="G3779" s="63"/>
      <c r="H3779" t="s">
        <v>78</v>
      </c>
      <c r="I3779" s="64">
        <v>0</v>
      </c>
      <c r="N3779" s="4"/>
      <c r="AG3779" t="s">
        <v>3486</v>
      </c>
      <c r="AM3779" s="1"/>
    </row>
    <row r="3780" spans="1:39" x14ac:dyDescent="0.35">
      <c r="A3780">
        <v>3776</v>
      </c>
      <c r="B3780">
        <v>3777</v>
      </c>
      <c r="F3780" s="63"/>
      <c r="G3780" s="63"/>
      <c r="H3780" t="s">
        <v>78</v>
      </c>
      <c r="I3780" s="64">
        <v>0</v>
      </c>
      <c r="N3780" s="4"/>
      <c r="AG3780" t="s">
        <v>3487</v>
      </c>
      <c r="AM3780" s="1"/>
    </row>
    <row r="3781" spans="1:39" x14ac:dyDescent="0.35">
      <c r="A3781">
        <v>3777</v>
      </c>
      <c r="B3781">
        <v>3778</v>
      </c>
      <c r="F3781" s="63"/>
      <c r="G3781" s="63"/>
      <c r="H3781" t="s">
        <v>78</v>
      </c>
      <c r="I3781" s="64">
        <v>0</v>
      </c>
      <c r="N3781" s="4"/>
      <c r="AG3781" t="s">
        <v>3488</v>
      </c>
      <c r="AM3781" s="1"/>
    </row>
    <row r="3782" spans="1:39" x14ac:dyDescent="0.35">
      <c r="A3782">
        <v>3778</v>
      </c>
      <c r="B3782">
        <v>3779</v>
      </c>
      <c r="F3782" s="63"/>
      <c r="G3782" s="63"/>
      <c r="H3782" t="s">
        <v>78</v>
      </c>
      <c r="I3782" s="64">
        <v>0</v>
      </c>
      <c r="N3782" s="4"/>
      <c r="AG3782" t="s">
        <v>3489</v>
      </c>
      <c r="AM3782" s="1"/>
    </row>
    <row r="3783" spans="1:39" x14ac:dyDescent="0.35">
      <c r="A3783">
        <v>3779</v>
      </c>
      <c r="B3783">
        <v>3780</v>
      </c>
      <c r="F3783" s="63"/>
      <c r="G3783" s="63"/>
      <c r="H3783" t="s">
        <v>78</v>
      </c>
      <c r="I3783" s="64">
        <v>0</v>
      </c>
      <c r="N3783" s="4"/>
      <c r="AG3783" t="s">
        <v>3490</v>
      </c>
      <c r="AM3783" s="1"/>
    </row>
    <row r="3784" spans="1:39" x14ac:dyDescent="0.35">
      <c r="A3784">
        <v>3780</v>
      </c>
      <c r="B3784">
        <v>3781</v>
      </c>
      <c r="F3784" s="63"/>
      <c r="G3784" s="63"/>
      <c r="H3784" t="s">
        <v>78</v>
      </c>
      <c r="I3784" s="64">
        <v>0</v>
      </c>
      <c r="N3784" s="4"/>
      <c r="AG3784" t="s">
        <v>3491</v>
      </c>
      <c r="AM3784" s="1"/>
    </row>
    <row r="3785" spans="1:39" x14ac:dyDescent="0.35">
      <c r="A3785">
        <v>3781</v>
      </c>
      <c r="B3785">
        <v>3782</v>
      </c>
      <c r="F3785" s="63"/>
      <c r="G3785" s="63"/>
      <c r="H3785" t="s">
        <v>78</v>
      </c>
      <c r="I3785" s="64">
        <v>0</v>
      </c>
      <c r="N3785" s="4"/>
      <c r="AG3785" t="s">
        <v>3492</v>
      </c>
      <c r="AM3785" s="1"/>
    </row>
    <row r="3786" spans="1:39" x14ac:dyDescent="0.35">
      <c r="A3786">
        <v>3782</v>
      </c>
      <c r="B3786">
        <v>3783</v>
      </c>
      <c r="F3786" s="63"/>
      <c r="G3786" s="63"/>
      <c r="H3786" t="s">
        <v>78</v>
      </c>
      <c r="I3786" s="64">
        <v>0</v>
      </c>
      <c r="N3786" s="4"/>
      <c r="AG3786" t="s">
        <v>3493</v>
      </c>
      <c r="AM3786" s="1"/>
    </row>
    <row r="3787" spans="1:39" x14ac:dyDescent="0.35">
      <c r="A3787">
        <v>3783</v>
      </c>
      <c r="B3787">
        <v>3784</v>
      </c>
      <c r="F3787" s="63"/>
      <c r="G3787" s="63"/>
      <c r="H3787" t="s">
        <v>78</v>
      </c>
      <c r="I3787" s="64">
        <v>0</v>
      </c>
      <c r="N3787" s="4"/>
      <c r="AG3787" t="s">
        <v>3494</v>
      </c>
      <c r="AM3787" s="1"/>
    </row>
    <row r="3788" spans="1:39" x14ac:dyDescent="0.35">
      <c r="A3788">
        <v>3784</v>
      </c>
      <c r="B3788">
        <v>3785</v>
      </c>
      <c r="F3788" s="63"/>
      <c r="G3788" s="63"/>
      <c r="H3788" t="s">
        <v>78</v>
      </c>
      <c r="I3788" s="64">
        <v>0</v>
      </c>
      <c r="N3788" s="4"/>
      <c r="AG3788" t="s">
        <v>3495</v>
      </c>
      <c r="AM3788" s="1"/>
    </row>
    <row r="3789" spans="1:39" x14ac:dyDescent="0.35">
      <c r="A3789">
        <v>3785</v>
      </c>
      <c r="B3789">
        <v>3786</v>
      </c>
      <c r="F3789" s="63"/>
      <c r="G3789" s="63"/>
      <c r="H3789" t="s">
        <v>78</v>
      </c>
      <c r="I3789" s="64">
        <v>0</v>
      </c>
      <c r="N3789" s="4"/>
      <c r="AG3789" t="s">
        <v>3496</v>
      </c>
      <c r="AM3789" s="1"/>
    </row>
    <row r="3790" spans="1:39" x14ac:dyDescent="0.35">
      <c r="A3790">
        <v>3786</v>
      </c>
      <c r="B3790">
        <v>3787</v>
      </c>
      <c r="F3790" s="63"/>
      <c r="G3790" s="63"/>
      <c r="H3790" t="s">
        <v>78</v>
      </c>
      <c r="I3790" s="64">
        <v>0</v>
      </c>
      <c r="N3790" s="4"/>
      <c r="AG3790" t="s">
        <v>3497</v>
      </c>
      <c r="AM3790" s="1"/>
    </row>
    <row r="3791" spans="1:39" x14ac:dyDescent="0.35">
      <c r="A3791">
        <v>3787</v>
      </c>
      <c r="B3791">
        <v>3788</v>
      </c>
      <c r="F3791" s="63"/>
      <c r="G3791" s="63"/>
      <c r="H3791" t="s">
        <v>78</v>
      </c>
      <c r="I3791" s="64">
        <v>0</v>
      </c>
      <c r="N3791" s="4"/>
      <c r="AG3791" t="s">
        <v>3498</v>
      </c>
      <c r="AM3791" s="1"/>
    </row>
    <row r="3792" spans="1:39" x14ac:dyDescent="0.35">
      <c r="A3792">
        <v>3788</v>
      </c>
      <c r="B3792">
        <v>3789</v>
      </c>
      <c r="F3792" s="63"/>
      <c r="G3792" s="63"/>
      <c r="H3792" t="s">
        <v>78</v>
      </c>
      <c r="I3792" s="64">
        <v>0</v>
      </c>
      <c r="N3792" s="4"/>
      <c r="AG3792" t="s">
        <v>3499</v>
      </c>
      <c r="AM3792" s="1"/>
    </row>
    <row r="3793" spans="1:39" x14ac:dyDescent="0.35">
      <c r="A3793">
        <v>3789</v>
      </c>
      <c r="B3793">
        <v>3790</v>
      </c>
      <c r="F3793" s="63"/>
      <c r="G3793" s="63"/>
      <c r="H3793" t="s">
        <v>78</v>
      </c>
      <c r="I3793" s="64">
        <v>0</v>
      </c>
      <c r="N3793" s="4"/>
      <c r="AG3793" t="s">
        <v>3500</v>
      </c>
      <c r="AM3793" s="1"/>
    </row>
    <row r="3794" spans="1:39" x14ac:dyDescent="0.35">
      <c r="A3794">
        <v>3790</v>
      </c>
      <c r="B3794">
        <v>3791</v>
      </c>
      <c r="F3794" s="63"/>
      <c r="G3794" s="63"/>
      <c r="H3794" t="s">
        <v>78</v>
      </c>
      <c r="I3794" s="64">
        <v>0</v>
      </c>
      <c r="N3794" s="4"/>
      <c r="AG3794" t="s">
        <v>3501</v>
      </c>
      <c r="AM3794" s="1"/>
    </row>
    <row r="3795" spans="1:39" x14ac:dyDescent="0.35">
      <c r="A3795">
        <v>3791</v>
      </c>
      <c r="B3795">
        <v>3792</v>
      </c>
      <c r="F3795" s="63"/>
      <c r="G3795" s="63"/>
      <c r="H3795" t="s">
        <v>78</v>
      </c>
      <c r="I3795" s="64">
        <v>0</v>
      </c>
      <c r="N3795" s="4"/>
      <c r="AG3795" t="s">
        <v>3502</v>
      </c>
      <c r="AM3795" s="1"/>
    </row>
    <row r="3796" spans="1:39" x14ac:dyDescent="0.35">
      <c r="A3796">
        <v>3792</v>
      </c>
      <c r="B3796">
        <v>3793</v>
      </c>
      <c r="F3796" s="63"/>
      <c r="G3796" s="63"/>
      <c r="H3796" t="s">
        <v>78</v>
      </c>
      <c r="I3796" s="64">
        <v>0</v>
      </c>
      <c r="N3796" s="4"/>
      <c r="AG3796" t="s">
        <v>3503</v>
      </c>
      <c r="AM3796" s="1"/>
    </row>
    <row r="3797" spans="1:39" x14ac:dyDescent="0.35">
      <c r="A3797">
        <v>3793</v>
      </c>
      <c r="B3797">
        <v>3794</v>
      </c>
      <c r="F3797" s="63"/>
      <c r="G3797" s="63"/>
      <c r="H3797" t="s">
        <v>78</v>
      </c>
      <c r="I3797" s="64">
        <v>0</v>
      </c>
      <c r="N3797" s="4"/>
      <c r="AG3797" t="s">
        <v>3504</v>
      </c>
      <c r="AM3797" s="1"/>
    </row>
    <row r="3798" spans="1:39" x14ac:dyDescent="0.35">
      <c r="A3798">
        <v>3794</v>
      </c>
      <c r="B3798">
        <v>3795</v>
      </c>
      <c r="F3798" s="63"/>
      <c r="G3798" s="63"/>
      <c r="H3798" t="s">
        <v>78</v>
      </c>
      <c r="I3798" s="64">
        <v>0</v>
      </c>
      <c r="N3798" s="4"/>
      <c r="AG3798" t="s">
        <v>3505</v>
      </c>
      <c r="AM3798" s="1"/>
    </row>
    <row r="3799" spans="1:39" x14ac:dyDescent="0.35">
      <c r="A3799">
        <v>3795</v>
      </c>
      <c r="B3799">
        <v>3796</v>
      </c>
      <c r="F3799" s="63"/>
      <c r="G3799" s="63"/>
      <c r="H3799" t="s">
        <v>78</v>
      </c>
      <c r="I3799" s="64">
        <v>0</v>
      </c>
      <c r="N3799" s="4"/>
      <c r="AG3799" t="s">
        <v>3506</v>
      </c>
      <c r="AM3799" s="1"/>
    </row>
    <row r="3800" spans="1:39" x14ac:dyDescent="0.35">
      <c r="A3800">
        <v>3796</v>
      </c>
      <c r="B3800">
        <v>3797</v>
      </c>
      <c r="F3800" s="63"/>
      <c r="G3800" s="63"/>
      <c r="H3800" t="s">
        <v>78</v>
      </c>
      <c r="I3800" s="64">
        <v>0</v>
      </c>
      <c r="N3800" s="4"/>
      <c r="AG3800" t="s">
        <v>3507</v>
      </c>
      <c r="AM3800" s="1"/>
    </row>
    <row r="3801" spans="1:39" x14ac:dyDescent="0.35">
      <c r="A3801">
        <v>3797</v>
      </c>
      <c r="B3801">
        <v>3798</v>
      </c>
      <c r="F3801" s="63"/>
      <c r="G3801" s="63"/>
      <c r="H3801" t="s">
        <v>78</v>
      </c>
      <c r="I3801" s="64">
        <v>0</v>
      </c>
      <c r="N3801" s="4"/>
      <c r="AG3801" t="s">
        <v>3508</v>
      </c>
      <c r="AM3801" s="1"/>
    </row>
    <row r="3802" spans="1:39" x14ac:dyDescent="0.35">
      <c r="A3802">
        <v>3798</v>
      </c>
      <c r="B3802">
        <v>3799</v>
      </c>
      <c r="F3802" s="63"/>
      <c r="G3802" s="63"/>
      <c r="H3802" t="s">
        <v>78</v>
      </c>
      <c r="I3802" s="64">
        <v>0</v>
      </c>
      <c r="N3802" s="4"/>
      <c r="AG3802" t="s">
        <v>3509</v>
      </c>
      <c r="AM3802" s="1"/>
    </row>
    <row r="3803" spans="1:39" x14ac:dyDescent="0.35">
      <c r="A3803">
        <v>3799</v>
      </c>
      <c r="B3803">
        <v>3800</v>
      </c>
      <c r="F3803" s="63"/>
      <c r="G3803" s="63"/>
      <c r="H3803" t="s">
        <v>78</v>
      </c>
      <c r="I3803" s="64">
        <v>0</v>
      </c>
      <c r="N3803" s="4"/>
      <c r="AG3803" t="s">
        <v>3510</v>
      </c>
      <c r="AM3803" s="1"/>
    </row>
    <row r="3804" spans="1:39" x14ac:dyDescent="0.35">
      <c r="A3804">
        <v>3800</v>
      </c>
      <c r="B3804">
        <v>3801</v>
      </c>
      <c r="F3804" s="63"/>
      <c r="G3804" s="63"/>
      <c r="H3804" t="s">
        <v>78</v>
      </c>
      <c r="I3804" s="64">
        <v>0</v>
      </c>
      <c r="N3804" s="4"/>
      <c r="AG3804" t="s">
        <v>3511</v>
      </c>
      <c r="AM3804" s="1"/>
    </row>
    <row r="3805" spans="1:39" x14ac:dyDescent="0.35">
      <c r="A3805">
        <v>3801</v>
      </c>
      <c r="B3805">
        <v>3802</v>
      </c>
      <c r="F3805" s="63"/>
      <c r="G3805" s="63"/>
      <c r="H3805" t="s">
        <v>78</v>
      </c>
      <c r="I3805" s="64">
        <v>0</v>
      </c>
      <c r="N3805" s="4"/>
      <c r="AG3805" t="s">
        <v>3512</v>
      </c>
      <c r="AM3805" s="1"/>
    </row>
    <row r="3806" spans="1:39" x14ac:dyDescent="0.35">
      <c r="A3806">
        <v>3802</v>
      </c>
      <c r="B3806">
        <v>3803</v>
      </c>
      <c r="F3806" s="63"/>
      <c r="G3806" s="63"/>
      <c r="H3806" t="s">
        <v>78</v>
      </c>
      <c r="I3806" s="64">
        <v>0</v>
      </c>
      <c r="N3806" s="4"/>
      <c r="AG3806" t="s">
        <v>3513</v>
      </c>
      <c r="AM3806" s="1"/>
    </row>
    <row r="3807" spans="1:39" x14ac:dyDescent="0.35">
      <c r="A3807">
        <v>3803</v>
      </c>
      <c r="B3807">
        <v>3804</v>
      </c>
      <c r="F3807" s="63"/>
      <c r="G3807" s="63"/>
      <c r="H3807" t="s">
        <v>78</v>
      </c>
      <c r="I3807" s="64">
        <v>0</v>
      </c>
      <c r="N3807" s="4"/>
      <c r="AG3807" t="s">
        <v>3514</v>
      </c>
      <c r="AM3807" s="1"/>
    </row>
    <row r="3808" spans="1:39" x14ac:dyDescent="0.35">
      <c r="A3808">
        <v>3804</v>
      </c>
      <c r="B3808">
        <v>3805</v>
      </c>
      <c r="F3808" s="63"/>
      <c r="G3808" s="63"/>
      <c r="H3808" t="s">
        <v>78</v>
      </c>
      <c r="I3808" s="64">
        <v>0</v>
      </c>
      <c r="N3808" s="4"/>
      <c r="AG3808" t="s">
        <v>3515</v>
      </c>
      <c r="AM3808" s="1"/>
    </row>
    <row r="3809" spans="1:39" x14ac:dyDescent="0.35">
      <c r="A3809">
        <v>3805</v>
      </c>
      <c r="B3809">
        <v>3806</v>
      </c>
      <c r="F3809" s="63"/>
      <c r="G3809" s="63"/>
      <c r="H3809" t="s">
        <v>78</v>
      </c>
      <c r="I3809" s="64">
        <v>0</v>
      </c>
      <c r="N3809" s="4"/>
      <c r="AG3809" t="s">
        <v>3516</v>
      </c>
      <c r="AM3809" s="1"/>
    </row>
    <row r="3810" spans="1:39" x14ac:dyDescent="0.35">
      <c r="A3810">
        <v>3806</v>
      </c>
      <c r="B3810">
        <v>3807</v>
      </c>
      <c r="F3810" s="63"/>
      <c r="G3810" s="63"/>
      <c r="H3810" t="s">
        <v>78</v>
      </c>
      <c r="I3810" s="64">
        <v>0</v>
      </c>
      <c r="N3810" s="4"/>
      <c r="AG3810" t="s">
        <v>3517</v>
      </c>
      <c r="AM3810" s="1"/>
    </row>
    <row r="3811" spans="1:39" x14ac:dyDescent="0.35">
      <c r="A3811">
        <v>3807</v>
      </c>
      <c r="B3811">
        <v>3808</v>
      </c>
      <c r="F3811" s="63"/>
      <c r="G3811" s="63"/>
      <c r="H3811" t="s">
        <v>78</v>
      </c>
      <c r="I3811" s="64">
        <v>0</v>
      </c>
      <c r="N3811" s="4"/>
      <c r="AG3811" t="s">
        <v>3518</v>
      </c>
      <c r="AM3811" s="1"/>
    </row>
    <row r="3812" spans="1:39" x14ac:dyDescent="0.35">
      <c r="A3812">
        <v>3808</v>
      </c>
      <c r="B3812">
        <v>3809</v>
      </c>
      <c r="F3812" s="63"/>
      <c r="G3812" s="63"/>
      <c r="H3812" t="s">
        <v>78</v>
      </c>
      <c r="I3812" s="64">
        <v>0</v>
      </c>
      <c r="N3812" s="4"/>
      <c r="AG3812" t="s">
        <v>3519</v>
      </c>
      <c r="AM3812" s="1"/>
    </row>
    <row r="3813" spans="1:39" x14ac:dyDescent="0.35">
      <c r="A3813">
        <v>3809</v>
      </c>
      <c r="B3813">
        <v>3810</v>
      </c>
      <c r="F3813" s="63"/>
      <c r="G3813" s="63"/>
      <c r="H3813" t="s">
        <v>78</v>
      </c>
      <c r="I3813" s="64">
        <v>0</v>
      </c>
      <c r="N3813" s="4"/>
      <c r="AG3813" t="s">
        <v>3520</v>
      </c>
      <c r="AM3813" s="1"/>
    </row>
    <row r="3814" spans="1:39" x14ac:dyDescent="0.35">
      <c r="A3814">
        <v>3810</v>
      </c>
      <c r="B3814">
        <v>3811</v>
      </c>
      <c r="F3814" s="63"/>
      <c r="G3814" s="63"/>
      <c r="H3814" t="s">
        <v>26</v>
      </c>
      <c r="I3814" s="64"/>
      <c r="N3814" s="4"/>
      <c r="AG3814" t="s">
        <v>3521</v>
      </c>
      <c r="AM3814" s="1"/>
    </row>
    <row r="3815" spans="1:39" x14ac:dyDescent="0.35">
      <c r="A3815">
        <v>3811</v>
      </c>
      <c r="B3815">
        <v>3812</v>
      </c>
      <c r="F3815" s="63"/>
      <c r="G3815" s="63"/>
      <c r="H3815" t="s">
        <v>26</v>
      </c>
      <c r="I3815" s="64"/>
      <c r="N3815" s="4"/>
      <c r="AG3815" t="s">
        <v>3522</v>
      </c>
      <c r="AM3815" s="1"/>
    </row>
    <row r="3816" spans="1:39" x14ac:dyDescent="0.35">
      <c r="A3816">
        <v>3812</v>
      </c>
      <c r="B3816">
        <v>3813</v>
      </c>
      <c r="F3816" s="63"/>
      <c r="G3816" s="63"/>
      <c r="H3816" t="s">
        <v>26</v>
      </c>
      <c r="I3816" s="64"/>
      <c r="N3816" s="4"/>
      <c r="AG3816" t="s">
        <v>3523</v>
      </c>
      <c r="AM3816" s="1"/>
    </row>
    <row r="3817" spans="1:39" x14ac:dyDescent="0.35">
      <c r="A3817">
        <v>3813</v>
      </c>
      <c r="B3817">
        <v>3814</v>
      </c>
      <c r="F3817" s="63"/>
      <c r="G3817" s="63"/>
      <c r="H3817" t="s">
        <v>26</v>
      </c>
      <c r="I3817" s="64"/>
      <c r="N3817" s="4"/>
      <c r="AG3817" t="s">
        <v>3524</v>
      </c>
      <c r="AM3817" s="1">
        <f t="shared" ref="AM3817:AM3880" si="47">HYPERLINK("E:\CAFNEC_GBRF\2023\JohnstoneRiver\Frames_for_Analysis\" &amp; F3818, F3818)</f>
        <v>0</v>
      </c>
    </row>
    <row r="3818" spans="1:39" x14ac:dyDescent="0.35">
      <c r="A3818">
        <v>3814</v>
      </c>
      <c r="B3818">
        <v>3815</v>
      </c>
      <c r="F3818" s="63"/>
      <c r="G3818" s="63"/>
      <c r="H3818" t="s">
        <v>26</v>
      </c>
      <c r="I3818" s="64"/>
      <c r="N3818" s="4"/>
      <c r="AG3818" t="s">
        <v>3525</v>
      </c>
      <c r="AM3818" s="1">
        <f t="shared" si="47"/>
        <v>0</v>
      </c>
    </row>
    <row r="3819" spans="1:39" x14ac:dyDescent="0.35">
      <c r="A3819">
        <v>3815</v>
      </c>
      <c r="B3819">
        <v>3816</v>
      </c>
      <c r="F3819" s="63"/>
      <c r="G3819" s="63"/>
      <c r="H3819" t="s">
        <v>26</v>
      </c>
      <c r="I3819" s="64"/>
      <c r="N3819" s="4"/>
      <c r="AG3819" t="s">
        <v>3526</v>
      </c>
      <c r="AM3819" s="1">
        <f t="shared" si="47"/>
        <v>0</v>
      </c>
    </row>
    <row r="3820" spans="1:39" x14ac:dyDescent="0.35">
      <c r="A3820">
        <v>3816</v>
      </c>
      <c r="B3820">
        <v>3817</v>
      </c>
      <c r="F3820" s="63"/>
      <c r="G3820" s="63"/>
      <c r="H3820" t="s">
        <v>26</v>
      </c>
      <c r="I3820" s="64"/>
      <c r="N3820" s="4"/>
      <c r="AG3820" t="s">
        <v>3527</v>
      </c>
      <c r="AM3820" s="1">
        <f t="shared" si="47"/>
        <v>0</v>
      </c>
    </row>
    <row r="3821" spans="1:39" x14ac:dyDescent="0.35">
      <c r="A3821">
        <v>3817</v>
      </c>
      <c r="B3821">
        <v>3818</v>
      </c>
      <c r="F3821" s="63"/>
      <c r="G3821" s="63"/>
      <c r="H3821" t="s">
        <v>26</v>
      </c>
      <c r="I3821" s="64"/>
      <c r="N3821" s="4"/>
      <c r="AG3821" t="s">
        <v>3528</v>
      </c>
      <c r="AM3821" s="1">
        <f t="shared" si="47"/>
        <v>0</v>
      </c>
    </row>
    <row r="3822" spans="1:39" x14ac:dyDescent="0.35">
      <c r="A3822">
        <v>3818</v>
      </c>
      <c r="B3822">
        <v>3819</v>
      </c>
      <c r="F3822" s="63"/>
      <c r="G3822" s="63"/>
      <c r="H3822" t="s">
        <v>26</v>
      </c>
      <c r="I3822" s="64"/>
      <c r="N3822" s="4"/>
      <c r="AG3822" t="s">
        <v>3529</v>
      </c>
      <c r="AM3822" s="1">
        <f t="shared" si="47"/>
        <v>0</v>
      </c>
    </row>
    <row r="3823" spans="1:39" x14ac:dyDescent="0.35">
      <c r="A3823">
        <v>3819</v>
      </c>
      <c r="B3823">
        <v>3820</v>
      </c>
      <c r="F3823" s="63"/>
      <c r="G3823" s="63"/>
      <c r="H3823" t="s">
        <v>26</v>
      </c>
      <c r="I3823" s="64"/>
      <c r="N3823" s="4"/>
      <c r="AG3823" t="s">
        <v>3530</v>
      </c>
      <c r="AM3823" s="1">
        <f t="shared" si="47"/>
        <v>0</v>
      </c>
    </row>
    <row r="3824" spans="1:39" x14ac:dyDescent="0.35">
      <c r="A3824">
        <v>3820</v>
      </c>
      <c r="B3824">
        <v>3821</v>
      </c>
      <c r="F3824" s="63"/>
      <c r="G3824" s="63"/>
      <c r="H3824" t="s">
        <v>26</v>
      </c>
      <c r="I3824" s="64"/>
      <c r="N3824" s="4"/>
      <c r="AG3824" t="s">
        <v>3531</v>
      </c>
      <c r="AM3824" s="1">
        <f t="shared" si="47"/>
        <v>0</v>
      </c>
    </row>
    <row r="3825" spans="1:39" x14ac:dyDescent="0.35">
      <c r="A3825">
        <v>3821</v>
      </c>
      <c r="B3825">
        <v>3822</v>
      </c>
      <c r="F3825" s="63"/>
      <c r="G3825" s="63"/>
      <c r="H3825" t="s">
        <v>26</v>
      </c>
      <c r="I3825" s="64"/>
      <c r="N3825" s="4"/>
      <c r="AG3825" t="s">
        <v>3532</v>
      </c>
      <c r="AM3825" s="1">
        <f t="shared" si="47"/>
        <v>0</v>
      </c>
    </row>
    <row r="3826" spans="1:39" x14ac:dyDescent="0.35">
      <c r="A3826">
        <v>3822</v>
      </c>
      <c r="B3826">
        <v>3823</v>
      </c>
      <c r="F3826" s="63"/>
      <c r="G3826" s="63"/>
      <c r="H3826" t="s">
        <v>26</v>
      </c>
      <c r="I3826" s="64"/>
      <c r="N3826" s="4"/>
      <c r="AG3826" t="s">
        <v>3533</v>
      </c>
      <c r="AM3826" s="1">
        <f t="shared" si="47"/>
        <v>0</v>
      </c>
    </row>
    <row r="3827" spans="1:39" x14ac:dyDescent="0.35">
      <c r="A3827">
        <v>3823</v>
      </c>
      <c r="B3827">
        <v>3824</v>
      </c>
      <c r="F3827" s="63"/>
      <c r="G3827" s="63"/>
      <c r="H3827" t="s">
        <v>26</v>
      </c>
      <c r="I3827" s="64"/>
      <c r="N3827" s="4"/>
      <c r="AG3827" t="s">
        <v>3534</v>
      </c>
      <c r="AM3827" s="1">
        <f t="shared" si="47"/>
        <v>0</v>
      </c>
    </row>
    <row r="3828" spans="1:39" x14ac:dyDescent="0.35">
      <c r="A3828">
        <v>3824</v>
      </c>
      <c r="B3828">
        <v>3825</v>
      </c>
      <c r="F3828" s="63"/>
      <c r="G3828" s="63"/>
      <c r="H3828" t="s">
        <v>26</v>
      </c>
      <c r="I3828" s="64"/>
      <c r="N3828" s="4"/>
      <c r="AG3828" t="s">
        <v>3535</v>
      </c>
      <c r="AM3828" s="1">
        <f t="shared" si="47"/>
        <v>0</v>
      </c>
    </row>
    <row r="3829" spans="1:39" x14ac:dyDescent="0.35">
      <c r="A3829">
        <v>3825</v>
      </c>
      <c r="B3829">
        <v>3826</v>
      </c>
      <c r="F3829" s="63"/>
      <c r="G3829" s="63"/>
      <c r="H3829" t="s">
        <v>26</v>
      </c>
      <c r="I3829" s="64"/>
      <c r="N3829" s="4"/>
      <c r="AG3829" t="s">
        <v>3536</v>
      </c>
      <c r="AM3829" s="1">
        <f t="shared" si="47"/>
        <v>0</v>
      </c>
    </row>
    <row r="3830" spans="1:39" x14ac:dyDescent="0.35">
      <c r="A3830">
        <v>3826</v>
      </c>
      <c r="B3830">
        <v>3827</v>
      </c>
      <c r="F3830" s="63"/>
      <c r="G3830" s="63"/>
      <c r="H3830" t="s">
        <v>26</v>
      </c>
      <c r="I3830" s="64"/>
      <c r="N3830" s="4"/>
      <c r="AG3830" t="s">
        <v>3537</v>
      </c>
      <c r="AM3830" s="1">
        <f t="shared" si="47"/>
        <v>0</v>
      </c>
    </row>
    <row r="3831" spans="1:39" x14ac:dyDescent="0.35">
      <c r="A3831">
        <v>3827</v>
      </c>
      <c r="B3831">
        <v>3828</v>
      </c>
      <c r="F3831" s="63"/>
      <c r="G3831" s="63"/>
      <c r="H3831" t="s">
        <v>26</v>
      </c>
      <c r="I3831" s="64"/>
      <c r="N3831" s="4"/>
      <c r="AG3831" t="s">
        <v>3538</v>
      </c>
      <c r="AM3831" s="1">
        <f t="shared" si="47"/>
        <v>0</v>
      </c>
    </row>
    <row r="3832" spans="1:39" x14ac:dyDescent="0.35">
      <c r="A3832">
        <v>3828</v>
      </c>
      <c r="B3832">
        <v>3829</v>
      </c>
      <c r="F3832" s="63"/>
      <c r="G3832" s="63"/>
      <c r="H3832" t="s">
        <v>26</v>
      </c>
      <c r="I3832" s="64"/>
      <c r="N3832" s="4"/>
      <c r="AG3832" t="s">
        <v>3539</v>
      </c>
      <c r="AM3832" s="1">
        <f t="shared" si="47"/>
        <v>0</v>
      </c>
    </row>
    <row r="3833" spans="1:39" x14ac:dyDescent="0.35">
      <c r="A3833">
        <v>3829</v>
      </c>
      <c r="B3833">
        <v>3830</v>
      </c>
      <c r="F3833" s="63"/>
      <c r="G3833" s="63"/>
      <c r="H3833" t="s">
        <v>26</v>
      </c>
      <c r="I3833" s="64"/>
      <c r="N3833" s="4"/>
      <c r="AG3833" t="s">
        <v>3540</v>
      </c>
      <c r="AM3833" s="1">
        <f t="shared" si="47"/>
        <v>0</v>
      </c>
    </row>
    <row r="3834" spans="1:39" x14ac:dyDescent="0.35">
      <c r="A3834">
        <v>3830</v>
      </c>
      <c r="B3834">
        <v>3831</v>
      </c>
      <c r="F3834" s="63"/>
      <c r="G3834" s="63"/>
      <c r="H3834" t="s">
        <v>26</v>
      </c>
      <c r="I3834" s="64"/>
      <c r="N3834" s="4"/>
      <c r="AG3834" t="s">
        <v>3541</v>
      </c>
      <c r="AM3834" s="1">
        <f t="shared" si="47"/>
        <v>0</v>
      </c>
    </row>
    <row r="3835" spans="1:39" x14ac:dyDescent="0.35">
      <c r="A3835">
        <v>3831</v>
      </c>
      <c r="B3835">
        <v>3832</v>
      </c>
      <c r="F3835" s="63"/>
      <c r="G3835" s="63"/>
      <c r="H3835" t="s">
        <v>26</v>
      </c>
      <c r="I3835" s="64"/>
      <c r="N3835" s="4"/>
      <c r="AG3835" t="s">
        <v>3542</v>
      </c>
      <c r="AM3835" s="1">
        <f t="shared" si="47"/>
        <v>0</v>
      </c>
    </row>
    <row r="3836" spans="1:39" x14ac:dyDescent="0.35">
      <c r="A3836">
        <v>3832</v>
      </c>
      <c r="B3836">
        <v>3833</v>
      </c>
      <c r="F3836" s="63"/>
      <c r="G3836" s="63"/>
      <c r="H3836" t="s">
        <v>26</v>
      </c>
      <c r="I3836" s="64"/>
      <c r="N3836" s="4"/>
      <c r="AG3836" t="s">
        <v>3543</v>
      </c>
      <c r="AM3836" s="1">
        <f t="shared" si="47"/>
        <v>0</v>
      </c>
    </row>
    <row r="3837" spans="1:39" x14ac:dyDescent="0.35">
      <c r="A3837">
        <v>3833</v>
      </c>
      <c r="B3837">
        <v>3834</v>
      </c>
      <c r="F3837" s="63"/>
      <c r="G3837" s="63"/>
      <c r="H3837" t="s">
        <v>26</v>
      </c>
      <c r="I3837" s="64"/>
      <c r="N3837" s="4"/>
      <c r="AG3837" t="s">
        <v>3544</v>
      </c>
      <c r="AM3837" s="1">
        <f t="shared" si="47"/>
        <v>0</v>
      </c>
    </row>
    <row r="3838" spans="1:39" x14ac:dyDescent="0.35">
      <c r="A3838">
        <v>3834</v>
      </c>
      <c r="B3838">
        <v>3835</v>
      </c>
      <c r="F3838" s="63"/>
      <c r="G3838" s="63"/>
      <c r="H3838" t="s">
        <v>26</v>
      </c>
      <c r="I3838" s="64"/>
      <c r="N3838" s="4"/>
      <c r="AG3838" t="s">
        <v>3545</v>
      </c>
      <c r="AM3838" s="1">
        <f t="shared" si="47"/>
        <v>0</v>
      </c>
    </row>
    <row r="3839" spans="1:39" x14ac:dyDescent="0.35">
      <c r="A3839">
        <v>3835</v>
      </c>
      <c r="B3839">
        <v>3836</v>
      </c>
      <c r="F3839" s="63"/>
      <c r="G3839" s="63"/>
      <c r="H3839" t="s">
        <v>26</v>
      </c>
      <c r="I3839" s="64"/>
      <c r="N3839" s="4"/>
      <c r="AG3839" t="s">
        <v>3546</v>
      </c>
      <c r="AM3839" s="1">
        <f t="shared" si="47"/>
        <v>0</v>
      </c>
    </row>
    <row r="3840" spans="1:39" x14ac:dyDescent="0.35">
      <c r="A3840">
        <v>3836</v>
      </c>
      <c r="B3840">
        <v>3837</v>
      </c>
      <c r="F3840" s="63"/>
      <c r="G3840" s="63"/>
      <c r="H3840" t="s">
        <v>26</v>
      </c>
      <c r="I3840" s="64"/>
      <c r="N3840" s="4"/>
      <c r="AG3840" t="s">
        <v>3547</v>
      </c>
      <c r="AM3840" s="1">
        <f t="shared" si="47"/>
        <v>0</v>
      </c>
    </row>
    <row r="3841" spans="1:39" x14ac:dyDescent="0.35">
      <c r="A3841">
        <v>3837</v>
      </c>
      <c r="B3841">
        <v>3838</v>
      </c>
      <c r="F3841" s="63"/>
      <c r="G3841" s="63"/>
      <c r="H3841" t="s">
        <v>26</v>
      </c>
      <c r="I3841" s="64"/>
      <c r="N3841" s="4"/>
      <c r="AG3841" t="s">
        <v>3548</v>
      </c>
      <c r="AM3841" s="1">
        <f t="shared" si="47"/>
        <v>0</v>
      </c>
    </row>
    <row r="3842" spans="1:39" x14ac:dyDescent="0.35">
      <c r="A3842">
        <v>3838</v>
      </c>
      <c r="B3842">
        <v>3839</v>
      </c>
      <c r="F3842" s="63"/>
      <c r="G3842" s="63"/>
      <c r="H3842" t="s">
        <v>26</v>
      </c>
      <c r="I3842" s="64"/>
      <c r="N3842" s="4"/>
      <c r="AG3842" t="s">
        <v>3549</v>
      </c>
      <c r="AM3842" s="1">
        <f t="shared" si="47"/>
        <v>0</v>
      </c>
    </row>
    <row r="3843" spans="1:39" x14ac:dyDescent="0.35">
      <c r="A3843">
        <v>3839</v>
      </c>
      <c r="B3843">
        <v>3840</v>
      </c>
      <c r="F3843" s="63"/>
      <c r="G3843" s="63"/>
      <c r="H3843" t="s">
        <v>26</v>
      </c>
      <c r="I3843" s="64"/>
      <c r="N3843" s="4"/>
      <c r="AG3843" t="s">
        <v>3550</v>
      </c>
      <c r="AM3843" s="1">
        <f t="shared" si="47"/>
        <v>0</v>
      </c>
    </row>
    <row r="3844" spans="1:39" x14ac:dyDescent="0.35">
      <c r="A3844">
        <v>3840</v>
      </c>
      <c r="B3844">
        <v>3841</v>
      </c>
      <c r="F3844" s="63"/>
      <c r="G3844" s="63"/>
      <c r="H3844" t="s">
        <v>26</v>
      </c>
      <c r="I3844" s="64"/>
      <c r="N3844" s="4"/>
      <c r="AG3844" t="s">
        <v>3551</v>
      </c>
      <c r="AM3844" s="1">
        <f t="shared" si="47"/>
        <v>0</v>
      </c>
    </row>
    <row r="3845" spans="1:39" x14ac:dyDescent="0.35">
      <c r="A3845">
        <v>3841</v>
      </c>
      <c r="B3845">
        <v>3842</v>
      </c>
      <c r="F3845" s="63"/>
      <c r="G3845" s="63"/>
      <c r="H3845" t="s">
        <v>26</v>
      </c>
      <c r="I3845" s="64"/>
      <c r="N3845" s="4"/>
      <c r="AG3845" t="s">
        <v>3552</v>
      </c>
      <c r="AM3845" s="1">
        <f t="shared" si="47"/>
        <v>0</v>
      </c>
    </row>
    <row r="3846" spans="1:39" x14ac:dyDescent="0.35">
      <c r="A3846">
        <v>3842</v>
      </c>
      <c r="B3846">
        <v>3843</v>
      </c>
      <c r="F3846" s="63"/>
      <c r="G3846" s="63"/>
      <c r="H3846" t="s">
        <v>26</v>
      </c>
      <c r="I3846" s="64"/>
      <c r="N3846" s="4"/>
      <c r="AG3846" t="s">
        <v>3553</v>
      </c>
      <c r="AM3846" s="1">
        <f t="shared" si="47"/>
        <v>0</v>
      </c>
    </row>
    <row r="3847" spans="1:39" x14ac:dyDescent="0.35">
      <c r="A3847">
        <v>3843</v>
      </c>
      <c r="B3847">
        <v>3844</v>
      </c>
      <c r="F3847" s="63"/>
      <c r="G3847" s="63"/>
      <c r="H3847" t="s">
        <v>26</v>
      </c>
      <c r="I3847" s="64"/>
      <c r="N3847" s="4"/>
      <c r="AG3847" t="s">
        <v>3554</v>
      </c>
      <c r="AM3847" s="1">
        <f t="shared" si="47"/>
        <v>0</v>
      </c>
    </row>
    <row r="3848" spans="1:39" x14ac:dyDescent="0.35">
      <c r="A3848">
        <v>3844</v>
      </c>
      <c r="B3848">
        <v>3845</v>
      </c>
      <c r="F3848" s="63"/>
      <c r="G3848" s="63"/>
      <c r="H3848" t="s">
        <v>26</v>
      </c>
      <c r="I3848" s="64"/>
      <c r="N3848" s="4"/>
      <c r="AG3848" t="s">
        <v>3555</v>
      </c>
      <c r="AM3848" s="1">
        <f t="shared" si="47"/>
        <v>0</v>
      </c>
    </row>
    <row r="3849" spans="1:39" x14ac:dyDescent="0.35">
      <c r="A3849">
        <v>3845</v>
      </c>
      <c r="B3849">
        <v>3846</v>
      </c>
      <c r="F3849" s="63"/>
      <c r="G3849" s="63"/>
      <c r="H3849" t="s">
        <v>26</v>
      </c>
      <c r="I3849" s="64"/>
      <c r="N3849" s="4"/>
      <c r="AG3849" t="s">
        <v>3556</v>
      </c>
      <c r="AM3849" s="1">
        <f t="shared" si="47"/>
        <v>0</v>
      </c>
    </row>
    <row r="3850" spans="1:39" x14ac:dyDescent="0.35">
      <c r="A3850">
        <v>3846</v>
      </c>
      <c r="B3850">
        <v>3847</v>
      </c>
      <c r="F3850" s="63"/>
      <c r="G3850" s="63"/>
      <c r="H3850" t="s">
        <v>26</v>
      </c>
      <c r="I3850" s="64"/>
      <c r="N3850" s="4"/>
      <c r="AG3850" t="s">
        <v>3557</v>
      </c>
      <c r="AM3850" s="1">
        <f t="shared" si="47"/>
        <v>0</v>
      </c>
    </row>
    <row r="3851" spans="1:39" x14ac:dyDescent="0.35">
      <c r="A3851">
        <v>3847</v>
      </c>
      <c r="B3851">
        <v>3848</v>
      </c>
      <c r="F3851" s="63"/>
      <c r="G3851" s="63"/>
      <c r="H3851" t="s">
        <v>26</v>
      </c>
      <c r="I3851" s="64"/>
      <c r="N3851" s="4"/>
      <c r="AG3851" t="s">
        <v>3558</v>
      </c>
      <c r="AM3851" s="1">
        <f t="shared" si="47"/>
        <v>0</v>
      </c>
    </row>
    <row r="3852" spans="1:39" x14ac:dyDescent="0.35">
      <c r="A3852">
        <v>3848</v>
      </c>
      <c r="B3852">
        <v>3849</v>
      </c>
      <c r="F3852" s="63"/>
      <c r="G3852" s="63"/>
      <c r="H3852" t="s">
        <v>26</v>
      </c>
      <c r="I3852" s="64"/>
      <c r="N3852" s="4"/>
      <c r="AG3852" t="s">
        <v>3559</v>
      </c>
      <c r="AM3852" s="1">
        <f t="shared" si="47"/>
        <v>0</v>
      </c>
    </row>
    <row r="3853" spans="1:39" x14ac:dyDescent="0.35">
      <c r="A3853">
        <v>3849</v>
      </c>
      <c r="B3853">
        <v>3850</v>
      </c>
      <c r="F3853" s="63"/>
      <c r="G3853" s="63"/>
      <c r="H3853" t="s">
        <v>26</v>
      </c>
      <c r="I3853" s="64"/>
      <c r="N3853" s="4"/>
      <c r="AG3853" t="s">
        <v>3560</v>
      </c>
      <c r="AM3853" s="1">
        <f t="shared" si="47"/>
        <v>0</v>
      </c>
    </row>
    <row r="3854" spans="1:39" x14ac:dyDescent="0.35">
      <c r="A3854">
        <v>3850</v>
      </c>
      <c r="B3854">
        <v>3851</v>
      </c>
      <c r="F3854" s="63"/>
      <c r="G3854" s="63"/>
      <c r="H3854" t="s">
        <v>26</v>
      </c>
      <c r="I3854" s="64"/>
      <c r="N3854" s="4"/>
      <c r="AG3854" t="s">
        <v>3561</v>
      </c>
      <c r="AM3854" s="1">
        <f t="shared" si="47"/>
        <v>0</v>
      </c>
    </row>
    <row r="3855" spans="1:39" x14ac:dyDescent="0.35">
      <c r="A3855">
        <v>3851</v>
      </c>
      <c r="B3855">
        <v>3852</v>
      </c>
      <c r="F3855" s="63"/>
      <c r="G3855" s="63"/>
      <c r="H3855" t="s">
        <v>26</v>
      </c>
      <c r="I3855" s="64"/>
      <c r="N3855" s="4"/>
      <c r="AG3855" t="s">
        <v>3562</v>
      </c>
      <c r="AM3855" s="1">
        <f t="shared" si="47"/>
        <v>0</v>
      </c>
    </row>
    <row r="3856" spans="1:39" x14ac:dyDescent="0.35">
      <c r="A3856">
        <v>3852</v>
      </c>
      <c r="B3856">
        <v>3853</v>
      </c>
      <c r="F3856" s="63"/>
      <c r="G3856" s="63"/>
      <c r="H3856" t="s">
        <v>26</v>
      </c>
      <c r="I3856" s="64"/>
      <c r="N3856" s="4"/>
      <c r="AG3856" t="s">
        <v>3563</v>
      </c>
      <c r="AM3856" s="1">
        <f t="shared" si="47"/>
        <v>0</v>
      </c>
    </row>
    <row r="3857" spans="1:39" x14ac:dyDescent="0.35">
      <c r="A3857">
        <v>3853</v>
      </c>
      <c r="B3857">
        <v>3854</v>
      </c>
      <c r="F3857" s="63"/>
      <c r="G3857" s="63"/>
      <c r="H3857" t="s">
        <v>26</v>
      </c>
      <c r="I3857" s="64"/>
      <c r="N3857" s="4"/>
      <c r="AG3857" t="s">
        <v>3564</v>
      </c>
      <c r="AM3857" s="1">
        <f t="shared" si="47"/>
        <v>0</v>
      </c>
    </row>
    <row r="3858" spans="1:39" x14ac:dyDescent="0.35">
      <c r="A3858">
        <v>3854</v>
      </c>
      <c r="B3858">
        <v>3855</v>
      </c>
      <c r="F3858" s="63"/>
      <c r="G3858" s="63"/>
      <c r="H3858" t="s">
        <v>26</v>
      </c>
      <c r="I3858" s="64"/>
      <c r="N3858" s="4"/>
      <c r="AG3858" t="s">
        <v>3565</v>
      </c>
      <c r="AM3858" s="1">
        <f t="shared" si="47"/>
        <v>0</v>
      </c>
    </row>
    <row r="3859" spans="1:39" x14ac:dyDescent="0.35">
      <c r="A3859">
        <v>3855</v>
      </c>
      <c r="B3859">
        <v>3856</v>
      </c>
      <c r="F3859" s="63"/>
      <c r="G3859" s="63"/>
      <c r="H3859" t="s">
        <v>26</v>
      </c>
      <c r="I3859" s="64"/>
      <c r="N3859" s="4"/>
      <c r="AG3859" t="s">
        <v>3566</v>
      </c>
      <c r="AM3859" s="1">
        <f t="shared" si="47"/>
        <v>0</v>
      </c>
    </row>
    <row r="3860" spans="1:39" x14ac:dyDescent="0.35">
      <c r="A3860">
        <v>3856</v>
      </c>
      <c r="B3860">
        <v>3857</v>
      </c>
      <c r="F3860" s="63"/>
      <c r="G3860" s="63"/>
      <c r="H3860" t="s">
        <v>26</v>
      </c>
      <c r="I3860" s="64"/>
      <c r="N3860" s="4"/>
      <c r="AG3860" t="s">
        <v>3567</v>
      </c>
      <c r="AM3860" s="1">
        <f t="shared" si="47"/>
        <v>0</v>
      </c>
    </row>
    <row r="3861" spans="1:39" x14ac:dyDescent="0.35">
      <c r="A3861">
        <v>3857</v>
      </c>
      <c r="B3861">
        <v>3858</v>
      </c>
      <c r="F3861" s="63"/>
      <c r="G3861" s="63"/>
      <c r="H3861" t="s">
        <v>26</v>
      </c>
      <c r="I3861" s="64"/>
      <c r="N3861" s="4"/>
      <c r="AG3861" t="s">
        <v>3568</v>
      </c>
      <c r="AM3861" s="1">
        <f t="shared" si="47"/>
        <v>0</v>
      </c>
    </row>
    <row r="3862" spans="1:39" x14ac:dyDescent="0.35">
      <c r="A3862">
        <v>3858</v>
      </c>
      <c r="B3862">
        <v>3859</v>
      </c>
      <c r="F3862" s="63"/>
      <c r="G3862" s="63"/>
      <c r="H3862" t="s">
        <v>26</v>
      </c>
      <c r="I3862" s="64"/>
      <c r="N3862" s="4"/>
      <c r="AG3862" t="s">
        <v>3569</v>
      </c>
      <c r="AM3862" s="1">
        <f t="shared" si="47"/>
        <v>0</v>
      </c>
    </row>
    <row r="3863" spans="1:39" x14ac:dyDescent="0.35">
      <c r="A3863">
        <v>3859</v>
      </c>
      <c r="B3863">
        <v>3860</v>
      </c>
      <c r="F3863" s="63"/>
      <c r="G3863" s="63"/>
      <c r="H3863" t="s">
        <v>26</v>
      </c>
      <c r="I3863" s="64"/>
      <c r="N3863" s="4"/>
      <c r="AG3863" t="s">
        <v>3570</v>
      </c>
      <c r="AM3863" s="1">
        <f t="shared" si="47"/>
        <v>0</v>
      </c>
    </row>
    <row r="3864" spans="1:39" x14ac:dyDescent="0.35">
      <c r="A3864">
        <v>3860</v>
      </c>
      <c r="B3864">
        <v>3861</v>
      </c>
      <c r="F3864" s="63"/>
      <c r="G3864" s="63"/>
      <c r="H3864" t="s">
        <v>26</v>
      </c>
      <c r="I3864" s="64"/>
      <c r="N3864" s="4"/>
      <c r="AG3864" t="s">
        <v>3571</v>
      </c>
      <c r="AM3864" s="1">
        <f t="shared" si="47"/>
        <v>0</v>
      </c>
    </row>
    <row r="3865" spans="1:39" x14ac:dyDescent="0.35">
      <c r="A3865">
        <v>3861</v>
      </c>
      <c r="B3865">
        <v>3862</v>
      </c>
      <c r="F3865" s="63"/>
      <c r="G3865" s="63"/>
      <c r="H3865" t="s">
        <v>26</v>
      </c>
      <c r="I3865" s="64"/>
      <c r="N3865" s="4"/>
      <c r="AG3865" t="s">
        <v>3572</v>
      </c>
      <c r="AM3865" s="1">
        <f t="shared" si="47"/>
        <v>0</v>
      </c>
    </row>
    <row r="3866" spans="1:39" x14ac:dyDescent="0.35">
      <c r="A3866">
        <v>3862</v>
      </c>
      <c r="B3866">
        <v>3863</v>
      </c>
      <c r="F3866" s="63"/>
      <c r="G3866" s="63"/>
      <c r="H3866" t="s">
        <v>26</v>
      </c>
      <c r="I3866" s="64"/>
      <c r="N3866" s="4"/>
      <c r="AG3866" t="s">
        <v>3573</v>
      </c>
      <c r="AM3866" s="1">
        <f t="shared" si="47"/>
        <v>0</v>
      </c>
    </row>
    <row r="3867" spans="1:39" x14ac:dyDescent="0.35">
      <c r="A3867">
        <v>3863</v>
      </c>
      <c r="B3867">
        <v>3864</v>
      </c>
      <c r="F3867" s="63"/>
      <c r="G3867" s="63"/>
      <c r="H3867" t="s">
        <v>26</v>
      </c>
      <c r="I3867" s="64"/>
      <c r="N3867" s="4"/>
      <c r="AG3867" t="s">
        <v>3574</v>
      </c>
      <c r="AM3867" s="1">
        <f t="shared" si="47"/>
        <v>0</v>
      </c>
    </row>
    <row r="3868" spans="1:39" x14ac:dyDescent="0.35">
      <c r="A3868">
        <v>3864</v>
      </c>
      <c r="B3868">
        <v>3865</v>
      </c>
      <c r="F3868" s="63"/>
      <c r="G3868" s="63"/>
      <c r="H3868" t="s">
        <v>26</v>
      </c>
      <c r="I3868" s="64"/>
      <c r="N3868" s="4"/>
      <c r="AG3868" t="s">
        <v>3575</v>
      </c>
      <c r="AM3868" s="1">
        <f t="shared" si="47"/>
        <v>0</v>
      </c>
    </row>
    <row r="3869" spans="1:39" x14ac:dyDescent="0.35">
      <c r="A3869">
        <v>3865</v>
      </c>
      <c r="B3869">
        <v>3866</v>
      </c>
      <c r="F3869" s="63"/>
      <c r="G3869" s="63"/>
      <c r="H3869" t="s">
        <v>26</v>
      </c>
      <c r="I3869" s="64"/>
      <c r="N3869" s="4"/>
      <c r="AG3869" t="s">
        <v>3576</v>
      </c>
      <c r="AM3869" s="1">
        <f t="shared" si="47"/>
        <v>0</v>
      </c>
    </row>
    <row r="3870" spans="1:39" x14ac:dyDescent="0.35">
      <c r="A3870">
        <v>3866</v>
      </c>
      <c r="B3870">
        <v>3867</v>
      </c>
      <c r="F3870" s="63"/>
      <c r="G3870" s="63"/>
      <c r="H3870" t="s">
        <v>26</v>
      </c>
      <c r="I3870" s="64"/>
      <c r="N3870" s="4"/>
      <c r="AG3870" t="s">
        <v>3577</v>
      </c>
      <c r="AM3870" s="1">
        <f t="shared" si="47"/>
        <v>0</v>
      </c>
    </row>
    <row r="3871" spans="1:39" x14ac:dyDescent="0.35">
      <c r="A3871">
        <v>3867</v>
      </c>
      <c r="B3871">
        <v>3868</v>
      </c>
      <c r="F3871" s="63"/>
      <c r="G3871" s="63"/>
      <c r="H3871" t="s">
        <v>26</v>
      </c>
      <c r="I3871" s="64"/>
      <c r="N3871" s="4"/>
      <c r="AG3871" t="s">
        <v>3578</v>
      </c>
      <c r="AM3871" s="1">
        <f t="shared" si="47"/>
        <v>0</v>
      </c>
    </row>
    <row r="3872" spans="1:39" x14ac:dyDescent="0.35">
      <c r="A3872">
        <v>3868</v>
      </c>
      <c r="B3872">
        <v>3869</v>
      </c>
      <c r="F3872" s="63"/>
      <c r="G3872" s="63"/>
      <c r="H3872" t="s">
        <v>26</v>
      </c>
      <c r="I3872" s="64"/>
      <c r="N3872" s="4"/>
      <c r="AG3872" t="s">
        <v>3579</v>
      </c>
      <c r="AM3872" s="1">
        <f t="shared" si="47"/>
        <v>0</v>
      </c>
    </row>
    <row r="3873" spans="1:39" x14ac:dyDescent="0.35">
      <c r="A3873">
        <v>3869</v>
      </c>
      <c r="B3873">
        <v>3870</v>
      </c>
      <c r="F3873" s="63"/>
      <c r="G3873" s="63"/>
      <c r="H3873" t="s">
        <v>26</v>
      </c>
      <c r="I3873" s="64"/>
      <c r="N3873" s="4"/>
      <c r="AG3873" t="s">
        <v>3580</v>
      </c>
      <c r="AM3873" s="1">
        <f t="shared" si="47"/>
        <v>0</v>
      </c>
    </row>
    <row r="3874" spans="1:39" x14ac:dyDescent="0.35">
      <c r="A3874">
        <v>3870</v>
      </c>
      <c r="B3874">
        <v>3871</v>
      </c>
      <c r="F3874" s="63"/>
      <c r="G3874" s="63"/>
      <c r="H3874" t="s">
        <v>26</v>
      </c>
      <c r="I3874" s="64"/>
      <c r="N3874" s="4"/>
      <c r="AG3874" t="s">
        <v>3581</v>
      </c>
      <c r="AM3874" s="1">
        <f t="shared" si="47"/>
        <v>0</v>
      </c>
    </row>
    <row r="3875" spans="1:39" x14ac:dyDescent="0.35">
      <c r="A3875">
        <v>3871</v>
      </c>
      <c r="B3875">
        <v>3872</v>
      </c>
      <c r="F3875" s="63"/>
      <c r="G3875" s="63"/>
      <c r="H3875" t="s">
        <v>26</v>
      </c>
      <c r="I3875" s="64"/>
      <c r="N3875" s="4"/>
      <c r="AG3875" t="s">
        <v>3582</v>
      </c>
      <c r="AM3875" s="1">
        <f t="shared" si="47"/>
        <v>0</v>
      </c>
    </row>
    <row r="3876" spans="1:39" x14ac:dyDescent="0.35">
      <c r="A3876">
        <v>3872</v>
      </c>
      <c r="B3876">
        <v>3873</v>
      </c>
      <c r="F3876" s="63"/>
      <c r="G3876" s="63"/>
      <c r="H3876" t="s">
        <v>26</v>
      </c>
      <c r="I3876" s="64"/>
      <c r="N3876" s="4"/>
      <c r="AG3876" t="s">
        <v>3583</v>
      </c>
      <c r="AM3876" s="1">
        <f t="shared" si="47"/>
        <v>0</v>
      </c>
    </row>
    <row r="3877" spans="1:39" x14ac:dyDescent="0.35">
      <c r="A3877">
        <v>3873</v>
      </c>
      <c r="B3877">
        <v>3874</v>
      </c>
      <c r="F3877" s="63"/>
      <c r="G3877" s="63"/>
      <c r="H3877" t="s">
        <v>26</v>
      </c>
      <c r="I3877" s="64"/>
      <c r="N3877" s="4"/>
      <c r="AG3877" t="s">
        <v>3584</v>
      </c>
      <c r="AM3877" s="1">
        <f t="shared" si="47"/>
        <v>0</v>
      </c>
    </row>
    <row r="3878" spans="1:39" x14ac:dyDescent="0.35">
      <c r="A3878">
        <v>3874</v>
      </c>
      <c r="B3878">
        <v>3875</v>
      </c>
      <c r="F3878" s="63"/>
      <c r="G3878" s="63"/>
      <c r="H3878" t="s">
        <v>26</v>
      </c>
      <c r="I3878" s="64"/>
      <c r="N3878" s="4"/>
      <c r="AG3878" t="s">
        <v>3585</v>
      </c>
      <c r="AM3878" s="1">
        <f t="shared" si="47"/>
        <v>0</v>
      </c>
    </row>
    <row r="3879" spans="1:39" x14ac:dyDescent="0.35">
      <c r="A3879">
        <v>3875</v>
      </c>
      <c r="B3879">
        <v>3876</v>
      </c>
      <c r="F3879" s="63"/>
      <c r="G3879" s="63"/>
      <c r="H3879" t="s">
        <v>26</v>
      </c>
      <c r="I3879" s="64"/>
      <c r="N3879" s="4"/>
      <c r="AG3879" t="s">
        <v>3586</v>
      </c>
      <c r="AM3879" s="1">
        <f t="shared" si="47"/>
        <v>0</v>
      </c>
    </row>
    <row r="3880" spans="1:39" x14ac:dyDescent="0.35">
      <c r="A3880">
        <v>3876</v>
      </c>
      <c r="B3880">
        <v>3877</v>
      </c>
      <c r="F3880" s="63"/>
      <c r="G3880" s="63"/>
      <c r="H3880" t="s">
        <v>26</v>
      </c>
      <c r="I3880" s="64"/>
      <c r="N3880" s="4"/>
      <c r="AG3880" t="s">
        <v>3587</v>
      </c>
      <c r="AM3880" s="1">
        <f t="shared" si="47"/>
        <v>0</v>
      </c>
    </row>
    <row r="3881" spans="1:39" x14ac:dyDescent="0.35">
      <c r="A3881">
        <v>3877</v>
      </c>
      <c r="B3881">
        <v>3878</v>
      </c>
      <c r="F3881" s="63"/>
      <c r="G3881" s="63"/>
      <c r="H3881" t="s">
        <v>26</v>
      </c>
      <c r="I3881" s="64"/>
      <c r="N3881" s="4"/>
      <c r="AG3881" t="s">
        <v>3588</v>
      </c>
      <c r="AM3881" s="1">
        <f t="shared" ref="AM3881:AM3944" si="48">HYPERLINK("E:\CAFNEC_GBRF\2023\JohnstoneRiver\Frames_for_Analysis\" &amp; F3882, F3882)</f>
        <v>0</v>
      </c>
    </row>
    <row r="3882" spans="1:39" x14ac:dyDescent="0.35">
      <c r="A3882">
        <v>3878</v>
      </c>
      <c r="B3882">
        <v>3879</v>
      </c>
      <c r="F3882" s="63"/>
      <c r="G3882" s="63"/>
      <c r="H3882" t="s">
        <v>26</v>
      </c>
      <c r="I3882" s="64"/>
      <c r="N3882" s="4"/>
      <c r="AG3882" t="s">
        <v>3589</v>
      </c>
      <c r="AM3882" s="1">
        <f t="shared" si="48"/>
        <v>0</v>
      </c>
    </row>
    <row r="3883" spans="1:39" x14ac:dyDescent="0.35">
      <c r="A3883">
        <v>3879</v>
      </c>
      <c r="B3883">
        <v>3880</v>
      </c>
      <c r="F3883" s="63"/>
      <c r="G3883" s="63"/>
      <c r="H3883" t="s">
        <v>26</v>
      </c>
      <c r="I3883" s="64"/>
      <c r="N3883" s="4"/>
      <c r="AG3883" t="s">
        <v>3590</v>
      </c>
      <c r="AM3883" s="1">
        <f t="shared" si="48"/>
        <v>0</v>
      </c>
    </row>
    <row r="3884" spans="1:39" x14ac:dyDescent="0.35">
      <c r="A3884">
        <v>3880</v>
      </c>
      <c r="B3884">
        <v>3881</v>
      </c>
      <c r="F3884" s="63"/>
      <c r="G3884" s="63"/>
      <c r="H3884" t="s">
        <v>26</v>
      </c>
      <c r="I3884" s="64"/>
      <c r="N3884" s="4"/>
      <c r="AG3884" t="s">
        <v>3591</v>
      </c>
      <c r="AM3884" s="1">
        <f t="shared" si="48"/>
        <v>0</v>
      </c>
    </row>
    <row r="3885" spans="1:39" x14ac:dyDescent="0.35">
      <c r="A3885">
        <v>3881</v>
      </c>
      <c r="B3885">
        <v>3882</v>
      </c>
      <c r="F3885" s="63"/>
      <c r="G3885" s="63"/>
      <c r="H3885" t="s">
        <v>26</v>
      </c>
      <c r="I3885" s="64"/>
      <c r="N3885" s="4"/>
      <c r="AG3885" t="s">
        <v>3592</v>
      </c>
      <c r="AM3885" s="1">
        <f t="shared" si="48"/>
        <v>0</v>
      </c>
    </row>
    <row r="3886" spans="1:39" x14ac:dyDescent="0.35">
      <c r="A3886">
        <v>3882</v>
      </c>
      <c r="B3886">
        <v>3883</v>
      </c>
      <c r="F3886" s="63"/>
      <c r="G3886" s="63"/>
      <c r="H3886" t="s">
        <v>26</v>
      </c>
      <c r="I3886" s="64"/>
      <c r="N3886" s="4"/>
      <c r="AG3886" t="s">
        <v>3593</v>
      </c>
      <c r="AM3886" s="1">
        <f t="shared" si="48"/>
        <v>0</v>
      </c>
    </row>
    <row r="3887" spans="1:39" x14ac:dyDescent="0.35">
      <c r="A3887">
        <v>3883</v>
      </c>
      <c r="B3887">
        <v>3884</v>
      </c>
      <c r="F3887" s="63"/>
      <c r="G3887" s="63"/>
      <c r="H3887" t="s">
        <v>26</v>
      </c>
      <c r="I3887" s="64"/>
      <c r="N3887" s="4"/>
      <c r="AG3887" t="s">
        <v>3594</v>
      </c>
      <c r="AM3887" s="1">
        <f t="shared" si="48"/>
        <v>0</v>
      </c>
    </row>
    <row r="3888" spans="1:39" x14ac:dyDescent="0.35">
      <c r="A3888">
        <v>3884</v>
      </c>
      <c r="B3888">
        <v>3885</v>
      </c>
      <c r="F3888" s="63"/>
      <c r="G3888" s="63"/>
      <c r="H3888" t="s">
        <v>26</v>
      </c>
      <c r="I3888" s="64"/>
      <c r="N3888" s="4"/>
      <c r="AG3888" t="s">
        <v>3595</v>
      </c>
      <c r="AM3888" s="1">
        <f t="shared" si="48"/>
        <v>0</v>
      </c>
    </row>
    <row r="3889" spans="1:39" x14ac:dyDescent="0.35">
      <c r="A3889">
        <v>3885</v>
      </c>
      <c r="B3889">
        <v>3886</v>
      </c>
      <c r="F3889" s="63"/>
      <c r="G3889" s="63"/>
      <c r="H3889" t="s">
        <v>26</v>
      </c>
      <c r="I3889" s="64"/>
      <c r="N3889" s="4"/>
      <c r="AG3889" t="s">
        <v>3596</v>
      </c>
      <c r="AM3889" s="1">
        <f t="shared" si="48"/>
        <v>0</v>
      </c>
    </row>
    <row r="3890" spans="1:39" x14ac:dyDescent="0.35">
      <c r="A3890">
        <v>3886</v>
      </c>
      <c r="B3890">
        <v>3887</v>
      </c>
      <c r="F3890" s="63"/>
      <c r="G3890" s="63"/>
      <c r="H3890" t="s">
        <v>26</v>
      </c>
      <c r="I3890" s="64"/>
      <c r="N3890" s="4"/>
      <c r="AG3890" t="s">
        <v>3597</v>
      </c>
      <c r="AM3890" s="1">
        <f t="shared" si="48"/>
        <v>0</v>
      </c>
    </row>
    <row r="3891" spans="1:39" x14ac:dyDescent="0.35">
      <c r="A3891">
        <v>3887</v>
      </c>
      <c r="B3891">
        <v>3888</v>
      </c>
      <c r="F3891" s="63"/>
      <c r="G3891" s="63"/>
      <c r="H3891" t="s">
        <v>26</v>
      </c>
      <c r="I3891" s="64"/>
      <c r="N3891" s="4"/>
      <c r="AG3891" t="s">
        <v>3598</v>
      </c>
      <c r="AM3891" s="1">
        <f t="shared" si="48"/>
        <v>0</v>
      </c>
    </row>
    <row r="3892" spans="1:39" x14ac:dyDescent="0.35">
      <c r="A3892">
        <v>3888</v>
      </c>
      <c r="B3892">
        <v>3889</v>
      </c>
      <c r="F3892" s="63"/>
      <c r="G3892" s="63"/>
      <c r="H3892" t="s">
        <v>78</v>
      </c>
      <c r="I3892" s="64">
        <v>0</v>
      </c>
      <c r="N3892" s="4"/>
      <c r="AG3892" t="s">
        <v>3599</v>
      </c>
      <c r="AM3892" s="1">
        <f t="shared" si="48"/>
        <v>0</v>
      </c>
    </row>
    <row r="3893" spans="1:39" x14ac:dyDescent="0.35">
      <c r="A3893">
        <v>3889</v>
      </c>
      <c r="B3893">
        <v>3890</v>
      </c>
      <c r="F3893" s="63"/>
      <c r="G3893" s="63"/>
      <c r="H3893" t="s">
        <v>78</v>
      </c>
      <c r="I3893" s="64">
        <v>0</v>
      </c>
      <c r="N3893" s="4"/>
      <c r="AG3893" t="s">
        <v>3600</v>
      </c>
      <c r="AM3893" s="1">
        <f t="shared" si="48"/>
        <v>0</v>
      </c>
    </row>
    <row r="3894" spans="1:39" x14ac:dyDescent="0.35">
      <c r="A3894">
        <v>3890</v>
      </c>
      <c r="B3894">
        <v>3891</v>
      </c>
      <c r="F3894" s="63"/>
      <c r="G3894" s="63"/>
      <c r="H3894" t="s">
        <v>78</v>
      </c>
      <c r="I3894" s="64">
        <v>0</v>
      </c>
      <c r="N3894" s="4"/>
      <c r="AG3894" t="s">
        <v>3601</v>
      </c>
      <c r="AM3894" s="1">
        <f t="shared" si="48"/>
        <v>0</v>
      </c>
    </row>
    <row r="3895" spans="1:39" x14ac:dyDescent="0.35">
      <c r="A3895">
        <v>3891</v>
      </c>
      <c r="B3895">
        <v>3892</v>
      </c>
      <c r="F3895" s="63"/>
      <c r="G3895" s="63"/>
      <c r="H3895" t="s">
        <v>78</v>
      </c>
      <c r="I3895" s="64">
        <v>0</v>
      </c>
      <c r="N3895" s="4"/>
      <c r="AG3895" t="s">
        <v>3602</v>
      </c>
      <c r="AM3895" s="1">
        <f t="shared" si="48"/>
        <v>0</v>
      </c>
    </row>
    <row r="3896" spans="1:39" x14ac:dyDescent="0.35">
      <c r="A3896">
        <v>3892</v>
      </c>
      <c r="B3896">
        <v>3893</v>
      </c>
      <c r="F3896" s="63"/>
      <c r="G3896" s="63"/>
      <c r="H3896" t="s">
        <v>78</v>
      </c>
      <c r="I3896" s="64">
        <v>0</v>
      </c>
      <c r="N3896" s="4"/>
      <c r="AG3896" t="s">
        <v>3603</v>
      </c>
      <c r="AM3896" s="1">
        <f t="shared" si="48"/>
        <v>0</v>
      </c>
    </row>
    <row r="3897" spans="1:39" x14ac:dyDescent="0.35">
      <c r="A3897">
        <v>3893</v>
      </c>
      <c r="B3897">
        <v>3894</v>
      </c>
      <c r="F3897" s="63"/>
      <c r="G3897" s="63"/>
      <c r="H3897" t="s">
        <v>78</v>
      </c>
      <c r="I3897" s="64">
        <v>0</v>
      </c>
      <c r="N3897" s="4"/>
      <c r="AG3897" t="s">
        <v>3604</v>
      </c>
      <c r="AM3897" s="1">
        <f t="shared" si="48"/>
        <v>0</v>
      </c>
    </row>
    <row r="3898" spans="1:39" x14ac:dyDescent="0.35">
      <c r="A3898">
        <v>3894</v>
      </c>
      <c r="B3898">
        <v>3895</v>
      </c>
      <c r="F3898" s="63"/>
      <c r="G3898" s="63"/>
      <c r="H3898" t="s">
        <v>78</v>
      </c>
      <c r="I3898" s="64">
        <v>0</v>
      </c>
      <c r="N3898" s="4"/>
      <c r="AG3898" t="s">
        <v>3605</v>
      </c>
      <c r="AM3898" s="1">
        <f t="shared" si="48"/>
        <v>0</v>
      </c>
    </row>
    <row r="3899" spans="1:39" x14ac:dyDescent="0.35">
      <c r="A3899">
        <v>3895</v>
      </c>
      <c r="B3899">
        <v>3896</v>
      </c>
      <c r="F3899" s="63"/>
      <c r="G3899" s="63"/>
      <c r="H3899" t="s">
        <v>78</v>
      </c>
      <c r="I3899" s="64">
        <v>0</v>
      </c>
      <c r="N3899" s="4"/>
      <c r="AG3899" t="s">
        <v>3606</v>
      </c>
      <c r="AM3899" s="1">
        <f t="shared" si="48"/>
        <v>0</v>
      </c>
    </row>
    <row r="3900" spans="1:39" x14ac:dyDescent="0.35">
      <c r="A3900">
        <v>3896</v>
      </c>
      <c r="B3900">
        <v>3897</v>
      </c>
      <c r="F3900" s="63"/>
      <c r="G3900" s="63"/>
      <c r="H3900" t="s">
        <v>78</v>
      </c>
      <c r="I3900" s="64">
        <v>0</v>
      </c>
      <c r="N3900" s="4"/>
      <c r="AG3900" t="s">
        <v>3607</v>
      </c>
      <c r="AM3900" s="1">
        <f t="shared" si="48"/>
        <v>0</v>
      </c>
    </row>
    <row r="3901" spans="1:39" x14ac:dyDescent="0.35">
      <c r="A3901">
        <v>3897</v>
      </c>
      <c r="B3901">
        <v>3898</v>
      </c>
      <c r="F3901" s="63"/>
      <c r="G3901" s="63"/>
      <c r="H3901" t="s">
        <v>78</v>
      </c>
      <c r="I3901" s="64">
        <v>0</v>
      </c>
      <c r="N3901" s="4"/>
      <c r="AG3901" t="s">
        <v>3608</v>
      </c>
      <c r="AM3901" s="1">
        <f t="shared" si="48"/>
        <v>0</v>
      </c>
    </row>
    <row r="3902" spans="1:39" x14ac:dyDescent="0.35">
      <c r="A3902">
        <v>3898</v>
      </c>
      <c r="B3902">
        <v>3899</v>
      </c>
      <c r="F3902" s="63"/>
      <c r="G3902" s="63"/>
      <c r="H3902" t="s">
        <v>78</v>
      </c>
      <c r="I3902" s="64">
        <v>0</v>
      </c>
      <c r="N3902" s="4"/>
      <c r="AG3902" t="s">
        <v>3609</v>
      </c>
      <c r="AM3902" s="1">
        <f t="shared" si="48"/>
        <v>0</v>
      </c>
    </row>
    <row r="3903" spans="1:39" x14ac:dyDescent="0.35">
      <c r="A3903">
        <v>3899</v>
      </c>
      <c r="B3903">
        <v>3900</v>
      </c>
      <c r="F3903" s="63"/>
      <c r="G3903" s="63"/>
      <c r="H3903" t="s">
        <v>26</v>
      </c>
      <c r="I3903" s="64"/>
      <c r="N3903" s="4"/>
      <c r="AG3903" t="s">
        <v>3610</v>
      </c>
      <c r="AM3903" s="1">
        <f t="shared" si="48"/>
        <v>0</v>
      </c>
    </row>
    <row r="3904" spans="1:39" x14ac:dyDescent="0.35">
      <c r="A3904">
        <v>3900</v>
      </c>
      <c r="B3904">
        <v>3901</v>
      </c>
      <c r="F3904" s="63"/>
      <c r="G3904" s="63"/>
      <c r="H3904" t="s">
        <v>26</v>
      </c>
      <c r="I3904" s="64"/>
      <c r="N3904" s="4"/>
      <c r="AG3904" t="s">
        <v>3611</v>
      </c>
      <c r="AM3904" s="1">
        <f t="shared" si="48"/>
        <v>0</v>
      </c>
    </row>
    <row r="3905" spans="1:39" x14ac:dyDescent="0.35">
      <c r="A3905">
        <v>3901</v>
      </c>
      <c r="B3905">
        <v>3902</v>
      </c>
      <c r="F3905" s="63"/>
      <c r="G3905" s="63"/>
      <c r="H3905" t="s">
        <v>78</v>
      </c>
      <c r="I3905" s="64">
        <v>0</v>
      </c>
      <c r="N3905" s="4"/>
      <c r="AG3905" t="s">
        <v>3612</v>
      </c>
      <c r="AM3905" s="1">
        <f t="shared" si="48"/>
        <v>0</v>
      </c>
    </row>
    <row r="3906" spans="1:39" x14ac:dyDescent="0.35">
      <c r="A3906">
        <v>3902</v>
      </c>
      <c r="B3906">
        <v>3903</v>
      </c>
      <c r="F3906" s="63"/>
      <c r="G3906" s="63"/>
      <c r="H3906" t="s">
        <v>78</v>
      </c>
      <c r="I3906" s="64">
        <v>0</v>
      </c>
      <c r="N3906" s="4"/>
      <c r="AG3906" t="s">
        <v>3613</v>
      </c>
      <c r="AM3906" s="1">
        <f t="shared" si="48"/>
        <v>0</v>
      </c>
    </row>
    <row r="3907" spans="1:39" x14ac:dyDescent="0.35">
      <c r="A3907">
        <v>3903</v>
      </c>
      <c r="B3907">
        <v>3904</v>
      </c>
      <c r="F3907" s="63"/>
      <c r="G3907" s="63"/>
      <c r="H3907" t="s">
        <v>78</v>
      </c>
      <c r="I3907" s="64">
        <v>0</v>
      </c>
      <c r="N3907" s="4"/>
      <c r="AG3907" t="s">
        <v>3614</v>
      </c>
      <c r="AM3907" s="1">
        <f t="shared" si="48"/>
        <v>0</v>
      </c>
    </row>
    <row r="3908" spans="1:39" x14ac:dyDescent="0.35">
      <c r="A3908">
        <v>3904</v>
      </c>
      <c r="B3908">
        <v>3905</v>
      </c>
      <c r="F3908" s="63"/>
      <c r="G3908" s="63"/>
      <c r="H3908" t="s">
        <v>26</v>
      </c>
      <c r="I3908" s="64"/>
      <c r="N3908" s="4"/>
      <c r="AG3908" t="s">
        <v>3615</v>
      </c>
      <c r="AM3908" s="1">
        <f t="shared" si="48"/>
        <v>0</v>
      </c>
    </row>
    <row r="3909" spans="1:39" x14ac:dyDescent="0.35">
      <c r="A3909">
        <v>3905</v>
      </c>
      <c r="B3909">
        <v>3906</v>
      </c>
      <c r="F3909" s="63"/>
      <c r="G3909" s="63"/>
      <c r="H3909" t="s">
        <v>26</v>
      </c>
      <c r="I3909" s="64"/>
      <c r="N3909" s="4"/>
      <c r="AG3909" t="s">
        <v>3616</v>
      </c>
      <c r="AM3909" s="1">
        <f t="shared" si="48"/>
        <v>0</v>
      </c>
    </row>
    <row r="3910" spans="1:39" x14ac:dyDescent="0.35">
      <c r="A3910">
        <v>3906</v>
      </c>
      <c r="B3910">
        <v>3907</v>
      </c>
      <c r="F3910" s="63"/>
      <c r="G3910" s="63"/>
      <c r="H3910" t="s">
        <v>78</v>
      </c>
      <c r="I3910" s="64">
        <v>0</v>
      </c>
      <c r="N3910" s="4"/>
      <c r="AG3910" t="s">
        <v>3617</v>
      </c>
      <c r="AM3910" s="1">
        <f t="shared" si="48"/>
        <v>0</v>
      </c>
    </row>
    <row r="3911" spans="1:39" x14ac:dyDescent="0.35">
      <c r="A3911">
        <v>3907</v>
      </c>
      <c r="B3911">
        <v>3908</v>
      </c>
      <c r="F3911" s="63"/>
      <c r="G3911" s="63"/>
      <c r="H3911" t="s">
        <v>78</v>
      </c>
      <c r="I3911" s="64">
        <v>0</v>
      </c>
      <c r="N3911" s="4"/>
      <c r="AG3911" t="s">
        <v>3618</v>
      </c>
      <c r="AM3911" s="1">
        <f t="shared" si="48"/>
        <v>0</v>
      </c>
    </row>
    <row r="3912" spans="1:39" x14ac:dyDescent="0.35">
      <c r="A3912">
        <v>3908</v>
      </c>
      <c r="B3912">
        <v>3909</v>
      </c>
      <c r="F3912" s="63"/>
      <c r="G3912" s="63"/>
      <c r="H3912" t="s">
        <v>78</v>
      </c>
      <c r="I3912" s="64">
        <v>0</v>
      </c>
      <c r="N3912" s="4"/>
      <c r="AG3912" t="s">
        <v>3619</v>
      </c>
      <c r="AM3912" s="1">
        <f t="shared" si="48"/>
        <v>0</v>
      </c>
    </row>
    <row r="3913" spans="1:39" x14ac:dyDescent="0.35">
      <c r="A3913">
        <v>3909</v>
      </c>
      <c r="B3913">
        <v>3910</v>
      </c>
      <c r="F3913" s="63"/>
      <c r="G3913" s="63"/>
      <c r="H3913" t="s">
        <v>78</v>
      </c>
      <c r="I3913" s="64">
        <v>0</v>
      </c>
      <c r="N3913" s="4"/>
      <c r="AG3913" t="s">
        <v>3620</v>
      </c>
      <c r="AM3913" s="1">
        <f t="shared" si="48"/>
        <v>0</v>
      </c>
    </row>
    <row r="3914" spans="1:39" x14ac:dyDescent="0.35">
      <c r="A3914">
        <v>3910</v>
      </c>
      <c r="B3914">
        <v>3911</v>
      </c>
      <c r="F3914" s="63"/>
      <c r="G3914" s="63"/>
      <c r="H3914" t="s">
        <v>78</v>
      </c>
      <c r="I3914" s="64">
        <v>0</v>
      </c>
      <c r="N3914" s="4"/>
      <c r="AG3914" t="s">
        <v>3621</v>
      </c>
      <c r="AM3914" s="1">
        <f t="shared" si="48"/>
        <v>0</v>
      </c>
    </row>
    <row r="3915" spans="1:39" x14ac:dyDescent="0.35">
      <c r="A3915">
        <v>3911</v>
      </c>
      <c r="B3915">
        <v>3912</v>
      </c>
      <c r="F3915" s="63"/>
      <c r="G3915" s="63"/>
      <c r="H3915" t="s">
        <v>78</v>
      </c>
      <c r="I3915" s="64">
        <v>0</v>
      </c>
      <c r="N3915" s="4"/>
      <c r="AG3915" t="s">
        <v>3622</v>
      </c>
      <c r="AM3915" s="1">
        <f t="shared" si="48"/>
        <v>0</v>
      </c>
    </row>
    <row r="3916" spans="1:39" x14ac:dyDescent="0.35">
      <c r="A3916">
        <v>3912</v>
      </c>
      <c r="B3916">
        <v>3913</v>
      </c>
      <c r="F3916" s="63"/>
      <c r="G3916" s="63"/>
      <c r="H3916" t="s">
        <v>26</v>
      </c>
      <c r="I3916" s="64"/>
      <c r="N3916" s="4"/>
      <c r="AG3916" t="s">
        <v>3623</v>
      </c>
      <c r="AM3916" s="1">
        <f t="shared" si="48"/>
        <v>0</v>
      </c>
    </row>
    <row r="3917" spans="1:39" x14ac:dyDescent="0.35">
      <c r="A3917">
        <v>3913</v>
      </c>
      <c r="B3917">
        <v>3914</v>
      </c>
      <c r="F3917" s="63"/>
      <c r="G3917" s="63"/>
      <c r="H3917" t="s">
        <v>26</v>
      </c>
      <c r="I3917" s="64"/>
      <c r="N3917" s="4"/>
      <c r="AG3917" t="s">
        <v>3624</v>
      </c>
      <c r="AM3917" s="1">
        <f t="shared" si="48"/>
        <v>0</v>
      </c>
    </row>
    <row r="3918" spans="1:39" x14ac:dyDescent="0.35">
      <c r="A3918">
        <v>3914</v>
      </c>
      <c r="B3918">
        <v>3915</v>
      </c>
      <c r="F3918" s="63"/>
      <c r="G3918" s="63"/>
      <c r="H3918" t="s">
        <v>78</v>
      </c>
      <c r="I3918" s="64">
        <v>0</v>
      </c>
      <c r="N3918" s="4"/>
      <c r="AG3918" t="s">
        <v>3625</v>
      </c>
      <c r="AM3918" s="1">
        <f t="shared" si="48"/>
        <v>0</v>
      </c>
    </row>
    <row r="3919" spans="1:39" x14ac:dyDescent="0.35">
      <c r="A3919">
        <v>3915</v>
      </c>
      <c r="B3919">
        <v>3916</v>
      </c>
      <c r="F3919" s="63"/>
      <c r="G3919" s="63"/>
      <c r="H3919" t="s">
        <v>26</v>
      </c>
      <c r="I3919" s="64"/>
      <c r="N3919" s="4"/>
      <c r="AG3919" t="s">
        <v>3626</v>
      </c>
      <c r="AM3919" s="1">
        <f t="shared" si="48"/>
        <v>0</v>
      </c>
    </row>
    <row r="3920" spans="1:39" x14ac:dyDescent="0.35">
      <c r="A3920">
        <v>3916</v>
      </c>
      <c r="B3920">
        <v>3917</v>
      </c>
      <c r="F3920" s="63"/>
      <c r="G3920" s="63"/>
      <c r="H3920" t="s">
        <v>78</v>
      </c>
      <c r="I3920" s="64">
        <v>0</v>
      </c>
      <c r="N3920" s="4"/>
      <c r="AG3920" t="s">
        <v>3627</v>
      </c>
      <c r="AM3920" s="1">
        <f t="shared" si="48"/>
        <v>0</v>
      </c>
    </row>
    <row r="3921" spans="1:39" x14ac:dyDescent="0.35">
      <c r="A3921">
        <v>3917</v>
      </c>
      <c r="B3921">
        <v>3918</v>
      </c>
      <c r="F3921" s="63"/>
      <c r="G3921" s="63"/>
      <c r="H3921" t="s">
        <v>78</v>
      </c>
      <c r="I3921" s="64">
        <v>0</v>
      </c>
      <c r="N3921" s="4"/>
      <c r="AG3921" t="s">
        <v>3628</v>
      </c>
      <c r="AM3921" s="1">
        <f t="shared" si="48"/>
        <v>0</v>
      </c>
    </row>
    <row r="3922" spans="1:39" x14ac:dyDescent="0.35">
      <c r="A3922">
        <v>3918</v>
      </c>
      <c r="B3922">
        <v>3919</v>
      </c>
      <c r="F3922" s="63"/>
      <c r="G3922" s="63"/>
      <c r="H3922" t="s">
        <v>78</v>
      </c>
      <c r="I3922" s="64">
        <v>0</v>
      </c>
      <c r="N3922" s="4"/>
      <c r="AG3922" t="s">
        <v>3629</v>
      </c>
      <c r="AM3922" s="1">
        <f t="shared" si="48"/>
        <v>0</v>
      </c>
    </row>
    <row r="3923" spans="1:39" x14ac:dyDescent="0.35">
      <c r="A3923">
        <v>3919</v>
      </c>
      <c r="B3923">
        <v>3920</v>
      </c>
      <c r="F3923" s="63"/>
      <c r="G3923" s="63"/>
      <c r="H3923" t="s">
        <v>78</v>
      </c>
      <c r="I3923" s="64">
        <v>0</v>
      </c>
      <c r="N3923" s="4"/>
      <c r="AG3923" t="s">
        <v>3630</v>
      </c>
      <c r="AM3923" s="1">
        <f t="shared" si="48"/>
        <v>0</v>
      </c>
    </row>
    <row r="3924" spans="1:39" x14ac:dyDescent="0.35">
      <c r="A3924">
        <v>3920</v>
      </c>
      <c r="B3924">
        <v>3921</v>
      </c>
      <c r="F3924" s="63"/>
      <c r="G3924" s="63"/>
      <c r="H3924" t="s">
        <v>78</v>
      </c>
      <c r="I3924" s="64">
        <v>0</v>
      </c>
      <c r="N3924" s="4"/>
      <c r="AG3924" t="s">
        <v>3631</v>
      </c>
      <c r="AM3924" s="1">
        <f t="shared" si="48"/>
        <v>0</v>
      </c>
    </row>
    <row r="3925" spans="1:39" x14ac:dyDescent="0.35">
      <c r="A3925">
        <v>3921</v>
      </c>
      <c r="B3925">
        <v>3922</v>
      </c>
      <c r="F3925" s="63"/>
      <c r="G3925" s="63"/>
      <c r="H3925" t="s">
        <v>78</v>
      </c>
      <c r="I3925" s="64">
        <v>0</v>
      </c>
      <c r="N3925" s="4"/>
      <c r="AG3925" t="s">
        <v>3632</v>
      </c>
      <c r="AM3925" s="1">
        <f t="shared" si="48"/>
        <v>0</v>
      </c>
    </row>
    <row r="3926" spans="1:39" x14ac:dyDescent="0.35">
      <c r="A3926">
        <v>3922</v>
      </c>
      <c r="B3926">
        <v>3923</v>
      </c>
      <c r="F3926" s="63"/>
      <c r="G3926" s="63"/>
      <c r="H3926" t="s">
        <v>78</v>
      </c>
      <c r="I3926" s="64">
        <v>0</v>
      </c>
      <c r="N3926" s="4"/>
      <c r="AG3926" t="s">
        <v>3633</v>
      </c>
      <c r="AM3926" s="1">
        <f t="shared" si="48"/>
        <v>0</v>
      </c>
    </row>
    <row r="3927" spans="1:39" x14ac:dyDescent="0.35">
      <c r="A3927">
        <v>3923</v>
      </c>
      <c r="B3927">
        <v>3924</v>
      </c>
      <c r="F3927" s="63"/>
      <c r="G3927" s="63"/>
      <c r="H3927" t="s">
        <v>78</v>
      </c>
      <c r="I3927" s="64">
        <v>0</v>
      </c>
      <c r="N3927" s="4"/>
      <c r="AG3927" t="s">
        <v>3634</v>
      </c>
      <c r="AM3927" s="1">
        <f t="shared" si="48"/>
        <v>0</v>
      </c>
    </row>
    <row r="3928" spans="1:39" x14ac:dyDescent="0.35">
      <c r="A3928">
        <v>3924</v>
      </c>
      <c r="B3928">
        <v>3925</v>
      </c>
      <c r="F3928" s="63"/>
      <c r="G3928" s="63"/>
      <c r="H3928" t="s">
        <v>78</v>
      </c>
      <c r="I3928" s="64">
        <v>0</v>
      </c>
      <c r="N3928" s="4"/>
      <c r="AG3928" t="s">
        <v>3635</v>
      </c>
      <c r="AM3928" s="1">
        <f t="shared" si="48"/>
        <v>0</v>
      </c>
    </row>
    <row r="3929" spans="1:39" x14ac:dyDescent="0.35">
      <c r="A3929">
        <v>3925</v>
      </c>
      <c r="B3929">
        <v>3926</v>
      </c>
      <c r="F3929" s="63"/>
      <c r="G3929" s="63"/>
      <c r="H3929" t="s">
        <v>78</v>
      </c>
      <c r="I3929" s="64">
        <v>0</v>
      </c>
      <c r="N3929" s="4"/>
      <c r="AG3929" t="s">
        <v>3636</v>
      </c>
      <c r="AM3929" s="1">
        <f t="shared" si="48"/>
        <v>0</v>
      </c>
    </row>
    <row r="3930" spans="1:39" x14ac:dyDescent="0.35">
      <c r="A3930">
        <v>3926</v>
      </c>
      <c r="B3930">
        <v>3927</v>
      </c>
      <c r="F3930" s="63"/>
      <c r="G3930" s="63"/>
      <c r="H3930" t="s">
        <v>78</v>
      </c>
      <c r="I3930" s="64">
        <v>0</v>
      </c>
      <c r="N3930" s="4"/>
      <c r="AG3930" t="s">
        <v>3637</v>
      </c>
      <c r="AM3930" s="1">
        <f t="shared" si="48"/>
        <v>0</v>
      </c>
    </row>
    <row r="3931" spans="1:39" x14ac:dyDescent="0.35">
      <c r="A3931">
        <v>3927</v>
      </c>
      <c r="B3931">
        <v>3928</v>
      </c>
      <c r="F3931" s="63"/>
      <c r="G3931" s="63"/>
      <c r="H3931" t="s">
        <v>78</v>
      </c>
      <c r="I3931" s="64">
        <v>0</v>
      </c>
      <c r="N3931" s="4"/>
      <c r="AG3931" t="s">
        <v>3638</v>
      </c>
      <c r="AM3931" s="1">
        <f t="shared" si="48"/>
        <v>0</v>
      </c>
    </row>
    <row r="3932" spans="1:39" x14ac:dyDescent="0.35">
      <c r="A3932">
        <v>3928</v>
      </c>
      <c r="B3932">
        <v>3929</v>
      </c>
      <c r="F3932" s="63"/>
      <c r="G3932" s="63"/>
      <c r="H3932" t="s">
        <v>78</v>
      </c>
      <c r="I3932" s="64">
        <v>0</v>
      </c>
      <c r="N3932" s="4"/>
      <c r="AG3932" t="s">
        <v>3639</v>
      </c>
      <c r="AM3932" s="1">
        <f t="shared" si="48"/>
        <v>0</v>
      </c>
    </row>
    <row r="3933" spans="1:39" x14ac:dyDescent="0.35">
      <c r="A3933">
        <v>3929</v>
      </c>
      <c r="B3933">
        <v>3930</v>
      </c>
      <c r="F3933" s="63"/>
      <c r="G3933" s="63"/>
      <c r="H3933" t="s">
        <v>26</v>
      </c>
      <c r="I3933" s="64"/>
      <c r="N3933" s="4"/>
      <c r="AG3933" t="s">
        <v>3640</v>
      </c>
      <c r="AM3933" s="1">
        <f t="shared" si="48"/>
        <v>0</v>
      </c>
    </row>
    <row r="3934" spans="1:39" x14ac:dyDescent="0.35">
      <c r="A3934">
        <v>3930</v>
      </c>
      <c r="B3934">
        <v>3931</v>
      </c>
      <c r="F3934" s="63"/>
      <c r="G3934" s="63"/>
      <c r="H3934" t="s">
        <v>26</v>
      </c>
      <c r="I3934" s="64"/>
      <c r="N3934" s="4"/>
      <c r="AG3934" t="s">
        <v>3641</v>
      </c>
      <c r="AM3934" s="1">
        <f t="shared" si="48"/>
        <v>0</v>
      </c>
    </row>
    <row r="3935" spans="1:39" x14ac:dyDescent="0.35">
      <c r="A3935">
        <v>3931</v>
      </c>
      <c r="B3935">
        <v>3932</v>
      </c>
      <c r="F3935" s="63"/>
      <c r="G3935" s="63"/>
      <c r="H3935" t="s">
        <v>78</v>
      </c>
      <c r="I3935" s="64">
        <v>0</v>
      </c>
      <c r="N3935" s="4"/>
      <c r="AG3935" t="s">
        <v>3642</v>
      </c>
      <c r="AM3935" s="1">
        <f t="shared" si="48"/>
        <v>0</v>
      </c>
    </row>
    <row r="3936" spans="1:39" x14ac:dyDescent="0.35">
      <c r="A3936">
        <v>3932</v>
      </c>
      <c r="B3936">
        <v>3933</v>
      </c>
      <c r="F3936" s="63"/>
      <c r="G3936" s="63"/>
      <c r="H3936" t="s">
        <v>26</v>
      </c>
      <c r="I3936" s="64"/>
      <c r="N3936" s="4"/>
      <c r="AG3936" t="s">
        <v>3643</v>
      </c>
      <c r="AM3936" s="1">
        <f t="shared" si="48"/>
        <v>0</v>
      </c>
    </row>
    <row r="3937" spans="1:39" x14ac:dyDescent="0.35">
      <c r="A3937">
        <v>3933</v>
      </c>
      <c r="B3937">
        <v>3934</v>
      </c>
      <c r="F3937" s="63"/>
      <c r="G3937" s="63"/>
      <c r="H3937" t="s">
        <v>26</v>
      </c>
      <c r="I3937" s="64"/>
      <c r="N3937" s="4"/>
      <c r="AG3937" t="s">
        <v>3644</v>
      </c>
      <c r="AM3937" s="1">
        <f t="shared" si="48"/>
        <v>0</v>
      </c>
    </row>
    <row r="3938" spans="1:39" x14ac:dyDescent="0.35">
      <c r="A3938">
        <v>3934</v>
      </c>
      <c r="B3938">
        <v>3935</v>
      </c>
      <c r="F3938" s="63"/>
      <c r="G3938" s="63"/>
      <c r="H3938" t="s">
        <v>26</v>
      </c>
      <c r="I3938" s="64"/>
      <c r="N3938" s="4"/>
      <c r="AG3938" t="s">
        <v>3645</v>
      </c>
      <c r="AM3938" s="1">
        <f t="shared" si="48"/>
        <v>0</v>
      </c>
    </row>
    <row r="3939" spans="1:39" x14ac:dyDescent="0.35">
      <c r="A3939">
        <v>3935</v>
      </c>
      <c r="B3939">
        <v>3936</v>
      </c>
      <c r="F3939" s="63"/>
      <c r="G3939" s="63"/>
      <c r="H3939" t="s">
        <v>26</v>
      </c>
      <c r="I3939" s="64"/>
      <c r="N3939" s="4"/>
      <c r="AG3939" t="s">
        <v>3646</v>
      </c>
      <c r="AM3939" s="1">
        <f t="shared" si="48"/>
        <v>0</v>
      </c>
    </row>
    <row r="3940" spans="1:39" x14ac:dyDescent="0.35">
      <c r="A3940">
        <v>3936</v>
      </c>
      <c r="B3940">
        <v>3937</v>
      </c>
      <c r="F3940" s="63"/>
      <c r="G3940" s="63"/>
      <c r="H3940" t="s">
        <v>26</v>
      </c>
      <c r="I3940" s="64"/>
      <c r="N3940" s="4"/>
      <c r="AG3940" t="s">
        <v>3647</v>
      </c>
      <c r="AM3940" s="1">
        <f t="shared" si="48"/>
        <v>0</v>
      </c>
    </row>
    <row r="3941" spans="1:39" x14ac:dyDescent="0.35">
      <c r="A3941">
        <v>3937</v>
      </c>
      <c r="B3941">
        <v>3938</v>
      </c>
      <c r="F3941" s="63"/>
      <c r="G3941" s="63"/>
      <c r="H3941" t="s">
        <v>26</v>
      </c>
      <c r="I3941" s="64"/>
      <c r="N3941" s="4"/>
      <c r="AG3941" t="s">
        <v>3648</v>
      </c>
      <c r="AM3941" s="1">
        <f t="shared" si="48"/>
        <v>0</v>
      </c>
    </row>
    <row r="3942" spans="1:39" x14ac:dyDescent="0.35">
      <c r="A3942">
        <v>3938</v>
      </c>
      <c r="B3942">
        <v>3939</v>
      </c>
      <c r="F3942" s="63"/>
      <c r="G3942" s="63"/>
      <c r="H3942" t="s">
        <v>26</v>
      </c>
      <c r="I3942" s="64"/>
      <c r="N3942" s="4"/>
      <c r="AG3942" t="s">
        <v>3649</v>
      </c>
      <c r="AM3942" s="1">
        <f t="shared" si="48"/>
        <v>0</v>
      </c>
    </row>
    <row r="3943" spans="1:39" x14ac:dyDescent="0.35">
      <c r="A3943">
        <v>3939</v>
      </c>
      <c r="B3943">
        <v>3940</v>
      </c>
      <c r="F3943" s="63"/>
      <c r="G3943" s="63"/>
      <c r="H3943" t="s">
        <v>26</v>
      </c>
      <c r="I3943" s="64"/>
      <c r="N3943" s="4"/>
      <c r="AG3943" t="s">
        <v>3650</v>
      </c>
      <c r="AM3943" s="1">
        <f t="shared" si="48"/>
        <v>0</v>
      </c>
    </row>
    <row r="3944" spans="1:39" x14ac:dyDescent="0.35">
      <c r="A3944">
        <v>3940</v>
      </c>
      <c r="B3944">
        <v>3941</v>
      </c>
      <c r="F3944" s="63"/>
      <c r="G3944" s="63"/>
      <c r="H3944" t="s">
        <v>26</v>
      </c>
      <c r="I3944" s="64"/>
      <c r="N3944" s="4"/>
      <c r="AG3944" t="s">
        <v>3651</v>
      </c>
      <c r="AM3944" s="1">
        <f t="shared" si="48"/>
        <v>0</v>
      </c>
    </row>
    <row r="3945" spans="1:39" x14ac:dyDescent="0.35">
      <c r="A3945">
        <v>3941</v>
      </c>
      <c r="B3945">
        <v>3942</v>
      </c>
      <c r="F3945" s="63"/>
      <c r="G3945" s="63"/>
      <c r="H3945" t="s">
        <v>26</v>
      </c>
      <c r="I3945" s="64"/>
      <c r="N3945" s="4"/>
      <c r="AG3945" t="s">
        <v>3652</v>
      </c>
      <c r="AM3945" s="1">
        <f t="shared" ref="AM3945:AM4008" si="49">HYPERLINK("E:\CAFNEC_GBRF\2023\JohnstoneRiver\Frames_for_Analysis\" &amp; F3946, F3946)</f>
        <v>0</v>
      </c>
    </row>
    <row r="3946" spans="1:39" x14ac:dyDescent="0.35">
      <c r="A3946">
        <v>3942</v>
      </c>
      <c r="B3946">
        <v>3943</v>
      </c>
      <c r="F3946" s="63"/>
      <c r="G3946" s="63"/>
      <c r="H3946" t="s">
        <v>26</v>
      </c>
      <c r="I3946" s="64"/>
      <c r="N3946" s="4"/>
      <c r="AG3946" t="s">
        <v>3653</v>
      </c>
      <c r="AM3946" s="1">
        <f t="shared" si="49"/>
        <v>0</v>
      </c>
    </row>
    <row r="3947" spans="1:39" x14ac:dyDescent="0.35">
      <c r="A3947">
        <v>3943</v>
      </c>
      <c r="B3947">
        <v>3944</v>
      </c>
      <c r="F3947" s="63"/>
      <c r="G3947" s="63"/>
      <c r="H3947" t="s">
        <v>26</v>
      </c>
      <c r="I3947" s="64"/>
      <c r="N3947" s="4"/>
      <c r="AG3947" t="s">
        <v>3654</v>
      </c>
      <c r="AM3947" s="1">
        <f t="shared" si="49"/>
        <v>0</v>
      </c>
    </row>
    <row r="3948" spans="1:39" x14ac:dyDescent="0.35">
      <c r="A3948">
        <v>3944</v>
      </c>
      <c r="B3948">
        <v>3945</v>
      </c>
      <c r="F3948" s="63"/>
      <c r="G3948" s="63"/>
      <c r="H3948" t="s">
        <v>26</v>
      </c>
      <c r="I3948" s="64"/>
      <c r="N3948" s="4"/>
      <c r="AG3948" t="s">
        <v>3655</v>
      </c>
      <c r="AM3948" s="1">
        <f t="shared" si="49"/>
        <v>0</v>
      </c>
    </row>
    <row r="3949" spans="1:39" x14ac:dyDescent="0.35">
      <c r="A3949">
        <v>3945</v>
      </c>
      <c r="B3949">
        <v>3946</v>
      </c>
      <c r="F3949" s="63"/>
      <c r="G3949" s="63"/>
      <c r="H3949" t="s">
        <v>26</v>
      </c>
      <c r="I3949" s="64"/>
      <c r="N3949" s="4"/>
      <c r="AG3949" t="s">
        <v>3656</v>
      </c>
      <c r="AM3949" s="1">
        <f t="shared" si="49"/>
        <v>0</v>
      </c>
    </row>
    <row r="3950" spans="1:39" x14ac:dyDescent="0.35">
      <c r="A3950">
        <v>3946</v>
      </c>
      <c r="B3950">
        <v>3947</v>
      </c>
      <c r="F3950" s="63"/>
      <c r="G3950" s="63"/>
      <c r="H3950" t="s">
        <v>78</v>
      </c>
      <c r="I3950" s="64">
        <v>0</v>
      </c>
      <c r="N3950" s="4"/>
      <c r="AG3950" t="s">
        <v>3657</v>
      </c>
      <c r="AM3950" s="1">
        <f t="shared" si="49"/>
        <v>0</v>
      </c>
    </row>
    <row r="3951" spans="1:39" x14ac:dyDescent="0.35">
      <c r="A3951">
        <v>3947</v>
      </c>
      <c r="B3951">
        <v>3948</v>
      </c>
      <c r="F3951" s="63"/>
      <c r="G3951" s="63"/>
      <c r="H3951" t="s">
        <v>26</v>
      </c>
      <c r="I3951" s="64"/>
      <c r="N3951" s="4"/>
      <c r="AG3951" t="s">
        <v>3658</v>
      </c>
      <c r="AM3951" s="1">
        <f t="shared" si="49"/>
        <v>0</v>
      </c>
    </row>
    <row r="3952" spans="1:39" x14ac:dyDescent="0.35">
      <c r="A3952">
        <v>3948</v>
      </c>
      <c r="B3952">
        <v>3949</v>
      </c>
      <c r="F3952" s="63"/>
      <c r="G3952" s="63"/>
      <c r="H3952" t="s">
        <v>26</v>
      </c>
      <c r="I3952" s="64"/>
      <c r="N3952" s="4"/>
      <c r="AG3952" t="s">
        <v>3659</v>
      </c>
      <c r="AM3952" s="1">
        <f t="shared" si="49"/>
        <v>0</v>
      </c>
    </row>
    <row r="3953" spans="1:39" x14ac:dyDescent="0.35">
      <c r="A3953">
        <v>3949</v>
      </c>
      <c r="B3953">
        <v>3950</v>
      </c>
      <c r="F3953" s="63"/>
      <c r="G3953" s="63"/>
      <c r="H3953" t="s">
        <v>26</v>
      </c>
      <c r="I3953" s="64"/>
      <c r="N3953" s="4"/>
      <c r="AG3953" t="s">
        <v>3660</v>
      </c>
      <c r="AM3953" s="1">
        <f t="shared" si="49"/>
        <v>0</v>
      </c>
    </row>
    <row r="3954" spans="1:39" x14ac:dyDescent="0.35">
      <c r="A3954">
        <v>3950</v>
      </c>
      <c r="B3954">
        <v>3951</v>
      </c>
      <c r="F3954" s="63"/>
      <c r="G3954" s="63"/>
      <c r="H3954" t="s">
        <v>26</v>
      </c>
      <c r="I3954" s="64"/>
      <c r="N3954" s="4"/>
      <c r="AG3954" t="s">
        <v>3661</v>
      </c>
      <c r="AM3954" s="1">
        <f t="shared" si="49"/>
        <v>0</v>
      </c>
    </row>
    <row r="3955" spans="1:39" x14ac:dyDescent="0.35">
      <c r="A3955">
        <v>3951</v>
      </c>
      <c r="B3955">
        <v>3952</v>
      </c>
      <c r="F3955" s="63"/>
      <c r="G3955" s="63"/>
      <c r="H3955" t="s">
        <v>26</v>
      </c>
      <c r="I3955" s="64"/>
      <c r="N3955" s="4"/>
      <c r="AG3955" t="s">
        <v>3662</v>
      </c>
      <c r="AM3955" s="1">
        <f t="shared" si="49"/>
        <v>0</v>
      </c>
    </row>
    <row r="3956" spans="1:39" x14ac:dyDescent="0.35">
      <c r="A3956">
        <v>3952</v>
      </c>
      <c r="B3956">
        <v>3953</v>
      </c>
      <c r="F3956" s="63"/>
      <c r="G3956" s="63"/>
      <c r="H3956" t="s">
        <v>26</v>
      </c>
      <c r="I3956" s="64"/>
      <c r="N3956" s="4"/>
      <c r="AG3956" t="s">
        <v>3663</v>
      </c>
      <c r="AM3956" s="1">
        <f t="shared" si="49"/>
        <v>0</v>
      </c>
    </row>
    <row r="3957" spans="1:39" x14ac:dyDescent="0.35">
      <c r="A3957">
        <v>3953</v>
      </c>
      <c r="B3957">
        <v>3954</v>
      </c>
      <c r="F3957" s="63"/>
      <c r="G3957" s="63"/>
      <c r="H3957" t="s">
        <v>26</v>
      </c>
      <c r="I3957" s="64"/>
      <c r="N3957" s="4"/>
      <c r="AG3957" t="s">
        <v>3664</v>
      </c>
      <c r="AM3957" s="1">
        <f t="shared" si="49"/>
        <v>0</v>
      </c>
    </row>
    <row r="3958" spans="1:39" x14ac:dyDescent="0.35">
      <c r="A3958">
        <v>3954</v>
      </c>
      <c r="B3958">
        <v>3955</v>
      </c>
      <c r="F3958" s="63"/>
      <c r="G3958" s="63"/>
      <c r="H3958" t="s">
        <v>26</v>
      </c>
      <c r="I3958" s="64"/>
      <c r="N3958" s="4"/>
      <c r="AG3958" t="s">
        <v>3665</v>
      </c>
      <c r="AM3958" s="1">
        <f t="shared" si="49"/>
        <v>0</v>
      </c>
    </row>
    <row r="3959" spans="1:39" x14ac:dyDescent="0.35">
      <c r="A3959">
        <v>3955</v>
      </c>
      <c r="B3959">
        <v>3956</v>
      </c>
      <c r="F3959" s="63"/>
      <c r="G3959" s="63"/>
      <c r="H3959" t="s">
        <v>26</v>
      </c>
      <c r="I3959" s="64"/>
      <c r="N3959" s="4"/>
      <c r="AG3959" t="s">
        <v>3666</v>
      </c>
      <c r="AM3959" s="1">
        <f t="shared" si="49"/>
        <v>0</v>
      </c>
    </row>
    <row r="3960" spans="1:39" x14ac:dyDescent="0.35">
      <c r="A3960">
        <v>3956</v>
      </c>
      <c r="B3960">
        <v>3957</v>
      </c>
      <c r="F3960" s="63"/>
      <c r="G3960" s="63"/>
      <c r="H3960" t="s">
        <v>26</v>
      </c>
      <c r="I3960" s="64"/>
      <c r="N3960" s="4"/>
      <c r="AG3960" t="s">
        <v>3667</v>
      </c>
      <c r="AM3960" s="1">
        <f t="shared" si="49"/>
        <v>0</v>
      </c>
    </row>
    <row r="3961" spans="1:39" x14ac:dyDescent="0.35">
      <c r="A3961">
        <v>3957</v>
      </c>
      <c r="B3961">
        <v>3958</v>
      </c>
      <c r="F3961" s="63"/>
      <c r="G3961" s="63"/>
      <c r="H3961" t="s">
        <v>26</v>
      </c>
      <c r="I3961" s="64"/>
      <c r="N3961" s="4"/>
      <c r="AG3961" t="s">
        <v>3668</v>
      </c>
      <c r="AM3961" s="1">
        <f t="shared" si="49"/>
        <v>0</v>
      </c>
    </row>
    <row r="3962" spans="1:39" x14ac:dyDescent="0.35">
      <c r="A3962">
        <v>3958</v>
      </c>
      <c r="B3962">
        <v>3959</v>
      </c>
      <c r="F3962" s="63"/>
      <c r="G3962" s="63"/>
      <c r="H3962" t="s">
        <v>26</v>
      </c>
      <c r="I3962" s="64"/>
      <c r="N3962" s="4"/>
      <c r="AG3962" t="s">
        <v>3669</v>
      </c>
      <c r="AM3962" s="1">
        <f t="shared" si="49"/>
        <v>0</v>
      </c>
    </row>
    <row r="3963" spans="1:39" x14ac:dyDescent="0.35">
      <c r="A3963">
        <v>3959</v>
      </c>
      <c r="B3963">
        <v>3960</v>
      </c>
      <c r="F3963" s="63"/>
      <c r="G3963" s="63"/>
      <c r="H3963" t="s">
        <v>26</v>
      </c>
      <c r="I3963" s="64"/>
      <c r="N3963" s="4"/>
      <c r="AG3963" t="s">
        <v>3670</v>
      </c>
      <c r="AM3963" s="1">
        <f t="shared" si="49"/>
        <v>0</v>
      </c>
    </row>
    <row r="3964" spans="1:39" x14ac:dyDescent="0.35">
      <c r="A3964">
        <v>3960</v>
      </c>
      <c r="B3964">
        <v>3961</v>
      </c>
      <c r="F3964" s="63"/>
      <c r="G3964" s="63"/>
      <c r="H3964" t="s">
        <v>26</v>
      </c>
      <c r="I3964" s="64"/>
      <c r="N3964" s="4"/>
      <c r="AG3964" t="s">
        <v>3671</v>
      </c>
      <c r="AM3964" s="1">
        <f t="shared" si="49"/>
        <v>0</v>
      </c>
    </row>
    <row r="3965" spans="1:39" x14ac:dyDescent="0.35">
      <c r="A3965">
        <v>3961</v>
      </c>
      <c r="B3965">
        <v>3962</v>
      </c>
      <c r="F3965" s="63"/>
      <c r="G3965" s="63"/>
      <c r="H3965" t="s">
        <v>26</v>
      </c>
      <c r="I3965" s="64"/>
      <c r="N3965" s="4"/>
      <c r="AG3965" t="s">
        <v>3672</v>
      </c>
      <c r="AM3965" s="1">
        <f t="shared" si="49"/>
        <v>0</v>
      </c>
    </row>
    <row r="3966" spans="1:39" x14ac:dyDescent="0.35">
      <c r="A3966">
        <v>3962</v>
      </c>
      <c r="B3966">
        <v>3963</v>
      </c>
      <c r="F3966" s="63"/>
      <c r="G3966" s="63"/>
      <c r="H3966" t="s">
        <v>26</v>
      </c>
      <c r="I3966" s="64"/>
      <c r="N3966" s="4"/>
      <c r="AG3966" t="s">
        <v>3673</v>
      </c>
      <c r="AM3966" s="1">
        <f t="shared" si="49"/>
        <v>0</v>
      </c>
    </row>
    <row r="3967" spans="1:39" x14ac:dyDescent="0.35">
      <c r="A3967">
        <v>3963</v>
      </c>
      <c r="B3967">
        <v>3964</v>
      </c>
      <c r="F3967" s="63"/>
      <c r="G3967" s="63"/>
      <c r="H3967" t="s">
        <v>26</v>
      </c>
      <c r="I3967" s="64"/>
      <c r="N3967" s="4"/>
      <c r="AG3967" t="s">
        <v>3674</v>
      </c>
      <c r="AM3967" s="1">
        <f t="shared" si="49"/>
        <v>0</v>
      </c>
    </row>
    <row r="3968" spans="1:39" x14ac:dyDescent="0.35">
      <c r="A3968">
        <v>3964</v>
      </c>
      <c r="B3968">
        <v>3965</v>
      </c>
      <c r="F3968" s="63"/>
      <c r="G3968" s="63"/>
      <c r="H3968" t="s">
        <v>26</v>
      </c>
      <c r="I3968" s="64"/>
      <c r="N3968" s="4"/>
      <c r="AG3968" t="s">
        <v>3675</v>
      </c>
      <c r="AM3968" s="1">
        <f t="shared" si="49"/>
        <v>0</v>
      </c>
    </row>
    <row r="3969" spans="1:39" x14ac:dyDescent="0.35">
      <c r="A3969">
        <v>3965</v>
      </c>
      <c r="B3969">
        <v>3966</v>
      </c>
      <c r="F3969" s="63"/>
      <c r="G3969" s="63"/>
      <c r="H3969" t="s">
        <v>26</v>
      </c>
      <c r="I3969" s="64"/>
      <c r="N3969" s="4"/>
      <c r="AG3969" t="s">
        <v>3676</v>
      </c>
      <c r="AM3969" s="1">
        <f t="shared" si="49"/>
        <v>0</v>
      </c>
    </row>
    <row r="3970" spans="1:39" x14ac:dyDescent="0.35">
      <c r="A3970">
        <v>3966</v>
      </c>
      <c r="B3970">
        <v>3967</v>
      </c>
      <c r="F3970" s="63"/>
      <c r="G3970" s="63"/>
      <c r="H3970" t="s">
        <v>26</v>
      </c>
      <c r="I3970" s="64"/>
      <c r="N3970" s="4"/>
      <c r="AG3970" t="s">
        <v>3677</v>
      </c>
      <c r="AM3970" s="1">
        <f t="shared" si="49"/>
        <v>0</v>
      </c>
    </row>
    <row r="3971" spans="1:39" x14ac:dyDescent="0.35">
      <c r="A3971">
        <v>3967</v>
      </c>
      <c r="B3971">
        <v>3968</v>
      </c>
      <c r="F3971" s="63"/>
      <c r="G3971" s="63"/>
      <c r="H3971" t="s">
        <v>26</v>
      </c>
      <c r="I3971" s="64"/>
      <c r="N3971" s="4"/>
      <c r="AG3971" t="s">
        <v>3678</v>
      </c>
      <c r="AM3971" s="1">
        <f t="shared" si="49"/>
        <v>0</v>
      </c>
    </row>
    <row r="3972" spans="1:39" x14ac:dyDescent="0.35">
      <c r="A3972">
        <v>3968</v>
      </c>
      <c r="B3972">
        <v>3969</v>
      </c>
      <c r="F3972" s="63"/>
      <c r="G3972" s="63"/>
      <c r="H3972" t="s">
        <v>26</v>
      </c>
      <c r="I3972" s="64"/>
      <c r="N3972" s="4"/>
      <c r="AG3972" t="s">
        <v>3679</v>
      </c>
      <c r="AM3972" s="1">
        <f t="shared" si="49"/>
        <v>0</v>
      </c>
    </row>
    <row r="3973" spans="1:39" x14ac:dyDescent="0.35">
      <c r="A3973">
        <v>3969</v>
      </c>
      <c r="B3973">
        <v>3970</v>
      </c>
      <c r="F3973" s="63"/>
      <c r="G3973" s="63"/>
      <c r="H3973" t="s">
        <v>26</v>
      </c>
      <c r="I3973" s="64"/>
      <c r="N3973" s="4"/>
      <c r="AG3973" t="s">
        <v>3680</v>
      </c>
      <c r="AM3973" s="1">
        <f t="shared" si="49"/>
        <v>0</v>
      </c>
    </row>
    <row r="3974" spans="1:39" x14ac:dyDescent="0.35">
      <c r="A3974">
        <v>3970</v>
      </c>
      <c r="B3974">
        <v>3971</v>
      </c>
      <c r="F3974" s="63"/>
      <c r="G3974" s="63"/>
      <c r="H3974" t="s">
        <v>26</v>
      </c>
      <c r="I3974" s="64"/>
      <c r="N3974" s="4"/>
      <c r="AG3974" t="s">
        <v>3681</v>
      </c>
      <c r="AM3974" s="1">
        <f t="shared" si="49"/>
        <v>0</v>
      </c>
    </row>
    <row r="3975" spans="1:39" x14ac:dyDescent="0.35">
      <c r="A3975">
        <v>3971</v>
      </c>
      <c r="B3975">
        <v>3972</v>
      </c>
      <c r="F3975" s="63"/>
      <c r="G3975" s="63"/>
      <c r="H3975" t="s">
        <v>26</v>
      </c>
      <c r="I3975" s="64"/>
      <c r="N3975" s="4"/>
      <c r="AG3975" t="s">
        <v>3682</v>
      </c>
      <c r="AM3975" s="1">
        <f t="shared" si="49"/>
        <v>0</v>
      </c>
    </row>
    <row r="3976" spans="1:39" x14ac:dyDescent="0.35">
      <c r="A3976">
        <v>3972</v>
      </c>
      <c r="B3976">
        <v>3973</v>
      </c>
      <c r="F3976" s="63"/>
      <c r="G3976" s="63"/>
      <c r="H3976" t="s">
        <v>26</v>
      </c>
      <c r="I3976" s="64"/>
      <c r="N3976" s="4"/>
      <c r="AG3976" t="s">
        <v>3683</v>
      </c>
      <c r="AM3976" s="1">
        <f t="shared" si="49"/>
        <v>0</v>
      </c>
    </row>
    <row r="3977" spans="1:39" x14ac:dyDescent="0.35">
      <c r="A3977">
        <v>3973</v>
      </c>
      <c r="B3977">
        <v>3974</v>
      </c>
      <c r="F3977" s="63"/>
      <c r="G3977" s="63"/>
      <c r="H3977" t="s">
        <v>26</v>
      </c>
      <c r="I3977" s="64"/>
      <c r="N3977" s="4"/>
      <c r="AG3977" t="s">
        <v>3684</v>
      </c>
      <c r="AM3977" s="1">
        <f t="shared" si="49"/>
        <v>0</v>
      </c>
    </row>
    <row r="3978" spans="1:39" x14ac:dyDescent="0.35">
      <c r="A3978">
        <v>3974</v>
      </c>
      <c r="B3978">
        <v>3975</v>
      </c>
      <c r="F3978" s="63"/>
      <c r="G3978" s="63"/>
      <c r="H3978" t="s">
        <v>26</v>
      </c>
      <c r="I3978" s="64"/>
      <c r="N3978" s="4"/>
      <c r="AG3978" t="s">
        <v>3685</v>
      </c>
      <c r="AM3978" s="1">
        <f t="shared" si="49"/>
        <v>0</v>
      </c>
    </row>
    <row r="3979" spans="1:39" x14ac:dyDescent="0.35">
      <c r="A3979">
        <v>3975</v>
      </c>
      <c r="B3979">
        <v>3976</v>
      </c>
      <c r="F3979" s="63"/>
      <c r="G3979" s="63"/>
      <c r="H3979" t="s">
        <v>26</v>
      </c>
      <c r="I3979" s="64"/>
      <c r="N3979" s="4"/>
      <c r="AG3979" t="s">
        <v>3686</v>
      </c>
      <c r="AM3979" s="1">
        <f t="shared" si="49"/>
        <v>0</v>
      </c>
    </row>
    <row r="3980" spans="1:39" x14ac:dyDescent="0.35">
      <c r="A3980">
        <v>3976</v>
      </c>
      <c r="B3980">
        <v>3977</v>
      </c>
      <c r="F3980" s="63"/>
      <c r="G3980" s="63"/>
      <c r="H3980" t="s">
        <v>26</v>
      </c>
      <c r="I3980" s="64"/>
      <c r="N3980" s="4"/>
      <c r="AG3980" t="s">
        <v>3687</v>
      </c>
      <c r="AM3980" s="1">
        <f t="shared" si="49"/>
        <v>0</v>
      </c>
    </row>
    <row r="3981" spans="1:39" x14ac:dyDescent="0.35">
      <c r="A3981">
        <v>3977</v>
      </c>
      <c r="B3981">
        <v>3978</v>
      </c>
      <c r="F3981" s="63"/>
      <c r="G3981" s="63"/>
      <c r="H3981" t="s">
        <v>26</v>
      </c>
      <c r="I3981" s="64"/>
      <c r="N3981" s="4"/>
      <c r="AG3981" t="s">
        <v>3688</v>
      </c>
      <c r="AM3981" s="1">
        <f t="shared" si="49"/>
        <v>0</v>
      </c>
    </row>
    <row r="3982" spans="1:39" x14ac:dyDescent="0.35">
      <c r="A3982">
        <v>3978</v>
      </c>
      <c r="B3982">
        <v>3979</v>
      </c>
      <c r="F3982" s="63"/>
      <c r="G3982" s="63"/>
      <c r="H3982" t="s">
        <v>26</v>
      </c>
      <c r="I3982" s="64"/>
      <c r="N3982" s="4"/>
      <c r="AG3982" t="s">
        <v>3689</v>
      </c>
      <c r="AM3982" s="1">
        <f t="shared" si="49"/>
        <v>0</v>
      </c>
    </row>
    <row r="3983" spans="1:39" x14ac:dyDescent="0.35">
      <c r="A3983">
        <v>3979</v>
      </c>
      <c r="B3983">
        <v>3980</v>
      </c>
      <c r="F3983" s="63"/>
      <c r="G3983" s="63"/>
      <c r="H3983" t="s">
        <v>26</v>
      </c>
      <c r="I3983" s="64"/>
      <c r="N3983" s="4"/>
      <c r="AG3983" t="s">
        <v>3690</v>
      </c>
      <c r="AM3983" s="1">
        <f t="shared" si="49"/>
        <v>0</v>
      </c>
    </row>
    <row r="3984" spans="1:39" x14ac:dyDescent="0.35">
      <c r="A3984">
        <v>3980</v>
      </c>
      <c r="B3984">
        <v>3981</v>
      </c>
      <c r="F3984" s="63"/>
      <c r="G3984" s="63"/>
      <c r="H3984" t="s">
        <v>26</v>
      </c>
      <c r="I3984" s="64"/>
      <c r="N3984" s="4"/>
      <c r="AG3984" t="s">
        <v>3691</v>
      </c>
      <c r="AM3984" s="1">
        <f t="shared" si="49"/>
        <v>0</v>
      </c>
    </row>
    <row r="3985" spans="1:39" x14ac:dyDescent="0.35">
      <c r="A3985">
        <v>3981</v>
      </c>
      <c r="B3985">
        <v>3982</v>
      </c>
      <c r="F3985" s="63"/>
      <c r="G3985" s="63"/>
      <c r="H3985" t="s">
        <v>26</v>
      </c>
      <c r="I3985" s="64"/>
      <c r="N3985" s="4"/>
      <c r="AG3985" t="s">
        <v>3692</v>
      </c>
      <c r="AM3985" s="1">
        <f t="shared" si="49"/>
        <v>0</v>
      </c>
    </row>
    <row r="3986" spans="1:39" x14ac:dyDescent="0.35">
      <c r="A3986">
        <v>3982</v>
      </c>
      <c r="B3986">
        <v>3983</v>
      </c>
      <c r="F3986" s="63"/>
      <c r="G3986" s="63"/>
      <c r="H3986" t="s">
        <v>26</v>
      </c>
      <c r="I3986" s="64"/>
      <c r="N3986" s="4"/>
      <c r="AG3986" t="s">
        <v>3693</v>
      </c>
      <c r="AM3986" s="1">
        <f t="shared" si="49"/>
        <v>0</v>
      </c>
    </row>
    <row r="3987" spans="1:39" x14ac:dyDescent="0.35">
      <c r="A3987">
        <v>3983</v>
      </c>
      <c r="B3987">
        <v>3984</v>
      </c>
      <c r="F3987" s="63"/>
      <c r="G3987" s="63"/>
      <c r="H3987" t="s">
        <v>26</v>
      </c>
      <c r="I3987" s="64"/>
      <c r="N3987" s="4"/>
      <c r="AG3987" t="s">
        <v>3694</v>
      </c>
      <c r="AM3987" s="1">
        <f t="shared" si="49"/>
        <v>0</v>
      </c>
    </row>
    <row r="3988" spans="1:39" x14ac:dyDescent="0.35">
      <c r="A3988">
        <v>3984</v>
      </c>
      <c r="B3988">
        <v>3985</v>
      </c>
      <c r="F3988" s="63"/>
      <c r="G3988" s="63"/>
      <c r="H3988" t="s">
        <v>26</v>
      </c>
      <c r="I3988" s="64"/>
      <c r="N3988" s="4"/>
      <c r="AG3988" t="s">
        <v>3695</v>
      </c>
      <c r="AM3988" s="1">
        <f t="shared" si="49"/>
        <v>0</v>
      </c>
    </row>
    <row r="3989" spans="1:39" x14ac:dyDescent="0.35">
      <c r="A3989">
        <v>3985</v>
      </c>
      <c r="B3989">
        <v>3986</v>
      </c>
      <c r="F3989" s="63"/>
      <c r="G3989" s="63"/>
      <c r="H3989" t="s">
        <v>26</v>
      </c>
      <c r="I3989" s="64"/>
      <c r="N3989" s="4"/>
      <c r="AG3989" t="s">
        <v>3696</v>
      </c>
      <c r="AM3989" s="1">
        <f t="shared" si="49"/>
        <v>0</v>
      </c>
    </row>
    <row r="3990" spans="1:39" x14ac:dyDescent="0.35">
      <c r="A3990">
        <v>3986</v>
      </c>
      <c r="B3990">
        <v>3987</v>
      </c>
      <c r="F3990" s="63"/>
      <c r="G3990" s="63"/>
      <c r="H3990" t="s">
        <v>26</v>
      </c>
      <c r="I3990" s="64"/>
      <c r="N3990" s="4"/>
      <c r="AG3990" t="s">
        <v>3697</v>
      </c>
      <c r="AM3990" s="1">
        <f t="shared" si="49"/>
        <v>0</v>
      </c>
    </row>
    <row r="3991" spans="1:39" x14ac:dyDescent="0.35">
      <c r="A3991">
        <v>3987</v>
      </c>
      <c r="B3991">
        <v>3988</v>
      </c>
      <c r="F3991" s="63"/>
      <c r="G3991" s="63"/>
      <c r="H3991" t="s">
        <v>26</v>
      </c>
      <c r="I3991" s="64"/>
      <c r="N3991" s="4"/>
      <c r="AG3991" t="s">
        <v>3698</v>
      </c>
      <c r="AM3991" s="1">
        <f t="shared" si="49"/>
        <v>0</v>
      </c>
    </row>
    <row r="3992" spans="1:39" x14ac:dyDescent="0.35">
      <c r="A3992">
        <v>3988</v>
      </c>
      <c r="B3992">
        <v>3989</v>
      </c>
      <c r="F3992" s="63"/>
      <c r="G3992" s="63"/>
      <c r="H3992" t="s">
        <v>26</v>
      </c>
      <c r="I3992" s="64"/>
      <c r="N3992" s="4"/>
      <c r="AG3992" t="s">
        <v>3699</v>
      </c>
      <c r="AM3992" s="1">
        <f t="shared" si="49"/>
        <v>0</v>
      </c>
    </row>
    <row r="3993" spans="1:39" x14ac:dyDescent="0.35">
      <c r="A3993">
        <v>3989</v>
      </c>
      <c r="B3993">
        <v>3990</v>
      </c>
      <c r="F3993" s="63"/>
      <c r="G3993" s="63"/>
      <c r="H3993" t="s">
        <v>26</v>
      </c>
      <c r="I3993" s="64"/>
      <c r="N3993" s="4"/>
      <c r="AG3993" t="s">
        <v>3700</v>
      </c>
      <c r="AM3993" s="1">
        <f t="shared" si="49"/>
        <v>0</v>
      </c>
    </row>
    <row r="3994" spans="1:39" x14ac:dyDescent="0.35">
      <c r="A3994">
        <v>3990</v>
      </c>
      <c r="B3994">
        <v>3991</v>
      </c>
      <c r="F3994" s="63"/>
      <c r="G3994" s="63"/>
      <c r="H3994" t="s">
        <v>26</v>
      </c>
      <c r="I3994" s="64"/>
      <c r="N3994" s="4"/>
      <c r="AG3994" t="s">
        <v>3701</v>
      </c>
      <c r="AM3994" s="1">
        <f t="shared" si="49"/>
        <v>0</v>
      </c>
    </row>
    <row r="3995" spans="1:39" x14ac:dyDescent="0.35">
      <c r="A3995">
        <v>3991</v>
      </c>
      <c r="B3995">
        <v>3992</v>
      </c>
      <c r="F3995" s="63"/>
      <c r="G3995" s="63"/>
      <c r="H3995" t="s">
        <v>26</v>
      </c>
      <c r="I3995" s="64"/>
      <c r="N3995" s="4"/>
      <c r="AG3995" t="s">
        <v>3702</v>
      </c>
      <c r="AM3995" s="1">
        <f t="shared" si="49"/>
        <v>0</v>
      </c>
    </row>
    <row r="3996" spans="1:39" x14ac:dyDescent="0.35">
      <c r="A3996">
        <v>3992</v>
      </c>
      <c r="B3996">
        <v>3993</v>
      </c>
      <c r="F3996" s="63"/>
      <c r="G3996" s="63"/>
      <c r="H3996" t="s">
        <v>26</v>
      </c>
      <c r="I3996" s="64"/>
      <c r="N3996" s="4"/>
      <c r="AG3996" t="s">
        <v>3703</v>
      </c>
      <c r="AM3996" s="1">
        <f t="shared" si="49"/>
        <v>0</v>
      </c>
    </row>
    <row r="3997" spans="1:39" x14ac:dyDescent="0.35">
      <c r="A3997">
        <v>3993</v>
      </c>
      <c r="B3997">
        <v>3994</v>
      </c>
      <c r="F3997" s="63"/>
      <c r="G3997" s="63"/>
      <c r="H3997" t="s">
        <v>26</v>
      </c>
      <c r="I3997" s="64"/>
      <c r="N3997" s="4"/>
      <c r="AG3997" t="s">
        <v>3704</v>
      </c>
      <c r="AM3997" s="1">
        <f t="shared" si="49"/>
        <v>0</v>
      </c>
    </row>
    <row r="3998" spans="1:39" x14ac:dyDescent="0.35">
      <c r="A3998">
        <v>3994</v>
      </c>
      <c r="B3998">
        <v>3995</v>
      </c>
      <c r="F3998" s="63"/>
      <c r="G3998" s="63"/>
      <c r="H3998" t="s">
        <v>26</v>
      </c>
      <c r="I3998" s="64"/>
      <c r="N3998" s="4"/>
      <c r="AG3998" t="s">
        <v>3705</v>
      </c>
      <c r="AM3998" s="1">
        <f t="shared" si="49"/>
        <v>0</v>
      </c>
    </row>
    <row r="3999" spans="1:39" x14ac:dyDescent="0.35">
      <c r="A3999">
        <v>3995</v>
      </c>
      <c r="B3999">
        <v>3996</v>
      </c>
      <c r="F3999" s="63"/>
      <c r="G3999" s="63"/>
      <c r="H3999" t="s">
        <v>26</v>
      </c>
      <c r="I3999" s="64"/>
      <c r="N3999" s="4"/>
      <c r="AG3999" t="s">
        <v>3706</v>
      </c>
      <c r="AM3999" s="1">
        <f t="shared" si="49"/>
        <v>0</v>
      </c>
    </row>
    <row r="4000" spans="1:39" x14ac:dyDescent="0.35">
      <c r="A4000">
        <v>3996</v>
      </c>
      <c r="B4000">
        <v>3997</v>
      </c>
      <c r="F4000" s="63"/>
      <c r="G4000" s="63"/>
      <c r="H4000" t="s">
        <v>26</v>
      </c>
      <c r="I4000" s="64"/>
      <c r="N4000" s="4"/>
      <c r="AG4000" t="s">
        <v>3707</v>
      </c>
      <c r="AM4000" s="1">
        <f t="shared" si="49"/>
        <v>0</v>
      </c>
    </row>
    <row r="4001" spans="1:39" x14ac:dyDescent="0.35">
      <c r="A4001">
        <v>3997</v>
      </c>
      <c r="B4001">
        <v>3998</v>
      </c>
      <c r="F4001" s="63"/>
      <c r="G4001" s="63"/>
      <c r="H4001" t="s">
        <v>26</v>
      </c>
      <c r="I4001" s="64"/>
      <c r="N4001" s="4"/>
      <c r="AG4001" t="s">
        <v>3708</v>
      </c>
      <c r="AM4001" s="1">
        <f t="shared" si="49"/>
        <v>0</v>
      </c>
    </row>
    <row r="4002" spans="1:39" x14ac:dyDescent="0.35">
      <c r="A4002">
        <v>3998</v>
      </c>
      <c r="B4002">
        <v>3999</v>
      </c>
      <c r="F4002" s="63"/>
      <c r="G4002" s="63"/>
      <c r="H4002" t="s">
        <v>26</v>
      </c>
      <c r="I4002" s="64"/>
      <c r="N4002" s="4"/>
      <c r="AG4002" t="s">
        <v>3709</v>
      </c>
      <c r="AM4002" s="1">
        <f t="shared" si="49"/>
        <v>0</v>
      </c>
    </row>
    <row r="4003" spans="1:39" x14ac:dyDescent="0.35">
      <c r="A4003">
        <v>3999</v>
      </c>
      <c r="B4003">
        <v>4000</v>
      </c>
      <c r="F4003" s="63"/>
      <c r="G4003" s="63"/>
      <c r="H4003" t="s">
        <v>26</v>
      </c>
      <c r="I4003" s="64"/>
      <c r="N4003" s="4"/>
      <c r="AG4003" t="s">
        <v>3710</v>
      </c>
      <c r="AM4003" s="1">
        <f t="shared" si="49"/>
        <v>0</v>
      </c>
    </row>
    <row r="4004" spans="1:39" x14ac:dyDescent="0.35">
      <c r="A4004">
        <v>4000</v>
      </c>
      <c r="B4004">
        <v>4001</v>
      </c>
      <c r="F4004" s="63"/>
      <c r="G4004" s="63"/>
      <c r="H4004" t="s">
        <v>26</v>
      </c>
      <c r="I4004" s="64"/>
      <c r="N4004" s="4"/>
      <c r="AG4004" t="s">
        <v>3711</v>
      </c>
      <c r="AM4004" s="1">
        <f t="shared" si="49"/>
        <v>0</v>
      </c>
    </row>
    <row r="4005" spans="1:39" x14ac:dyDescent="0.35">
      <c r="A4005">
        <v>4001</v>
      </c>
      <c r="B4005">
        <v>4002</v>
      </c>
      <c r="F4005" s="63"/>
      <c r="G4005" s="63"/>
      <c r="H4005" t="s">
        <v>26</v>
      </c>
      <c r="I4005" s="64"/>
      <c r="N4005" s="4"/>
      <c r="AG4005" t="s">
        <v>3712</v>
      </c>
      <c r="AM4005" s="1">
        <f t="shared" si="49"/>
        <v>0</v>
      </c>
    </row>
    <row r="4006" spans="1:39" x14ac:dyDescent="0.35">
      <c r="A4006">
        <v>4002</v>
      </c>
      <c r="B4006">
        <v>4003</v>
      </c>
      <c r="F4006" s="63"/>
      <c r="G4006" s="63"/>
      <c r="H4006" t="s">
        <v>26</v>
      </c>
      <c r="I4006" s="64"/>
      <c r="N4006" s="4"/>
      <c r="AG4006" t="s">
        <v>3713</v>
      </c>
      <c r="AM4006" s="1">
        <f t="shared" si="49"/>
        <v>0</v>
      </c>
    </row>
    <row r="4007" spans="1:39" x14ac:dyDescent="0.35">
      <c r="A4007">
        <v>4003</v>
      </c>
      <c r="B4007">
        <v>4004</v>
      </c>
      <c r="F4007" s="63"/>
      <c r="G4007" s="63"/>
      <c r="H4007" t="s">
        <v>26</v>
      </c>
      <c r="I4007" s="64"/>
      <c r="N4007" s="4"/>
      <c r="AG4007" t="s">
        <v>3714</v>
      </c>
      <c r="AM4007" s="1">
        <f t="shared" si="49"/>
        <v>0</v>
      </c>
    </row>
    <row r="4008" spans="1:39" x14ac:dyDescent="0.35">
      <c r="A4008">
        <v>4004</v>
      </c>
      <c r="B4008">
        <v>4005</v>
      </c>
      <c r="F4008" s="63"/>
      <c r="G4008" s="63"/>
      <c r="H4008" t="s">
        <v>26</v>
      </c>
      <c r="I4008" s="64"/>
      <c r="N4008" s="4"/>
      <c r="AG4008" t="s">
        <v>3715</v>
      </c>
      <c r="AM4008" s="1">
        <f t="shared" si="49"/>
        <v>0</v>
      </c>
    </row>
    <row r="4009" spans="1:39" x14ac:dyDescent="0.35">
      <c r="A4009">
        <v>4005</v>
      </c>
      <c r="B4009">
        <v>4006</v>
      </c>
      <c r="F4009" s="63"/>
      <c r="G4009" s="63"/>
      <c r="H4009" t="s">
        <v>26</v>
      </c>
      <c r="I4009" s="64"/>
      <c r="N4009" s="4"/>
      <c r="AG4009" t="s">
        <v>3716</v>
      </c>
      <c r="AM4009" s="1">
        <f t="shared" ref="AM4009:AM4072" si="50">HYPERLINK("E:\CAFNEC_GBRF\2023\JohnstoneRiver\Frames_for_Analysis\" &amp; F4010, F4010)</f>
        <v>0</v>
      </c>
    </row>
    <row r="4010" spans="1:39" x14ac:dyDescent="0.35">
      <c r="A4010">
        <v>4006</v>
      </c>
      <c r="B4010">
        <v>4007</v>
      </c>
      <c r="F4010" s="63"/>
      <c r="G4010" s="63"/>
      <c r="H4010" t="s">
        <v>26</v>
      </c>
      <c r="I4010" s="64"/>
      <c r="N4010" s="4"/>
      <c r="AG4010" t="s">
        <v>3717</v>
      </c>
      <c r="AM4010" s="1">
        <f t="shared" si="50"/>
        <v>0</v>
      </c>
    </row>
    <row r="4011" spans="1:39" x14ac:dyDescent="0.35">
      <c r="A4011">
        <v>4007</v>
      </c>
      <c r="B4011">
        <v>4008</v>
      </c>
      <c r="F4011" s="63"/>
      <c r="G4011" s="63"/>
      <c r="H4011" t="s">
        <v>26</v>
      </c>
      <c r="I4011" s="64"/>
      <c r="N4011" s="4"/>
      <c r="AG4011" t="s">
        <v>3718</v>
      </c>
      <c r="AM4011" s="1">
        <f t="shared" si="50"/>
        <v>0</v>
      </c>
    </row>
    <row r="4012" spans="1:39" x14ac:dyDescent="0.35">
      <c r="A4012">
        <v>4008</v>
      </c>
      <c r="B4012">
        <v>4009</v>
      </c>
      <c r="F4012" s="63"/>
      <c r="G4012" s="63"/>
      <c r="H4012" t="s">
        <v>26</v>
      </c>
      <c r="I4012" s="64"/>
      <c r="N4012" s="4"/>
      <c r="AG4012" t="s">
        <v>3719</v>
      </c>
      <c r="AM4012" s="1">
        <f t="shared" si="50"/>
        <v>0</v>
      </c>
    </row>
    <row r="4013" spans="1:39" x14ac:dyDescent="0.35">
      <c r="A4013">
        <v>4009</v>
      </c>
      <c r="B4013">
        <v>4010</v>
      </c>
      <c r="F4013" s="63"/>
      <c r="G4013" s="63"/>
      <c r="H4013" t="s">
        <v>26</v>
      </c>
      <c r="I4013" s="64"/>
      <c r="N4013" s="4"/>
      <c r="AG4013" t="s">
        <v>3720</v>
      </c>
      <c r="AM4013" s="1">
        <f t="shared" si="50"/>
        <v>0</v>
      </c>
    </row>
    <row r="4014" spans="1:39" x14ac:dyDescent="0.35">
      <c r="A4014">
        <v>4010</v>
      </c>
      <c r="B4014">
        <v>4011</v>
      </c>
      <c r="F4014" s="63"/>
      <c r="G4014" s="63"/>
      <c r="H4014" t="s">
        <v>26</v>
      </c>
      <c r="I4014" s="64"/>
      <c r="N4014" s="4"/>
      <c r="AG4014" t="s">
        <v>3721</v>
      </c>
      <c r="AM4014" s="1">
        <f t="shared" si="50"/>
        <v>0</v>
      </c>
    </row>
    <row r="4015" spans="1:39" x14ac:dyDescent="0.35">
      <c r="A4015">
        <v>4011</v>
      </c>
      <c r="B4015">
        <v>4012</v>
      </c>
      <c r="F4015" s="63"/>
      <c r="G4015" s="63"/>
      <c r="H4015" t="s">
        <v>26</v>
      </c>
      <c r="I4015" s="64"/>
      <c r="N4015" s="4"/>
      <c r="AG4015" t="s">
        <v>3722</v>
      </c>
      <c r="AM4015" s="1">
        <f t="shared" si="50"/>
        <v>0</v>
      </c>
    </row>
    <row r="4016" spans="1:39" x14ac:dyDescent="0.35">
      <c r="A4016">
        <v>4012</v>
      </c>
      <c r="B4016">
        <v>4013</v>
      </c>
      <c r="F4016" s="63"/>
      <c r="G4016" s="63"/>
      <c r="H4016" t="s">
        <v>26</v>
      </c>
      <c r="I4016" s="64"/>
      <c r="N4016" s="4"/>
      <c r="AG4016" t="s">
        <v>3723</v>
      </c>
      <c r="AM4016" s="1">
        <f t="shared" si="50"/>
        <v>0</v>
      </c>
    </row>
    <row r="4017" spans="1:39" x14ac:dyDescent="0.35">
      <c r="A4017">
        <v>4013</v>
      </c>
      <c r="B4017">
        <v>4014</v>
      </c>
      <c r="F4017" s="63"/>
      <c r="G4017" s="63"/>
      <c r="H4017" t="s">
        <v>26</v>
      </c>
      <c r="I4017" s="64"/>
      <c r="N4017" s="4"/>
      <c r="AG4017" t="s">
        <v>3724</v>
      </c>
      <c r="AM4017" s="1">
        <f t="shared" si="50"/>
        <v>0</v>
      </c>
    </row>
    <row r="4018" spans="1:39" x14ac:dyDescent="0.35">
      <c r="A4018">
        <v>4014</v>
      </c>
      <c r="B4018">
        <v>4015</v>
      </c>
      <c r="F4018" s="63"/>
      <c r="G4018" s="63"/>
      <c r="H4018" t="s">
        <v>26</v>
      </c>
      <c r="I4018" s="64"/>
      <c r="N4018" s="4"/>
      <c r="AG4018" t="s">
        <v>3725</v>
      </c>
      <c r="AM4018" s="1">
        <f t="shared" si="50"/>
        <v>0</v>
      </c>
    </row>
    <row r="4019" spans="1:39" x14ac:dyDescent="0.35">
      <c r="A4019">
        <v>4015</v>
      </c>
      <c r="B4019">
        <v>4016</v>
      </c>
      <c r="F4019" s="63"/>
      <c r="G4019" s="63"/>
      <c r="H4019" t="s">
        <v>26</v>
      </c>
      <c r="I4019" s="64"/>
      <c r="N4019" s="4"/>
      <c r="AG4019" t="s">
        <v>3726</v>
      </c>
      <c r="AM4019" s="1">
        <f t="shared" si="50"/>
        <v>0</v>
      </c>
    </row>
    <row r="4020" spans="1:39" x14ac:dyDescent="0.35">
      <c r="A4020">
        <v>4016</v>
      </c>
      <c r="B4020">
        <v>4017</v>
      </c>
      <c r="F4020" s="63"/>
      <c r="G4020" s="63"/>
      <c r="H4020" t="s">
        <v>26</v>
      </c>
      <c r="I4020" s="64"/>
      <c r="N4020" s="4"/>
      <c r="AG4020" t="s">
        <v>3727</v>
      </c>
      <c r="AM4020" s="1">
        <f t="shared" si="50"/>
        <v>0</v>
      </c>
    </row>
    <row r="4021" spans="1:39" x14ac:dyDescent="0.35">
      <c r="A4021">
        <v>4017</v>
      </c>
      <c r="B4021">
        <v>4018</v>
      </c>
      <c r="F4021" s="63"/>
      <c r="G4021" s="63"/>
      <c r="H4021" t="s">
        <v>26</v>
      </c>
      <c r="I4021" s="64"/>
      <c r="N4021" s="4"/>
      <c r="AG4021" t="s">
        <v>3728</v>
      </c>
      <c r="AM4021" s="1">
        <f t="shared" si="50"/>
        <v>0</v>
      </c>
    </row>
    <row r="4022" spans="1:39" x14ac:dyDescent="0.35">
      <c r="A4022">
        <v>4018</v>
      </c>
      <c r="B4022">
        <v>4019</v>
      </c>
      <c r="F4022" s="63"/>
      <c r="G4022" s="63"/>
      <c r="H4022" t="s">
        <v>26</v>
      </c>
      <c r="I4022" s="64"/>
      <c r="N4022" s="4"/>
      <c r="AG4022" t="s">
        <v>3729</v>
      </c>
      <c r="AM4022" s="1">
        <f t="shared" si="50"/>
        <v>0</v>
      </c>
    </row>
    <row r="4023" spans="1:39" x14ac:dyDescent="0.35">
      <c r="A4023">
        <v>4019</v>
      </c>
      <c r="B4023">
        <v>4020</v>
      </c>
      <c r="F4023" s="63"/>
      <c r="G4023" s="63"/>
      <c r="H4023" t="s">
        <v>26</v>
      </c>
      <c r="I4023" s="64"/>
      <c r="N4023" s="4"/>
      <c r="AG4023" t="s">
        <v>3730</v>
      </c>
      <c r="AM4023" s="1">
        <f t="shared" si="50"/>
        <v>0</v>
      </c>
    </row>
    <row r="4024" spans="1:39" x14ac:dyDescent="0.35">
      <c r="A4024">
        <v>4020</v>
      </c>
      <c r="B4024">
        <v>4021</v>
      </c>
      <c r="F4024" s="63"/>
      <c r="G4024" s="63"/>
      <c r="H4024" t="s">
        <v>26</v>
      </c>
      <c r="I4024" s="64"/>
      <c r="N4024" s="4"/>
      <c r="AG4024" t="s">
        <v>3731</v>
      </c>
      <c r="AM4024" s="1">
        <f t="shared" si="50"/>
        <v>0</v>
      </c>
    </row>
    <row r="4025" spans="1:39" x14ac:dyDescent="0.35">
      <c r="A4025">
        <v>4021</v>
      </c>
      <c r="B4025">
        <v>4022</v>
      </c>
      <c r="F4025" s="63"/>
      <c r="G4025" s="63"/>
      <c r="H4025" t="s">
        <v>26</v>
      </c>
      <c r="I4025" s="64"/>
      <c r="N4025" s="4"/>
      <c r="AG4025" t="s">
        <v>3732</v>
      </c>
      <c r="AM4025" s="1">
        <f t="shared" si="50"/>
        <v>0</v>
      </c>
    </row>
    <row r="4026" spans="1:39" x14ac:dyDescent="0.35">
      <c r="A4026">
        <v>4022</v>
      </c>
      <c r="B4026">
        <v>4023</v>
      </c>
      <c r="F4026" s="63"/>
      <c r="G4026" s="63"/>
      <c r="H4026" t="s">
        <v>26</v>
      </c>
      <c r="I4026" s="64"/>
      <c r="N4026" s="4"/>
      <c r="AG4026" t="s">
        <v>3733</v>
      </c>
      <c r="AM4026" s="1">
        <f t="shared" si="50"/>
        <v>0</v>
      </c>
    </row>
    <row r="4027" spans="1:39" x14ac:dyDescent="0.35">
      <c r="A4027">
        <v>4023</v>
      </c>
      <c r="B4027">
        <v>4024</v>
      </c>
      <c r="F4027" s="63"/>
      <c r="G4027" s="63"/>
      <c r="H4027" t="s">
        <v>26</v>
      </c>
      <c r="I4027" s="64"/>
      <c r="N4027" s="4"/>
      <c r="AG4027" t="s">
        <v>3734</v>
      </c>
      <c r="AM4027" s="1">
        <f t="shared" si="50"/>
        <v>0</v>
      </c>
    </row>
    <row r="4028" spans="1:39" x14ac:dyDescent="0.35">
      <c r="A4028">
        <v>4024</v>
      </c>
      <c r="B4028">
        <v>4025</v>
      </c>
      <c r="F4028" s="63"/>
      <c r="G4028" s="63"/>
      <c r="H4028" t="s">
        <v>26</v>
      </c>
      <c r="I4028" s="64"/>
      <c r="N4028" s="4"/>
      <c r="AG4028" t="s">
        <v>3735</v>
      </c>
      <c r="AM4028" s="1">
        <f t="shared" si="50"/>
        <v>0</v>
      </c>
    </row>
    <row r="4029" spans="1:39" x14ac:dyDescent="0.35">
      <c r="A4029">
        <v>4025</v>
      </c>
      <c r="B4029">
        <v>4026</v>
      </c>
      <c r="F4029" s="63"/>
      <c r="G4029" s="63"/>
      <c r="H4029" t="s">
        <v>26</v>
      </c>
      <c r="I4029" s="64"/>
      <c r="N4029" s="4"/>
      <c r="AG4029" t="s">
        <v>3736</v>
      </c>
      <c r="AM4029" s="1">
        <f t="shared" si="50"/>
        <v>0</v>
      </c>
    </row>
    <row r="4030" spans="1:39" x14ac:dyDescent="0.35">
      <c r="A4030">
        <v>4026</v>
      </c>
      <c r="B4030">
        <v>4027</v>
      </c>
      <c r="F4030" s="63"/>
      <c r="G4030" s="63"/>
      <c r="H4030" t="s">
        <v>26</v>
      </c>
      <c r="I4030" s="64"/>
      <c r="N4030" s="4"/>
      <c r="AG4030" t="s">
        <v>3737</v>
      </c>
      <c r="AM4030" s="1">
        <f t="shared" si="50"/>
        <v>0</v>
      </c>
    </row>
    <row r="4031" spans="1:39" x14ac:dyDescent="0.35">
      <c r="A4031">
        <v>4027</v>
      </c>
      <c r="B4031">
        <v>4028</v>
      </c>
      <c r="F4031" s="63"/>
      <c r="G4031" s="63"/>
      <c r="H4031" t="s">
        <v>26</v>
      </c>
      <c r="I4031" s="64"/>
      <c r="N4031" s="4"/>
      <c r="AG4031" t="s">
        <v>3738</v>
      </c>
      <c r="AM4031" s="1">
        <f t="shared" si="50"/>
        <v>0</v>
      </c>
    </row>
    <row r="4032" spans="1:39" x14ac:dyDescent="0.35">
      <c r="A4032">
        <v>4028</v>
      </c>
      <c r="B4032">
        <v>4029</v>
      </c>
      <c r="F4032" s="63"/>
      <c r="G4032" s="63"/>
      <c r="H4032" t="s">
        <v>26</v>
      </c>
      <c r="I4032" s="64"/>
      <c r="N4032" s="4"/>
      <c r="AG4032" t="s">
        <v>3739</v>
      </c>
      <c r="AM4032" s="1">
        <f t="shared" si="50"/>
        <v>0</v>
      </c>
    </row>
    <row r="4033" spans="1:39" x14ac:dyDescent="0.35">
      <c r="A4033">
        <v>4029</v>
      </c>
      <c r="B4033">
        <v>4030</v>
      </c>
      <c r="F4033" s="63"/>
      <c r="G4033" s="63"/>
      <c r="H4033" t="s">
        <v>26</v>
      </c>
      <c r="I4033" s="64"/>
      <c r="N4033" s="4"/>
      <c r="AG4033" t="s">
        <v>3740</v>
      </c>
      <c r="AM4033" s="1">
        <f t="shared" si="50"/>
        <v>0</v>
      </c>
    </row>
    <row r="4034" spans="1:39" x14ac:dyDescent="0.35">
      <c r="A4034">
        <v>4030</v>
      </c>
      <c r="B4034">
        <v>4031</v>
      </c>
      <c r="F4034" s="63"/>
      <c r="G4034" s="63"/>
      <c r="H4034" t="s">
        <v>26</v>
      </c>
      <c r="I4034" s="64"/>
      <c r="N4034" s="4"/>
      <c r="AG4034" t="s">
        <v>3741</v>
      </c>
      <c r="AM4034" s="1">
        <f t="shared" si="50"/>
        <v>0</v>
      </c>
    </row>
    <row r="4035" spans="1:39" x14ac:dyDescent="0.35">
      <c r="A4035">
        <v>4031</v>
      </c>
      <c r="B4035">
        <v>4032</v>
      </c>
      <c r="F4035" s="63"/>
      <c r="G4035" s="63"/>
      <c r="H4035" t="s">
        <v>26</v>
      </c>
      <c r="I4035" s="64"/>
      <c r="N4035" s="4"/>
      <c r="AG4035" t="s">
        <v>3742</v>
      </c>
      <c r="AM4035" s="1">
        <f t="shared" si="50"/>
        <v>0</v>
      </c>
    </row>
    <row r="4036" spans="1:39" x14ac:dyDescent="0.35">
      <c r="A4036">
        <v>4032</v>
      </c>
      <c r="B4036">
        <v>4033</v>
      </c>
      <c r="F4036" s="63"/>
      <c r="G4036" s="63"/>
      <c r="H4036" t="s">
        <v>26</v>
      </c>
      <c r="I4036" s="64"/>
      <c r="N4036" s="4"/>
      <c r="AG4036" t="s">
        <v>3743</v>
      </c>
      <c r="AM4036" s="1">
        <f t="shared" si="50"/>
        <v>0</v>
      </c>
    </row>
    <row r="4037" spans="1:39" x14ac:dyDescent="0.35">
      <c r="A4037">
        <v>4033</v>
      </c>
      <c r="B4037">
        <v>4034</v>
      </c>
      <c r="F4037" s="63"/>
      <c r="G4037" s="63"/>
      <c r="H4037" t="s">
        <v>26</v>
      </c>
      <c r="I4037" s="64"/>
      <c r="N4037" s="4"/>
      <c r="AG4037" t="s">
        <v>3744</v>
      </c>
      <c r="AM4037" s="1">
        <f t="shared" si="50"/>
        <v>0</v>
      </c>
    </row>
    <row r="4038" spans="1:39" x14ac:dyDescent="0.35">
      <c r="A4038">
        <v>4034</v>
      </c>
      <c r="B4038">
        <v>4035</v>
      </c>
      <c r="F4038" s="63"/>
      <c r="G4038" s="63"/>
      <c r="H4038" t="s">
        <v>26</v>
      </c>
      <c r="I4038" s="64"/>
      <c r="N4038" s="4"/>
      <c r="AG4038" t="s">
        <v>3745</v>
      </c>
      <c r="AM4038" s="1">
        <f t="shared" si="50"/>
        <v>0</v>
      </c>
    </row>
    <row r="4039" spans="1:39" x14ac:dyDescent="0.35">
      <c r="A4039">
        <v>4035</v>
      </c>
      <c r="B4039">
        <v>4036</v>
      </c>
      <c r="F4039" s="63"/>
      <c r="G4039" s="63"/>
      <c r="H4039" t="s">
        <v>26</v>
      </c>
      <c r="I4039" s="64"/>
      <c r="N4039" s="4"/>
      <c r="AG4039" t="s">
        <v>3746</v>
      </c>
      <c r="AM4039" s="1">
        <f t="shared" si="50"/>
        <v>0</v>
      </c>
    </row>
    <row r="4040" spans="1:39" x14ac:dyDescent="0.35">
      <c r="A4040">
        <v>4036</v>
      </c>
      <c r="B4040">
        <v>4037</v>
      </c>
      <c r="F4040" s="63"/>
      <c r="G4040" s="63"/>
      <c r="H4040" t="s">
        <v>26</v>
      </c>
      <c r="I4040" s="64"/>
      <c r="N4040" s="4"/>
      <c r="AG4040" t="s">
        <v>3747</v>
      </c>
      <c r="AM4040" s="1">
        <f t="shared" si="50"/>
        <v>0</v>
      </c>
    </row>
    <row r="4041" spans="1:39" x14ac:dyDescent="0.35">
      <c r="A4041">
        <v>4037</v>
      </c>
      <c r="B4041">
        <v>4038</v>
      </c>
      <c r="F4041" s="63"/>
      <c r="G4041" s="63"/>
      <c r="H4041" t="s">
        <v>26</v>
      </c>
      <c r="I4041" s="64"/>
      <c r="N4041" s="4"/>
      <c r="AG4041" t="s">
        <v>3748</v>
      </c>
      <c r="AM4041" s="1">
        <f t="shared" si="50"/>
        <v>0</v>
      </c>
    </row>
    <row r="4042" spans="1:39" x14ac:dyDescent="0.35">
      <c r="A4042">
        <v>4038</v>
      </c>
      <c r="B4042">
        <v>4039</v>
      </c>
      <c r="F4042" s="63"/>
      <c r="G4042" s="63"/>
      <c r="H4042" t="s">
        <v>26</v>
      </c>
      <c r="I4042" s="64"/>
      <c r="N4042" s="4"/>
      <c r="AG4042" t="s">
        <v>3749</v>
      </c>
      <c r="AM4042" s="1">
        <f t="shared" si="50"/>
        <v>0</v>
      </c>
    </row>
    <row r="4043" spans="1:39" x14ac:dyDescent="0.35">
      <c r="A4043">
        <v>4039</v>
      </c>
      <c r="B4043">
        <v>4040</v>
      </c>
      <c r="F4043" s="63"/>
      <c r="G4043" s="63"/>
      <c r="H4043" t="s">
        <v>26</v>
      </c>
      <c r="I4043" s="64"/>
      <c r="N4043" s="4"/>
      <c r="AG4043" t="s">
        <v>3750</v>
      </c>
      <c r="AM4043" s="1">
        <f t="shared" si="50"/>
        <v>0</v>
      </c>
    </row>
    <row r="4044" spans="1:39" x14ac:dyDescent="0.35">
      <c r="A4044">
        <v>4040</v>
      </c>
      <c r="B4044">
        <v>4041</v>
      </c>
      <c r="F4044" s="63"/>
      <c r="G4044" s="63"/>
      <c r="H4044" t="s">
        <v>26</v>
      </c>
      <c r="I4044" s="64"/>
      <c r="N4044" s="4"/>
      <c r="AG4044" t="s">
        <v>3751</v>
      </c>
      <c r="AM4044" s="1">
        <f t="shared" si="50"/>
        <v>0</v>
      </c>
    </row>
    <row r="4045" spans="1:39" x14ac:dyDescent="0.35">
      <c r="A4045">
        <v>4041</v>
      </c>
      <c r="B4045">
        <v>4042</v>
      </c>
      <c r="F4045" s="63"/>
      <c r="G4045" s="63"/>
      <c r="H4045" t="s">
        <v>26</v>
      </c>
      <c r="I4045" s="64"/>
      <c r="N4045" s="4"/>
      <c r="AG4045" t="s">
        <v>3752</v>
      </c>
      <c r="AM4045" s="1">
        <f t="shared" si="50"/>
        <v>0</v>
      </c>
    </row>
    <row r="4046" spans="1:39" x14ac:dyDescent="0.35">
      <c r="A4046">
        <v>4042</v>
      </c>
      <c r="B4046">
        <v>4043</v>
      </c>
      <c r="F4046" s="63"/>
      <c r="G4046" s="63"/>
      <c r="H4046" t="s">
        <v>26</v>
      </c>
      <c r="I4046" s="64"/>
      <c r="N4046" s="4"/>
      <c r="AG4046" t="s">
        <v>3753</v>
      </c>
      <c r="AM4046" s="1">
        <f t="shared" si="50"/>
        <v>0</v>
      </c>
    </row>
    <row r="4047" spans="1:39" x14ac:dyDescent="0.35">
      <c r="A4047">
        <v>4043</v>
      </c>
      <c r="B4047">
        <v>4044</v>
      </c>
      <c r="F4047" s="63"/>
      <c r="G4047" s="63"/>
      <c r="H4047" t="s">
        <v>26</v>
      </c>
      <c r="I4047" s="64"/>
      <c r="N4047" s="4"/>
      <c r="AG4047" t="s">
        <v>3754</v>
      </c>
      <c r="AM4047" s="1">
        <f t="shared" si="50"/>
        <v>0</v>
      </c>
    </row>
    <row r="4048" spans="1:39" x14ac:dyDescent="0.35">
      <c r="A4048">
        <v>4044</v>
      </c>
      <c r="B4048">
        <v>4045</v>
      </c>
      <c r="F4048" s="63"/>
      <c r="G4048" s="63"/>
      <c r="H4048" t="s">
        <v>26</v>
      </c>
      <c r="I4048" s="64"/>
      <c r="N4048" s="4"/>
      <c r="AG4048" t="s">
        <v>3755</v>
      </c>
      <c r="AM4048" s="1">
        <f t="shared" si="50"/>
        <v>0</v>
      </c>
    </row>
    <row r="4049" spans="1:39" x14ac:dyDescent="0.35">
      <c r="A4049">
        <v>4045</v>
      </c>
      <c r="B4049">
        <v>4046</v>
      </c>
      <c r="F4049" s="63"/>
      <c r="G4049" s="63"/>
      <c r="H4049" t="s">
        <v>26</v>
      </c>
      <c r="I4049" s="64"/>
      <c r="N4049" s="4"/>
      <c r="AG4049" t="s">
        <v>3756</v>
      </c>
      <c r="AM4049" s="1">
        <f t="shared" si="50"/>
        <v>0</v>
      </c>
    </row>
    <row r="4050" spans="1:39" x14ac:dyDescent="0.35">
      <c r="A4050">
        <v>4046</v>
      </c>
      <c r="B4050">
        <v>4047</v>
      </c>
      <c r="F4050" s="63"/>
      <c r="G4050" s="63"/>
      <c r="H4050" t="s">
        <v>26</v>
      </c>
      <c r="I4050" s="64"/>
      <c r="N4050" s="4"/>
      <c r="AG4050" t="s">
        <v>3757</v>
      </c>
      <c r="AM4050" s="1">
        <f t="shared" si="50"/>
        <v>0</v>
      </c>
    </row>
    <row r="4051" spans="1:39" x14ac:dyDescent="0.35">
      <c r="A4051">
        <v>4047</v>
      </c>
      <c r="B4051">
        <v>4048</v>
      </c>
      <c r="F4051" s="63"/>
      <c r="G4051" s="63"/>
      <c r="H4051" t="s">
        <v>26</v>
      </c>
      <c r="I4051" s="64"/>
      <c r="N4051" s="4"/>
      <c r="AG4051" t="s">
        <v>3758</v>
      </c>
      <c r="AM4051" s="1">
        <f t="shared" si="50"/>
        <v>0</v>
      </c>
    </row>
    <row r="4052" spans="1:39" x14ac:dyDescent="0.35">
      <c r="A4052">
        <v>4048</v>
      </c>
      <c r="B4052">
        <v>4049</v>
      </c>
      <c r="F4052" s="63"/>
      <c r="G4052" s="63"/>
      <c r="H4052" t="s">
        <v>26</v>
      </c>
      <c r="I4052" s="64"/>
      <c r="N4052" s="4"/>
      <c r="AG4052" t="s">
        <v>3759</v>
      </c>
      <c r="AM4052" s="1">
        <f t="shared" si="50"/>
        <v>0</v>
      </c>
    </row>
    <row r="4053" spans="1:39" x14ac:dyDescent="0.35">
      <c r="A4053">
        <v>4049</v>
      </c>
      <c r="B4053">
        <v>4050</v>
      </c>
      <c r="F4053" s="63"/>
      <c r="G4053" s="63"/>
      <c r="H4053" t="s">
        <v>26</v>
      </c>
      <c r="I4053" s="64"/>
      <c r="N4053" s="4"/>
      <c r="AG4053" t="s">
        <v>3760</v>
      </c>
      <c r="AM4053" s="1">
        <f t="shared" si="50"/>
        <v>0</v>
      </c>
    </row>
    <row r="4054" spans="1:39" x14ac:dyDescent="0.35">
      <c r="A4054">
        <v>4050</v>
      </c>
      <c r="B4054">
        <v>4051</v>
      </c>
      <c r="F4054" s="63"/>
      <c r="G4054" s="63"/>
      <c r="H4054" t="s">
        <v>26</v>
      </c>
      <c r="I4054" s="64"/>
      <c r="N4054" s="4"/>
      <c r="AG4054" t="s">
        <v>3761</v>
      </c>
      <c r="AM4054" s="1">
        <f t="shared" si="50"/>
        <v>0</v>
      </c>
    </row>
    <row r="4055" spans="1:39" x14ac:dyDescent="0.35">
      <c r="A4055">
        <v>4051</v>
      </c>
      <c r="B4055">
        <v>4052</v>
      </c>
      <c r="F4055" s="63"/>
      <c r="G4055" s="63"/>
      <c r="H4055" t="s">
        <v>26</v>
      </c>
      <c r="I4055" s="64"/>
      <c r="N4055" s="4"/>
      <c r="AG4055" t="s">
        <v>3762</v>
      </c>
      <c r="AM4055" s="1">
        <f t="shared" si="50"/>
        <v>0</v>
      </c>
    </row>
    <row r="4056" spans="1:39" x14ac:dyDescent="0.35">
      <c r="A4056">
        <v>4052</v>
      </c>
      <c r="B4056">
        <v>4053</v>
      </c>
      <c r="F4056" s="63"/>
      <c r="G4056" s="63"/>
      <c r="H4056" t="s">
        <v>26</v>
      </c>
      <c r="I4056" s="64"/>
      <c r="N4056" s="4"/>
      <c r="AG4056" t="s">
        <v>3763</v>
      </c>
      <c r="AM4056" s="1">
        <f t="shared" si="50"/>
        <v>0</v>
      </c>
    </row>
    <row r="4057" spans="1:39" x14ac:dyDescent="0.35">
      <c r="A4057">
        <v>4053</v>
      </c>
      <c r="B4057">
        <v>4054</v>
      </c>
      <c r="F4057" s="63"/>
      <c r="G4057" s="63"/>
      <c r="H4057" t="s">
        <v>26</v>
      </c>
      <c r="I4057" s="64"/>
      <c r="N4057" s="4"/>
      <c r="AG4057" t="s">
        <v>3764</v>
      </c>
      <c r="AM4057" s="1">
        <f t="shared" si="50"/>
        <v>0</v>
      </c>
    </row>
    <row r="4058" spans="1:39" x14ac:dyDescent="0.35">
      <c r="A4058">
        <v>4054</v>
      </c>
      <c r="B4058">
        <v>4055</v>
      </c>
      <c r="F4058" s="63"/>
      <c r="G4058" s="63"/>
      <c r="H4058" t="s">
        <v>26</v>
      </c>
      <c r="I4058" s="64"/>
      <c r="N4058" s="4"/>
      <c r="AG4058" t="s">
        <v>3765</v>
      </c>
      <c r="AM4058" s="1">
        <f t="shared" si="50"/>
        <v>0</v>
      </c>
    </row>
    <row r="4059" spans="1:39" x14ac:dyDescent="0.35">
      <c r="A4059">
        <v>4055</v>
      </c>
      <c r="B4059">
        <v>4056</v>
      </c>
      <c r="F4059" s="63"/>
      <c r="G4059" s="63"/>
      <c r="H4059" t="s">
        <v>26</v>
      </c>
      <c r="I4059" s="64"/>
      <c r="N4059" s="4"/>
      <c r="AG4059" t="s">
        <v>3766</v>
      </c>
      <c r="AM4059" s="1">
        <f t="shared" si="50"/>
        <v>0</v>
      </c>
    </row>
    <row r="4060" spans="1:39" x14ac:dyDescent="0.35">
      <c r="A4060">
        <v>4056</v>
      </c>
      <c r="B4060">
        <v>4057</v>
      </c>
      <c r="F4060" s="63"/>
      <c r="G4060" s="63"/>
      <c r="H4060" t="s">
        <v>26</v>
      </c>
      <c r="I4060" s="64"/>
      <c r="N4060" s="4"/>
      <c r="AG4060" t="s">
        <v>3767</v>
      </c>
      <c r="AM4060" s="1">
        <f t="shared" si="50"/>
        <v>0</v>
      </c>
    </row>
    <row r="4061" spans="1:39" x14ac:dyDescent="0.35">
      <c r="A4061">
        <v>4057</v>
      </c>
      <c r="B4061">
        <v>4058</v>
      </c>
      <c r="F4061" s="63"/>
      <c r="G4061" s="63"/>
      <c r="H4061" t="s">
        <v>26</v>
      </c>
      <c r="I4061" s="64"/>
      <c r="N4061" s="4"/>
      <c r="AG4061" t="s">
        <v>3768</v>
      </c>
      <c r="AM4061" s="1">
        <f t="shared" si="50"/>
        <v>0</v>
      </c>
    </row>
    <row r="4062" spans="1:39" x14ac:dyDescent="0.35">
      <c r="A4062">
        <v>4058</v>
      </c>
      <c r="B4062">
        <v>4059</v>
      </c>
      <c r="F4062" s="63"/>
      <c r="G4062" s="63"/>
      <c r="H4062" t="s">
        <v>26</v>
      </c>
      <c r="I4062" s="64"/>
      <c r="N4062" s="4"/>
      <c r="AG4062" t="s">
        <v>3769</v>
      </c>
      <c r="AM4062" s="1">
        <f t="shared" si="50"/>
        <v>0</v>
      </c>
    </row>
    <row r="4063" spans="1:39" x14ac:dyDescent="0.35">
      <c r="A4063">
        <v>4059</v>
      </c>
      <c r="B4063">
        <v>4060</v>
      </c>
      <c r="F4063" s="63"/>
      <c r="G4063" s="63"/>
      <c r="H4063" t="s">
        <v>26</v>
      </c>
      <c r="I4063" s="64"/>
      <c r="N4063" s="4"/>
      <c r="AG4063" t="s">
        <v>3770</v>
      </c>
      <c r="AM4063" s="1">
        <f t="shared" si="50"/>
        <v>0</v>
      </c>
    </row>
    <row r="4064" spans="1:39" x14ac:dyDescent="0.35">
      <c r="A4064">
        <v>4060</v>
      </c>
      <c r="B4064">
        <v>4061</v>
      </c>
      <c r="F4064" s="63"/>
      <c r="G4064" s="63"/>
      <c r="H4064" t="s">
        <v>26</v>
      </c>
      <c r="I4064" s="64"/>
      <c r="N4064" s="4"/>
      <c r="AG4064" t="s">
        <v>3771</v>
      </c>
      <c r="AM4064" s="1">
        <f t="shared" si="50"/>
        <v>0</v>
      </c>
    </row>
    <row r="4065" spans="1:39" x14ac:dyDescent="0.35">
      <c r="A4065">
        <v>4061</v>
      </c>
      <c r="B4065">
        <v>4062</v>
      </c>
      <c r="F4065" s="63"/>
      <c r="G4065" s="63"/>
      <c r="H4065" t="s">
        <v>26</v>
      </c>
      <c r="I4065" s="64"/>
      <c r="N4065" s="4"/>
      <c r="AG4065" t="s">
        <v>3772</v>
      </c>
      <c r="AM4065" s="1">
        <f t="shared" si="50"/>
        <v>0</v>
      </c>
    </row>
    <row r="4066" spans="1:39" x14ac:dyDescent="0.35">
      <c r="A4066">
        <v>4062</v>
      </c>
      <c r="B4066">
        <v>4063</v>
      </c>
      <c r="F4066" s="63"/>
      <c r="G4066" s="63"/>
      <c r="H4066" t="s">
        <v>26</v>
      </c>
      <c r="I4066" s="64"/>
      <c r="N4066" s="4"/>
      <c r="AG4066" t="s">
        <v>3773</v>
      </c>
      <c r="AM4066" s="1">
        <f t="shared" si="50"/>
        <v>0</v>
      </c>
    </row>
    <row r="4067" spans="1:39" x14ac:dyDescent="0.35">
      <c r="A4067">
        <v>4063</v>
      </c>
      <c r="B4067">
        <v>4064</v>
      </c>
      <c r="F4067" s="63"/>
      <c r="G4067" s="63"/>
      <c r="H4067" t="s">
        <v>26</v>
      </c>
      <c r="I4067" s="64"/>
      <c r="N4067" s="4"/>
      <c r="AG4067" t="s">
        <v>3774</v>
      </c>
      <c r="AM4067" s="1">
        <f t="shared" si="50"/>
        <v>0</v>
      </c>
    </row>
    <row r="4068" spans="1:39" x14ac:dyDescent="0.35">
      <c r="A4068">
        <v>4064</v>
      </c>
      <c r="B4068">
        <v>4065</v>
      </c>
      <c r="F4068" s="63"/>
      <c r="G4068" s="63"/>
      <c r="H4068" t="s">
        <v>26</v>
      </c>
      <c r="I4068" s="64"/>
      <c r="N4068" s="4"/>
      <c r="AG4068" t="s">
        <v>3775</v>
      </c>
      <c r="AM4068" s="1">
        <f t="shared" si="50"/>
        <v>0</v>
      </c>
    </row>
    <row r="4069" spans="1:39" x14ac:dyDescent="0.35">
      <c r="A4069">
        <v>4065</v>
      </c>
      <c r="B4069">
        <v>4066</v>
      </c>
      <c r="F4069" s="63"/>
      <c r="G4069" s="63"/>
      <c r="H4069" t="s">
        <v>26</v>
      </c>
      <c r="I4069" s="64"/>
      <c r="N4069" s="4"/>
      <c r="AG4069" t="s">
        <v>3776</v>
      </c>
      <c r="AM4069" s="1">
        <f t="shared" si="50"/>
        <v>0</v>
      </c>
    </row>
    <row r="4070" spans="1:39" x14ac:dyDescent="0.35">
      <c r="A4070">
        <v>4066</v>
      </c>
      <c r="B4070">
        <v>4067</v>
      </c>
      <c r="F4070" s="63"/>
      <c r="G4070" s="63"/>
      <c r="H4070" t="s">
        <v>26</v>
      </c>
      <c r="I4070" s="64"/>
      <c r="N4070" s="4"/>
      <c r="AG4070" t="s">
        <v>3777</v>
      </c>
      <c r="AM4070" s="1">
        <f t="shared" si="50"/>
        <v>0</v>
      </c>
    </row>
    <row r="4071" spans="1:39" x14ac:dyDescent="0.35">
      <c r="A4071">
        <v>4067</v>
      </c>
      <c r="B4071">
        <v>4068</v>
      </c>
      <c r="F4071" s="63"/>
      <c r="G4071" s="63"/>
      <c r="H4071" t="s">
        <v>26</v>
      </c>
      <c r="I4071" s="64"/>
      <c r="N4071" s="4"/>
      <c r="AG4071" t="s">
        <v>3778</v>
      </c>
      <c r="AM4071" s="1">
        <f t="shared" si="50"/>
        <v>0</v>
      </c>
    </row>
    <row r="4072" spans="1:39" x14ac:dyDescent="0.35">
      <c r="A4072">
        <v>4068</v>
      </c>
      <c r="B4072">
        <v>4069</v>
      </c>
      <c r="F4072" s="63"/>
      <c r="G4072" s="63"/>
      <c r="H4072" t="s">
        <v>26</v>
      </c>
      <c r="I4072" s="64"/>
      <c r="N4072" s="4"/>
      <c r="AG4072" t="s">
        <v>3779</v>
      </c>
      <c r="AM4072" s="1">
        <f t="shared" si="50"/>
        <v>0</v>
      </c>
    </row>
    <row r="4073" spans="1:39" x14ac:dyDescent="0.35">
      <c r="A4073">
        <v>4069</v>
      </c>
      <c r="B4073">
        <v>4070</v>
      </c>
      <c r="F4073" s="63"/>
      <c r="G4073" s="63"/>
      <c r="H4073" t="s">
        <v>26</v>
      </c>
      <c r="I4073" s="64"/>
      <c r="N4073" s="4"/>
      <c r="AG4073" t="s">
        <v>3780</v>
      </c>
      <c r="AM4073" s="1">
        <f t="shared" ref="AM4073:AM4136" si="51">HYPERLINK("E:\CAFNEC_GBRF\2023\JohnstoneRiver\Frames_for_Analysis\" &amp; F4074, F4074)</f>
        <v>0</v>
      </c>
    </row>
    <row r="4074" spans="1:39" x14ac:dyDescent="0.35">
      <c r="A4074">
        <v>4070</v>
      </c>
      <c r="B4074">
        <v>4071</v>
      </c>
      <c r="F4074" s="63"/>
      <c r="G4074" s="63"/>
      <c r="H4074" t="s">
        <v>26</v>
      </c>
      <c r="I4074" s="64"/>
      <c r="N4074" s="4"/>
      <c r="AG4074" t="s">
        <v>3781</v>
      </c>
      <c r="AM4074" s="1">
        <f t="shared" si="51"/>
        <v>0</v>
      </c>
    </row>
    <row r="4075" spans="1:39" x14ac:dyDescent="0.35">
      <c r="A4075">
        <v>4071</v>
      </c>
      <c r="B4075">
        <v>4072</v>
      </c>
      <c r="F4075" s="63"/>
      <c r="G4075" s="63"/>
      <c r="H4075" t="s">
        <v>26</v>
      </c>
      <c r="I4075" s="64"/>
      <c r="N4075" s="4"/>
      <c r="AG4075" t="s">
        <v>3782</v>
      </c>
      <c r="AM4075" s="1">
        <f t="shared" si="51"/>
        <v>0</v>
      </c>
    </row>
    <row r="4076" spans="1:39" x14ac:dyDescent="0.35">
      <c r="A4076">
        <v>4072</v>
      </c>
      <c r="B4076">
        <v>4073</v>
      </c>
      <c r="F4076" s="63"/>
      <c r="G4076" s="63"/>
      <c r="H4076" t="s">
        <v>26</v>
      </c>
      <c r="I4076" s="64"/>
      <c r="N4076" s="4"/>
      <c r="AG4076" t="s">
        <v>3783</v>
      </c>
      <c r="AM4076" s="1">
        <f t="shared" si="51"/>
        <v>0</v>
      </c>
    </row>
    <row r="4077" spans="1:39" x14ac:dyDescent="0.35">
      <c r="A4077">
        <v>4073</v>
      </c>
      <c r="B4077">
        <v>4074</v>
      </c>
      <c r="F4077" s="63"/>
      <c r="G4077" s="63"/>
      <c r="H4077" t="s">
        <v>26</v>
      </c>
      <c r="I4077" s="64"/>
      <c r="N4077" s="4"/>
      <c r="AG4077" t="s">
        <v>3784</v>
      </c>
      <c r="AM4077" s="1">
        <f t="shared" si="51"/>
        <v>0</v>
      </c>
    </row>
    <row r="4078" spans="1:39" x14ac:dyDescent="0.35">
      <c r="A4078">
        <v>4074</v>
      </c>
      <c r="B4078">
        <v>4075</v>
      </c>
      <c r="F4078" s="63"/>
      <c r="G4078" s="63"/>
      <c r="H4078" t="s">
        <v>26</v>
      </c>
      <c r="I4078" s="64"/>
      <c r="N4078" s="4"/>
      <c r="AG4078" t="s">
        <v>3785</v>
      </c>
      <c r="AM4078" s="1">
        <f t="shared" si="51"/>
        <v>0</v>
      </c>
    </row>
    <row r="4079" spans="1:39" x14ac:dyDescent="0.35">
      <c r="A4079">
        <v>4075</v>
      </c>
      <c r="B4079">
        <v>4076</v>
      </c>
      <c r="F4079" s="63"/>
      <c r="G4079" s="63"/>
      <c r="H4079" t="s">
        <v>26</v>
      </c>
      <c r="I4079" s="64"/>
      <c r="N4079" s="4"/>
      <c r="AG4079" t="s">
        <v>3786</v>
      </c>
      <c r="AM4079" s="1">
        <f t="shared" si="51"/>
        <v>0</v>
      </c>
    </row>
    <row r="4080" spans="1:39" x14ac:dyDescent="0.35">
      <c r="A4080">
        <v>4076</v>
      </c>
      <c r="B4080">
        <v>4077</v>
      </c>
      <c r="F4080" s="63"/>
      <c r="G4080" s="63"/>
      <c r="H4080" t="s">
        <v>26</v>
      </c>
      <c r="I4080" s="64"/>
      <c r="N4080" s="4"/>
      <c r="AG4080" t="s">
        <v>3787</v>
      </c>
      <c r="AM4080" s="1">
        <f t="shared" si="51"/>
        <v>0</v>
      </c>
    </row>
    <row r="4081" spans="1:39" x14ac:dyDescent="0.35">
      <c r="A4081">
        <v>4077</v>
      </c>
      <c r="B4081">
        <v>4078</v>
      </c>
      <c r="F4081" s="63"/>
      <c r="G4081" s="63"/>
      <c r="H4081" t="s">
        <v>26</v>
      </c>
      <c r="I4081" s="64"/>
      <c r="N4081" s="4"/>
      <c r="AG4081" t="s">
        <v>3788</v>
      </c>
      <c r="AM4081" s="1">
        <f t="shared" si="51"/>
        <v>0</v>
      </c>
    </row>
    <row r="4082" spans="1:39" x14ac:dyDescent="0.35">
      <c r="A4082">
        <v>4078</v>
      </c>
      <c r="B4082">
        <v>4079</v>
      </c>
      <c r="F4082" s="63"/>
      <c r="G4082" s="63"/>
      <c r="H4082" t="s">
        <v>26</v>
      </c>
      <c r="I4082" s="64"/>
      <c r="N4082" s="4"/>
      <c r="AG4082" t="s">
        <v>3789</v>
      </c>
      <c r="AM4082" s="1">
        <f t="shared" si="51"/>
        <v>0</v>
      </c>
    </row>
    <row r="4083" spans="1:39" x14ac:dyDescent="0.35">
      <c r="A4083">
        <v>4079</v>
      </c>
      <c r="B4083">
        <v>4080</v>
      </c>
      <c r="F4083" s="63"/>
      <c r="G4083" s="63"/>
      <c r="H4083" t="s">
        <v>26</v>
      </c>
      <c r="I4083" s="64"/>
      <c r="N4083" s="4"/>
      <c r="AG4083" t="s">
        <v>3790</v>
      </c>
      <c r="AM4083" s="1">
        <f t="shared" si="51"/>
        <v>0</v>
      </c>
    </row>
    <row r="4084" spans="1:39" x14ac:dyDescent="0.35">
      <c r="A4084">
        <v>4080</v>
      </c>
      <c r="B4084">
        <v>4081</v>
      </c>
      <c r="F4084" s="63"/>
      <c r="G4084" s="63"/>
      <c r="H4084" t="s">
        <v>26</v>
      </c>
      <c r="I4084" s="64"/>
      <c r="N4084" s="4"/>
      <c r="AG4084" t="s">
        <v>3791</v>
      </c>
      <c r="AM4084" s="1">
        <f t="shared" si="51"/>
        <v>0</v>
      </c>
    </row>
    <row r="4085" spans="1:39" x14ac:dyDescent="0.35">
      <c r="A4085">
        <v>4081</v>
      </c>
      <c r="B4085">
        <v>4082</v>
      </c>
      <c r="F4085" s="63"/>
      <c r="G4085" s="63"/>
      <c r="H4085" t="s">
        <v>26</v>
      </c>
      <c r="I4085" s="64"/>
      <c r="N4085" s="4"/>
      <c r="AG4085" t="s">
        <v>3792</v>
      </c>
      <c r="AM4085" s="1">
        <f t="shared" si="51"/>
        <v>0</v>
      </c>
    </row>
    <row r="4086" spans="1:39" x14ac:dyDescent="0.35">
      <c r="A4086">
        <v>4082</v>
      </c>
      <c r="B4086">
        <v>4083</v>
      </c>
      <c r="F4086" s="63"/>
      <c r="G4086" s="63"/>
      <c r="H4086" t="s">
        <v>26</v>
      </c>
      <c r="I4086" s="64"/>
      <c r="N4086" s="4"/>
      <c r="AG4086" t="s">
        <v>3793</v>
      </c>
      <c r="AM4086" s="1">
        <f t="shared" si="51"/>
        <v>0</v>
      </c>
    </row>
    <row r="4087" spans="1:39" x14ac:dyDescent="0.35">
      <c r="A4087">
        <v>4083</v>
      </c>
      <c r="B4087">
        <v>4084</v>
      </c>
      <c r="F4087" s="63"/>
      <c r="G4087" s="63"/>
      <c r="H4087" t="s">
        <v>26</v>
      </c>
      <c r="I4087" s="64"/>
      <c r="N4087" s="4"/>
      <c r="AG4087" t="s">
        <v>3794</v>
      </c>
      <c r="AM4087" s="1">
        <f t="shared" si="51"/>
        <v>0</v>
      </c>
    </row>
    <row r="4088" spans="1:39" x14ac:dyDescent="0.35">
      <c r="A4088">
        <v>4084</v>
      </c>
      <c r="B4088">
        <v>4085</v>
      </c>
      <c r="F4088" s="63"/>
      <c r="G4088" s="63"/>
      <c r="H4088" t="s">
        <v>26</v>
      </c>
      <c r="I4088" s="64"/>
      <c r="N4088" s="4"/>
      <c r="AG4088" t="s">
        <v>3795</v>
      </c>
      <c r="AM4088" s="1">
        <f t="shared" si="51"/>
        <v>0</v>
      </c>
    </row>
    <row r="4089" spans="1:39" x14ac:dyDescent="0.35">
      <c r="A4089">
        <v>4085</v>
      </c>
      <c r="B4089">
        <v>4086</v>
      </c>
      <c r="F4089" s="63"/>
      <c r="G4089" s="63"/>
      <c r="H4089" t="s">
        <v>26</v>
      </c>
      <c r="I4089" s="64"/>
      <c r="N4089" s="4"/>
      <c r="AG4089" t="s">
        <v>3796</v>
      </c>
      <c r="AM4089" s="1">
        <f t="shared" si="51"/>
        <v>0</v>
      </c>
    </row>
    <row r="4090" spans="1:39" x14ac:dyDescent="0.35">
      <c r="A4090">
        <v>4086</v>
      </c>
      <c r="B4090">
        <v>4087</v>
      </c>
      <c r="F4090" s="63"/>
      <c r="G4090" s="63"/>
      <c r="H4090" t="s">
        <v>26</v>
      </c>
      <c r="I4090" s="64"/>
      <c r="N4090" s="4"/>
      <c r="AG4090" t="s">
        <v>3797</v>
      </c>
      <c r="AM4090" s="1">
        <f t="shared" si="51"/>
        <v>0</v>
      </c>
    </row>
    <row r="4091" spans="1:39" x14ac:dyDescent="0.35">
      <c r="A4091">
        <v>4087</v>
      </c>
      <c r="B4091">
        <v>4088</v>
      </c>
      <c r="F4091" s="63"/>
      <c r="G4091" s="63"/>
      <c r="H4091" t="s">
        <v>26</v>
      </c>
      <c r="I4091" s="64"/>
      <c r="N4091" s="4"/>
      <c r="AG4091" t="s">
        <v>3798</v>
      </c>
      <c r="AM4091" s="1">
        <f t="shared" si="51"/>
        <v>0</v>
      </c>
    </row>
    <row r="4092" spans="1:39" x14ac:dyDescent="0.35">
      <c r="A4092">
        <v>4088</v>
      </c>
      <c r="B4092">
        <v>4089</v>
      </c>
      <c r="F4092" s="63"/>
      <c r="G4092" s="63"/>
      <c r="H4092" t="s">
        <v>26</v>
      </c>
      <c r="I4092" s="64"/>
      <c r="N4092" s="4"/>
      <c r="AG4092" t="s">
        <v>3799</v>
      </c>
      <c r="AM4092" s="1">
        <f t="shared" si="51"/>
        <v>0</v>
      </c>
    </row>
    <row r="4093" spans="1:39" x14ac:dyDescent="0.35">
      <c r="A4093">
        <v>4089</v>
      </c>
      <c r="B4093">
        <v>4090</v>
      </c>
      <c r="F4093" s="63"/>
      <c r="G4093" s="63"/>
      <c r="H4093" t="s">
        <v>26</v>
      </c>
      <c r="I4093" s="64"/>
      <c r="N4093" s="4"/>
      <c r="AG4093" t="s">
        <v>3800</v>
      </c>
      <c r="AM4093" s="1">
        <f t="shared" si="51"/>
        <v>0</v>
      </c>
    </row>
    <row r="4094" spans="1:39" x14ac:dyDescent="0.35">
      <c r="A4094">
        <v>4090</v>
      </c>
      <c r="B4094">
        <v>4091</v>
      </c>
      <c r="F4094" s="63"/>
      <c r="G4094" s="63"/>
      <c r="H4094" t="s">
        <v>26</v>
      </c>
      <c r="I4094" s="64"/>
      <c r="N4094" s="4"/>
      <c r="AG4094" t="s">
        <v>3801</v>
      </c>
      <c r="AM4094" s="1">
        <f t="shared" si="51"/>
        <v>0</v>
      </c>
    </row>
    <row r="4095" spans="1:39" x14ac:dyDescent="0.35">
      <c r="A4095">
        <v>4091</v>
      </c>
      <c r="B4095">
        <v>4092</v>
      </c>
      <c r="F4095" s="63"/>
      <c r="G4095" s="63"/>
      <c r="H4095" t="s">
        <v>26</v>
      </c>
      <c r="I4095" s="64"/>
      <c r="N4095" s="4"/>
      <c r="AG4095" t="s">
        <v>3802</v>
      </c>
      <c r="AM4095" s="1">
        <f t="shared" si="51"/>
        <v>0</v>
      </c>
    </row>
    <row r="4096" spans="1:39" x14ac:dyDescent="0.35">
      <c r="A4096">
        <v>4092</v>
      </c>
      <c r="B4096">
        <v>4093</v>
      </c>
      <c r="F4096" s="63"/>
      <c r="G4096" s="63"/>
      <c r="H4096" t="s">
        <v>26</v>
      </c>
      <c r="I4096" s="64"/>
      <c r="N4096" s="4"/>
      <c r="AG4096" t="s">
        <v>3803</v>
      </c>
      <c r="AM4096" s="1">
        <f t="shared" si="51"/>
        <v>0</v>
      </c>
    </row>
    <row r="4097" spans="1:39" x14ac:dyDescent="0.35">
      <c r="A4097">
        <v>4093</v>
      </c>
      <c r="B4097">
        <v>4094</v>
      </c>
      <c r="F4097" s="63"/>
      <c r="G4097" s="63"/>
      <c r="H4097" t="s">
        <v>26</v>
      </c>
      <c r="I4097" s="64"/>
      <c r="N4097" s="4"/>
      <c r="AG4097" t="s">
        <v>3804</v>
      </c>
      <c r="AM4097" s="1">
        <f t="shared" si="51"/>
        <v>0</v>
      </c>
    </row>
    <row r="4098" spans="1:39" x14ac:dyDescent="0.35">
      <c r="A4098">
        <v>4094</v>
      </c>
      <c r="B4098">
        <v>4095</v>
      </c>
      <c r="F4098" s="63"/>
      <c r="G4098" s="63"/>
      <c r="H4098" t="s">
        <v>26</v>
      </c>
      <c r="I4098" s="64"/>
      <c r="N4098" s="4"/>
      <c r="AG4098" t="s">
        <v>3805</v>
      </c>
      <c r="AM4098" s="1">
        <f t="shared" si="51"/>
        <v>0</v>
      </c>
    </row>
    <row r="4099" spans="1:39" x14ac:dyDescent="0.35">
      <c r="A4099">
        <v>4095</v>
      </c>
      <c r="B4099">
        <v>4096</v>
      </c>
      <c r="F4099" s="63"/>
      <c r="G4099" s="63"/>
      <c r="H4099" t="s">
        <v>26</v>
      </c>
      <c r="I4099" s="64"/>
      <c r="N4099" s="4"/>
      <c r="AG4099" t="s">
        <v>3806</v>
      </c>
      <c r="AM4099" s="1">
        <f t="shared" si="51"/>
        <v>0</v>
      </c>
    </row>
    <row r="4100" spans="1:39" x14ac:dyDescent="0.35">
      <c r="A4100">
        <v>4096</v>
      </c>
      <c r="B4100">
        <v>4097</v>
      </c>
      <c r="F4100" s="63"/>
      <c r="G4100" s="63"/>
      <c r="H4100" t="s">
        <v>26</v>
      </c>
      <c r="I4100" s="64"/>
      <c r="N4100" s="4"/>
      <c r="AG4100" t="s">
        <v>3807</v>
      </c>
      <c r="AM4100" s="1">
        <f t="shared" si="51"/>
        <v>0</v>
      </c>
    </row>
    <row r="4101" spans="1:39" x14ac:dyDescent="0.35">
      <c r="A4101">
        <v>4097</v>
      </c>
      <c r="B4101">
        <v>4098</v>
      </c>
      <c r="F4101" s="63"/>
      <c r="G4101" s="63"/>
      <c r="H4101" t="s">
        <v>26</v>
      </c>
      <c r="I4101" s="64"/>
      <c r="N4101" s="4"/>
      <c r="AG4101" t="s">
        <v>3808</v>
      </c>
      <c r="AM4101" s="1">
        <f t="shared" si="51"/>
        <v>0</v>
      </c>
    </row>
    <row r="4102" spans="1:39" x14ac:dyDescent="0.35">
      <c r="A4102">
        <v>4098</v>
      </c>
      <c r="B4102">
        <v>4099</v>
      </c>
      <c r="F4102" s="63"/>
      <c r="G4102" s="63"/>
      <c r="H4102" t="s">
        <v>26</v>
      </c>
      <c r="I4102" s="64"/>
      <c r="N4102" s="4"/>
      <c r="AG4102" t="s">
        <v>3809</v>
      </c>
      <c r="AM4102" s="1">
        <f t="shared" si="51"/>
        <v>0</v>
      </c>
    </row>
    <row r="4103" spans="1:39" x14ac:dyDescent="0.35">
      <c r="A4103">
        <v>4099</v>
      </c>
      <c r="B4103">
        <v>4100</v>
      </c>
      <c r="F4103" s="63"/>
      <c r="G4103" s="63"/>
      <c r="H4103" t="s">
        <v>26</v>
      </c>
      <c r="I4103" s="64"/>
      <c r="N4103" s="4"/>
      <c r="AG4103" t="s">
        <v>3810</v>
      </c>
      <c r="AM4103" s="1">
        <f t="shared" si="51"/>
        <v>0</v>
      </c>
    </row>
    <row r="4104" spans="1:39" x14ac:dyDescent="0.35">
      <c r="A4104">
        <v>4100</v>
      </c>
      <c r="B4104">
        <v>4101</v>
      </c>
      <c r="F4104" s="63"/>
      <c r="G4104" s="63"/>
      <c r="H4104" t="s">
        <v>26</v>
      </c>
      <c r="I4104" s="64"/>
      <c r="N4104" s="4"/>
      <c r="AG4104" t="s">
        <v>3811</v>
      </c>
      <c r="AM4104" s="1">
        <f t="shared" si="51"/>
        <v>0</v>
      </c>
    </row>
    <row r="4105" spans="1:39" x14ac:dyDescent="0.35">
      <c r="A4105">
        <v>4101</v>
      </c>
      <c r="B4105">
        <v>4102</v>
      </c>
      <c r="F4105" s="63"/>
      <c r="G4105" s="63"/>
      <c r="H4105" t="s">
        <v>26</v>
      </c>
      <c r="I4105" s="64"/>
      <c r="N4105" s="4"/>
      <c r="AG4105" t="s">
        <v>3812</v>
      </c>
      <c r="AM4105" s="1">
        <f t="shared" si="51"/>
        <v>0</v>
      </c>
    </row>
    <row r="4106" spans="1:39" x14ac:dyDescent="0.35">
      <c r="A4106">
        <v>4102</v>
      </c>
      <c r="B4106">
        <v>4103</v>
      </c>
      <c r="F4106" s="63"/>
      <c r="G4106" s="63"/>
      <c r="H4106" t="s">
        <v>26</v>
      </c>
      <c r="I4106" s="64"/>
      <c r="N4106" s="4"/>
      <c r="AG4106" t="s">
        <v>3813</v>
      </c>
      <c r="AM4106" s="1">
        <f t="shared" si="51"/>
        <v>0</v>
      </c>
    </row>
    <row r="4107" spans="1:39" x14ac:dyDescent="0.35">
      <c r="A4107">
        <v>4103</v>
      </c>
      <c r="B4107">
        <v>4104</v>
      </c>
      <c r="F4107" s="63"/>
      <c r="G4107" s="63"/>
      <c r="H4107" t="s">
        <v>26</v>
      </c>
      <c r="I4107" s="64"/>
      <c r="N4107" s="4"/>
      <c r="AG4107" t="s">
        <v>3814</v>
      </c>
      <c r="AM4107" s="1">
        <f t="shared" si="51"/>
        <v>0</v>
      </c>
    </row>
    <row r="4108" spans="1:39" x14ac:dyDescent="0.35">
      <c r="A4108">
        <v>4104</v>
      </c>
      <c r="B4108">
        <v>4105</v>
      </c>
      <c r="F4108" s="63"/>
      <c r="G4108" s="63"/>
      <c r="H4108" t="s">
        <v>26</v>
      </c>
      <c r="I4108" s="64"/>
      <c r="N4108" s="4"/>
      <c r="AG4108" t="s">
        <v>3815</v>
      </c>
      <c r="AM4108" s="1">
        <f t="shared" si="51"/>
        <v>0</v>
      </c>
    </row>
    <row r="4109" spans="1:39" x14ac:dyDescent="0.35">
      <c r="A4109">
        <v>4105</v>
      </c>
      <c r="B4109">
        <v>4106</v>
      </c>
      <c r="F4109" s="63"/>
      <c r="G4109" s="63"/>
      <c r="H4109" t="s">
        <v>26</v>
      </c>
      <c r="I4109" s="64"/>
      <c r="N4109" s="4"/>
      <c r="AG4109" t="s">
        <v>3816</v>
      </c>
      <c r="AM4109" s="1">
        <f t="shared" si="51"/>
        <v>0</v>
      </c>
    </row>
    <row r="4110" spans="1:39" x14ac:dyDescent="0.35">
      <c r="A4110">
        <v>4106</v>
      </c>
      <c r="B4110">
        <v>4107</v>
      </c>
      <c r="F4110" s="63"/>
      <c r="G4110" s="63"/>
      <c r="H4110" t="s">
        <v>26</v>
      </c>
      <c r="I4110" s="64"/>
      <c r="N4110" s="4"/>
      <c r="AG4110" t="s">
        <v>3817</v>
      </c>
      <c r="AM4110" s="1">
        <f t="shared" si="51"/>
        <v>0</v>
      </c>
    </row>
    <row r="4111" spans="1:39" x14ac:dyDescent="0.35">
      <c r="A4111">
        <v>4107</v>
      </c>
      <c r="B4111">
        <v>4108</v>
      </c>
      <c r="F4111" s="63"/>
      <c r="G4111" s="63"/>
      <c r="H4111" t="s">
        <v>26</v>
      </c>
      <c r="I4111" s="64"/>
      <c r="N4111" s="4"/>
      <c r="AG4111" t="s">
        <v>3818</v>
      </c>
      <c r="AM4111" s="1">
        <f t="shared" si="51"/>
        <v>0</v>
      </c>
    </row>
    <row r="4112" spans="1:39" x14ac:dyDescent="0.35">
      <c r="A4112">
        <v>4108</v>
      </c>
      <c r="B4112">
        <v>4109</v>
      </c>
      <c r="F4112" s="63"/>
      <c r="G4112" s="63"/>
      <c r="H4112" t="s">
        <v>26</v>
      </c>
      <c r="I4112" s="64"/>
      <c r="N4112" s="4"/>
      <c r="AG4112" t="s">
        <v>3819</v>
      </c>
      <c r="AM4112" s="1">
        <f t="shared" si="51"/>
        <v>0</v>
      </c>
    </row>
    <row r="4113" spans="1:39" x14ac:dyDescent="0.35">
      <c r="A4113">
        <v>4109</v>
      </c>
      <c r="B4113">
        <v>4110</v>
      </c>
      <c r="F4113" s="63"/>
      <c r="G4113" s="63"/>
      <c r="H4113" t="s">
        <v>26</v>
      </c>
      <c r="I4113" s="64"/>
      <c r="N4113" s="4"/>
      <c r="AG4113" t="s">
        <v>3820</v>
      </c>
      <c r="AM4113" s="1">
        <f t="shared" si="51"/>
        <v>0</v>
      </c>
    </row>
    <row r="4114" spans="1:39" x14ac:dyDescent="0.35">
      <c r="A4114">
        <v>4110</v>
      </c>
      <c r="B4114">
        <v>4111</v>
      </c>
      <c r="F4114" s="63"/>
      <c r="G4114" s="63"/>
      <c r="H4114" t="s">
        <v>26</v>
      </c>
      <c r="I4114" s="64"/>
      <c r="N4114" s="4"/>
      <c r="AG4114" t="s">
        <v>3821</v>
      </c>
      <c r="AM4114" s="1">
        <f t="shared" si="51"/>
        <v>0</v>
      </c>
    </row>
    <row r="4115" spans="1:39" x14ac:dyDescent="0.35">
      <c r="A4115">
        <v>4111</v>
      </c>
      <c r="B4115">
        <v>4112</v>
      </c>
      <c r="F4115" s="63"/>
      <c r="G4115" s="63"/>
      <c r="H4115" t="s">
        <v>26</v>
      </c>
      <c r="I4115" s="64"/>
      <c r="N4115" s="4"/>
      <c r="AG4115" t="s">
        <v>3822</v>
      </c>
      <c r="AM4115" s="1">
        <f t="shared" si="51"/>
        <v>0</v>
      </c>
    </row>
    <row r="4116" spans="1:39" x14ac:dyDescent="0.35">
      <c r="A4116">
        <v>4112</v>
      </c>
      <c r="B4116">
        <v>4113</v>
      </c>
      <c r="F4116" s="63"/>
      <c r="G4116" s="63"/>
      <c r="H4116" t="s">
        <v>26</v>
      </c>
      <c r="I4116" s="64"/>
      <c r="N4116" s="4"/>
      <c r="AG4116" t="s">
        <v>3823</v>
      </c>
      <c r="AM4116" s="1">
        <f t="shared" si="51"/>
        <v>0</v>
      </c>
    </row>
    <row r="4117" spans="1:39" x14ac:dyDescent="0.35">
      <c r="A4117">
        <v>4113</v>
      </c>
      <c r="B4117">
        <v>4114</v>
      </c>
      <c r="F4117" s="63"/>
      <c r="G4117" s="63"/>
      <c r="H4117" t="s">
        <v>26</v>
      </c>
      <c r="I4117" s="64"/>
      <c r="N4117" s="4"/>
      <c r="AG4117" t="s">
        <v>3824</v>
      </c>
      <c r="AM4117" s="1">
        <f t="shared" si="51"/>
        <v>0</v>
      </c>
    </row>
    <row r="4118" spans="1:39" x14ac:dyDescent="0.35">
      <c r="A4118">
        <v>4114</v>
      </c>
      <c r="B4118">
        <v>4115</v>
      </c>
      <c r="F4118" s="63"/>
      <c r="G4118" s="63"/>
      <c r="H4118" t="s">
        <v>26</v>
      </c>
      <c r="I4118" s="64"/>
      <c r="N4118" s="4"/>
      <c r="AG4118" t="s">
        <v>3825</v>
      </c>
      <c r="AM4118" s="1">
        <f t="shared" si="51"/>
        <v>0</v>
      </c>
    </row>
    <row r="4119" spans="1:39" x14ac:dyDescent="0.35">
      <c r="A4119">
        <v>4115</v>
      </c>
      <c r="B4119">
        <v>4116</v>
      </c>
      <c r="F4119" s="63"/>
      <c r="G4119" s="63"/>
      <c r="H4119" t="s">
        <v>26</v>
      </c>
      <c r="I4119" s="64"/>
      <c r="N4119" s="4"/>
      <c r="AG4119" t="s">
        <v>3826</v>
      </c>
      <c r="AM4119" s="1">
        <f t="shared" si="51"/>
        <v>0</v>
      </c>
    </row>
    <row r="4120" spans="1:39" x14ac:dyDescent="0.35">
      <c r="A4120">
        <v>4116</v>
      </c>
      <c r="B4120">
        <v>4117</v>
      </c>
      <c r="F4120" s="63"/>
      <c r="G4120" s="63"/>
      <c r="H4120" t="s">
        <v>26</v>
      </c>
      <c r="I4120" s="64"/>
      <c r="N4120" s="4"/>
      <c r="AG4120" t="s">
        <v>3827</v>
      </c>
      <c r="AM4120" s="1">
        <f t="shared" si="51"/>
        <v>0</v>
      </c>
    </row>
    <row r="4121" spans="1:39" x14ac:dyDescent="0.35">
      <c r="A4121">
        <v>4117</v>
      </c>
      <c r="B4121">
        <v>4118</v>
      </c>
      <c r="F4121" s="63"/>
      <c r="G4121" s="63"/>
      <c r="H4121" t="s">
        <v>26</v>
      </c>
      <c r="I4121" s="64"/>
      <c r="N4121" s="4"/>
      <c r="AG4121" t="s">
        <v>3828</v>
      </c>
      <c r="AM4121" s="1">
        <f t="shared" si="51"/>
        <v>0</v>
      </c>
    </row>
    <row r="4122" spans="1:39" x14ac:dyDescent="0.35">
      <c r="A4122">
        <v>4118</v>
      </c>
      <c r="B4122">
        <v>4119</v>
      </c>
      <c r="F4122" s="63"/>
      <c r="G4122" s="63"/>
      <c r="H4122" t="s">
        <v>26</v>
      </c>
      <c r="I4122" s="64"/>
      <c r="N4122" s="4"/>
      <c r="AG4122" t="s">
        <v>3829</v>
      </c>
      <c r="AM4122" s="1">
        <f t="shared" si="51"/>
        <v>0</v>
      </c>
    </row>
    <row r="4123" spans="1:39" x14ac:dyDescent="0.35">
      <c r="A4123">
        <v>4119</v>
      </c>
      <c r="B4123">
        <v>4120</v>
      </c>
      <c r="F4123" s="63"/>
      <c r="G4123" s="63"/>
      <c r="H4123" t="s">
        <v>26</v>
      </c>
      <c r="I4123" s="64"/>
      <c r="N4123" s="4"/>
      <c r="AG4123" t="s">
        <v>3830</v>
      </c>
      <c r="AM4123" s="1">
        <f t="shared" si="51"/>
        <v>0</v>
      </c>
    </row>
    <row r="4124" spans="1:39" x14ac:dyDescent="0.35">
      <c r="A4124">
        <v>4120</v>
      </c>
      <c r="B4124">
        <v>4121</v>
      </c>
      <c r="F4124" s="63"/>
      <c r="G4124" s="63"/>
      <c r="H4124" t="s">
        <v>26</v>
      </c>
      <c r="I4124" s="64"/>
      <c r="N4124" s="4"/>
      <c r="AG4124" t="s">
        <v>3831</v>
      </c>
      <c r="AM4124" s="1">
        <f t="shared" si="51"/>
        <v>0</v>
      </c>
    </row>
    <row r="4125" spans="1:39" x14ac:dyDescent="0.35">
      <c r="A4125">
        <v>4121</v>
      </c>
      <c r="B4125">
        <v>4122</v>
      </c>
      <c r="F4125" s="63"/>
      <c r="G4125" s="63"/>
      <c r="H4125" t="s">
        <v>26</v>
      </c>
      <c r="I4125" s="64"/>
      <c r="N4125" s="4"/>
      <c r="AG4125" t="s">
        <v>3832</v>
      </c>
      <c r="AM4125" s="1">
        <f t="shared" si="51"/>
        <v>0</v>
      </c>
    </row>
    <row r="4126" spans="1:39" x14ac:dyDescent="0.35">
      <c r="A4126">
        <v>4122</v>
      </c>
      <c r="B4126">
        <v>4123</v>
      </c>
      <c r="F4126" s="63"/>
      <c r="G4126" s="63"/>
      <c r="H4126" t="s">
        <v>26</v>
      </c>
      <c r="I4126" s="64"/>
      <c r="N4126" s="4"/>
      <c r="AG4126" t="s">
        <v>3833</v>
      </c>
      <c r="AM4126" s="1">
        <f t="shared" si="51"/>
        <v>0</v>
      </c>
    </row>
    <row r="4127" spans="1:39" x14ac:dyDescent="0.35">
      <c r="A4127">
        <v>4123</v>
      </c>
      <c r="B4127">
        <v>4124</v>
      </c>
      <c r="F4127" s="63"/>
      <c r="G4127" s="63"/>
      <c r="H4127" t="s">
        <v>26</v>
      </c>
      <c r="I4127" s="64"/>
      <c r="N4127" s="4"/>
      <c r="AG4127" t="s">
        <v>3834</v>
      </c>
      <c r="AM4127" s="1">
        <f t="shared" si="51"/>
        <v>0</v>
      </c>
    </row>
    <row r="4128" spans="1:39" x14ac:dyDescent="0.35">
      <c r="A4128">
        <v>4124</v>
      </c>
      <c r="B4128">
        <v>4125</v>
      </c>
      <c r="F4128" s="63"/>
      <c r="G4128" s="63"/>
      <c r="H4128" t="s">
        <v>26</v>
      </c>
      <c r="I4128" s="64"/>
      <c r="N4128" s="4"/>
      <c r="AG4128" t="s">
        <v>3835</v>
      </c>
      <c r="AM4128" s="1">
        <f t="shared" si="51"/>
        <v>0</v>
      </c>
    </row>
    <row r="4129" spans="1:39" x14ac:dyDescent="0.35">
      <c r="A4129">
        <v>4125</v>
      </c>
      <c r="B4129">
        <v>4126</v>
      </c>
      <c r="F4129" s="63"/>
      <c r="G4129" s="63"/>
      <c r="H4129" t="s">
        <v>26</v>
      </c>
      <c r="I4129" s="64"/>
      <c r="N4129" s="4"/>
      <c r="AG4129" t="s">
        <v>3836</v>
      </c>
      <c r="AM4129" s="1">
        <f t="shared" si="51"/>
        <v>0</v>
      </c>
    </row>
    <row r="4130" spans="1:39" x14ac:dyDescent="0.35">
      <c r="A4130">
        <v>4126</v>
      </c>
      <c r="B4130">
        <v>4127</v>
      </c>
      <c r="F4130" s="63"/>
      <c r="G4130" s="63"/>
      <c r="H4130" t="s">
        <v>26</v>
      </c>
      <c r="I4130" s="64"/>
      <c r="N4130" s="4"/>
      <c r="AG4130" t="s">
        <v>3837</v>
      </c>
      <c r="AM4130" s="1">
        <f t="shared" si="51"/>
        <v>0</v>
      </c>
    </row>
    <row r="4131" spans="1:39" x14ac:dyDescent="0.35">
      <c r="A4131">
        <v>4127</v>
      </c>
      <c r="B4131">
        <v>4128</v>
      </c>
      <c r="F4131" s="63"/>
      <c r="G4131" s="63"/>
      <c r="H4131" t="s">
        <v>26</v>
      </c>
      <c r="I4131" s="64"/>
      <c r="N4131" s="4"/>
      <c r="AG4131" t="s">
        <v>3838</v>
      </c>
      <c r="AM4131" s="1">
        <f t="shared" si="51"/>
        <v>0</v>
      </c>
    </row>
    <row r="4132" spans="1:39" x14ac:dyDescent="0.35">
      <c r="A4132">
        <v>4128</v>
      </c>
      <c r="B4132">
        <v>4129</v>
      </c>
      <c r="F4132" s="63"/>
      <c r="G4132" s="63"/>
      <c r="H4132" t="s">
        <v>26</v>
      </c>
      <c r="I4132" s="64"/>
      <c r="N4132" s="4"/>
      <c r="AG4132" t="s">
        <v>3839</v>
      </c>
      <c r="AM4132" s="1">
        <f t="shared" si="51"/>
        <v>0</v>
      </c>
    </row>
    <row r="4133" spans="1:39" x14ac:dyDescent="0.35">
      <c r="A4133">
        <v>4129</v>
      </c>
      <c r="B4133">
        <v>4130</v>
      </c>
      <c r="F4133" s="63"/>
      <c r="G4133" s="63"/>
      <c r="H4133" t="s">
        <v>26</v>
      </c>
      <c r="I4133" s="64"/>
      <c r="N4133" s="4"/>
      <c r="AG4133" t="s">
        <v>3840</v>
      </c>
      <c r="AM4133" s="1">
        <f t="shared" si="51"/>
        <v>0</v>
      </c>
    </row>
    <row r="4134" spans="1:39" x14ac:dyDescent="0.35">
      <c r="A4134">
        <v>4130</v>
      </c>
      <c r="B4134">
        <v>4131</v>
      </c>
      <c r="F4134" s="63"/>
      <c r="G4134" s="63"/>
      <c r="H4134" t="s">
        <v>26</v>
      </c>
      <c r="I4134" s="64"/>
      <c r="N4134" s="4"/>
      <c r="AG4134" t="s">
        <v>3841</v>
      </c>
      <c r="AM4134" s="1">
        <f t="shared" si="51"/>
        <v>0</v>
      </c>
    </row>
    <row r="4135" spans="1:39" x14ac:dyDescent="0.35">
      <c r="A4135">
        <v>4131</v>
      </c>
      <c r="B4135">
        <v>4132</v>
      </c>
      <c r="F4135" s="63"/>
      <c r="G4135" s="63"/>
      <c r="H4135" t="s">
        <v>26</v>
      </c>
      <c r="I4135" s="64"/>
      <c r="N4135" s="4"/>
      <c r="AG4135" t="s">
        <v>3842</v>
      </c>
      <c r="AM4135" s="1">
        <f t="shared" si="51"/>
        <v>0</v>
      </c>
    </row>
    <row r="4136" spans="1:39" x14ac:dyDescent="0.35">
      <c r="A4136">
        <v>4132</v>
      </c>
      <c r="B4136">
        <v>4133</v>
      </c>
      <c r="F4136" s="63"/>
      <c r="G4136" s="63"/>
      <c r="H4136" t="s">
        <v>26</v>
      </c>
      <c r="I4136" s="64"/>
      <c r="N4136" s="4"/>
      <c r="AG4136" t="s">
        <v>3843</v>
      </c>
      <c r="AM4136" s="1">
        <f t="shared" si="51"/>
        <v>0</v>
      </c>
    </row>
    <row r="4137" spans="1:39" x14ac:dyDescent="0.35">
      <c r="A4137">
        <v>4133</v>
      </c>
      <c r="B4137">
        <v>4134</v>
      </c>
      <c r="F4137" s="63"/>
      <c r="G4137" s="63"/>
      <c r="H4137" t="s">
        <v>26</v>
      </c>
      <c r="I4137" s="64"/>
      <c r="N4137" s="4"/>
      <c r="AG4137" t="s">
        <v>3844</v>
      </c>
      <c r="AM4137" s="1">
        <f t="shared" ref="AM4137:AM4176" si="52">HYPERLINK("E:\CAFNEC_GBRF\2023\JohnstoneRiver\Frames_for_Analysis\" &amp; F4138, F4138)</f>
        <v>0</v>
      </c>
    </row>
    <row r="4138" spans="1:39" x14ac:dyDescent="0.35">
      <c r="A4138">
        <v>4134</v>
      </c>
      <c r="B4138">
        <v>4135</v>
      </c>
      <c r="F4138" s="63"/>
      <c r="G4138" s="63"/>
      <c r="H4138" t="s">
        <v>26</v>
      </c>
      <c r="I4138" s="64"/>
      <c r="N4138" s="4"/>
      <c r="AG4138" t="s">
        <v>3845</v>
      </c>
      <c r="AM4138" s="1">
        <f t="shared" si="52"/>
        <v>0</v>
      </c>
    </row>
    <row r="4139" spans="1:39" x14ac:dyDescent="0.35">
      <c r="A4139">
        <v>4135</v>
      </c>
      <c r="B4139">
        <v>4136</v>
      </c>
      <c r="F4139" s="63"/>
      <c r="G4139" s="63"/>
      <c r="H4139" t="s">
        <v>26</v>
      </c>
      <c r="I4139" s="64"/>
      <c r="N4139" s="4"/>
      <c r="AG4139" t="s">
        <v>3846</v>
      </c>
      <c r="AM4139" s="1">
        <f t="shared" si="52"/>
        <v>0</v>
      </c>
    </row>
    <row r="4140" spans="1:39" x14ac:dyDescent="0.35">
      <c r="A4140">
        <v>4136</v>
      </c>
      <c r="B4140">
        <v>4137</v>
      </c>
      <c r="F4140" s="63"/>
      <c r="G4140" s="63"/>
      <c r="H4140" t="s">
        <v>26</v>
      </c>
      <c r="I4140" s="64"/>
      <c r="N4140" s="4"/>
      <c r="AG4140" t="s">
        <v>3847</v>
      </c>
      <c r="AM4140" s="1">
        <f t="shared" si="52"/>
        <v>0</v>
      </c>
    </row>
    <row r="4141" spans="1:39" x14ac:dyDescent="0.35">
      <c r="A4141">
        <v>4137</v>
      </c>
      <c r="B4141">
        <v>4138</v>
      </c>
      <c r="F4141" s="63"/>
      <c r="G4141" s="63"/>
      <c r="H4141" t="s">
        <v>26</v>
      </c>
      <c r="I4141" s="64"/>
      <c r="N4141" s="4"/>
      <c r="AG4141" t="s">
        <v>3848</v>
      </c>
      <c r="AM4141" s="1">
        <f t="shared" si="52"/>
        <v>0</v>
      </c>
    </row>
    <row r="4142" spans="1:39" x14ac:dyDescent="0.35">
      <c r="A4142">
        <v>4138</v>
      </c>
      <c r="B4142">
        <v>4139</v>
      </c>
      <c r="F4142" s="63"/>
      <c r="G4142" s="63"/>
      <c r="H4142" t="s">
        <v>26</v>
      </c>
      <c r="I4142" s="64"/>
      <c r="N4142" s="4"/>
      <c r="AG4142" t="s">
        <v>3849</v>
      </c>
      <c r="AM4142" s="1">
        <f t="shared" si="52"/>
        <v>0</v>
      </c>
    </row>
    <row r="4143" spans="1:39" x14ac:dyDescent="0.35">
      <c r="A4143">
        <v>4139</v>
      </c>
      <c r="B4143">
        <v>4140</v>
      </c>
      <c r="F4143" s="63"/>
      <c r="G4143" s="63"/>
      <c r="H4143" t="s">
        <v>26</v>
      </c>
      <c r="I4143" s="64"/>
      <c r="N4143" s="4"/>
      <c r="AG4143" t="s">
        <v>3850</v>
      </c>
      <c r="AM4143" s="1">
        <f t="shared" si="52"/>
        <v>0</v>
      </c>
    </row>
    <row r="4144" spans="1:39" x14ac:dyDescent="0.35">
      <c r="A4144">
        <v>4140</v>
      </c>
      <c r="B4144">
        <v>4141</v>
      </c>
      <c r="F4144" s="63"/>
      <c r="G4144" s="63"/>
      <c r="H4144" t="s">
        <v>26</v>
      </c>
      <c r="I4144" s="64"/>
      <c r="N4144" s="4"/>
      <c r="AG4144" t="s">
        <v>3851</v>
      </c>
      <c r="AM4144" s="1">
        <f t="shared" si="52"/>
        <v>0</v>
      </c>
    </row>
    <row r="4145" spans="1:39" x14ac:dyDescent="0.35">
      <c r="A4145">
        <v>4141</v>
      </c>
      <c r="B4145">
        <v>4142</v>
      </c>
      <c r="F4145" s="63"/>
      <c r="G4145" s="63"/>
      <c r="H4145" t="s">
        <v>26</v>
      </c>
      <c r="I4145" s="64"/>
      <c r="N4145" s="4"/>
      <c r="AG4145" t="s">
        <v>3852</v>
      </c>
      <c r="AM4145" s="1">
        <f t="shared" si="52"/>
        <v>0</v>
      </c>
    </row>
    <row r="4146" spans="1:39" x14ac:dyDescent="0.35">
      <c r="A4146">
        <v>4142</v>
      </c>
      <c r="B4146">
        <v>4143</v>
      </c>
      <c r="F4146" s="63"/>
      <c r="G4146" s="63"/>
      <c r="H4146" t="s">
        <v>26</v>
      </c>
      <c r="I4146" s="64"/>
      <c r="N4146" s="4"/>
      <c r="AG4146" t="s">
        <v>3853</v>
      </c>
      <c r="AM4146" s="1">
        <f t="shared" si="52"/>
        <v>0</v>
      </c>
    </row>
    <row r="4147" spans="1:39" x14ac:dyDescent="0.35">
      <c r="A4147">
        <v>4143</v>
      </c>
      <c r="B4147">
        <v>4144</v>
      </c>
      <c r="F4147" s="63"/>
      <c r="G4147" s="63"/>
      <c r="H4147" t="s">
        <v>26</v>
      </c>
      <c r="I4147" s="64"/>
      <c r="N4147" s="4"/>
      <c r="AG4147" t="s">
        <v>3854</v>
      </c>
      <c r="AM4147" s="1">
        <f t="shared" si="52"/>
        <v>0</v>
      </c>
    </row>
    <row r="4148" spans="1:39" x14ac:dyDescent="0.35">
      <c r="A4148">
        <v>4144</v>
      </c>
      <c r="B4148">
        <v>4145</v>
      </c>
      <c r="F4148" s="63"/>
      <c r="G4148" s="63"/>
      <c r="H4148" t="s">
        <v>26</v>
      </c>
      <c r="I4148" s="64"/>
      <c r="N4148" s="4"/>
      <c r="AG4148" t="s">
        <v>3855</v>
      </c>
      <c r="AM4148" s="1">
        <f t="shared" si="52"/>
        <v>0</v>
      </c>
    </row>
    <row r="4149" spans="1:39" x14ac:dyDescent="0.35">
      <c r="A4149">
        <v>4145</v>
      </c>
      <c r="B4149">
        <v>4146</v>
      </c>
      <c r="F4149" s="63"/>
      <c r="G4149" s="63"/>
      <c r="H4149" t="s">
        <v>26</v>
      </c>
      <c r="I4149" s="64"/>
      <c r="N4149" s="4"/>
      <c r="AG4149" t="s">
        <v>3856</v>
      </c>
      <c r="AM4149" s="1">
        <f t="shared" si="52"/>
        <v>0</v>
      </c>
    </row>
    <row r="4150" spans="1:39" x14ac:dyDescent="0.35">
      <c r="A4150">
        <v>4146</v>
      </c>
      <c r="B4150">
        <v>4147</v>
      </c>
      <c r="F4150" s="63"/>
      <c r="G4150" s="63"/>
      <c r="H4150" t="s">
        <v>26</v>
      </c>
      <c r="I4150" s="64"/>
      <c r="N4150" s="4"/>
      <c r="AG4150" t="s">
        <v>3857</v>
      </c>
      <c r="AM4150" s="1">
        <f t="shared" si="52"/>
        <v>0</v>
      </c>
    </row>
    <row r="4151" spans="1:39" x14ac:dyDescent="0.35">
      <c r="A4151">
        <v>4147</v>
      </c>
      <c r="B4151">
        <v>4148</v>
      </c>
      <c r="F4151" s="63"/>
      <c r="G4151" s="63"/>
      <c r="H4151" t="s">
        <v>26</v>
      </c>
      <c r="I4151" s="64"/>
      <c r="N4151" s="4"/>
      <c r="AG4151" t="s">
        <v>3858</v>
      </c>
      <c r="AM4151" s="1">
        <f t="shared" si="52"/>
        <v>0</v>
      </c>
    </row>
    <row r="4152" spans="1:39" x14ac:dyDescent="0.35">
      <c r="A4152">
        <v>4148</v>
      </c>
      <c r="B4152">
        <v>4149</v>
      </c>
      <c r="F4152" s="63"/>
      <c r="G4152" s="63"/>
      <c r="H4152" t="s">
        <v>26</v>
      </c>
      <c r="I4152" s="64"/>
      <c r="N4152" s="4"/>
      <c r="AG4152" t="s">
        <v>3859</v>
      </c>
      <c r="AM4152" s="1">
        <f t="shared" si="52"/>
        <v>0</v>
      </c>
    </row>
    <row r="4153" spans="1:39" x14ac:dyDescent="0.35">
      <c r="A4153">
        <v>4149</v>
      </c>
      <c r="B4153">
        <v>4150</v>
      </c>
      <c r="F4153" s="63"/>
      <c r="G4153" s="63"/>
      <c r="H4153" t="s">
        <v>26</v>
      </c>
      <c r="I4153" s="64"/>
      <c r="N4153" s="4"/>
      <c r="AG4153" t="s">
        <v>3860</v>
      </c>
      <c r="AM4153" s="1">
        <f t="shared" si="52"/>
        <v>0</v>
      </c>
    </row>
    <row r="4154" spans="1:39" x14ac:dyDescent="0.35">
      <c r="A4154">
        <v>4150</v>
      </c>
      <c r="B4154">
        <v>4151</v>
      </c>
      <c r="F4154" s="63"/>
      <c r="G4154" s="63"/>
      <c r="H4154" t="s">
        <v>26</v>
      </c>
      <c r="I4154" s="64"/>
      <c r="N4154" s="4"/>
      <c r="AG4154" t="s">
        <v>3861</v>
      </c>
      <c r="AM4154" s="1">
        <f t="shared" si="52"/>
        <v>0</v>
      </c>
    </row>
    <row r="4155" spans="1:39" x14ac:dyDescent="0.35">
      <c r="A4155">
        <v>4151</v>
      </c>
      <c r="B4155">
        <v>4152</v>
      </c>
      <c r="F4155" s="63"/>
      <c r="G4155" s="63"/>
      <c r="H4155" t="s">
        <v>26</v>
      </c>
      <c r="I4155" s="64"/>
      <c r="N4155" s="4"/>
      <c r="AG4155" t="s">
        <v>3862</v>
      </c>
      <c r="AM4155" s="1">
        <f t="shared" si="52"/>
        <v>0</v>
      </c>
    </row>
    <row r="4156" spans="1:39" x14ac:dyDescent="0.35">
      <c r="A4156">
        <v>4152</v>
      </c>
      <c r="B4156">
        <v>4153</v>
      </c>
      <c r="F4156" s="63"/>
      <c r="G4156" s="63"/>
      <c r="H4156" t="s">
        <v>26</v>
      </c>
      <c r="I4156" s="64"/>
      <c r="N4156" s="4"/>
      <c r="AG4156" t="s">
        <v>3863</v>
      </c>
      <c r="AM4156" s="1">
        <f t="shared" si="52"/>
        <v>0</v>
      </c>
    </row>
    <row r="4157" spans="1:39" x14ac:dyDescent="0.35">
      <c r="A4157">
        <v>4153</v>
      </c>
      <c r="B4157">
        <v>4154</v>
      </c>
      <c r="F4157" s="63"/>
      <c r="G4157" s="63"/>
      <c r="H4157" t="s">
        <v>26</v>
      </c>
      <c r="I4157" s="64"/>
      <c r="N4157" s="4"/>
      <c r="AG4157" t="s">
        <v>3864</v>
      </c>
      <c r="AM4157" s="1">
        <f t="shared" si="52"/>
        <v>0</v>
      </c>
    </row>
    <row r="4158" spans="1:39" x14ac:dyDescent="0.35">
      <c r="A4158">
        <v>4154</v>
      </c>
      <c r="B4158">
        <v>4155</v>
      </c>
      <c r="F4158" s="63"/>
      <c r="G4158" s="63"/>
      <c r="H4158" t="s">
        <v>26</v>
      </c>
      <c r="I4158" s="64"/>
      <c r="N4158" s="4"/>
      <c r="AG4158" t="s">
        <v>3865</v>
      </c>
      <c r="AM4158" s="1">
        <f t="shared" si="52"/>
        <v>0</v>
      </c>
    </row>
    <row r="4159" spans="1:39" x14ac:dyDescent="0.35">
      <c r="A4159">
        <v>4155</v>
      </c>
      <c r="B4159">
        <v>4156</v>
      </c>
      <c r="F4159" s="63"/>
      <c r="G4159" s="63"/>
      <c r="H4159" t="s">
        <v>26</v>
      </c>
      <c r="I4159" s="64"/>
      <c r="N4159" s="4"/>
      <c r="AG4159" t="s">
        <v>3866</v>
      </c>
      <c r="AM4159" s="1">
        <f t="shared" si="52"/>
        <v>0</v>
      </c>
    </row>
    <row r="4160" spans="1:39" x14ac:dyDescent="0.35">
      <c r="A4160">
        <v>4156</v>
      </c>
      <c r="B4160">
        <v>4157</v>
      </c>
      <c r="F4160" s="63"/>
      <c r="G4160" s="63"/>
      <c r="H4160" t="s">
        <v>26</v>
      </c>
      <c r="I4160" s="64"/>
      <c r="N4160" s="4"/>
      <c r="AG4160" t="s">
        <v>3867</v>
      </c>
      <c r="AM4160" s="1">
        <f t="shared" si="52"/>
        <v>0</v>
      </c>
    </row>
    <row r="4161" spans="1:39" x14ac:dyDescent="0.35">
      <c r="A4161">
        <v>4157</v>
      </c>
      <c r="B4161">
        <v>4158</v>
      </c>
      <c r="F4161" s="63"/>
      <c r="G4161" s="63"/>
      <c r="H4161" t="s">
        <v>26</v>
      </c>
      <c r="I4161" s="64"/>
      <c r="N4161" s="4"/>
      <c r="AG4161" t="s">
        <v>3868</v>
      </c>
      <c r="AM4161" s="1">
        <f t="shared" si="52"/>
        <v>0</v>
      </c>
    </row>
    <row r="4162" spans="1:39" x14ac:dyDescent="0.35">
      <c r="A4162">
        <v>4158</v>
      </c>
      <c r="B4162">
        <v>4159</v>
      </c>
      <c r="F4162" s="63"/>
      <c r="G4162" s="63"/>
      <c r="H4162" t="s">
        <v>26</v>
      </c>
      <c r="I4162" s="64"/>
      <c r="N4162" s="4"/>
      <c r="AG4162" t="s">
        <v>3869</v>
      </c>
      <c r="AM4162" s="1">
        <f t="shared" si="52"/>
        <v>0</v>
      </c>
    </row>
    <row r="4163" spans="1:39" x14ac:dyDescent="0.35">
      <c r="A4163">
        <v>4159</v>
      </c>
      <c r="B4163">
        <v>4160</v>
      </c>
      <c r="F4163" s="63"/>
      <c r="G4163" s="63"/>
      <c r="H4163" t="s">
        <v>26</v>
      </c>
      <c r="I4163" s="64"/>
      <c r="N4163" s="4"/>
      <c r="AG4163" t="s">
        <v>3870</v>
      </c>
      <c r="AM4163" s="1">
        <f t="shared" si="52"/>
        <v>0</v>
      </c>
    </row>
    <row r="4164" spans="1:39" x14ac:dyDescent="0.35">
      <c r="A4164">
        <v>4160</v>
      </c>
      <c r="B4164">
        <v>4161</v>
      </c>
      <c r="F4164" s="63"/>
      <c r="G4164" s="63"/>
      <c r="H4164" t="s">
        <v>26</v>
      </c>
      <c r="I4164" s="64"/>
      <c r="N4164" s="4"/>
      <c r="AG4164" t="s">
        <v>3871</v>
      </c>
      <c r="AM4164" s="1">
        <f t="shared" si="52"/>
        <v>0</v>
      </c>
    </row>
    <row r="4165" spans="1:39" x14ac:dyDescent="0.35">
      <c r="A4165">
        <v>4161</v>
      </c>
      <c r="B4165">
        <v>4162</v>
      </c>
      <c r="F4165" s="63"/>
      <c r="G4165" s="63"/>
      <c r="H4165" t="s">
        <v>26</v>
      </c>
      <c r="I4165" s="64"/>
      <c r="N4165" s="4"/>
      <c r="AG4165" t="s">
        <v>3872</v>
      </c>
      <c r="AM4165" s="1">
        <f t="shared" si="52"/>
        <v>0</v>
      </c>
    </row>
    <row r="4166" spans="1:39" x14ac:dyDescent="0.35">
      <c r="A4166">
        <v>4162</v>
      </c>
      <c r="B4166">
        <v>4163</v>
      </c>
      <c r="F4166" s="63"/>
      <c r="G4166" s="63"/>
      <c r="H4166" t="s">
        <v>26</v>
      </c>
      <c r="I4166" s="64"/>
      <c r="N4166" s="4"/>
      <c r="AG4166" t="s">
        <v>3873</v>
      </c>
      <c r="AM4166" s="1">
        <f t="shared" si="52"/>
        <v>0</v>
      </c>
    </row>
    <row r="4167" spans="1:39" x14ac:dyDescent="0.35">
      <c r="A4167">
        <v>4163</v>
      </c>
      <c r="B4167">
        <v>4164</v>
      </c>
      <c r="F4167" s="63"/>
      <c r="G4167" s="63"/>
      <c r="H4167" t="s">
        <v>26</v>
      </c>
      <c r="I4167" s="64"/>
      <c r="N4167" s="4"/>
      <c r="AG4167" t="s">
        <v>3874</v>
      </c>
      <c r="AM4167" s="1">
        <f t="shared" si="52"/>
        <v>0</v>
      </c>
    </row>
    <row r="4168" spans="1:39" x14ac:dyDescent="0.35">
      <c r="A4168">
        <v>4164</v>
      </c>
      <c r="B4168">
        <v>4165</v>
      </c>
      <c r="F4168" s="63"/>
      <c r="G4168" s="63"/>
      <c r="H4168" t="s">
        <v>26</v>
      </c>
      <c r="I4168" s="64"/>
      <c r="N4168" s="4"/>
      <c r="AG4168" t="s">
        <v>3875</v>
      </c>
      <c r="AM4168" s="1">
        <f t="shared" si="52"/>
        <v>0</v>
      </c>
    </row>
    <row r="4169" spans="1:39" x14ac:dyDescent="0.35">
      <c r="A4169">
        <v>4165</v>
      </c>
      <c r="B4169">
        <v>4166</v>
      </c>
      <c r="F4169" s="63"/>
      <c r="G4169" s="63"/>
      <c r="H4169" t="s">
        <v>26</v>
      </c>
      <c r="I4169" s="64"/>
      <c r="N4169" s="4"/>
      <c r="AG4169" t="s">
        <v>3876</v>
      </c>
      <c r="AM4169" s="1">
        <f t="shared" si="52"/>
        <v>0</v>
      </c>
    </row>
    <row r="4170" spans="1:39" x14ac:dyDescent="0.35">
      <c r="A4170">
        <v>4166</v>
      </c>
      <c r="B4170">
        <v>4167</v>
      </c>
      <c r="F4170" s="63"/>
      <c r="G4170" s="63"/>
      <c r="H4170" t="s">
        <v>26</v>
      </c>
      <c r="I4170" s="64"/>
      <c r="N4170" s="4"/>
      <c r="AG4170" t="s">
        <v>3877</v>
      </c>
      <c r="AM4170" s="1">
        <f t="shared" si="52"/>
        <v>0</v>
      </c>
    </row>
    <row r="4171" spans="1:39" x14ac:dyDescent="0.35">
      <c r="A4171">
        <v>4167</v>
      </c>
      <c r="B4171">
        <v>4168</v>
      </c>
      <c r="F4171" s="63"/>
      <c r="G4171" s="63"/>
      <c r="H4171" t="s">
        <v>26</v>
      </c>
      <c r="I4171" s="64"/>
      <c r="N4171" s="4"/>
      <c r="AG4171" t="s">
        <v>3878</v>
      </c>
      <c r="AM4171" s="1">
        <f t="shared" si="52"/>
        <v>0</v>
      </c>
    </row>
    <row r="4172" spans="1:39" x14ac:dyDescent="0.35">
      <c r="A4172">
        <v>4168</v>
      </c>
      <c r="B4172">
        <v>4169</v>
      </c>
      <c r="F4172" s="63"/>
      <c r="G4172" s="63"/>
      <c r="H4172" t="s">
        <v>26</v>
      </c>
      <c r="I4172" s="64"/>
      <c r="N4172" s="4"/>
      <c r="AG4172" t="s">
        <v>3879</v>
      </c>
      <c r="AM4172" s="1">
        <f t="shared" si="52"/>
        <v>0</v>
      </c>
    </row>
    <row r="4173" spans="1:39" x14ac:dyDescent="0.35">
      <c r="A4173">
        <v>4169</v>
      </c>
      <c r="B4173">
        <v>4170</v>
      </c>
      <c r="F4173" s="63"/>
      <c r="G4173" s="63"/>
      <c r="H4173" t="s">
        <v>26</v>
      </c>
      <c r="I4173" s="64"/>
      <c r="N4173" s="4"/>
      <c r="AG4173" t="s">
        <v>3880</v>
      </c>
      <c r="AM4173" s="1">
        <f t="shared" si="52"/>
        <v>0</v>
      </c>
    </row>
    <row r="4174" spans="1:39" x14ac:dyDescent="0.35">
      <c r="A4174">
        <v>4170</v>
      </c>
      <c r="B4174">
        <v>4171</v>
      </c>
      <c r="F4174" s="63"/>
      <c r="G4174" s="63"/>
      <c r="H4174" t="s">
        <v>26</v>
      </c>
      <c r="I4174" s="64"/>
      <c r="N4174" s="4"/>
      <c r="AG4174" t="s">
        <v>3881</v>
      </c>
      <c r="AM4174" s="1">
        <f t="shared" si="52"/>
        <v>0</v>
      </c>
    </row>
    <row r="4175" spans="1:39" x14ac:dyDescent="0.35">
      <c r="A4175">
        <v>4171</v>
      </c>
      <c r="B4175">
        <v>4172</v>
      </c>
      <c r="F4175" s="63"/>
      <c r="G4175" s="63"/>
      <c r="H4175" t="s">
        <v>26</v>
      </c>
      <c r="I4175" s="64"/>
      <c r="N4175" s="4"/>
      <c r="AG4175" t="s">
        <v>3882</v>
      </c>
      <c r="AM4175" s="1">
        <f t="shared" si="52"/>
        <v>0</v>
      </c>
    </row>
    <row r="4176" spans="1:39" x14ac:dyDescent="0.35">
      <c r="A4176">
        <v>4172</v>
      </c>
      <c r="B4176">
        <v>4173</v>
      </c>
      <c r="F4176" s="63"/>
      <c r="G4176" s="63"/>
      <c r="H4176" t="s">
        <v>26</v>
      </c>
      <c r="I4176" s="64"/>
      <c r="N4176" s="4"/>
      <c r="AG4176" t="s">
        <v>3883</v>
      </c>
      <c r="AM4176" s="1">
        <f t="shared" si="52"/>
        <v>0</v>
      </c>
    </row>
    <row r="4177" spans="1:39" x14ac:dyDescent="0.35">
      <c r="A4177">
        <v>4173</v>
      </c>
      <c r="B4177">
        <v>4174</v>
      </c>
      <c r="F4177" s="63"/>
      <c r="G4177" s="63"/>
      <c r="H4177" t="s">
        <v>26</v>
      </c>
      <c r="I4177" s="64"/>
      <c r="N4177" s="4"/>
      <c r="AG4177" t="s">
        <v>3884</v>
      </c>
      <c r="AM4177" s="1"/>
    </row>
    <row r="4178" spans="1:39" x14ac:dyDescent="0.35">
      <c r="A4178">
        <v>4174</v>
      </c>
      <c r="B4178">
        <v>4175</v>
      </c>
      <c r="F4178" s="63"/>
      <c r="G4178" s="63"/>
      <c r="H4178" t="s">
        <v>26</v>
      </c>
      <c r="I4178" s="64"/>
      <c r="N4178" s="4"/>
      <c r="AG4178" t="s">
        <v>3885</v>
      </c>
      <c r="AM4178" s="1">
        <f>HYPERLINK("E:\CAFNEC_GBRF\2023\JohnstoneRiver\Frames_for_Analysis\" &amp; F4179, F4179)</f>
        <v>0</v>
      </c>
    </row>
    <row r="4179" spans="1:39" x14ac:dyDescent="0.35">
      <c r="A4179">
        <v>4175</v>
      </c>
      <c r="B4179">
        <v>4176</v>
      </c>
      <c r="F4179" s="63"/>
      <c r="G4179" s="63"/>
      <c r="H4179" t="s">
        <v>26</v>
      </c>
      <c r="I4179" s="64"/>
      <c r="N4179" s="4"/>
      <c r="AG4179" t="s">
        <v>3886</v>
      </c>
      <c r="AM4179" s="1"/>
    </row>
    <row r="4180" spans="1:39" x14ac:dyDescent="0.35">
      <c r="A4180">
        <v>4176</v>
      </c>
      <c r="B4180">
        <v>4177</v>
      </c>
      <c r="F4180" s="63"/>
      <c r="G4180" s="63"/>
      <c r="H4180" t="s">
        <v>26</v>
      </c>
      <c r="I4180" s="64"/>
      <c r="N4180" s="4"/>
      <c r="AG4180" t="s">
        <v>3887</v>
      </c>
      <c r="AM4180" s="1"/>
    </row>
    <row r="4181" spans="1:39" x14ac:dyDescent="0.35">
      <c r="A4181">
        <v>4177</v>
      </c>
      <c r="B4181">
        <v>4178</v>
      </c>
      <c r="F4181" s="63"/>
      <c r="G4181" s="63"/>
      <c r="H4181" t="s">
        <v>26</v>
      </c>
      <c r="I4181" s="64"/>
      <c r="N4181" s="4"/>
      <c r="AG4181" t="s">
        <v>3888</v>
      </c>
      <c r="AM4181" s="1"/>
    </row>
    <row r="4182" spans="1:39" x14ac:dyDescent="0.35">
      <c r="A4182">
        <v>4178</v>
      </c>
      <c r="B4182">
        <v>4179</v>
      </c>
      <c r="F4182" s="63"/>
      <c r="G4182" s="63"/>
      <c r="H4182" t="s">
        <v>26</v>
      </c>
      <c r="I4182" s="64"/>
      <c r="N4182" s="4"/>
      <c r="AG4182" t="s">
        <v>3889</v>
      </c>
      <c r="AM4182" s="1"/>
    </row>
    <row r="4183" spans="1:39" x14ac:dyDescent="0.35">
      <c r="A4183">
        <v>4179</v>
      </c>
      <c r="B4183">
        <v>4180</v>
      </c>
      <c r="F4183" s="63"/>
      <c r="G4183" s="63"/>
      <c r="H4183" t="s">
        <v>26</v>
      </c>
      <c r="I4183" s="64"/>
      <c r="N4183" s="4"/>
      <c r="AG4183" t="s">
        <v>3890</v>
      </c>
      <c r="AM4183" s="1">
        <f t="shared" ref="AM4183:AM4214" si="53">HYPERLINK("E:\CAFNEC_GBRF\2023\JohnstoneRiver\Frames_for_Analysis\" &amp; F4184, F4184)</f>
        <v>0</v>
      </c>
    </row>
    <row r="4184" spans="1:39" x14ac:dyDescent="0.35">
      <c r="A4184">
        <v>4180</v>
      </c>
      <c r="B4184">
        <v>4181</v>
      </c>
      <c r="F4184" s="63"/>
      <c r="G4184" s="63"/>
      <c r="H4184" t="s">
        <v>26</v>
      </c>
      <c r="I4184" s="64"/>
      <c r="N4184" s="4"/>
      <c r="AG4184" t="s">
        <v>3891</v>
      </c>
      <c r="AM4184" s="1">
        <f t="shared" si="53"/>
        <v>0</v>
      </c>
    </row>
    <row r="4185" spans="1:39" x14ac:dyDescent="0.35">
      <c r="A4185">
        <v>4181</v>
      </c>
      <c r="B4185">
        <v>4182</v>
      </c>
      <c r="F4185" s="63"/>
      <c r="G4185" s="63"/>
      <c r="H4185" t="s">
        <v>26</v>
      </c>
      <c r="I4185" s="64"/>
      <c r="N4185" s="4"/>
      <c r="AG4185" t="s">
        <v>3892</v>
      </c>
      <c r="AM4185" s="1">
        <f t="shared" si="53"/>
        <v>0</v>
      </c>
    </row>
    <row r="4186" spans="1:39" x14ac:dyDescent="0.35">
      <c r="A4186">
        <v>4182</v>
      </c>
      <c r="B4186">
        <v>4183</v>
      </c>
      <c r="F4186" s="63"/>
      <c r="G4186" s="63"/>
      <c r="H4186" t="s">
        <v>26</v>
      </c>
      <c r="I4186" s="64"/>
      <c r="N4186" s="4"/>
      <c r="AG4186" t="s">
        <v>3893</v>
      </c>
      <c r="AM4186" s="1">
        <f t="shared" si="53"/>
        <v>0</v>
      </c>
    </row>
    <row r="4187" spans="1:39" x14ac:dyDescent="0.35">
      <c r="A4187">
        <v>4183</v>
      </c>
      <c r="B4187">
        <v>4184</v>
      </c>
      <c r="F4187" s="63"/>
      <c r="G4187" s="63"/>
      <c r="H4187" t="s">
        <v>26</v>
      </c>
      <c r="I4187" s="64"/>
      <c r="N4187" s="4"/>
      <c r="AG4187" t="s">
        <v>3894</v>
      </c>
      <c r="AM4187" s="1">
        <f t="shared" si="53"/>
        <v>0</v>
      </c>
    </row>
    <row r="4188" spans="1:39" x14ac:dyDescent="0.35">
      <c r="A4188">
        <v>4184</v>
      </c>
      <c r="B4188">
        <v>4185</v>
      </c>
      <c r="F4188" s="63"/>
      <c r="G4188" s="63"/>
      <c r="H4188" t="s">
        <v>26</v>
      </c>
      <c r="I4188" s="64"/>
      <c r="N4188" s="4"/>
      <c r="AG4188" t="s">
        <v>3895</v>
      </c>
      <c r="AM4188" s="1">
        <f t="shared" si="53"/>
        <v>0</v>
      </c>
    </row>
    <row r="4189" spans="1:39" x14ac:dyDescent="0.35">
      <c r="A4189">
        <v>4185</v>
      </c>
      <c r="B4189">
        <v>4186</v>
      </c>
      <c r="F4189" s="63"/>
      <c r="G4189" s="63"/>
      <c r="H4189" t="s">
        <v>26</v>
      </c>
      <c r="I4189" s="64"/>
      <c r="N4189" s="4"/>
      <c r="AG4189" t="s">
        <v>3896</v>
      </c>
      <c r="AM4189" s="1">
        <f t="shared" si="53"/>
        <v>0</v>
      </c>
    </row>
    <row r="4190" spans="1:39" x14ac:dyDescent="0.35">
      <c r="A4190">
        <v>4186</v>
      </c>
      <c r="B4190">
        <v>4187</v>
      </c>
      <c r="F4190" s="63"/>
      <c r="G4190" s="63"/>
      <c r="H4190" t="s">
        <v>26</v>
      </c>
      <c r="I4190" s="64"/>
      <c r="N4190" s="4"/>
      <c r="AG4190" t="s">
        <v>3897</v>
      </c>
      <c r="AM4190" s="1">
        <f t="shared" si="53"/>
        <v>0</v>
      </c>
    </row>
    <row r="4191" spans="1:39" x14ac:dyDescent="0.35">
      <c r="A4191">
        <v>4187</v>
      </c>
      <c r="B4191">
        <v>4188</v>
      </c>
      <c r="F4191" s="63"/>
      <c r="G4191" s="63"/>
      <c r="H4191" t="s">
        <v>26</v>
      </c>
      <c r="I4191" s="64"/>
      <c r="N4191" s="4"/>
      <c r="AG4191" t="s">
        <v>3898</v>
      </c>
      <c r="AM4191" s="1">
        <f t="shared" si="53"/>
        <v>0</v>
      </c>
    </row>
    <row r="4192" spans="1:39" x14ac:dyDescent="0.35">
      <c r="A4192">
        <v>4188</v>
      </c>
      <c r="B4192">
        <v>4189</v>
      </c>
      <c r="F4192" s="63"/>
      <c r="G4192" s="63"/>
      <c r="H4192" t="s">
        <v>26</v>
      </c>
      <c r="I4192" s="64"/>
      <c r="N4192" s="4"/>
      <c r="AG4192" t="s">
        <v>3899</v>
      </c>
      <c r="AM4192" s="1">
        <f t="shared" si="53"/>
        <v>0</v>
      </c>
    </row>
    <row r="4193" spans="1:39" x14ac:dyDescent="0.35">
      <c r="A4193">
        <v>4189</v>
      </c>
      <c r="B4193">
        <v>4190</v>
      </c>
      <c r="F4193" s="63"/>
      <c r="G4193" s="63"/>
      <c r="H4193" t="s">
        <v>26</v>
      </c>
      <c r="I4193" s="64"/>
      <c r="N4193" s="4"/>
      <c r="AG4193" t="s">
        <v>3900</v>
      </c>
      <c r="AM4193" s="1">
        <f t="shared" si="53"/>
        <v>0</v>
      </c>
    </row>
    <row r="4194" spans="1:39" x14ac:dyDescent="0.35">
      <c r="A4194">
        <v>4190</v>
      </c>
      <c r="B4194">
        <v>4191</v>
      </c>
      <c r="F4194" s="63"/>
      <c r="G4194" s="63"/>
      <c r="H4194" t="s">
        <v>26</v>
      </c>
      <c r="I4194" s="64"/>
      <c r="N4194" s="4"/>
      <c r="AG4194" t="s">
        <v>3901</v>
      </c>
      <c r="AM4194" s="1">
        <f t="shared" si="53"/>
        <v>0</v>
      </c>
    </row>
    <row r="4195" spans="1:39" x14ac:dyDescent="0.35">
      <c r="A4195">
        <v>4191</v>
      </c>
      <c r="B4195">
        <v>4192</v>
      </c>
      <c r="F4195" s="63"/>
      <c r="G4195" s="63"/>
      <c r="H4195" t="s">
        <v>26</v>
      </c>
      <c r="I4195" s="64"/>
      <c r="N4195" s="4"/>
      <c r="AG4195" t="s">
        <v>3902</v>
      </c>
      <c r="AM4195" s="1">
        <f t="shared" si="53"/>
        <v>0</v>
      </c>
    </row>
    <row r="4196" spans="1:39" x14ac:dyDescent="0.35">
      <c r="A4196">
        <v>4192</v>
      </c>
      <c r="B4196">
        <v>4193</v>
      </c>
      <c r="F4196" s="63"/>
      <c r="G4196" s="63"/>
      <c r="H4196" t="s">
        <v>26</v>
      </c>
      <c r="I4196" s="64"/>
      <c r="N4196" s="4"/>
      <c r="AG4196" t="s">
        <v>3903</v>
      </c>
      <c r="AM4196" s="1">
        <f t="shared" si="53"/>
        <v>0</v>
      </c>
    </row>
    <row r="4197" spans="1:39" x14ac:dyDescent="0.35">
      <c r="A4197">
        <v>4193</v>
      </c>
      <c r="B4197">
        <v>4194</v>
      </c>
      <c r="F4197" s="63"/>
      <c r="G4197" s="63"/>
      <c r="H4197" t="s">
        <v>26</v>
      </c>
      <c r="I4197" s="64"/>
      <c r="N4197" s="4"/>
      <c r="AG4197" t="s">
        <v>3904</v>
      </c>
      <c r="AM4197" s="1">
        <f t="shared" si="53"/>
        <v>0</v>
      </c>
    </row>
    <row r="4198" spans="1:39" x14ac:dyDescent="0.35">
      <c r="A4198">
        <v>4194</v>
      </c>
      <c r="B4198">
        <v>4195</v>
      </c>
      <c r="F4198" s="63"/>
      <c r="G4198" s="63"/>
      <c r="H4198" t="s">
        <v>26</v>
      </c>
      <c r="I4198" s="64"/>
      <c r="N4198" s="4"/>
      <c r="AG4198" t="s">
        <v>3905</v>
      </c>
      <c r="AM4198" s="1">
        <f t="shared" si="53"/>
        <v>0</v>
      </c>
    </row>
    <row r="4199" spans="1:39" x14ac:dyDescent="0.35">
      <c r="A4199">
        <v>4195</v>
      </c>
      <c r="B4199">
        <v>4196</v>
      </c>
      <c r="F4199" s="63"/>
      <c r="G4199" s="63"/>
      <c r="H4199" t="s">
        <v>26</v>
      </c>
      <c r="I4199" s="64"/>
      <c r="N4199" s="4"/>
      <c r="AG4199" t="s">
        <v>3906</v>
      </c>
      <c r="AM4199" s="1">
        <f t="shared" si="53"/>
        <v>0</v>
      </c>
    </row>
    <row r="4200" spans="1:39" x14ac:dyDescent="0.35">
      <c r="A4200">
        <v>4196</v>
      </c>
      <c r="B4200">
        <v>4197</v>
      </c>
      <c r="F4200" s="63"/>
      <c r="G4200" s="63"/>
      <c r="H4200" t="s">
        <v>26</v>
      </c>
      <c r="I4200" s="64"/>
      <c r="N4200" s="4"/>
      <c r="AG4200" t="s">
        <v>3907</v>
      </c>
      <c r="AM4200" s="1">
        <f t="shared" si="53"/>
        <v>0</v>
      </c>
    </row>
    <row r="4201" spans="1:39" x14ac:dyDescent="0.35">
      <c r="A4201">
        <v>4197</v>
      </c>
      <c r="B4201">
        <v>4198</v>
      </c>
      <c r="F4201" s="63"/>
      <c r="G4201" s="63"/>
      <c r="H4201" t="s">
        <v>26</v>
      </c>
      <c r="I4201" s="64"/>
      <c r="N4201" s="4"/>
      <c r="AG4201" t="s">
        <v>3908</v>
      </c>
      <c r="AM4201" s="1">
        <f t="shared" si="53"/>
        <v>0</v>
      </c>
    </row>
    <row r="4202" spans="1:39" x14ac:dyDescent="0.35">
      <c r="A4202">
        <v>4198</v>
      </c>
      <c r="B4202">
        <v>4199</v>
      </c>
      <c r="F4202" s="63"/>
      <c r="G4202" s="63"/>
      <c r="H4202" t="s">
        <v>26</v>
      </c>
      <c r="I4202" s="64"/>
      <c r="N4202" s="4"/>
      <c r="AG4202" t="s">
        <v>3909</v>
      </c>
      <c r="AM4202" s="1">
        <f t="shared" si="53"/>
        <v>0</v>
      </c>
    </row>
    <row r="4203" spans="1:39" x14ac:dyDescent="0.35">
      <c r="A4203">
        <v>4199</v>
      </c>
      <c r="B4203">
        <v>4200</v>
      </c>
      <c r="F4203" s="63"/>
      <c r="G4203" s="63"/>
      <c r="H4203" t="s">
        <v>26</v>
      </c>
      <c r="I4203" s="64"/>
      <c r="N4203" s="4"/>
      <c r="AG4203" t="s">
        <v>3910</v>
      </c>
      <c r="AM4203" s="1">
        <f t="shared" si="53"/>
        <v>0</v>
      </c>
    </row>
    <row r="4204" spans="1:39" x14ac:dyDescent="0.35">
      <c r="A4204">
        <v>4200</v>
      </c>
      <c r="B4204">
        <v>4201</v>
      </c>
      <c r="F4204" s="63"/>
      <c r="G4204" s="63"/>
      <c r="H4204" t="s">
        <v>26</v>
      </c>
      <c r="I4204" s="64"/>
      <c r="N4204" s="4"/>
      <c r="AG4204" t="s">
        <v>3911</v>
      </c>
      <c r="AM4204" s="1">
        <f t="shared" si="53"/>
        <v>0</v>
      </c>
    </row>
    <row r="4205" spans="1:39" x14ac:dyDescent="0.35">
      <c r="A4205">
        <v>4201</v>
      </c>
      <c r="B4205">
        <v>4202</v>
      </c>
      <c r="F4205" s="63"/>
      <c r="G4205" s="63"/>
      <c r="H4205" t="s">
        <v>26</v>
      </c>
      <c r="I4205" s="64"/>
      <c r="N4205" s="4"/>
      <c r="AG4205" t="s">
        <v>3912</v>
      </c>
      <c r="AM4205" s="1">
        <f t="shared" si="53"/>
        <v>0</v>
      </c>
    </row>
    <row r="4206" spans="1:39" x14ac:dyDescent="0.35">
      <c r="A4206">
        <v>4202</v>
      </c>
      <c r="B4206">
        <v>4203</v>
      </c>
      <c r="F4206" s="63"/>
      <c r="G4206" s="63"/>
      <c r="H4206" t="s">
        <v>26</v>
      </c>
      <c r="I4206" s="64"/>
      <c r="N4206" s="4"/>
      <c r="AG4206" t="s">
        <v>3913</v>
      </c>
      <c r="AM4206" s="1">
        <f t="shared" si="53"/>
        <v>0</v>
      </c>
    </row>
    <row r="4207" spans="1:39" x14ac:dyDescent="0.35">
      <c r="A4207">
        <v>4203</v>
      </c>
      <c r="B4207">
        <v>4204</v>
      </c>
      <c r="F4207" s="63"/>
      <c r="G4207" s="63"/>
      <c r="H4207" t="s">
        <v>26</v>
      </c>
      <c r="I4207" s="64"/>
      <c r="N4207" s="4"/>
      <c r="AG4207" t="s">
        <v>3914</v>
      </c>
      <c r="AM4207" s="1">
        <f t="shared" si="53"/>
        <v>0</v>
      </c>
    </row>
    <row r="4208" spans="1:39" x14ac:dyDescent="0.35">
      <c r="A4208">
        <v>4204</v>
      </c>
      <c r="B4208">
        <v>4205</v>
      </c>
      <c r="F4208" s="63"/>
      <c r="G4208" s="63"/>
      <c r="H4208" t="s">
        <v>26</v>
      </c>
      <c r="I4208" s="64"/>
      <c r="N4208" s="4"/>
      <c r="AG4208" t="s">
        <v>3915</v>
      </c>
      <c r="AM4208" s="1">
        <f t="shared" si="53"/>
        <v>0</v>
      </c>
    </row>
    <row r="4209" spans="1:39" x14ac:dyDescent="0.35">
      <c r="A4209">
        <v>4205</v>
      </c>
      <c r="B4209">
        <v>4206</v>
      </c>
      <c r="F4209" s="63"/>
      <c r="G4209" s="63"/>
      <c r="H4209" t="s">
        <v>26</v>
      </c>
      <c r="I4209" s="64"/>
      <c r="N4209" s="4"/>
      <c r="AG4209" t="s">
        <v>3916</v>
      </c>
      <c r="AM4209" s="1">
        <f t="shared" si="53"/>
        <v>0</v>
      </c>
    </row>
    <row r="4210" spans="1:39" x14ac:dyDescent="0.35">
      <c r="A4210">
        <v>4206</v>
      </c>
      <c r="B4210">
        <v>4207</v>
      </c>
      <c r="F4210" s="63"/>
      <c r="G4210" s="63"/>
      <c r="H4210" t="s">
        <v>26</v>
      </c>
      <c r="I4210" s="64"/>
      <c r="N4210" s="4"/>
      <c r="AG4210" t="s">
        <v>3917</v>
      </c>
      <c r="AM4210" s="1">
        <f t="shared" si="53"/>
        <v>0</v>
      </c>
    </row>
    <row r="4211" spans="1:39" x14ac:dyDescent="0.35">
      <c r="A4211">
        <v>4207</v>
      </c>
      <c r="B4211">
        <v>4208</v>
      </c>
      <c r="F4211" s="63"/>
      <c r="G4211" s="63"/>
      <c r="H4211" t="s">
        <v>26</v>
      </c>
      <c r="I4211" s="64"/>
      <c r="N4211" s="4"/>
      <c r="AG4211" t="s">
        <v>3918</v>
      </c>
      <c r="AM4211" s="1">
        <f t="shared" si="53"/>
        <v>0</v>
      </c>
    </row>
    <row r="4212" spans="1:39" x14ac:dyDescent="0.35">
      <c r="A4212">
        <v>4208</v>
      </c>
      <c r="B4212">
        <v>4209</v>
      </c>
      <c r="F4212" s="63"/>
      <c r="G4212" s="63"/>
      <c r="H4212" t="s">
        <v>26</v>
      </c>
      <c r="I4212" s="64"/>
      <c r="N4212" s="4"/>
      <c r="AG4212" t="s">
        <v>3919</v>
      </c>
      <c r="AM4212" s="1">
        <f t="shared" si="53"/>
        <v>0</v>
      </c>
    </row>
    <row r="4213" spans="1:39" x14ac:dyDescent="0.35">
      <c r="A4213">
        <v>4209</v>
      </c>
      <c r="B4213">
        <v>4210</v>
      </c>
      <c r="F4213" s="63"/>
      <c r="G4213" s="63"/>
      <c r="H4213" t="s">
        <v>26</v>
      </c>
      <c r="I4213" s="64"/>
      <c r="N4213" s="4"/>
      <c r="AG4213" t="s">
        <v>3920</v>
      </c>
      <c r="AM4213" s="1">
        <f t="shared" si="53"/>
        <v>0</v>
      </c>
    </row>
    <row r="4214" spans="1:39" x14ac:dyDescent="0.35">
      <c r="A4214">
        <v>4210</v>
      </c>
      <c r="B4214">
        <v>4211</v>
      </c>
      <c r="F4214" s="63"/>
      <c r="G4214" s="63"/>
      <c r="H4214" t="s">
        <v>26</v>
      </c>
      <c r="I4214" s="64"/>
      <c r="N4214" s="4"/>
      <c r="AG4214" t="s">
        <v>3921</v>
      </c>
      <c r="AM4214" s="1">
        <f t="shared" si="53"/>
        <v>0</v>
      </c>
    </row>
    <row r="4215" spans="1:39" x14ac:dyDescent="0.35">
      <c r="A4215">
        <v>4211</v>
      </c>
      <c r="B4215">
        <v>4212</v>
      </c>
      <c r="F4215" s="63"/>
      <c r="G4215" s="63"/>
      <c r="H4215" t="s">
        <v>26</v>
      </c>
      <c r="I4215" s="64"/>
      <c r="N4215" s="4"/>
      <c r="AG4215" t="s">
        <v>3922</v>
      </c>
      <c r="AM4215" s="1">
        <f t="shared" ref="AM4215:AM4246" si="54">HYPERLINK("E:\CAFNEC_GBRF\2023\JohnstoneRiver\Frames_for_Analysis\" &amp; F4216, F4216)</f>
        <v>0</v>
      </c>
    </row>
    <row r="4216" spans="1:39" x14ac:dyDescent="0.35">
      <c r="A4216">
        <v>4212</v>
      </c>
      <c r="B4216">
        <v>4213</v>
      </c>
      <c r="F4216" s="63"/>
      <c r="G4216" s="63"/>
      <c r="H4216" t="s">
        <v>26</v>
      </c>
      <c r="I4216" s="64"/>
      <c r="N4216" s="4"/>
      <c r="AG4216" t="s">
        <v>3923</v>
      </c>
      <c r="AM4216" s="1">
        <f t="shared" si="54"/>
        <v>0</v>
      </c>
    </row>
    <row r="4217" spans="1:39" x14ac:dyDescent="0.35">
      <c r="A4217">
        <v>4213</v>
      </c>
      <c r="B4217">
        <v>4214</v>
      </c>
      <c r="F4217" s="63"/>
      <c r="G4217" s="63"/>
      <c r="H4217" t="s">
        <v>26</v>
      </c>
      <c r="I4217" s="64"/>
      <c r="N4217" s="4"/>
      <c r="AG4217" t="s">
        <v>3924</v>
      </c>
      <c r="AM4217" s="1">
        <f t="shared" si="54"/>
        <v>0</v>
      </c>
    </row>
    <row r="4218" spans="1:39" x14ac:dyDescent="0.35">
      <c r="A4218">
        <v>4214</v>
      </c>
      <c r="B4218">
        <v>4215</v>
      </c>
      <c r="F4218" s="63"/>
      <c r="G4218" s="63"/>
      <c r="H4218" t="s">
        <v>26</v>
      </c>
      <c r="I4218" s="64"/>
      <c r="N4218" s="4"/>
      <c r="AG4218" t="s">
        <v>3925</v>
      </c>
      <c r="AM4218" s="1">
        <f t="shared" si="54"/>
        <v>0</v>
      </c>
    </row>
    <row r="4219" spans="1:39" x14ac:dyDescent="0.35">
      <c r="A4219">
        <v>4215</v>
      </c>
      <c r="B4219">
        <v>4216</v>
      </c>
      <c r="F4219" s="63"/>
      <c r="G4219" s="63"/>
      <c r="H4219" t="s">
        <v>26</v>
      </c>
      <c r="I4219" s="64"/>
      <c r="N4219" s="4"/>
      <c r="AG4219" t="s">
        <v>3926</v>
      </c>
      <c r="AM4219" s="1">
        <f t="shared" si="54"/>
        <v>0</v>
      </c>
    </row>
    <row r="4220" spans="1:39" x14ac:dyDescent="0.35">
      <c r="A4220">
        <v>4216</v>
      </c>
      <c r="B4220">
        <v>4217</v>
      </c>
      <c r="F4220" s="63"/>
      <c r="G4220" s="63"/>
      <c r="H4220" t="s">
        <v>26</v>
      </c>
      <c r="I4220" s="64"/>
      <c r="N4220" s="4"/>
      <c r="AG4220" t="s">
        <v>3927</v>
      </c>
      <c r="AM4220" s="1">
        <f t="shared" si="54"/>
        <v>0</v>
      </c>
    </row>
    <row r="4221" spans="1:39" x14ac:dyDescent="0.35">
      <c r="A4221">
        <v>4217</v>
      </c>
      <c r="B4221">
        <v>4218</v>
      </c>
      <c r="F4221" s="63"/>
      <c r="G4221" s="63"/>
      <c r="H4221" t="s">
        <v>26</v>
      </c>
      <c r="I4221" s="64"/>
      <c r="N4221" s="4"/>
      <c r="AG4221" t="s">
        <v>3928</v>
      </c>
      <c r="AM4221" s="1">
        <f t="shared" si="54"/>
        <v>0</v>
      </c>
    </row>
    <row r="4222" spans="1:39" x14ac:dyDescent="0.35">
      <c r="A4222">
        <v>4218</v>
      </c>
      <c r="B4222">
        <v>4219</v>
      </c>
      <c r="F4222" s="63"/>
      <c r="G4222" s="63"/>
      <c r="H4222" t="s">
        <v>26</v>
      </c>
      <c r="I4222" s="64"/>
      <c r="N4222" s="4"/>
      <c r="AG4222" t="s">
        <v>3929</v>
      </c>
      <c r="AM4222" s="1">
        <f t="shared" si="54"/>
        <v>0</v>
      </c>
    </row>
    <row r="4223" spans="1:39" x14ac:dyDescent="0.35">
      <c r="A4223">
        <v>4219</v>
      </c>
      <c r="B4223">
        <v>4220</v>
      </c>
      <c r="F4223" s="63"/>
      <c r="G4223" s="63"/>
      <c r="H4223" t="s">
        <v>26</v>
      </c>
      <c r="I4223" s="64"/>
      <c r="N4223" s="4"/>
      <c r="AG4223" t="s">
        <v>3930</v>
      </c>
      <c r="AM4223" s="1">
        <f t="shared" si="54"/>
        <v>0</v>
      </c>
    </row>
    <row r="4224" spans="1:39" x14ac:dyDescent="0.35">
      <c r="A4224">
        <v>4220</v>
      </c>
      <c r="B4224">
        <v>4221</v>
      </c>
      <c r="F4224" s="63"/>
      <c r="G4224" s="63"/>
      <c r="H4224" t="s">
        <v>26</v>
      </c>
      <c r="I4224" s="64"/>
      <c r="N4224" s="4"/>
      <c r="AG4224" t="s">
        <v>3931</v>
      </c>
      <c r="AM4224" s="1">
        <f t="shared" si="54"/>
        <v>0</v>
      </c>
    </row>
    <row r="4225" spans="1:39" x14ac:dyDescent="0.35">
      <c r="A4225">
        <v>4221</v>
      </c>
      <c r="B4225">
        <v>4222</v>
      </c>
      <c r="F4225" s="63"/>
      <c r="G4225" s="63"/>
      <c r="H4225" t="s">
        <v>26</v>
      </c>
      <c r="I4225" s="64"/>
      <c r="N4225" s="4"/>
      <c r="AG4225" t="s">
        <v>3932</v>
      </c>
      <c r="AM4225" s="1">
        <f t="shared" si="54"/>
        <v>0</v>
      </c>
    </row>
    <row r="4226" spans="1:39" x14ac:dyDescent="0.35">
      <c r="A4226">
        <v>4222</v>
      </c>
      <c r="B4226">
        <v>4223</v>
      </c>
      <c r="F4226" s="63"/>
      <c r="G4226" s="63"/>
      <c r="H4226" t="s">
        <v>26</v>
      </c>
      <c r="I4226" s="64"/>
      <c r="N4226" s="4"/>
      <c r="AG4226" t="s">
        <v>3933</v>
      </c>
      <c r="AM4226" s="1">
        <f t="shared" si="54"/>
        <v>0</v>
      </c>
    </row>
    <row r="4227" spans="1:39" x14ac:dyDescent="0.35">
      <c r="A4227">
        <v>4223</v>
      </c>
      <c r="B4227">
        <v>4224</v>
      </c>
      <c r="F4227" s="63"/>
      <c r="G4227" s="63"/>
      <c r="H4227" t="s">
        <v>26</v>
      </c>
      <c r="I4227" s="64"/>
      <c r="N4227" s="4"/>
      <c r="AG4227" t="s">
        <v>3934</v>
      </c>
      <c r="AM4227" s="1">
        <f t="shared" si="54"/>
        <v>0</v>
      </c>
    </row>
    <row r="4228" spans="1:39" x14ac:dyDescent="0.35">
      <c r="A4228">
        <v>4224</v>
      </c>
      <c r="B4228">
        <v>4225</v>
      </c>
      <c r="F4228" s="63"/>
      <c r="G4228" s="63"/>
      <c r="H4228" t="s">
        <v>26</v>
      </c>
      <c r="I4228" s="64"/>
      <c r="N4228" s="4"/>
      <c r="AG4228" t="s">
        <v>3935</v>
      </c>
      <c r="AM4228" s="1">
        <f t="shared" si="54"/>
        <v>0</v>
      </c>
    </row>
    <row r="4229" spans="1:39" x14ac:dyDescent="0.35">
      <c r="A4229">
        <v>4225</v>
      </c>
      <c r="B4229">
        <v>4226</v>
      </c>
      <c r="F4229" s="63"/>
      <c r="G4229" s="63"/>
      <c r="H4229" t="s">
        <v>26</v>
      </c>
      <c r="I4229" s="64"/>
      <c r="N4229" s="4"/>
      <c r="AG4229" t="s">
        <v>3936</v>
      </c>
      <c r="AM4229" s="1">
        <f t="shared" si="54"/>
        <v>0</v>
      </c>
    </row>
    <row r="4230" spans="1:39" x14ac:dyDescent="0.35">
      <c r="A4230">
        <v>4226</v>
      </c>
      <c r="B4230">
        <v>4227</v>
      </c>
      <c r="F4230" s="63"/>
      <c r="G4230" s="63"/>
      <c r="H4230" t="s">
        <v>26</v>
      </c>
      <c r="I4230" s="64"/>
      <c r="N4230" s="4"/>
      <c r="AG4230" t="s">
        <v>3937</v>
      </c>
      <c r="AM4230" s="1">
        <f t="shared" si="54"/>
        <v>0</v>
      </c>
    </row>
    <row r="4231" spans="1:39" x14ac:dyDescent="0.35">
      <c r="A4231">
        <v>4227</v>
      </c>
      <c r="B4231">
        <v>4228</v>
      </c>
      <c r="F4231" s="63"/>
      <c r="G4231" s="63"/>
      <c r="H4231" t="s">
        <v>26</v>
      </c>
      <c r="I4231" s="64"/>
      <c r="N4231" s="4"/>
      <c r="AG4231" t="s">
        <v>3938</v>
      </c>
      <c r="AM4231" s="1">
        <f t="shared" si="54"/>
        <v>0</v>
      </c>
    </row>
    <row r="4232" spans="1:39" x14ac:dyDescent="0.35">
      <c r="A4232">
        <v>4228</v>
      </c>
      <c r="B4232">
        <v>4229</v>
      </c>
      <c r="F4232" s="63"/>
      <c r="G4232" s="63"/>
      <c r="H4232" t="s">
        <v>26</v>
      </c>
      <c r="I4232" s="64"/>
      <c r="N4232" s="4"/>
      <c r="AG4232" t="s">
        <v>3939</v>
      </c>
      <c r="AM4232" s="1">
        <f t="shared" si="54"/>
        <v>0</v>
      </c>
    </row>
    <row r="4233" spans="1:39" x14ac:dyDescent="0.35">
      <c r="A4233">
        <v>4229</v>
      </c>
      <c r="B4233">
        <v>4230</v>
      </c>
      <c r="F4233" s="63"/>
      <c r="G4233" s="63"/>
      <c r="H4233" t="s">
        <v>26</v>
      </c>
      <c r="I4233" s="64"/>
      <c r="N4233" s="4"/>
      <c r="AG4233" t="s">
        <v>3940</v>
      </c>
      <c r="AM4233" s="1">
        <f t="shared" si="54"/>
        <v>0</v>
      </c>
    </row>
    <row r="4234" spans="1:39" x14ac:dyDescent="0.35">
      <c r="A4234">
        <v>4230</v>
      </c>
      <c r="B4234">
        <v>4231</v>
      </c>
      <c r="F4234" s="63"/>
      <c r="G4234" s="63"/>
      <c r="H4234" t="s">
        <v>26</v>
      </c>
      <c r="I4234" s="64"/>
      <c r="N4234" s="4"/>
      <c r="AG4234" t="s">
        <v>3941</v>
      </c>
      <c r="AM4234" s="1">
        <f t="shared" si="54"/>
        <v>0</v>
      </c>
    </row>
    <row r="4235" spans="1:39" x14ac:dyDescent="0.35">
      <c r="A4235">
        <v>4231</v>
      </c>
      <c r="B4235">
        <v>4232</v>
      </c>
      <c r="F4235" s="63"/>
      <c r="G4235" s="63"/>
      <c r="H4235" t="s">
        <v>26</v>
      </c>
      <c r="I4235" s="64"/>
      <c r="N4235" s="4"/>
      <c r="AG4235" t="s">
        <v>3942</v>
      </c>
      <c r="AM4235" s="1">
        <f t="shared" si="54"/>
        <v>0</v>
      </c>
    </row>
    <row r="4236" spans="1:39" x14ac:dyDescent="0.35">
      <c r="A4236">
        <v>4232</v>
      </c>
      <c r="B4236">
        <v>4233</v>
      </c>
      <c r="F4236" s="63"/>
      <c r="G4236" s="63"/>
      <c r="H4236" t="s">
        <v>26</v>
      </c>
      <c r="I4236" s="64"/>
      <c r="N4236" s="4"/>
      <c r="AG4236" t="s">
        <v>3943</v>
      </c>
      <c r="AM4236" s="1">
        <f t="shared" si="54"/>
        <v>0</v>
      </c>
    </row>
    <row r="4237" spans="1:39" x14ac:dyDescent="0.35">
      <c r="A4237">
        <v>4233</v>
      </c>
      <c r="B4237">
        <v>4234</v>
      </c>
      <c r="F4237" s="63"/>
      <c r="G4237" s="63"/>
      <c r="H4237" t="s">
        <v>26</v>
      </c>
      <c r="I4237" s="64"/>
      <c r="N4237" s="4"/>
      <c r="AG4237" t="s">
        <v>3944</v>
      </c>
      <c r="AM4237" s="1">
        <f t="shared" si="54"/>
        <v>0</v>
      </c>
    </row>
    <row r="4238" spans="1:39" x14ac:dyDescent="0.35">
      <c r="A4238">
        <v>4234</v>
      </c>
      <c r="B4238">
        <v>4235</v>
      </c>
      <c r="F4238" s="63"/>
      <c r="G4238" s="63"/>
      <c r="H4238" t="s">
        <v>26</v>
      </c>
      <c r="I4238" s="64"/>
      <c r="N4238" s="4"/>
      <c r="AG4238" t="s">
        <v>3945</v>
      </c>
      <c r="AM4238" s="1">
        <f t="shared" si="54"/>
        <v>0</v>
      </c>
    </row>
    <row r="4239" spans="1:39" x14ac:dyDescent="0.35">
      <c r="A4239">
        <v>4235</v>
      </c>
      <c r="B4239">
        <v>4236</v>
      </c>
      <c r="F4239" s="63"/>
      <c r="G4239" s="63"/>
      <c r="H4239" t="s">
        <v>26</v>
      </c>
      <c r="I4239" s="64"/>
      <c r="N4239" s="4"/>
      <c r="AG4239" t="s">
        <v>3946</v>
      </c>
      <c r="AM4239" s="1">
        <f t="shared" si="54"/>
        <v>0</v>
      </c>
    </row>
    <row r="4240" spans="1:39" x14ac:dyDescent="0.35">
      <c r="A4240">
        <v>4236</v>
      </c>
      <c r="B4240">
        <v>4237</v>
      </c>
      <c r="F4240" s="63"/>
      <c r="G4240" s="63"/>
      <c r="H4240" t="s">
        <v>26</v>
      </c>
      <c r="I4240" s="64"/>
      <c r="N4240" s="4"/>
      <c r="AG4240" t="s">
        <v>3947</v>
      </c>
      <c r="AM4240" s="1">
        <f t="shared" si="54"/>
        <v>0</v>
      </c>
    </row>
    <row r="4241" spans="1:39" x14ac:dyDescent="0.35">
      <c r="A4241">
        <v>4237</v>
      </c>
      <c r="B4241">
        <v>4238</v>
      </c>
      <c r="F4241" s="63"/>
      <c r="G4241" s="63"/>
      <c r="H4241" t="s">
        <v>26</v>
      </c>
      <c r="I4241" s="64"/>
      <c r="N4241" s="4"/>
      <c r="AG4241" t="s">
        <v>3948</v>
      </c>
      <c r="AM4241" s="1">
        <f t="shared" si="54"/>
        <v>0</v>
      </c>
    </row>
    <row r="4242" spans="1:39" x14ac:dyDescent="0.35">
      <c r="A4242">
        <v>4238</v>
      </c>
      <c r="B4242">
        <v>4239</v>
      </c>
      <c r="F4242" s="63"/>
      <c r="G4242" s="63"/>
      <c r="H4242" t="s">
        <v>26</v>
      </c>
      <c r="I4242" s="64"/>
      <c r="N4242" s="4"/>
      <c r="AG4242" t="s">
        <v>3949</v>
      </c>
      <c r="AM4242" s="1">
        <f t="shared" si="54"/>
        <v>0</v>
      </c>
    </row>
    <row r="4243" spans="1:39" x14ac:dyDescent="0.35">
      <c r="A4243">
        <v>4239</v>
      </c>
      <c r="B4243">
        <v>4240</v>
      </c>
      <c r="F4243" s="63"/>
      <c r="G4243" s="63"/>
      <c r="H4243" t="s">
        <v>26</v>
      </c>
      <c r="I4243" s="64"/>
      <c r="N4243" s="4"/>
      <c r="AG4243" t="s">
        <v>3950</v>
      </c>
      <c r="AM4243" s="1">
        <f t="shared" si="54"/>
        <v>0</v>
      </c>
    </row>
    <row r="4244" spans="1:39" x14ac:dyDescent="0.35">
      <c r="A4244">
        <v>4240</v>
      </c>
      <c r="B4244">
        <v>4241</v>
      </c>
      <c r="F4244" s="63"/>
      <c r="G4244" s="63"/>
      <c r="H4244" t="s">
        <v>26</v>
      </c>
      <c r="I4244" s="64"/>
      <c r="N4244" s="4"/>
      <c r="AG4244" t="s">
        <v>3951</v>
      </c>
      <c r="AM4244" s="1">
        <f t="shared" si="54"/>
        <v>0</v>
      </c>
    </row>
    <row r="4245" spans="1:39" x14ac:dyDescent="0.35">
      <c r="A4245">
        <v>4241</v>
      </c>
      <c r="B4245">
        <v>4242</v>
      </c>
      <c r="F4245" s="63"/>
      <c r="G4245" s="63"/>
      <c r="H4245" t="s">
        <v>26</v>
      </c>
      <c r="I4245" s="64"/>
      <c r="N4245" s="4"/>
      <c r="AG4245" t="s">
        <v>3952</v>
      </c>
      <c r="AM4245" s="1">
        <f t="shared" si="54"/>
        <v>0</v>
      </c>
    </row>
    <row r="4246" spans="1:39" x14ac:dyDescent="0.35">
      <c r="A4246">
        <v>4242</v>
      </c>
      <c r="B4246">
        <v>4243</v>
      </c>
      <c r="F4246" s="63"/>
      <c r="G4246" s="63"/>
      <c r="H4246" t="s">
        <v>26</v>
      </c>
      <c r="I4246" s="64"/>
      <c r="N4246" s="4"/>
      <c r="AG4246" t="s">
        <v>3953</v>
      </c>
      <c r="AM4246" s="1">
        <f t="shared" si="54"/>
        <v>0</v>
      </c>
    </row>
    <row r="4247" spans="1:39" x14ac:dyDescent="0.35">
      <c r="A4247">
        <v>4243</v>
      </c>
      <c r="B4247">
        <v>4244</v>
      </c>
      <c r="F4247" s="63"/>
      <c r="G4247" s="63"/>
      <c r="H4247" t="s">
        <v>26</v>
      </c>
      <c r="I4247" s="64"/>
      <c r="N4247" s="4"/>
      <c r="AG4247" t="s">
        <v>3954</v>
      </c>
      <c r="AM4247" s="1">
        <f t="shared" ref="AM4247:AM4257" si="55">HYPERLINK("E:\CAFNEC_GBRF\2023\JohnstoneRiver\Frames_for_Analysis\" &amp; F4248, F4248)</f>
        <v>0</v>
      </c>
    </row>
    <row r="4248" spans="1:39" x14ac:dyDescent="0.35">
      <c r="A4248">
        <v>4244</v>
      </c>
      <c r="B4248">
        <v>4245</v>
      </c>
      <c r="F4248" s="63"/>
      <c r="G4248" s="63"/>
      <c r="H4248" t="s">
        <v>26</v>
      </c>
      <c r="I4248" s="64"/>
      <c r="N4248" s="4"/>
      <c r="AG4248" t="s">
        <v>3955</v>
      </c>
      <c r="AM4248" s="1">
        <f t="shared" si="55"/>
        <v>0</v>
      </c>
    </row>
    <row r="4249" spans="1:39" x14ac:dyDescent="0.35">
      <c r="A4249">
        <v>4245</v>
      </c>
      <c r="B4249">
        <v>4246</v>
      </c>
      <c r="F4249" s="63"/>
      <c r="G4249" s="63"/>
      <c r="H4249" t="s">
        <v>26</v>
      </c>
      <c r="I4249" s="64"/>
      <c r="N4249" s="4"/>
      <c r="AG4249" t="s">
        <v>3956</v>
      </c>
      <c r="AM4249" s="1">
        <f t="shared" si="55"/>
        <v>0</v>
      </c>
    </row>
    <row r="4250" spans="1:39" x14ac:dyDescent="0.35">
      <c r="A4250">
        <v>4246</v>
      </c>
      <c r="B4250">
        <v>4247</v>
      </c>
      <c r="F4250" s="63"/>
      <c r="G4250" s="63"/>
      <c r="H4250" t="s">
        <v>26</v>
      </c>
      <c r="I4250" s="64"/>
      <c r="N4250" s="4"/>
      <c r="AG4250" t="s">
        <v>3957</v>
      </c>
      <c r="AM4250" s="1">
        <f t="shared" si="55"/>
        <v>0</v>
      </c>
    </row>
    <row r="4251" spans="1:39" x14ac:dyDescent="0.35">
      <c r="A4251">
        <v>4247</v>
      </c>
      <c r="B4251">
        <v>4248</v>
      </c>
      <c r="F4251" s="63"/>
      <c r="G4251" s="63"/>
      <c r="H4251" t="s">
        <v>26</v>
      </c>
      <c r="I4251" s="64"/>
      <c r="N4251" s="4"/>
      <c r="AM4251" s="1">
        <f t="shared" si="55"/>
        <v>0</v>
      </c>
    </row>
    <row r="4252" spans="1:39" x14ac:dyDescent="0.35">
      <c r="A4252">
        <v>4248</v>
      </c>
      <c r="B4252">
        <v>4249</v>
      </c>
      <c r="F4252" s="63"/>
      <c r="G4252" s="63"/>
      <c r="H4252" t="s">
        <v>26</v>
      </c>
      <c r="I4252" s="64"/>
      <c r="N4252" s="4"/>
      <c r="AM4252" s="1">
        <f t="shared" si="55"/>
        <v>0</v>
      </c>
    </row>
    <row r="4253" spans="1:39" x14ac:dyDescent="0.35">
      <c r="A4253">
        <v>4249</v>
      </c>
      <c r="B4253">
        <v>4250</v>
      </c>
      <c r="F4253" s="63"/>
      <c r="G4253" s="63"/>
      <c r="H4253" t="s">
        <v>26</v>
      </c>
      <c r="I4253" s="64"/>
      <c r="N4253" s="4"/>
      <c r="AM4253" s="1">
        <f t="shared" si="55"/>
        <v>0</v>
      </c>
    </row>
    <row r="4254" spans="1:39" x14ac:dyDescent="0.35">
      <c r="A4254">
        <v>4250</v>
      </c>
      <c r="B4254">
        <v>4251</v>
      </c>
      <c r="F4254" s="63"/>
      <c r="G4254" s="63"/>
      <c r="H4254" t="s">
        <v>26</v>
      </c>
      <c r="I4254" s="64"/>
      <c r="N4254" s="4"/>
      <c r="AM4254" s="1">
        <f t="shared" si="55"/>
        <v>0</v>
      </c>
    </row>
    <row r="4255" spans="1:39" x14ac:dyDescent="0.35">
      <c r="A4255">
        <v>4251</v>
      </c>
      <c r="B4255">
        <v>4252</v>
      </c>
      <c r="F4255" s="63"/>
      <c r="G4255" s="63"/>
      <c r="H4255" t="s">
        <v>26</v>
      </c>
      <c r="I4255" s="64"/>
      <c r="N4255" s="4"/>
      <c r="AM4255" s="1">
        <f t="shared" si="55"/>
        <v>0</v>
      </c>
    </row>
    <row r="4256" spans="1:39" x14ac:dyDescent="0.35">
      <c r="A4256">
        <v>4252</v>
      </c>
      <c r="B4256">
        <v>4253</v>
      </c>
      <c r="F4256" s="63"/>
      <c r="G4256" s="63"/>
      <c r="H4256" t="s">
        <v>26</v>
      </c>
      <c r="I4256" s="64"/>
      <c r="N4256" s="4"/>
      <c r="AM4256" s="1">
        <f t="shared" si="55"/>
        <v>0</v>
      </c>
    </row>
    <row r="4257" spans="1:39" x14ac:dyDescent="0.35">
      <c r="A4257">
        <v>4253</v>
      </c>
      <c r="B4257">
        <v>4254</v>
      </c>
      <c r="F4257" s="63"/>
      <c r="G4257" s="63"/>
      <c r="H4257" t="s">
        <v>26</v>
      </c>
      <c r="I4257" s="64"/>
      <c r="N4257" s="4"/>
      <c r="AM4257" s="1">
        <f t="shared" si="55"/>
        <v>0</v>
      </c>
    </row>
    <row r="4258" spans="1:39" x14ac:dyDescent="0.35">
      <c r="A4258">
        <v>4254</v>
      </c>
      <c r="B4258">
        <v>4255</v>
      </c>
      <c r="F4258" s="63"/>
      <c r="G4258" s="63"/>
      <c r="H4258" t="s">
        <v>26</v>
      </c>
      <c r="I4258" s="64"/>
      <c r="N4258" s="4"/>
      <c r="AM4258" s="1"/>
    </row>
    <row r="4259" spans="1:39" x14ac:dyDescent="0.35">
      <c r="A4259">
        <v>4255</v>
      </c>
      <c r="B4259">
        <v>4256</v>
      </c>
      <c r="F4259" s="63"/>
      <c r="G4259" s="63"/>
      <c r="H4259" t="s">
        <v>26</v>
      </c>
      <c r="I4259" s="64"/>
      <c r="N4259" s="4"/>
      <c r="AM4259" s="1"/>
    </row>
    <row r="4260" spans="1:39" x14ac:dyDescent="0.35">
      <c r="A4260">
        <v>4256</v>
      </c>
      <c r="B4260">
        <v>4257</v>
      </c>
      <c r="F4260" s="63"/>
      <c r="G4260" s="63"/>
      <c r="H4260" t="s">
        <v>26</v>
      </c>
      <c r="I4260" s="64"/>
      <c r="N4260" s="4"/>
      <c r="AM4260" s="1"/>
    </row>
    <row r="4261" spans="1:39" x14ac:dyDescent="0.35">
      <c r="A4261">
        <v>4257</v>
      </c>
      <c r="B4261">
        <v>4258</v>
      </c>
      <c r="F4261" s="63"/>
      <c r="G4261" s="63"/>
      <c r="H4261" t="s">
        <v>26</v>
      </c>
      <c r="I4261" s="64"/>
      <c r="N4261" s="4"/>
      <c r="AM4261" s="1"/>
    </row>
    <row r="4262" spans="1:39" x14ac:dyDescent="0.35">
      <c r="A4262">
        <v>4258</v>
      </c>
      <c r="B4262">
        <v>4259</v>
      </c>
      <c r="F4262" s="63"/>
      <c r="G4262" s="63"/>
      <c r="H4262" t="s">
        <v>26</v>
      </c>
      <c r="I4262" s="64"/>
      <c r="N4262" s="4"/>
      <c r="AM4262" s="1"/>
    </row>
    <row r="4263" spans="1:39" x14ac:dyDescent="0.35">
      <c r="A4263">
        <v>4259</v>
      </c>
      <c r="B4263">
        <v>4260</v>
      </c>
      <c r="F4263" s="63"/>
      <c r="G4263" s="63"/>
      <c r="H4263" t="s">
        <v>26</v>
      </c>
      <c r="I4263" s="64"/>
      <c r="N4263" s="4"/>
      <c r="AM4263" s="1"/>
    </row>
    <row r="4264" spans="1:39" x14ac:dyDescent="0.35">
      <c r="A4264">
        <v>4260</v>
      </c>
      <c r="B4264">
        <v>4261</v>
      </c>
      <c r="F4264" s="63"/>
      <c r="G4264" s="63"/>
      <c r="H4264" t="s">
        <v>26</v>
      </c>
      <c r="I4264" s="64"/>
      <c r="N4264" s="4"/>
      <c r="AM4264" s="1"/>
    </row>
    <row r="4265" spans="1:39" x14ac:dyDescent="0.35">
      <c r="A4265">
        <v>4261</v>
      </c>
      <c r="B4265">
        <v>4262</v>
      </c>
      <c r="F4265" s="63"/>
      <c r="G4265" s="63"/>
      <c r="H4265" t="s">
        <v>26</v>
      </c>
      <c r="I4265" s="64"/>
      <c r="N4265" s="4"/>
      <c r="AM4265" s="1"/>
    </row>
    <row r="4266" spans="1:39" x14ac:dyDescent="0.35">
      <c r="A4266">
        <v>4262</v>
      </c>
      <c r="B4266">
        <v>4263</v>
      </c>
      <c r="F4266" s="63"/>
      <c r="G4266" s="63"/>
      <c r="H4266" t="s">
        <v>26</v>
      </c>
      <c r="I4266" s="64"/>
      <c r="N4266" s="4"/>
      <c r="AM4266" s="1"/>
    </row>
    <row r="4267" spans="1:39" x14ac:dyDescent="0.35">
      <c r="A4267">
        <v>4263</v>
      </c>
      <c r="B4267">
        <v>4264</v>
      </c>
      <c r="F4267" s="63"/>
      <c r="G4267" s="63"/>
      <c r="H4267" t="s">
        <v>26</v>
      </c>
      <c r="I4267" s="64"/>
      <c r="N4267" s="4"/>
      <c r="AM4267" s="1"/>
    </row>
    <row r="4268" spans="1:39" x14ac:dyDescent="0.35">
      <c r="A4268">
        <v>4264</v>
      </c>
      <c r="B4268">
        <v>4265</v>
      </c>
      <c r="F4268" s="63"/>
      <c r="G4268" s="63"/>
      <c r="H4268" t="s">
        <v>26</v>
      </c>
      <c r="I4268" s="64"/>
      <c r="N4268" s="4"/>
      <c r="AM4268" s="1"/>
    </row>
    <row r="4269" spans="1:39" x14ac:dyDescent="0.35">
      <c r="A4269">
        <v>4265</v>
      </c>
      <c r="B4269">
        <v>4266</v>
      </c>
      <c r="F4269" s="63"/>
      <c r="G4269" s="63"/>
      <c r="H4269" t="s">
        <v>26</v>
      </c>
      <c r="I4269" s="64"/>
      <c r="N4269" s="4"/>
      <c r="AM4269" s="1"/>
    </row>
    <row r="4270" spans="1:39" x14ac:dyDescent="0.35">
      <c r="A4270">
        <v>4266</v>
      </c>
      <c r="B4270">
        <v>4267</v>
      </c>
      <c r="F4270" s="63"/>
      <c r="G4270" s="63"/>
      <c r="H4270" t="s">
        <v>26</v>
      </c>
      <c r="I4270" s="64"/>
      <c r="N4270" s="4"/>
      <c r="AM4270" s="1"/>
    </row>
    <row r="4271" spans="1:39" x14ac:dyDescent="0.35">
      <c r="A4271">
        <v>4267</v>
      </c>
      <c r="B4271">
        <v>4268</v>
      </c>
      <c r="F4271" s="63"/>
      <c r="G4271" s="63"/>
      <c r="H4271" t="s">
        <v>26</v>
      </c>
      <c r="I4271" s="64"/>
      <c r="N4271" s="4"/>
      <c r="AM4271" s="1"/>
    </row>
    <row r="4272" spans="1:39" x14ac:dyDescent="0.35">
      <c r="A4272">
        <v>4268</v>
      </c>
      <c r="B4272">
        <v>4269</v>
      </c>
      <c r="F4272" s="63"/>
      <c r="G4272" s="63"/>
      <c r="H4272" t="s">
        <v>26</v>
      </c>
      <c r="I4272" s="64"/>
      <c r="N4272" s="4"/>
      <c r="AM4272" s="1"/>
    </row>
    <row r="4273" spans="1:39" x14ac:dyDescent="0.35">
      <c r="A4273">
        <v>4269</v>
      </c>
      <c r="B4273">
        <v>4270</v>
      </c>
      <c r="F4273" s="63"/>
      <c r="G4273" s="63"/>
      <c r="H4273" t="s">
        <v>26</v>
      </c>
      <c r="I4273" s="64"/>
      <c r="N4273" s="4"/>
      <c r="AM4273" s="1"/>
    </row>
    <row r="4274" spans="1:39" x14ac:dyDescent="0.35">
      <c r="A4274">
        <v>4270</v>
      </c>
      <c r="B4274">
        <v>4271</v>
      </c>
      <c r="F4274" s="63"/>
      <c r="G4274" s="63"/>
      <c r="H4274" t="s">
        <v>26</v>
      </c>
      <c r="I4274" s="64"/>
      <c r="N4274" s="4"/>
      <c r="AM4274" s="1"/>
    </row>
    <row r="4275" spans="1:39" x14ac:dyDescent="0.35">
      <c r="A4275">
        <v>4271</v>
      </c>
      <c r="B4275">
        <v>4272</v>
      </c>
      <c r="F4275" s="63"/>
      <c r="G4275" s="63"/>
      <c r="H4275" t="s">
        <v>26</v>
      </c>
      <c r="I4275" s="64"/>
      <c r="N4275" s="4"/>
      <c r="AM4275" s="1"/>
    </row>
    <row r="4276" spans="1:39" x14ac:dyDescent="0.35">
      <c r="A4276">
        <v>4272</v>
      </c>
      <c r="B4276">
        <v>4273</v>
      </c>
      <c r="F4276" s="63"/>
      <c r="G4276" s="63"/>
      <c r="H4276" t="s">
        <v>26</v>
      </c>
      <c r="I4276" s="64"/>
      <c r="N4276" s="4"/>
      <c r="AM4276" s="1"/>
    </row>
    <row r="4277" spans="1:39" x14ac:dyDescent="0.35">
      <c r="A4277">
        <v>4273</v>
      </c>
      <c r="B4277">
        <v>4274</v>
      </c>
      <c r="F4277" s="63"/>
      <c r="G4277" s="63"/>
      <c r="H4277" t="s">
        <v>26</v>
      </c>
      <c r="I4277" s="64"/>
      <c r="N4277" s="4"/>
      <c r="AM4277" s="1"/>
    </row>
    <row r="4278" spans="1:39" x14ac:dyDescent="0.35">
      <c r="A4278">
        <v>4274</v>
      </c>
      <c r="B4278">
        <v>4275</v>
      </c>
      <c r="F4278" s="63"/>
      <c r="G4278" s="63"/>
      <c r="H4278" t="s">
        <v>26</v>
      </c>
      <c r="I4278" s="64"/>
      <c r="N4278" s="4"/>
      <c r="AM4278" s="1"/>
    </row>
    <row r="4279" spans="1:39" x14ac:dyDescent="0.35">
      <c r="A4279">
        <v>4275</v>
      </c>
      <c r="B4279">
        <v>4276</v>
      </c>
      <c r="F4279" s="63"/>
      <c r="G4279" s="63"/>
      <c r="H4279" t="s">
        <v>26</v>
      </c>
      <c r="I4279" s="64"/>
      <c r="N4279" s="4"/>
      <c r="AM4279" s="1"/>
    </row>
    <row r="4280" spans="1:39" x14ac:dyDescent="0.35">
      <c r="A4280">
        <v>4276</v>
      </c>
      <c r="B4280">
        <v>4277</v>
      </c>
      <c r="F4280" s="63"/>
      <c r="G4280" s="63"/>
      <c r="H4280" t="s">
        <v>26</v>
      </c>
      <c r="I4280" s="64"/>
      <c r="N4280" s="4"/>
      <c r="AM4280" s="1"/>
    </row>
    <row r="4281" spans="1:39" x14ac:dyDescent="0.35">
      <c r="A4281">
        <v>4277</v>
      </c>
      <c r="B4281">
        <v>4278</v>
      </c>
      <c r="F4281" s="63"/>
      <c r="G4281" s="63"/>
      <c r="H4281" t="s">
        <v>26</v>
      </c>
      <c r="I4281" s="64"/>
      <c r="N4281" s="4"/>
      <c r="AM4281" s="1"/>
    </row>
    <row r="4282" spans="1:39" x14ac:dyDescent="0.35">
      <c r="A4282">
        <v>4278</v>
      </c>
      <c r="B4282">
        <v>4279</v>
      </c>
      <c r="F4282" s="63"/>
      <c r="G4282" s="63"/>
      <c r="H4282" t="s">
        <v>26</v>
      </c>
      <c r="I4282" s="64"/>
      <c r="N4282" s="4"/>
      <c r="AM4282" s="1"/>
    </row>
    <row r="4283" spans="1:39" x14ac:dyDescent="0.35">
      <c r="A4283">
        <v>4279</v>
      </c>
      <c r="B4283">
        <v>4280</v>
      </c>
      <c r="F4283" s="63"/>
      <c r="G4283" s="63"/>
      <c r="H4283" t="s">
        <v>26</v>
      </c>
      <c r="I4283" s="64"/>
      <c r="N4283" s="4"/>
      <c r="AM4283" s="1"/>
    </row>
    <row r="4284" spans="1:39" x14ac:dyDescent="0.35">
      <c r="A4284">
        <v>4280</v>
      </c>
      <c r="B4284">
        <v>4281</v>
      </c>
      <c r="F4284" s="63"/>
      <c r="G4284" s="63"/>
      <c r="H4284" t="s">
        <v>26</v>
      </c>
      <c r="I4284" s="64"/>
      <c r="N4284" s="4"/>
      <c r="AM4284" s="1"/>
    </row>
    <row r="4285" spans="1:39" x14ac:dyDescent="0.35">
      <c r="A4285">
        <v>4281</v>
      </c>
      <c r="B4285">
        <v>4282</v>
      </c>
      <c r="F4285" s="63"/>
      <c r="G4285" s="63"/>
      <c r="H4285" t="s">
        <v>26</v>
      </c>
      <c r="I4285" s="64"/>
      <c r="N4285" s="4"/>
      <c r="AM4285" s="1"/>
    </row>
    <row r="4286" spans="1:39" x14ac:dyDescent="0.35">
      <c r="A4286">
        <v>4282</v>
      </c>
      <c r="B4286">
        <v>4283</v>
      </c>
      <c r="F4286" s="63"/>
      <c r="G4286" s="63"/>
      <c r="H4286" t="s">
        <v>26</v>
      </c>
      <c r="I4286" s="64"/>
      <c r="N4286" s="4"/>
      <c r="AM4286" s="1"/>
    </row>
    <row r="4287" spans="1:39" x14ac:dyDescent="0.35">
      <c r="A4287">
        <v>4283</v>
      </c>
      <c r="B4287">
        <v>4284</v>
      </c>
      <c r="F4287" s="63"/>
      <c r="G4287" s="63"/>
      <c r="H4287" t="s">
        <v>26</v>
      </c>
      <c r="I4287" s="64"/>
      <c r="N4287" s="4"/>
      <c r="AM4287" s="1"/>
    </row>
    <row r="4288" spans="1:39" x14ac:dyDescent="0.35">
      <c r="A4288">
        <v>4284</v>
      </c>
      <c r="B4288">
        <v>4285</v>
      </c>
      <c r="F4288" s="63"/>
      <c r="G4288" s="63"/>
      <c r="H4288" t="s">
        <v>26</v>
      </c>
      <c r="I4288" s="64"/>
      <c r="N4288" s="4"/>
      <c r="AM4288" s="1"/>
    </row>
    <row r="4289" spans="1:39" x14ac:dyDescent="0.35">
      <c r="A4289">
        <v>4285</v>
      </c>
      <c r="B4289">
        <v>4286</v>
      </c>
      <c r="F4289" s="63"/>
      <c r="G4289" s="63"/>
      <c r="H4289" t="s">
        <v>26</v>
      </c>
      <c r="I4289" s="64"/>
      <c r="N4289" s="4"/>
      <c r="AM4289" s="1"/>
    </row>
    <row r="4290" spans="1:39" x14ac:dyDescent="0.35">
      <c r="A4290">
        <v>4286</v>
      </c>
      <c r="B4290">
        <v>4287</v>
      </c>
      <c r="F4290" s="63"/>
      <c r="G4290" s="63"/>
      <c r="H4290" t="s">
        <v>26</v>
      </c>
      <c r="I4290" s="64"/>
      <c r="N4290" s="4"/>
      <c r="AM4290" s="1"/>
    </row>
    <row r="4291" spans="1:39" x14ac:dyDescent="0.35">
      <c r="A4291">
        <v>4287</v>
      </c>
      <c r="B4291">
        <v>4288</v>
      </c>
      <c r="F4291" s="63"/>
      <c r="G4291" s="63"/>
      <c r="H4291" t="s">
        <v>26</v>
      </c>
      <c r="I4291" s="64"/>
      <c r="N4291" s="4"/>
      <c r="AM4291" s="1"/>
    </row>
    <row r="4292" spans="1:39" x14ac:dyDescent="0.35">
      <c r="A4292">
        <v>4288</v>
      </c>
      <c r="B4292">
        <v>4289</v>
      </c>
      <c r="F4292" s="63"/>
      <c r="G4292" s="63"/>
      <c r="H4292" t="s">
        <v>26</v>
      </c>
      <c r="I4292" s="64"/>
      <c r="N4292" s="4"/>
      <c r="AM4292" s="1"/>
    </row>
    <row r="4293" spans="1:39" x14ac:dyDescent="0.35">
      <c r="A4293">
        <v>4289</v>
      </c>
      <c r="B4293">
        <v>4290</v>
      </c>
      <c r="F4293" s="63"/>
      <c r="G4293" s="63"/>
      <c r="H4293" t="s">
        <v>26</v>
      </c>
      <c r="I4293" s="64"/>
      <c r="N4293" s="4"/>
      <c r="AM4293" s="1"/>
    </row>
    <row r="4294" spans="1:39" x14ac:dyDescent="0.35">
      <c r="A4294">
        <v>4290</v>
      </c>
      <c r="B4294">
        <v>4291</v>
      </c>
      <c r="F4294" s="63"/>
      <c r="G4294" s="63"/>
      <c r="H4294" t="s">
        <v>26</v>
      </c>
      <c r="I4294" s="64"/>
      <c r="N4294" s="4"/>
      <c r="AM4294" s="1"/>
    </row>
    <row r="4295" spans="1:39" x14ac:dyDescent="0.35">
      <c r="A4295">
        <v>4291</v>
      </c>
      <c r="B4295">
        <v>4292</v>
      </c>
      <c r="F4295" s="63"/>
      <c r="G4295" s="63"/>
      <c r="H4295" t="s">
        <v>26</v>
      </c>
      <c r="I4295" s="64"/>
      <c r="N4295" s="4"/>
      <c r="AM4295" s="1"/>
    </row>
    <row r="4296" spans="1:39" x14ac:dyDescent="0.35">
      <c r="A4296">
        <v>4292</v>
      </c>
      <c r="B4296">
        <v>4293</v>
      </c>
      <c r="F4296" s="63"/>
      <c r="G4296" s="63"/>
      <c r="H4296" t="s">
        <v>26</v>
      </c>
      <c r="I4296" s="64"/>
      <c r="N4296" s="4"/>
      <c r="AM4296" s="1"/>
    </row>
    <row r="4297" spans="1:39" x14ac:dyDescent="0.35">
      <c r="A4297">
        <v>4293</v>
      </c>
      <c r="B4297">
        <v>4294</v>
      </c>
      <c r="F4297" s="63"/>
      <c r="G4297" s="63"/>
      <c r="H4297" t="s">
        <v>26</v>
      </c>
      <c r="I4297" s="64"/>
      <c r="N4297" s="4"/>
      <c r="AM4297" s="1"/>
    </row>
    <row r="4298" spans="1:39" x14ac:dyDescent="0.35">
      <c r="A4298">
        <v>4294</v>
      </c>
      <c r="B4298">
        <v>4295</v>
      </c>
      <c r="F4298" s="63"/>
      <c r="G4298" s="63"/>
      <c r="H4298" t="s">
        <v>26</v>
      </c>
      <c r="I4298" s="64"/>
      <c r="N4298" s="4"/>
      <c r="AM4298" s="1"/>
    </row>
    <row r="4299" spans="1:39" x14ac:dyDescent="0.35">
      <c r="A4299">
        <v>4295</v>
      </c>
      <c r="B4299">
        <v>4296</v>
      </c>
      <c r="F4299" s="63"/>
      <c r="G4299" s="63"/>
      <c r="H4299" t="s">
        <v>26</v>
      </c>
      <c r="I4299" s="64"/>
      <c r="N4299" s="4"/>
      <c r="AM4299" s="1"/>
    </row>
    <row r="4300" spans="1:39" x14ac:dyDescent="0.35">
      <c r="A4300">
        <v>4296</v>
      </c>
      <c r="B4300">
        <v>4297</v>
      </c>
      <c r="F4300" s="63"/>
      <c r="G4300" s="63"/>
      <c r="H4300" t="s">
        <v>26</v>
      </c>
      <c r="I4300" s="64"/>
      <c r="N4300" s="4"/>
      <c r="AM4300" s="1"/>
    </row>
    <row r="4301" spans="1:39" x14ac:dyDescent="0.35">
      <c r="A4301">
        <v>4297</v>
      </c>
      <c r="B4301">
        <v>4298</v>
      </c>
      <c r="F4301" s="63"/>
      <c r="G4301" s="63"/>
      <c r="H4301" t="s">
        <v>26</v>
      </c>
      <c r="I4301" s="64"/>
      <c r="N4301" s="4"/>
      <c r="AM4301" s="1"/>
    </row>
    <row r="4302" spans="1:39" x14ac:dyDescent="0.35">
      <c r="A4302">
        <v>4298</v>
      </c>
      <c r="B4302">
        <v>4299</v>
      </c>
      <c r="F4302" s="63"/>
      <c r="G4302" s="63"/>
      <c r="H4302" t="s">
        <v>26</v>
      </c>
      <c r="I4302" s="64"/>
      <c r="N4302" s="4"/>
      <c r="AM4302" s="1"/>
    </row>
    <row r="4303" spans="1:39" x14ac:dyDescent="0.35">
      <c r="A4303">
        <v>4299</v>
      </c>
      <c r="B4303">
        <v>4300</v>
      </c>
      <c r="F4303" s="63"/>
      <c r="G4303" s="63"/>
      <c r="H4303" t="s">
        <v>26</v>
      </c>
      <c r="I4303" s="64"/>
      <c r="N4303" s="4"/>
      <c r="AM4303" s="1"/>
    </row>
    <row r="4304" spans="1:39" x14ac:dyDescent="0.35">
      <c r="A4304">
        <v>4300</v>
      </c>
      <c r="B4304">
        <v>4301</v>
      </c>
      <c r="F4304" s="63"/>
      <c r="G4304" s="63"/>
      <c r="H4304" t="s">
        <v>26</v>
      </c>
      <c r="I4304" s="64"/>
      <c r="N4304" s="4"/>
      <c r="AM4304" s="1"/>
    </row>
    <row r="4305" spans="1:39" x14ac:dyDescent="0.35">
      <c r="A4305">
        <v>4301</v>
      </c>
      <c r="B4305">
        <v>4302</v>
      </c>
      <c r="F4305" s="63"/>
      <c r="G4305" s="63"/>
      <c r="H4305" t="s">
        <v>26</v>
      </c>
      <c r="I4305" s="64"/>
      <c r="N4305" s="4"/>
      <c r="AM4305" s="1"/>
    </row>
    <row r="4306" spans="1:39" x14ac:dyDescent="0.35">
      <c r="A4306">
        <v>4302</v>
      </c>
      <c r="B4306">
        <v>4303</v>
      </c>
      <c r="F4306" s="63"/>
      <c r="G4306" s="63"/>
      <c r="H4306" t="s">
        <v>26</v>
      </c>
      <c r="I4306" s="64"/>
      <c r="N4306" s="4"/>
      <c r="AM4306" s="1"/>
    </row>
    <row r="4307" spans="1:39" x14ac:dyDescent="0.35">
      <c r="A4307">
        <v>4303</v>
      </c>
      <c r="B4307">
        <v>4304</v>
      </c>
      <c r="F4307" s="63"/>
      <c r="G4307" s="63"/>
      <c r="H4307" t="s">
        <v>26</v>
      </c>
      <c r="I4307" s="64"/>
      <c r="N4307" s="4"/>
      <c r="AM4307" s="1"/>
    </row>
    <row r="4308" spans="1:39" x14ac:dyDescent="0.35">
      <c r="A4308">
        <v>4304</v>
      </c>
      <c r="B4308">
        <v>4305</v>
      </c>
      <c r="F4308" s="63"/>
      <c r="G4308" s="63"/>
      <c r="H4308" t="s">
        <v>26</v>
      </c>
      <c r="I4308" s="64"/>
      <c r="N4308" s="4"/>
      <c r="AM4308" s="1"/>
    </row>
    <row r="4309" spans="1:39" x14ac:dyDescent="0.35">
      <c r="A4309">
        <v>4305</v>
      </c>
      <c r="B4309">
        <v>4306</v>
      </c>
      <c r="F4309" s="63"/>
      <c r="G4309" s="63"/>
      <c r="H4309" t="s">
        <v>26</v>
      </c>
      <c r="I4309" s="64"/>
      <c r="N4309" s="4"/>
      <c r="AM4309" s="1"/>
    </row>
    <row r="4310" spans="1:39" x14ac:dyDescent="0.35">
      <c r="A4310">
        <v>4306</v>
      </c>
      <c r="B4310">
        <v>4307</v>
      </c>
      <c r="F4310" s="63"/>
      <c r="G4310" s="63"/>
      <c r="H4310" t="s">
        <v>26</v>
      </c>
      <c r="I4310" s="64"/>
      <c r="N4310" s="4"/>
      <c r="AM4310" s="1"/>
    </row>
    <row r="4311" spans="1:39" x14ac:dyDescent="0.35">
      <c r="A4311">
        <v>4307</v>
      </c>
      <c r="B4311">
        <v>4308</v>
      </c>
      <c r="F4311" s="63"/>
      <c r="G4311" s="63"/>
      <c r="H4311" t="s">
        <v>26</v>
      </c>
      <c r="I4311" s="64"/>
      <c r="N4311" s="4"/>
      <c r="AM4311" s="1"/>
    </row>
    <row r="4312" spans="1:39" x14ac:dyDescent="0.35">
      <c r="A4312">
        <v>4308</v>
      </c>
      <c r="B4312">
        <v>4309</v>
      </c>
      <c r="F4312" s="63"/>
      <c r="G4312" s="63"/>
      <c r="H4312" t="s">
        <v>26</v>
      </c>
      <c r="I4312" s="64"/>
      <c r="N4312" s="4"/>
      <c r="AM4312" s="1"/>
    </row>
    <row r="4313" spans="1:39" x14ac:dyDescent="0.35">
      <c r="A4313">
        <v>4309</v>
      </c>
      <c r="B4313">
        <v>4310</v>
      </c>
      <c r="F4313" s="63"/>
      <c r="G4313" s="63"/>
      <c r="H4313" t="s">
        <v>26</v>
      </c>
      <c r="I4313" s="64"/>
      <c r="N4313" s="4"/>
      <c r="AM4313" s="1"/>
    </row>
    <row r="4314" spans="1:39" x14ac:dyDescent="0.35">
      <c r="A4314">
        <v>4310</v>
      </c>
      <c r="B4314">
        <v>4311</v>
      </c>
      <c r="F4314" s="63"/>
      <c r="G4314" s="63"/>
      <c r="H4314" t="s">
        <v>26</v>
      </c>
      <c r="I4314" s="64"/>
      <c r="N4314" s="4"/>
      <c r="AM4314" s="1"/>
    </row>
    <row r="4315" spans="1:39" x14ac:dyDescent="0.35">
      <c r="A4315">
        <v>4311</v>
      </c>
      <c r="B4315">
        <v>4312</v>
      </c>
      <c r="F4315" s="63"/>
      <c r="G4315" s="63"/>
      <c r="H4315" t="s">
        <v>26</v>
      </c>
      <c r="I4315" s="64"/>
      <c r="N4315" s="4"/>
      <c r="AM4315" s="1"/>
    </row>
    <row r="4316" spans="1:39" x14ac:dyDescent="0.35">
      <c r="A4316">
        <v>4312</v>
      </c>
      <c r="B4316">
        <v>4313</v>
      </c>
      <c r="F4316" s="63"/>
      <c r="G4316" s="63"/>
      <c r="H4316" t="s">
        <v>26</v>
      </c>
      <c r="I4316" s="64"/>
      <c r="N4316" s="4"/>
      <c r="AM4316" s="1"/>
    </row>
    <row r="4317" spans="1:39" x14ac:dyDescent="0.35">
      <c r="A4317">
        <v>4313</v>
      </c>
      <c r="B4317">
        <v>4314</v>
      </c>
      <c r="F4317" s="63"/>
      <c r="G4317" s="63"/>
      <c r="H4317" t="s">
        <v>26</v>
      </c>
      <c r="I4317" s="64"/>
      <c r="N4317" s="4"/>
      <c r="AM4317" s="1"/>
    </row>
    <row r="4318" spans="1:39" x14ac:dyDescent="0.35">
      <c r="A4318">
        <v>4314</v>
      </c>
      <c r="B4318">
        <v>4315</v>
      </c>
      <c r="F4318" s="63"/>
      <c r="G4318" s="63"/>
      <c r="H4318" t="s">
        <v>26</v>
      </c>
      <c r="I4318" s="64"/>
      <c r="N4318" s="4"/>
      <c r="AM4318" s="1"/>
    </row>
    <row r="4319" spans="1:39" x14ac:dyDescent="0.35">
      <c r="A4319">
        <v>4315</v>
      </c>
      <c r="B4319">
        <v>4316</v>
      </c>
      <c r="F4319" s="63"/>
      <c r="G4319" s="63"/>
      <c r="H4319" t="s">
        <v>26</v>
      </c>
      <c r="I4319" s="64"/>
      <c r="N4319" s="4"/>
      <c r="AM4319" s="1"/>
    </row>
    <row r="4320" spans="1:39" x14ac:dyDescent="0.35">
      <c r="A4320">
        <v>4316</v>
      </c>
      <c r="B4320">
        <v>4317</v>
      </c>
      <c r="F4320" s="63"/>
      <c r="G4320" s="63"/>
      <c r="H4320" t="s">
        <v>26</v>
      </c>
      <c r="I4320" s="64"/>
      <c r="N4320" s="4"/>
      <c r="AM4320" s="1"/>
    </row>
    <row r="4321" spans="1:39" x14ac:dyDescent="0.35">
      <c r="A4321">
        <v>4317</v>
      </c>
      <c r="B4321">
        <v>4318</v>
      </c>
      <c r="F4321" s="63"/>
      <c r="G4321" s="63"/>
      <c r="H4321" t="s">
        <v>26</v>
      </c>
      <c r="I4321" s="64"/>
      <c r="N4321" s="4"/>
      <c r="AM4321" s="1"/>
    </row>
    <row r="4322" spans="1:39" x14ac:dyDescent="0.35">
      <c r="A4322">
        <v>4318</v>
      </c>
      <c r="B4322">
        <v>4319</v>
      </c>
      <c r="F4322" s="63"/>
      <c r="G4322" s="63"/>
      <c r="H4322" t="s">
        <v>26</v>
      </c>
      <c r="I4322" s="64"/>
      <c r="N4322" s="4"/>
      <c r="AM4322" s="1"/>
    </row>
    <row r="4323" spans="1:39" x14ac:dyDescent="0.35">
      <c r="A4323">
        <v>4319</v>
      </c>
      <c r="B4323">
        <v>4320</v>
      </c>
      <c r="F4323" s="63"/>
      <c r="G4323" s="63"/>
      <c r="H4323" t="s">
        <v>26</v>
      </c>
      <c r="I4323" s="64"/>
      <c r="N4323" s="4"/>
      <c r="AM4323" s="1"/>
    </row>
    <row r="4324" spans="1:39" x14ac:dyDescent="0.35">
      <c r="A4324">
        <v>4320</v>
      </c>
      <c r="B4324">
        <v>4321</v>
      </c>
      <c r="F4324" s="63"/>
      <c r="G4324" s="63"/>
      <c r="H4324" t="s">
        <v>26</v>
      </c>
      <c r="I4324" s="64"/>
      <c r="N4324" s="4"/>
      <c r="AM4324" s="1"/>
    </row>
    <row r="4325" spans="1:39" x14ac:dyDescent="0.35">
      <c r="A4325">
        <v>4321</v>
      </c>
      <c r="B4325">
        <v>4322</v>
      </c>
      <c r="F4325" s="63"/>
      <c r="G4325" s="63"/>
      <c r="H4325" t="s">
        <v>26</v>
      </c>
      <c r="I4325" s="64"/>
      <c r="N4325" s="4"/>
      <c r="AM4325" s="1"/>
    </row>
    <row r="4326" spans="1:39" x14ac:dyDescent="0.35">
      <c r="A4326">
        <v>4322</v>
      </c>
      <c r="B4326">
        <v>4323</v>
      </c>
      <c r="F4326" s="63"/>
      <c r="G4326" s="63"/>
      <c r="H4326" t="s">
        <v>26</v>
      </c>
      <c r="I4326" s="64"/>
      <c r="N4326" s="4"/>
      <c r="AM4326" s="1"/>
    </row>
    <row r="4327" spans="1:39" x14ac:dyDescent="0.35">
      <c r="A4327">
        <v>4323</v>
      </c>
      <c r="B4327">
        <v>4324</v>
      </c>
      <c r="F4327" s="63"/>
      <c r="G4327" s="63"/>
      <c r="H4327" t="s">
        <v>26</v>
      </c>
      <c r="I4327" s="64"/>
      <c r="N4327" s="4"/>
      <c r="AM4327" s="1"/>
    </row>
    <row r="4328" spans="1:39" x14ac:dyDescent="0.35">
      <c r="A4328">
        <v>4324</v>
      </c>
      <c r="B4328">
        <v>4325</v>
      </c>
      <c r="F4328" s="63"/>
      <c r="G4328" s="63"/>
      <c r="H4328" t="s">
        <v>26</v>
      </c>
      <c r="I4328" s="64"/>
      <c r="N4328" s="4"/>
      <c r="AM4328" s="1"/>
    </row>
    <row r="4329" spans="1:39" x14ac:dyDescent="0.35">
      <c r="A4329">
        <v>4325</v>
      </c>
      <c r="B4329">
        <v>4326</v>
      </c>
      <c r="F4329" s="63"/>
      <c r="G4329" s="63"/>
      <c r="H4329" t="s">
        <v>26</v>
      </c>
      <c r="I4329" s="64"/>
      <c r="N4329" s="4"/>
      <c r="AM4329" s="1"/>
    </row>
    <row r="4330" spans="1:39" x14ac:dyDescent="0.35">
      <c r="A4330">
        <v>4326</v>
      </c>
      <c r="B4330">
        <v>4327</v>
      </c>
      <c r="F4330" s="63"/>
      <c r="G4330" s="63"/>
      <c r="H4330" t="s">
        <v>26</v>
      </c>
      <c r="I4330" s="64"/>
      <c r="N4330" s="4"/>
      <c r="AM4330" s="1"/>
    </row>
    <row r="4331" spans="1:39" x14ac:dyDescent="0.35">
      <c r="A4331">
        <v>4327</v>
      </c>
      <c r="B4331">
        <v>4328</v>
      </c>
      <c r="F4331" s="63"/>
      <c r="G4331" s="63"/>
      <c r="H4331" t="s">
        <v>26</v>
      </c>
      <c r="I4331" s="64"/>
      <c r="N4331" s="4"/>
      <c r="AM4331" s="1"/>
    </row>
    <row r="4332" spans="1:39" x14ac:dyDescent="0.35">
      <c r="A4332">
        <v>4328</v>
      </c>
      <c r="B4332">
        <v>4329</v>
      </c>
      <c r="F4332" s="63"/>
      <c r="G4332" s="63"/>
      <c r="H4332" t="s">
        <v>26</v>
      </c>
      <c r="I4332" s="64"/>
      <c r="N4332" s="4"/>
      <c r="AM4332" s="1"/>
    </row>
    <row r="4333" spans="1:39" x14ac:dyDescent="0.35">
      <c r="A4333">
        <v>4329</v>
      </c>
      <c r="B4333">
        <v>4330</v>
      </c>
      <c r="F4333" s="63"/>
      <c r="G4333" s="63"/>
      <c r="H4333" t="s">
        <v>26</v>
      </c>
      <c r="I4333" s="64"/>
      <c r="N4333" s="4"/>
      <c r="AM4333" s="1"/>
    </row>
    <row r="4334" spans="1:39" x14ac:dyDescent="0.35">
      <c r="A4334">
        <v>4330</v>
      </c>
      <c r="B4334">
        <v>4331</v>
      </c>
      <c r="F4334" s="63"/>
      <c r="G4334" s="63"/>
      <c r="H4334" t="s">
        <v>26</v>
      </c>
      <c r="I4334" s="64"/>
      <c r="N4334" s="4"/>
      <c r="AM4334" s="1"/>
    </row>
    <row r="4335" spans="1:39" x14ac:dyDescent="0.35">
      <c r="A4335">
        <v>4331</v>
      </c>
      <c r="B4335">
        <v>4332</v>
      </c>
      <c r="F4335" s="63"/>
      <c r="G4335" s="63"/>
      <c r="H4335" t="s">
        <v>26</v>
      </c>
      <c r="I4335" s="64"/>
      <c r="N4335" s="4"/>
      <c r="AM4335" s="1"/>
    </row>
    <row r="4336" spans="1:39" x14ac:dyDescent="0.35">
      <c r="A4336">
        <v>4332</v>
      </c>
      <c r="B4336">
        <v>4333</v>
      </c>
      <c r="F4336" s="63"/>
      <c r="G4336" s="63"/>
      <c r="H4336" t="s">
        <v>26</v>
      </c>
      <c r="I4336" s="64"/>
      <c r="N4336" s="4"/>
      <c r="AM4336" s="1"/>
    </row>
    <row r="4337" spans="1:39" x14ac:dyDescent="0.35">
      <c r="A4337">
        <v>4333</v>
      </c>
      <c r="B4337">
        <v>4334</v>
      </c>
      <c r="F4337" s="63"/>
      <c r="G4337" s="63"/>
      <c r="H4337" t="s">
        <v>26</v>
      </c>
      <c r="I4337" s="64"/>
      <c r="N4337" s="4"/>
      <c r="AM4337" s="1"/>
    </row>
    <row r="4338" spans="1:39" x14ac:dyDescent="0.35">
      <c r="A4338">
        <v>4334</v>
      </c>
      <c r="B4338">
        <v>4335</v>
      </c>
      <c r="F4338" s="63"/>
      <c r="G4338" s="63"/>
      <c r="H4338" t="s">
        <v>26</v>
      </c>
      <c r="I4338" s="64"/>
      <c r="N4338" s="4"/>
      <c r="AM4338" s="1"/>
    </row>
    <row r="4339" spans="1:39" x14ac:dyDescent="0.35">
      <c r="A4339">
        <v>4335</v>
      </c>
      <c r="B4339">
        <v>4336</v>
      </c>
      <c r="F4339" s="63"/>
      <c r="G4339" s="63"/>
      <c r="H4339" t="s">
        <v>26</v>
      </c>
      <c r="I4339" s="64"/>
      <c r="N4339" s="4"/>
      <c r="AM4339" s="1"/>
    </row>
    <row r="4340" spans="1:39" x14ac:dyDescent="0.35">
      <c r="A4340">
        <v>4336</v>
      </c>
      <c r="B4340">
        <v>4337</v>
      </c>
      <c r="F4340" s="63"/>
      <c r="G4340" s="63"/>
      <c r="H4340" t="s">
        <v>26</v>
      </c>
      <c r="I4340" s="64"/>
      <c r="N4340" s="4"/>
      <c r="AM4340" s="1"/>
    </row>
    <row r="4341" spans="1:39" x14ac:dyDescent="0.35">
      <c r="A4341">
        <v>4337</v>
      </c>
      <c r="B4341">
        <v>4338</v>
      </c>
      <c r="F4341" s="63"/>
      <c r="G4341" s="63"/>
      <c r="H4341" t="s">
        <v>26</v>
      </c>
      <c r="I4341" s="64"/>
      <c r="N4341" s="4"/>
      <c r="AM4341" s="1"/>
    </row>
    <row r="4342" spans="1:39" x14ac:dyDescent="0.35">
      <c r="A4342">
        <v>4338</v>
      </c>
      <c r="B4342">
        <v>4339</v>
      </c>
      <c r="F4342" s="63"/>
      <c r="G4342" s="63"/>
      <c r="H4342" t="s">
        <v>26</v>
      </c>
      <c r="I4342" s="64"/>
      <c r="N4342" s="4"/>
      <c r="AM4342" s="1"/>
    </row>
    <row r="4343" spans="1:39" x14ac:dyDescent="0.35">
      <c r="A4343">
        <v>4339</v>
      </c>
      <c r="B4343">
        <v>4340</v>
      </c>
      <c r="F4343" s="63"/>
      <c r="G4343" s="63"/>
      <c r="H4343" t="s">
        <v>26</v>
      </c>
      <c r="I4343" s="64"/>
      <c r="N4343" s="4"/>
      <c r="AM4343" s="1"/>
    </row>
    <row r="4344" spans="1:39" x14ac:dyDescent="0.35">
      <c r="A4344">
        <v>4340</v>
      </c>
      <c r="B4344">
        <v>4341</v>
      </c>
      <c r="F4344" s="63"/>
      <c r="G4344" s="63"/>
      <c r="H4344" t="s">
        <v>26</v>
      </c>
      <c r="I4344" s="64"/>
      <c r="N4344" s="4"/>
      <c r="AM4344" s="1"/>
    </row>
    <row r="4345" spans="1:39" x14ac:dyDescent="0.35">
      <c r="A4345">
        <v>4341</v>
      </c>
      <c r="B4345">
        <v>4342</v>
      </c>
      <c r="F4345" s="63"/>
      <c r="G4345" s="63"/>
      <c r="H4345" t="s">
        <v>26</v>
      </c>
      <c r="I4345" s="64"/>
      <c r="N4345" s="4"/>
      <c r="AM4345" s="1"/>
    </row>
    <row r="4346" spans="1:39" x14ac:dyDescent="0.35">
      <c r="A4346">
        <v>4342</v>
      </c>
      <c r="B4346">
        <v>4343</v>
      </c>
      <c r="F4346" s="63"/>
      <c r="G4346" s="63"/>
      <c r="H4346" t="s">
        <v>26</v>
      </c>
      <c r="I4346" s="64"/>
      <c r="N4346" s="4"/>
      <c r="AM4346" s="1"/>
    </row>
    <row r="4347" spans="1:39" x14ac:dyDescent="0.35">
      <c r="A4347">
        <v>4343</v>
      </c>
      <c r="B4347">
        <v>4344</v>
      </c>
      <c r="F4347" s="63"/>
      <c r="G4347" s="63"/>
      <c r="H4347" t="s">
        <v>26</v>
      </c>
      <c r="I4347" s="64"/>
      <c r="N4347" s="4"/>
      <c r="AM4347" s="1"/>
    </row>
    <row r="4348" spans="1:39" x14ac:dyDescent="0.35">
      <c r="A4348">
        <v>4344</v>
      </c>
      <c r="B4348">
        <v>4345</v>
      </c>
      <c r="F4348" s="63"/>
      <c r="G4348" s="63"/>
      <c r="H4348" t="s">
        <v>26</v>
      </c>
      <c r="I4348" s="64"/>
      <c r="N4348" s="4"/>
      <c r="AM4348" s="1"/>
    </row>
    <row r="4349" spans="1:39" x14ac:dyDescent="0.35">
      <c r="A4349">
        <v>4345</v>
      </c>
      <c r="B4349">
        <v>4346</v>
      </c>
      <c r="F4349" s="63"/>
      <c r="G4349" s="63"/>
      <c r="H4349" t="s">
        <v>26</v>
      </c>
      <c r="I4349" s="64"/>
      <c r="N4349" s="4"/>
      <c r="AM4349" s="1"/>
    </row>
    <row r="4350" spans="1:39" x14ac:dyDescent="0.35">
      <c r="A4350">
        <v>4346</v>
      </c>
      <c r="B4350">
        <v>4347</v>
      </c>
      <c r="F4350" s="63"/>
      <c r="G4350" s="63"/>
      <c r="H4350" t="s">
        <v>26</v>
      </c>
      <c r="I4350" s="64"/>
      <c r="N4350" s="4"/>
      <c r="AM4350" s="1"/>
    </row>
    <row r="4351" spans="1:39" x14ac:dyDescent="0.35">
      <c r="A4351">
        <v>4347</v>
      </c>
      <c r="B4351">
        <v>4348</v>
      </c>
      <c r="F4351" s="63"/>
      <c r="G4351" s="63"/>
      <c r="H4351" t="s">
        <v>26</v>
      </c>
      <c r="I4351" s="64"/>
      <c r="N4351" s="4"/>
      <c r="AM4351" s="1"/>
    </row>
    <row r="4352" spans="1:39" x14ac:dyDescent="0.35">
      <c r="A4352">
        <v>4348</v>
      </c>
      <c r="B4352">
        <v>4349</v>
      </c>
      <c r="F4352" s="63"/>
      <c r="G4352" s="63"/>
      <c r="H4352" t="s">
        <v>26</v>
      </c>
      <c r="I4352" s="64"/>
      <c r="N4352" s="4"/>
      <c r="AM4352" s="1"/>
    </row>
    <row r="4353" spans="1:39" x14ac:dyDescent="0.35">
      <c r="A4353">
        <v>4349</v>
      </c>
      <c r="B4353">
        <v>4350</v>
      </c>
      <c r="F4353" s="63"/>
      <c r="G4353" s="63"/>
      <c r="H4353" t="s">
        <v>26</v>
      </c>
      <c r="I4353" s="64"/>
      <c r="N4353" s="4"/>
      <c r="AM4353" s="1"/>
    </row>
    <row r="4354" spans="1:39" x14ac:dyDescent="0.35">
      <c r="A4354">
        <v>4350</v>
      </c>
      <c r="B4354">
        <v>4351</v>
      </c>
      <c r="F4354" s="63"/>
      <c r="G4354" s="63"/>
      <c r="H4354" t="s">
        <v>26</v>
      </c>
      <c r="I4354" s="64"/>
      <c r="N4354" s="4"/>
      <c r="AM4354" s="1"/>
    </row>
    <row r="4355" spans="1:39" x14ac:dyDescent="0.35">
      <c r="A4355">
        <v>4351</v>
      </c>
      <c r="B4355">
        <v>4352</v>
      </c>
      <c r="F4355" s="63"/>
      <c r="G4355" s="63"/>
      <c r="H4355" t="s">
        <v>26</v>
      </c>
      <c r="I4355" s="64"/>
      <c r="N4355" s="4"/>
      <c r="AM4355" s="1"/>
    </row>
    <row r="4356" spans="1:39" x14ac:dyDescent="0.35">
      <c r="A4356">
        <v>4352</v>
      </c>
      <c r="B4356">
        <v>4353</v>
      </c>
      <c r="F4356" s="63"/>
      <c r="G4356" s="63"/>
      <c r="H4356" t="s">
        <v>26</v>
      </c>
      <c r="I4356" s="64"/>
      <c r="N4356" s="4"/>
      <c r="AM4356" s="1"/>
    </row>
    <row r="4357" spans="1:39" x14ac:dyDescent="0.35">
      <c r="A4357">
        <v>4353</v>
      </c>
      <c r="B4357">
        <v>4354</v>
      </c>
      <c r="F4357" s="63"/>
      <c r="G4357" s="63"/>
      <c r="H4357" t="s">
        <v>26</v>
      </c>
      <c r="I4357" s="64"/>
      <c r="N4357" s="4"/>
      <c r="AM4357" s="1"/>
    </row>
    <row r="4358" spans="1:39" x14ac:dyDescent="0.35">
      <c r="A4358">
        <v>4354</v>
      </c>
      <c r="B4358">
        <v>4355</v>
      </c>
      <c r="F4358" s="63"/>
      <c r="G4358" s="63"/>
      <c r="H4358" t="s">
        <v>26</v>
      </c>
      <c r="I4358" s="64"/>
      <c r="N4358" s="4"/>
      <c r="AM4358" s="1"/>
    </row>
    <row r="4359" spans="1:39" x14ac:dyDescent="0.35">
      <c r="A4359">
        <v>4355</v>
      </c>
      <c r="B4359">
        <v>4356</v>
      </c>
      <c r="F4359" s="63"/>
      <c r="G4359" s="63"/>
      <c r="H4359" t="s">
        <v>26</v>
      </c>
      <c r="I4359" s="64"/>
      <c r="N4359" s="4"/>
      <c r="AM4359" s="1"/>
    </row>
    <row r="4360" spans="1:39" x14ac:dyDescent="0.35">
      <c r="A4360">
        <v>4356</v>
      </c>
      <c r="B4360">
        <v>4357</v>
      </c>
      <c r="F4360" s="63"/>
      <c r="G4360" s="63"/>
      <c r="H4360" t="s">
        <v>26</v>
      </c>
      <c r="I4360" s="64"/>
      <c r="N4360" s="4"/>
      <c r="AM4360" s="1"/>
    </row>
    <row r="4361" spans="1:39" x14ac:dyDescent="0.35">
      <c r="A4361">
        <v>4357</v>
      </c>
      <c r="B4361">
        <v>4358</v>
      </c>
      <c r="F4361" s="63"/>
      <c r="G4361" s="63"/>
      <c r="H4361" t="s">
        <v>26</v>
      </c>
      <c r="I4361" s="64"/>
      <c r="N4361" s="4"/>
      <c r="AM4361" s="1"/>
    </row>
    <row r="4362" spans="1:39" x14ac:dyDescent="0.35">
      <c r="A4362">
        <v>4358</v>
      </c>
      <c r="B4362">
        <v>4359</v>
      </c>
      <c r="F4362" s="63"/>
      <c r="G4362" s="63"/>
      <c r="H4362" t="s">
        <v>26</v>
      </c>
      <c r="I4362" s="64"/>
      <c r="N4362" s="4"/>
      <c r="AM4362" s="1"/>
    </row>
    <row r="4363" spans="1:39" x14ac:dyDescent="0.35">
      <c r="A4363">
        <v>4359</v>
      </c>
      <c r="B4363">
        <v>4360</v>
      </c>
      <c r="F4363" s="63"/>
      <c r="G4363" s="63"/>
      <c r="H4363" t="s">
        <v>26</v>
      </c>
      <c r="I4363" s="64"/>
      <c r="N4363" s="4"/>
      <c r="AM4363" s="1"/>
    </row>
    <row r="4364" spans="1:39" x14ac:dyDescent="0.35">
      <c r="A4364">
        <v>4360</v>
      </c>
      <c r="B4364">
        <v>4361</v>
      </c>
      <c r="F4364" s="63"/>
      <c r="G4364" s="63"/>
      <c r="H4364" t="s">
        <v>26</v>
      </c>
      <c r="I4364" s="64"/>
      <c r="N4364" s="4"/>
      <c r="AM4364" s="1"/>
    </row>
    <row r="4365" spans="1:39" x14ac:dyDescent="0.35">
      <c r="A4365">
        <v>4361</v>
      </c>
      <c r="B4365">
        <v>4362</v>
      </c>
      <c r="F4365" s="63"/>
      <c r="G4365" s="63"/>
      <c r="H4365" t="s">
        <v>26</v>
      </c>
      <c r="I4365" s="64"/>
      <c r="N4365" s="4"/>
      <c r="AM4365" s="1"/>
    </row>
    <row r="4366" spans="1:39" x14ac:dyDescent="0.35">
      <c r="A4366">
        <v>4362</v>
      </c>
      <c r="B4366">
        <v>4363</v>
      </c>
      <c r="F4366" s="63"/>
      <c r="G4366" s="63"/>
      <c r="H4366" t="s">
        <v>26</v>
      </c>
      <c r="I4366" s="64"/>
      <c r="N4366" s="4"/>
      <c r="AM4366" s="1"/>
    </row>
    <row r="4367" spans="1:39" x14ac:dyDescent="0.35">
      <c r="A4367">
        <v>4363</v>
      </c>
      <c r="B4367">
        <v>4364</v>
      </c>
      <c r="F4367" s="63"/>
      <c r="G4367" s="63"/>
      <c r="H4367" t="s">
        <v>26</v>
      </c>
      <c r="I4367" s="64"/>
      <c r="N4367" s="4"/>
      <c r="AM4367" s="1"/>
    </row>
    <row r="4368" spans="1:39" x14ac:dyDescent="0.35">
      <c r="A4368">
        <v>4364</v>
      </c>
      <c r="B4368">
        <v>4365</v>
      </c>
      <c r="F4368" s="63"/>
      <c r="G4368" s="63"/>
      <c r="H4368" t="s">
        <v>26</v>
      </c>
      <c r="I4368" s="64"/>
      <c r="N4368" s="4"/>
      <c r="AM4368" s="1"/>
    </row>
    <row r="4369" spans="1:39" x14ac:dyDescent="0.35">
      <c r="A4369">
        <v>4365</v>
      </c>
      <c r="B4369">
        <v>4366</v>
      </c>
      <c r="F4369" s="63"/>
      <c r="G4369" s="63"/>
      <c r="H4369" t="s">
        <v>26</v>
      </c>
      <c r="I4369" s="64"/>
      <c r="N4369" s="4"/>
      <c r="AM4369" s="1"/>
    </row>
    <row r="4370" spans="1:39" x14ac:dyDescent="0.35">
      <c r="A4370">
        <v>4366</v>
      </c>
      <c r="B4370">
        <v>4367</v>
      </c>
      <c r="F4370" s="63"/>
      <c r="G4370" s="63"/>
      <c r="H4370" t="s">
        <v>26</v>
      </c>
      <c r="I4370" s="64"/>
      <c r="N4370" s="4"/>
      <c r="AM4370" s="1"/>
    </row>
    <row r="4371" spans="1:39" x14ac:dyDescent="0.35">
      <c r="A4371">
        <v>4367</v>
      </c>
      <c r="B4371">
        <v>4368</v>
      </c>
      <c r="F4371" s="63"/>
      <c r="G4371" s="63"/>
      <c r="H4371" t="s">
        <v>26</v>
      </c>
      <c r="I4371" s="64"/>
      <c r="N4371" s="4"/>
      <c r="AM4371" s="1"/>
    </row>
    <row r="4372" spans="1:39" x14ac:dyDescent="0.35">
      <c r="A4372">
        <v>4368</v>
      </c>
      <c r="B4372">
        <v>4369</v>
      </c>
      <c r="F4372" s="63"/>
      <c r="G4372" s="63"/>
      <c r="H4372" t="s">
        <v>26</v>
      </c>
      <c r="I4372" s="64"/>
      <c r="N4372" s="4"/>
      <c r="AM4372" s="1"/>
    </row>
    <row r="4373" spans="1:39" x14ac:dyDescent="0.35">
      <c r="A4373">
        <v>4369</v>
      </c>
      <c r="B4373">
        <v>4370</v>
      </c>
      <c r="F4373" s="63"/>
      <c r="G4373" s="63"/>
      <c r="H4373" t="s">
        <v>26</v>
      </c>
      <c r="I4373" s="64"/>
      <c r="N4373" s="4"/>
      <c r="AM4373" s="1"/>
    </row>
    <row r="4374" spans="1:39" x14ac:dyDescent="0.35">
      <c r="A4374">
        <v>4370</v>
      </c>
      <c r="B4374">
        <v>4371</v>
      </c>
      <c r="F4374" s="63"/>
      <c r="G4374" s="63"/>
      <c r="H4374" t="s">
        <v>26</v>
      </c>
      <c r="I4374" s="64"/>
      <c r="N4374" s="4"/>
      <c r="AM4374" s="1"/>
    </row>
    <row r="4375" spans="1:39" x14ac:dyDescent="0.35">
      <c r="A4375">
        <v>4371</v>
      </c>
      <c r="B4375">
        <v>4372</v>
      </c>
      <c r="F4375" s="63"/>
      <c r="G4375" s="63"/>
      <c r="H4375" t="s">
        <v>26</v>
      </c>
      <c r="I4375" s="64"/>
      <c r="N4375" s="4"/>
      <c r="AM4375" s="1"/>
    </row>
    <row r="4376" spans="1:39" x14ac:dyDescent="0.35">
      <c r="A4376">
        <v>4372</v>
      </c>
      <c r="B4376">
        <v>4373</v>
      </c>
      <c r="F4376" s="63"/>
      <c r="G4376" s="63"/>
      <c r="H4376" t="s">
        <v>26</v>
      </c>
      <c r="I4376" s="64"/>
      <c r="N4376" s="4"/>
      <c r="AM4376" s="1"/>
    </row>
    <row r="4377" spans="1:39" x14ac:dyDescent="0.35">
      <c r="A4377">
        <v>4373</v>
      </c>
      <c r="B4377">
        <v>4374</v>
      </c>
      <c r="F4377" s="63"/>
      <c r="G4377" s="63"/>
      <c r="H4377" t="s">
        <v>26</v>
      </c>
      <c r="I4377" s="64"/>
      <c r="N4377" s="4"/>
      <c r="AM4377" s="1"/>
    </row>
    <row r="4378" spans="1:39" x14ac:dyDescent="0.35">
      <c r="A4378">
        <v>4374</v>
      </c>
      <c r="B4378">
        <v>4375</v>
      </c>
      <c r="F4378" s="63"/>
      <c r="G4378" s="63"/>
      <c r="H4378" t="s">
        <v>26</v>
      </c>
      <c r="I4378" s="64"/>
      <c r="N4378" s="4"/>
      <c r="AM4378" s="1"/>
    </row>
    <row r="4379" spans="1:39" x14ac:dyDescent="0.35">
      <c r="A4379">
        <v>4375</v>
      </c>
      <c r="B4379">
        <v>4376</v>
      </c>
      <c r="F4379" s="63"/>
      <c r="G4379" s="63"/>
      <c r="H4379" t="s">
        <v>26</v>
      </c>
      <c r="I4379" s="64"/>
      <c r="N4379" s="4"/>
      <c r="AM4379" s="1"/>
    </row>
    <row r="4380" spans="1:39" x14ac:dyDescent="0.35">
      <c r="A4380">
        <v>4376</v>
      </c>
      <c r="B4380">
        <v>4377</v>
      </c>
      <c r="F4380" s="63"/>
      <c r="G4380" s="63"/>
      <c r="H4380" t="s">
        <v>26</v>
      </c>
      <c r="I4380" s="64"/>
      <c r="N4380" s="4"/>
      <c r="AM4380" s="1"/>
    </row>
    <row r="4381" spans="1:39" x14ac:dyDescent="0.35">
      <c r="A4381">
        <v>4377</v>
      </c>
      <c r="B4381">
        <v>4378</v>
      </c>
      <c r="F4381" s="63"/>
      <c r="G4381" s="63"/>
      <c r="H4381" t="s">
        <v>26</v>
      </c>
      <c r="I4381" s="64"/>
      <c r="N4381" s="4"/>
      <c r="AM4381" s="1"/>
    </row>
    <row r="4382" spans="1:39" x14ac:dyDescent="0.35">
      <c r="A4382">
        <v>4378</v>
      </c>
      <c r="B4382">
        <v>4379</v>
      </c>
      <c r="F4382" s="63"/>
      <c r="G4382" s="63"/>
      <c r="H4382" t="s">
        <v>26</v>
      </c>
      <c r="I4382" s="64"/>
      <c r="N4382" s="4"/>
      <c r="AM4382" s="1"/>
    </row>
    <row r="4383" spans="1:39" x14ac:dyDescent="0.35">
      <c r="A4383">
        <v>4379</v>
      </c>
      <c r="B4383">
        <v>4380</v>
      </c>
      <c r="F4383" s="63"/>
      <c r="G4383" s="63"/>
      <c r="H4383" t="s">
        <v>26</v>
      </c>
      <c r="I4383" s="64"/>
      <c r="N4383" s="4"/>
      <c r="AM4383" s="1"/>
    </row>
    <row r="4384" spans="1:39" x14ac:dyDescent="0.35">
      <c r="A4384">
        <v>4380</v>
      </c>
      <c r="B4384">
        <v>4381</v>
      </c>
      <c r="F4384" s="63"/>
      <c r="G4384" s="63"/>
      <c r="H4384" t="s">
        <v>26</v>
      </c>
      <c r="I4384" s="64"/>
      <c r="N4384" s="4"/>
      <c r="AM4384" s="1"/>
    </row>
    <row r="4385" spans="1:39" x14ac:dyDescent="0.35">
      <c r="A4385">
        <v>4381</v>
      </c>
      <c r="B4385">
        <v>4382</v>
      </c>
      <c r="F4385" s="63"/>
      <c r="G4385" s="63"/>
      <c r="H4385" t="s">
        <v>26</v>
      </c>
      <c r="I4385" s="64"/>
      <c r="N4385" s="4"/>
      <c r="AM4385" s="1"/>
    </row>
    <row r="4386" spans="1:39" x14ac:dyDescent="0.35">
      <c r="A4386">
        <v>4382</v>
      </c>
      <c r="B4386">
        <v>4383</v>
      </c>
      <c r="F4386" s="63"/>
      <c r="G4386" s="63"/>
      <c r="H4386" t="s">
        <v>26</v>
      </c>
      <c r="I4386" s="64"/>
      <c r="N4386" s="4"/>
      <c r="AM4386" s="1"/>
    </row>
    <row r="4387" spans="1:39" x14ac:dyDescent="0.35">
      <c r="A4387">
        <v>4383</v>
      </c>
      <c r="B4387">
        <v>4384</v>
      </c>
      <c r="F4387" s="63"/>
      <c r="G4387" s="63"/>
      <c r="H4387" t="s">
        <v>26</v>
      </c>
      <c r="I4387" s="64"/>
      <c r="N4387" s="4"/>
      <c r="AM4387" s="1"/>
    </row>
    <row r="4388" spans="1:39" x14ac:dyDescent="0.35">
      <c r="A4388">
        <v>4384</v>
      </c>
      <c r="B4388">
        <v>4385</v>
      </c>
      <c r="F4388" s="63"/>
      <c r="G4388" s="63"/>
      <c r="H4388" t="s">
        <v>26</v>
      </c>
      <c r="I4388" s="64"/>
      <c r="N4388" s="4"/>
      <c r="AM4388" s="1"/>
    </row>
    <row r="4389" spans="1:39" x14ac:dyDescent="0.35">
      <c r="A4389">
        <v>4385</v>
      </c>
      <c r="B4389">
        <v>4386</v>
      </c>
      <c r="F4389" s="63"/>
      <c r="G4389" s="63"/>
      <c r="H4389" t="s">
        <v>26</v>
      </c>
      <c r="I4389" s="64"/>
      <c r="N4389" s="4"/>
      <c r="AM4389" s="1"/>
    </row>
    <row r="4390" spans="1:39" x14ac:dyDescent="0.35">
      <c r="A4390">
        <v>4386</v>
      </c>
      <c r="B4390">
        <v>4387</v>
      </c>
      <c r="F4390" s="63"/>
      <c r="G4390" s="63"/>
      <c r="H4390" t="s">
        <v>26</v>
      </c>
      <c r="I4390" s="64"/>
      <c r="N4390" s="4"/>
      <c r="AM4390" s="1"/>
    </row>
    <row r="4391" spans="1:39" x14ac:dyDescent="0.35">
      <c r="A4391">
        <v>4387</v>
      </c>
      <c r="B4391">
        <v>4388</v>
      </c>
      <c r="F4391" s="63"/>
      <c r="G4391" s="63"/>
      <c r="H4391" t="s">
        <v>26</v>
      </c>
      <c r="I4391" s="64"/>
      <c r="N4391" s="4"/>
      <c r="AM4391" s="1"/>
    </row>
    <row r="4392" spans="1:39" x14ac:dyDescent="0.35">
      <c r="A4392">
        <v>4388</v>
      </c>
      <c r="B4392">
        <v>4389</v>
      </c>
      <c r="F4392" s="63"/>
      <c r="G4392" s="63"/>
      <c r="H4392" t="s">
        <v>26</v>
      </c>
      <c r="I4392" s="64"/>
      <c r="N4392" s="4"/>
      <c r="AM4392" s="1"/>
    </row>
    <row r="4393" spans="1:39" x14ac:dyDescent="0.35">
      <c r="A4393">
        <v>4389</v>
      </c>
      <c r="B4393">
        <v>4390</v>
      </c>
      <c r="F4393" s="63"/>
      <c r="G4393" s="63"/>
      <c r="H4393" t="s">
        <v>26</v>
      </c>
      <c r="I4393" s="64"/>
      <c r="N4393" s="4"/>
      <c r="AM4393" s="1"/>
    </row>
    <row r="4394" spans="1:39" x14ac:dyDescent="0.35">
      <c r="A4394">
        <v>4390</v>
      </c>
      <c r="B4394">
        <v>4391</v>
      </c>
      <c r="F4394" s="63"/>
      <c r="G4394" s="63"/>
      <c r="H4394" t="s">
        <v>26</v>
      </c>
      <c r="I4394" s="64"/>
      <c r="N4394" s="4"/>
      <c r="AM4394" s="1"/>
    </row>
    <row r="4395" spans="1:39" x14ac:dyDescent="0.35">
      <c r="A4395">
        <v>4391</v>
      </c>
      <c r="B4395">
        <v>4392</v>
      </c>
      <c r="F4395" s="63"/>
      <c r="G4395" s="63"/>
      <c r="H4395" t="s">
        <v>26</v>
      </c>
      <c r="I4395" s="64"/>
      <c r="N4395" s="4"/>
      <c r="AM4395" s="1"/>
    </row>
    <row r="4396" spans="1:39" x14ac:dyDescent="0.35">
      <c r="A4396">
        <v>4392</v>
      </c>
      <c r="B4396">
        <v>4393</v>
      </c>
      <c r="F4396" s="63"/>
      <c r="G4396" s="63"/>
      <c r="H4396" t="s">
        <v>26</v>
      </c>
      <c r="I4396" s="64"/>
      <c r="N4396" s="4"/>
      <c r="AM4396" s="1"/>
    </row>
    <row r="4397" spans="1:39" x14ac:dyDescent="0.35">
      <c r="A4397">
        <v>4393</v>
      </c>
      <c r="B4397">
        <v>4394</v>
      </c>
      <c r="F4397" s="63"/>
      <c r="G4397" s="63"/>
      <c r="H4397" t="s">
        <v>26</v>
      </c>
      <c r="I4397" s="64"/>
      <c r="N4397" s="4"/>
      <c r="AM4397" s="1"/>
    </row>
    <row r="4398" spans="1:39" x14ac:dyDescent="0.35">
      <c r="A4398">
        <v>4394</v>
      </c>
      <c r="B4398">
        <v>4395</v>
      </c>
      <c r="F4398" s="63"/>
      <c r="G4398" s="63"/>
      <c r="H4398" t="s">
        <v>26</v>
      </c>
      <c r="I4398" s="64"/>
      <c r="N4398" s="4"/>
      <c r="AM4398" s="1"/>
    </row>
    <row r="4399" spans="1:39" x14ac:dyDescent="0.35">
      <c r="A4399">
        <v>4395</v>
      </c>
      <c r="B4399">
        <v>4396</v>
      </c>
      <c r="F4399" s="63"/>
      <c r="G4399" s="63"/>
      <c r="H4399" t="s">
        <v>26</v>
      </c>
      <c r="I4399" s="64"/>
      <c r="N4399" s="4"/>
      <c r="AM4399" s="1"/>
    </row>
    <row r="4400" spans="1:39" x14ac:dyDescent="0.35">
      <c r="A4400">
        <v>4396</v>
      </c>
      <c r="B4400">
        <v>4397</v>
      </c>
      <c r="F4400" s="63"/>
      <c r="G4400" s="63"/>
      <c r="H4400" t="s">
        <v>26</v>
      </c>
      <c r="I4400" s="64"/>
      <c r="N4400" s="4"/>
      <c r="AM4400" s="1"/>
    </row>
    <row r="4401" spans="1:39" x14ac:dyDescent="0.35">
      <c r="A4401">
        <v>4397</v>
      </c>
      <c r="B4401">
        <v>4398</v>
      </c>
      <c r="F4401" s="63"/>
      <c r="G4401" s="63"/>
      <c r="H4401" t="s">
        <v>26</v>
      </c>
      <c r="I4401" s="64"/>
      <c r="N4401" s="4"/>
      <c r="AM4401" s="1"/>
    </row>
    <row r="4402" spans="1:39" x14ac:dyDescent="0.35">
      <c r="A4402">
        <v>4398</v>
      </c>
      <c r="B4402">
        <v>4399</v>
      </c>
      <c r="F4402" s="63"/>
      <c r="G4402" s="63"/>
      <c r="H4402" t="s">
        <v>26</v>
      </c>
      <c r="I4402" s="64"/>
      <c r="N4402" s="4"/>
      <c r="AM4402" s="1"/>
    </row>
    <row r="4403" spans="1:39" x14ac:dyDescent="0.35">
      <c r="A4403">
        <v>4399</v>
      </c>
      <c r="B4403">
        <v>4400</v>
      </c>
      <c r="F4403" s="63"/>
      <c r="G4403" s="63"/>
      <c r="H4403" t="s">
        <v>26</v>
      </c>
      <c r="I4403" s="64"/>
      <c r="N4403" s="4"/>
      <c r="AM4403" s="1"/>
    </row>
    <row r="4404" spans="1:39" x14ac:dyDescent="0.35">
      <c r="A4404">
        <v>4400</v>
      </c>
      <c r="B4404">
        <v>4401</v>
      </c>
      <c r="F4404" s="63"/>
      <c r="G4404" s="63"/>
      <c r="H4404" t="s">
        <v>26</v>
      </c>
      <c r="I4404" s="64"/>
      <c r="N4404" s="4"/>
      <c r="AM4404" s="1"/>
    </row>
    <row r="4405" spans="1:39" x14ac:dyDescent="0.35">
      <c r="A4405">
        <v>4401</v>
      </c>
      <c r="B4405">
        <v>4402</v>
      </c>
      <c r="F4405" s="63"/>
      <c r="G4405" s="63"/>
      <c r="H4405" t="s">
        <v>26</v>
      </c>
      <c r="I4405" s="64"/>
      <c r="N4405" s="4"/>
      <c r="AM4405" s="1"/>
    </row>
    <row r="4406" spans="1:39" x14ac:dyDescent="0.35">
      <c r="A4406">
        <v>4402</v>
      </c>
      <c r="B4406">
        <v>4403</v>
      </c>
      <c r="F4406" s="63"/>
      <c r="G4406" s="63"/>
      <c r="H4406" t="s">
        <v>26</v>
      </c>
      <c r="I4406" s="64"/>
      <c r="N4406" s="4"/>
      <c r="AM4406" s="1"/>
    </row>
    <row r="4407" spans="1:39" x14ac:dyDescent="0.35">
      <c r="A4407">
        <v>4403</v>
      </c>
      <c r="B4407">
        <v>4404</v>
      </c>
      <c r="F4407" s="63"/>
      <c r="G4407" s="63"/>
      <c r="H4407" t="s">
        <v>26</v>
      </c>
      <c r="I4407" s="64"/>
      <c r="N4407" s="4"/>
      <c r="AM4407" s="1"/>
    </row>
    <row r="4408" spans="1:39" x14ac:dyDescent="0.35">
      <c r="A4408">
        <v>4404</v>
      </c>
      <c r="B4408">
        <v>4405</v>
      </c>
      <c r="F4408" s="63"/>
      <c r="G4408" s="63"/>
      <c r="H4408" t="s">
        <v>26</v>
      </c>
      <c r="I4408" s="64"/>
      <c r="N4408" s="4"/>
      <c r="AM4408" s="1">
        <f>HYPERLINK("E:\CAFNEC_GBRF\2023\JohnstoneRiver\Frames_for_Analysis\" &amp; F4409, F4409)</f>
        <v>0</v>
      </c>
    </row>
    <row r="4409" spans="1:39" x14ac:dyDescent="0.35">
      <c r="A4409">
        <v>4405</v>
      </c>
      <c r="B4409">
        <v>4406</v>
      </c>
      <c r="F4409" s="63"/>
      <c r="G4409" s="63"/>
      <c r="H4409" t="s">
        <v>26</v>
      </c>
      <c r="I4409" s="64"/>
      <c r="N4409" s="4"/>
      <c r="AM4409" s="1">
        <f>HYPERLINK("E:\CAFNEC_GBRF\2023\JohnstoneRiver\Frames_for_Analysis\" &amp; F4410, F4410)</f>
        <v>0</v>
      </c>
    </row>
    <row r="4410" spans="1:39" x14ac:dyDescent="0.35">
      <c r="A4410">
        <v>4406</v>
      </c>
      <c r="B4410">
        <v>4407</v>
      </c>
      <c r="F4410" s="63"/>
      <c r="G4410" s="63"/>
      <c r="H4410" t="s">
        <v>26</v>
      </c>
      <c r="I4410" s="64"/>
      <c r="N4410" s="4"/>
      <c r="AM4410" s="1">
        <f>HYPERLINK("E:\CAFNEC_GBRF\2023\JohnstoneRiver\Frames_for_Analysis\" &amp; F4411, F4411)</f>
        <v>0</v>
      </c>
    </row>
    <row r="4411" spans="1:39" x14ac:dyDescent="0.35">
      <c r="A4411">
        <v>4407</v>
      </c>
      <c r="B4411">
        <v>4408</v>
      </c>
      <c r="F4411" s="63"/>
      <c r="G4411" s="63"/>
      <c r="H4411" t="s">
        <v>26</v>
      </c>
      <c r="I4411" s="64"/>
      <c r="N4411" s="4"/>
      <c r="AM4411" s="1"/>
    </row>
    <row r="4412" spans="1:39" x14ac:dyDescent="0.35">
      <c r="A4412">
        <v>4408</v>
      </c>
      <c r="B4412">
        <v>4409</v>
      </c>
      <c r="F4412" s="63"/>
      <c r="G4412" s="63"/>
      <c r="H4412" t="s">
        <v>26</v>
      </c>
      <c r="I4412" s="64"/>
      <c r="N4412" s="4"/>
      <c r="AM4412" s="1">
        <f t="shared" ref="AM4412:AM4475" si="56">HYPERLINK("E:\CAFNEC_GBRF\2023\JohnstoneRiver\Frames_for_Analysis\" &amp; F4413, F4413)</f>
        <v>0</v>
      </c>
    </row>
    <row r="4413" spans="1:39" x14ac:dyDescent="0.35">
      <c r="A4413">
        <v>4409</v>
      </c>
      <c r="B4413">
        <v>4410</v>
      </c>
      <c r="F4413" s="63"/>
      <c r="G4413" s="63"/>
      <c r="H4413" t="s">
        <v>26</v>
      </c>
      <c r="I4413" s="64"/>
      <c r="N4413" s="4"/>
      <c r="AM4413" s="1">
        <f t="shared" si="56"/>
        <v>0</v>
      </c>
    </row>
    <row r="4414" spans="1:39" x14ac:dyDescent="0.35">
      <c r="A4414">
        <v>4410</v>
      </c>
      <c r="B4414">
        <v>4411</v>
      </c>
      <c r="F4414" s="63"/>
      <c r="G4414" s="63"/>
      <c r="H4414" t="s">
        <v>26</v>
      </c>
      <c r="I4414" s="64"/>
      <c r="N4414" s="4"/>
      <c r="AM4414" s="1">
        <f t="shared" si="56"/>
        <v>0</v>
      </c>
    </row>
    <row r="4415" spans="1:39" x14ac:dyDescent="0.35">
      <c r="A4415">
        <v>4411</v>
      </c>
      <c r="B4415">
        <v>4412</v>
      </c>
      <c r="F4415" s="63"/>
      <c r="G4415" s="63"/>
      <c r="H4415" t="s">
        <v>26</v>
      </c>
      <c r="I4415" s="64"/>
      <c r="N4415" s="4"/>
      <c r="AM4415" s="1">
        <f t="shared" si="56"/>
        <v>0</v>
      </c>
    </row>
    <row r="4416" spans="1:39" x14ac:dyDescent="0.35">
      <c r="A4416">
        <v>4412</v>
      </c>
      <c r="B4416">
        <v>4413</v>
      </c>
      <c r="F4416" s="63"/>
      <c r="G4416" s="63"/>
      <c r="H4416" t="s">
        <v>26</v>
      </c>
      <c r="I4416" s="64"/>
      <c r="N4416" s="4"/>
      <c r="AM4416" s="1">
        <f t="shared" si="56"/>
        <v>0</v>
      </c>
    </row>
    <row r="4417" spans="1:39" x14ac:dyDescent="0.35">
      <c r="A4417">
        <v>4413</v>
      </c>
      <c r="B4417">
        <v>4414</v>
      </c>
      <c r="F4417" s="63"/>
      <c r="G4417" s="63"/>
      <c r="H4417" t="s">
        <v>26</v>
      </c>
      <c r="I4417" s="64"/>
      <c r="N4417" s="4"/>
      <c r="AM4417" s="1">
        <f t="shared" si="56"/>
        <v>0</v>
      </c>
    </row>
    <row r="4418" spans="1:39" x14ac:dyDescent="0.35">
      <c r="A4418">
        <v>4414</v>
      </c>
      <c r="B4418">
        <v>4415</v>
      </c>
      <c r="F4418" s="63"/>
      <c r="G4418" s="63"/>
      <c r="H4418" t="s">
        <v>26</v>
      </c>
      <c r="I4418" s="64"/>
      <c r="N4418" s="4"/>
      <c r="AM4418" s="1">
        <f t="shared" si="56"/>
        <v>0</v>
      </c>
    </row>
    <row r="4419" spans="1:39" x14ac:dyDescent="0.35">
      <c r="A4419">
        <v>4415</v>
      </c>
      <c r="B4419">
        <v>4416</v>
      </c>
      <c r="F4419" s="63"/>
      <c r="G4419" s="63"/>
      <c r="H4419" t="s">
        <v>26</v>
      </c>
      <c r="I4419" s="64"/>
      <c r="N4419" s="4"/>
      <c r="AM4419" s="1">
        <f t="shared" si="56"/>
        <v>0</v>
      </c>
    </row>
    <row r="4420" spans="1:39" x14ac:dyDescent="0.35">
      <c r="A4420">
        <v>4416</v>
      </c>
      <c r="B4420">
        <v>4417</v>
      </c>
      <c r="F4420" s="63"/>
      <c r="G4420" s="63"/>
      <c r="H4420" t="s">
        <v>26</v>
      </c>
      <c r="I4420" s="64"/>
      <c r="N4420" s="4"/>
      <c r="AM4420" s="1">
        <f t="shared" si="56"/>
        <v>0</v>
      </c>
    </row>
    <row r="4421" spans="1:39" x14ac:dyDescent="0.35">
      <c r="A4421">
        <v>4417</v>
      </c>
      <c r="B4421">
        <v>4418</v>
      </c>
      <c r="F4421" s="63"/>
      <c r="G4421" s="63"/>
      <c r="H4421" t="s">
        <v>26</v>
      </c>
      <c r="I4421" s="64"/>
      <c r="N4421" s="4"/>
      <c r="AM4421" s="1">
        <f t="shared" si="56"/>
        <v>0</v>
      </c>
    </row>
    <row r="4422" spans="1:39" x14ac:dyDescent="0.35">
      <c r="A4422">
        <v>4418</v>
      </c>
      <c r="B4422">
        <v>4419</v>
      </c>
      <c r="F4422" s="63"/>
      <c r="G4422" s="63"/>
      <c r="H4422" t="s">
        <v>26</v>
      </c>
      <c r="I4422" s="64"/>
      <c r="N4422" s="4"/>
      <c r="AM4422" s="1">
        <f t="shared" si="56"/>
        <v>0</v>
      </c>
    </row>
    <row r="4423" spans="1:39" x14ac:dyDescent="0.35">
      <c r="A4423">
        <v>4419</v>
      </c>
      <c r="B4423">
        <v>4420</v>
      </c>
      <c r="F4423" s="63"/>
      <c r="G4423" s="63"/>
      <c r="H4423" t="s">
        <v>26</v>
      </c>
      <c r="I4423" s="64"/>
      <c r="N4423" s="4"/>
      <c r="AM4423" s="1">
        <f t="shared" si="56"/>
        <v>0</v>
      </c>
    </row>
    <row r="4424" spans="1:39" x14ac:dyDescent="0.35">
      <c r="A4424">
        <v>4420</v>
      </c>
      <c r="B4424">
        <v>4421</v>
      </c>
      <c r="F4424" s="63"/>
      <c r="G4424" s="63"/>
      <c r="H4424" t="s">
        <v>26</v>
      </c>
      <c r="I4424" s="64"/>
      <c r="N4424" s="4"/>
      <c r="AM4424" s="1">
        <f t="shared" si="56"/>
        <v>0</v>
      </c>
    </row>
    <row r="4425" spans="1:39" x14ac:dyDescent="0.35">
      <c r="A4425">
        <v>4421</v>
      </c>
      <c r="B4425">
        <v>4422</v>
      </c>
      <c r="F4425" s="63"/>
      <c r="G4425" s="63"/>
      <c r="H4425" t="s">
        <v>26</v>
      </c>
      <c r="I4425" s="64"/>
      <c r="N4425" s="4"/>
      <c r="AM4425" s="1">
        <f t="shared" si="56"/>
        <v>0</v>
      </c>
    </row>
    <row r="4426" spans="1:39" x14ac:dyDescent="0.35">
      <c r="A4426">
        <v>4422</v>
      </c>
      <c r="B4426">
        <v>4423</v>
      </c>
      <c r="F4426" s="63"/>
      <c r="G4426" s="63"/>
      <c r="H4426" t="s">
        <v>26</v>
      </c>
      <c r="I4426" s="64"/>
      <c r="N4426" s="4"/>
      <c r="AM4426" s="1">
        <f t="shared" si="56"/>
        <v>0</v>
      </c>
    </row>
    <row r="4427" spans="1:39" x14ac:dyDescent="0.35">
      <c r="A4427">
        <v>4423</v>
      </c>
      <c r="B4427">
        <v>4424</v>
      </c>
      <c r="F4427" s="63"/>
      <c r="G4427" s="63"/>
      <c r="H4427" t="s">
        <v>26</v>
      </c>
      <c r="I4427" s="64"/>
      <c r="N4427" s="4"/>
      <c r="AM4427" s="1">
        <f t="shared" si="56"/>
        <v>0</v>
      </c>
    </row>
    <row r="4428" spans="1:39" x14ac:dyDescent="0.35">
      <c r="A4428">
        <v>4424</v>
      </c>
      <c r="B4428">
        <v>4425</v>
      </c>
      <c r="F4428" s="63"/>
      <c r="G4428" s="63"/>
      <c r="H4428" t="s">
        <v>26</v>
      </c>
      <c r="I4428" s="64"/>
      <c r="N4428" s="4"/>
      <c r="AM4428" s="1">
        <f t="shared" si="56"/>
        <v>0</v>
      </c>
    </row>
    <row r="4429" spans="1:39" x14ac:dyDescent="0.35">
      <c r="A4429">
        <v>4425</v>
      </c>
      <c r="B4429">
        <v>4426</v>
      </c>
      <c r="F4429" s="63"/>
      <c r="G4429" s="63"/>
      <c r="H4429" t="s">
        <v>26</v>
      </c>
      <c r="I4429" s="64"/>
      <c r="N4429" s="4"/>
      <c r="AM4429" s="1">
        <f t="shared" si="56"/>
        <v>0</v>
      </c>
    </row>
    <row r="4430" spans="1:39" x14ac:dyDescent="0.35">
      <c r="A4430">
        <v>4426</v>
      </c>
      <c r="B4430">
        <v>4427</v>
      </c>
      <c r="F4430" s="63"/>
      <c r="G4430" s="63"/>
      <c r="H4430" t="s">
        <v>26</v>
      </c>
      <c r="I4430" s="64"/>
      <c r="N4430" s="4"/>
      <c r="AM4430" s="1">
        <f t="shared" si="56"/>
        <v>0</v>
      </c>
    </row>
    <row r="4431" spans="1:39" x14ac:dyDescent="0.35">
      <c r="A4431">
        <v>4427</v>
      </c>
      <c r="B4431">
        <v>4428</v>
      </c>
      <c r="F4431" s="63"/>
      <c r="G4431" s="63"/>
      <c r="H4431" t="s">
        <v>26</v>
      </c>
      <c r="I4431" s="64"/>
      <c r="N4431" s="4"/>
      <c r="AM4431" s="1">
        <f t="shared" si="56"/>
        <v>0</v>
      </c>
    </row>
    <row r="4432" spans="1:39" x14ac:dyDescent="0.35">
      <c r="A4432">
        <v>4428</v>
      </c>
      <c r="B4432">
        <v>4429</v>
      </c>
      <c r="F4432" s="63"/>
      <c r="G4432" s="63"/>
      <c r="H4432" t="s">
        <v>26</v>
      </c>
      <c r="I4432" s="64"/>
      <c r="N4432" s="4"/>
      <c r="AM4432" s="1">
        <f t="shared" si="56"/>
        <v>0</v>
      </c>
    </row>
    <row r="4433" spans="1:39" x14ac:dyDescent="0.35">
      <c r="A4433">
        <v>4429</v>
      </c>
      <c r="B4433">
        <v>4430</v>
      </c>
      <c r="F4433" s="63"/>
      <c r="G4433" s="63"/>
      <c r="H4433" t="s">
        <v>26</v>
      </c>
      <c r="I4433" s="64"/>
      <c r="N4433" s="4"/>
      <c r="AM4433" s="1">
        <f t="shared" si="56"/>
        <v>0</v>
      </c>
    </row>
    <row r="4434" spans="1:39" x14ac:dyDescent="0.35">
      <c r="A4434">
        <v>4430</v>
      </c>
      <c r="B4434">
        <v>4431</v>
      </c>
      <c r="F4434" s="63"/>
      <c r="G4434" s="63"/>
      <c r="H4434" t="s">
        <v>26</v>
      </c>
      <c r="I4434" s="64"/>
      <c r="N4434" s="4"/>
      <c r="AM4434" s="1">
        <f t="shared" si="56"/>
        <v>0</v>
      </c>
    </row>
    <row r="4435" spans="1:39" x14ac:dyDescent="0.35">
      <c r="A4435">
        <v>4431</v>
      </c>
      <c r="B4435">
        <v>4432</v>
      </c>
      <c r="F4435" s="63"/>
      <c r="G4435" s="63"/>
      <c r="H4435" t="s">
        <v>26</v>
      </c>
      <c r="I4435" s="64"/>
      <c r="N4435" s="4"/>
      <c r="AM4435" s="1">
        <f t="shared" si="56"/>
        <v>0</v>
      </c>
    </row>
    <row r="4436" spans="1:39" x14ac:dyDescent="0.35">
      <c r="A4436">
        <v>4432</v>
      </c>
      <c r="B4436">
        <v>4433</v>
      </c>
      <c r="F4436" s="63"/>
      <c r="G4436" s="63"/>
      <c r="H4436" t="s">
        <v>26</v>
      </c>
      <c r="I4436" s="64"/>
      <c r="N4436" s="4"/>
      <c r="AM4436" s="1">
        <f t="shared" si="56"/>
        <v>0</v>
      </c>
    </row>
    <row r="4437" spans="1:39" x14ac:dyDescent="0.35">
      <c r="A4437">
        <v>4433</v>
      </c>
      <c r="B4437">
        <v>4434</v>
      </c>
      <c r="F4437" s="63"/>
      <c r="G4437" s="63"/>
      <c r="H4437" t="s">
        <v>26</v>
      </c>
      <c r="I4437" s="64"/>
      <c r="N4437" s="4"/>
      <c r="AM4437" s="1">
        <f t="shared" si="56"/>
        <v>0</v>
      </c>
    </row>
    <row r="4438" spans="1:39" x14ac:dyDescent="0.35">
      <c r="A4438">
        <v>4434</v>
      </c>
      <c r="B4438">
        <v>4435</v>
      </c>
      <c r="F4438" s="63"/>
      <c r="G4438" s="63"/>
      <c r="H4438" t="s">
        <v>26</v>
      </c>
      <c r="I4438" s="64"/>
      <c r="N4438" s="4"/>
      <c r="AM4438" s="1">
        <f t="shared" si="56"/>
        <v>0</v>
      </c>
    </row>
    <row r="4439" spans="1:39" x14ac:dyDescent="0.35">
      <c r="A4439">
        <v>4435</v>
      </c>
      <c r="B4439">
        <v>4436</v>
      </c>
      <c r="F4439" s="63"/>
      <c r="G4439" s="63"/>
      <c r="H4439" t="s">
        <v>26</v>
      </c>
      <c r="I4439" s="64"/>
      <c r="N4439" s="4"/>
      <c r="AM4439" s="1">
        <f t="shared" si="56"/>
        <v>0</v>
      </c>
    </row>
    <row r="4440" spans="1:39" x14ac:dyDescent="0.35">
      <c r="A4440">
        <v>4436</v>
      </c>
      <c r="B4440">
        <v>4437</v>
      </c>
      <c r="F4440" s="63"/>
      <c r="G4440" s="63"/>
      <c r="H4440" t="s">
        <v>26</v>
      </c>
      <c r="I4440" s="64"/>
      <c r="N4440" s="4"/>
      <c r="AM4440" s="1">
        <f t="shared" si="56"/>
        <v>0</v>
      </c>
    </row>
    <row r="4441" spans="1:39" x14ac:dyDescent="0.35">
      <c r="A4441">
        <v>4437</v>
      </c>
      <c r="B4441">
        <v>4438</v>
      </c>
      <c r="F4441" s="63"/>
      <c r="G4441" s="63"/>
      <c r="H4441" t="s">
        <v>26</v>
      </c>
      <c r="I4441" s="64"/>
      <c r="N4441" s="4"/>
      <c r="AM4441" s="1">
        <f t="shared" si="56"/>
        <v>0</v>
      </c>
    </row>
    <row r="4442" spans="1:39" x14ac:dyDescent="0.35">
      <c r="A4442">
        <v>4438</v>
      </c>
      <c r="B4442">
        <v>4439</v>
      </c>
      <c r="F4442" s="63"/>
      <c r="G4442" s="63"/>
      <c r="H4442" t="s">
        <v>26</v>
      </c>
      <c r="I4442" s="64"/>
      <c r="N4442" s="4"/>
      <c r="AM4442" s="1">
        <f t="shared" si="56"/>
        <v>0</v>
      </c>
    </row>
    <row r="4443" spans="1:39" x14ac:dyDescent="0.35">
      <c r="A4443">
        <v>4439</v>
      </c>
      <c r="B4443">
        <v>4440</v>
      </c>
      <c r="F4443" s="63"/>
      <c r="G4443" s="63"/>
      <c r="H4443" t="s">
        <v>26</v>
      </c>
      <c r="I4443" s="64"/>
      <c r="N4443" s="4"/>
      <c r="AM4443" s="1">
        <f t="shared" si="56"/>
        <v>0</v>
      </c>
    </row>
    <row r="4444" spans="1:39" x14ac:dyDescent="0.35">
      <c r="A4444">
        <v>4440</v>
      </c>
      <c r="B4444">
        <v>4441</v>
      </c>
      <c r="F4444" s="63"/>
      <c r="G4444" s="63"/>
      <c r="H4444" t="s">
        <v>26</v>
      </c>
      <c r="I4444" s="64"/>
      <c r="N4444" s="4"/>
      <c r="AM4444" s="1">
        <f t="shared" si="56"/>
        <v>0</v>
      </c>
    </row>
    <row r="4445" spans="1:39" x14ac:dyDescent="0.35">
      <c r="A4445">
        <v>4441</v>
      </c>
      <c r="B4445">
        <v>4442</v>
      </c>
      <c r="F4445" s="63"/>
      <c r="G4445" s="63"/>
      <c r="H4445" t="s">
        <v>26</v>
      </c>
      <c r="I4445" s="64"/>
      <c r="N4445" s="4"/>
      <c r="AM4445" s="1">
        <f t="shared" si="56"/>
        <v>0</v>
      </c>
    </row>
    <row r="4446" spans="1:39" x14ac:dyDescent="0.35">
      <c r="A4446">
        <v>4442</v>
      </c>
      <c r="B4446">
        <v>4443</v>
      </c>
      <c r="F4446" s="63"/>
      <c r="G4446" s="63"/>
      <c r="H4446" t="s">
        <v>26</v>
      </c>
      <c r="I4446" s="64"/>
      <c r="N4446" s="4"/>
      <c r="AM4446" s="1">
        <f t="shared" si="56"/>
        <v>0</v>
      </c>
    </row>
    <row r="4447" spans="1:39" x14ac:dyDescent="0.35">
      <c r="A4447">
        <v>4443</v>
      </c>
      <c r="B4447">
        <v>4444</v>
      </c>
      <c r="F4447" s="63"/>
      <c r="G4447" s="63"/>
      <c r="H4447" t="s">
        <v>26</v>
      </c>
      <c r="I4447" s="64"/>
      <c r="N4447" s="4"/>
      <c r="AM4447" s="1">
        <f t="shared" si="56"/>
        <v>0</v>
      </c>
    </row>
    <row r="4448" spans="1:39" x14ac:dyDescent="0.35">
      <c r="A4448">
        <v>4444</v>
      </c>
      <c r="B4448">
        <v>4445</v>
      </c>
      <c r="F4448" s="63"/>
      <c r="G4448" s="63"/>
      <c r="H4448" t="s">
        <v>26</v>
      </c>
      <c r="I4448" s="64"/>
      <c r="N4448" s="4"/>
      <c r="AM4448" s="1">
        <f t="shared" si="56"/>
        <v>0</v>
      </c>
    </row>
    <row r="4449" spans="1:39" x14ac:dyDescent="0.35">
      <c r="A4449">
        <v>4445</v>
      </c>
      <c r="B4449">
        <v>4446</v>
      </c>
      <c r="F4449" s="63"/>
      <c r="G4449" s="63"/>
      <c r="H4449" t="s">
        <v>26</v>
      </c>
      <c r="I4449" s="64"/>
      <c r="N4449" s="4"/>
      <c r="AM4449" s="1">
        <f t="shared" si="56"/>
        <v>0</v>
      </c>
    </row>
    <row r="4450" spans="1:39" x14ac:dyDescent="0.35">
      <c r="A4450">
        <v>4446</v>
      </c>
      <c r="B4450">
        <v>4447</v>
      </c>
      <c r="F4450" s="63"/>
      <c r="G4450" s="63"/>
      <c r="H4450" t="s">
        <v>26</v>
      </c>
      <c r="I4450" s="64"/>
      <c r="N4450" s="4"/>
      <c r="AM4450" s="1">
        <f t="shared" si="56"/>
        <v>0</v>
      </c>
    </row>
    <row r="4451" spans="1:39" x14ac:dyDescent="0.35">
      <c r="A4451">
        <v>4447</v>
      </c>
      <c r="B4451">
        <v>4448</v>
      </c>
      <c r="F4451" s="63"/>
      <c r="G4451" s="63"/>
      <c r="H4451" t="s">
        <v>26</v>
      </c>
      <c r="I4451" s="64"/>
      <c r="N4451" s="4"/>
      <c r="AM4451" s="1">
        <f t="shared" si="56"/>
        <v>0</v>
      </c>
    </row>
    <row r="4452" spans="1:39" x14ac:dyDescent="0.35">
      <c r="A4452">
        <v>4448</v>
      </c>
      <c r="B4452">
        <v>4449</v>
      </c>
      <c r="F4452" s="63"/>
      <c r="G4452" s="63"/>
      <c r="H4452" t="s">
        <v>26</v>
      </c>
      <c r="I4452" s="64"/>
      <c r="N4452" s="4"/>
      <c r="AM4452" s="1">
        <f t="shared" si="56"/>
        <v>0</v>
      </c>
    </row>
    <row r="4453" spans="1:39" x14ac:dyDescent="0.35">
      <c r="A4453">
        <v>4449</v>
      </c>
      <c r="B4453">
        <v>4450</v>
      </c>
      <c r="F4453" s="63"/>
      <c r="G4453" s="63"/>
      <c r="H4453" t="s">
        <v>26</v>
      </c>
      <c r="I4453" s="64"/>
      <c r="N4453" s="4"/>
      <c r="AM4453" s="1">
        <f t="shared" si="56"/>
        <v>0</v>
      </c>
    </row>
    <row r="4454" spans="1:39" x14ac:dyDescent="0.35">
      <c r="A4454">
        <v>4450</v>
      </c>
      <c r="B4454">
        <v>4451</v>
      </c>
      <c r="F4454" s="63"/>
      <c r="G4454" s="63"/>
      <c r="H4454" t="s">
        <v>26</v>
      </c>
      <c r="I4454" s="64"/>
      <c r="N4454" s="4"/>
      <c r="AM4454" s="1">
        <f t="shared" si="56"/>
        <v>0</v>
      </c>
    </row>
    <row r="4455" spans="1:39" x14ac:dyDescent="0.35">
      <c r="A4455">
        <v>4451</v>
      </c>
      <c r="B4455">
        <v>4452</v>
      </c>
      <c r="F4455" s="63"/>
      <c r="G4455" s="63"/>
      <c r="H4455" t="s">
        <v>26</v>
      </c>
      <c r="I4455" s="64"/>
      <c r="N4455" s="4"/>
      <c r="AM4455" s="1">
        <f t="shared" si="56"/>
        <v>0</v>
      </c>
    </row>
    <row r="4456" spans="1:39" x14ac:dyDescent="0.35">
      <c r="A4456">
        <v>4452</v>
      </c>
      <c r="B4456">
        <v>4453</v>
      </c>
      <c r="F4456" s="63"/>
      <c r="G4456" s="63"/>
      <c r="H4456" t="s">
        <v>26</v>
      </c>
      <c r="I4456" s="64"/>
      <c r="N4456" s="4"/>
      <c r="AM4456" s="1">
        <f t="shared" si="56"/>
        <v>0</v>
      </c>
    </row>
    <row r="4457" spans="1:39" x14ac:dyDescent="0.35">
      <c r="A4457">
        <v>4453</v>
      </c>
      <c r="B4457">
        <v>4454</v>
      </c>
      <c r="F4457" s="63"/>
      <c r="G4457" s="63"/>
      <c r="H4457" t="s">
        <v>26</v>
      </c>
      <c r="I4457" s="64"/>
      <c r="N4457" s="4"/>
      <c r="AM4457" s="1">
        <f t="shared" si="56"/>
        <v>0</v>
      </c>
    </row>
    <row r="4458" spans="1:39" x14ac:dyDescent="0.35">
      <c r="A4458">
        <v>4454</v>
      </c>
      <c r="B4458">
        <v>4455</v>
      </c>
      <c r="F4458" s="63"/>
      <c r="G4458" s="63"/>
      <c r="H4458" t="s">
        <v>26</v>
      </c>
      <c r="I4458" s="64"/>
      <c r="N4458" s="4"/>
      <c r="AM4458" s="1">
        <f t="shared" si="56"/>
        <v>0</v>
      </c>
    </row>
    <row r="4459" spans="1:39" x14ac:dyDescent="0.35">
      <c r="A4459">
        <v>4455</v>
      </c>
      <c r="B4459">
        <v>4456</v>
      </c>
      <c r="F4459" s="63"/>
      <c r="G4459" s="63"/>
      <c r="H4459" t="s">
        <v>26</v>
      </c>
      <c r="I4459" s="64"/>
      <c r="N4459" s="4"/>
      <c r="AM4459" s="1">
        <f t="shared" si="56"/>
        <v>0</v>
      </c>
    </row>
    <row r="4460" spans="1:39" x14ac:dyDescent="0.35">
      <c r="A4460">
        <v>4456</v>
      </c>
      <c r="B4460">
        <v>4457</v>
      </c>
      <c r="F4460" s="63"/>
      <c r="G4460" s="63"/>
      <c r="H4460" t="s">
        <v>26</v>
      </c>
      <c r="I4460" s="64"/>
      <c r="N4460" s="4"/>
      <c r="AM4460" s="1">
        <f t="shared" si="56"/>
        <v>0</v>
      </c>
    </row>
    <row r="4461" spans="1:39" x14ac:dyDescent="0.35">
      <c r="A4461">
        <v>4457</v>
      </c>
      <c r="B4461">
        <v>4458</v>
      </c>
      <c r="F4461" s="63"/>
      <c r="G4461" s="63"/>
      <c r="H4461" t="s">
        <v>26</v>
      </c>
      <c r="I4461" s="64"/>
      <c r="N4461" s="4"/>
      <c r="AM4461" s="1">
        <f t="shared" si="56"/>
        <v>0</v>
      </c>
    </row>
    <row r="4462" spans="1:39" x14ac:dyDescent="0.35">
      <c r="A4462">
        <v>4458</v>
      </c>
      <c r="B4462">
        <v>4459</v>
      </c>
      <c r="F4462" s="63"/>
      <c r="G4462" s="63"/>
      <c r="H4462" t="s">
        <v>26</v>
      </c>
      <c r="I4462" s="64"/>
      <c r="N4462" s="4"/>
      <c r="AM4462" s="1">
        <f t="shared" si="56"/>
        <v>0</v>
      </c>
    </row>
    <row r="4463" spans="1:39" x14ac:dyDescent="0.35">
      <c r="A4463">
        <v>4459</v>
      </c>
      <c r="B4463">
        <v>4460</v>
      </c>
      <c r="F4463" s="63"/>
      <c r="G4463" s="63"/>
      <c r="H4463" t="s">
        <v>26</v>
      </c>
      <c r="I4463" s="64"/>
      <c r="N4463" s="4"/>
      <c r="AM4463" s="1">
        <f t="shared" si="56"/>
        <v>0</v>
      </c>
    </row>
    <row r="4464" spans="1:39" x14ac:dyDescent="0.35">
      <c r="A4464">
        <v>4460</v>
      </c>
      <c r="B4464">
        <v>4461</v>
      </c>
      <c r="F4464" s="63"/>
      <c r="G4464" s="63"/>
      <c r="H4464" t="s">
        <v>26</v>
      </c>
      <c r="I4464" s="64"/>
      <c r="N4464" s="4"/>
      <c r="AM4464" s="1">
        <f t="shared" si="56"/>
        <v>0</v>
      </c>
    </row>
    <row r="4465" spans="1:39" x14ac:dyDescent="0.35">
      <c r="A4465">
        <v>4461</v>
      </c>
      <c r="B4465">
        <v>4462</v>
      </c>
      <c r="F4465" s="63"/>
      <c r="G4465" s="63"/>
      <c r="H4465" t="s">
        <v>26</v>
      </c>
      <c r="I4465" s="64"/>
      <c r="N4465" s="4"/>
      <c r="AM4465" s="1">
        <f t="shared" si="56"/>
        <v>0</v>
      </c>
    </row>
    <row r="4466" spans="1:39" x14ac:dyDescent="0.35">
      <c r="A4466">
        <v>4462</v>
      </c>
      <c r="B4466">
        <v>4463</v>
      </c>
      <c r="F4466" s="63"/>
      <c r="G4466" s="63"/>
      <c r="H4466" t="s">
        <v>26</v>
      </c>
      <c r="I4466" s="64"/>
      <c r="N4466" s="4"/>
      <c r="AM4466" s="1">
        <f t="shared" si="56"/>
        <v>0</v>
      </c>
    </row>
    <row r="4467" spans="1:39" x14ac:dyDescent="0.35">
      <c r="A4467">
        <v>4463</v>
      </c>
      <c r="B4467">
        <v>4464</v>
      </c>
      <c r="F4467" s="63"/>
      <c r="G4467" s="63"/>
      <c r="H4467" t="s">
        <v>26</v>
      </c>
      <c r="I4467" s="64"/>
      <c r="N4467" s="4"/>
      <c r="AM4467" s="1">
        <f t="shared" si="56"/>
        <v>0</v>
      </c>
    </row>
    <row r="4468" spans="1:39" x14ac:dyDescent="0.35">
      <c r="A4468">
        <v>4464</v>
      </c>
      <c r="B4468">
        <v>4465</v>
      </c>
      <c r="F4468" s="63"/>
      <c r="G4468" s="63"/>
      <c r="H4468" t="s">
        <v>26</v>
      </c>
      <c r="I4468" s="64"/>
      <c r="N4468" s="4"/>
      <c r="AM4468" s="1">
        <f t="shared" si="56"/>
        <v>0</v>
      </c>
    </row>
    <row r="4469" spans="1:39" x14ac:dyDescent="0.35">
      <c r="A4469">
        <v>4465</v>
      </c>
      <c r="B4469">
        <v>4466</v>
      </c>
      <c r="F4469" s="63"/>
      <c r="G4469" s="63"/>
      <c r="H4469" t="s">
        <v>26</v>
      </c>
      <c r="I4469" s="64"/>
      <c r="N4469" s="4"/>
      <c r="AM4469" s="1">
        <f t="shared" si="56"/>
        <v>0</v>
      </c>
    </row>
    <row r="4470" spans="1:39" x14ac:dyDescent="0.35">
      <c r="A4470">
        <v>4466</v>
      </c>
      <c r="B4470">
        <v>4467</v>
      </c>
      <c r="F4470" s="63"/>
      <c r="G4470" s="63"/>
      <c r="H4470" t="s">
        <v>26</v>
      </c>
      <c r="I4470" s="64"/>
      <c r="N4470" s="4"/>
      <c r="AM4470" s="1">
        <f t="shared" si="56"/>
        <v>0</v>
      </c>
    </row>
    <row r="4471" spans="1:39" x14ac:dyDescent="0.35">
      <c r="A4471">
        <v>4467</v>
      </c>
      <c r="B4471">
        <v>4468</v>
      </c>
      <c r="F4471" s="63"/>
      <c r="G4471" s="63"/>
      <c r="H4471" t="s">
        <v>26</v>
      </c>
      <c r="I4471" s="64"/>
      <c r="N4471" s="4"/>
      <c r="AM4471" s="1">
        <f t="shared" si="56"/>
        <v>0</v>
      </c>
    </row>
    <row r="4472" spans="1:39" x14ac:dyDescent="0.35">
      <c r="A4472">
        <v>4468</v>
      </c>
      <c r="B4472">
        <v>4469</v>
      </c>
      <c r="F4472" s="63"/>
      <c r="G4472" s="63"/>
      <c r="H4472" t="s">
        <v>26</v>
      </c>
      <c r="I4472" s="64"/>
      <c r="N4472" s="4"/>
      <c r="AM4472" s="1">
        <f t="shared" si="56"/>
        <v>0</v>
      </c>
    </row>
    <row r="4473" spans="1:39" x14ac:dyDescent="0.35">
      <c r="A4473">
        <v>4469</v>
      </c>
      <c r="B4473">
        <v>4470</v>
      </c>
      <c r="F4473" s="63"/>
      <c r="G4473" s="63"/>
      <c r="H4473" t="s">
        <v>26</v>
      </c>
      <c r="I4473" s="64"/>
      <c r="N4473" s="4"/>
      <c r="AM4473" s="1">
        <f t="shared" si="56"/>
        <v>0</v>
      </c>
    </row>
    <row r="4474" spans="1:39" x14ac:dyDescent="0.35">
      <c r="A4474">
        <v>4470</v>
      </c>
      <c r="B4474">
        <v>4471</v>
      </c>
      <c r="F4474" s="63"/>
      <c r="G4474" s="63"/>
      <c r="H4474" t="s">
        <v>26</v>
      </c>
      <c r="I4474" s="64"/>
      <c r="N4474" s="4"/>
      <c r="AM4474" s="1">
        <f t="shared" si="56"/>
        <v>0</v>
      </c>
    </row>
    <row r="4475" spans="1:39" x14ac:dyDescent="0.35">
      <c r="A4475">
        <v>4471</v>
      </c>
      <c r="B4475">
        <v>4472</v>
      </c>
      <c r="F4475" s="63"/>
      <c r="G4475" s="63"/>
      <c r="H4475" t="s">
        <v>26</v>
      </c>
      <c r="I4475" s="64"/>
      <c r="N4475" s="4"/>
      <c r="AM4475" s="1">
        <f t="shared" si="56"/>
        <v>0</v>
      </c>
    </row>
    <row r="4476" spans="1:39" x14ac:dyDescent="0.35">
      <c r="A4476">
        <v>4472</v>
      </c>
      <c r="B4476">
        <v>4473</v>
      </c>
      <c r="F4476" s="63"/>
      <c r="G4476" s="63"/>
      <c r="H4476" t="s">
        <v>26</v>
      </c>
      <c r="I4476" s="64"/>
      <c r="N4476" s="4"/>
      <c r="AM4476" s="1">
        <f t="shared" ref="AM4476:AM4539" si="57">HYPERLINK("E:\CAFNEC_GBRF\2023\JohnstoneRiver\Frames_for_Analysis\" &amp; F4477, F4477)</f>
        <v>0</v>
      </c>
    </row>
    <row r="4477" spans="1:39" x14ac:dyDescent="0.35">
      <c r="A4477">
        <v>4473</v>
      </c>
      <c r="B4477">
        <v>4474</v>
      </c>
      <c r="F4477" s="63"/>
      <c r="G4477" s="63"/>
      <c r="H4477" t="s">
        <v>26</v>
      </c>
      <c r="I4477" s="64"/>
      <c r="N4477" s="4"/>
      <c r="AM4477" s="1">
        <f t="shared" si="57"/>
        <v>0</v>
      </c>
    </row>
    <row r="4478" spans="1:39" x14ac:dyDescent="0.35">
      <c r="A4478">
        <v>4474</v>
      </c>
      <c r="B4478">
        <v>4475</v>
      </c>
      <c r="F4478" s="63"/>
      <c r="G4478" s="63"/>
      <c r="H4478" t="s">
        <v>26</v>
      </c>
      <c r="I4478" s="64"/>
      <c r="N4478" s="4"/>
      <c r="AM4478" s="1">
        <f t="shared" si="57"/>
        <v>0</v>
      </c>
    </row>
    <row r="4479" spans="1:39" x14ac:dyDescent="0.35">
      <c r="A4479">
        <v>4475</v>
      </c>
      <c r="B4479">
        <v>4476</v>
      </c>
      <c r="F4479" s="63"/>
      <c r="G4479" s="63"/>
      <c r="H4479" t="s">
        <v>26</v>
      </c>
      <c r="I4479" s="64"/>
      <c r="N4479" s="4"/>
      <c r="AM4479" s="1">
        <f t="shared" si="57"/>
        <v>0</v>
      </c>
    </row>
    <row r="4480" spans="1:39" x14ac:dyDescent="0.35">
      <c r="A4480">
        <v>4476</v>
      </c>
      <c r="B4480">
        <v>4477</v>
      </c>
      <c r="F4480" s="63"/>
      <c r="G4480" s="63"/>
      <c r="H4480" t="s">
        <v>26</v>
      </c>
      <c r="I4480" s="64"/>
      <c r="N4480" s="4"/>
      <c r="AM4480" s="1">
        <f t="shared" si="57"/>
        <v>0</v>
      </c>
    </row>
    <row r="4481" spans="1:39" x14ac:dyDescent="0.35">
      <c r="A4481">
        <v>4477</v>
      </c>
      <c r="B4481">
        <v>4478</v>
      </c>
      <c r="F4481" s="63"/>
      <c r="G4481" s="63"/>
      <c r="H4481" t="s">
        <v>26</v>
      </c>
      <c r="I4481" s="64"/>
      <c r="N4481" s="4"/>
      <c r="AM4481" s="1">
        <f t="shared" si="57"/>
        <v>0</v>
      </c>
    </row>
    <row r="4482" spans="1:39" x14ac:dyDescent="0.35">
      <c r="A4482">
        <v>4478</v>
      </c>
      <c r="B4482">
        <v>4479</v>
      </c>
      <c r="F4482" s="63"/>
      <c r="G4482" s="63"/>
      <c r="H4482" t="s">
        <v>26</v>
      </c>
      <c r="I4482" s="64"/>
      <c r="N4482" s="4"/>
      <c r="AM4482" s="1">
        <f t="shared" si="57"/>
        <v>0</v>
      </c>
    </row>
    <row r="4483" spans="1:39" x14ac:dyDescent="0.35">
      <c r="A4483">
        <v>4479</v>
      </c>
      <c r="B4483">
        <v>4480</v>
      </c>
      <c r="F4483" s="63"/>
      <c r="G4483" s="63"/>
      <c r="H4483" t="s">
        <v>26</v>
      </c>
      <c r="I4483" s="64"/>
      <c r="N4483" s="4"/>
      <c r="AM4483" s="1">
        <f t="shared" si="57"/>
        <v>0</v>
      </c>
    </row>
    <row r="4484" spans="1:39" x14ac:dyDescent="0.35">
      <c r="A4484">
        <v>4480</v>
      </c>
      <c r="B4484">
        <v>4481</v>
      </c>
      <c r="F4484" s="63"/>
      <c r="G4484" s="63"/>
      <c r="H4484" t="s">
        <v>26</v>
      </c>
      <c r="I4484" s="64"/>
      <c r="N4484" s="4"/>
      <c r="AM4484" s="1">
        <f t="shared" si="57"/>
        <v>0</v>
      </c>
    </row>
    <row r="4485" spans="1:39" x14ac:dyDescent="0.35">
      <c r="A4485">
        <v>4481</v>
      </c>
      <c r="B4485">
        <v>4482</v>
      </c>
      <c r="F4485" s="63"/>
      <c r="G4485" s="63"/>
      <c r="H4485" t="s">
        <v>26</v>
      </c>
      <c r="I4485" s="64"/>
      <c r="N4485" s="4"/>
      <c r="AM4485" s="1">
        <f t="shared" si="57"/>
        <v>0</v>
      </c>
    </row>
    <row r="4486" spans="1:39" x14ac:dyDescent="0.35">
      <c r="A4486">
        <v>4482</v>
      </c>
      <c r="B4486">
        <v>4483</v>
      </c>
      <c r="F4486" s="63"/>
      <c r="G4486" s="63"/>
      <c r="H4486" t="s">
        <v>26</v>
      </c>
      <c r="I4486" s="64"/>
      <c r="N4486" s="4"/>
      <c r="AM4486" s="1">
        <f t="shared" si="57"/>
        <v>0</v>
      </c>
    </row>
    <row r="4487" spans="1:39" x14ac:dyDescent="0.35">
      <c r="A4487">
        <v>4483</v>
      </c>
      <c r="B4487">
        <v>4484</v>
      </c>
      <c r="F4487" s="63"/>
      <c r="G4487" s="63"/>
      <c r="H4487" t="s">
        <v>26</v>
      </c>
      <c r="I4487" s="64"/>
      <c r="N4487" s="4"/>
      <c r="AM4487" s="1">
        <f t="shared" si="57"/>
        <v>0</v>
      </c>
    </row>
    <row r="4488" spans="1:39" x14ac:dyDescent="0.35">
      <c r="A4488">
        <v>4484</v>
      </c>
      <c r="B4488">
        <v>4485</v>
      </c>
      <c r="F4488" s="63"/>
      <c r="G4488" s="63"/>
      <c r="H4488" t="s">
        <v>26</v>
      </c>
      <c r="I4488" s="64"/>
      <c r="N4488" s="4"/>
      <c r="AM4488" s="1">
        <f t="shared" si="57"/>
        <v>0</v>
      </c>
    </row>
    <row r="4489" spans="1:39" x14ac:dyDescent="0.35">
      <c r="A4489">
        <v>4485</v>
      </c>
      <c r="B4489">
        <v>4486</v>
      </c>
      <c r="F4489" s="63"/>
      <c r="G4489" s="63"/>
      <c r="H4489" t="s">
        <v>26</v>
      </c>
      <c r="I4489" s="64"/>
      <c r="N4489" s="4"/>
      <c r="AM4489" s="1">
        <f t="shared" si="57"/>
        <v>0</v>
      </c>
    </row>
    <row r="4490" spans="1:39" x14ac:dyDescent="0.35">
      <c r="A4490">
        <v>4486</v>
      </c>
      <c r="B4490">
        <v>4487</v>
      </c>
      <c r="F4490" s="63"/>
      <c r="G4490" s="63"/>
      <c r="H4490" t="s">
        <v>26</v>
      </c>
      <c r="I4490" s="64"/>
      <c r="N4490" s="4"/>
      <c r="AM4490" s="1">
        <f t="shared" si="57"/>
        <v>0</v>
      </c>
    </row>
    <row r="4491" spans="1:39" x14ac:dyDescent="0.35">
      <c r="A4491">
        <v>4487</v>
      </c>
      <c r="B4491">
        <v>4488</v>
      </c>
      <c r="F4491" s="63"/>
      <c r="G4491" s="63"/>
      <c r="H4491" t="s">
        <v>26</v>
      </c>
      <c r="I4491" s="64"/>
      <c r="N4491" s="4"/>
      <c r="AM4491" s="1">
        <f t="shared" si="57"/>
        <v>0</v>
      </c>
    </row>
    <row r="4492" spans="1:39" x14ac:dyDescent="0.35">
      <c r="A4492">
        <v>4488</v>
      </c>
      <c r="B4492">
        <v>4489</v>
      </c>
      <c r="F4492" s="63"/>
      <c r="G4492" s="63"/>
      <c r="H4492" t="s">
        <v>26</v>
      </c>
      <c r="I4492" s="64"/>
      <c r="N4492" s="4"/>
      <c r="AM4492" s="1">
        <f t="shared" si="57"/>
        <v>0</v>
      </c>
    </row>
    <row r="4493" spans="1:39" x14ac:dyDescent="0.35">
      <c r="A4493">
        <v>4489</v>
      </c>
      <c r="B4493">
        <v>4490</v>
      </c>
      <c r="F4493" s="63"/>
      <c r="G4493" s="63"/>
      <c r="H4493" t="s">
        <v>26</v>
      </c>
      <c r="I4493" s="64"/>
      <c r="N4493" s="4"/>
      <c r="AM4493" s="1">
        <f t="shared" si="57"/>
        <v>0</v>
      </c>
    </row>
    <row r="4494" spans="1:39" x14ac:dyDescent="0.35">
      <c r="A4494">
        <v>4490</v>
      </c>
      <c r="B4494">
        <v>4491</v>
      </c>
      <c r="F4494" s="63"/>
      <c r="G4494" s="63"/>
      <c r="H4494" t="s">
        <v>26</v>
      </c>
      <c r="I4494" s="64"/>
      <c r="N4494" s="4"/>
      <c r="AM4494" s="1">
        <f t="shared" si="57"/>
        <v>0</v>
      </c>
    </row>
    <row r="4495" spans="1:39" x14ac:dyDescent="0.35">
      <c r="A4495">
        <v>4491</v>
      </c>
      <c r="B4495">
        <v>4492</v>
      </c>
      <c r="F4495" s="63"/>
      <c r="G4495" s="63"/>
      <c r="H4495" t="s">
        <v>26</v>
      </c>
      <c r="I4495" s="64"/>
      <c r="N4495" s="4"/>
      <c r="AM4495" s="1">
        <f t="shared" si="57"/>
        <v>0</v>
      </c>
    </row>
    <row r="4496" spans="1:39" x14ac:dyDescent="0.35">
      <c r="A4496">
        <v>4492</v>
      </c>
      <c r="B4496">
        <v>4493</v>
      </c>
      <c r="F4496" s="63"/>
      <c r="G4496" s="63"/>
      <c r="H4496" t="s">
        <v>26</v>
      </c>
      <c r="I4496" s="64"/>
      <c r="N4496" s="4"/>
      <c r="AM4496" s="1">
        <f t="shared" si="57"/>
        <v>0</v>
      </c>
    </row>
    <row r="4497" spans="1:39" x14ac:dyDescent="0.35">
      <c r="A4497">
        <v>4493</v>
      </c>
      <c r="B4497">
        <v>4494</v>
      </c>
      <c r="F4497" s="63"/>
      <c r="G4497" s="63"/>
      <c r="H4497" t="s">
        <v>26</v>
      </c>
      <c r="I4497" s="64"/>
      <c r="N4497" s="4"/>
      <c r="AM4497" s="1">
        <f t="shared" si="57"/>
        <v>0</v>
      </c>
    </row>
    <row r="4498" spans="1:39" x14ac:dyDescent="0.35">
      <c r="A4498">
        <v>4494</v>
      </c>
      <c r="B4498">
        <v>4495</v>
      </c>
      <c r="F4498" s="63"/>
      <c r="G4498" s="63"/>
      <c r="H4498" t="s">
        <v>26</v>
      </c>
      <c r="I4498" s="64"/>
      <c r="N4498" s="4"/>
      <c r="AM4498" s="1">
        <f t="shared" si="57"/>
        <v>0</v>
      </c>
    </row>
    <row r="4499" spans="1:39" x14ac:dyDescent="0.35">
      <c r="A4499">
        <v>4495</v>
      </c>
      <c r="B4499">
        <v>4496</v>
      </c>
      <c r="F4499" s="63"/>
      <c r="G4499" s="63"/>
      <c r="H4499" t="s">
        <v>26</v>
      </c>
      <c r="I4499" s="64"/>
      <c r="N4499" s="4"/>
      <c r="AM4499" s="1">
        <f t="shared" si="57"/>
        <v>0</v>
      </c>
    </row>
    <row r="4500" spans="1:39" x14ac:dyDescent="0.35">
      <c r="A4500">
        <v>4496</v>
      </c>
      <c r="B4500">
        <v>4497</v>
      </c>
      <c r="F4500" s="63"/>
      <c r="G4500" s="63"/>
      <c r="H4500" t="s">
        <v>26</v>
      </c>
      <c r="I4500" s="64"/>
      <c r="N4500" s="4"/>
      <c r="AM4500" s="1">
        <f t="shared" si="57"/>
        <v>0</v>
      </c>
    </row>
    <row r="4501" spans="1:39" x14ac:dyDescent="0.35">
      <c r="A4501">
        <v>4497</v>
      </c>
      <c r="B4501">
        <v>4498</v>
      </c>
      <c r="F4501" s="63"/>
      <c r="G4501" s="63"/>
      <c r="H4501" t="s">
        <v>26</v>
      </c>
      <c r="I4501" s="64"/>
      <c r="N4501" s="4"/>
      <c r="AM4501" s="1">
        <f t="shared" si="57"/>
        <v>0</v>
      </c>
    </row>
    <row r="4502" spans="1:39" x14ac:dyDescent="0.35">
      <c r="A4502">
        <v>4498</v>
      </c>
      <c r="B4502">
        <v>4499</v>
      </c>
      <c r="F4502" s="63"/>
      <c r="G4502" s="63"/>
      <c r="H4502" t="s">
        <v>26</v>
      </c>
      <c r="I4502" s="64"/>
      <c r="N4502" s="4"/>
      <c r="AM4502" s="1">
        <f t="shared" si="57"/>
        <v>0</v>
      </c>
    </row>
    <row r="4503" spans="1:39" x14ac:dyDescent="0.35">
      <c r="A4503">
        <v>4499</v>
      </c>
      <c r="B4503">
        <v>4500</v>
      </c>
      <c r="F4503" s="63"/>
      <c r="G4503" s="63"/>
      <c r="H4503" t="s">
        <v>26</v>
      </c>
      <c r="I4503" s="64"/>
      <c r="N4503" s="4"/>
      <c r="AM4503" s="1">
        <f t="shared" si="57"/>
        <v>0</v>
      </c>
    </row>
    <row r="4504" spans="1:39" x14ac:dyDescent="0.35">
      <c r="A4504">
        <v>4500</v>
      </c>
      <c r="B4504">
        <v>4501</v>
      </c>
      <c r="F4504" s="63"/>
      <c r="G4504" s="63"/>
      <c r="H4504" t="s">
        <v>26</v>
      </c>
      <c r="I4504" s="64"/>
      <c r="N4504" s="4"/>
      <c r="AM4504" s="1">
        <f t="shared" si="57"/>
        <v>0</v>
      </c>
    </row>
    <row r="4505" spans="1:39" x14ac:dyDescent="0.35">
      <c r="A4505">
        <v>4501</v>
      </c>
      <c r="B4505">
        <v>4502</v>
      </c>
      <c r="F4505" s="63"/>
      <c r="G4505" s="63"/>
      <c r="H4505" t="s">
        <v>26</v>
      </c>
      <c r="I4505" s="64"/>
      <c r="N4505" s="4"/>
      <c r="AM4505" s="1">
        <f t="shared" si="57"/>
        <v>0</v>
      </c>
    </row>
    <row r="4506" spans="1:39" x14ac:dyDescent="0.35">
      <c r="A4506">
        <v>4502</v>
      </c>
      <c r="B4506">
        <v>4503</v>
      </c>
      <c r="F4506" s="63"/>
      <c r="G4506" s="63"/>
      <c r="H4506" t="s">
        <v>26</v>
      </c>
      <c r="I4506" s="64"/>
      <c r="N4506" s="4"/>
      <c r="AM4506" s="1">
        <f t="shared" si="57"/>
        <v>0</v>
      </c>
    </row>
    <row r="4507" spans="1:39" x14ac:dyDescent="0.35">
      <c r="A4507">
        <v>4503</v>
      </c>
      <c r="B4507">
        <v>4504</v>
      </c>
      <c r="F4507" s="63"/>
      <c r="G4507" s="63"/>
      <c r="H4507" t="s">
        <v>26</v>
      </c>
      <c r="I4507" s="64"/>
      <c r="N4507" s="4"/>
      <c r="AM4507" s="1">
        <f t="shared" si="57"/>
        <v>0</v>
      </c>
    </row>
    <row r="4508" spans="1:39" x14ac:dyDescent="0.35">
      <c r="A4508">
        <v>4504</v>
      </c>
      <c r="B4508">
        <v>4505</v>
      </c>
      <c r="F4508" s="63"/>
      <c r="G4508" s="63"/>
      <c r="H4508" t="s">
        <v>26</v>
      </c>
      <c r="I4508" s="64"/>
      <c r="N4508" s="4"/>
      <c r="AM4508" s="1">
        <f t="shared" si="57"/>
        <v>0</v>
      </c>
    </row>
    <row r="4509" spans="1:39" x14ac:dyDescent="0.35">
      <c r="A4509">
        <v>4505</v>
      </c>
      <c r="B4509">
        <v>4506</v>
      </c>
      <c r="F4509" s="63"/>
      <c r="G4509" s="63"/>
      <c r="H4509" t="s">
        <v>26</v>
      </c>
      <c r="I4509" s="64"/>
      <c r="N4509" s="4"/>
      <c r="AM4509" s="1">
        <f t="shared" si="57"/>
        <v>0</v>
      </c>
    </row>
    <row r="4510" spans="1:39" x14ac:dyDescent="0.35">
      <c r="A4510">
        <v>4506</v>
      </c>
      <c r="B4510">
        <v>4507</v>
      </c>
      <c r="F4510" s="63"/>
      <c r="G4510" s="63"/>
      <c r="H4510" t="s">
        <v>26</v>
      </c>
      <c r="I4510" s="64"/>
      <c r="N4510" s="4"/>
      <c r="AM4510" s="1">
        <f t="shared" si="57"/>
        <v>0</v>
      </c>
    </row>
    <row r="4511" spans="1:39" x14ac:dyDescent="0.35">
      <c r="A4511">
        <v>4507</v>
      </c>
      <c r="B4511">
        <v>4508</v>
      </c>
      <c r="F4511" s="63"/>
      <c r="G4511" s="63"/>
      <c r="H4511" t="s">
        <v>26</v>
      </c>
      <c r="I4511" s="64"/>
      <c r="N4511" s="4"/>
      <c r="AM4511" s="1">
        <f t="shared" si="57"/>
        <v>0</v>
      </c>
    </row>
    <row r="4512" spans="1:39" x14ac:dyDescent="0.35">
      <c r="A4512">
        <v>4508</v>
      </c>
      <c r="B4512">
        <v>4509</v>
      </c>
      <c r="F4512" s="63"/>
      <c r="G4512" s="63"/>
      <c r="H4512" t="s">
        <v>26</v>
      </c>
      <c r="I4512" s="64"/>
      <c r="N4512" s="4"/>
      <c r="AM4512" s="1">
        <f t="shared" si="57"/>
        <v>0</v>
      </c>
    </row>
    <row r="4513" spans="1:39" x14ac:dyDescent="0.35">
      <c r="A4513">
        <v>4509</v>
      </c>
      <c r="B4513">
        <v>4510</v>
      </c>
      <c r="F4513" s="63"/>
      <c r="G4513" s="63"/>
      <c r="H4513" t="s">
        <v>26</v>
      </c>
      <c r="I4513" s="64"/>
      <c r="N4513" s="4"/>
      <c r="AM4513" s="1">
        <f t="shared" si="57"/>
        <v>0</v>
      </c>
    </row>
    <row r="4514" spans="1:39" x14ac:dyDescent="0.35">
      <c r="A4514">
        <v>4510</v>
      </c>
      <c r="B4514">
        <v>4511</v>
      </c>
      <c r="F4514" s="63"/>
      <c r="G4514" s="63"/>
      <c r="H4514" t="s">
        <v>26</v>
      </c>
      <c r="I4514" s="64"/>
      <c r="N4514" s="4"/>
      <c r="AM4514" s="1">
        <f t="shared" si="57"/>
        <v>0</v>
      </c>
    </row>
    <row r="4515" spans="1:39" x14ac:dyDescent="0.35">
      <c r="A4515">
        <v>4511</v>
      </c>
      <c r="B4515">
        <v>4512</v>
      </c>
      <c r="F4515" s="63"/>
      <c r="G4515" s="63"/>
      <c r="H4515" t="s">
        <v>26</v>
      </c>
      <c r="I4515" s="64"/>
      <c r="N4515" s="4"/>
      <c r="AM4515" s="1">
        <f t="shared" si="57"/>
        <v>0</v>
      </c>
    </row>
    <row r="4516" spans="1:39" x14ac:dyDescent="0.35">
      <c r="A4516">
        <v>4512</v>
      </c>
      <c r="B4516">
        <v>4513</v>
      </c>
      <c r="F4516" s="63"/>
      <c r="G4516" s="63"/>
      <c r="H4516" t="s">
        <v>26</v>
      </c>
      <c r="I4516" s="64"/>
      <c r="N4516" s="4"/>
      <c r="AM4516" s="1">
        <f t="shared" si="57"/>
        <v>0</v>
      </c>
    </row>
    <row r="4517" spans="1:39" x14ac:dyDescent="0.35">
      <c r="A4517">
        <v>4513</v>
      </c>
      <c r="B4517">
        <v>4514</v>
      </c>
      <c r="F4517" s="63"/>
      <c r="G4517" s="63"/>
      <c r="H4517" t="s">
        <v>26</v>
      </c>
      <c r="I4517" s="64"/>
      <c r="N4517" s="4"/>
      <c r="AM4517" s="1">
        <f t="shared" si="57"/>
        <v>0</v>
      </c>
    </row>
    <row r="4518" spans="1:39" x14ac:dyDescent="0.35">
      <c r="A4518">
        <v>4514</v>
      </c>
      <c r="B4518">
        <v>4515</v>
      </c>
      <c r="F4518" s="63"/>
      <c r="G4518" s="63"/>
      <c r="H4518" t="s">
        <v>26</v>
      </c>
      <c r="I4518" s="64"/>
      <c r="N4518" s="4"/>
      <c r="AM4518" s="1">
        <f t="shared" si="57"/>
        <v>0</v>
      </c>
    </row>
    <row r="4519" spans="1:39" x14ac:dyDescent="0.35">
      <c r="A4519">
        <v>4515</v>
      </c>
      <c r="B4519">
        <v>4516</v>
      </c>
      <c r="F4519" s="63"/>
      <c r="G4519" s="63"/>
      <c r="H4519" t="s">
        <v>26</v>
      </c>
      <c r="I4519" s="64"/>
      <c r="N4519" s="4"/>
      <c r="AM4519" s="1">
        <f t="shared" si="57"/>
        <v>0</v>
      </c>
    </row>
    <row r="4520" spans="1:39" x14ac:dyDescent="0.35">
      <c r="A4520">
        <v>4516</v>
      </c>
      <c r="B4520">
        <v>4517</v>
      </c>
      <c r="F4520" s="63"/>
      <c r="G4520" s="63"/>
      <c r="H4520" t="s">
        <v>26</v>
      </c>
      <c r="I4520" s="64"/>
      <c r="N4520" s="4"/>
      <c r="AM4520" s="1">
        <f t="shared" si="57"/>
        <v>0</v>
      </c>
    </row>
    <row r="4521" spans="1:39" x14ac:dyDescent="0.35">
      <c r="A4521">
        <v>4517</v>
      </c>
      <c r="B4521">
        <v>4518</v>
      </c>
      <c r="F4521" s="63"/>
      <c r="G4521" s="63"/>
      <c r="H4521" t="s">
        <v>26</v>
      </c>
      <c r="I4521" s="64"/>
      <c r="N4521" s="4"/>
      <c r="AM4521" s="1">
        <f t="shared" si="57"/>
        <v>0</v>
      </c>
    </row>
    <row r="4522" spans="1:39" x14ac:dyDescent="0.35">
      <c r="A4522">
        <v>4518</v>
      </c>
      <c r="B4522">
        <v>4519</v>
      </c>
      <c r="F4522" s="63"/>
      <c r="G4522" s="63"/>
      <c r="H4522" t="s">
        <v>26</v>
      </c>
      <c r="I4522" s="64"/>
      <c r="N4522" s="4"/>
      <c r="AM4522" s="1">
        <f t="shared" si="57"/>
        <v>0</v>
      </c>
    </row>
    <row r="4523" spans="1:39" x14ac:dyDescent="0.35">
      <c r="A4523">
        <v>4519</v>
      </c>
      <c r="B4523">
        <v>4520</v>
      </c>
      <c r="F4523" s="63"/>
      <c r="G4523" s="63"/>
      <c r="H4523" t="s">
        <v>26</v>
      </c>
      <c r="I4523" s="64"/>
      <c r="N4523" s="4"/>
      <c r="AM4523" s="1">
        <f t="shared" si="57"/>
        <v>0</v>
      </c>
    </row>
    <row r="4524" spans="1:39" x14ac:dyDescent="0.35">
      <c r="A4524">
        <v>4520</v>
      </c>
      <c r="B4524">
        <v>4521</v>
      </c>
      <c r="F4524" s="63"/>
      <c r="G4524" s="63"/>
      <c r="H4524" t="s">
        <v>26</v>
      </c>
      <c r="I4524" s="64"/>
      <c r="N4524" s="4"/>
      <c r="AM4524" s="1">
        <f t="shared" si="57"/>
        <v>0</v>
      </c>
    </row>
    <row r="4525" spans="1:39" x14ac:dyDescent="0.35">
      <c r="A4525">
        <v>4521</v>
      </c>
      <c r="B4525">
        <v>4522</v>
      </c>
      <c r="F4525" s="63"/>
      <c r="G4525" s="63"/>
      <c r="H4525" t="s">
        <v>26</v>
      </c>
      <c r="I4525" s="64"/>
      <c r="N4525" s="4"/>
      <c r="AM4525" s="1">
        <f t="shared" si="57"/>
        <v>0</v>
      </c>
    </row>
    <row r="4526" spans="1:39" x14ac:dyDescent="0.35">
      <c r="A4526">
        <v>4522</v>
      </c>
      <c r="B4526">
        <v>4523</v>
      </c>
      <c r="F4526" s="63"/>
      <c r="G4526" s="63"/>
      <c r="H4526" t="s">
        <v>26</v>
      </c>
      <c r="I4526" s="64"/>
      <c r="N4526" s="4"/>
      <c r="AM4526" s="1">
        <f t="shared" si="57"/>
        <v>0</v>
      </c>
    </row>
    <row r="4527" spans="1:39" x14ac:dyDescent="0.35">
      <c r="A4527">
        <v>4523</v>
      </c>
      <c r="B4527">
        <v>4524</v>
      </c>
      <c r="F4527" s="63"/>
      <c r="G4527" s="63"/>
      <c r="H4527" t="s">
        <v>26</v>
      </c>
      <c r="I4527" s="64"/>
      <c r="N4527" s="4"/>
      <c r="AM4527" s="1">
        <f t="shared" si="57"/>
        <v>0</v>
      </c>
    </row>
    <row r="4528" spans="1:39" x14ac:dyDescent="0.35">
      <c r="A4528">
        <v>4524</v>
      </c>
      <c r="B4528">
        <v>4525</v>
      </c>
      <c r="F4528" s="63"/>
      <c r="G4528" s="63"/>
      <c r="H4528" t="s">
        <v>26</v>
      </c>
      <c r="I4528" s="64"/>
      <c r="N4528" s="4"/>
      <c r="AM4528" s="1">
        <f t="shared" si="57"/>
        <v>0</v>
      </c>
    </row>
    <row r="4529" spans="1:39" x14ac:dyDescent="0.35">
      <c r="A4529">
        <v>4525</v>
      </c>
      <c r="B4529">
        <v>4526</v>
      </c>
      <c r="F4529" s="63"/>
      <c r="G4529" s="63"/>
      <c r="H4529" t="s">
        <v>26</v>
      </c>
      <c r="I4529" s="64"/>
      <c r="N4529" s="4"/>
      <c r="AM4529" s="1">
        <f t="shared" si="57"/>
        <v>0</v>
      </c>
    </row>
    <row r="4530" spans="1:39" x14ac:dyDescent="0.35">
      <c r="A4530">
        <v>4526</v>
      </c>
      <c r="B4530">
        <v>4527</v>
      </c>
      <c r="F4530" s="63"/>
      <c r="G4530" s="63"/>
      <c r="H4530" t="s">
        <v>26</v>
      </c>
      <c r="I4530" s="64"/>
      <c r="N4530" s="4"/>
      <c r="AM4530" s="1">
        <f t="shared" si="57"/>
        <v>0</v>
      </c>
    </row>
    <row r="4531" spans="1:39" x14ac:dyDescent="0.35">
      <c r="A4531">
        <v>4527</v>
      </c>
      <c r="B4531">
        <v>4528</v>
      </c>
      <c r="F4531" s="63"/>
      <c r="G4531" s="63"/>
      <c r="H4531" t="s">
        <v>26</v>
      </c>
      <c r="I4531" s="64"/>
      <c r="N4531" s="4"/>
      <c r="AM4531" s="1">
        <f t="shared" si="57"/>
        <v>0</v>
      </c>
    </row>
    <row r="4532" spans="1:39" x14ac:dyDescent="0.35">
      <c r="A4532">
        <v>4528</v>
      </c>
      <c r="B4532">
        <v>4529</v>
      </c>
      <c r="F4532" s="63"/>
      <c r="G4532" s="63"/>
      <c r="H4532" t="s">
        <v>26</v>
      </c>
      <c r="I4532" s="64"/>
      <c r="N4532" s="4"/>
      <c r="AM4532" s="1">
        <f t="shared" si="57"/>
        <v>0</v>
      </c>
    </row>
    <row r="4533" spans="1:39" x14ac:dyDescent="0.35">
      <c r="A4533">
        <v>4529</v>
      </c>
      <c r="B4533">
        <v>4530</v>
      </c>
      <c r="F4533" s="63"/>
      <c r="G4533" s="63"/>
      <c r="H4533" t="s">
        <v>26</v>
      </c>
      <c r="I4533" s="64"/>
      <c r="N4533" s="4"/>
      <c r="AM4533" s="1">
        <f t="shared" si="57"/>
        <v>0</v>
      </c>
    </row>
    <row r="4534" spans="1:39" x14ac:dyDescent="0.35">
      <c r="A4534">
        <v>4530</v>
      </c>
      <c r="B4534">
        <v>4531</v>
      </c>
      <c r="F4534" s="63"/>
      <c r="G4534" s="63"/>
      <c r="H4534" t="s">
        <v>26</v>
      </c>
      <c r="I4534" s="64"/>
      <c r="N4534" s="4"/>
      <c r="AM4534" s="1">
        <f t="shared" si="57"/>
        <v>0</v>
      </c>
    </row>
    <row r="4535" spans="1:39" x14ac:dyDescent="0.35">
      <c r="A4535">
        <v>4531</v>
      </c>
      <c r="B4535">
        <v>4532</v>
      </c>
      <c r="F4535" s="63"/>
      <c r="G4535" s="63"/>
      <c r="H4535" t="s">
        <v>26</v>
      </c>
      <c r="I4535" s="64"/>
      <c r="N4535" s="4"/>
      <c r="AM4535" s="1">
        <f t="shared" si="57"/>
        <v>0</v>
      </c>
    </row>
    <row r="4536" spans="1:39" x14ac:dyDescent="0.35">
      <c r="A4536">
        <v>4532</v>
      </c>
      <c r="B4536">
        <v>4533</v>
      </c>
      <c r="F4536" s="63"/>
      <c r="G4536" s="63"/>
      <c r="H4536" t="s">
        <v>26</v>
      </c>
      <c r="I4536" s="64"/>
      <c r="N4536" s="4"/>
      <c r="AM4536" s="1">
        <f t="shared" si="57"/>
        <v>0</v>
      </c>
    </row>
    <row r="4537" spans="1:39" x14ac:dyDescent="0.35">
      <c r="A4537">
        <v>4533</v>
      </c>
      <c r="B4537">
        <v>4534</v>
      </c>
      <c r="F4537" s="63"/>
      <c r="G4537" s="63"/>
      <c r="H4537" t="s">
        <v>26</v>
      </c>
      <c r="I4537" s="64"/>
      <c r="N4537" s="4"/>
      <c r="AM4537" s="1">
        <f t="shared" si="57"/>
        <v>0</v>
      </c>
    </row>
    <row r="4538" spans="1:39" x14ac:dyDescent="0.35">
      <c r="A4538">
        <v>4534</v>
      </c>
      <c r="B4538">
        <v>4535</v>
      </c>
      <c r="F4538" s="63"/>
      <c r="G4538" s="63"/>
      <c r="H4538" t="s">
        <v>26</v>
      </c>
      <c r="I4538" s="64"/>
      <c r="N4538" s="4"/>
      <c r="AM4538" s="1">
        <f t="shared" si="57"/>
        <v>0</v>
      </c>
    </row>
    <row r="4539" spans="1:39" x14ac:dyDescent="0.35">
      <c r="A4539">
        <v>4535</v>
      </c>
      <c r="B4539">
        <v>4536</v>
      </c>
      <c r="F4539" s="63"/>
      <c r="G4539" s="63"/>
      <c r="H4539" t="s">
        <v>26</v>
      </c>
      <c r="I4539" s="64"/>
      <c r="N4539" s="4"/>
      <c r="AM4539" s="1">
        <f t="shared" si="57"/>
        <v>0</v>
      </c>
    </row>
    <row r="4540" spans="1:39" x14ac:dyDescent="0.35">
      <c r="A4540">
        <v>4536</v>
      </c>
      <c r="B4540">
        <v>4537</v>
      </c>
      <c r="F4540" s="63"/>
      <c r="G4540" s="63"/>
      <c r="H4540" t="s">
        <v>26</v>
      </c>
      <c r="I4540" s="64"/>
      <c r="N4540" s="4"/>
      <c r="AM4540" s="1">
        <f t="shared" ref="AM4540:AM4603" si="58">HYPERLINK("E:\CAFNEC_GBRF\2023\JohnstoneRiver\Frames_for_Analysis\" &amp; F4541, F4541)</f>
        <v>0</v>
      </c>
    </row>
    <row r="4541" spans="1:39" x14ac:dyDescent="0.35">
      <c r="A4541">
        <v>4537</v>
      </c>
      <c r="B4541">
        <v>4538</v>
      </c>
      <c r="F4541" s="63"/>
      <c r="G4541" s="63"/>
      <c r="H4541" t="s">
        <v>26</v>
      </c>
      <c r="I4541" s="64"/>
      <c r="N4541" s="4"/>
      <c r="AM4541" s="1">
        <f t="shared" si="58"/>
        <v>0</v>
      </c>
    </row>
    <row r="4542" spans="1:39" x14ac:dyDescent="0.35">
      <c r="A4542">
        <v>4538</v>
      </c>
      <c r="B4542">
        <v>4539</v>
      </c>
      <c r="F4542" s="63"/>
      <c r="G4542" s="63"/>
      <c r="H4542" t="s">
        <v>26</v>
      </c>
      <c r="I4542" s="64"/>
      <c r="N4542" s="4"/>
      <c r="AM4542" s="1">
        <f t="shared" si="58"/>
        <v>0</v>
      </c>
    </row>
    <row r="4543" spans="1:39" x14ac:dyDescent="0.35">
      <c r="A4543">
        <v>4539</v>
      </c>
      <c r="B4543">
        <v>4540</v>
      </c>
      <c r="F4543" s="63"/>
      <c r="G4543" s="63"/>
      <c r="H4543" t="s">
        <v>26</v>
      </c>
      <c r="I4543" s="64"/>
      <c r="N4543" s="4"/>
      <c r="AM4543" s="1">
        <f t="shared" si="58"/>
        <v>0</v>
      </c>
    </row>
    <row r="4544" spans="1:39" x14ac:dyDescent="0.35">
      <c r="A4544">
        <v>4540</v>
      </c>
      <c r="B4544">
        <v>4541</v>
      </c>
      <c r="F4544" s="63"/>
      <c r="G4544" s="63"/>
      <c r="H4544" t="s">
        <v>26</v>
      </c>
      <c r="I4544" s="64"/>
      <c r="N4544" s="4"/>
      <c r="AM4544" s="1">
        <f t="shared" si="58"/>
        <v>0</v>
      </c>
    </row>
    <row r="4545" spans="1:39" x14ac:dyDescent="0.35">
      <c r="A4545">
        <v>4541</v>
      </c>
      <c r="B4545">
        <v>4542</v>
      </c>
      <c r="F4545" s="63"/>
      <c r="G4545" s="63"/>
      <c r="H4545" t="s">
        <v>26</v>
      </c>
      <c r="I4545" s="64"/>
      <c r="N4545" s="4"/>
      <c r="AM4545" s="1">
        <f t="shared" si="58"/>
        <v>0</v>
      </c>
    </row>
    <row r="4546" spans="1:39" x14ac:dyDescent="0.35">
      <c r="A4546">
        <v>4542</v>
      </c>
      <c r="B4546">
        <v>4543</v>
      </c>
      <c r="F4546" s="63"/>
      <c r="G4546" s="63"/>
      <c r="H4546" t="s">
        <v>26</v>
      </c>
      <c r="I4546" s="64"/>
      <c r="N4546" s="4"/>
      <c r="AM4546" s="1">
        <f t="shared" si="58"/>
        <v>0</v>
      </c>
    </row>
    <row r="4547" spans="1:39" x14ac:dyDescent="0.35">
      <c r="A4547">
        <v>4543</v>
      </c>
      <c r="B4547">
        <v>4544</v>
      </c>
      <c r="F4547" s="63"/>
      <c r="G4547" s="63"/>
      <c r="H4547" t="s">
        <v>26</v>
      </c>
      <c r="I4547" s="64"/>
      <c r="N4547" s="4"/>
      <c r="AM4547" s="1">
        <f t="shared" si="58"/>
        <v>0</v>
      </c>
    </row>
    <row r="4548" spans="1:39" x14ac:dyDescent="0.35">
      <c r="A4548">
        <v>4544</v>
      </c>
      <c r="B4548">
        <v>4545</v>
      </c>
      <c r="F4548" s="63"/>
      <c r="G4548" s="63"/>
      <c r="H4548" t="s">
        <v>26</v>
      </c>
      <c r="I4548" s="64"/>
      <c r="N4548" s="4"/>
      <c r="AM4548" s="1">
        <f t="shared" si="58"/>
        <v>0</v>
      </c>
    </row>
    <row r="4549" spans="1:39" x14ac:dyDescent="0.35">
      <c r="A4549">
        <v>4545</v>
      </c>
      <c r="B4549">
        <v>4546</v>
      </c>
      <c r="F4549" s="63"/>
      <c r="G4549" s="63"/>
      <c r="H4549" t="s">
        <v>26</v>
      </c>
      <c r="I4549" s="64"/>
      <c r="N4549" s="4"/>
      <c r="AM4549" s="1">
        <f t="shared" si="58"/>
        <v>0</v>
      </c>
    </row>
    <row r="4550" spans="1:39" x14ac:dyDescent="0.35">
      <c r="A4550">
        <v>4546</v>
      </c>
      <c r="B4550">
        <v>4547</v>
      </c>
      <c r="F4550" s="63"/>
      <c r="G4550" s="63"/>
      <c r="H4550" t="s">
        <v>26</v>
      </c>
      <c r="I4550" s="64"/>
      <c r="N4550" s="4"/>
      <c r="AM4550" s="1">
        <f t="shared" si="58"/>
        <v>0</v>
      </c>
    </row>
    <row r="4551" spans="1:39" x14ac:dyDescent="0.35">
      <c r="A4551">
        <v>4547</v>
      </c>
      <c r="B4551">
        <v>4548</v>
      </c>
      <c r="F4551" s="63"/>
      <c r="G4551" s="63"/>
      <c r="H4551" t="s">
        <v>26</v>
      </c>
      <c r="I4551" s="64"/>
      <c r="N4551" s="4"/>
      <c r="AM4551" s="1">
        <f t="shared" si="58"/>
        <v>0</v>
      </c>
    </row>
    <row r="4552" spans="1:39" x14ac:dyDescent="0.35">
      <c r="A4552">
        <v>4548</v>
      </c>
      <c r="B4552">
        <v>4549</v>
      </c>
      <c r="F4552" s="63"/>
      <c r="G4552" s="63"/>
      <c r="H4552" t="s">
        <v>26</v>
      </c>
      <c r="I4552" s="64"/>
      <c r="N4552" s="4"/>
      <c r="AM4552" s="1">
        <f t="shared" si="58"/>
        <v>0</v>
      </c>
    </row>
    <row r="4553" spans="1:39" x14ac:dyDescent="0.35">
      <c r="A4553">
        <v>4549</v>
      </c>
      <c r="B4553">
        <v>4550</v>
      </c>
      <c r="F4553" s="63"/>
      <c r="G4553" s="63"/>
      <c r="H4553" t="s">
        <v>26</v>
      </c>
      <c r="I4553" s="64"/>
      <c r="N4553" s="4"/>
      <c r="AM4553" s="1">
        <f t="shared" si="58"/>
        <v>0</v>
      </c>
    </row>
    <row r="4554" spans="1:39" x14ac:dyDescent="0.35">
      <c r="A4554">
        <v>4550</v>
      </c>
      <c r="B4554">
        <v>4551</v>
      </c>
      <c r="F4554" s="63"/>
      <c r="G4554" s="63"/>
      <c r="H4554" t="s">
        <v>26</v>
      </c>
      <c r="I4554" s="64"/>
      <c r="N4554" s="4"/>
      <c r="AM4554" s="1">
        <f t="shared" si="58"/>
        <v>0</v>
      </c>
    </row>
    <row r="4555" spans="1:39" x14ac:dyDescent="0.35">
      <c r="A4555">
        <v>4551</v>
      </c>
      <c r="B4555">
        <v>4552</v>
      </c>
      <c r="F4555" s="63"/>
      <c r="G4555" s="63"/>
      <c r="H4555" t="s">
        <v>26</v>
      </c>
      <c r="I4555" s="64"/>
      <c r="N4555" s="4"/>
      <c r="AM4555" s="1">
        <f t="shared" si="58"/>
        <v>0</v>
      </c>
    </row>
    <row r="4556" spans="1:39" x14ac:dyDescent="0.35">
      <c r="A4556">
        <v>4552</v>
      </c>
      <c r="B4556">
        <v>4553</v>
      </c>
      <c r="F4556" s="63"/>
      <c r="G4556" s="63"/>
      <c r="H4556" t="s">
        <v>26</v>
      </c>
      <c r="I4556" s="64"/>
      <c r="N4556" s="4"/>
      <c r="AM4556" s="1">
        <f t="shared" si="58"/>
        <v>0</v>
      </c>
    </row>
    <row r="4557" spans="1:39" x14ac:dyDescent="0.35">
      <c r="A4557">
        <v>4553</v>
      </c>
      <c r="B4557">
        <v>4554</v>
      </c>
      <c r="F4557" s="63"/>
      <c r="G4557" s="63"/>
      <c r="H4557" t="s">
        <v>26</v>
      </c>
      <c r="I4557" s="64"/>
      <c r="N4557" s="4"/>
      <c r="AM4557" s="1">
        <f t="shared" si="58"/>
        <v>0</v>
      </c>
    </row>
    <row r="4558" spans="1:39" x14ac:dyDescent="0.35">
      <c r="A4558">
        <v>4554</v>
      </c>
      <c r="B4558">
        <v>4555</v>
      </c>
      <c r="F4558" s="63"/>
      <c r="G4558" s="63"/>
      <c r="H4558" t="s">
        <v>26</v>
      </c>
      <c r="I4558" s="64"/>
      <c r="N4558" s="4"/>
      <c r="AM4558" s="1">
        <f t="shared" si="58"/>
        <v>0</v>
      </c>
    </row>
    <row r="4559" spans="1:39" x14ac:dyDescent="0.35">
      <c r="A4559">
        <v>4555</v>
      </c>
      <c r="B4559">
        <v>4556</v>
      </c>
      <c r="F4559" s="63"/>
      <c r="G4559" s="63"/>
      <c r="H4559" t="s">
        <v>26</v>
      </c>
      <c r="I4559" s="64"/>
      <c r="N4559" s="4"/>
      <c r="AM4559" s="1">
        <f t="shared" si="58"/>
        <v>0</v>
      </c>
    </row>
    <row r="4560" spans="1:39" x14ac:dyDescent="0.35">
      <c r="A4560">
        <v>4556</v>
      </c>
      <c r="B4560">
        <v>4557</v>
      </c>
      <c r="F4560" s="63"/>
      <c r="G4560" s="63"/>
      <c r="H4560" t="s">
        <v>26</v>
      </c>
      <c r="I4560" s="64"/>
      <c r="N4560" s="4"/>
      <c r="AM4560" s="1">
        <f t="shared" si="58"/>
        <v>0</v>
      </c>
    </row>
    <row r="4561" spans="1:39" x14ac:dyDescent="0.35">
      <c r="A4561">
        <v>4557</v>
      </c>
      <c r="B4561">
        <v>4558</v>
      </c>
      <c r="F4561" s="63"/>
      <c r="G4561" s="63"/>
      <c r="H4561" t="s">
        <v>26</v>
      </c>
      <c r="I4561" s="64"/>
      <c r="N4561" s="4"/>
      <c r="AM4561" s="1">
        <f t="shared" si="58"/>
        <v>0</v>
      </c>
    </row>
    <row r="4562" spans="1:39" x14ac:dyDescent="0.35">
      <c r="A4562">
        <v>4558</v>
      </c>
      <c r="B4562">
        <v>4559</v>
      </c>
      <c r="F4562" s="63"/>
      <c r="G4562" s="63"/>
      <c r="H4562" t="s">
        <v>26</v>
      </c>
      <c r="I4562" s="64"/>
      <c r="N4562" s="4"/>
      <c r="AM4562" s="1">
        <f t="shared" si="58"/>
        <v>0</v>
      </c>
    </row>
    <row r="4563" spans="1:39" x14ac:dyDescent="0.35">
      <c r="A4563">
        <v>4559</v>
      </c>
      <c r="B4563">
        <v>4560</v>
      </c>
      <c r="F4563" s="63"/>
      <c r="G4563" s="63"/>
      <c r="H4563" t="s">
        <v>26</v>
      </c>
      <c r="I4563" s="64"/>
      <c r="N4563" s="4"/>
      <c r="AM4563" s="1">
        <f t="shared" si="58"/>
        <v>0</v>
      </c>
    </row>
    <row r="4564" spans="1:39" x14ac:dyDescent="0.35">
      <c r="A4564">
        <v>4560</v>
      </c>
      <c r="B4564">
        <v>4561</v>
      </c>
      <c r="F4564" s="63"/>
      <c r="G4564" s="63"/>
      <c r="H4564" t="s">
        <v>26</v>
      </c>
      <c r="I4564" s="64"/>
      <c r="N4564" s="4"/>
      <c r="AM4564" s="1">
        <f t="shared" si="58"/>
        <v>0</v>
      </c>
    </row>
    <row r="4565" spans="1:39" x14ac:dyDescent="0.35">
      <c r="A4565">
        <v>4561</v>
      </c>
      <c r="B4565">
        <v>4562</v>
      </c>
      <c r="F4565" s="63"/>
      <c r="G4565" s="63"/>
      <c r="H4565" t="s">
        <v>26</v>
      </c>
      <c r="I4565" s="64"/>
      <c r="N4565" s="4"/>
      <c r="AM4565" s="1">
        <f t="shared" si="58"/>
        <v>0</v>
      </c>
    </row>
    <row r="4566" spans="1:39" x14ac:dyDescent="0.35">
      <c r="A4566">
        <v>4562</v>
      </c>
      <c r="B4566">
        <v>4563</v>
      </c>
      <c r="F4566" s="63"/>
      <c r="G4566" s="63"/>
      <c r="H4566" t="s">
        <v>26</v>
      </c>
      <c r="I4566" s="64"/>
      <c r="N4566" s="4"/>
      <c r="AM4566" s="1">
        <f t="shared" si="58"/>
        <v>0</v>
      </c>
    </row>
    <row r="4567" spans="1:39" x14ac:dyDescent="0.35">
      <c r="A4567">
        <v>4563</v>
      </c>
      <c r="B4567">
        <v>4564</v>
      </c>
      <c r="F4567" s="63"/>
      <c r="G4567" s="63"/>
      <c r="H4567" t="s">
        <v>26</v>
      </c>
      <c r="I4567" s="64"/>
      <c r="N4567" s="4"/>
      <c r="AM4567" s="1">
        <f t="shared" si="58"/>
        <v>0</v>
      </c>
    </row>
    <row r="4568" spans="1:39" x14ac:dyDescent="0.35">
      <c r="A4568">
        <v>4564</v>
      </c>
      <c r="B4568">
        <v>4565</v>
      </c>
      <c r="F4568" s="63"/>
      <c r="G4568" s="63"/>
      <c r="H4568" t="s">
        <v>26</v>
      </c>
      <c r="I4568" s="64"/>
      <c r="N4568" s="4"/>
      <c r="AM4568" s="1">
        <f t="shared" si="58"/>
        <v>0</v>
      </c>
    </row>
    <row r="4569" spans="1:39" x14ac:dyDescent="0.35">
      <c r="A4569">
        <v>4565</v>
      </c>
      <c r="B4569">
        <v>4566</v>
      </c>
      <c r="F4569" s="63"/>
      <c r="G4569" s="63"/>
      <c r="H4569" t="s">
        <v>26</v>
      </c>
      <c r="I4569" s="64"/>
      <c r="N4569" s="4"/>
      <c r="AM4569" s="1">
        <f t="shared" si="58"/>
        <v>0</v>
      </c>
    </row>
    <row r="4570" spans="1:39" x14ac:dyDescent="0.35">
      <c r="A4570">
        <v>4566</v>
      </c>
      <c r="B4570">
        <v>4567</v>
      </c>
      <c r="F4570" s="63"/>
      <c r="G4570" s="63"/>
      <c r="H4570" t="s">
        <v>26</v>
      </c>
      <c r="I4570" s="64"/>
      <c r="N4570" s="4"/>
      <c r="AM4570" s="1">
        <f t="shared" si="58"/>
        <v>0</v>
      </c>
    </row>
    <row r="4571" spans="1:39" x14ac:dyDescent="0.35">
      <c r="A4571">
        <v>4567</v>
      </c>
      <c r="B4571">
        <v>4568</v>
      </c>
      <c r="F4571" s="63"/>
      <c r="G4571" s="63"/>
      <c r="H4571" t="s">
        <v>26</v>
      </c>
      <c r="I4571" s="64"/>
      <c r="N4571" s="4"/>
      <c r="AM4571" s="1">
        <f t="shared" si="58"/>
        <v>0</v>
      </c>
    </row>
    <row r="4572" spans="1:39" x14ac:dyDescent="0.35">
      <c r="A4572">
        <v>4568</v>
      </c>
      <c r="B4572">
        <v>4569</v>
      </c>
      <c r="F4572" s="63"/>
      <c r="G4572" s="63"/>
      <c r="H4572" t="s">
        <v>26</v>
      </c>
      <c r="I4572" s="64"/>
      <c r="N4572" s="4"/>
      <c r="AM4572" s="1">
        <f t="shared" si="58"/>
        <v>0</v>
      </c>
    </row>
    <row r="4573" spans="1:39" x14ac:dyDescent="0.35">
      <c r="A4573">
        <v>4569</v>
      </c>
      <c r="B4573">
        <v>4570</v>
      </c>
      <c r="F4573" s="63"/>
      <c r="G4573" s="63"/>
      <c r="H4573" t="s">
        <v>26</v>
      </c>
      <c r="I4573" s="64"/>
      <c r="N4573" s="4"/>
      <c r="AM4573" s="1">
        <f t="shared" si="58"/>
        <v>0</v>
      </c>
    </row>
    <row r="4574" spans="1:39" x14ac:dyDescent="0.35">
      <c r="A4574">
        <v>4570</v>
      </c>
      <c r="B4574">
        <v>4571</v>
      </c>
      <c r="F4574" s="63"/>
      <c r="G4574" s="63"/>
      <c r="H4574" t="s">
        <v>26</v>
      </c>
      <c r="I4574" s="64"/>
      <c r="N4574" s="4"/>
      <c r="AM4574" s="1">
        <f t="shared" si="58"/>
        <v>0</v>
      </c>
    </row>
    <row r="4575" spans="1:39" x14ac:dyDescent="0.35">
      <c r="A4575">
        <v>4571</v>
      </c>
      <c r="B4575">
        <v>4572</v>
      </c>
      <c r="F4575" s="63"/>
      <c r="G4575" s="63"/>
      <c r="H4575" t="s">
        <v>26</v>
      </c>
      <c r="I4575" s="64"/>
      <c r="N4575" s="4"/>
      <c r="AM4575" s="1">
        <f t="shared" si="58"/>
        <v>0</v>
      </c>
    </row>
    <row r="4576" spans="1:39" x14ac:dyDescent="0.35">
      <c r="A4576">
        <v>4572</v>
      </c>
      <c r="B4576">
        <v>4573</v>
      </c>
      <c r="F4576" s="63"/>
      <c r="G4576" s="63"/>
      <c r="H4576" t="s">
        <v>26</v>
      </c>
      <c r="I4576" s="64"/>
      <c r="N4576" s="4"/>
      <c r="AM4576" s="1">
        <f t="shared" si="58"/>
        <v>0</v>
      </c>
    </row>
    <row r="4577" spans="1:39" x14ac:dyDescent="0.35">
      <c r="A4577">
        <v>4573</v>
      </c>
      <c r="B4577">
        <v>4574</v>
      </c>
      <c r="F4577" s="63"/>
      <c r="G4577" s="63"/>
      <c r="H4577" t="s">
        <v>26</v>
      </c>
      <c r="I4577" s="64"/>
      <c r="N4577" s="4"/>
      <c r="AM4577" s="1">
        <f t="shared" si="58"/>
        <v>0</v>
      </c>
    </row>
    <row r="4578" spans="1:39" x14ac:dyDescent="0.35">
      <c r="A4578">
        <v>4574</v>
      </c>
      <c r="B4578">
        <v>4575</v>
      </c>
      <c r="F4578" s="63"/>
      <c r="G4578" s="63"/>
      <c r="H4578" t="s">
        <v>26</v>
      </c>
      <c r="I4578" s="64"/>
      <c r="N4578" s="4"/>
      <c r="AM4578" s="1">
        <f t="shared" si="58"/>
        <v>0</v>
      </c>
    </row>
    <row r="4579" spans="1:39" x14ac:dyDescent="0.35">
      <c r="A4579">
        <v>4575</v>
      </c>
      <c r="B4579">
        <v>4576</v>
      </c>
      <c r="F4579" s="63"/>
      <c r="G4579" s="63"/>
      <c r="H4579" t="s">
        <v>26</v>
      </c>
      <c r="I4579" s="64"/>
      <c r="N4579" s="4"/>
      <c r="AM4579" s="1">
        <f t="shared" si="58"/>
        <v>0</v>
      </c>
    </row>
    <row r="4580" spans="1:39" x14ac:dyDescent="0.35">
      <c r="A4580">
        <v>4576</v>
      </c>
      <c r="B4580">
        <v>4577</v>
      </c>
      <c r="F4580" s="63"/>
      <c r="G4580" s="63"/>
      <c r="H4580" t="s">
        <v>26</v>
      </c>
      <c r="I4580" s="64"/>
      <c r="N4580" s="4"/>
      <c r="AM4580" s="1">
        <f t="shared" si="58"/>
        <v>0</v>
      </c>
    </row>
    <row r="4581" spans="1:39" x14ac:dyDescent="0.35">
      <c r="A4581">
        <v>4577</v>
      </c>
      <c r="B4581">
        <v>4578</v>
      </c>
      <c r="F4581" s="63"/>
      <c r="G4581" s="63"/>
      <c r="H4581" t="s">
        <v>26</v>
      </c>
      <c r="I4581" s="64"/>
      <c r="N4581" s="4"/>
      <c r="AM4581" s="1">
        <f t="shared" si="58"/>
        <v>0</v>
      </c>
    </row>
    <row r="4582" spans="1:39" x14ac:dyDescent="0.35">
      <c r="A4582">
        <v>4578</v>
      </c>
      <c r="B4582">
        <v>4579</v>
      </c>
      <c r="F4582" s="63"/>
      <c r="G4582" s="63"/>
      <c r="H4582" t="s">
        <v>26</v>
      </c>
      <c r="I4582" s="64"/>
      <c r="N4582" s="4"/>
      <c r="AM4582" s="1">
        <f t="shared" si="58"/>
        <v>0</v>
      </c>
    </row>
    <row r="4583" spans="1:39" x14ac:dyDescent="0.35">
      <c r="A4583">
        <v>4579</v>
      </c>
      <c r="B4583">
        <v>4580</v>
      </c>
      <c r="F4583" s="63"/>
      <c r="G4583" s="63"/>
      <c r="H4583" t="s">
        <v>26</v>
      </c>
      <c r="I4583" s="64"/>
      <c r="N4583" s="4"/>
      <c r="AM4583" s="1">
        <f t="shared" si="58"/>
        <v>0</v>
      </c>
    </row>
    <row r="4584" spans="1:39" x14ac:dyDescent="0.35">
      <c r="A4584">
        <v>4580</v>
      </c>
      <c r="B4584">
        <v>4581</v>
      </c>
      <c r="F4584" s="63"/>
      <c r="G4584" s="63"/>
      <c r="H4584" t="s">
        <v>26</v>
      </c>
      <c r="I4584" s="64"/>
      <c r="N4584" s="4"/>
      <c r="AM4584" s="1">
        <f t="shared" si="58"/>
        <v>0</v>
      </c>
    </row>
    <row r="4585" spans="1:39" x14ac:dyDescent="0.35">
      <c r="A4585">
        <v>4581</v>
      </c>
      <c r="B4585">
        <v>4582</v>
      </c>
      <c r="F4585" s="63"/>
      <c r="G4585" s="63"/>
      <c r="H4585" t="s">
        <v>26</v>
      </c>
      <c r="I4585" s="64"/>
      <c r="N4585" s="4"/>
      <c r="AM4585" s="1">
        <f t="shared" si="58"/>
        <v>0</v>
      </c>
    </row>
    <row r="4586" spans="1:39" x14ac:dyDescent="0.35">
      <c r="A4586">
        <v>4582</v>
      </c>
      <c r="B4586">
        <v>4583</v>
      </c>
      <c r="F4586" s="63"/>
      <c r="G4586" s="63"/>
      <c r="H4586" t="s">
        <v>26</v>
      </c>
      <c r="I4586" s="64"/>
      <c r="N4586" s="4"/>
      <c r="AM4586" s="1">
        <f t="shared" si="58"/>
        <v>0</v>
      </c>
    </row>
    <row r="4587" spans="1:39" x14ac:dyDescent="0.35">
      <c r="A4587">
        <v>4583</v>
      </c>
      <c r="B4587">
        <v>4584</v>
      </c>
      <c r="F4587" s="63"/>
      <c r="G4587" s="63"/>
      <c r="H4587" t="s">
        <v>26</v>
      </c>
      <c r="I4587" s="64"/>
      <c r="N4587" s="4"/>
      <c r="AM4587" s="1">
        <f t="shared" si="58"/>
        <v>0</v>
      </c>
    </row>
    <row r="4588" spans="1:39" x14ac:dyDescent="0.35">
      <c r="A4588">
        <v>4584</v>
      </c>
      <c r="B4588">
        <v>4585</v>
      </c>
      <c r="F4588" s="63"/>
      <c r="G4588" s="63"/>
      <c r="H4588" t="s">
        <v>26</v>
      </c>
      <c r="I4588" s="64"/>
      <c r="N4588" s="4"/>
      <c r="AM4588" s="1">
        <f t="shared" si="58"/>
        <v>0</v>
      </c>
    </row>
    <row r="4589" spans="1:39" x14ac:dyDescent="0.35">
      <c r="A4589">
        <v>4585</v>
      </c>
      <c r="B4589">
        <v>4586</v>
      </c>
      <c r="F4589" s="63"/>
      <c r="G4589" s="63"/>
      <c r="H4589" t="s">
        <v>26</v>
      </c>
      <c r="I4589" s="64"/>
      <c r="N4589" s="4"/>
      <c r="AM4589" s="1">
        <f t="shared" si="58"/>
        <v>0</v>
      </c>
    </row>
    <row r="4590" spans="1:39" x14ac:dyDescent="0.35">
      <c r="A4590">
        <v>4586</v>
      </c>
      <c r="B4590">
        <v>4587</v>
      </c>
      <c r="F4590" s="63"/>
      <c r="G4590" s="63"/>
      <c r="H4590" t="s">
        <v>26</v>
      </c>
      <c r="I4590" s="64"/>
      <c r="N4590" s="4"/>
      <c r="AM4590" s="1">
        <f t="shared" si="58"/>
        <v>0</v>
      </c>
    </row>
    <row r="4591" spans="1:39" x14ac:dyDescent="0.35">
      <c r="A4591">
        <v>4587</v>
      </c>
      <c r="B4591">
        <v>4588</v>
      </c>
      <c r="F4591" s="63"/>
      <c r="G4591" s="63"/>
      <c r="H4591" t="s">
        <v>26</v>
      </c>
      <c r="I4591" s="64"/>
      <c r="N4591" s="4"/>
      <c r="AM4591" s="1">
        <f t="shared" si="58"/>
        <v>0</v>
      </c>
    </row>
    <row r="4592" spans="1:39" x14ac:dyDescent="0.35">
      <c r="A4592">
        <v>4588</v>
      </c>
      <c r="B4592">
        <v>4589</v>
      </c>
      <c r="F4592" s="63"/>
      <c r="G4592" s="63"/>
      <c r="H4592" t="s">
        <v>26</v>
      </c>
      <c r="I4592" s="64"/>
      <c r="N4592" s="4"/>
      <c r="AM4592" s="1">
        <f t="shared" si="58"/>
        <v>0</v>
      </c>
    </row>
    <row r="4593" spans="1:39" x14ac:dyDescent="0.35">
      <c r="A4593">
        <v>4589</v>
      </c>
      <c r="B4593">
        <v>4590</v>
      </c>
      <c r="F4593" s="63"/>
      <c r="G4593" s="63"/>
      <c r="H4593" t="s">
        <v>26</v>
      </c>
      <c r="I4593" s="64"/>
      <c r="N4593" s="4"/>
      <c r="AM4593" s="1">
        <f t="shared" si="58"/>
        <v>0</v>
      </c>
    </row>
    <row r="4594" spans="1:39" x14ac:dyDescent="0.35">
      <c r="A4594">
        <v>4590</v>
      </c>
      <c r="B4594">
        <v>4591</v>
      </c>
      <c r="F4594" s="63"/>
      <c r="G4594" s="63"/>
      <c r="H4594" t="s">
        <v>26</v>
      </c>
      <c r="I4594" s="64"/>
      <c r="N4594" s="4"/>
      <c r="AM4594" s="1">
        <f t="shared" si="58"/>
        <v>0</v>
      </c>
    </row>
    <row r="4595" spans="1:39" x14ac:dyDescent="0.35">
      <c r="A4595">
        <v>4591</v>
      </c>
      <c r="B4595">
        <v>4592</v>
      </c>
      <c r="F4595" s="63"/>
      <c r="G4595" s="63"/>
      <c r="H4595" t="s">
        <v>26</v>
      </c>
      <c r="I4595" s="64"/>
      <c r="N4595" s="4"/>
      <c r="AM4595" s="1">
        <f t="shared" si="58"/>
        <v>0</v>
      </c>
    </row>
    <row r="4596" spans="1:39" x14ac:dyDescent="0.35">
      <c r="A4596">
        <v>4592</v>
      </c>
      <c r="B4596">
        <v>4593</v>
      </c>
      <c r="F4596" s="63"/>
      <c r="G4596" s="63"/>
      <c r="H4596" t="s">
        <v>26</v>
      </c>
      <c r="I4596" s="64"/>
      <c r="N4596" s="4"/>
      <c r="AM4596" s="1">
        <f t="shared" si="58"/>
        <v>0</v>
      </c>
    </row>
    <row r="4597" spans="1:39" x14ac:dyDescent="0.35">
      <c r="A4597">
        <v>4593</v>
      </c>
      <c r="B4597">
        <v>4594</v>
      </c>
      <c r="F4597" s="63"/>
      <c r="G4597" s="63"/>
      <c r="H4597" t="s">
        <v>26</v>
      </c>
      <c r="I4597" s="64"/>
      <c r="N4597" s="4"/>
      <c r="AM4597" s="1">
        <f t="shared" si="58"/>
        <v>0</v>
      </c>
    </row>
    <row r="4598" spans="1:39" x14ac:dyDescent="0.35">
      <c r="A4598">
        <v>4594</v>
      </c>
      <c r="B4598">
        <v>4595</v>
      </c>
      <c r="F4598" s="63"/>
      <c r="G4598" s="63"/>
      <c r="H4598" t="s">
        <v>26</v>
      </c>
      <c r="I4598" s="64"/>
      <c r="N4598" s="4"/>
      <c r="AM4598" s="1">
        <f t="shared" si="58"/>
        <v>0</v>
      </c>
    </row>
    <row r="4599" spans="1:39" x14ac:dyDescent="0.35">
      <c r="A4599">
        <v>4595</v>
      </c>
      <c r="B4599">
        <v>4596</v>
      </c>
      <c r="F4599" s="63"/>
      <c r="G4599" s="63"/>
      <c r="H4599" t="s">
        <v>26</v>
      </c>
      <c r="I4599" s="64"/>
      <c r="N4599" s="4"/>
      <c r="AM4599" s="1">
        <f t="shared" si="58"/>
        <v>0</v>
      </c>
    </row>
    <row r="4600" spans="1:39" x14ac:dyDescent="0.35">
      <c r="A4600">
        <v>4596</v>
      </c>
      <c r="B4600">
        <v>4597</v>
      </c>
      <c r="F4600" s="63"/>
      <c r="G4600" s="63"/>
      <c r="H4600" t="s">
        <v>26</v>
      </c>
      <c r="I4600" s="64"/>
      <c r="N4600" s="4"/>
      <c r="AM4600" s="1">
        <f t="shared" si="58"/>
        <v>0</v>
      </c>
    </row>
    <row r="4601" spans="1:39" x14ac:dyDescent="0.35">
      <c r="A4601">
        <v>4597</v>
      </c>
      <c r="B4601">
        <v>4598</v>
      </c>
      <c r="F4601" s="63"/>
      <c r="G4601" s="63"/>
      <c r="H4601" t="s">
        <v>26</v>
      </c>
      <c r="I4601" s="64"/>
      <c r="N4601" s="4"/>
      <c r="AM4601" s="1">
        <f t="shared" si="58"/>
        <v>0</v>
      </c>
    </row>
    <row r="4602" spans="1:39" x14ac:dyDescent="0.35">
      <c r="A4602">
        <v>4598</v>
      </c>
      <c r="B4602">
        <v>4599</v>
      </c>
      <c r="F4602" s="63"/>
      <c r="G4602" s="63"/>
      <c r="H4602" t="s">
        <v>26</v>
      </c>
      <c r="I4602" s="64"/>
      <c r="N4602" s="4"/>
      <c r="AM4602" s="1">
        <f t="shared" si="58"/>
        <v>0</v>
      </c>
    </row>
    <row r="4603" spans="1:39" x14ac:dyDescent="0.35">
      <c r="A4603">
        <v>4599</v>
      </c>
      <c r="B4603">
        <v>4600</v>
      </c>
      <c r="F4603" s="63"/>
      <c r="G4603" s="63"/>
      <c r="H4603" t="s">
        <v>26</v>
      </c>
      <c r="I4603" s="64"/>
      <c r="N4603" s="4"/>
      <c r="AM4603" s="1">
        <f t="shared" si="58"/>
        <v>0</v>
      </c>
    </row>
    <row r="4604" spans="1:39" x14ac:dyDescent="0.35">
      <c r="A4604">
        <v>4600</v>
      </c>
      <c r="B4604">
        <v>4601</v>
      </c>
      <c r="F4604" s="63"/>
      <c r="G4604" s="63"/>
      <c r="H4604" t="s">
        <v>26</v>
      </c>
      <c r="I4604" s="64"/>
      <c r="N4604" s="4"/>
      <c r="AM4604" s="1">
        <f t="shared" ref="AM4604:AM4655" si="59">HYPERLINK("E:\CAFNEC_GBRF\2023\JohnstoneRiver\Frames_for_Analysis\" &amp; F4605, F4605)</f>
        <v>0</v>
      </c>
    </row>
    <row r="4605" spans="1:39" x14ac:dyDescent="0.35">
      <c r="A4605">
        <v>4601</v>
      </c>
      <c r="B4605">
        <v>4602</v>
      </c>
      <c r="F4605" s="63"/>
      <c r="G4605" s="63"/>
      <c r="H4605" t="s">
        <v>26</v>
      </c>
      <c r="I4605" s="64"/>
      <c r="N4605" s="4"/>
      <c r="AM4605" s="1">
        <f t="shared" si="59"/>
        <v>0</v>
      </c>
    </row>
    <row r="4606" spans="1:39" x14ac:dyDescent="0.35">
      <c r="A4606">
        <v>4602</v>
      </c>
      <c r="B4606">
        <v>4603</v>
      </c>
      <c r="F4606" s="63"/>
      <c r="G4606" s="63"/>
      <c r="H4606" t="s">
        <v>26</v>
      </c>
      <c r="I4606" s="64"/>
      <c r="N4606" s="4"/>
      <c r="AM4606" s="1">
        <f t="shared" si="59"/>
        <v>0</v>
      </c>
    </row>
    <row r="4607" spans="1:39" x14ac:dyDescent="0.35">
      <c r="A4607">
        <v>4603</v>
      </c>
      <c r="B4607">
        <v>4604</v>
      </c>
      <c r="F4607" s="63"/>
      <c r="G4607" s="63"/>
      <c r="H4607" t="s">
        <v>26</v>
      </c>
      <c r="I4607" s="64"/>
      <c r="N4607" s="4"/>
      <c r="AM4607" s="1">
        <f t="shared" si="59"/>
        <v>0</v>
      </c>
    </row>
    <row r="4608" spans="1:39" x14ac:dyDescent="0.35">
      <c r="A4608">
        <v>4604</v>
      </c>
      <c r="B4608">
        <v>4605</v>
      </c>
      <c r="F4608" s="63"/>
      <c r="G4608" s="63"/>
      <c r="H4608" t="s">
        <v>26</v>
      </c>
      <c r="I4608" s="64"/>
      <c r="N4608" s="4"/>
      <c r="AM4608" s="1">
        <f t="shared" si="59"/>
        <v>0</v>
      </c>
    </row>
    <row r="4609" spans="1:39" x14ac:dyDescent="0.35">
      <c r="A4609">
        <v>4605</v>
      </c>
      <c r="B4609">
        <v>4606</v>
      </c>
      <c r="F4609" s="63"/>
      <c r="G4609" s="63"/>
      <c r="H4609" t="s">
        <v>26</v>
      </c>
      <c r="I4609" s="64"/>
      <c r="N4609" s="4"/>
      <c r="AM4609" s="1">
        <f t="shared" si="59"/>
        <v>0</v>
      </c>
    </row>
    <row r="4610" spans="1:39" x14ac:dyDescent="0.35">
      <c r="A4610">
        <v>4606</v>
      </c>
      <c r="B4610">
        <v>4607</v>
      </c>
      <c r="F4610" s="63"/>
      <c r="G4610" s="63"/>
      <c r="H4610" t="s">
        <v>26</v>
      </c>
      <c r="I4610" s="64"/>
      <c r="N4610" s="4"/>
      <c r="AM4610" s="1">
        <f t="shared" si="59"/>
        <v>0</v>
      </c>
    </row>
    <row r="4611" spans="1:39" x14ac:dyDescent="0.35">
      <c r="A4611">
        <v>4607</v>
      </c>
      <c r="B4611">
        <v>4608</v>
      </c>
      <c r="F4611" s="63"/>
      <c r="G4611" s="63"/>
      <c r="H4611" t="s">
        <v>26</v>
      </c>
      <c r="I4611" s="64"/>
      <c r="N4611" s="4"/>
      <c r="AM4611" s="1">
        <f t="shared" si="59"/>
        <v>0</v>
      </c>
    </row>
    <row r="4612" spans="1:39" x14ac:dyDescent="0.35">
      <c r="A4612">
        <v>4608</v>
      </c>
      <c r="B4612">
        <v>4609</v>
      </c>
      <c r="F4612" s="63"/>
      <c r="G4612" s="63"/>
      <c r="H4612" t="s">
        <v>26</v>
      </c>
      <c r="I4612" s="64"/>
      <c r="N4612" s="4"/>
      <c r="AM4612" s="1">
        <f t="shared" si="59"/>
        <v>0</v>
      </c>
    </row>
    <row r="4613" spans="1:39" x14ac:dyDescent="0.35">
      <c r="A4613">
        <v>4609</v>
      </c>
      <c r="B4613">
        <v>4610</v>
      </c>
      <c r="F4613" s="63"/>
      <c r="G4613" s="63"/>
      <c r="H4613" t="s">
        <v>26</v>
      </c>
      <c r="I4613" s="64"/>
      <c r="N4613" s="4"/>
      <c r="AM4613" s="1">
        <f t="shared" si="59"/>
        <v>0</v>
      </c>
    </row>
    <row r="4614" spans="1:39" x14ac:dyDescent="0.35">
      <c r="A4614">
        <v>4610</v>
      </c>
      <c r="B4614">
        <v>4611</v>
      </c>
      <c r="F4614" s="63"/>
      <c r="G4614" s="63"/>
      <c r="H4614" t="s">
        <v>26</v>
      </c>
      <c r="I4614" s="64"/>
      <c r="N4614" s="4"/>
      <c r="AM4614" s="1">
        <f t="shared" si="59"/>
        <v>0</v>
      </c>
    </row>
    <row r="4615" spans="1:39" x14ac:dyDescent="0.35">
      <c r="A4615">
        <v>4611</v>
      </c>
      <c r="B4615">
        <v>4612</v>
      </c>
      <c r="F4615" s="63"/>
      <c r="G4615" s="63"/>
      <c r="H4615" t="s">
        <v>26</v>
      </c>
      <c r="I4615" s="64"/>
      <c r="N4615" s="4"/>
      <c r="AM4615" s="1">
        <f t="shared" si="59"/>
        <v>0</v>
      </c>
    </row>
    <row r="4616" spans="1:39" x14ac:dyDescent="0.35">
      <c r="A4616">
        <v>4612</v>
      </c>
      <c r="B4616">
        <v>4613</v>
      </c>
      <c r="F4616" s="63"/>
      <c r="G4616" s="63"/>
      <c r="H4616" t="s">
        <v>26</v>
      </c>
      <c r="I4616" s="64"/>
      <c r="N4616" s="4"/>
      <c r="AM4616" s="1">
        <f t="shared" si="59"/>
        <v>0</v>
      </c>
    </row>
    <row r="4617" spans="1:39" x14ac:dyDescent="0.35">
      <c r="A4617">
        <v>4613</v>
      </c>
      <c r="B4617">
        <v>4614</v>
      </c>
      <c r="F4617" s="63"/>
      <c r="G4617" s="63"/>
      <c r="H4617" t="s">
        <v>26</v>
      </c>
      <c r="I4617" s="64"/>
      <c r="N4617" s="4"/>
      <c r="AM4617" s="1">
        <f t="shared" si="59"/>
        <v>0</v>
      </c>
    </row>
    <row r="4618" spans="1:39" x14ac:dyDescent="0.35">
      <c r="A4618">
        <v>4614</v>
      </c>
      <c r="B4618">
        <v>4615</v>
      </c>
      <c r="F4618" s="63"/>
      <c r="G4618" s="63"/>
      <c r="H4618" t="s">
        <v>26</v>
      </c>
      <c r="I4618" s="64"/>
      <c r="N4618" s="4"/>
      <c r="AM4618" s="1">
        <f t="shared" si="59"/>
        <v>0</v>
      </c>
    </row>
    <row r="4619" spans="1:39" x14ac:dyDescent="0.35">
      <c r="A4619">
        <v>4615</v>
      </c>
      <c r="B4619">
        <v>4616</v>
      </c>
      <c r="F4619" s="63"/>
      <c r="G4619" s="63"/>
      <c r="H4619" t="s">
        <v>26</v>
      </c>
      <c r="I4619" s="64"/>
      <c r="N4619" s="4"/>
      <c r="AM4619" s="1">
        <f t="shared" si="59"/>
        <v>0</v>
      </c>
    </row>
    <row r="4620" spans="1:39" x14ac:dyDescent="0.35">
      <c r="A4620">
        <v>4616</v>
      </c>
      <c r="B4620">
        <v>4617</v>
      </c>
      <c r="F4620" s="63"/>
      <c r="G4620" s="63"/>
      <c r="H4620" t="s">
        <v>26</v>
      </c>
      <c r="I4620" s="64"/>
      <c r="N4620" s="4"/>
      <c r="AM4620" s="1">
        <f t="shared" si="59"/>
        <v>0</v>
      </c>
    </row>
    <row r="4621" spans="1:39" x14ac:dyDescent="0.35">
      <c r="A4621">
        <v>4617</v>
      </c>
      <c r="B4621">
        <v>4618</v>
      </c>
      <c r="F4621" s="63"/>
      <c r="G4621" s="63"/>
      <c r="H4621" t="s">
        <v>26</v>
      </c>
      <c r="I4621" s="64"/>
      <c r="N4621" s="4"/>
      <c r="AM4621" s="1">
        <f t="shared" si="59"/>
        <v>0</v>
      </c>
    </row>
    <row r="4622" spans="1:39" x14ac:dyDescent="0.35">
      <c r="A4622">
        <v>4618</v>
      </c>
      <c r="B4622">
        <v>4619</v>
      </c>
      <c r="F4622" s="63"/>
      <c r="G4622" s="63"/>
      <c r="H4622" t="s">
        <v>26</v>
      </c>
      <c r="I4622" s="64"/>
      <c r="N4622" s="4"/>
      <c r="AM4622" s="1">
        <f t="shared" si="59"/>
        <v>0</v>
      </c>
    </row>
    <row r="4623" spans="1:39" x14ac:dyDescent="0.35">
      <c r="A4623">
        <v>4619</v>
      </c>
      <c r="B4623">
        <v>4620</v>
      </c>
      <c r="F4623" s="63"/>
      <c r="G4623" s="63"/>
      <c r="H4623" t="s">
        <v>26</v>
      </c>
      <c r="I4623" s="64"/>
      <c r="N4623" s="4"/>
      <c r="AM4623" s="1">
        <f t="shared" si="59"/>
        <v>0</v>
      </c>
    </row>
    <row r="4624" spans="1:39" x14ac:dyDescent="0.35">
      <c r="A4624">
        <v>4620</v>
      </c>
      <c r="B4624">
        <v>4621</v>
      </c>
      <c r="F4624" s="63"/>
      <c r="G4624" s="63"/>
      <c r="H4624" t="s">
        <v>26</v>
      </c>
      <c r="I4624" s="64"/>
      <c r="N4624" s="4"/>
      <c r="AM4624" s="1">
        <f t="shared" si="59"/>
        <v>0</v>
      </c>
    </row>
    <row r="4625" spans="1:39" x14ac:dyDescent="0.35">
      <c r="A4625">
        <v>4621</v>
      </c>
      <c r="B4625">
        <v>4622</v>
      </c>
      <c r="F4625" s="63"/>
      <c r="G4625" s="63"/>
      <c r="H4625" t="s">
        <v>26</v>
      </c>
      <c r="I4625" s="64"/>
      <c r="N4625" s="4"/>
      <c r="AM4625" s="1">
        <f t="shared" si="59"/>
        <v>0</v>
      </c>
    </row>
    <row r="4626" spans="1:39" x14ac:dyDescent="0.35">
      <c r="A4626">
        <v>4622</v>
      </c>
      <c r="B4626">
        <v>4623</v>
      </c>
      <c r="F4626" s="63"/>
      <c r="G4626" s="63"/>
      <c r="H4626" t="s">
        <v>26</v>
      </c>
      <c r="I4626" s="64"/>
      <c r="N4626" s="4"/>
      <c r="AM4626" s="1">
        <f t="shared" si="59"/>
        <v>0</v>
      </c>
    </row>
    <row r="4627" spans="1:39" x14ac:dyDescent="0.35">
      <c r="A4627">
        <v>4623</v>
      </c>
      <c r="B4627">
        <v>4624</v>
      </c>
      <c r="F4627" s="63"/>
      <c r="G4627" s="63"/>
      <c r="H4627" t="s">
        <v>26</v>
      </c>
      <c r="I4627" s="64"/>
      <c r="N4627" s="4"/>
      <c r="AM4627" s="1">
        <f t="shared" si="59"/>
        <v>0</v>
      </c>
    </row>
    <row r="4628" spans="1:39" x14ac:dyDescent="0.35">
      <c r="A4628">
        <v>4624</v>
      </c>
      <c r="B4628">
        <v>4625</v>
      </c>
      <c r="F4628" s="63"/>
      <c r="G4628" s="63"/>
      <c r="H4628" t="s">
        <v>26</v>
      </c>
      <c r="I4628" s="64"/>
      <c r="N4628" s="4"/>
      <c r="AM4628" s="1">
        <f t="shared" si="59"/>
        <v>0</v>
      </c>
    </row>
    <row r="4629" spans="1:39" x14ac:dyDescent="0.35">
      <c r="A4629">
        <v>4625</v>
      </c>
      <c r="B4629">
        <v>4626</v>
      </c>
      <c r="F4629" s="63"/>
      <c r="G4629" s="63"/>
      <c r="H4629" t="s">
        <v>26</v>
      </c>
      <c r="I4629" s="64"/>
      <c r="N4629" s="4"/>
      <c r="AM4629" s="1">
        <f t="shared" si="59"/>
        <v>0</v>
      </c>
    </row>
    <row r="4630" spans="1:39" x14ac:dyDescent="0.35">
      <c r="A4630">
        <v>4626</v>
      </c>
      <c r="B4630">
        <v>4627</v>
      </c>
      <c r="F4630" s="63"/>
      <c r="G4630" s="63"/>
      <c r="H4630" t="s">
        <v>26</v>
      </c>
      <c r="I4630" s="64"/>
      <c r="N4630" s="4"/>
      <c r="AM4630" s="1">
        <f t="shared" si="59"/>
        <v>0</v>
      </c>
    </row>
    <row r="4631" spans="1:39" x14ac:dyDescent="0.35">
      <c r="A4631">
        <v>4627</v>
      </c>
      <c r="B4631">
        <v>4628</v>
      </c>
      <c r="F4631" s="63"/>
      <c r="G4631" s="63"/>
      <c r="H4631" t="s">
        <v>26</v>
      </c>
      <c r="I4631" s="64"/>
      <c r="N4631" s="4"/>
      <c r="AM4631" s="1">
        <f t="shared" si="59"/>
        <v>0</v>
      </c>
    </row>
    <row r="4632" spans="1:39" x14ac:dyDescent="0.35">
      <c r="A4632">
        <v>4628</v>
      </c>
      <c r="B4632">
        <v>4629</v>
      </c>
      <c r="F4632" s="63"/>
      <c r="G4632" s="63"/>
      <c r="H4632" t="s">
        <v>26</v>
      </c>
      <c r="I4632" s="64"/>
      <c r="N4632" s="4"/>
      <c r="AM4632" s="1">
        <f t="shared" si="59"/>
        <v>0</v>
      </c>
    </row>
    <row r="4633" spans="1:39" x14ac:dyDescent="0.35">
      <c r="A4633">
        <v>4629</v>
      </c>
      <c r="B4633">
        <v>4630</v>
      </c>
      <c r="F4633" s="63"/>
      <c r="G4633" s="63"/>
      <c r="H4633" t="s">
        <v>26</v>
      </c>
      <c r="I4633" s="64"/>
      <c r="N4633" s="4"/>
      <c r="AM4633" s="1">
        <f t="shared" si="59"/>
        <v>0</v>
      </c>
    </row>
    <row r="4634" spans="1:39" x14ac:dyDescent="0.35">
      <c r="A4634">
        <v>4630</v>
      </c>
      <c r="B4634">
        <v>4631</v>
      </c>
      <c r="F4634" s="63"/>
      <c r="G4634" s="63"/>
      <c r="H4634" t="s">
        <v>26</v>
      </c>
      <c r="I4634" s="64"/>
      <c r="N4634" s="4"/>
      <c r="AM4634" s="1">
        <f t="shared" si="59"/>
        <v>0</v>
      </c>
    </row>
    <row r="4635" spans="1:39" x14ac:dyDescent="0.35">
      <c r="A4635">
        <v>4631</v>
      </c>
      <c r="B4635">
        <v>4632</v>
      </c>
      <c r="F4635" s="63"/>
      <c r="G4635" s="63"/>
      <c r="H4635" t="s">
        <v>26</v>
      </c>
      <c r="I4635" s="64"/>
      <c r="N4635" s="4"/>
      <c r="AM4635" s="1">
        <f t="shared" si="59"/>
        <v>0</v>
      </c>
    </row>
    <row r="4636" spans="1:39" x14ac:dyDescent="0.35">
      <c r="A4636">
        <v>4632</v>
      </c>
      <c r="B4636">
        <v>4633</v>
      </c>
      <c r="F4636" s="63"/>
      <c r="G4636" s="63"/>
      <c r="H4636" t="s">
        <v>26</v>
      </c>
      <c r="I4636" s="64"/>
      <c r="N4636" s="4"/>
      <c r="AM4636" s="1">
        <f t="shared" si="59"/>
        <v>0</v>
      </c>
    </row>
    <row r="4637" spans="1:39" x14ac:dyDescent="0.35">
      <c r="A4637">
        <v>4633</v>
      </c>
      <c r="B4637">
        <v>4634</v>
      </c>
      <c r="F4637" s="63"/>
      <c r="G4637" s="63"/>
      <c r="H4637" t="s">
        <v>26</v>
      </c>
      <c r="I4637" s="64"/>
      <c r="N4637" s="4"/>
      <c r="AM4637" s="1">
        <f t="shared" si="59"/>
        <v>0</v>
      </c>
    </row>
    <row r="4638" spans="1:39" x14ac:dyDescent="0.35">
      <c r="A4638">
        <v>4634</v>
      </c>
      <c r="B4638">
        <v>4635</v>
      </c>
      <c r="F4638" s="63"/>
      <c r="G4638" s="63"/>
      <c r="H4638" t="s">
        <v>26</v>
      </c>
      <c r="I4638" s="64"/>
      <c r="N4638" s="4"/>
      <c r="AM4638" s="1">
        <f t="shared" si="59"/>
        <v>0</v>
      </c>
    </row>
    <row r="4639" spans="1:39" x14ac:dyDescent="0.35">
      <c r="A4639">
        <v>4635</v>
      </c>
      <c r="B4639">
        <v>4636</v>
      </c>
      <c r="F4639" s="63"/>
      <c r="G4639" s="63"/>
      <c r="H4639" t="s">
        <v>26</v>
      </c>
      <c r="I4639" s="64"/>
      <c r="N4639" s="4"/>
      <c r="AM4639" s="1">
        <f t="shared" si="59"/>
        <v>0</v>
      </c>
    </row>
    <row r="4640" spans="1:39" x14ac:dyDescent="0.35">
      <c r="A4640">
        <v>4636</v>
      </c>
      <c r="B4640">
        <v>4637</v>
      </c>
      <c r="F4640" s="63"/>
      <c r="G4640" s="63"/>
      <c r="H4640" t="s">
        <v>26</v>
      </c>
      <c r="I4640" s="64"/>
      <c r="N4640" s="4"/>
      <c r="AM4640" s="1">
        <f t="shared" si="59"/>
        <v>0</v>
      </c>
    </row>
    <row r="4641" spans="1:39" x14ac:dyDescent="0.35">
      <c r="A4641">
        <v>4637</v>
      </c>
      <c r="B4641">
        <v>4638</v>
      </c>
      <c r="F4641" s="63"/>
      <c r="G4641" s="63"/>
      <c r="H4641" t="s">
        <v>26</v>
      </c>
      <c r="I4641" s="64"/>
      <c r="N4641" s="4"/>
      <c r="AM4641" s="1">
        <f t="shared" si="59"/>
        <v>0</v>
      </c>
    </row>
    <row r="4642" spans="1:39" x14ac:dyDescent="0.35">
      <c r="A4642">
        <v>4638</v>
      </c>
      <c r="B4642">
        <v>4639</v>
      </c>
      <c r="F4642" s="63"/>
      <c r="G4642" s="63"/>
      <c r="H4642" t="s">
        <v>26</v>
      </c>
      <c r="I4642" s="64"/>
      <c r="N4642" s="4"/>
      <c r="AM4642" s="1">
        <f t="shared" si="59"/>
        <v>0</v>
      </c>
    </row>
    <row r="4643" spans="1:39" x14ac:dyDescent="0.35">
      <c r="A4643">
        <v>4639</v>
      </c>
      <c r="B4643">
        <v>4640</v>
      </c>
      <c r="F4643" s="63"/>
      <c r="G4643" s="63"/>
      <c r="H4643" t="s">
        <v>26</v>
      </c>
      <c r="I4643" s="64"/>
      <c r="N4643" s="4"/>
      <c r="AM4643" s="1">
        <f t="shared" si="59"/>
        <v>0</v>
      </c>
    </row>
    <row r="4644" spans="1:39" x14ac:dyDescent="0.35">
      <c r="A4644">
        <v>4640</v>
      </c>
      <c r="B4644">
        <v>4641</v>
      </c>
      <c r="F4644" s="63"/>
      <c r="G4644" s="63"/>
      <c r="H4644" t="s">
        <v>26</v>
      </c>
      <c r="I4644" s="64"/>
      <c r="N4644" s="4"/>
      <c r="AM4644" s="1">
        <f t="shared" si="59"/>
        <v>0</v>
      </c>
    </row>
    <row r="4645" spans="1:39" x14ac:dyDescent="0.35">
      <c r="A4645">
        <v>4641</v>
      </c>
      <c r="B4645">
        <v>4642</v>
      </c>
      <c r="F4645" s="63"/>
      <c r="G4645" s="63"/>
      <c r="H4645" t="s">
        <v>26</v>
      </c>
      <c r="I4645" s="64"/>
      <c r="N4645" s="4"/>
      <c r="AM4645" s="1">
        <f t="shared" si="59"/>
        <v>0</v>
      </c>
    </row>
    <row r="4646" spans="1:39" x14ac:dyDescent="0.35">
      <c r="A4646">
        <v>4642</v>
      </c>
      <c r="B4646">
        <v>4643</v>
      </c>
      <c r="F4646" s="63"/>
      <c r="G4646" s="63"/>
      <c r="H4646" t="s">
        <v>26</v>
      </c>
      <c r="I4646" s="64"/>
      <c r="N4646" s="4"/>
      <c r="AM4646" s="1">
        <f t="shared" si="59"/>
        <v>0</v>
      </c>
    </row>
    <row r="4647" spans="1:39" x14ac:dyDescent="0.35">
      <c r="A4647">
        <v>4643</v>
      </c>
      <c r="B4647">
        <v>4644</v>
      </c>
      <c r="F4647" s="63"/>
      <c r="G4647" s="63"/>
      <c r="H4647" t="s">
        <v>26</v>
      </c>
      <c r="I4647" s="64"/>
      <c r="N4647" s="4"/>
      <c r="AM4647" s="1">
        <f t="shared" si="59"/>
        <v>0</v>
      </c>
    </row>
    <row r="4648" spans="1:39" x14ac:dyDescent="0.35">
      <c r="A4648">
        <v>4644</v>
      </c>
      <c r="B4648">
        <v>4645</v>
      </c>
      <c r="F4648" s="63"/>
      <c r="G4648" s="63"/>
      <c r="H4648" t="s">
        <v>26</v>
      </c>
      <c r="I4648" s="64"/>
      <c r="N4648" s="4"/>
      <c r="AM4648" s="1">
        <f t="shared" si="59"/>
        <v>0</v>
      </c>
    </row>
    <row r="4649" spans="1:39" x14ac:dyDescent="0.35">
      <c r="A4649">
        <v>4645</v>
      </c>
      <c r="B4649">
        <v>4646</v>
      </c>
      <c r="F4649" s="63"/>
      <c r="G4649" s="63"/>
      <c r="H4649" t="s">
        <v>26</v>
      </c>
      <c r="I4649" s="64"/>
      <c r="N4649" s="4"/>
      <c r="AM4649" s="1">
        <f t="shared" si="59"/>
        <v>0</v>
      </c>
    </row>
    <row r="4650" spans="1:39" x14ac:dyDescent="0.35">
      <c r="A4650">
        <v>4646</v>
      </c>
      <c r="B4650">
        <v>4647</v>
      </c>
      <c r="F4650" s="63"/>
      <c r="G4650" s="63"/>
      <c r="H4650" t="s">
        <v>26</v>
      </c>
      <c r="I4650" s="64"/>
      <c r="N4650" s="4"/>
      <c r="AM4650" s="1">
        <f t="shared" si="59"/>
        <v>0</v>
      </c>
    </row>
    <row r="4651" spans="1:39" x14ac:dyDescent="0.35">
      <c r="A4651">
        <v>4647</v>
      </c>
      <c r="B4651">
        <v>4648</v>
      </c>
      <c r="F4651" s="63"/>
      <c r="G4651" s="63"/>
      <c r="H4651" t="s">
        <v>26</v>
      </c>
      <c r="I4651" s="64"/>
      <c r="N4651" s="4"/>
      <c r="AM4651" s="1">
        <f t="shared" si="59"/>
        <v>0</v>
      </c>
    </row>
    <row r="4652" spans="1:39" x14ac:dyDescent="0.35">
      <c r="A4652">
        <v>4648</v>
      </c>
      <c r="B4652">
        <v>4649</v>
      </c>
      <c r="F4652" s="63"/>
      <c r="G4652" s="63"/>
      <c r="H4652" t="s">
        <v>26</v>
      </c>
      <c r="I4652" s="64"/>
      <c r="N4652" s="4"/>
      <c r="AM4652" s="1">
        <f t="shared" si="59"/>
        <v>0</v>
      </c>
    </row>
    <row r="4653" spans="1:39" x14ac:dyDescent="0.35">
      <c r="A4653">
        <v>4649</v>
      </c>
      <c r="B4653">
        <v>4650</v>
      </c>
      <c r="F4653" s="63"/>
      <c r="G4653" s="63"/>
      <c r="H4653" t="s">
        <v>26</v>
      </c>
      <c r="I4653" s="64"/>
      <c r="N4653" s="4"/>
      <c r="AM4653" s="1">
        <f t="shared" si="59"/>
        <v>0</v>
      </c>
    </row>
    <row r="4654" spans="1:39" x14ac:dyDescent="0.35">
      <c r="A4654">
        <v>4650</v>
      </c>
      <c r="B4654">
        <v>4651</v>
      </c>
      <c r="F4654" s="63"/>
      <c r="G4654" s="63"/>
      <c r="H4654" t="s">
        <v>26</v>
      </c>
      <c r="I4654" s="64"/>
      <c r="N4654" s="4"/>
      <c r="AM4654" s="1">
        <f t="shared" si="59"/>
        <v>0</v>
      </c>
    </row>
    <row r="4655" spans="1:39" x14ac:dyDescent="0.35">
      <c r="A4655">
        <v>4651</v>
      </c>
      <c r="B4655">
        <v>4652</v>
      </c>
      <c r="F4655" s="63"/>
      <c r="G4655" s="63"/>
      <c r="H4655" t="s">
        <v>26</v>
      </c>
      <c r="I4655" s="64"/>
      <c r="N4655" s="4"/>
      <c r="AM4655" s="1">
        <f t="shared" si="59"/>
        <v>0</v>
      </c>
    </row>
    <row r="4656" spans="1:39" x14ac:dyDescent="0.35">
      <c r="A4656">
        <v>4652</v>
      </c>
      <c r="B4656">
        <v>4653</v>
      </c>
      <c r="F4656" s="63"/>
      <c r="G4656" s="63"/>
      <c r="H4656" t="s">
        <v>26</v>
      </c>
      <c r="I4656" s="64"/>
      <c r="N4656" s="4"/>
      <c r="AM4656" s="1"/>
    </row>
    <row r="4657" spans="1:39" x14ac:dyDescent="0.35">
      <c r="A4657">
        <v>4653</v>
      </c>
      <c r="B4657">
        <v>4654</v>
      </c>
      <c r="F4657" s="63"/>
      <c r="G4657" s="63"/>
      <c r="H4657" t="s">
        <v>26</v>
      </c>
      <c r="I4657" s="64"/>
      <c r="N4657" s="4"/>
      <c r="AM4657" s="1"/>
    </row>
    <row r="4658" spans="1:39" x14ac:dyDescent="0.35">
      <c r="A4658">
        <v>4654</v>
      </c>
      <c r="B4658">
        <v>4655</v>
      </c>
      <c r="F4658" s="63"/>
      <c r="G4658" s="63"/>
      <c r="H4658" t="s">
        <v>26</v>
      </c>
      <c r="I4658" s="64"/>
      <c r="N4658" s="4"/>
      <c r="AM4658" s="1">
        <f t="shared" ref="AM4658:AM4689" si="60">HYPERLINK("E:\CAFNEC_GBRF\2023\JohnstoneRiver\Frames_for_Analysis\" &amp; F4659, F4659)</f>
        <v>0</v>
      </c>
    </row>
    <row r="4659" spans="1:39" x14ac:dyDescent="0.35">
      <c r="A4659">
        <v>4655</v>
      </c>
      <c r="B4659">
        <v>4656</v>
      </c>
      <c r="F4659" s="63"/>
      <c r="G4659" s="63"/>
      <c r="H4659" t="s">
        <v>26</v>
      </c>
      <c r="I4659" s="64"/>
      <c r="N4659" s="4"/>
      <c r="AM4659" s="1">
        <f t="shared" si="60"/>
        <v>0</v>
      </c>
    </row>
    <row r="4660" spans="1:39" x14ac:dyDescent="0.35">
      <c r="A4660">
        <v>4656</v>
      </c>
      <c r="B4660">
        <v>4657</v>
      </c>
      <c r="F4660" s="63"/>
      <c r="G4660" s="63"/>
      <c r="H4660" t="s">
        <v>26</v>
      </c>
      <c r="I4660" s="64"/>
      <c r="N4660" s="4"/>
      <c r="AM4660" s="1">
        <f t="shared" si="60"/>
        <v>0</v>
      </c>
    </row>
    <row r="4661" spans="1:39" x14ac:dyDescent="0.35">
      <c r="A4661">
        <v>4657</v>
      </c>
      <c r="B4661">
        <v>4658</v>
      </c>
      <c r="F4661" s="63"/>
      <c r="G4661" s="63"/>
      <c r="H4661" t="s">
        <v>26</v>
      </c>
      <c r="I4661" s="64"/>
      <c r="N4661" s="4"/>
      <c r="AM4661" s="1">
        <f t="shared" si="60"/>
        <v>0</v>
      </c>
    </row>
    <row r="4662" spans="1:39" x14ac:dyDescent="0.35">
      <c r="A4662">
        <v>4658</v>
      </c>
      <c r="B4662">
        <v>4659</v>
      </c>
      <c r="F4662" s="63"/>
      <c r="G4662" s="63"/>
      <c r="H4662" t="s">
        <v>26</v>
      </c>
      <c r="I4662" s="64"/>
      <c r="N4662" s="4"/>
      <c r="AM4662" s="1">
        <f t="shared" si="60"/>
        <v>0</v>
      </c>
    </row>
    <row r="4663" spans="1:39" x14ac:dyDescent="0.35">
      <c r="A4663">
        <v>4659</v>
      </c>
      <c r="B4663">
        <v>4660</v>
      </c>
      <c r="F4663" s="63"/>
      <c r="G4663" s="63"/>
      <c r="H4663" t="s">
        <v>26</v>
      </c>
      <c r="I4663" s="64"/>
      <c r="N4663" s="4"/>
      <c r="AM4663" s="1">
        <f t="shared" si="60"/>
        <v>0</v>
      </c>
    </row>
    <row r="4664" spans="1:39" x14ac:dyDescent="0.35">
      <c r="A4664">
        <v>4660</v>
      </c>
      <c r="B4664">
        <v>4661</v>
      </c>
      <c r="F4664" s="63"/>
      <c r="G4664" s="63"/>
      <c r="H4664" t="s">
        <v>26</v>
      </c>
      <c r="I4664" s="64"/>
      <c r="N4664" s="4"/>
      <c r="AM4664" s="1">
        <f t="shared" si="60"/>
        <v>0</v>
      </c>
    </row>
    <row r="4665" spans="1:39" x14ac:dyDescent="0.35">
      <c r="A4665">
        <v>4661</v>
      </c>
      <c r="B4665">
        <v>4662</v>
      </c>
      <c r="F4665" s="63"/>
      <c r="G4665" s="63"/>
      <c r="H4665" t="s">
        <v>26</v>
      </c>
      <c r="I4665" s="64"/>
      <c r="N4665" s="4"/>
      <c r="AM4665" s="1">
        <f t="shared" si="60"/>
        <v>0</v>
      </c>
    </row>
    <row r="4666" spans="1:39" x14ac:dyDescent="0.35">
      <c r="A4666">
        <v>4662</v>
      </c>
      <c r="B4666">
        <v>4663</v>
      </c>
      <c r="F4666" s="63"/>
      <c r="G4666" s="63"/>
      <c r="H4666" t="s">
        <v>26</v>
      </c>
      <c r="I4666" s="64"/>
      <c r="N4666" s="4"/>
      <c r="AM4666" s="1">
        <f t="shared" si="60"/>
        <v>0</v>
      </c>
    </row>
    <row r="4667" spans="1:39" x14ac:dyDescent="0.35">
      <c r="A4667">
        <v>4663</v>
      </c>
      <c r="B4667">
        <v>4664</v>
      </c>
      <c r="F4667" s="63"/>
      <c r="G4667" s="63"/>
      <c r="H4667" t="s">
        <v>26</v>
      </c>
      <c r="I4667" s="64"/>
      <c r="N4667" s="4"/>
      <c r="AM4667" s="1">
        <f t="shared" si="60"/>
        <v>0</v>
      </c>
    </row>
    <row r="4668" spans="1:39" x14ac:dyDescent="0.35">
      <c r="A4668">
        <v>4664</v>
      </c>
      <c r="B4668">
        <v>4665</v>
      </c>
      <c r="F4668" s="63"/>
      <c r="G4668" s="63"/>
      <c r="H4668" t="s">
        <v>26</v>
      </c>
      <c r="I4668" s="64"/>
      <c r="N4668" s="4"/>
      <c r="AM4668" s="1">
        <f t="shared" si="60"/>
        <v>0</v>
      </c>
    </row>
    <row r="4669" spans="1:39" x14ac:dyDescent="0.35">
      <c r="A4669">
        <v>4665</v>
      </c>
      <c r="B4669">
        <v>4666</v>
      </c>
      <c r="F4669" s="63"/>
      <c r="G4669" s="63"/>
      <c r="H4669" t="s">
        <v>26</v>
      </c>
      <c r="I4669" s="64"/>
      <c r="N4669" s="4"/>
      <c r="AM4669" s="1">
        <f t="shared" si="60"/>
        <v>0</v>
      </c>
    </row>
    <row r="4670" spans="1:39" x14ac:dyDescent="0.35">
      <c r="A4670">
        <v>4666</v>
      </c>
      <c r="B4670">
        <v>4667</v>
      </c>
      <c r="F4670" s="63"/>
      <c r="G4670" s="63"/>
      <c r="H4670" t="s">
        <v>26</v>
      </c>
      <c r="I4670" s="64"/>
      <c r="N4670" s="4"/>
      <c r="AM4670" s="1">
        <f t="shared" si="60"/>
        <v>0</v>
      </c>
    </row>
    <row r="4671" spans="1:39" x14ac:dyDescent="0.35">
      <c r="A4671">
        <v>4667</v>
      </c>
      <c r="B4671">
        <v>4668</v>
      </c>
      <c r="F4671" s="63"/>
      <c r="G4671" s="63"/>
      <c r="H4671" t="s">
        <v>26</v>
      </c>
      <c r="I4671" s="64"/>
      <c r="N4671" s="4"/>
      <c r="AM4671" s="1">
        <f t="shared" si="60"/>
        <v>0</v>
      </c>
    </row>
    <row r="4672" spans="1:39" x14ac:dyDescent="0.35">
      <c r="A4672">
        <v>4668</v>
      </c>
      <c r="B4672">
        <v>4669</v>
      </c>
      <c r="F4672" s="63"/>
      <c r="G4672" s="63"/>
      <c r="H4672" t="s">
        <v>26</v>
      </c>
      <c r="I4672" s="64"/>
      <c r="N4672" s="4"/>
      <c r="AM4672" s="1">
        <f t="shared" si="60"/>
        <v>0</v>
      </c>
    </row>
    <row r="4673" spans="1:39" x14ac:dyDescent="0.35">
      <c r="A4673">
        <v>4669</v>
      </c>
      <c r="B4673">
        <v>4670</v>
      </c>
      <c r="F4673" s="63"/>
      <c r="G4673" s="63"/>
      <c r="H4673" t="s">
        <v>26</v>
      </c>
      <c r="I4673" s="64"/>
      <c r="N4673" s="4"/>
      <c r="AM4673" s="1">
        <f t="shared" si="60"/>
        <v>0</v>
      </c>
    </row>
    <row r="4674" spans="1:39" x14ac:dyDescent="0.35">
      <c r="A4674">
        <v>4670</v>
      </c>
      <c r="B4674">
        <v>4671</v>
      </c>
      <c r="F4674" s="63"/>
      <c r="G4674" s="63"/>
      <c r="H4674" t="s">
        <v>26</v>
      </c>
      <c r="I4674" s="64"/>
      <c r="N4674" s="4"/>
      <c r="AM4674" s="1">
        <f t="shared" si="60"/>
        <v>0</v>
      </c>
    </row>
    <row r="4675" spans="1:39" x14ac:dyDescent="0.35">
      <c r="A4675">
        <v>4671</v>
      </c>
      <c r="B4675">
        <v>4672</v>
      </c>
      <c r="F4675" s="63"/>
      <c r="G4675" s="63"/>
      <c r="H4675" t="s">
        <v>26</v>
      </c>
      <c r="I4675" s="64"/>
      <c r="N4675" s="4"/>
      <c r="AM4675" s="1">
        <f t="shared" si="60"/>
        <v>0</v>
      </c>
    </row>
    <row r="4676" spans="1:39" x14ac:dyDescent="0.35">
      <c r="A4676">
        <v>4672</v>
      </c>
      <c r="B4676">
        <v>4673</v>
      </c>
      <c r="F4676" s="63"/>
      <c r="G4676" s="63"/>
      <c r="H4676" t="s">
        <v>26</v>
      </c>
      <c r="I4676" s="64"/>
      <c r="N4676" s="4"/>
      <c r="AM4676" s="1">
        <f t="shared" si="60"/>
        <v>0</v>
      </c>
    </row>
    <row r="4677" spans="1:39" x14ac:dyDescent="0.35">
      <c r="A4677">
        <v>4673</v>
      </c>
      <c r="B4677">
        <v>4674</v>
      </c>
      <c r="F4677" s="63"/>
      <c r="G4677" s="63"/>
      <c r="H4677" t="s">
        <v>26</v>
      </c>
      <c r="I4677" s="64"/>
      <c r="N4677" s="4"/>
      <c r="AM4677" s="1">
        <f t="shared" si="60"/>
        <v>0</v>
      </c>
    </row>
    <row r="4678" spans="1:39" x14ac:dyDescent="0.35">
      <c r="A4678">
        <v>4674</v>
      </c>
      <c r="B4678">
        <v>4675</v>
      </c>
      <c r="F4678" s="63"/>
      <c r="G4678" s="63"/>
      <c r="H4678" t="s">
        <v>26</v>
      </c>
      <c r="I4678" s="64"/>
      <c r="N4678" s="4"/>
      <c r="AM4678" s="1">
        <f t="shared" si="60"/>
        <v>0</v>
      </c>
    </row>
    <row r="4679" spans="1:39" x14ac:dyDescent="0.35">
      <c r="A4679">
        <v>4675</v>
      </c>
      <c r="B4679">
        <v>4676</v>
      </c>
      <c r="F4679" s="63"/>
      <c r="G4679" s="63"/>
      <c r="H4679" t="s">
        <v>26</v>
      </c>
      <c r="I4679" s="64"/>
      <c r="N4679" s="4"/>
      <c r="AM4679" s="1">
        <f t="shared" si="60"/>
        <v>0</v>
      </c>
    </row>
    <row r="4680" spans="1:39" x14ac:dyDescent="0.35">
      <c r="A4680">
        <v>4676</v>
      </c>
      <c r="B4680">
        <v>4677</v>
      </c>
      <c r="F4680" s="63"/>
      <c r="G4680" s="63"/>
      <c r="H4680" t="s">
        <v>26</v>
      </c>
      <c r="I4680" s="64"/>
      <c r="N4680" s="4"/>
      <c r="AM4680" s="1">
        <f t="shared" si="60"/>
        <v>0</v>
      </c>
    </row>
    <row r="4681" spans="1:39" x14ac:dyDescent="0.35">
      <c r="A4681">
        <v>4677</v>
      </c>
      <c r="B4681">
        <v>4678</v>
      </c>
      <c r="F4681" s="63"/>
      <c r="G4681" s="63"/>
      <c r="H4681" t="s">
        <v>26</v>
      </c>
      <c r="I4681" s="64"/>
      <c r="N4681" s="4"/>
      <c r="AM4681" s="1">
        <f t="shared" si="60"/>
        <v>0</v>
      </c>
    </row>
    <row r="4682" spans="1:39" x14ac:dyDescent="0.35">
      <c r="A4682">
        <v>4678</v>
      </c>
      <c r="B4682">
        <v>4679</v>
      </c>
      <c r="F4682" s="63"/>
      <c r="G4682" s="63"/>
      <c r="H4682" t="s">
        <v>26</v>
      </c>
      <c r="I4682" s="64"/>
      <c r="N4682" s="4"/>
      <c r="AM4682" s="1">
        <f t="shared" si="60"/>
        <v>0</v>
      </c>
    </row>
    <row r="4683" spans="1:39" x14ac:dyDescent="0.35">
      <c r="A4683">
        <v>4679</v>
      </c>
      <c r="B4683">
        <v>4680</v>
      </c>
      <c r="F4683" s="63"/>
      <c r="G4683" s="63"/>
      <c r="H4683" t="s">
        <v>26</v>
      </c>
      <c r="I4683" s="64"/>
      <c r="N4683" s="4"/>
      <c r="AM4683" s="1">
        <f t="shared" si="60"/>
        <v>0</v>
      </c>
    </row>
    <row r="4684" spans="1:39" x14ac:dyDescent="0.35">
      <c r="A4684">
        <v>4680</v>
      </c>
      <c r="B4684">
        <v>4681</v>
      </c>
      <c r="F4684" s="63"/>
      <c r="G4684" s="63"/>
      <c r="H4684" t="s">
        <v>26</v>
      </c>
      <c r="I4684" s="64"/>
      <c r="N4684" s="4"/>
      <c r="AM4684" s="1">
        <f t="shared" si="60"/>
        <v>0</v>
      </c>
    </row>
    <row r="4685" spans="1:39" x14ac:dyDescent="0.35">
      <c r="A4685">
        <v>4681</v>
      </c>
      <c r="B4685">
        <v>4682</v>
      </c>
      <c r="F4685" s="63"/>
      <c r="G4685" s="63"/>
      <c r="H4685" t="s">
        <v>26</v>
      </c>
      <c r="I4685" s="64"/>
      <c r="N4685" s="4"/>
      <c r="AM4685" s="1">
        <f t="shared" si="60"/>
        <v>0</v>
      </c>
    </row>
    <row r="4686" spans="1:39" x14ac:dyDescent="0.35">
      <c r="A4686">
        <v>4682</v>
      </c>
      <c r="B4686">
        <v>4683</v>
      </c>
      <c r="F4686" s="63"/>
      <c r="G4686" s="63"/>
      <c r="H4686" t="s">
        <v>26</v>
      </c>
      <c r="I4686" s="64"/>
      <c r="N4686" s="4"/>
      <c r="AM4686" s="1">
        <f t="shared" si="60"/>
        <v>0</v>
      </c>
    </row>
    <row r="4687" spans="1:39" x14ac:dyDescent="0.35">
      <c r="A4687">
        <v>4683</v>
      </c>
      <c r="B4687">
        <v>4684</v>
      </c>
      <c r="F4687" s="63"/>
      <c r="G4687" s="63"/>
      <c r="H4687" t="s">
        <v>26</v>
      </c>
      <c r="I4687" s="64"/>
      <c r="N4687" s="4"/>
      <c r="AM4687" s="1">
        <f t="shared" si="60"/>
        <v>0</v>
      </c>
    </row>
    <row r="4688" spans="1:39" x14ac:dyDescent="0.35">
      <c r="A4688">
        <v>4684</v>
      </c>
      <c r="B4688">
        <v>4685</v>
      </c>
      <c r="F4688" s="63"/>
      <c r="G4688" s="63"/>
      <c r="H4688" t="s">
        <v>26</v>
      </c>
      <c r="I4688" s="64"/>
      <c r="N4688" s="4"/>
      <c r="AM4688" s="1">
        <f t="shared" si="60"/>
        <v>0</v>
      </c>
    </row>
    <row r="4689" spans="1:39" x14ac:dyDescent="0.35">
      <c r="A4689">
        <v>4685</v>
      </c>
      <c r="B4689">
        <v>4686</v>
      </c>
      <c r="F4689" s="63"/>
      <c r="G4689" s="63"/>
      <c r="H4689" t="s">
        <v>26</v>
      </c>
      <c r="I4689" s="64"/>
      <c r="N4689" s="4"/>
      <c r="AM4689" s="1">
        <f t="shared" si="60"/>
        <v>0</v>
      </c>
    </row>
    <row r="4690" spans="1:39" x14ac:dyDescent="0.35">
      <c r="A4690">
        <v>4686</v>
      </c>
      <c r="B4690">
        <v>4687</v>
      </c>
      <c r="F4690" s="63"/>
      <c r="G4690" s="63"/>
      <c r="H4690" t="s">
        <v>26</v>
      </c>
      <c r="I4690" s="64"/>
      <c r="N4690" s="4"/>
      <c r="AM4690" s="1">
        <f t="shared" ref="AM4690:AM4721" si="61">HYPERLINK("E:\CAFNEC_GBRF\2023\JohnstoneRiver\Frames_for_Analysis\" &amp; F4691, F4691)</f>
        <v>0</v>
      </c>
    </row>
    <row r="4691" spans="1:39" x14ac:dyDescent="0.35">
      <c r="A4691">
        <v>4687</v>
      </c>
      <c r="B4691">
        <v>4688</v>
      </c>
      <c r="F4691" s="63"/>
      <c r="G4691" s="63"/>
      <c r="H4691" t="s">
        <v>26</v>
      </c>
      <c r="I4691" s="64"/>
      <c r="N4691" s="4"/>
      <c r="AM4691" s="1">
        <f t="shared" si="61"/>
        <v>0</v>
      </c>
    </row>
    <row r="4692" spans="1:39" x14ac:dyDescent="0.35">
      <c r="A4692">
        <v>4688</v>
      </c>
      <c r="B4692">
        <v>4689</v>
      </c>
      <c r="F4692" s="63"/>
      <c r="G4692" s="63"/>
      <c r="H4692" t="s">
        <v>26</v>
      </c>
      <c r="I4692" s="64"/>
      <c r="N4692" s="4"/>
      <c r="AM4692" s="1">
        <f t="shared" si="61"/>
        <v>0</v>
      </c>
    </row>
    <row r="4693" spans="1:39" x14ac:dyDescent="0.35">
      <c r="A4693">
        <v>4689</v>
      </c>
      <c r="B4693">
        <v>4690</v>
      </c>
      <c r="F4693" s="63"/>
      <c r="G4693" s="63"/>
      <c r="H4693" t="s">
        <v>26</v>
      </c>
      <c r="I4693" s="64"/>
      <c r="N4693" s="4"/>
      <c r="AM4693" s="1">
        <f t="shared" si="61"/>
        <v>0</v>
      </c>
    </row>
    <row r="4694" spans="1:39" x14ac:dyDescent="0.35">
      <c r="A4694">
        <v>4690</v>
      </c>
      <c r="B4694">
        <v>4691</v>
      </c>
      <c r="F4694" s="63"/>
      <c r="G4694" s="63"/>
      <c r="H4694" t="s">
        <v>26</v>
      </c>
      <c r="I4694" s="64"/>
      <c r="N4694" s="4"/>
      <c r="AM4694" s="1">
        <f t="shared" si="61"/>
        <v>0</v>
      </c>
    </row>
    <row r="4695" spans="1:39" x14ac:dyDescent="0.35">
      <c r="A4695">
        <v>4691</v>
      </c>
      <c r="B4695">
        <v>4692</v>
      </c>
      <c r="F4695" s="63"/>
      <c r="G4695" s="63"/>
      <c r="H4695" t="s">
        <v>26</v>
      </c>
      <c r="I4695" s="64"/>
      <c r="N4695" s="4"/>
      <c r="AM4695" s="1">
        <f t="shared" si="61"/>
        <v>0</v>
      </c>
    </row>
    <row r="4696" spans="1:39" x14ac:dyDescent="0.35">
      <c r="A4696">
        <v>4692</v>
      </c>
      <c r="B4696">
        <v>4693</v>
      </c>
      <c r="F4696" s="63"/>
      <c r="G4696" s="63"/>
      <c r="H4696" t="s">
        <v>26</v>
      </c>
      <c r="I4696" s="64"/>
      <c r="N4696" s="4"/>
      <c r="AM4696" s="1">
        <f t="shared" si="61"/>
        <v>0</v>
      </c>
    </row>
    <row r="4697" spans="1:39" x14ac:dyDescent="0.35">
      <c r="A4697">
        <v>4693</v>
      </c>
      <c r="B4697">
        <v>4694</v>
      </c>
      <c r="F4697" s="63"/>
      <c r="G4697" s="63"/>
      <c r="H4697" t="s">
        <v>26</v>
      </c>
      <c r="I4697" s="64"/>
      <c r="N4697" s="4"/>
      <c r="AM4697" s="1">
        <f t="shared" si="61"/>
        <v>0</v>
      </c>
    </row>
    <row r="4698" spans="1:39" x14ac:dyDescent="0.35">
      <c r="A4698">
        <v>4694</v>
      </c>
      <c r="B4698">
        <v>4695</v>
      </c>
      <c r="F4698" s="63"/>
      <c r="G4698" s="63"/>
      <c r="H4698" t="s">
        <v>26</v>
      </c>
      <c r="I4698" s="64"/>
      <c r="N4698" s="4"/>
      <c r="AM4698" s="1">
        <f t="shared" si="61"/>
        <v>0</v>
      </c>
    </row>
    <row r="4699" spans="1:39" x14ac:dyDescent="0.35">
      <c r="A4699">
        <v>4695</v>
      </c>
      <c r="B4699">
        <v>4696</v>
      </c>
      <c r="F4699" s="63"/>
      <c r="G4699" s="63"/>
      <c r="H4699" t="s">
        <v>26</v>
      </c>
      <c r="I4699" s="64"/>
      <c r="N4699" s="4"/>
      <c r="AM4699" s="1">
        <f t="shared" si="61"/>
        <v>0</v>
      </c>
    </row>
    <row r="4700" spans="1:39" x14ac:dyDescent="0.35">
      <c r="A4700">
        <v>4696</v>
      </c>
      <c r="B4700">
        <v>4697</v>
      </c>
      <c r="F4700" s="63"/>
      <c r="G4700" s="63"/>
      <c r="H4700" t="s">
        <v>26</v>
      </c>
      <c r="I4700" s="64"/>
      <c r="N4700" s="4"/>
      <c r="AM4700" s="1">
        <f t="shared" si="61"/>
        <v>0</v>
      </c>
    </row>
    <row r="4701" spans="1:39" x14ac:dyDescent="0.35">
      <c r="A4701">
        <v>4697</v>
      </c>
      <c r="B4701">
        <v>4698</v>
      </c>
      <c r="F4701" s="63"/>
      <c r="G4701" s="63"/>
      <c r="H4701" t="s">
        <v>26</v>
      </c>
      <c r="I4701" s="64"/>
      <c r="N4701" s="4"/>
      <c r="AM4701" s="1">
        <f t="shared" si="61"/>
        <v>0</v>
      </c>
    </row>
    <row r="4702" spans="1:39" x14ac:dyDescent="0.35">
      <c r="A4702">
        <v>4698</v>
      </c>
      <c r="B4702">
        <v>4699</v>
      </c>
      <c r="F4702" s="63"/>
      <c r="G4702" s="63"/>
      <c r="H4702" t="s">
        <v>26</v>
      </c>
      <c r="I4702" s="64"/>
      <c r="N4702" s="4"/>
      <c r="AM4702" s="1">
        <f t="shared" si="61"/>
        <v>0</v>
      </c>
    </row>
    <row r="4703" spans="1:39" x14ac:dyDescent="0.35">
      <c r="A4703">
        <v>4699</v>
      </c>
      <c r="B4703">
        <v>4700</v>
      </c>
      <c r="F4703" s="63"/>
      <c r="G4703" s="63"/>
      <c r="H4703" t="s">
        <v>26</v>
      </c>
      <c r="I4703" s="64"/>
      <c r="N4703" s="4"/>
      <c r="AM4703" s="1">
        <f t="shared" si="61"/>
        <v>0</v>
      </c>
    </row>
    <row r="4704" spans="1:39" x14ac:dyDescent="0.35">
      <c r="A4704">
        <v>4700</v>
      </c>
      <c r="B4704">
        <v>4701</v>
      </c>
      <c r="F4704" s="63"/>
      <c r="G4704" s="63"/>
      <c r="H4704" t="s">
        <v>26</v>
      </c>
      <c r="I4704" s="64"/>
      <c r="N4704" s="4"/>
      <c r="AM4704" s="1">
        <f t="shared" si="61"/>
        <v>0</v>
      </c>
    </row>
    <row r="4705" spans="1:39" x14ac:dyDescent="0.35">
      <c r="A4705">
        <v>4701</v>
      </c>
      <c r="B4705">
        <v>4702</v>
      </c>
      <c r="F4705" s="63"/>
      <c r="G4705" s="63"/>
      <c r="H4705" t="s">
        <v>26</v>
      </c>
      <c r="I4705" s="64"/>
      <c r="N4705" s="4"/>
      <c r="AM4705" s="1">
        <f t="shared" si="61"/>
        <v>0</v>
      </c>
    </row>
    <row r="4706" spans="1:39" x14ac:dyDescent="0.35">
      <c r="A4706">
        <v>4702</v>
      </c>
      <c r="B4706">
        <v>4703</v>
      </c>
      <c r="F4706" s="63"/>
      <c r="G4706" s="63"/>
      <c r="H4706" t="s">
        <v>26</v>
      </c>
      <c r="I4706" s="64"/>
      <c r="N4706" s="4"/>
      <c r="AM4706" s="1">
        <f t="shared" si="61"/>
        <v>0</v>
      </c>
    </row>
    <row r="4707" spans="1:39" x14ac:dyDescent="0.35">
      <c r="A4707">
        <v>4703</v>
      </c>
      <c r="B4707">
        <v>4704</v>
      </c>
      <c r="F4707" s="63"/>
      <c r="G4707" s="63"/>
      <c r="H4707" t="s">
        <v>26</v>
      </c>
      <c r="I4707" s="64"/>
      <c r="N4707" s="4"/>
      <c r="AM4707" s="1">
        <f t="shared" si="61"/>
        <v>0</v>
      </c>
    </row>
    <row r="4708" spans="1:39" x14ac:dyDescent="0.35">
      <c r="A4708">
        <v>4704</v>
      </c>
      <c r="B4708">
        <v>4705</v>
      </c>
      <c r="F4708" s="63"/>
      <c r="G4708" s="63"/>
      <c r="H4708" t="s">
        <v>26</v>
      </c>
      <c r="I4708" s="64"/>
      <c r="N4708" s="4"/>
      <c r="AM4708" s="1">
        <f t="shared" si="61"/>
        <v>0</v>
      </c>
    </row>
    <row r="4709" spans="1:39" x14ac:dyDescent="0.35">
      <c r="A4709">
        <v>4705</v>
      </c>
      <c r="B4709">
        <v>4706</v>
      </c>
      <c r="F4709" s="63"/>
      <c r="G4709" s="63"/>
      <c r="H4709" t="s">
        <v>26</v>
      </c>
      <c r="I4709" s="64"/>
      <c r="N4709" s="4"/>
      <c r="AM4709" s="1">
        <f t="shared" si="61"/>
        <v>0</v>
      </c>
    </row>
    <row r="4710" spans="1:39" x14ac:dyDescent="0.35">
      <c r="A4710">
        <v>4706</v>
      </c>
      <c r="B4710">
        <v>4707</v>
      </c>
      <c r="F4710" s="63"/>
      <c r="G4710" s="63"/>
      <c r="H4710" t="s">
        <v>26</v>
      </c>
      <c r="I4710" s="64"/>
      <c r="N4710" s="4"/>
      <c r="AM4710" s="1">
        <f t="shared" si="61"/>
        <v>0</v>
      </c>
    </row>
    <row r="4711" spans="1:39" x14ac:dyDescent="0.35">
      <c r="A4711">
        <v>4707</v>
      </c>
      <c r="B4711">
        <v>4708</v>
      </c>
      <c r="F4711" s="63"/>
      <c r="G4711" s="63"/>
      <c r="H4711" t="s">
        <v>26</v>
      </c>
      <c r="I4711" s="64"/>
      <c r="N4711" s="4"/>
      <c r="AM4711" s="1">
        <f t="shared" si="61"/>
        <v>0</v>
      </c>
    </row>
    <row r="4712" spans="1:39" x14ac:dyDescent="0.35">
      <c r="A4712">
        <v>4708</v>
      </c>
      <c r="B4712">
        <v>4709</v>
      </c>
      <c r="F4712" s="63"/>
      <c r="G4712" s="63"/>
      <c r="H4712" t="s">
        <v>26</v>
      </c>
      <c r="I4712" s="64"/>
      <c r="N4712" s="4"/>
      <c r="AM4712" s="1">
        <f t="shared" si="61"/>
        <v>0</v>
      </c>
    </row>
    <row r="4713" spans="1:39" x14ac:dyDescent="0.35">
      <c r="A4713">
        <v>4709</v>
      </c>
      <c r="B4713">
        <v>4710</v>
      </c>
      <c r="F4713" s="63"/>
      <c r="G4713" s="63"/>
      <c r="H4713" t="s">
        <v>26</v>
      </c>
      <c r="I4713" s="64"/>
      <c r="N4713" s="4"/>
      <c r="AM4713" s="1">
        <f t="shared" si="61"/>
        <v>0</v>
      </c>
    </row>
    <row r="4714" spans="1:39" x14ac:dyDescent="0.35">
      <c r="A4714">
        <v>4710</v>
      </c>
      <c r="B4714">
        <v>4711</v>
      </c>
      <c r="F4714" s="63"/>
      <c r="G4714" s="63"/>
      <c r="H4714" t="s">
        <v>26</v>
      </c>
      <c r="I4714" s="64"/>
      <c r="N4714" s="4"/>
      <c r="AM4714" s="1">
        <f t="shared" si="61"/>
        <v>0</v>
      </c>
    </row>
    <row r="4715" spans="1:39" x14ac:dyDescent="0.35">
      <c r="A4715">
        <v>4711</v>
      </c>
      <c r="B4715">
        <v>4712</v>
      </c>
      <c r="F4715" s="63"/>
      <c r="G4715" s="63"/>
      <c r="H4715" t="s">
        <v>26</v>
      </c>
      <c r="I4715" s="64"/>
      <c r="N4715" s="4"/>
      <c r="AM4715" s="1">
        <f t="shared" si="61"/>
        <v>0</v>
      </c>
    </row>
    <row r="4716" spans="1:39" x14ac:dyDescent="0.35">
      <c r="A4716">
        <v>4712</v>
      </c>
      <c r="B4716">
        <v>4713</v>
      </c>
      <c r="F4716" s="63"/>
      <c r="G4716" s="63"/>
      <c r="H4716" t="s">
        <v>26</v>
      </c>
      <c r="I4716" s="64"/>
      <c r="N4716" s="4"/>
      <c r="AM4716" s="1">
        <f t="shared" si="61"/>
        <v>0</v>
      </c>
    </row>
    <row r="4717" spans="1:39" x14ac:dyDescent="0.35">
      <c r="A4717">
        <v>4713</v>
      </c>
      <c r="B4717">
        <v>4714</v>
      </c>
      <c r="F4717" s="63"/>
      <c r="G4717" s="63"/>
      <c r="H4717" t="s">
        <v>26</v>
      </c>
      <c r="I4717" s="64"/>
      <c r="N4717" s="4"/>
      <c r="AM4717" s="1">
        <f t="shared" si="61"/>
        <v>0</v>
      </c>
    </row>
    <row r="4718" spans="1:39" x14ac:dyDescent="0.35">
      <c r="A4718">
        <v>4714</v>
      </c>
      <c r="B4718">
        <v>4715</v>
      </c>
      <c r="F4718" s="63"/>
      <c r="G4718" s="63"/>
      <c r="H4718" t="s">
        <v>26</v>
      </c>
      <c r="I4718" s="64"/>
      <c r="N4718" s="4"/>
      <c r="AM4718" s="1">
        <f t="shared" si="61"/>
        <v>0</v>
      </c>
    </row>
    <row r="4719" spans="1:39" x14ac:dyDescent="0.35">
      <c r="A4719">
        <v>4715</v>
      </c>
      <c r="B4719">
        <v>4716</v>
      </c>
      <c r="F4719" s="63"/>
      <c r="G4719" s="63"/>
      <c r="H4719" t="s">
        <v>26</v>
      </c>
      <c r="I4719" s="64"/>
      <c r="N4719" s="4"/>
      <c r="AM4719" s="1">
        <f t="shared" si="61"/>
        <v>0</v>
      </c>
    </row>
    <row r="4720" spans="1:39" x14ac:dyDescent="0.35">
      <c r="A4720">
        <v>4716</v>
      </c>
      <c r="B4720">
        <v>4717</v>
      </c>
      <c r="F4720" s="63"/>
      <c r="G4720" s="63"/>
      <c r="H4720" t="s">
        <v>26</v>
      </c>
      <c r="I4720" s="64"/>
      <c r="N4720" s="4"/>
      <c r="AM4720" s="1">
        <f t="shared" si="61"/>
        <v>0</v>
      </c>
    </row>
    <row r="4721" spans="1:39" x14ac:dyDescent="0.35">
      <c r="A4721">
        <v>4717</v>
      </c>
      <c r="B4721">
        <v>4718</v>
      </c>
      <c r="F4721" s="63"/>
      <c r="G4721" s="63"/>
      <c r="H4721" t="s">
        <v>26</v>
      </c>
      <c r="I4721" s="64"/>
      <c r="N4721" s="4"/>
      <c r="AM4721" s="1">
        <f t="shared" si="61"/>
        <v>0</v>
      </c>
    </row>
    <row r="4722" spans="1:39" x14ac:dyDescent="0.35">
      <c r="A4722">
        <v>4718</v>
      </c>
      <c r="B4722">
        <v>4719</v>
      </c>
      <c r="F4722" s="63"/>
      <c r="G4722" s="63"/>
      <c r="H4722" t="s">
        <v>26</v>
      </c>
      <c r="I4722" s="64"/>
      <c r="N4722" s="4"/>
      <c r="AM4722" s="1">
        <f t="shared" ref="AM4722:AM4749" si="62">HYPERLINK("E:\CAFNEC_GBRF\2023\JohnstoneRiver\Frames_for_Analysis\" &amp; F4723, F4723)</f>
        <v>0</v>
      </c>
    </row>
    <row r="4723" spans="1:39" x14ac:dyDescent="0.35">
      <c r="A4723">
        <v>4719</v>
      </c>
      <c r="B4723">
        <v>4720</v>
      </c>
      <c r="F4723" s="63"/>
      <c r="G4723" s="63"/>
      <c r="H4723" t="s">
        <v>26</v>
      </c>
      <c r="I4723" s="64"/>
      <c r="N4723" s="4"/>
      <c r="AM4723" s="1">
        <f t="shared" si="62"/>
        <v>0</v>
      </c>
    </row>
    <row r="4724" spans="1:39" x14ac:dyDescent="0.35">
      <c r="A4724">
        <v>4720</v>
      </c>
      <c r="B4724">
        <v>4721</v>
      </c>
      <c r="F4724" s="63"/>
      <c r="G4724" s="63"/>
      <c r="H4724" t="s">
        <v>26</v>
      </c>
      <c r="I4724" s="64"/>
      <c r="N4724" s="4"/>
      <c r="AM4724" s="1">
        <f t="shared" si="62"/>
        <v>0</v>
      </c>
    </row>
    <row r="4725" spans="1:39" x14ac:dyDescent="0.35">
      <c r="A4725">
        <v>4721</v>
      </c>
      <c r="B4725">
        <v>4722</v>
      </c>
      <c r="F4725" s="63"/>
      <c r="G4725" s="63"/>
      <c r="H4725" t="s">
        <v>26</v>
      </c>
      <c r="I4725" s="64"/>
      <c r="N4725" s="4"/>
      <c r="AM4725" s="1">
        <f t="shared" si="62"/>
        <v>0</v>
      </c>
    </row>
    <row r="4726" spans="1:39" x14ac:dyDescent="0.35">
      <c r="A4726">
        <v>4722</v>
      </c>
      <c r="B4726">
        <v>4723</v>
      </c>
      <c r="F4726" s="63"/>
      <c r="G4726" s="63"/>
      <c r="H4726" t="s">
        <v>26</v>
      </c>
      <c r="I4726" s="64"/>
      <c r="N4726" s="4"/>
      <c r="AM4726" s="1">
        <f t="shared" si="62"/>
        <v>0</v>
      </c>
    </row>
    <row r="4727" spans="1:39" x14ac:dyDescent="0.35">
      <c r="A4727">
        <v>4723</v>
      </c>
      <c r="B4727">
        <v>4724</v>
      </c>
      <c r="F4727" s="63"/>
      <c r="G4727" s="63"/>
      <c r="H4727" t="s">
        <v>26</v>
      </c>
      <c r="I4727" s="64"/>
      <c r="N4727" s="4"/>
      <c r="AM4727" s="1">
        <f t="shared" si="62"/>
        <v>0</v>
      </c>
    </row>
    <row r="4728" spans="1:39" x14ac:dyDescent="0.35">
      <c r="A4728">
        <v>4724</v>
      </c>
      <c r="B4728">
        <v>4725</v>
      </c>
      <c r="F4728" s="63"/>
      <c r="G4728" s="63"/>
      <c r="H4728" t="s">
        <v>26</v>
      </c>
      <c r="I4728" s="64"/>
      <c r="N4728" s="4"/>
      <c r="AM4728" s="1">
        <f t="shared" si="62"/>
        <v>0</v>
      </c>
    </row>
    <row r="4729" spans="1:39" x14ac:dyDescent="0.35">
      <c r="A4729">
        <v>4725</v>
      </c>
      <c r="B4729">
        <v>4726</v>
      </c>
      <c r="F4729" s="63"/>
      <c r="G4729" s="63"/>
      <c r="H4729" t="s">
        <v>26</v>
      </c>
      <c r="I4729" s="64"/>
      <c r="N4729" s="4"/>
      <c r="AM4729" s="1">
        <f t="shared" si="62"/>
        <v>0</v>
      </c>
    </row>
    <row r="4730" spans="1:39" x14ac:dyDescent="0.35">
      <c r="A4730">
        <v>4726</v>
      </c>
      <c r="B4730">
        <v>4727</v>
      </c>
      <c r="F4730" s="63"/>
      <c r="G4730" s="63"/>
      <c r="H4730" t="s">
        <v>26</v>
      </c>
      <c r="I4730" s="64"/>
      <c r="N4730" s="4"/>
      <c r="AM4730" s="1">
        <f t="shared" si="62"/>
        <v>0</v>
      </c>
    </row>
    <row r="4731" spans="1:39" x14ac:dyDescent="0.35">
      <c r="A4731">
        <v>4727</v>
      </c>
      <c r="B4731">
        <v>4728</v>
      </c>
      <c r="F4731" s="63"/>
      <c r="G4731" s="63"/>
      <c r="H4731" t="s">
        <v>26</v>
      </c>
      <c r="I4731" s="64"/>
      <c r="N4731" s="4"/>
      <c r="AM4731" s="1">
        <f t="shared" si="62"/>
        <v>0</v>
      </c>
    </row>
    <row r="4732" spans="1:39" x14ac:dyDescent="0.35">
      <c r="A4732">
        <v>4728</v>
      </c>
      <c r="B4732">
        <v>4729</v>
      </c>
      <c r="F4732" s="63"/>
      <c r="G4732" s="63"/>
      <c r="H4732" t="s">
        <v>26</v>
      </c>
      <c r="I4732" s="64"/>
      <c r="N4732" s="4"/>
      <c r="AM4732" s="1">
        <f t="shared" si="62"/>
        <v>0</v>
      </c>
    </row>
    <row r="4733" spans="1:39" x14ac:dyDescent="0.35">
      <c r="A4733">
        <v>4729</v>
      </c>
      <c r="B4733">
        <v>4730</v>
      </c>
      <c r="F4733" s="63"/>
      <c r="G4733" s="63"/>
      <c r="H4733" t="s">
        <v>26</v>
      </c>
      <c r="I4733" s="64"/>
      <c r="N4733" s="4"/>
      <c r="AM4733" s="1">
        <f t="shared" si="62"/>
        <v>0</v>
      </c>
    </row>
    <row r="4734" spans="1:39" x14ac:dyDescent="0.35">
      <c r="A4734">
        <v>4730</v>
      </c>
      <c r="B4734">
        <v>4731</v>
      </c>
      <c r="F4734" s="63"/>
      <c r="G4734" s="63"/>
      <c r="H4734" t="s">
        <v>26</v>
      </c>
      <c r="I4734" s="64"/>
      <c r="N4734" s="4"/>
      <c r="AM4734" s="1">
        <f t="shared" si="62"/>
        <v>0</v>
      </c>
    </row>
    <row r="4735" spans="1:39" x14ac:dyDescent="0.35">
      <c r="A4735">
        <v>4731</v>
      </c>
      <c r="B4735">
        <v>4732</v>
      </c>
      <c r="F4735" s="63"/>
      <c r="G4735" s="63"/>
      <c r="H4735" t="s">
        <v>26</v>
      </c>
      <c r="I4735" s="64"/>
      <c r="N4735" s="4"/>
      <c r="AM4735" s="1">
        <f t="shared" si="62"/>
        <v>0</v>
      </c>
    </row>
    <row r="4736" spans="1:39" x14ac:dyDescent="0.35">
      <c r="A4736">
        <v>4732</v>
      </c>
      <c r="B4736">
        <v>4733</v>
      </c>
      <c r="F4736" s="63"/>
      <c r="G4736" s="63"/>
      <c r="H4736" t="s">
        <v>26</v>
      </c>
      <c r="I4736" s="64"/>
      <c r="N4736" s="4"/>
      <c r="AM4736" s="1">
        <f t="shared" si="62"/>
        <v>0</v>
      </c>
    </row>
    <row r="4737" spans="1:39" x14ac:dyDescent="0.35">
      <c r="A4737">
        <v>4733</v>
      </c>
      <c r="B4737">
        <v>4734</v>
      </c>
      <c r="F4737" s="63"/>
      <c r="G4737" s="63"/>
      <c r="H4737" t="s">
        <v>26</v>
      </c>
      <c r="I4737" s="64"/>
      <c r="N4737" s="4"/>
      <c r="AM4737" s="1">
        <f t="shared" si="62"/>
        <v>0</v>
      </c>
    </row>
    <row r="4738" spans="1:39" x14ac:dyDescent="0.35">
      <c r="A4738">
        <v>4734</v>
      </c>
      <c r="B4738">
        <v>4735</v>
      </c>
      <c r="F4738" s="63"/>
      <c r="G4738" s="63"/>
      <c r="H4738" t="s">
        <v>26</v>
      </c>
      <c r="I4738" s="64"/>
      <c r="N4738" s="4"/>
      <c r="AM4738" s="1">
        <f t="shared" si="62"/>
        <v>0</v>
      </c>
    </row>
    <row r="4739" spans="1:39" x14ac:dyDescent="0.35">
      <c r="A4739">
        <v>4735</v>
      </c>
      <c r="B4739">
        <v>4736</v>
      </c>
      <c r="F4739" s="63"/>
      <c r="G4739" s="63"/>
      <c r="H4739" t="s">
        <v>26</v>
      </c>
      <c r="I4739" s="64"/>
      <c r="N4739" s="4"/>
      <c r="AM4739" s="1">
        <f t="shared" si="62"/>
        <v>0</v>
      </c>
    </row>
    <row r="4740" spans="1:39" x14ac:dyDescent="0.35">
      <c r="A4740">
        <v>4736</v>
      </c>
      <c r="B4740">
        <v>4737</v>
      </c>
      <c r="F4740" s="63"/>
      <c r="G4740" s="63"/>
      <c r="H4740" t="s">
        <v>26</v>
      </c>
      <c r="I4740" s="64"/>
      <c r="N4740" s="4"/>
      <c r="AM4740" s="1">
        <f t="shared" si="62"/>
        <v>0</v>
      </c>
    </row>
    <row r="4741" spans="1:39" x14ac:dyDescent="0.35">
      <c r="A4741">
        <v>4737</v>
      </c>
      <c r="B4741">
        <v>4738</v>
      </c>
      <c r="F4741" s="63"/>
      <c r="G4741" s="63"/>
      <c r="H4741" t="s">
        <v>26</v>
      </c>
      <c r="I4741" s="64"/>
      <c r="N4741" s="4"/>
      <c r="AM4741" s="1">
        <f t="shared" si="62"/>
        <v>0</v>
      </c>
    </row>
    <row r="4742" spans="1:39" x14ac:dyDescent="0.35">
      <c r="A4742">
        <v>4738</v>
      </c>
      <c r="B4742">
        <v>4739</v>
      </c>
      <c r="F4742" s="63"/>
      <c r="G4742" s="63"/>
      <c r="H4742" t="s">
        <v>26</v>
      </c>
      <c r="I4742" s="64"/>
      <c r="N4742" s="4"/>
      <c r="AM4742" s="1">
        <f t="shared" si="62"/>
        <v>0</v>
      </c>
    </row>
    <row r="4743" spans="1:39" x14ac:dyDescent="0.35">
      <c r="A4743">
        <v>4739</v>
      </c>
      <c r="B4743">
        <v>4740</v>
      </c>
      <c r="F4743" s="63"/>
      <c r="G4743" s="63"/>
      <c r="H4743" t="s">
        <v>26</v>
      </c>
      <c r="I4743" s="64"/>
      <c r="N4743" s="4"/>
      <c r="AM4743" s="1">
        <f t="shared" si="62"/>
        <v>0</v>
      </c>
    </row>
    <row r="4744" spans="1:39" x14ac:dyDescent="0.35">
      <c r="A4744">
        <v>4740</v>
      </c>
      <c r="B4744">
        <v>4741</v>
      </c>
      <c r="F4744" s="63"/>
      <c r="G4744" s="63"/>
      <c r="H4744" t="s">
        <v>26</v>
      </c>
      <c r="I4744" s="64"/>
      <c r="N4744" s="4"/>
      <c r="AM4744" s="1">
        <f t="shared" si="62"/>
        <v>0</v>
      </c>
    </row>
    <row r="4745" spans="1:39" x14ac:dyDescent="0.35">
      <c r="A4745">
        <v>4741</v>
      </c>
      <c r="B4745">
        <v>4742</v>
      </c>
      <c r="F4745" s="63"/>
      <c r="G4745" s="63"/>
      <c r="H4745" t="s">
        <v>26</v>
      </c>
      <c r="I4745" s="64"/>
      <c r="N4745" s="4"/>
      <c r="AM4745" s="1">
        <f t="shared" si="62"/>
        <v>0</v>
      </c>
    </row>
    <row r="4746" spans="1:39" x14ac:dyDescent="0.35">
      <c r="A4746">
        <v>4742</v>
      </c>
      <c r="B4746">
        <v>4743</v>
      </c>
      <c r="F4746" s="63"/>
      <c r="G4746" s="63"/>
      <c r="H4746" t="s">
        <v>26</v>
      </c>
      <c r="I4746" s="64"/>
      <c r="N4746" s="4"/>
      <c r="AM4746" s="1">
        <f t="shared" si="62"/>
        <v>0</v>
      </c>
    </row>
    <row r="4747" spans="1:39" x14ac:dyDescent="0.35">
      <c r="A4747">
        <v>4743</v>
      </c>
      <c r="B4747">
        <v>4744</v>
      </c>
      <c r="F4747" s="63"/>
      <c r="G4747" s="63"/>
      <c r="H4747" t="s">
        <v>26</v>
      </c>
      <c r="I4747" s="64"/>
      <c r="N4747" s="4"/>
      <c r="AM4747" s="1">
        <f t="shared" si="62"/>
        <v>0</v>
      </c>
    </row>
    <row r="4748" spans="1:39" x14ac:dyDescent="0.35">
      <c r="A4748">
        <v>4744</v>
      </c>
      <c r="B4748">
        <v>4745</v>
      </c>
      <c r="F4748" s="63"/>
      <c r="G4748" s="63"/>
      <c r="H4748" t="s">
        <v>26</v>
      </c>
      <c r="I4748" s="64"/>
      <c r="N4748" s="4"/>
      <c r="AM4748" s="1">
        <f t="shared" si="62"/>
        <v>0</v>
      </c>
    </row>
    <row r="4749" spans="1:39" x14ac:dyDescent="0.35">
      <c r="A4749">
        <v>4745</v>
      </c>
      <c r="B4749">
        <v>4746</v>
      </c>
      <c r="F4749" s="63"/>
      <c r="G4749" s="63"/>
      <c r="H4749" t="s">
        <v>26</v>
      </c>
      <c r="I4749" s="64"/>
      <c r="N4749" s="4"/>
      <c r="AM4749" s="1">
        <f t="shared" si="62"/>
        <v>0</v>
      </c>
    </row>
    <row r="4750" spans="1:39" x14ac:dyDescent="0.35">
      <c r="A4750">
        <v>4746</v>
      </c>
      <c r="B4750">
        <v>4747</v>
      </c>
      <c r="F4750" s="63"/>
      <c r="G4750" s="63"/>
      <c r="H4750" t="s">
        <v>26</v>
      </c>
      <c r="I4750" s="64"/>
      <c r="N4750" s="4"/>
      <c r="AH4750" s="1"/>
    </row>
    <row r="4751" spans="1:39" x14ac:dyDescent="0.35">
      <c r="A4751">
        <v>4747</v>
      </c>
      <c r="B4751">
        <v>4748</v>
      </c>
      <c r="F4751" s="1"/>
      <c r="H4751" t="s">
        <v>26</v>
      </c>
      <c r="I4751" s="64"/>
      <c r="N4751" s="4"/>
      <c r="AH4751" s="1"/>
    </row>
    <row r="4752" spans="1:39" x14ac:dyDescent="0.35">
      <c r="A4752">
        <v>4748</v>
      </c>
      <c r="B4752">
        <v>4749</v>
      </c>
      <c r="F4752" s="1"/>
      <c r="H4752" t="s">
        <v>26</v>
      </c>
      <c r="I4752" s="64"/>
      <c r="N4752" s="4"/>
      <c r="AH4752" s="1"/>
    </row>
    <row r="4753" spans="1:34" x14ac:dyDescent="0.35">
      <c r="A4753">
        <v>4749</v>
      </c>
      <c r="B4753">
        <v>4750</v>
      </c>
      <c r="F4753" s="1"/>
      <c r="H4753" t="s">
        <v>26</v>
      </c>
      <c r="I4753" s="64"/>
      <c r="N4753" s="4"/>
      <c r="AH4753" s="1"/>
    </row>
    <row r="4754" spans="1:34" x14ac:dyDescent="0.35">
      <c r="A4754">
        <v>4750</v>
      </c>
      <c r="B4754">
        <v>4751</v>
      </c>
      <c r="F4754" s="1"/>
      <c r="H4754" t="s">
        <v>26</v>
      </c>
      <c r="I4754" s="64"/>
      <c r="N4754" s="4"/>
    </row>
    <row r="4755" spans="1:34" x14ac:dyDescent="0.35">
      <c r="A4755">
        <v>4751</v>
      </c>
      <c r="B4755">
        <v>4752</v>
      </c>
      <c r="F4755" s="1"/>
      <c r="H4755" t="s">
        <v>26</v>
      </c>
      <c r="I4755" s="64"/>
      <c r="N4755" s="4"/>
    </row>
    <row r="4756" spans="1:34" x14ac:dyDescent="0.35">
      <c r="A4756">
        <v>4752</v>
      </c>
      <c r="B4756">
        <v>4753</v>
      </c>
      <c r="F4756" s="1"/>
      <c r="H4756" t="s">
        <v>26</v>
      </c>
      <c r="I4756" s="64"/>
      <c r="N4756" s="4"/>
    </row>
    <row r="4757" spans="1:34" x14ac:dyDescent="0.35">
      <c r="A4757">
        <v>4753</v>
      </c>
      <c r="B4757">
        <v>4754</v>
      </c>
      <c r="F4757" s="1"/>
      <c r="H4757" t="s">
        <v>26</v>
      </c>
      <c r="I4757" s="64"/>
      <c r="N4757" s="4"/>
    </row>
    <row r="4758" spans="1:34" x14ac:dyDescent="0.35">
      <c r="A4758">
        <v>4754</v>
      </c>
      <c r="B4758">
        <v>4755</v>
      </c>
      <c r="F4758" s="1"/>
      <c r="H4758" t="s">
        <v>26</v>
      </c>
      <c r="I4758" s="64"/>
      <c r="N4758" s="4"/>
    </row>
    <row r="4759" spans="1:34" x14ac:dyDescent="0.35">
      <c r="A4759">
        <v>4755</v>
      </c>
      <c r="B4759">
        <v>4756</v>
      </c>
      <c r="F4759" s="1"/>
      <c r="H4759" t="s">
        <v>26</v>
      </c>
      <c r="I4759" s="64"/>
      <c r="N4759" s="4"/>
    </row>
    <row r="4760" spans="1:34" x14ac:dyDescent="0.35">
      <c r="A4760">
        <v>4756</v>
      </c>
      <c r="B4760">
        <v>4757</v>
      </c>
      <c r="F4760" s="1"/>
      <c r="H4760" t="s">
        <v>26</v>
      </c>
      <c r="I4760" s="64"/>
      <c r="N4760" s="4"/>
    </row>
    <row r="4761" spans="1:34" x14ac:dyDescent="0.35">
      <c r="A4761">
        <v>4757</v>
      </c>
      <c r="B4761">
        <v>4758</v>
      </c>
      <c r="F4761" s="1"/>
      <c r="H4761" t="s">
        <v>26</v>
      </c>
      <c r="I4761" s="64"/>
      <c r="N4761" s="4"/>
    </row>
    <row r="4762" spans="1:34" x14ac:dyDescent="0.35">
      <c r="A4762">
        <v>4758</v>
      </c>
      <c r="B4762">
        <v>4759</v>
      </c>
      <c r="F4762" s="1"/>
      <c r="H4762" t="s">
        <v>26</v>
      </c>
      <c r="I4762" s="64"/>
      <c r="N4762" s="4"/>
    </row>
    <row r="4763" spans="1:34" x14ac:dyDescent="0.35">
      <c r="A4763">
        <v>4759</v>
      </c>
      <c r="B4763">
        <v>4760</v>
      </c>
      <c r="F4763" s="1"/>
      <c r="H4763" t="s">
        <v>26</v>
      </c>
      <c r="I4763" s="64"/>
      <c r="N4763" s="4"/>
    </row>
    <row r="4764" spans="1:34" x14ac:dyDescent="0.35">
      <c r="A4764">
        <v>4760</v>
      </c>
      <c r="B4764">
        <v>4761</v>
      </c>
      <c r="F4764" s="1"/>
      <c r="H4764" t="s">
        <v>26</v>
      </c>
      <c r="I4764" s="64"/>
      <c r="N4764" s="4"/>
    </row>
    <row r="4765" spans="1:34" x14ac:dyDescent="0.35">
      <c r="A4765">
        <v>4761</v>
      </c>
      <c r="B4765">
        <v>4762</v>
      </c>
      <c r="F4765" s="1"/>
      <c r="H4765" t="s">
        <v>26</v>
      </c>
      <c r="I4765" s="64"/>
      <c r="N4765" s="4"/>
    </row>
    <row r="4766" spans="1:34" x14ac:dyDescent="0.35">
      <c r="A4766">
        <v>4762</v>
      </c>
      <c r="B4766">
        <v>4763</v>
      </c>
      <c r="F4766" s="1"/>
      <c r="H4766" t="s">
        <v>26</v>
      </c>
      <c r="I4766" s="64"/>
      <c r="N4766" s="4"/>
    </row>
    <row r="4767" spans="1:34" x14ac:dyDescent="0.35">
      <c r="A4767">
        <v>4763</v>
      </c>
      <c r="B4767">
        <v>4764</v>
      </c>
      <c r="F4767" s="1"/>
      <c r="H4767" t="s">
        <v>26</v>
      </c>
      <c r="I4767" s="64"/>
      <c r="N4767" s="4"/>
    </row>
    <row r="4768" spans="1:34" x14ac:dyDescent="0.35">
      <c r="A4768">
        <v>4764</v>
      </c>
      <c r="B4768">
        <v>4765</v>
      </c>
      <c r="F4768" s="1"/>
      <c r="H4768" t="s">
        <v>26</v>
      </c>
      <c r="I4768" s="64"/>
      <c r="N4768" s="4"/>
    </row>
    <row r="4769" spans="1:14" x14ac:dyDescent="0.35">
      <c r="A4769">
        <v>4765</v>
      </c>
      <c r="B4769">
        <v>4766</v>
      </c>
      <c r="F4769" s="1"/>
      <c r="H4769" t="s">
        <v>26</v>
      </c>
      <c r="I4769" s="64"/>
      <c r="N4769" s="4"/>
    </row>
    <row r="4770" spans="1:14" x14ac:dyDescent="0.35">
      <c r="A4770">
        <v>4766</v>
      </c>
      <c r="B4770">
        <v>4767</v>
      </c>
      <c r="F4770" s="1"/>
      <c r="H4770" t="s">
        <v>26</v>
      </c>
      <c r="I4770" s="64"/>
      <c r="N4770" s="4"/>
    </row>
    <row r="4771" spans="1:14" x14ac:dyDescent="0.35">
      <c r="A4771">
        <v>4767</v>
      </c>
      <c r="B4771">
        <v>4768</v>
      </c>
      <c r="F4771" s="1"/>
      <c r="H4771" t="s">
        <v>26</v>
      </c>
      <c r="I4771" s="64"/>
      <c r="N4771" s="4"/>
    </row>
    <row r="4772" spans="1:14" x14ac:dyDescent="0.35">
      <c r="A4772">
        <v>4768</v>
      </c>
      <c r="B4772">
        <v>4769</v>
      </c>
      <c r="F4772" s="1"/>
      <c r="H4772" t="s">
        <v>26</v>
      </c>
      <c r="I4772" s="64"/>
      <c r="N4772" s="4"/>
    </row>
    <row r="4773" spans="1:14" x14ac:dyDescent="0.35">
      <c r="A4773">
        <v>4769</v>
      </c>
      <c r="B4773">
        <v>4770</v>
      </c>
      <c r="F4773" s="1"/>
      <c r="H4773" t="s">
        <v>26</v>
      </c>
      <c r="I4773" s="64"/>
      <c r="N4773" s="4"/>
    </row>
    <row r="4774" spans="1:14" x14ac:dyDescent="0.35">
      <c r="A4774">
        <v>4770</v>
      </c>
      <c r="B4774">
        <v>4771</v>
      </c>
      <c r="F4774" s="1"/>
      <c r="H4774" t="s">
        <v>26</v>
      </c>
      <c r="I4774" s="64"/>
      <c r="N4774" s="4"/>
    </row>
    <row r="4775" spans="1:14" x14ac:dyDescent="0.35">
      <c r="A4775">
        <v>4771</v>
      </c>
      <c r="B4775">
        <v>4772</v>
      </c>
      <c r="F4775" s="1"/>
      <c r="H4775" t="s">
        <v>26</v>
      </c>
      <c r="I4775" s="64"/>
      <c r="N4775" s="4"/>
    </row>
    <row r="4776" spans="1:14" x14ac:dyDescent="0.35">
      <c r="A4776">
        <v>4772</v>
      </c>
      <c r="B4776">
        <v>4773</v>
      </c>
      <c r="F4776" s="1"/>
      <c r="H4776" t="s">
        <v>26</v>
      </c>
      <c r="I4776" s="64"/>
      <c r="N4776" s="4"/>
    </row>
    <row r="4777" spans="1:14" x14ac:dyDescent="0.35">
      <c r="A4777">
        <v>4773</v>
      </c>
      <c r="B4777">
        <v>4774</v>
      </c>
      <c r="F4777" s="1"/>
      <c r="H4777" t="s">
        <v>26</v>
      </c>
      <c r="I4777" s="64"/>
      <c r="N4777" s="4"/>
    </row>
    <row r="4778" spans="1:14" x14ac:dyDescent="0.35">
      <c r="A4778">
        <v>4774</v>
      </c>
      <c r="B4778">
        <v>4775</v>
      </c>
      <c r="F4778" s="1"/>
      <c r="H4778" t="s">
        <v>26</v>
      </c>
      <c r="I4778" s="64"/>
      <c r="N4778" s="4"/>
    </row>
    <row r="4779" spans="1:14" x14ac:dyDescent="0.35">
      <c r="A4779">
        <v>4775</v>
      </c>
      <c r="B4779">
        <v>4776</v>
      </c>
      <c r="F4779" s="1"/>
      <c r="H4779" t="s">
        <v>26</v>
      </c>
      <c r="I4779" s="64"/>
      <c r="N4779" s="4"/>
    </row>
    <row r="4780" spans="1:14" x14ac:dyDescent="0.35">
      <c r="A4780">
        <v>4776</v>
      </c>
      <c r="B4780">
        <v>4777</v>
      </c>
      <c r="F4780" s="1"/>
      <c r="H4780" t="s">
        <v>26</v>
      </c>
      <c r="I4780" s="64"/>
      <c r="N4780" s="4"/>
    </row>
    <row r="4781" spans="1:14" x14ac:dyDescent="0.35">
      <c r="A4781">
        <v>4777</v>
      </c>
      <c r="B4781">
        <v>4778</v>
      </c>
      <c r="F4781" s="1"/>
      <c r="H4781" t="s">
        <v>26</v>
      </c>
      <c r="I4781" s="64"/>
      <c r="N4781" s="4"/>
    </row>
    <row r="4782" spans="1:14" x14ac:dyDescent="0.35">
      <c r="A4782">
        <v>4778</v>
      </c>
      <c r="B4782">
        <v>4779</v>
      </c>
      <c r="F4782" s="1"/>
      <c r="H4782" t="s">
        <v>26</v>
      </c>
      <c r="I4782" s="64"/>
      <c r="N4782" s="4"/>
    </row>
    <row r="4783" spans="1:14" x14ac:dyDescent="0.35">
      <c r="A4783">
        <v>4779</v>
      </c>
      <c r="B4783">
        <v>4780</v>
      </c>
      <c r="F4783" s="1"/>
      <c r="H4783" t="s">
        <v>26</v>
      </c>
      <c r="I4783" s="64"/>
      <c r="N4783" s="4"/>
    </row>
    <row r="4784" spans="1:14" x14ac:dyDescent="0.35">
      <c r="A4784">
        <v>4780</v>
      </c>
      <c r="B4784">
        <v>4781</v>
      </c>
      <c r="F4784" s="1"/>
      <c r="H4784" t="s">
        <v>26</v>
      </c>
      <c r="I4784" s="64"/>
      <c r="N4784" s="4"/>
    </row>
    <row r="4785" spans="1:14" x14ac:dyDescent="0.35">
      <c r="A4785">
        <v>4781</v>
      </c>
      <c r="B4785">
        <v>4782</v>
      </c>
      <c r="F4785" s="1"/>
      <c r="H4785" t="s">
        <v>26</v>
      </c>
      <c r="I4785" s="64"/>
      <c r="N4785" s="4"/>
    </row>
    <row r="4786" spans="1:14" x14ac:dyDescent="0.35">
      <c r="A4786">
        <v>4782</v>
      </c>
      <c r="B4786">
        <v>4783</v>
      </c>
      <c r="F4786" s="1"/>
      <c r="H4786" t="s">
        <v>26</v>
      </c>
      <c r="I4786" s="64"/>
      <c r="N4786" s="4"/>
    </row>
    <row r="4787" spans="1:14" x14ac:dyDescent="0.35">
      <c r="A4787">
        <v>4783</v>
      </c>
      <c r="B4787">
        <v>4784</v>
      </c>
      <c r="F4787" s="1"/>
      <c r="H4787" t="s">
        <v>26</v>
      </c>
      <c r="I4787" s="64"/>
      <c r="N4787" s="4"/>
    </row>
    <row r="4788" spans="1:14" x14ac:dyDescent="0.35">
      <c r="A4788">
        <v>4784</v>
      </c>
      <c r="B4788">
        <v>4785</v>
      </c>
      <c r="F4788" s="1"/>
      <c r="H4788" t="s">
        <v>26</v>
      </c>
      <c r="I4788" s="64"/>
      <c r="N4788" s="4"/>
    </row>
    <row r="4789" spans="1:14" x14ac:dyDescent="0.35">
      <c r="A4789">
        <v>4785</v>
      </c>
      <c r="B4789">
        <v>4786</v>
      </c>
      <c r="F4789" s="1"/>
      <c r="H4789" t="s">
        <v>26</v>
      </c>
      <c r="I4789" s="64"/>
      <c r="N4789" s="4"/>
    </row>
    <row r="4790" spans="1:14" x14ac:dyDescent="0.35">
      <c r="A4790">
        <v>4786</v>
      </c>
      <c r="B4790">
        <v>4787</v>
      </c>
      <c r="F4790" s="1"/>
      <c r="H4790" t="s">
        <v>26</v>
      </c>
      <c r="I4790" s="64"/>
      <c r="N4790" s="4"/>
    </row>
    <row r="4791" spans="1:14" x14ac:dyDescent="0.35">
      <c r="A4791">
        <v>4787</v>
      </c>
      <c r="B4791">
        <v>4788</v>
      </c>
      <c r="F4791" s="1"/>
      <c r="H4791" t="s">
        <v>26</v>
      </c>
      <c r="I4791" s="64"/>
      <c r="N4791" s="4"/>
    </row>
    <row r="4792" spans="1:14" x14ac:dyDescent="0.35">
      <c r="A4792">
        <v>4788</v>
      </c>
      <c r="B4792">
        <v>4789</v>
      </c>
      <c r="F4792" s="1"/>
      <c r="H4792" t="s">
        <v>26</v>
      </c>
      <c r="I4792" s="64"/>
      <c r="N4792" s="4"/>
    </row>
    <row r="4793" spans="1:14" x14ac:dyDescent="0.35">
      <c r="A4793">
        <v>4789</v>
      </c>
      <c r="B4793">
        <v>4790</v>
      </c>
      <c r="F4793" s="1"/>
      <c r="H4793" t="s">
        <v>26</v>
      </c>
      <c r="I4793" s="64"/>
      <c r="N4793" s="4"/>
    </row>
    <row r="4794" spans="1:14" x14ac:dyDescent="0.35">
      <c r="A4794">
        <v>4790</v>
      </c>
      <c r="B4794">
        <v>4791</v>
      </c>
      <c r="F4794" s="1"/>
      <c r="H4794" t="s">
        <v>26</v>
      </c>
      <c r="I4794" s="64"/>
      <c r="N4794" s="4"/>
    </row>
    <row r="4795" spans="1:14" x14ac:dyDescent="0.35">
      <c r="A4795">
        <v>4791</v>
      </c>
      <c r="B4795">
        <v>4792</v>
      </c>
      <c r="F4795" s="1"/>
      <c r="H4795" t="s">
        <v>26</v>
      </c>
      <c r="I4795" s="64"/>
      <c r="N4795" s="4"/>
    </row>
    <row r="4796" spans="1:14" x14ac:dyDescent="0.35">
      <c r="A4796">
        <v>4792</v>
      </c>
      <c r="B4796">
        <v>4793</v>
      </c>
      <c r="F4796" s="1"/>
      <c r="H4796" t="s">
        <v>26</v>
      </c>
      <c r="I4796" s="64"/>
      <c r="N4796" s="4"/>
    </row>
    <row r="4797" spans="1:14" x14ac:dyDescent="0.35">
      <c r="A4797">
        <v>4793</v>
      </c>
      <c r="B4797">
        <v>4794</v>
      </c>
      <c r="F4797" s="1"/>
      <c r="H4797" t="s">
        <v>26</v>
      </c>
      <c r="I4797" s="64"/>
      <c r="N4797" s="4"/>
    </row>
    <row r="4798" spans="1:14" x14ac:dyDescent="0.35">
      <c r="A4798">
        <v>4794</v>
      </c>
      <c r="B4798">
        <v>4795</v>
      </c>
      <c r="F4798" s="1"/>
      <c r="H4798" t="s">
        <v>26</v>
      </c>
      <c r="I4798" s="64"/>
      <c r="N4798" s="4"/>
    </row>
    <row r="4799" spans="1:14" x14ac:dyDescent="0.35">
      <c r="A4799">
        <v>4795</v>
      </c>
      <c r="B4799">
        <v>4796</v>
      </c>
      <c r="F4799" s="1"/>
      <c r="H4799" t="s">
        <v>26</v>
      </c>
      <c r="I4799" s="64"/>
      <c r="N4799" s="4"/>
    </row>
    <row r="4800" spans="1:14" x14ac:dyDescent="0.35">
      <c r="A4800">
        <v>4796</v>
      </c>
      <c r="B4800">
        <v>4797</v>
      </c>
      <c r="F4800" s="1"/>
      <c r="H4800" t="s">
        <v>26</v>
      </c>
      <c r="I4800" s="64"/>
      <c r="N4800" s="4"/>
    </row>
    <row r="4801" spans="1:14" x14ac:dyDescent="0.35">
      <c r="A4801">
        <v>4797</v>
      </c>
      <c r="B4801">
        <v>4798</v>
      </c>
      <c r="F4801" s="1"/>
      <c r="H4801" t="s">
        <v>26</v>
      </c>
      <c r="I4801" s="64"/>
      <c r="N4801" s="4"/>
    </row>
    <row r="4802" spans="1:14" x14ac:dyDescent="0.35">
      <c r="A4802">
        <v>4798</v>
      </c>
      <c r="B4802">
        <v>4799</v>
      </c>
      <c r="F4802" s="1"/>
      <c r="H4802" t="s">
        <v>26</v>
      </c>
      <c r="I4802" s="64"/>
      <c r="N4802" s="4"/>
    </row>
    <row r="4803" spans="1:14" x14ac:dyDescent="0.35">
      <c r="A4803">
        <v>4799</v>
      </c>
      <c r="B4803">
        <v>4800</v>
      </c>
      <c r="F4803" s="1"/>
      <c r="H4803" t="s">
        <v>26</v>
      </c>
      <c r="I4803" s="64"/>
      <c r="N4803" s="4"/>
    </row>
    <row r="4804" spans="1:14" x14ac:dyDescent="0.35">
      <c r="A4804">
        <v>4800</v>
      </c>
      <c r="B4804">
        <v>4801</v>
      </c>
      <c r="F4804" s="1"/>
      <c r="H4804" t="s">
        <v>26</v>
      </c>
      <c r="I4804" s="64"/>
      <c r="N4804" s="4"/>
    </row>
    <row r="4805" spans="1:14" x14ac:dyDescent="0.35">
      <c r="A4805">
        <v>4801</v>
      </c>
      <c r="B4805">
        <v>4802</v>
      </c>
      <c r="F4805" s="1"/>
      <c r="H4805" t="s">
        <v>26</v>
      </c>
      <c r="I4805" s="64"/>
      <c r="N4805" s="4"/>
    </row>
    <row r="4806" spans="1:14" x14ac:dyDescent="0.35">
      <c r="A4806">
        <v>4802</v>
      </c>
      <c r="B4806">
        <v>4803</v>
      </c>
      <c r="F4806" s="1"/>
      <c r="H4806" t="s">
        <v>26</v>
      </c>
      <c r="I4806" s="64"/>
      <c r="N4806" s="4"/>
    </row>
    <row r="4807" spans="1:14" x14ac:dyDescent="0.35">
      <c r="A4807">
        <v>4803</v>
      </c>
      <c r="B4807">
        <v>4804</v>
      </c>
      <c r="F4807" s="1"/>
      <c r="H4807" t="s">
        <v>26</v>
      </c>
      <c r="I4807" s="64"/>
      <c r="N4807" s="4"/>
    </row>
    <row r="4808" spans="1:14" x14ac:dyDescent="0.35">
      <c r="A4808">
        <v>4804</v>
      </c>
      <c r="B4808">
        <v>4805</v>
      </c>
      <c r="F4808" s="1"/>
      <c r="H4808" t="s">
        <v>26</v>
      </c>
      <c r="I4808" s="64"/>
      <c r="N4808" s="4"/>
    </row>
    <row r="4809" spans="1:14" x14ac:dyDescent="0.35">
      <c r="A4809">
        <v>4805</v>
      </c>
      <c r="B4809">
        <v>4806</v>
      </c>
      <c r="F4809" s="1"/>
      <c r="H4809" t="s">
        <v>26</v>
      </c>
      <c r="I4809" s="64"/>
      <c r="N4809" s="4"/>
    </row>
    <row r="4810" spans="1:14" x14ac:dyDescent="0.35">
      <c r="A4810">
        <v>4806</v>
      </c>
      <c r="B4810">
        <v>4807</v>
      </c>
      <c r="F4810" s="1"/>
      <c r="H4810" t="s">
        <v>26</v>
      </c>
      <c r="I4810" s="64"/>
      <c r="N4810" s="4"/>
    </row>
    <row r="4811" spans="1:14" x14ac:dyDescent="0.35">
      <c r="A4811">
        <v>4807</v>
      </c>
      <c r="B4811">
        <v>4808</v>
      </c>
      <c r="F4811" s="1"/>
      <c r="H4811" t="s">
        <v>26</v>
      </c>
      <c r="I4811" s="64"/>
      <c r="N4811" s="4"/>
    </row>
    <row r="4812" spans="1:14" x14ac:dyDescent="0.35">
      <c r="A4812">
        <v>4808</v>
      </c>
      <c r="B4812">
        <v>4809</v>
      </c>
      <c r="F4812" s="1"/>
      <c r="H4812" t="s">
        <v>26</v>
      </c>
      <c r="I4812" s="64"/>
      <c r="N4812" s="4"/>
    </row>
    <row r="4813" spans="1:14" x14ac:dyDescent="0.35">
      <c r="A4813">
        <v>4809</v>
      </c>
      <c r="B4813">
        <v>4810</v>
      </c>
      <c r="F4813" s="1"/>
      <c r="H4813" t="s">
        <v>26</v>
      </c>
      <c r="I4813" s="64"/>
      <c r="N4813" s="4"/>
    </row>
    <row r="4814" spans="1:14" x14ac:dyDescent="0.35">
      <c r="A4814">
        <v>4810</v>
      </c>
      <c r="B4814">
        <v>4811</v>
      </c>
      <c r="F4814" s="1"/>
      <c r="H4814" t="s">
        <v>26</v>
      </c>
      <c r="I4814" s="64"/>
      <c r="N4814" s="4"/>
    </row>
    <row r="4815" spans="1:14" x14ac:dyDescent="0.35">
      <c r="A4815">
        <v>4811</v>
      </c>
      <c r="B4815">
        <v>4812</v>
      </c>
      <c r="F4815" s="1"/>
      <c r="H4815" t="s">
        <v>26</v>
      </c>
      <c r="I4815" s="64"/>
      <c r="N4815" s="4"/>
    </row>
    <row r="4816" spans="1:14" x14ac:dyDescent="0.35">
      <c r="A4816">
        <v>4812</v>
      </c>
      <c r="B4816">
        <v>4813</v>
      </c>
      <c r="F4816" s="1"/>
      <c r="H4816" t="s">
        <v>26</v>
      </c>
      <c r="I4816" s="64"/>
      <c r="N4816" s="4"/>
    </row>
    <row r="4817" spans="1:14" x14ac:dyDescent="0.35">
      <c r="A4817">
        <v>4813</v>
      </c>
      <c r="B4817">
        <v>4814</v>
      </c>
      <c r="F4817" s="1"/>
      <c r="H4817" t="s">
        <v>26</v>
      </c>
      <c r="I4817" s="64"/>
      <c r="N4817" s="4"/>
    </row>
    <row r="4818" spans="1:14" x14ac:dyDescent="0.35">
      <c r="A4818">
        <v>4814</v>
      </c>
      <c r="B4818">
        <v>4815</v>
      </c>
      <c r="F4818" s="1"/>
      <c r="H4818" t="s">
        <v>26</v>
      </c>
      <c r="I4818" s="64"/>
      <c r="N4818" s="4"/>
    </row>
    <row r="4819" spans="1:14" x14ac:dyDescent="0.35">
      <c r="A4819">
        <v>4815</v>
      </c>
      <c r="B4819">
        <v>4816</v>
      </c>
      <c r="F4819" s="1"/>
      <c r="H4819" t="s">
        <v>26</v>
      </c>
      <c r="I4819" s="64"/>
      <c r="N4819" s="4"/>
    </row>
    <row r="4820" spans="1:14" x14ac:dyDescent="0.35">
      <c r="A4820">
        <v>4816</v>
      </c>
      <c r="B4820">
        <v>4817</v>
      </c>
      <c r="F4820" s="1"/>
      <c r="H4820" t="s">
        <v>26</v>
      </c>
      <c r="I4820" s="64"/>
      <c r="N4820" s="4"/>
    </row>
    <row r="4821" spans="1:14" x14ac:dyDescent="0.35">
      <c r="A4821">
        <v>4817</v>
      </c>
      <c r="B4821">
        <v>4818</v>
      </c>
      <c r="F4821" s="1"/>
      <c r="H4821" t="s">
        <v>26</v>
      </c>
      <c r="I4821" s="64"/>
      <c r="N4821" s="4"/>
    </row>
    <row r="4822" spans="1:14" x14ac:dyDescent="0.35">
      <c r="A4822">
        <v>4818</v>
      </c>
      <c r="B4822">
        <v>4819</v>
      </c>
      <c r="F4822" s="1"/>
      <c r="H4822" t="s">
        <v>26</v>
      </c>
      <c r="I4822" s="64"/>
      <c r="N4822" s="4"/>
    </row>
    <row r="4823" spans="1:14" x14ac:dyDescent="0.35">
      <c r="A4823">
        <v>4819</v>
      </c>
      <c r="B4823">
        <v>4820</v>
      </c>
      <c r="F4823" s="1"/>
      <c r="H4823" t="s">
        <v>26</v>
      </c>
      <c r="I4823" s="64"/>
      <c r="N4823" s="4"/>
    </row>
    <row r="4824" spans="1:14" x14ac:dyDescent="0.35">
      <c r="A4824">
        <v>4820</v>
      </c>
      <c r="B4824">
        <v>4821</v>
      </c>
      <c r="F4824" s="1"/>
      <c r="H4824" t="s">
        <v>26</v>
      </c>
      <c r="I4824" s="64"/>
      <c r="N4824" s="4"/>
    </row>
    <row r="4825" spans="1:14" x14ac:dyDescent="0.35">
      <c r="A4825">
        <v>4821</v>
      </c>
      <c r="B4825">
        <v>4822</v>
      </c>
      <c r="F4825" s="1"/>
      <c r="H4825" t="s">
        <v>26</v>
      </c>
      <c r="I4825" s="64"/>
      <c r="N4825" s="4"/>
    </row>
    <row r="4826" spans="1:14" x14ac:dyDescent="0.35">
      <c r="A4826">
        <v>4822</v>
      </c>
      <c r="B4826">
        <v>4823</v>
      </c>
      <c r="F4826" s="1"/>
      <c r="H4826" t="s">
        <v>26</v>
      </c>
      <c r="I4826" s="64"/>
      <c r="N4826" s="4"/>
    </row>
    <row r="4827" spans="1:14" x14ac:dyDescent="0.35">
      <c r="A4827">
        <v>4823</v>
      </c>
      <c r="B4827">
        <v>4824</v>
      </c>
      <c r="F4827" s="1"/>
      <c r="H4827" t="s">
        <v>26</v>
      </c>
      <c r="I4827" s="64"/>
      <c r="N4827" s="4"/>
    </row>
    <row r="4828" spans="1:14" x14ac:dyDescent="0.35">
      <c r="A4828">
        <v>4824</v>
      </c>
      <c r="B4828">
        <v>4825</v>
      </c>
      <c r="F4828" s="1"/>
      <c r="H4828" t="s">
        <v>26</v>
      </c>
      <c r="I4828" s="64"/>
      <c r="N4828" s="4"/>
    </row>
    <row r="4829" spans="1:14" x14ac:dyDescent="0.35">
      <c r="A4829">
        <v>4825</v>
      </c>
      <c r="B4829">
        <v>4826</v>
      </c>
      <c r="F4829" s="1"/>
      <c r="H4829" t="s">
        <v>26</v>
      </c>
      <c r="I4829" s="64"/>
      <c r="N4829" s="4"/>
    </row>
    <row r="4830" spans="1:14" x14ac:dyDescent="0.35">
      <c r="A4830">
        <v>4826</v>
      </c>
      <c r="B4830">
        <v>4827</v>
      </c>
      <c r="F4830" s="1"/>
      <c r="H4830" t="s">
        <v>26</v>
      </c>
      <c r="I4830" s="64"/>
      <c r="N4830" s="4"/>
    </row>
    <row r="4831" spans="1:14" x14ac:dyDescent="0.35">
      <c r="A4831">
        <v>4827</v>
      </c>
      <c r="B4831">
        <v>4828</v>
      </c>
      <c r="F4831" s="1"/>
      <c r="H4831" t="s">
        <v>26</v>
      </c>
      <c r="I4831" s="64"/>
      <c r="N4831" s="4"/>
    </row>
    <row r="4832" spans="1:14" x14ac:dyDescent="0.35">
      <c r="A4832">
        <v>4828</v>
      </c>
      <c r="B4832">
        <v>4829</v>
      </c>
      <c r="F4832" s="1"/>
      <c r="H4832" t="s">
        <v>26</v>
      </c>
      <c r="I4832" s="64"/>
      <c r="N4832" s="4"/>
    </row>
    <row r="4833" spans="1:14" x14ac:dyDescent="0.35">
      <c r="A4833">
        <v>4829</v>
      </c>
      <c r="B4833">
        <v>4830</v>
      </c>
      <c r="F4833" s="1"/>
      <c r="H4833" t="s">
        <v>26</v>
      </c>
      <c r="I4833" s="64"/>
      <c r="N4833" s="4"/>
    </row>
    <row r="4834" spans="1:14" x14ac:dyDescent="0.35">
      <c r="A4834">
        <v>4830</v>
      </c>
      <c r="B4834">
        <v>4831</v>
      </c>
      <c r="F4834" s="1"/>
      <c r="H4834" t="s">
        <v>26</v>
      </c>
      <c r="I4834" s="64"/>
      <c r="N4834" s="4"/>
    </row>
    <row r="4835" spans="1:14" x14ac:dyDescent="0.35">
      <c r="A4835">
        <v>4831</v>
      </c>
      <c r="B4835">
        <v>4832</v>
      </c>
      <c r="F4835" s="1"/>
      <c r="H4835" t="s">
        <v>26</v>
      </c>
      <c r="I4835" s="64"/>
      <c r="N4835" s="4"/>
    </row>
    <row r="4836" spans="1:14" x14ac:dyDescent="0.35">
      <c r="A4836">
        <v>4832</v>
      </c>
      <c r="B4836">
        <v>4833</v>
      </c>
      <c r="F4836" s="1"/>
      <c r="H4836" t="s">
        <v>26</v>
      </c>
      <c r="I4836" s="64"/>
      <c r="N4836" s="4"/>
    </row>
    <row r="4837" spans="1:14" x14ac:dyDescent="0.35">
      <c r="A4837">
        <v>4833</v>
      </c>
      <c r="B4837">
        <v>4834</v>
      </c>
      <c r="F4837" s="1"/>
      <c r="H4837" t="s">
        <v>26</v>
      </c>
      <c r="I4837" s="64"/>
      <c r="N4837" s="4"/>
    </row>
    <row r="4838" spans="1:14" x14ac:dyDescent="0.35">
      <c r="A4838">
        <v>4834</v>
      </c>
      <c r="B4838">
        <v>4835</v>
      </c>
      <c r="F4838" s="1"/>
      <c r="H4838" t="s">
        <v>26</v>
      </c>
      <c r="I4838" s="64"/>
      <c r="N4838" s="4"/>
    </row>
    <row r="4839" spans="1:14" x14ac:dyDescent="0.35">
      <c r="A4839">
        <v>4835</v>
      </c>
      <c r="B4839">
        <v>4836</v>
      </c>
      <c r="F4839" s="1"/>
      <c r="H4839" t="s">
        <v>26</v>
      </c>
      <c r="I4839" s="64"/>
      <c r="N4839" s="4"/>
    </row>
    <row r="4840" spans="1:14" x14ac:dyDescent="0.35">
      <c r="A4840">
        <v>4836</v>
      </c>
      <c r="B4840">
        <v>4837</v>
      </c>
      <c r="F4840" s="1"/>
      <c r="H4840" t="s">
        <v>26</v>
      </c>
      <c r="I4840" s="64"/>
      <c r="N4840" s="4"/>
    </row>
    <row r="4841" spans="1:14" x14ac:dyDescent="0.35">
      <c r="A4841">
        <v>4837</v>
      </c>
      <c r="B4841">
        <v>4838</v>
      </c>
      <c r="F4841" s="1"/>
      <c r="H4841" t="s">
        <v>26</v>
      </c>
      <c r="I4841" s="64"/>
      <c r="N4841" s="4"/>
    </row>
    <row r="4842" spans="1:14" x14ac:dyDescent="0.35">
      <c r="A4842">
        <v>4838</v>
      </c>
      <c r="B4842">
        <v>4839</v>
      </c>
      <c r="F4842" s="1"/>
      <c r="H4842" t="s">
        <v>26</v>
      </c>
      <c r="I4842" s="64"/>
      <c r="N4842" s="4"/>
    </row>
    <row r="4843" spans="1:14" x14ac:dyDescent="0.35">
      <c r="A4843">
        <v>4839</v>
      </c>
      <c r="B4843">
        <v>4840</v>
      </c>
      <c r="F4843" s="1"/>
      <c r="H4843" t="s">
        <v>26</v>
      </c>
      <c r="I4843" s="64"/>
      <c r="N4843" s="4"/>
    </row>
    <row r="4844" spans="1:14" x14ac:dyDescent="0.35">
      <c r="A4844">
        <v>4840</v>
      </c>
      <c r="B4844">
        <v>4841</v>
      </c>
      <c r="F4844" s="1"/>
      <c r="H4844" t="s">
        <v>26</v>
      </c>
      <c r="I4844" s="64"/>
      <c r="N4844" s="4"/>
    </row>
    <row r="4845" spans="1:14" x14ac:dyDescent="0.35">
      <c r="A4845">
        <v>4841</v>
      </c>
      <c r="B4845">
        <v>4842</v>
      </c>
      <c r="F4845" s="1"/>
      <c r="H4845" t="s">
        <v>26</v>
      </c>
      <c r="I4845" s="64"/>
      <c r="N4845" s="4"/>
    </row>
    <row r="4846" spans="1:14" x14ac:dyDescent="0.35">
      <c r="A4846">
        <v>4842</v>
      </c>
      <c r="B4846">
        <v>4843</v>
      </c>
      <c r="F4846" s="1"/>
      <c r="H4846" t="s">
        <v>26</v>
      </c>
      <c r="I4846" s="64"/>
      <c r="N4846" s="4"/>
    </row>
    <row r="4847" spans="1:14" x14ac:dyDescent="0.35">
      <c r="A4847">
        <v>4843</v>
      </c>
      <c r="B4847">
        <v>4844</v>
      </c>
      <c r="F4847" s="1"/>
      <c r="H4847" t="s">
        <v>26</v>
      </c>
      <c r="I4847" s="64"/>
      <c r="N4847" s="4"/>
    </row>
    <row r="4848" spans="1:14" x14ac:dyDescent="0.35">
      <c r="A4848">
        <v>4844</v>
      </c>
      <c r="B4848">
        <v>4845</v>
      </c>
      <c r="F4848" s="1"/>
      <c r="H4848" t="s">
        <v>26</v>
      </c>
      <c r="I4848" s="64"/>
      <c r="N4848" s="4"/>
    </row>
    <row r="4849" spans="1:14" x14ac:dyDescent="0.35">
      <c r="A4849">
        <v>4845</v>
      </c>
      <c r="B4849">
        <v>4846</v>
      </c>
      <c r="F4849" s="1"/>
      <c r="H4849" t="s">
        <v>26</v>
      </c>
      <c r="I4849" s="64"/>
      <c r="N4849" s="4"/>
    </row>
    <row r="4850" spans="1:14" x14ac:dyDescent="0.35">
      <c r="A4850">
        <v>4846</v>
      </c>
      <c r="B4850">
        <v>4847</v>
      </c>
      <c r="F4850" s="1"/>
      <c r="H4850" t="s">
        <v>26</v>
      </c>
      <c r="I4850" s="64"/>
      <c r="N4850" s="4"/>
    </row>
    <row r="4851" spans="1:14" x14ac:dyDescent="0.35">
      <c r="A4851">
        <v>4847</v>
      </c>
      <c r="B4851">
        <v>4848</v>
      </c>
      <c r="F4851" s="1"/>
      <c r="H4851" t="s">
        <v>26</v>
      </c>
      <c r="I4851" s="64"/>
      <c r="N4851" s="4"/>
    </row>
    <row r="4852" spans="1:14" x14ac:dyDescent="0.35">
      <c r="A4852">
        <v>4848</v>
      </c>
      <c r="B4852">
        <v>4849</v>
      </c>
      <c r="F4852" s="1"/>
      <c r="H4852" t="s">
        <v>26</v>
      </c>
      <c r="I4852" s="64"/>
      <c r="N4852" s="4"/>
    </row>
    <row r="4853" spans="1:14" x14ac:dyDescent="0.35">
      <c r="A4853">
        <v>4849</v>
      </c>
      <c r="B4853">
        <v>4850</v>
      </c>
      <c r="F4853" s="1"/>
      <c r="H4853" t="s">
        <v>26</v>
      </c>
      <c r="I4853" s="64"/>
      <c r="N4853" s="4"/>
    </row>
    <row r="4854" spans="1:14" x14ac:dyDescent="0.35">
      <c r="A4854">
        <v>4850</v>
      </c>
      <c r="B4854">
        <v>4851</v>
      </c>
      <c r="F4854" s="1"/>
      <c r="H4854" t="s">
        <v>26</v>
      </c>
      <c r="I4854" s="64"/>
      <c r="N4854" s="4"/>
    </row>
    <row r="4855" spans="1:14" x14ac:dyDescent="0.35">
      <c r="A4855">
        <v>4851</v>
      </c>
      <c r="B4855">
        <v>4852</v>
      </c>
      <c r="F4855" s="1"/>
      <c r="H4855" t="s">
        <v>26</v>
      </c>
      <c r="I4855" s="64"/>
      <c r="N4855" s="4"/>
    </row>
    <row r="4856" spans="1:14" x14ac:dyDescent="0.35">
      <c r="A4856">
        <v>4852</v>
      </c>
      <c r="B4856">
        <v>4853</v>
      </c>
      <c r="F4856" s="1"/>
      <c r="H4856" t="s">
        <v>26</v>
      </c>
      <c r="I4856" s="64"/>
      <c r="N4856" s="4"/>
    </row>
    <row r="4857" spans="1:14" x14ac:dyDescent="0.35">
      <c r="A4857">
        <v>4853</v>
      </c>
      <c r="B4857">
        <v>4854</v>
      </c>
      <c r="F4857" s="1"/>
      <c r="H4857" t="s">
        <v>26</v>
      </c>
      <c r="I4857" s="64"/>
      <c r="N4857" s="4"/>
    </row>
    <row r="4858" spans="1:14" x14ac:dyDescent="0.35">
      <c r="A4858">
        <v>4854</v>
      </c>
      <c r="B4858">
        <v>4855</v>
      </c>
      <c r="F4858" s="1"/>
      <c r="H4858" t="s">
        <v>26</v>
      </c>
      <c r="I4858" s="64"/>
      <c r="N4858" s="4"/>
    </row>
    <row r="4859" spans="1:14" x14ac:dyDescent="0.35">
      <c r="A4859">
        <v>4855</v>
      </c>
      <c r="B4859">
        <v>4856</v>
      </c>
      <c r="F4859" s="1"/>
      <c r="H4859" t="s">
        <v>26</v>
      </c>
      <c r="I4859" s="64"/>
      <c r="N4859" s="4"/>
    </row>
    <row r="4860" spans="1:14" x14ac:dyDescent="0.35">
      <c r="A4860">
        <v>4856</v>
      </c>
      <c r="B4860">
        <v>4857</v>
      </c>
      <c r="F4860" s="1"/>
      <c r="H4860" t="s">
        <v>26</v>
      </c>
      <c r="I4860" s="64"/>
      <c r="N4860" s="4"/>
    </row>
    <row r="4861" spans="1:14" x14ac:dyDescent="0.35">
      <c r="A4861">
        <v>4857</v>
      </c>
      <c r="B4861">
        <v>4858</v>
      </c>
      <c r="F4861" s="1"/>
      <c r="H4861" t="s">
        <v>26</v>
      </c>
      <c r="I4861" s="64"/>
      <c r="N4861" s="4"/>
    </row>
    <row r="4862" spans="1:14" x14ac:dyDescent="0.35">
      <c r="A4862">
        <v>4858</v>
      </c>
      <c r="B4862">
        <v>4859</v>
      </c>
      <c r="F4862" s="1"/>
      <c r="H4862" t="s">
        <v>26</v>
      </c>
      <c r="I4862" s="64"/>
      <c r="N4862" s="4"/>
    </row>
    <row r="4863" spans="1:14" x14ac:dyDescent="0.35">
      <c r="A4863">
        <v>4859</v>
      </c>
      <c r="B4863">
        <v>4860</v>
      </c>
      <c r="F4863" s="1"/>
      <c r="H4863" t="s">
        <v>26</v>
      </c>
      <c r="I4863" s="64"/>
      <c r="N4863" s="4"/>
    </row>
    <row r="4864" spans="1:14" x14ac:dyDescent="0.35">
      <c r="A4864">
        <v>4860</v>
      </c>
      <c r="B4864">
        <v>4861</v>
      </c>
      <c r="F4864" s="1"/>
      <c r="H4864" t="s">
        <v>26</v>
      </c>
      <c r="I4864" s="64"/>
      <c r="N4864" s="4"/>
    </row>
    <row r="4865" spans="1:14" x14ac:dyDescent="0.35">
      <c r="A4865">
        <v>4861</v>
      </c>
      <c r="B4865">
        <v>4862</v>
      </c>
      <c r="F4865" s="1"/>
      <c r="H4865" t="s">
        <v>26</v>
      </c>
      <c r="I4865" s="64"/>
      <c r="N4865" s="4"/>
    </row>
    <row r="4866" spans="1:14" x14ac:dyDescent="0.35">
      <c r="A4866">
        <v>4862</v>
      </c>
      <c r="B4866">
        <v>4863</v>
      </c>
      <c r="F4866" s="1"/>
      <c r="H4866" t="s">
        <v>26</v>
      </c>
      <c r="I4866" s="64"/>
      <c r="N4866" s="4"/>
    </row>
    <row r="4867" spans="1:14" x14ac:dyDescent="0.35">
      <c r="A4867">
        <v>4863</v>
      </c>
      <c r="B4867">
        <v>4864</v>
      </c>
      <c r="F4867" s="1"/>
      <c r="H4867" t="s">
        <v>26</v>
      </c>
      <c r="I4867" s="64"/>
      <c r="N4867" s="4"/>
    </row>
    <row r="4868" spans="1:14" x14ac:dyDescent="0.35">
      <c r="A4868">
        <v>4864</v>
      </c>
      <c r="B4868">
        <v>4865</v>
      </c>
      <c r="F4868" s="1"/>
      <c r="H4868" t="s">
        <v>26</v>
      </c>
      <c r="I4868" s="64"/>
      <c r="N4868" s="4"/>
    </row>
    <row r="4869" spans="1:14" x14ac:dyDescent="0.35">
      <c r="A4869">
        <v>4865</v>
      </c>
      <c r="B4869">
        <v>4866</v>
      </c>
      <c r="F4869" s="1"/>
      <c r="H4869" t="s">
        <v>26</v>
      </c>
      <c r="I4869" s="64"/>
      <c r="N4869" s="4"/>
    </row>
    <row r="4870" spans="1:14" x14ac:dyDescent="0.35">
      <c r="A4870">
        <v>4866</v>
      </c>
      <c r="B4870">
        <v>4867</v>
      </c>
      <c r="F4870" s="1"/>
      <c r="H4870" t="s">
        <v>26</v>
      </c>
      <c r="I4870" s="64"/>
      <c r="N4870" s="4"/>
    </row>
    <row r="4871" spans="1:14" x14ac:dyDescent="0.35">
      <c r="A4871">
        <v>4867</v>
      </c>
      <c r="B4871">
        <v>4868</v>
      </c>
      <c r="F4871" s="1"/>
      <c r="H4871" t="s">
        <v>26</v>
      </c>
      <c r="I4871" s="64"/>
      <c r="N4871" s="4"/>
    </row>
    <row r="4872" spans="1:14" x14ac:dyDescent="0.35">
      <c r="A4872">
        <v>4868</v>
      </c>
      <c r="B4872">
        <v>4869</v>
      </c>
      <c r="F4872" s="1"/>
      <c r="H4872" t="s">
        <v>26</v>
      </c>
      <c r="I4872" s="64"/>
      <c r="N4872" s="4"/>
    </row>
    <row r="4873" spans="1:14" x14ac:dyDescent="0.35">
      <c r="A4873">
        <v>4869</v>
      </c>
      <c r="B4873">
        <v>4870</v>
      </c>
      <c r="F4873" s="1"/>
      <c r="H4873" t="s">
        <v>26</v>
      </c>
      <c r="I4873" s="64"/>
      <c r="N4873" s="4"/>
    </row>
    <row r="4874" spans="1:14" x14ac:dyDescent="0.35">
      <c r="A4874">
        <v>4870</v>
      </c>
      <c r="B4874">
        <v>4871</v>
      </c>
      <c r="F4874" s="1"/>
      <c r="H4874" t="s">
        <v>26</v>
      </c>
      <c r="I4874" s="64"/>
      <c r="N4874" s="4"/>
    </row>
    <row r="4875" spans="1:14" x14ac:dyDescent="0.35">
      <c r="A4875">
        <v>4871</v>
      </c>
      <c r="B4875">
        <v>4872</v>
      </c>
      <c r="F4875" s="1"/>
      <c r="H4875" t="s">
        <v>26</v>
      </c>
      <c r="I4875" s="64"/>
      <c r="N4875" s="4"/>
    </row>
    <row r="4876" spans="1:14" x14ac:dyDescent="0.35">
      <c r="A4876">
        <v>4872</v>
      </c>
      <c r="B4876">
        <v>4873</v>
      </c>
      <c r="F4876" s="1"/>
      <c r="H4876" t="s">
        <v>26</v>
      </c>
      <c r="I4876" s="64"/>
      <c r="N4876" s="4"/>
    </row>
    <row r="4877" spans="1:14" x14ac:dyDescent="0.35">
      <c r="A4877">
        <v>4873</v>
      </c>
      <c r="B4877">
        <v>4874</v>
      </c>
      <c r="F4877" s="1"/>
      <c r="H4877" t="s">
        <v>26</v>
      </c>
      <c r="I4877" s="64"/>
      <c r="N4877" s="4"/>
    </row>
    <row r="4878" spans="1:14" x14ac:dyDescent="0.35">
      <c r="A4878">
        <v>4874</v>
      </c>
      <c r="B4878">
        <v>4875</v>
      </c>
      <c r="F4878" s="1"/>
      <c r="H4878" t="s">
        <v>26</v>
      </c>
      <c r="I4878" s="64"/>
      <c r="N4878" s="4"/>
    </row>
    <row r="4879" spans="1:14" x14ac:dyDescent="0.35">
      <c r="A4879">
        <v>4875</v>
      </c>
      <c r="B4879">
        <v>4876</v>
      </c>
      <c r="F4879" s="1"/>
      <c r="H4879" t="s">
        <v>26</v>
      </c>
      <c r="I4879" s="64"/>
      <c r="N4879" s="4"/>
    </row>
    <row r="4880" spans="1:14" x14ac:dyDescent="0.35">
      <c r="A4880">
        <v>4876</v>
      </c>
      <c r="B4880">
        <v>4877</v>
      </c>
      <c r="F4880" s="1"/>
      <c r="H4880" t="s">
        <v>26</v>
      </c>
      <c r="I4880" s="64"/>
      <c r="N4880" s="4"/>
    </row>
    <row r="4881" spans="1:14" x14ac:dyDescent="0.35">
      <c r="A4881">
        <v>4877</v>
      </c>
      <c r="B4881">
        <v>4878</v>
      </c>
      <c r="F4881" s="1"/>
      <c r="H4881" t="s">
        <v>26</v>
      </c>
      <c r="I4881" s="64"/>
      <c r="N4881" s="4"/>
    </row>
    <row r="4882" spans="1:14" x14ac:dyDescent="0.35">
      <c r="A4882">
        <v>4878</v>
      </c>
      <c r="B4882">
        <v>4879</v>
      </c>
      <c r="F4882" s="1"/>
      <c r="H4882" t="s">
        <v>26</v>
      </c>
      <c r="I4882" s="64"/>
      <c r="N4882" s="4"/>
    </row>
    <row r="4883" spans="1:14" x14ac:dyDescent="0.35">
      <c r="A4883">
        <v>4879</v>
      </c>
      <c r="B4883">
        <v>4880</v>
      </c>
      <c r="F4883" s="1"/>
      <c r="H4883" t="s">
        <v>26</v>
      </c>
      <c r="I4883" s="64"/>
      <c r="N4883" s="4"/>
    </row>
    <row r="4884" spans="1:14" x14ac:dyDescent="0.35">
      <c r="A4884">
        <v>4880</v>
      </c>
      <c r="B4884">
        <v>4881</v>
      </c>
      <c r="F4884" s="1"/>
      <c r="H4884" t="s">
        <v>26</v>
      </c>
      <c r="I4884" s="64"/>
      <c r="N4884" s="4"/>
    </row>
    <row r="4885" spans="1:14" x14ac:dyDescent="0.35">
      <c r="A4885">
        <v>4881</v>
      </c>
      <c r="B4885">
        <v>4882</v>
      </c>
      <c r="F4885" s="1"/>
      <c r="H4885" t="s">
        <v>26</v>
      </c>
      <c r="I4885" s="64"/>
      <c r="N4885" s="4"/>
    </row>
    <row r="4886" spans="1:14" x14ac:dyDescent="0.35">
      <c r="A4886">
        <v>4882</v>
      </c>
      <c r="B4886">
        <v>4883</v>
      </c>
      <c r="F4886" s="1"/>
      <c r="H4886" t="s">
        <v>26</v>
      </c>
      <c r="I4886" s="64"/>
      <c r="N4886" s="4"/>
    </row>
    <row r="4887" spans="1:14" x14ac:dyDescent="0.35">
      <c r="A4887">
        <v>4883</v>
      </c>
      <c r="B4887">
        <v>4884</v>
      </c>
      <c r="F4887" s="1"/>
      <c r="H4887" t="s">
        <v>26</v>
      </c>
      <c r="I4887" s="64"/>
      <c r="N4887" s="4"/>
    </row>
    <row r="4888" spans="1:14" x14ac:dyDescent="0.35">
      <c r="A4888">
        <v>4884</v>
      </c>
      <c r="B4888">
        <v>4885</v>
      </c>
      <c r="F4888" s="1"/>
      <c r="H4888" t="s">
        <v>26</v>
      </c>
      <c r="I4888" s="64"/>
      <c r="N4888" s="4"/>
    </row>
    <row r="4889" spans="1:14" x14ac:dyDescent="0.35">
      <c r="A4889">
        <v>4885</v>
      </c>
      <c r="B4889">
        <v>4886</v>
      </c>
      <c r="F4889" s="1"/>
      <c r="H4889" t="s">
        <v>26</v>
      </c>
      <c r="I4889" s="64"/>
      <c r="N4889" s="4"/>
    </row>
    <row r="4890" spans="1:14" x14ac:dyDescent="0.35">
      <c r="A4890">
        <v>4886</v>
      </c>
      <c r="B4890">
        <v>4887</v>
      </c>
      <c r="F4890" s="1"/>
      <c r="H4890" t="s">
        <v>26</v>
      </c>
      <c r="I4890" s="64"/>
      <c r="N4890" s="4"/>
    </row>
    <row r="4891" spans="1:14" x14ac:dyDescent="0.35">
      <c r="A4891">
        <v>4887</v>
      </c>
      <c r="B4891">
        <v>4888</v>
      </c>
      <c r="F4891" s="1"/>
      <c r="H4891" t="s">
        <v>26</v>
      </c>
      <c r="I4891" s="64"/>
      <c r="N4891" s="4"/>
    </row>
    <row r="4892" spans="1:14" x14ac:dyDescent="0.35">
      <c r="A4892">
        <v>4888</v>
      </c>
      <c r="B4892">
        <v>4889</v>
      </c>
      <c r="F4892" s="1"/>
      <c r="H4892" t="s">
        <v>26</v>
      </c>
      <c r="I4892" s="64"/>
      <c r="N4892" s="4"/>
    </row>
    <row r="4893" spans="1:14" x14ac:dyDescent="0.35">
      <c r="A4893">
        <v>4889</v>
      </c>
      <c r="B4893">
        <v>4890</v>
      </c>
      <c r="F4893" s="1"/>
      <c r="H4893" t="s">
        <v>26</v>
      </c>
      <c r="I4893" s="64"/>
      <c r="N4893" s="4"/>
    </row>
    <row r="4894" spans="1:14" x14ac:dyDescent="0.35">
      <c r="A4894">
        <v>4890</v>
      </c>
      <c r="B4894">
        <v>4891</v>
      </c>
      <c r="F4894" s="1"/>
      <c r="H4894" t="s">
        <v>26</v>
      </c>
      <c r="I4894" s="64"/>
      <c r="N4894" s="4"/>
    </row>
    <row r="4895" spans="1:14" x14ac:dyDescent="0.35">
      <c r="A4895">
        <v>4891</v>
      </c>
      <c r="B4895">
        <v>4892</v>
      </c>
      <c r="F4895" s="1"/>
      <c r="H4895" t="s">
        <v>26</v>
      </c>
      <c r="I4895" s="64"/>
      <c r="N4895" s="4"/>
    </row>
    <row r="4896" spans="1:14" x14ac:dyDescent="0.35">
      <c r="A4896">
        <v>4892</v>
      </c>
      <c r="B4896">
        <v>4893</v>
      </c>
      <c r="F4896" s="1"/>
      <c r="H4896" t="s">
        <v>26</v>
      </c>
      <c r="I4896" s="64"/>
      <c r="N4896" s="4"/>
    </row>
    <row r="4897" spans="1:14" x14ac:dyDescent="0.35">
      <c r="A4897">
        <v>4893</v>
      </c>
      <c r="B4897">
        <v>4894</v>
      </c>
      <c r="F4897" s="1"/>
      <c r="H4897" t="s">
        <v>26</v>
      </c>
      <c r="I4897" s="64"/>
      <c r="N4897" s="4"/>
    </row>
    <row r="4898" spans="1:14" x14ac:dyDescent="0.35">
      <c r="A4898">
        <v>4894</v>
      </c>
      <c r="B4898">
        <v>4895</v>
      </c>
      <c r="F4898" s="1"/>
      <c r="H4898" t="s">
        <v>26</v>
      </c>
      <c r="I4898" s="64"/>
      <c r="N4898" s="4"/>
    </row>
    <row r="4899" spans="1:14" x14ac:dyDescent="0.35">
      <c r="A4899">
        <v>4895</v>
      </c>
      <c r="B4899">
        <v>4896</v>
      </c>
      <c r="F4899" s="1"/>
      <c r="H4899" t="s">
        <v>26</v>
      </c>
      <c r="I4899" s="64"/>
      <c r="N4899" s="4"/>
    </row>
    <row r="4900" spans="1:14" x14ac:dyDescent="0.35">
      <c r="A4900">
        <v>4896</v>
      </c>
      <c r="B4900">
        <v>4897</v>
      </c>
      <c r="F4900" s="1"/>
      <c r="H4900" t="s">
        <v>26</v>
      </c>
      <c r="I4900" s="64"/>
      <c r="N4900" s="4"/>
    </row>
    <row r="4901" spans="1:14" x14ac:dyDescent="0.35">
      <c r="A4901">
        <v>4897</v>
      </c>
      <c r="B4901">
        <v>4898</v>
      </c>
      <c r="F4901" s="1"/>
      <c r="H4901" t="s">
        <v>26</v>
      </c>
      <c r="I4901" s="64"/>
      <c r="N4901" s="4"/>
    </row>
    <row r="4902" spans="1:14" x14ac:dyDescent="0.35">
      <c r="A4902">
        <v>4898</v>
      </c>
      <c r="B4902">
        <v>4899</v>
      </c>
      <c r="F4902" s="1"/>
      <c r="H4902" t="s">
        <v>26</v>
      </c>
      <c r="I4902" s="64"/>
      <c r="N4902" s="4"/>
    </row>
    <row r="4903" spans="1:14" x14ac:dyDescent="0.35">
      <c r="A4903">
        <v>4899</v>
      </c>
      <c r="B4903">
        <v>4900</v>
      </c>
      <c r="F4903" s="1"/>
      <c r="H4903" t="s">
        <v>26</v>
      </c>
      <c r="I4903" s="64"/>
      <c r="N4903" s="4"/>
    </row>
    <row r="4904" spans="1:14" x14ac:dyDescent="0.35">
      <c r="A4904">
        <v>4900</v>
      </c>
      <c r="B4904">
        <v>4901</v>
      </c>
      <c r="F4904" s="1"/>
      <c r="H4904" t="s">
        <v>26</v>
      </c>
      <c r="I4904" s="64"/>
      <c r="N4904" s="4"/>
    </row>
    <row r="4905" spans="1:14" x14ac:dyDescent="0.35">
      <c r="A4905">
        <v>4901</v>
      </c>
      <c r="B4905">
        <v>4902</v>
      </c>
      <c r="F4905" s="1"/>
      <c r="H4905" t="s">
        <v>26</v>
      </c>
      <c r="I4905" s="64"/>
      <c r="N4905" s="4"/>
    </row>
    <row r="4906" spans="1:14" x14ac:dyDescent="0.35">
      <c r="A4906">
        <v>4902</v>
      </c>
      <c r="B4906">
        <v>4903</v>
      </c>
      <c r="F4906" s="1"/>
      <c r="H4906" t="s">
        <v>26</v>
      </c>
      <c r="I4906" s="64"/>
      <c r="N4906" s="4"/>
    </row>
    <row r="4907" spans="1:14" x14ac:dyDescent="0.35">
      <c r="A4907">
        <v>4903</v>
      </c>
      <c r="B4907">
        <v>4904</v>
      </c>
      <c r="F4907" s="1"/>
      <c r="H4907" t="s">
        <v>26</v>
      </c>
      <c r="I4907" s="64"/>
      <c r="N4907" s="4"/>
    </row>
    <row r="4908" spans="1:14" x14ac:dyDescent="0.35">
      <c r="A4908">
        <v>4904</v>
      </c>
      <c r="B4908">
        <v>4905</v>
      </c>
      <c r="F4908" s="1"/>
      <c r="H4908" t="s">
        <v>26</v>
      </c>
      <c r="I4908" s="64"/>
      <c r="N4908" s="4"/>
    </row>
    <row r="4909" spans="1:14" x14ac:dyDescent="0.35">
      <c r="A4909">
        <v>4905</v>
      </c>
      <c r="B4909">
        <v>4906</v>
      </c>
      <c r="F4909" s="1"/>
      <c r="H4909" t="s">
        <v>26</v>
      </c>
      <c r="I4909" s="64"/>
      <c r="N4909" s="4"/>
    </row>
    <row r="4910" spans="1:14" x14ac:dyDescent="0.35">
      <c r="A4910">
        <v>4906</v>
      </c>
      <c r="B4910">
        <v>4907</v>
      </c>
      <c r="F4910" s="1"/>
      <c r="H4910" t="s">
        <v>26</v>
      </c>
      <c r="I4910" s="64"/>
      <c r="N4910" s="4"/>
    </row>
    <row r="4911" spans="1:14" x14ac:dyDescent="0.35">
      <c r="A4911">
        <v>4907</v>
      </c>
      <c r="B4911">
        <v>4908</v>
      </c>
      <c r="F4911" s="1"/>
      <c r="H4911" t="s">
        <v>26</v>
      </c>
      <c r="I4911" s="64"/>
      <c r="N4911" s="4"/>
    </row>
    <row r="4912" spans="1:14" x14ac:dyDescent="0.35">
      <c r="A4912">
        <v>4908</v>
      </c>
      <c r="B4912">
        <v>4909</v>
      </c>
      <c r="F4912" s="1"/>
      <c r="H4912" t="s">
        <v>26</v>
      </c>
      <c r="I4912" s="64"/>
      <c r="N4912" s="4"/>
    </row>
    <row r="4913" spans="1:14" x14ac:dyDescent="0.35">
      <c r="A4913">
        <v>4909</v>
      </c>
      <c r="B4913">
        <v>4910</v>
      </c>
      <c r="F4913" s="1"/>
      <c r="H4913" t="s">
        <v>26</v>
      </c>
      <c r="I4913" s="64"/>
      <c r="N4913" s="4"/>
    </row>
    <row r="4914" spans="1:14" x14ac:dyDescent="0.35">
      <c r="A4914">
        <v>4910</v>
      </c>
      <c r="B4914">
        <v>4911</v>
      </c>
      <c r="F4914" s="1"/>
      <c r="H4914" t="s">
        <v>26</v>
      </c>
      <c r="I4914" s="64"/>
      <c r="N4914" s="4"/>
    </row>
    <row r="4915" spans="1:14" x14ac:dyDescent="0.35">
      <c r="A4915">
        <v>4911</v>
      </c>
      <c r="B4915">
        <v>4912</v>
      </c>
      <c r="F4915" s="1"/>
      <c r="H4915" t="s">
        <v>26</v>
      </c>
      <c r="I4915" s="64"/>
      <c r="N4915" s="4"/>
    </row>
    <row r="4916" spans="1:14" x14ac:dyDescent="0.35">
      <c r="A4916">
        <v>4912</v>
      </c>
      <c r="B4916">
        <v>4913</v>
      </c>
      <c r="F4916" s="1"/>
      <c r="H4916" t="s">
        <v>26</v>
      </c>
      <c r="I4916" s="64"/>
      <c r="N4916" s="4"/>
    </row>
    <row r="4917" spans="1:14" x14ac:dyDescent="0.35">
      <c r="A4917">
        <v>4913</v>
      </c>
      <c r="B4917">
        <v>4914</v>
      </c>
      <c r="F4917" s="1"/>
      <c r="H4917" t="s">
        <v>26</v>
      </c>
      <c r="I4917" s="64"/>
      <c r="N4917" s="4"/>
    </row>
    <row r="4918" spans="1:14" x14ac:dyDescent="0.35">
      <c r="A4918">
        <v>4914</v>
      </c>
      <c r="B4918">
        <v>4915</v>
      </c>
      <c r="F4918" s="1"/>
      <c r="H4918" t="s">
        <v>26</v>
      </c>
      <c r="I4918" s="64"/>
      <c r="N4918" s="4"/>
    </row>
    <row r="4919" spans="1:14" x14ac:dyDescent="0.35">
      <c r="A4919">
        <v>4915</v>
      </c>
      <c r="B4919">
        <v>4916</v>
      </c>
      <c r="F4919" s="1"/>
      <c r="H4919" t="s">
        <v>26</v>
      </c>
      <c r="I4919" s="64"/>
      <c r="N4919" s="4"/>
    </row>
    <row r="4920" spans="1:14" x14ac:dyDescent="0.35">
      <c r="A4920">
        <v>4916</v>
      </c>
      <c r="B4920">
        <v>4917</v>
      </c>
      <c r="F4920" s="1"/>
      <c r="H4920" t="s">
        <v>26</v>
      </c>
      <c r="I4920" s="64"/>
      <c r="N4920" s="4"/>
    </row>
    <row r="4921" spans="1:14" x14ac:dyDescent="0.35">
      <c r="A4921">
        <v>4917</v>
      </c>
      <c r="B4921">
        <v>4918</v>
      </c>
      <c r="F4921" s="1"/>
      <c r="H4921" t="s">
        <v>26</v>
      </c>
      <c r="I4921" s="64"/>
      <c r="N4921" s="4"/>
    </row>
    <row r="4922" spans="1:14" x14ac:dyDescent="0.35">
      <c r="A4922">
        <v>4918</v>
      </c>
      <c r="B4922">
        <v>4919</v>
      </c>
      <c r="F4922" s="1"/>
      <c r="H4922" t="s">
        <v>26</v>
      </c>
      <c r="I4922" s="64"/>
      <c r="N4922" s="4"/>
    </row>
    <row r="4923" spans="1:14" x14ac:dyDescent="0.35">
      <c r="A4923">
        <v>4919</v>
      </c>
      <c r="B4923">
        <v>4920</v>
      </c>
      <c r="F4923" s="1"/>
      <c r="H4923" t="s">
        <v>26</v>
      </c>
      <c r="I4923" s="64"/>
      <c r="N4923" s="4"/>
    </row>
    <row r="4924" spans="1:14" x14ac:dyDescent="0.35">
      <c r="A4924">
        <v>4920</v>
      </c>
      <c r="B4924">
        <v>4921</v>
      </c>
      <c r="F4924" s="1"/>
      <c r="H4924" t="s">
        <v>26</v>
      </c>
      <c r="I4924" s="64"/>
      <c r="N4924" s="4"/>
    </row>
    <row r="4925" spans="1:14" x14ac:dyDescent="0.35">
      <c r="A4925">
        <v>4921</v>
      </c>
      <c r="B4925">
        <v>4922</v>
      </c>
      <c r="F4925" s="1"/>
      <c r="H4925" t="s">
        <v>26</v>
      </c>
      <c r="I4925" s="64"/>
      <c r="N4925" s="4"/>
    </row>
    <row r="4926" spans="1:14" x14ac:dyDescent="0.35">
      <c r="A4926">
        <v>4922</v>
      </c>
      <c r="B4926">
        <v>4923</v>
      </c>
      <c r="F4926" s="1"/>
      <c r="H4926" t="s">
        <v>26</v>
      </c>
      <c r="I4926" s="64"/>
      <c r="N4926" s="4"/>
    </row>
    <row r="4927" spans="1:14" x14ac:dyDescent="0.35">
      <c r="A4927">
        <v>4923</v>
      </c>
      <c r="B4927">
        <v>4924</v>
      </c>
      <c r="F4927" s="1"/>
      <c r="H4927" t="s">
        <v>26</v>
      </c>
      <c r="I4927" s="64"/>
      <c r="N4927" s="4"/>
    </row>
    <row r="4928" spans="1:14" x14ac:dyDescent="0.35">
      <c r="A4928">
        <v>4924</v>
      </c>
      <c r="B4928">
        <v>4925</v>
      </c>
      <c r="F4928" s="1"/>
      <c r="H4928" t="s">
        <v>26</v>
      </c>
      <c r="I4928" s="64"/>
      <c r="N4928" s="4"/>
    </row>
    <row r="4929" spans="1:14" x14ac:dyDescent="0.35">
      <c r="A4929">
        <v>4925</v>
      </c>
      <c r="B4929">
        <v>4926</v>
      </c>
      <c r="F4929" s="1"/>
      <c r="H4929" t="s">
        <v>26</v>
      </c>
      <c r="I4929" s="64"/>
      <c r="N4929" s="4"/>
    </row>
    <row r="4930" spans="1:14" x14ac:dyDescent="0.35">
      <c r="A4930">
        <v>4926</v>
      </c>
      <c r="B4930">
        <v>4927</v>
      </c>
      <c r="F4930" s="1"/>
      <c r="H4930" t="s">
        <v>26</v>
      </c>
      <c r="I4930" s="64"/>
      <c r="N4930" s="4"/>
    </row>
    <row r="4931" spans="1:14" x14ac:dyDescent="0.35">
      <c r="A4931">
        <v>4927</v>
      </c>
      <c r="B4931">
        <v>4928</v>
      </c>
      <c r="F4931" s="1"/>
      <c r="H4931" t="s">
        <v>26</v>
      </c>
      <c r="I4931" s="64"/>
      <c r="N4931" s="4"/>
    </row>
    <row r="4932" spans="1:14" x14ac:dyDescent="0.35">
      <c r="A4932">
        <v>4928</v>
      </c>
      <c r="B4932">
        <v>4929</v>
      </c>
      <c r="F4932" s="1"/>
      <c r="H4932" t="s">
        <v>26</v>
      </c>
      <c r="I4932" s="64"/>
      <c r="N4932" s="4"/>
    </row>
    <row r="4933" spans="1:14" x14ac:dyDescent="0.35">
      <c r="A4933">
        <v>4929</v>
      </c>
      <c r="B4933">
        <v>4930</v>
      </c>
      <c r="F4933" s="1"/>
      <c r="H4933" t="s">
        <v>26</v>
      </c>
      <c r="I4933" s="64"/>
      <c r="N4933" s="4"/>
    </row>
    <row r="4934" spans="1:14" x14ac:dyDescent="0.35">
      <c r="A4934">
        <v>4930</v>
      </c>
      <c r="B4934">
        <v>4931</v>
      </c>
      <c r="F4934" s="1"/>
      <c r="H4934" t="s">
        <v>26</v>
      </c>
      <c r="I4934" s="64"/>
      <c r="N4934" s="4"/>
    </row>
    <row r="4935" spans="1:14" x14ac:dyDescent="0.35">
      <c r="A4935">
        <v>4931</v>
      </c>
      <c r="B4935">
        <v>4932</v>
      </c>
      <c r="F4935" s="1"/>
      <c r="H4935" t="s">
        <v>26</v>
      </c>
      <c r="I4935" s="64"/>
      <c r="N4935" s="4"/>
    </row>
    <row r="4936" spans="1:14" x14ac:dyDescent="0.35">
      <c r="A4936">
        <v>4932</v>
      </c>
      <c r="B4936">
        <v>4933</v>
      </c>
      <c r="F4936" s="1"/>
      <c r="H4936" t="s">
        <v>26</v>
      </c>
      <c r="I4936" s="64"/>
      <c r="N4936" s="4"/>
    </row>
    <row r="4937" spans="1:14" x14ac:dyDescent="0.35">
      <c r="A4937">
        <v>4933</v>
      </c>
      <c r="B4937">
        <v>4934</v>
      </c>
      <c r="F4937" s="1"/>
      <c r="H4937" t="s">
        <v>26</v>
      </c>
      <c r="I4937" s="64"/>
      <c r="N4937" s="4"/>
    </row>
    <row r="4938" spans="1:14" x14ac:dyDescent="0.35">
      <c r="A4938">
        <v>4934</v>
      </c>
      <c r="B4938">
        <v>4935</v>
      </c>
      <c r="F4938" s="1"/>
      <c r="H4938" t="s">
        <v>26</v>
      </c>
      <c r="I4938" s="64"/>
      <c r="N4938" s="4"/>
    </row>
    <row r="4939" spans="1:14" x14ac:dyDescent="0.35">
      <c r="A4939">
        <v>4935</v>
      </c>
      <c r="B4939">
        <v>4936</v>
      </c>
      <c r="F4939" s="1"/>
      <c r="H4939" t="s">
        <v>26</v>
      </c>
      <c r="I4939" s="64"/>
      <c r="N4939" s="4"/>
    </row>
    <row r="4940" spans="1:14" x14ac:dyDescent="0.35">
      <c r="A4940">
        <v>4936</v>
      </c>
      <c r="B4940">
        <v>4937</v>
      </c>
      <c r="F4940" s="1"/>
      <c r="H4940" t="s">
        <v>26</v>
      </c>
      <c r="I4940" s="52"/>
      <c r="N4940" s="4"/>
    </row>
    <row r="4941" spans="1:14" x14ac:dyDescent="0.35">
      <c r="A4941">
        <v>4937</v>
      </c>
      <c r="B4941">
        <v>4938</v>
      </c>
      <c r="F4941" s="1"/>
      <c r="H4941" t="s">
        <v>26</v>
      </c>
      <c r="I4941" s="52"/>
      <c r="N4941" s="4"/>
    </row>
    <row r="4942" spans="1:14" x14ac:dyDescent="0.35">
      <c r="A4942">
        <v>4938</v>
      </c>
      <c r="B4942">
        <v>4939</v>
      </c>
      <c r="F4942" s="1"/>
      <c r="H4942" t="s">
        <v>26</v>
      </c>
      <c r="I4942" s="52"/>
      <c r="N4942" s="4"/>
    </row>
    <row r="4943" spans="1:14" x14ac:dyDescent="0.35">
      <c r="A4943">
        <v>4939</v>
      </c>
      <c r="B4943">
        <v>4940</v>
      </c>
      <c r="F4943" s="1"/>
      <c r="H4943" t="s">
        <v>26</v>
      </c>
      <c r="I4943" s="52"/>
      <c r="N4943" s="4"/>
    </row>
    <row r="4944" spans="1:14" x14ac:dyDescent="0.35">
      <c r="A4944">
        <v>4940</v>
      </c>
      <c r="B4944">
        <v>4941</v>
      </c>
      <c r="F4944" s="1"/>
      <c r="H4944" t="s">
        <v>26</v>
      </c>
      <c r="I4944" s="52"/>
      <c r="N4944" s="4"/>
    </row>
    <row r="4945" spans="1:14" x14ac:dyDescent="0.35">
      <c r="A4945">
        <v>4941</v>
      </c>
      <c r="B4945">
        <v>4942</v>
      </c>
      <c r="F4945" s="1"/>
      <c r="H4945" t="s">
        <v>26</v>
      </c>
      <c r="I4945" s="52"/>
      <c r="N4945" s="4"/>
    </row>
    <row r="4946" spans="1:14" x14ac:dyDescent="0.35">
      <c r="A4946">
        <v>4942</v>
      </c>
      <c r="B4946">
        <v>4943</v>
      </c>
      <c r="F4946" s="1"/>
      <c r="H4946" t="s">
        <v>26</v>
      </c>
      <c r="I4946" s="52"/>
      <c r="N4946" s="4"/>
    </row>
    <row r="4947" spans="1:14" x14ac:dyDescent="0.35">
      <c r="A4947">
        <v>4943</v>
      </c>
      <c r="B4947">
        <v>4944</v>
      </c>
      <c r="F4947" s="1"/>
      <c r="H4947" t="s">
        <v>26</v>
      </c>
      <c r="I4947" s="52"/>
      <c r="N4947" s="4"/>
    </row>
    <row r="4948" spans="1:14" x14ac:dyDescent="0.35">
      <c r="A4948">
        <v>4944</v>
      </c>
      <c r="B4948">
        <v>4945</v>
      </c>
      <c r="F4948" s="1"/>
      <c r="H4948" t="s">
        <v>26</v>
      </c>
      <c r="I4948" s="52"/>
      <c r="N4948" s="4"/>
    </row>
    <row r="4949" spans="1:14" x14ac:dyDescent="0.35">
      <c r="A4949">
        <v>4945</v>
      </c>
      <c r="B4949">
        <v>4946</v>
      </c>
      <c r="F4949" s="1"/>
      <c r="H4949" t="s">
        <v>26</v>
      </c>
      <c r="I4949" s="52"/>
      <c r="N4949" s="4"/>
    </row>
    <row r="4950" spans="1:14" x14ac:dyDescent="0.35">
      <c r="A4950">
        <v>4946</v>
      </c>
      <c r="B4950">
        <v>4947</v>
      </c>
      <c r="F4950" s="1"/>
      <c r="H4950" t="s">
        <v>26</v>
      </c>
      <c r="I4950" s="52"/>
      <c r="N4950" s="4"/>
    </row>
    <row r="4951" spans="1:14" x14ac:dyDescent="0.35">
      <c r="A4951">
        <v>4947</v>
      </c>
      <c r="B4951">
        <v>4948</v>
      </c>
      <c r="F4951" s="1"/>
      <c r="H4951" t="s">
        <v>26</v>
      </c>
      <c r="I4951" s="52"/>
      <c r="N4951" s="4"/>
    </row>
    <row r="4952" spans="1:14" x14ac:dyDescent="0.35">
      <c r="A4952">
        <v>4948</v>
      </c>
      <c r="B4952">
        <v>4949</v>
      </c>
      <c r="F4952" s="1"/>
      <c r="H4952" t="s">
        <v>26</v>
      </c>
      <c r="I4952" s="52"/>
      <c r="N4952" s="4"/>
    </row>
    <row r="4953" spans="1:14" x14ac:dyDescent="0.35">
      <c r="A4953">
        <v>4949</v>
      </c>
      <c r="B4953">
        <v>4950</v>
      </c>
      <c r="F4953" s="1"/>
      <c r="H4953" t="s">
        <v>26</v>
      </c>
      <c r="I4953" s="52"/>
      <c r="N4953" s="4"/>
    </row>
    <row r="4954" spans="1:14" x14ac:dyDescent="0.35">
      <c r="A4954">
        <v>4950</v>
      </c>
      <c r="B4954">
        <v>4951</v>
      </c>
      <c r="F4954" s="1"/>
      <c r="H4954" t="s">
        <v>26</v>
      </c>
      <c r="I4954" s="52"/>
      <c r="N4954" s="4"/>
    </row>
    <row r="4955" spans="1:14" x14ac:dyDescent="0.35">
      <c r="A4955">
        <v>4951</v>
      </c>
      <c r="B4955">
        <v>4952</v>
      </c>
      <c r="F4955" s="1"/>
      <c r="H4955" t="s">
        <v>26</v>
      </c>
      <c r="I4955" s="52"/>
      <c r="N4955" s="4"/>
    </row>
    <row r="4956" spans="1:14" x14ac:dyDescent="0.35">
      <c r="A4956">
        <v>4952</v>
      </c>
      <c r="B4956">
        <v>4953</v>
      </c>
      <c r="F4956" s="1"/>
      <c r="H4956" t="s">
        <v>26</v>
      </c>
      <c r="I4956" s="52"/>
      <c r="N4956" s="4"/>
    </row>
    <row r="4957" spans="1:14" x14ac:dyDescent="0.35">
      <c r="A4957">
        <v>4953</v>
      </c>
      <c r="B4957">
        <v>4954</v>
      </c>
      <c r="F4957" s="1"/>
      <c r="H4957" t="s">
        <v>26</v>
      </c>
      <c r="I4957" s="52"/>
      <c r="N4957" s="4"/>
    </row>
    <row r="4958" spans="1:14" x14ac:dyDescent="0.35">
      <c r="A4958">
        <v>4954</v>
      </c>
      <c r="B4958">
        <v>4955</v>
      </c>
      <c r="F4958" s="1"/>
      <c r="H4958" t="s">
        <v>26</v>
      </c>
      <c r="I4958" s="52"/>
      <c r="N4958" s="4"/>
    </row>
    <row r="4959" spans="1:14" x14ac:dyDescent="0.35">
      <c r="A4959">
        <v>4955</v>
      </c>
      <c r="B4959">
        <v>4956</v>
      </c>
      <c r="F4959" s="1"/>
      <c r="H4959" t="s">
        <v>26</v>
      </c>
      <c r="I4959" s="52"/>
      <c r="N4959" s="4"/>
    </row>
    <row r="4960" spans="1:14" x14ac:dyDescent="0.35">
      <c r="A4960">
        <v>4956</v>
      </c>
      <c r="B4960">
        <v>4957</v>
      </c>
      <c r="F4960" s="1"/>
      <c r="H4960" t="s">
        <v>26</v>
      </c>
      <c r="I4960" s="52"/>
      <c r="N4960" s="4"/>
    </row>
    <row r="4961" spans="1:14" x14ac:dyDescent="0.35">
      <c r="A4961">
        <v>4957</v>
      </c>
      <c r="B4961">
        <v>4958</v>
      </c>
      <c r="F4961" s="1"/>
      <c r="H4961" t="s">
        <v>26</v>
      </c>
      <c r="I4961" s="52"/>
      <c r="N4961" s="4"/>
    </row>
    <row r="4962" spans="1:14" x14ac:dyDescent="0.35">
      <c r="A4962">
        <v>4958</v>
      </c>
      <c r="B4962">
        <v>4959</v>
      </c>
      <c r="F4962" s="1"/>
      <c r="H4962" t="s">
        <v>26</v>
      </c>
      <c r="I4962" s="52"/>
      <c r="N4962" s="4"/>
    </row>
    <row r="4963" spans="1:14" x14ac:dyDescent="0.35">
      <c r="A4963">
        <v>4959</v>
      </c>
      <c r="B4963">
        <v>4960</v>
      </c>
      <c r="F4963" s="1"/>
      <c r="H4963" t="s">
        <v>26</v>
      </c>
      <c r="I4963" s="52"/>
      <c r="N4963" s="4"/>
    </row>
    <row r="4964" spans="1:14" x14ac:dyDescent="0.35">
      <c r="A4964">
        <v>4960</v>
      </c>
      <c r="B4964">
        <v>4961</v>
      </c>
      <c r="F4964" s="1"/>
      <c r="H4964" t="s">
        <v>26</v>
      </c>
      <c r="I4964" s="52"/>
      <c r="N4964" s="4"/>
    </row>
    <row r="4965" spans="1:14" x14ac:dyDescent="0.35">
      <c r="A4965">
        <v>4961</v>
      </c>
      <c r="B4965">
        <v>4962</v>
      </c>
      <c r="F4965" s="1"/>
      <c r="H4965" t="s">
        <v>26</v>
      </c>
      <c r="I4965" s="52"/>
      <c r="N4965" s="4"/>
    </row>
    <row r="4966" spans="1:14" x14ac:dyDescent="0.35">
      <c r="A4966">
        <v>4962</v>
      </c>
      <c r="B4966">
        <v>4963</v>
      </c>
      <c r="F4966" s="1"/>
      <c r="H4966" t="s">
        <v>26</v>
      </c>
      <c r="I4966" s="52"/>
      <c r="N4966" s="4"/>
    </row>
    <row r="4967" spans="1:14" x14ac:dyDescent="0.35">
      <c r="A4967">
        <v>4963</v>
      </c>
      <c r="B4967">
        <v>4964</v>
      </c>
      <c r="F4967" s="1"/>
      <c r="H4967" t="s">
        <v>26</v>
      </c>
      <c r="I4967" s="52"/>
      <c r="N4967" s="4"/>
    </row>
    <row r="4968" spans="1:14" x14ac:dyDescent="0.35">
      <c r="A4968">
        <v>4964</v>
      </c>
      <c r="B4968">
        <v>4965</v>
      </c>
      <c r="F4968" s="1"/>
      <c r="H4968" t="s">
        <v>26</v>
      </c>
      <c r="I4968" s="52"/>
      <c r="N4968" s="4"/>
    </row>
    <row r="4969" spans="1:14" x14ac:dyDescent="0.35">
      <c r="A4969">
        <v>4965</v>
      </c>
      <c r="B4969">
        <v>4966</v>
      </c>
      <c r="F4969" s="1"/>
      <c r="H4969" t="s">
        <v>26</v>
      </c>
      <c r="I4969" s="52"/>
      <c r="N4969" s="4"/>
    </row>
    <row r="4970" spans="1:14" x14ac:dyDescent="0.35">
      <c r="A4970">
        <v>4966</v>
      </c>
      <c r="B4970">
        <v>4967</v>
      </c>
      <c r="F4970" s="1"/>
      <c r="H4970" t="s">
        <v>26</v>
      </c>
      <c r="I4970" s="52"/>
      <c r="N4970" s="4"/>
    </row>
    <row r="4971" spans="1:14" x14ac:dyDescent="0.35">
      <c r="A4971">
        <v>4967</v>
      </c>
      <c r="B4971">
        <v>4968</v>
      </c>
      <c r="F4971" s="1"/>
      <c r="H4971" t="s">
        <v>26</v>
      </c>
      <c r="I4971" s="52"/>
      <c r="N4971" s="4"/>
    </row>
    <row r="4972" spans="1:14" x14ac:dyDescent="0.35">
      <c r="A4972">
        <v>4968</v>
      </c>
      <c r="B4972">
        <v>4969</v>
      </c>
      <c r="F4972" s="1"/>
      <c r="H4972" t="s">
        <v>26</v>
      </c>
      <c r="I4972" s="52"/>
      <c r="N4972" s="4"/>
    </row>
    <row r="4973" spans="1:14" x14ac:dyDescent="0.35">
      <c r="A4973">
        <v>4969</v>
      </c>
      <c r="B4973">
        <v>4970</v>
      </c>
      <c r="F4973" s="1"/>
      <c r="H4973" t="s">
        <v>26</v>
      </c>
      <c r="I4973" s="52"/>
      <c r="N4973" s="4"/>
    </row>
    <row r="4974" spans="1:14" x14ac:dyDescent="0.35">
      <c r="A4974">
        <v>4970</v>
      </c>
      <c r="B4974">
        <v>4971</v>
      </c>
      <c r="F4974" s="1"/>
      <c r="H4974" t="s">
        <v>26</v>
      </c>
      <c r="I4974" s="52"/>
      <c r="N4974" s="4"/>
    </row>
    <row r="4975" spans="1:14" x14ac:dyDescent="0.35">
      <c r="A4975">
        <v>4971</v>
      </c>
      <c r="B4975">
        <v>4972</v>
      </c>
      <c r="F4975" s="1"/>
      <c r="H4975" t="s">
        <v>26</v>
      </c>
      <c r="I4975" s="52"/>
      <c r="N4975" s="4"/>
    </row>
    <row r="4976" spans="1:14" x14ac:dyDescent="0.35">
      <c r="A4976">
        <v>4972</v>
      </c>
      <c r="B4976">
        <v>4973</v>
      </c>
      <c r="F4976" s="1"/>
      <c r="H4976" t="s">
        <v>26</v>
      </c>
      <c r="I4976" s="52"/>
      <c r="N4976" s="4"/>
    </row>
    <row r="4977" spans="1:14" x14ac:dyDescent="0.35">
      <c r="A4977">
        <v>4973</v>
      </c>
      <c r="B4977">
        <v>4974</v>
      </c>
      <c r="F4977" s="1"/>
      <c r="H4977" t="s">
        <v>26</v>
      </c>
      <c r="I4977" s="52"/>
      <c r="N4977" s="4"/>
    </row>
    <row r="4978" spans="1:14" x14ac:dyDescent="0.35">
      <c r="A4978">
        <v>4974</v>
      </c>
      <c r="B4978">
        <v>4975</v>
      </c>
      <c r="F4978" s="1"/>
      <c r="H4978" t="s">
        <v>26</v>
      </c>
      <c r="I4978" s="52"/>
      <c r="N4978" s="4"/>
    </row>
    <row r="4979" spans="1:14" x14ac:dyDescent="0.35">
      <c r="A4979">
        <v>4975</v>
      </c>
      <c r="B4979">
        <v>4976</v>
      </c>
      <c r="F4979" s="1"/>
      <c r="H4979" t="s">
        <v>26</v>
      </c>
      <c r="I4979" s="52"/>
      <c r="N4979" s="4"/>
    </row>
    <row r="4980" spans="1:14" x14ac:dyDescent="0.35">
      <c r="A4980">
        <v>4976</v>
      </c>
      <c r="B4980">
        <v>4977</v>
      </c>
      <c r="F4980" s="1"/>
      <c r="H4980" t="s">
        <v>26</v>
      </c>
      <c r="I4980" s="52"/>
      <c r="N4980" s="4"/>
    </row>
    <row r="4981" spans="1:14" x14ac:dyDescent="0.35">
      <c r="A4981">
        <v>4977</v>
      </c>
      <c r="B4981">
        <v>4978</v>
      </c>
      <c r="F4981" s="1"/>
      <c r="H4981" t="s">
        <v>26</v>
      </c>
      <c r="I4981" s="52"/>
      <c r="N4981" s="4"/>
    </row>
    <row r="4982" spans="1:14" x14ac:dyDescent="0.35">
      <c r="A4982">
        <v>4978</v>
      </c>
      <c r="B4982">
        <v>4979</v>
      </c>
      <c r="F4982" s="1"/>
      <c r="H4982" t="s">
        <v>26</v>
      </c>
      <c r="I4982" s="52"/>
      <c r="N4982" s="4"/>
    </row>
    <row r="4983" spans="1:14" x14ac:dyDescent="0.35">
      <c r="A4983">
        <v>4979</v>
      </c>
      <c r="B4983">
        <v>4980</v>
      </c>
      <c r="F4983" s="1"/>
      <c r="H4983" t="s">
        <v>26</v>
      </c>
      <c r="I4983" s="52"/>
      <c r="N4983" s="4"/>
    </row>
    <row r="4984" spans="1:14" x14ac:dyDescent="0.35">
      <c r="A4984">
        <v>4980</v>
      </c>
      <c r="B4984">
        <v>4981</v>
      </c>
      <c r="F4984" s="1"/>
      <c r="H4984" t="s">
        <v>26</v>
      </c>
      <c r="I4984" s="52"/>
      <c r="N4984" s="4"/>
    </row>
    <row r="4985" spans="1:14" x14ac:dyDescent="0.35">
      <c r="A4985">
        <v>4981</v>
      </c>
      <c r="B4985">
        <v>4982</v>
      </c>
      <c r="F4985" s="1"/>
      <c r="H4985" t="s">
        <v>26</v>
      </c>
      <c r="I4985" s="52"/>
      <c r="N4985" s="4"/>
    </row>
    <row r="4986" spans="1:14" x14ac:dyDescent="0.35">
      <c r="A4986">
        <v>4982</v>
      </c>
      <c r="B4986">
        <v>4983</v>
      </c>
      <c r="F4986" s="1"/>
      <c r="H4986" t="s">
        <v>26</v>
      </c>
      <c r="I4986" s="52"/>
      <c r="N4986" s="4"/>
    </row>
    <row r="4987" spans="1:14" x14ac:dyDescent="0.35">
      <c r="A4987">
        <v>4983</v>
      </c>
      <c r="B4987">
        <v>4984</v>
      </c>
      <c r="F4987" s="1"/>
      <c r="H4987" t="s">
        <v>26</v>
      </c>
      <c r="I4987" s="52"/>
      <c r="N4987" s="4"/>
    </row>
    <row r="4988" spans="1:14" x14ac:dyDescent="0.35">
      <c r="A4988">
        <v>4984</v>
      </c>
      <c r="B4988">
        <v>4985</v>
      </c>
      <c r="F4988" s="1"/>
      <c r="H4988" t="s">
        <v>26</v>
      </c>
      <c r="I4988" s="52"/>
      <c r="N4988" s="4"/>
    </row>
    <row r="4989" spans="1:14" x14ac:dyDescent="0.35">
      <c r="A4989">
        <v>4985</v>
      </c>
      <c r="B4989">
        <v>4986</v>
      </c>
      <c r="F4989" s="1"/>
      <c r="H4989" t="s">
        <v>26</v>
      </c>
      <c r="I4989" s="52"/>
      <c r="N4989" s="4"/>
    </row>
    <row r="4990" spans="1:14" x14ac:dyDescent="0.35">
      <c r="A4990">
        <v>4986</v>
      </c>
      <c r="B4990">
        <v>4987</v>
      </c>
      <c r="F4990" s="1"/>
      <c r="H4990" t="s">
        <v>26</v>
      </c>
      <c r="I4990" s="52"/>
      <c r="N4990" s="4"/>
    </row>
    <row r="4991" spans="1:14" x14ac:dyDescent="0.35">
      <c r="A4991">
        <v>4987</v>
      </c>
      <c r="B4991">
        <v>4988</v>
      </c>
      <c r="F4991" s="1"/>
      <c r="H4991" t="s">
        <v>26</v>
      </c>
      <c r="I4991" s="52"/>
      <c r="N4991" s="4"/>
    </row>
    <row r="4992" spans="1:14" x14ac:dyDescent="0.35">
      <c r="A4992">
        <v>4988</v>
      </c>
      <c r="B4992">
        <v>4989</v>
      </c>
      <c r="F4992" s="1"/>
      <c r="H4992" t="s">
        <v>26</v>
      </c>
      <c r="I4992" s="52"/>
      <c r="N4992" s="4"/>
    </row>
    <row r="4993" spans="1:14" x14ac:dyDescent="0.35">
      <c r="A4993">
        <v>4989</v>
      </c>
      <c r="B4993">
        <v>4990</v>
      </c>
      <c r="F4993" s="1"/>
      <c r="H4993" t="s">
        <v>26</v>
      </c>
      <c r="I4993" s="52"/>
      <c r="N4993" s="4"/>
    </row>
    <row r="4994" spans="1:14" x14ac:dyDescent="0.35">
      <c r="A4994">
        <v>4990</v>
      </c>
      <c r="B4994">
        <v>4991</v>
      </c>
      <c r="F4994" s="1"/>
      <c r="H4994" t="s">
        <v>26</v>
      </c>
      <c r="I4994" s="52"/>
      <c r="N4994" s="4"/>
    </row>
    <row r="4995" spans="1:14" x14ac:dyDescent="0.35">
      <c r="A4995">
        <v>4991</v>
      </c>
      <c r="B4995">
        <v>4992</v>
      </c>
      <c r="F4995" s="1"/>
      <c r="H4995" t="s">
        <v>26</v>
      </c>
      <c r="I4995" s="52"/>
      <c r="N4995" s="4"/>
    </row>
    <row r="4996" spans="1:14" x14ac:dyDescent="0.35">
      <c r="A4996">
        <v>4992</v>
      </c>
      <c r="B4996">
        <v>4993</v>
      </c>
      <c r="F4996" s="1"/>
      <c r="H4996" t="s">
        <v>26</v>
      </c>
      <c r="I4996" s="52"/>
      <c r="N4996" s="4"/>
    </row>
    <row r="4997" spans="1:14" x14ac:dyDescent="0.35">
      <c r="A4997">
        <v>4993</v>
      </c>
      <c r="B4997">
        <v>4994</v>
      </c>
      <c r="F4997" s="1"/>
      <c r="H4997" t="s">
        <v>26</v>
      </c>
      <c r="I4997" s="52"/>
      <c r="N4997" s="4"/>
    </row>
    <row r="4998" spans="1:14" x14ac:dyDescent="0.35">
      <c r="A4998">
        <v>4994</v>
      </c>
      <c r="B4998">
        <v>4995</v>
      </c>
      <c r="F4998" s="1"/>
      <c r="H4998" t="s">
        <v>26</v>
      </c>
      <c r="I4998" s="52"/>
      <c r="N4998" s="4"/>
    </row>
    <row r="4999" spans="1:14" x14ac:dyDescent="0.35">
      <c r="A4999">
        <v>4995</v>
      </c>
      <c r="B4999">
        <v>4996</v>
      </c>
      <c r="F4999" s="1"/>
      <c r="H4999" t="s">
        <v>26</v>
      </c>
      <c r="I4999" s="52"/>
      <c r="N4999" s="4"/>
    </row>
    <row r="5000" spans="1:14" x14ac:dyDescent="0.35">
      <c r="A5000">
        <v>4996</v>
      </c>
      <c r="B5000">
        <v>4997</v>
      </c>
      <c r="F5000" s="1"/>
      <c r="H5000" t="s">
        <v>26</v>
      </c>
      <c r="I5000" s="52"/>
      <c r="N5000" s="4"/>
    </row>
    <row r="5001" spans="1:14" x14ac:dyDescent="0.35">
      <c r="A5001">
        <v>4997</v>
      </c>
      <c r="B5001">
        <v>4998</v>
      </c>
      <c r="F5001" s="1"/>
      <c r="H5001" t="s">
        <v>26</v>
      </c>
      <c r="I5001" s="52"/>
      <c r="N5001" s="4"/>
    </row>
    <row r="5002" spans="1:14" x14ac:dyDescent="0.35">
      <c r="A5002">
        <v>4998</v>
      </c>
      <c r="B5002">
        <v>4999</v>
      </c>
      <c r="F5002" s="1"/>
      <c r="H5002" t="s">
        <v>26</v>
      </c>
      <c r="I5002" s="52"/>
      <c r="N5002" s="4"/>
    </row>
    <row r="5003" spans="1:14" x14ac:dyDescent="0.35">
      <c r="A5003">
        <v>4999</v>
      </c>
      <c r="B5003">
        <v>5000</v>
      </c>
      <c r="F5003" s="1"/>
      <c r="H5003" t="s">
        <v>26</v>
      </c>
      <c r="I5003" s="52"/>
      <c r="N5003" s="4"/>
    </row>
    <row r="5004" spans="1:14" x14ac:dyDescent="0.35">
      <c r="A5004">
        <v>5000</v>
      </c>
      <c r="B5004">
        <v>5001</v>
      </c>
      <c r="F5004" s="1"/>
      <c r="H5004" t="s">
        <v>26</v>
      </c>
      <c r="I5004" s="52"/>
      <c r="N5004" s="4"/>
    </row>
    <row r="5005" spans="1:14" x14ac:dyDescent="0.35">
      <c r="A5005">
        <v>5001</v>
      </c>
      <c r="B5005">
        <v>5002</v>
      </c>
      <c r="F5005" s="1"/>
      <c r="H5005" t="s">
        <v>26</v>
      </c>
      <c r="I5005" s="52"/>
      <c r="N5005" s="4"/>
    </row>
    <row r="5006" spans="1:14" x14ac:dyDescent="0.35">
      <c r="A5006">
        <v>5002</v>
      </c>
      <c r="B5006">
        <v>5003</v>
      </c>
      <c r="F5006" s="1"/>
      <c r="H5006" t="s">
        <v>26</v>
      </c>
      <c r="I5006" s="52"/>
      <c r="N5006" s="4"/>
    </row>
    <row r="5007" spans="1:14" x14ac:dyDescent="0.35">
      <c r="A5007">
        <v>5003</v>
      </c>
      <c r="B5007">
        <v>5004</v>
      </c>
      <c r="F5007" s="1"/>
      <c r="H5007" t="s">
        <v>26</v>
      </c>
      <c r="I5007" s="52"/>
      <c r="N5007" s="4"/>
    </row>
    <row r="5008" spans="1:14" x14ac:dyDescent="0.35">
      <c r="A5008">
        <v>5004</v>
      </c>
      <c r="B5008">
        <v>5005</v>
      </c>
      <c r="F5008" s="1"/>
      <c r="H5008" t="s">
        <v>26</v>
      </c>
      <c r="I5008" s="52"/>
      <c r="N5008" s="4"/>
    </row>
    <row r="5009" spans="1:14" x14ac:dyDescent="0.35">
      <c r="A5009">
        <v>5005</v>
      </c>
      <c r="B5009">
        <v>5006</v>
      </c>
      <c r="F5009" s="1"/>
      <c r="H5009" t="s">
        <v>26</v>
      </c>
      <c r="I5009" s="52"/>
      <c r="N5009" s="4"/>
    </row>
    <row r="5010" spans="1:14" x14ac:dyDescent="0.35">
      <c r="A5010">
        <v>5006</v>
      </c>
      <c r="B5010">
        <v>5007</v>
      </c>
      <c r="F5010" s="1"/>
      <c r="H5010" t="s">
        <v>26</v>
      </c>
      <c r="I5010" s="52"/>
      <c r="N5010" s="4"/>
    </row>
    <row r="5011" spans="1:14" x14ac:dyDescent="0.35">
      <c r="A5011">
        <v>5007</v>
      </c>
      <c r="B5011">
        <v>5008</v>
      </c>
      <c r="F5011" s="1"/>
      <c r="H5011" t="s">
        <v>26</v>
      </c>
      <c r="I5011" s="52"/>
      <c r="N5011" s="4"/>
    </row>
    <row r="5012" spans="1:14" x14ac:dyDescent="0.35">
      <c r="A5012">
        <v>5008</v>
      </c>
      <c r="B5012">
        <v>5009</v>
      </c>
      <c r="F5012" s="1"/>
      <c r="H5012" t="s">
        <v>26</v>
      </c>
      <c r="I5012" s="52"/>
      <c r="N5012" s="4"/>
    </row>
    <row r="5013" spans="1:14" x14ac:dyDescent="0.35">
      <c r="A5013">
        <v>5009</v>
      </c>
      <c r="B5013">
        <v>5010</v>
      </c>
      <c r="F5013" s="1"/>
      <c r="H5013" t="s">
        <v>26</v>
      </c>
      <c r="I5013" s="52"/>
      <c r="N5013" s="4"/>
    </row>
    <row r="5014" spans="1:14" x14ac:dyDescent="0.35">
      <c r="A5014">
        <v>5010</v>
      </c>
      <c r="B5014">
        <v>5011</v>
      </c>
      <c r="F5014" s="1"/>
      <c r="H5014" t="s">
        <v>26</v>
      </c>
      <c r="I5014" s="52"/>
      <c r="N5014" s="4"/>
    </row>
    <row r="5015" spans="1:14" x14ac:dyDescent="0.35">
      <c r="A5015">
        <v>5011</v>
      </c>
      <c r="B5015">
        <v>5012</v>
      </c>
      <c r="F5015" s="1"/>
      <c r="H5015" t="s">
        <v>26</v>
      </c>
      <c r="I5015" s="52"/>
      <c r="N5015" s="4"/>
    </row>
    <row r="5016" spans="1:14" x14ac:dyDescent="0.35">
      <c r="A5016">
        <v>5012</v>
      </c>
      <c r="B5016">
        <v>5013</v>
      </c>
      <c r="F5016" s="1"/>
      <c r="H5016" t="s">
        <v>26</v>
      </c>
      <c r="I5016" s="52"/>
      <c r="N5016" s="4"/>
    </row>
    <row r="5017" spans="1:14" x14ac:dyDescent="0.35">
      <c r="A5017">
        <v>5013</v>
      </c>
      <c r="B5017">
        <v>5014</v>
      </c>
      <c r="F5017" s="1"/>
      <c r="H5017" t="s">
        <v>26</v>
      </c>
      <c r="I5017" s="52"/>
      <c r="N5017" s="4"/>
    </row>
    <row r="5018" spans="1:14" x14ac:dyDescent="0.35">
      <c r="A5018">
        <v>5014</v>
      </c>
      <c r="B5018">
        <v>5015</v>
      </c>
      <c r="F5018" s="1"/>
      <c r="H5018" t="s">
        <v>26</v>
      </c>
      <c r="I5018" s="52"/>
      <c r="N5018" s="4"/>
    </row>
    <row r="5019" spans="1:14" x14ac:dyDescent="0.35">
      <c r="A5019">
        <v>5015</v>
      </c>
      <c r="B5019">
        <v>5016</v>
      </c>
      <c r="F5019" s="1"/>
      <c r="H5019" t="s">
        <v>26</v>
      </c>
      <c r="I5019" s="52"/>
    </row>
    <row r="5020" spans="1:14" x14ac:dyDescent="0.35">
      <c r="A5020">
        <v>5016</v>
      </c>
      <c r="B5020">
        <v>5017</v>
      </c>
      <c r="F5020" s="1"/>
      <c r="H5020" t="s">
        <v>26</v>
      </c>
      <c r="I5020" s="52"/>
    </row>
    <row r="5021" spans="1:14" x14ac:dyDescent="0.35">
      <c r="A5021">
        <v>5017</v>
      </c>
      <c r="B5021">
        <v>5018</v>
      </c>
      <c r="F5021" s="1"/>
      <c r="H5021" t="s">
        <v>26</v>
      </c>
      <c r="I5021" s="52"/>
    </row>
    <row r="5022" spans="1:14" x14ac:dyDescent="0.35">
      <c r="A5022">
        <v>5018</v>
      </c>
      <c r="B5022">
        <v>5019</v>
      </c>
      <c r="F5022" s="1"/>
      <c r="H5022" t="s">
        <v>26</v>
      </c>
      <c r="I5022" s="52"/>
    </row>
    <row r="5023" spans="1:14" x14ac:dyDescent="0.35">
      <c r="A5023">
        <v>5019</v>
      </c>
      <c r="B5023">
        <v>5020</v>
      </c>
      <c r="F5023" s="1"/>
      <c r="H5023" t="s">
        <v>26</v>
      </c>
      <c r="I5023" s="52"/>
    </row>
    <row r="5024" spans="1:14" x14ac:dyDescent="0.35">
      <c r="A5024">
        <v>5020</v>
      </c>
      <c r="B5024">
        <v>5021</v>
      </c>
      <c r="F5024" s="1"/>
      <c r="H5024" t="s">
        <v>26</v>
      </c>
      <c r="I5024" s="52"/>
    </row>
    <row r="5025" spans="1:9" x14ac:dyDescent="0.35">
      <c r="A5025">
        <v>5021</v>
      </c>
      <c r="B5025">
        <v>5022</v>
      </c>
      <c r="F5025" s="1"/>
      <c r="H5025" t="s">
        <v>26</v>
      </c>
      <c r="I5025" s="52"/>
    </row>
    <row r="5026" spans="1:9" x14ac:dyDescent="0.35">
      <c r="A5026">
        <v>5022</v>
      </c>
      <c r="B5026">
        <v>5023</v>
      </c>
      <c r="F5026" s="1"/>
      <c r="H5026" t="s">
        <v>26</v>
      </c>
      <c r="I5026" s="52"/>
    </row>
    <row r="5027" spans="1:9" x14ac:dyDescent="0.35">
      <c r="A5027">
        <v>5023</v>
      </c>
      <c r="B5027">
        <v>5024</v>
      </c>
      <c r="F5027" s="1"/>
      <c r="H5027" t="s">
        <v>26</v>
      </c>
      <c r="I5027" s="52"/>
    </row>
    <row r="5028" spans="1:9" x14ac:dyDescent="0.35">
      <c r="A5028">
        <v>5024</v>
      </c>
      <c r="B5028">
        <v>5025</v>
      </c>
      <c r="F5028" s="1"/>
      <c r="H5028" t="s">
        <v>26</v>
      </c>
      <c r="I5028" s="52"/>
    </row>
    <row r="5029" spans="1:9" x14ac:dyDescent="0.35">
      <c r="A5029">
        <v>5025</v>
      </c>
      <c r="B5029">
        <v>5026</v>
      </c>
      <c r="F5029" s="1"/>
      <c r="H5029" t="s">
        <v>26</v>
      </c>
      <c r="I5029" s="52"/>
    </row>
    <row r="5030" spans="1:9" x14ac:dyDescent="0.35">
      <c r="A5030">
        <v>5026</v>
      </c>
      <c r="B5030">
        <v>5027</v>
      </c>
      <c r="F5030" s="1"/>
      <c r="H5030" t="s">
        <v>26</v>
      </c>
      <c r="I5030" s="52"/>
    </row>
    <row r="5031" spans="1:9" x14ac:dyDescent="0.35">
      <c r="A5031">
        <v>5027</v>
      </c>
      <c r="B5031">
        <v>5028</v>
      </c>
      <c r="F5031" s="1"/>
      <c r="H5031" t="s">
        <v>26</v>
      </c>
      <c r="I5031" s="52"/>
    </row>
    <row r="5032" spans="1:9" x14ac:dyDescent="0.35">
      <c r="A5032">
        <v>5028</v>
      </c>
      <c r="B5032">
        <v>5029</v>
      </c>
      <c r="F5032" s="1"/>
      <c r="H5032" t="s">
        <v>26</v>
      </c>
      <c r="I5032" s="52"/>
    </row>
    <row r="5033" spans="1:9" x14ac:dyDescent="0.35">
      <c r="A5033">
        <v>5029</v>
      </c>
      <c r="B5033">
        <v>5030</v>
      </c>
      <c r="F5033" s="1"/>
      <c r="H5033" t="s">
        <v>26</v>
      </c>
      <c r="I5033" s="52"/>
    </row>
    <row r="5034" spans="1:9" x14ac:dyDescent="0.35">
      <c r="A5034">
        <v>5030</v>
      </c>
      <c r="B5034">
        <v>5031</v>
      </c>
      <c r="F5034" s="1"/>
      <c r="H5034" t="s">
        <v>26</v>
      </c>
      <c r="I5034" s="52"/>
    </row>
    <row r="5035" spans="1:9" x14ac:dyDescent="0.35">
      <c r="A5035">
        <v>5031</v>
      </c>
      <c r="B5035">
        <v>5032</v>
      </c>
      <c r="F5035" s="1"/>
      <c r="H5035" t="s">
        <v>26</v>
      </c>
      <c r="I5035" s="52"/>
    </row>
    <row r="5036" spans="1:9" x14ac:dyDescent="0.35">
      <c r="A5036">
        <v>5032</v>
      </c>
      <c r="B5036">
        <v>5033</v>
      </c>
      <c r="F5036" s="1"/>
      <c r="H5036" t="s">
        <v>26</v>
      </c>
      <c r="I5036" s="52"/>
    </row>
    <row r="5037" spans="1:9" x14ac:dyDescent="0.35">
      <c r="A5037">
        <v>5033</v>
      </c>
      <c r="B5037">
        <v>5034</v>
      </c>
      <c r="F5037" s="1"/>
      <c r="H5037" t="s">
        <v>26</v>
      </c>
      <c r="I5037" s="52"/>
    </row>
    <row r="5038" spans="1:9" x14ac:dyDescent="0.35">
      <c r="A5038">
        <v>5034</v>
      </c>
      <c r="B5038">
        <v>5035</v>
      </c>
      <c r="F5038" s="1"/>
      <c r="H5038" t="s">
        <v>26</v>
      </c>
      <c r="I5038" s="52"/>
    </row>
    <row r="5039" spans="1:9" x14ac:dyDescent="0.35">
      <c r="F5039" s="1"/>
      <c r="H5039" t="s">
        <v>26</v>
      </c>
      <c r="I5039" s="52"/>
    </row>
    <row r="5040" spans="1:9" x14ac:dyDescent="0.35">
      <c r="F5040" s="1"/>
      <c r="H5040" t="s">
        <v>26</v>
      </c>
      <c r="I5040" s="52"/>
    </row>
    <row r="5041" spans="6:9" x14ac:dyDescent="0.35">
      <c r="F5041" s="1"/>
      <c r="H5041" t="s">
        <v>26</v>
      </c>
      <c r="I5041" s="52"/>
    </row>
    <row r="5042" spans="6:9" x14ac:dyDescent="0.35">
      <c r="F5042" s="1"/>
      <c r="H5042" t="s">
        <v>26</v>
      </c>
      <c r="I5042" s="52"/>
    </row>
    <row r="5043" spans="6:9" x14ac:dyDescent="0.35">
      <c r="F5043" s="1"/>
      <c r="H5043" t="s">
        <v>26</v>
      </c>
      <c r="I5043" s="52"/>
    </row>
    <row r="5044" spans="6:9" x14ac:dyDescent="0.35">
      <c r="F5044" s="1"/>
      <c r="H5044" t="s">
        <v>26</v>
      </c>
      <c r="I5044" s="52"/>
    </row>
    <row r="5045" spans="6:9" x14ac:dyDescent="0.35">
      <c r="F5045" s="1"/>
      <c r="H5045" t="s">
        <v>26</v>
      </c>
      <c r="I5045" s="52"/>
    </row>
    <row r="5046" spans="6:9" x14ac:dyDescent="0.35">
      <c r="F5046" s="1"/>
      <c r="H5046" t="s">
        <v>26</v>
      </c>
      <c r="I5046" s="52"/>
    </row>
    <row r="5047" spans="6:9" x14ac:dyDescent="0.35">
      <c r="F5047" s="1"/>
      <c r="H5047" t="s">
        <v>26</v>
      </c>
      <c r="I5047" s="52"/>
    </row>
    <row r="5048" spans="6:9" x14ac:dyDescent="0.35">
      <c r="F5048" s="1"/>
      <c r="H5048" t="s">
        <v>26</v>
      </c>
      <c r="I5048" s="52"/>
    </row>
    <row r="5049" spans="6:9" x14ac:dyDescent="0.35">
      <c r="F5049" s="1"/>
      <c r="H5049" t="s">
        <v>26</v>
      </c>
      <c r="I5049" s="52"/>
    </row>
    <row r="5050" spans="6:9" x14ac:dyDescent="0.35">
      <c r="F5050" s="1"/>
      <c r="H5050" t="s">
        <v>26</v>
      </c>
      <c r="I5050" s="52"/>
    </row>
    <row r="5051" spans="6:9" x14ac:dyDescent="0.35">
      <c r="F5051" s="1"/>
      <c r="H5051" t="s">
        <v>26</v>
      </c>
      <c r="I5051" s="52"/>
    </row>
    <row r="5052" spans="6:9" x14ac:dyDescent="0.35">
      <c r="F5052" s="1"/>
      <c r="H5052" t="s">
        <v>26</v>
      </c>
      <c r="I5052" s="52"/>
    </row>
    <row r="5053" spans="6:9" x14ac:dyDescent="0.35">
      <c r="F5053" s="1"/>
      <c r="H5053" t="s">
        <v>26</v>
      </c>
      <c r="I5053" s="52"/>
    </row>
    <row r="5054" spans="6:9" x14ac:dyDescent="0.35">
      <c r="F5054" s="1"/>
      <c r="H5054" t="s">
        <v>26</v>
      </c>
      <c r="I5054" s="52"/>
    </row>
    <row r="5055" spans="6:9" x14ac:dyDescent="0.35">
      <c r="F5055" s="1"/>
      <c r="H5055" t="s">
        <v>26</v>
      </c>
      <c r="I5055" s="52"/>
    </row>
    <row r="5056" spans="6:9" x14ac:dyDescent="0.35">
      <c r="F5056" s="1"/>
      <c r="H5056" t="s">
        <v>26</v>
      </c>
      <c r="I5056" s="52"/>
    </row>
    <row r="5057" spans="6:9" x14ac:dyDescent="0.35">
      <c r="F5057" s="1"/>
      <c r="H5057" t="s">
        <v>26</v>
      </c>
      <c r="I5057" s="52"/>
    </row>
    <row r="5058" spans="6:9" x14ac:dyDescent="0.35">
      <c r="F5058" s="1"/>
      <c r="H5058" t="s">
        <v>26</v>
      </c>
      <c r="I5058" s="52"/>
    </row>
    <row r="5059" spans="6:9" x14ac:dyDescent="0.35">
      <c r="F5059" s="1"/>
      <c r="H5059" t="s">
        <v>26</v>
      </c>
      <c r="I5059" s="52"/>
    </row>
    <row r="5060" spans="6:9" x14ac:dyDescent="0.35">
      <c r="F5060" s="1"/>
      <c r="H5060" t="s">
        <v>26</v>
      </c>
      <c r="I5060" s="52"/>
    </row>
    <row r="5061" spans="6:9" x14ac:dyDescent="0.35">
      <c r="F5061" s="1"/>
      <c r="H5061" t="s">
        <v>26</v>
      </c>
      <c r="I5061" s="52"/>
    </row>
    <row r="5062" spans="6:9" x14ac:dyDescent="0.35">
      <c r="F5062" s="1"/>
      <c r="H5062" t="s">
        <v>26</v>
      </c>
      <c r="I5062" s="52"/>
    </row>
    <row r="5063" spans="6:9" x14ac:dyDescent="0.35">
      <c r="F5063" s="1"/>
      <c r="H5063" t="s">
        <v>26</v>
      </c>
      <c r="I5063" s="52"/>
    </row>
    <row r="5064" spans="6:9" x14ac:dyDescent="0.35">
      <c r="F5064" s="1"/>
      <c r="H5064" t="s">
        <v>26</v>
      </c>
      <c r="I5064" s="52"/>
    </row>
    <row r="5065" spans="6:9" x14ac:dyDescent="0.35">
      <c r="F5065" s="1"/>
      <c r="H5065" t="s">
        <v>26</v>
      </c>
      <c r="I5065" s="52"/>
    </row>
    <row r="5066" spans="6:9" x14ac:dyDescent="0.35">
      <c r="F5066" s="1"/>
      <c r="H5066" t="s">
        <v>26</v>
      </c>
      <c r="I5066" s="52"/>
    </row>
    <row r="5067" spans="6:9" x14ac:dyDescent="0.35">
      <c r="F5067" s="1"/>
      <c r="H5067" t="s">
        <v>26</v>
      </c>
      <c r="I5067" s="52"/>
    </row>
    <row r="5068" spans="6:9" x14ac:dyDescent="0.35">
      <c r="F5068" s="1"/>
      <c r="H5068" t="s">
        <v>26</v>
      </c>
      <c r="I5068" s="52"/>
    </row>
    <row r="5069" spans="6:9" x14ac:dyDescent="0.35">
      <c r="F5069" s="1"/>
      <c r="H5069" t="s">
        <v>26</v>
      </c>
      <c r="I5069" s="52"/>
    </row>
    <row r="5070" spans="6:9" x14ac:dyDescent="0.35">
      <c r="F5070" s="1"/>
      <c r="H5070" t="s">
        <v>26</v>
      </c>
      <c r="I5070" s="52"/>
    </row>
    <row r="5071" spans="6:9" x14ac:dyDescent="0.35">
      <c r="F5071" s="1"/>
      <c r="H5071" t="s">
        <v>26</v>
      </c>
      <c r="I5071" s="52"/>
    </row>
    <row r="5072" spans="6:9" x14ac:dyDescent="0.35">
      <c r="F5072" s="1"/>
      <c r="H5072" t="s">
        <v>26</v>
      </c>
      <c r="I5072" s="52"/>
    </row>
    <row r="5073" spans="6:9" x14ac:dyDescent="0.35">
      <c r="F5073" s="1"/>
      <c r="H5073" t="s">
        <v>26</v>
      </c>
      <c r="I5073" s="52"/>
    </row>
    <row r="5074" spans="6:9" x14ac:dyDescent="0.35">
      <c r="F5074" s="1"/>
      <c r="H5074" t="s">
        <v>26</v>
      </c>
      <c r="I5074" s="52"/>
    </row>
    <row r="5075" spans="6:9" x14ac:dyDescent="0.35">
      <c r="F5075" s="1"/>
      <c r="H5075" t="s">
        <v>26</v>
      </c>
      <c r="I5075" s="52"/>
    </row>
    <row r="5076" spans="6:9" x14ac:dyDescent="0.35">
      <c r="F5076" s="1"/>
      <c r="H5076" t="s">
        <v>26</v>
      </c>
      <c r="I5076" s="52"/>
    </row>
    <row r="5077" spans="6:9" x14ac:dyDescent="0.35">
      <c r="F5077" s="1"/>
      <c r="H5077" t="s">
        <v>26</v>
      </c>
      <c r="I5077" s="52"/>
    </row>
    <row r="5078" spans="6:9" x14ac:dyDescent="0.35">
      <c r="F5078" s="1"/>
      <c r="H5078" t="s">
        <v>26</v>
      </c>
      <c r="I5078" s="52"/>
    </row>
    <row r="5079" spans="6:9" x14ac:dyDescent="0.35">
      <c r="F5079" s="1"/>
      <c r="H5079" t="s">
        <v>26</v>
      </c>
      <c r="I5079" s="52"/>
    </row>
    <row r="5080" spans="6:9" x14ac:dyDescent="0.35">
      <c r="F5080" s="1"/>
      <c r="H5080" t="s">
        <v>26</v>
      </c>
      <c r="I5080" s="52"/>
    </row>
    <row r="5081" spans="6:9" x14ac:dyDescent="0.35">
      <c r="F5081" s="1"/>
      <c r="H5081" t="s">
        <v>26</v>
      </c>
      <c r="I5081" s="52"/>
    </row>
    <row r="5082" spans="6:9" x14ac:dyDescent="0.35">
      <c r="F5082" s="1"/>
      <c r="H5082" t="s">
        <v>26</v>
      </c>
      <c r="I5082" s="52"/>
    </row>
    <row r="5083" spans="6:9" x14ac:dyDescent="0.35">
      <c r="F5083" s="1"/>
      <c r="H5083" t="s">
        <v>26</v>
      </c>
      <c r="I5083" s="52"/>
    </row>
    <row r="5084" spans="6:9" x14ac:dyDescent="0.35">
      <c r="F5084" s="1"/>
      <c r="H5084" t="s">
        <v>26</v>
      </c>
      <c r="I5084" s="52"/>
    </row>
    <row r="5085" spans="6:9" x14ac:dyDescent="0.35">
      <c r="F5085" s="1"/>
      <c r="H5085" t="s">
        <v>26</v>
      </c>
      <c r="I5085" s="52"/>
    </row>
    <row r="5086" spans="6:9" x14ac:dyDescent="0.35">
      <c r="F5086" s="1"/>
      <c r="H5086" t="s">
        <v>26</v>
      </c>
      <c r="I5086" s="52"/>
    </row>
    <row r="5087" spans="6:9" x14ac:dyDescent="0.35">
      <c r="F5087" s="1"/>
      <c r="H5087" t="s">
        <v>26</v>
      </c>
    </row>
    <row r="5088" spans="6:9" x14ac:dyDescent="0.35">
      <c r="F5088" s="1"/>
      <c r="H5088" t="s">
        <v>26</v>
      </c>
    </row>
    <row r="5089" spans="6:8" x14ac:dyDescent="0.35">
      <c r="F5089" s="1"/>
      <c r="H5089" t="s">
        <v>26</v>
      </c>
    </row>
    <row r="5090" spans="6:8" x14ac:dyDescent="0.35">
      <c r="F5090" s="1"/>
      <c r="H5090" t="s">
        <v>26</v>
      </c>
    </row>
    <row r="5091" spans="6:8" x14ac:dyDescent="0.35">
      <c r="F5091" s="1"/>
      <c r="H5091" t="s">
        <v>26</v>
      </c>
    </row>
    <row r="5092" spans="6:8" x14ac:dyDescent="0.35">
      <c r="F5092" s="1"/>
      <c r="H5092" t="s">
        <v>26</v>
      </c>
    </row>
    <row r="5093" spans="6:8" x14ac:dyDescent="0.35">
      <c r="F5093" s="1"/>
      <c r="H5093" t="s">
        <v>26</v>
      </c>
    </row>
    <row r="5094" spans="6:8" x14ac:dyDescent="0.35">
      <c r="F5094" s="1"/>
      <c r="H5094" t="s">
        <v>26</v>
      </c>
    </row>
    <row r="5095" spans="6:8" x14ac:dyDescent="0.35">
      <c r="F5095" s="1"/>
      <c r="H5095" t="s">
        <v>26</v>
      </c>
    </row>
    <row r="5096" spans="6:8" x14ac:dyDescent="0.35">
      <c r="F5096" s="1"/>
      <c r="H5096" t="s">
        <v>26</v>
      </c>
    </row>
    <row r="5097" spans="6:8" x14ac:dyDescent="0.35">
      <c r="F5097" s="1"/>
      <c r="H5097" t="s">
        <v>26</v>
      </c>
    </row>
    <row r="5098" spans="6:8" x14ac:dyDescent="0.35">
      <c r="F5098" s="1"/>
      <c r="H5098" t="s">
        <v>26</v>
      </c>
    </row>
    <row r="5099" spans="6:8" x14ac:dyDescent="0.35">
      <c r="F5099" s="1"/>
      <c r="H5099" t="s">
        <v>26</v>
      </c>
    </row>
    <row r="5100" spans="6:8" x14ac:dyDescent="0.35">
      <c r="F5100" s="1"/>
      <c r="H5100" t="s">
        <v>26</v>
      </c>
    </row>
    <row r="5101" spans="6:8" x14ac:dyDescent="0.35">
      <c r="F5101" s="1"/>
      <c r="H5101" t="s">
        <v>26</v>
      </c>
    </row>
    <row r="5102" spans="6:8" x14ac:dyDescent="0.35">
      <c r="F5102" s="1"/>
      <c r="H5102" t="s">
        <v>26</v>
      </c>
    </row>
    <row r="5103" spans="6:8" x14ac:dyDescent="0.35">
      <c r="F5103" s="1"/>
      <c r="H5103" t="s">
        <v>26</v>
      </c>
    </row>
    <row r="5104" spans="6:8" x14ac:dyDescent="0.35">
      <c r="F5104" s="1"/>
      <c r="H5104" t="s">
        <v>26</v>
      </c>
    </row>
    <row r="5105" spans="6:8" x14ac:dyDescent="0.35">
      <c r="F5105" s="1"/>
      <c r="H5105" t="s">
        <v>26</v>
      </c>
    </row>
    <row r="5106" spans="6:8" x14ac:dyDescent="0.35">
      <c r="F5106" s="1"/>
      <c r="H5106" t="s">
        <v>26</v>
      </c>
    </row>
    <row r="5107" spans="6:8" x14ac:dyDescent="0.35">
      <c r="F5107" s="1"/>
      <c r="H5107" t="s">
        <v>26</v>
      </c>
    </row>
    <row r="5108" spans="6:8" x14ac:dyDescent="0.35">
      <c r="F5108" s="1"/>
      <c r="H5108" t="s">
        <v>26</v>
      </c>
    </row>
    <row r="5109" spans="6:8" x14ac:dyDescent="0.35">
      <c r="F5109" s="1"/>
      <c r="H5109" t="s">
        <v>26</v>
      </c>
    </row>
    <row r="5110" spans="6:8" x14ac:dyDescent="0.35">
      <c r="F5110" s="1"/>
      <c r="H5110" t="s">
        <v>26</v>
      </c>
    </row>
    <row r="5111" spans="6:8" x14ac:dyDescent="0.35">
      <c r="F5111" s="1"/>
      <c r="H5111" t="s">
        <v>26</v>
      </c>
    </row>
    <row r="5112" spans="6:8" x14ac:dyDescent="0.35">
      <c r="F5112" s="1"/>
      <c r="H5112" t="s">
        <v>26</v>
      </c>
    </row>
    <row r="5113" spans="6:8" x14ac:dyDescent="0.35">
      <c r="F5113" s="1"/>
      <c r="H5113" t="s">
        <v>26</v>
      </c>
    </row>
    <row r="5114" spans="6:8" x14ac:dyDescent="0.35">
      <c r="F5114" s="1"/>
      <c r="H5114" t="s">
        <v>26</v>
      </c>
    </row>
    <row r="5115" spans="6:8" x14ac:dyDescent="0.35">
      <c r="F5115" s="1"/>
      <c r="H5115" t="s">
        <v>26</v>
      </c>
    </row>
    <row r="5116" spans="6:8" x14ac:dyDescent="0.35">
      <c r="F5116" s="1"/>
      <c r="H5116" t="s">
        <v>26</v>
      </c>
    </row>
    <row r="5117" spans="6:8" x14ac:dyDescent="0.35">
      <c r="F5117" s="1"/>
      <c r="H5117" t="s">
        <v>26</v>
      </c>
    </row>
    <row r="5118" spans="6:8" x14ac:dyDescent="0.35">
      <c r="F5118" s="1"/>
      <c r="H5118" t="s">
        <v>26</v>
      </c>
    </row>
    <row r="5119" spans="6:8" x14ac:dyDescent="0.35">
      <c r="F5119" s="1"/>
      <c r="H5119" t="s">
        <v>26</v>
      </c>
    </row>
    <row r="5120" spans="6:8" x14ac:dyDescent="0.35">
      <c r="F5120" s="1"/>
      <c r="H5120" t="s">
        <v>26</v>
      </c>
    </row>
    <row r="5121" spans="6:8" x14ac:dyDescent="0.35">
      <c r="F5121" s="1"/>
      <c r="H5121" t="s">
        <v>26</v>
      </c>
    </row>
    <row r="5122" spans="6:8" x14ac:dyDescent="0.35">
      <c r="F5122" s="1"/>
      <c r="H5122" t="s">
        <v>26</v>
      </c>
    </row>
    <row r="5123" spans="6:8" x14ac:dyDescent="0.35">
      <c r="F5123" s="1"/>
      <c r="H5123" t="s">
        <v>26</v>
      </c>
    </row>
    <row r="5124" spans="6:8" x14ac:dyDescent="0.35">
      <c r="F5124" s="1"/>
      <c r="H5124" t="s">
        <v>26</v>
      </c>
    </row>
    <row r="5125" spans="6:8" x14ac:dyDescent="0.35">
      <c r="F5125" s="1"/>
      <c r="H5125" t="s">
        <v>26</v>
      </c>
    </row>
    <row r="5126" spans="6:8" x14ac:dyDescent="0.35">
      <c r="F5126" s="1"/>
      <c r="H5126" t="s">
        <v>26</v>
      </c>
    </row>
    <row r="5127" spans="6:8" x14ac:dyDescent="0.35">
      <c r="F5127" s="1"/>
      <c r="H5127" t="s">
        <v>26</v>
      </c>
    </row>
    <row r="5128" spans="6:8" x14ac:dyDescent="0.35">
      <c r="F5128" s="1"/>
      <c r="H5128" t="s">
        <v>26</v>
      </c>
    </row>
    <row r="5129" spans="6:8" x14ac:dyDescent="0.35">
      <c r="F5129" s="1"/>
      <c r="H5129" t="s">
        <v>26</v>
      </c>
    </row>
    <row r="5130" spans="6:8" x14ac:dyDescent="0.35">
      <c r="F5130" s="1"/>
      <c r="H5130" t="s">
        <v>26</v>
      </c>
    </row>
    <row r="5131" spans="6:8" x14ac:dyDescent="0.35">
      <c r="F5131" s="1"/>
      <c r="H5131" t="s">
        <v>26</v>
      </c>
    </row>
    <row r="5132" spans="6:8" x14ac:dyDescent="0.35">
      <c r="F5132" s="1"/>
      <c r="H5132" t="s">
        <v>26</v>
      </c>
    </row>
    <row r="5133" spans="6:8" x14ac:dyDescent="0.35">
      <c r="F5133" s="1"/>
      <c r="H5133" t="s">
        <v>26</v>
      </c>
    </row>
    <row r="5134" spans="6:8" x14ac:dyDescent="0.35">
      <c r="F5134" s="1"/>
      <c r="H5134" t="s">
        <v>26</v>
      </c>
    </row>
    <row r="5135" spans="6:8" x14ac:dyDescent="0.35">
      <c r="F5135" s="1"/>
      <c r="H5135" t="s">
        <v>26</v>
      </c>
    </row>
    <row r="5136" spans="6:8" x14ac:dyDescent="0.35">
      <c r="F5136" s="1"/>
      <c r="H5136" t="s">
        <v>26</v>
      </c>
    </row>
    <row r="5137" spans="6:8" x14ac:dyDescent="0.35">
      <c r="F5137" s="1"/>
      <c r="H5137" t="s">
        <v>26</v>
      </c>
    </row>
    <row r="5138" spans="6:8" x14ac:dyDescent="0.35">
      <c r="F5138" s="1"/>
      <c r="H5138" t="s">
        <v>26</v>
      </c>
    </row>
    <row r="5139" spans="6:8" x14ac:dyDescent="0.35">
      <c r="F5139" s="1"/>
      <c r="H5139" t="s">
        <v>26</v>
      </c>
    </row>
    <row r="5140" spans="6:8" x14ac:dyDescent="0.35">
      <c r="F5140" s="1"/>
      <c r="H5140" t="s">
        <v>26</v>
      </c>
    </row>
    <row r="5141" spans="6:8" x14ac:dyDescent="0.35">
      <c r="F5141" s="1"/>
      <c r="H5141" t="s">
        <v>26</v>
      </c>
    </row>
    <row r="5142" spans="6:8" x14ac:dyDescent="0.35">
      <c r="F5142" s="1"/>
      <c r="H5142" t="s">
        <v>26</v>
      </c>
    </row>
    <row r="5143" spans="6:8" x14ac:dyDescent="0.35">
      <c r="F5143" s="1"/>
      <c r="H5143" t="s">
        <v>26</v>
      </c>
    </row>
    <row r="5144" spans="6:8" x14ac:dyDescent="0.35">
      <c r="F5144" s="1"/>
      <c r="H5144" t="s">
        <v>26</v>
      </c>
    </row>
    <row r="5145" spans="6:8" x14ac:dyDescent="0.35">
      <c r="F5145" s="1"/>
      <c r="H5145" t="s">
        <v>26</v>
      </c>
    </row>
    <row r="5146" spans="6:8" x14ac:dyDescent="0.35">
      <c r="F5146" s="1"/>
      <c r="H5146" t="s">
        <v>26</v>
      </c>
    </row>
    <row r="5147" spans="6:8" x14ac:dyDescent="0.35">
      <c r="F5147" s="1"/>
      <c r="H5147" t="s">
        <v>26</v>
      </c>
    </row>
    <row r="5148" spans="6:8" x14ac:dyDescent="0.35">
      <c r="F5148" s="1"/>
      <c r="H5148" t="s">
        <v>26</v>
      </c>
    </row>
    <row r="5149" spans="6:8" x14ac:dyDescent="0.35">
      <c r="F5149" s="1"/>
      <c r="H5149" t="s">
        <v>26</v>
      </c>
    </row>
    <row r="5150" spans="6:8" x14ac:dyDescent="0.35">
      <c r="F5150" s="1"/>
      <c r="H5150" t="s">
        <v>26</v>
      </c>
    </row>
    <row r="5151" spans="6:8" x14ac:dyDescent="0.35">
      <c r="F5151" s="1"/>
      <c r="H5151" t="s">
        <v>26</v>
      </c>
    </row>
    <row r="5152" spans="6:8" x14ac:dyDescent="0.35">
      <c r="F5152" s="1"/>
      <c r="H5152" t="s">
        <v>26</v>
      </c>
    </row>
    <row r="5153" spans="6:8" x14ac:dyDescent="0.35">
      <c r="F5153" s="1"/>
      <c r="H5153" t="s">
        <v>26</v>
      </c>
    </row>
    <row r="5154" spans="6:8" x14ac:dyDescent="0.35">
      <c r="F5154" s="1"/>
      <c r="H5154" t="s">
        <v>26</v>
      </c>
    </row>
    <row r="5155" spans="6:8" x14ac:dyDescent="0.35">
      <c r="F5155" s="1"/>
      <c r="H5155" t="s">
        <v>26</v>
      </c>
    </row>
    <row r="5156" spans="6:8" x14ac:dyDescent="0.35">
      <c r="F5156" s="1"/>
      <c r="H5156" t="s">
        <v>26</v>
      </c>
    </row>
    <row r="5157" spans="6:8" x14ac:dyDescent="0.35">
      <c r="F5157" s="1"/>
      <c r="H5157" t="s">
        <v>26</v>
      </c>
    </row>
    <row r="5158" spans="6:8" x14ac:dyDescent="0.35">
      <c r="F5158" s="1"/>
      <c r="H5158" t="s">
        <v>26</v>
      </c>
    </row>
    <row r="5159" spans="6:8" x14ac:dyDescent="0.35">
      <c r="F5159" s="1"/>
      <c r="H5159" t="s">
        <v>26</v>
      </c>
    </row>
    <row r="5160" spans="6:8" x14ac:dyDescent="0.35">
      <c r="F5160" s="1"/>
      <c r="H5160" t="s">
        <v>26</v>
      </c>
    </row>
    <row r="5161" spans="6:8" x14ac:dyDescent="0.35">
      <c r="F5161" s="1"/>
      <c r="H5161" t="s">
        <v>26</v>
      </c>
    </row>
    <row r="5162" spans="6:8" x14ac:dyDescent="0.35">
      <c r="F5162" s="1"/>
      <c r="H5162" t="s">
        <v>26</v>
      </c>
    </row>
    <row r="5163" spans="6:8" x14ac:dyDescent="0.35">
      <c r="F5163" s="1"/>
      <c r="H5163" t="s">
        <v>26</v>
      </c>
    </row>
    <row r="5164" spans="6:8" x14ac:dyDescent="0.35">
      <c r="F5164" s="1"/>
      <c r="H5164" t="s">
        <v>26</v>
      </c>
    </row>
    <row r="5165" spans="6:8" x14ac:dyDescent="0.35">
      <c r="F5165" s="1"/>
      <c r="H5165" t="s">
        <v>26</v>
      </c>
    </row>
    <row r="5166" spans="6:8" x14ac:dyDescent="0.35">
      <c r="F5166" s="1"/>
      <c r="H5166" t="s">
        <v>26</v>
      </c>
    </row>
    <row r="5167" spans="6:8" x14ac:dyDescent="0.35">
      <c r="F5167" s="1"/>
      <c r="H5167" t="s">
        <v>26</v>
      </c>
    </row>
    <row r="5168" spans="6:8" x14ac:dyDescent="0.35">
      <c r="F5168" s="1"/>
      <c r="H5168" t="s">
        <v>26</v>
      </c>
    </row>
    <row r="5169" spans="6:8" x14ac:dyDescent="0.35">
      <c r="F5169" s="1"/>
      <c r="H5169" t="s">
        <v>26</v>
      </c>
    </row>
    <row r="5170" spans="6:8" x14ac:dyDescent="0.35">
      <c r="F5170" s="1"/>
      <c r="H5170" t="s">
        <v>26</v>
      </c>
    </row>
    <row r="5171" spans="6:8" x14ac:dyDescent="0.35">
      <c r="F5171" s="1"/>
      <c r="H5171" t="s">
        <v>26</v>
      </c>
    </row>
    <row r="5172" spans="6:8" x14ac:dyDescent="0.35">
      <c r="F5172" s="1"/>
      <c r="H5172" t="s">
        <v>26</v>
      </c>
    </row>
    <row r="5173" spans="6:8" x14ac:dyDescent="0.35">
      <c r="F5173" s="1"/>
      <c r="H5173" t="s">
        <v>26</v>
      </c>
    </row>
    <row r="5174" spans="6:8" x14ac:dyDescent="0.35">
      <c r="F5174" s="1"/>
      <c r="H5174" t="s">
        <v>26</v>
      </c>
    </row>
    <row r="5175" spans="6:8" x14ac:dyDescent="0.35">
      <c r="F5175" s="1"/>
      <c r="H5175" t="s">
        <v>26</v>
      </c>
    </row>
    <row r="5176" spans="6:8" x14ac:dyDescent="0.35">
      <c r="F5176" s="1"/>
      <c r="H5176" t="s">
        <v>26</v>
      </c>
    </row>
    <row r="5177" spans="6:8" x14ac:dyDescent="0.35">
      <c r="F5177" s="1"/>
      <c r="H5177" t="s">
        <v>26</v>
      </c>
    </row>
    <row r="5178" spans="6:8" x14ac:dyDescent="0.35">
      <c r="F5178" s="1"/>
      <c r="H5178" t="s">
        <v>26</v>
      </c>
    </row>
    <row r="5179" spans="6:8" x14ac:dyDescent="0.35">
      <c r="F5179" s="1"/>
      <c r="H5179" t="s">
        <v>26</v>
      </c>
    </row>
    <row r="5180" spans="6:8" x14ac:dyDescent="0.35">
      <c r="F5180" s="1"/>
      <c r="H5180" t="s">
        <v>26</v>
      </c>
    </row>
    <row r="5181" spans="6:8" x14ac:dyDescent="0.35">
      <c r="F5181" s="1"/>
      <c r="H5181" t="s">
        <v>26</v>
      </c>
    </row>
    <row r="5182" spans="6:8" x14ac:dyDescent="0.35">
      <c r="F5182" s="1"/>
      <c r="H5182" t="s">
        <v>26</v>
      </c>
    </row>
    <row r="5183" spans="6:8" x14ac:dyDescent="0.35">
      <c r="F5183" s="1"/>
      <c r="H5183" t="s">
        <v>26</v>
      </c>
    </row>
    <row r="5184" spans="6:8" x14ac:dyDescent="0.35">
      <c r="F5184" s="1"/>
      <c r="H5184" t="s">
        <v>26</v>
      </c>
    </row>
    <row r="5185" spans="6:9" x14ac:dyDescent="0.35">
      <c r="F5185" s="1"/>
      <c r="H5185" t="s">
        <v>26</v>
      </c>
    </row>
    <row r="5186" spans="6:9" x14ac:dyDescent="0.35">
      <c r="F5186" s="1"/>
      <c r="H5186" t="s">
        <v>26</v>
      </c>
    </row>
    <row r="5187" spans="6:9" x14ac:dyDescent="0.35">
      <c r="F5187" s="1"/>
      <c r="H5187" t="s">
        <v>26</v>
      </c>
    </row>
    <row r="5188" spans="6:9" x14ac:dyDescent="0.35">
      <c r="F5188" s="1"/>
      <c r="H5188" t="s">
        <v>26</v>
      </c>
    </row>
    <row r="5189" spans="6:9" x14ac:dyDescent="0.35">
      <c r="F5189" s="1"/>
      <c r="H5189" t="s">
        <v>26</v>
      </c>
    </row>
    <row r="5190" spans="6:9" x14ac:dyDescent="0.35">
      <c r="F5190" s="1"/>
      <c r="H5190" t="s">
        <v>78</v>
      </c>
      <c r="I5190" s="57">
        <v>0</v>
      </c>
    </row>
    <row r="5191" spans="6:9" x14ac:dyDescent="0.35">
      <c r="F5191" s="1"/>
      <c r="H5191" t="s">
        <v>26</v>
      </c>
    </row>
    <row r="5192" spans="6:9" x14ac:dyDescent="0.35">
      <c r="F5192" s="1"/>
      <c r="H5192" t="s">
        <v>26</v>
      </c>
    </row>
    <row r="5193" spans="6:9" x14ac:dyDescent="0.35">
      <c r="F5193" s="1"/>
      <c r="H5193" t="s">
        <v>26</v>
      </c>
    </row>
    <row r="5194" spans="6:9" x14ac:dyDescent="0.35">
      <c r="F5194" s="1"/>
      <c r="H5194" t="s">
        <v>26</v>
      </c>
    </row>
    <row r="5195" spans="6:9" x14ac:dyDescent="0.35">
      <c r="F5195" s="1"/>
      <c r="H5195" t="s">
        <v>26</v>
      </c>
    </row>
    <row r="5196" spans="6:9" x14ac:dyDescent="0.35">
      <c r="F5196" s="1"/>
      <c r="H5196" t="s">
        <v>26</v>
      </c>
    </row>
    <row r="5197" spans="6:9" x14ac:dyDescent="0.35">
      <c r="F5197" s="1"/>
      <c r="H5197" t="s">
        <v>26</v>
      </c>
    </row>
    <row r="5198" spans="6:9" x14ac:dyDescent="0.35">
      <c r="F5198" s="1"/>
      <c r="H5198" t="s">
        <v>26</v>
      </c>
    </row>
    <row r="5199" spans="6:9" x14ac:dyDescent="0.35">
      <c r="F5199" s="1"/>
      <c r="H5199" t="s">
        <v>78</v>
      </c>
      <c r="I5199" s="57">
        <v>0</v>
      </c>
    </row>
    <row r="5200" spans="6:9" x14ac:dyDescent="0.35">
      <c r="F5200" s="1"/>
      <c r="H5200" t="s">
        <v>26</v>
      </c>
    </row>
    <row r="5201" spans="6:9" x14ac:dyDescent="0.35">
      <c r="F5201" s="1"/>
      <c r="H5201" t="s">
        <v>26</v>
      </c>
    </row>
    <row r="5202" spans="6:9" x14ac:dyDescent="0.35">
      <c r="F5202" s="1"/>
      <c r="H5202" t="s">
        <v>26</v>
      </c>
    </row>
    <row r="5203" spans="6:9" x14ac:dyDescent="0.35">
      <c r="F5203" s="1"/>
      <c r="H5203" t="s">
        <v>26</v>
      </c>
    </row>
    <row r="5204" spans="6:9" x14ac:dyDescent="0.35">
      <c r="F5204" s="1"/>
      <c r="H5204" t="s">
        <v>26</v>
      </c>
    </row>
    <row r="5205" spans="6:9" x14ac:dyDescent="0.35">
      <c r="F5205" s="1"/>
      <c r="H5205" t="s">
        <v>26</v>
      </c>
    </row>
    <row r="5206" spans="6:9" x14ac:dyDescent="0.35">
      <c r="F5206" s="1"/>
      <c r="H5206" t="s">
        <v>26</v>
      </c>
    </row>
    <row r="5207" spans="6:9" x14ac:dyDescent="0.35">
      <c r="F5207" s="1"/>
      <c r="H5207" t="s">
        <v>78</v>
      </c>
      <c r="I5207" s="57">
        <v>0</v>
      </c>
    </row>
    <row r="5208" spans="6:9" x14ac:dyDescent="0.35">
      <c r="F5208" s="1"/>
      <c r="H5208" t="s">
        <v>78</v>
      </c>
      <c r="I5208" s="57">
        <v>0</v>
      </c>
    </row>
    <row r="5209" spans="6:9" x14ac:dyDescent="0.35">
      <c r="F5209" s="1"/>
      <c r="H5209" t="s">
        <v>78</v>
      </c>
      <c r="I5209" s="57">
        <v>0</v>
      </c>
    </row>
    <row r="5210" spans="6:9" x14ac:dyDescent="0.35">
      <c r="F5210" s="1"/>
      <c r="H5210" t="s">
        <v>26</v>
      </c>
    </row>
    <row r="5211" spans="6:9" x14ac:dyDescent="0.35">
      <c r="F5211" s="1"/>
      <c r="H5211" t="s">
        <v>26</v>
      </c>
    </row>
    <row r="5212" spans="6:9" x14ac:dyDescent="0.35">
      <c r="F5212" s="1"/>
      <c r="H5212" t="s">
        <v>78</v>
      </c>
      <c r="I5212" s="57">
        <v>0</v>
      </c>
    </row>
    <row r="5213" spans="6:9" x14ac:dyDescent="0.35">
      <c r="F5213" s="1"/>
      <c r="H5213" t="s">
        <v>78</v>
      </c>
      <c r="I5213" s="57">
        <v>0</v>
      </c>
    </row>
    <row r="5214" spans="6:9" x14ac:dyDescent="0.35">
      <c r="F5214" s="1"/>
      <c r="H5214" t="s">
        <v>78</v>
      </c>
      <c r="I5214" s="57">
        <v>0</v>
      </c>
    </row>
    <row r="5215" spans="6:9" x14ac:dyDescent="0.35">
      <c r="F5215" s="1"/>
      <c r="H5215" t="s">
        <v>78</v>
      </c>
      <c r="I5215" s="57">
        <v>0</v>
      </c>
    </row>
    <row r="5216" spans="6:9" x14ac:dyDescent="0.35">
      <c r="F5216" s="1"/>
      <c r="H5216" t="s">
        <v>26</v>
      </c>
    </row>
    <row r="5217" spans="6:9" x14ac:dyDescent="0.35">
      <c r="F5217" s="1"/>
      <c r="H5217" t="s">
        <v>78</v>
      </c>
      <c r="I5217" s="57">
        <v>0</v>
      </c>
    </row>
    <row r="5218" spans="6:9" x14ac:dyDescent="0.35">
      <c r="F5218" s="1"/>
      <c r="H5218" t="s">
        <v>78</v>
      </c>
      <c r="I5218" s="57">
        <v>0</v>
      </c>
    </row>
    <row r="5219" spans="6:9" x14ac:dyDescent="0.35">
      <c r="F5219" s="1"/>
      <c r="H5219" t="s">
        <v>78</v>
      </c>
      <c r="I5219" s="57">
        <v>0</v>
      </c>
    </row>
    <row r="5220" spans="6:9" x14ac:dyDescent="0.35">
      <c r="F5220" s="1"/>
      <c r="H5220" t="s">
        <v>78</v>
      </c>
      <c r="I5220" s="57">
        <v>0</v>
      </c>
    </row>
    <row r="5221" spans="6:9" x14ac:dyDescent="0.35">
      <c r="F5221" s="1"/>
      <c r="H5221" t="s">
        <v>78</v>
      </c>
      <c r="I5221" s="57">
        <v>0</v>
      </c>
    </row>
    <row r="5222" spans="6:9" x14ac:dyDescent="0.35">
      <c r="F5222" s="1"/>
      <c r="H5222" t="s">
        <v>78</v>
      </c>
      <c r="I5222" s="57">
        <v>0</v>
      </c>
    </row>
    <row r="5223" spans="6:9" x14ac:dyDescent="0.35">
      <c r="F5223" s="1"/>
      <c r="H5223" t="s">
        <v>78</v>
      </c>
      <c r="I5223" s="57">
        <v>0</v>
      </c>
    </row>
    <row r="5224" spans="6:9" x14ac:dyDescent="0.35">
      <c r="F5224" s="1"/>
      <c r="H5224" t="s">
        <v>26</v>
      </c>
    </row>
    <row r="5225" spans="6:9" x14ac:dyDescent="0.35">
      <c r="F5225" s="1"/>
      <c r="H5225" t="s">
        <v>78</v>
      </c>
      <c r="I5225" s="57">
        <v>0</v>
      </c>
    </row>
    <row r="5226" spans="6:9" x14ac:dyDescent="0.35">
      <c r="F5226" s="1"/>
      <c r="H5226" t="s">
        <v>26</v>
      </c>
    </row>
    <row r="5227" spans="6:9" x14ac:dyDescent="0.35">
      <c r="F5227" s="1"/>
      <c r="H5227" t="s">
        <v>26</v>
      </c>
    </row>
    <row r="5228" spans="6:9" x14ac:dyDescent="0.35">
      <c r="F5228" s="1"/>
      <c r="H5228" t="s">
        <v>26</v>
      </c>
    </row>
    <row r="5229" spans="6:9" x14ac:dyDescent="0.35">
      <c r="F5229" s="1"/>
      <c r="H5229" t="s">
        <v>26</v>
      </c>
    </row>
    <row r="5230" spans="6:9" x14ac:dyDescent="0.35">
      <c r="F5230" s="1"/>
      <c r="H5230" t="s">
        <v>78</v>
      </c>
      <c r="I5230" s="57">
        <v>0</v>
      </c>
    </row>
    <row r="5231" spans="6:9" x14ac:dyDescent="0.35">
      <c r="F5231" s="1"/>
      <c r="H5231" t="s">
        <v>78</v>
      </c>
      <c r="I5231" s="57">
        <v>0</v>
      </c>
    </row>
    <row r="5232" spans="6:9" x14ac:dyDescent="0.35">
      <c r="F5232" s="1"/>
      <c r="H5232" t="s">
        <v>78</v>
      </c>
      <c r="I5232" s="57">
        <v>0</v>
      </c>
    </row>
    <row r="5233" spans="6:9" x14ac:dyDescent="0.35">
      <c r="F5233" s="1"/>
      <c r="H5233" t="s">
        <v>78</v>
      </c>
      <c r="I5233" s="57">
        <v>0</v>
      </c>
    </row>
    <row r="5234" spans="6:9" x14ac:dyDescent="0.35">
      <c r="F5234" s="1"/>
      <c r="H5234" t="s">
        <v>78</v>
      </c>
      <c r="I5234" s="57">
        <v>0</v>
      </c>
    </row>
    <row r="5235" spans="6:9" x14ac:dyDescent="0.35">
      <c r="F5235" s="1"/>
      <c r="H5235" t="s">
        <v>78</v>
      </c>
      <c r="I5235" s="57">
        <v>0</v>
      </c>
    </row>
    <row r="5236" spans="6:9" x14ac:dyDescent="0.35">
      <c r="F5236" s="1"/>
      <c r="H5236" t="s">
        <v>78</v>
      </c>
      <c r="I5236" s="57">
        <v>0</v>
      </c>
    </row>
    <row r="5237" spans="6:9" x14ac:dyDescent="0.35">
      <c r="F5237" s="1"/>
      <c r="H5237" t="s">
        <v>78</v>
      </c>
      <c r="I5237" s="57">
        <v>0</v>
      </c>
    </row>
    <row r="5238" spans="6:9" x14ac:dyDescent="0.35">
      <c r="F5238" s="1"/>
      <c r="H5238" t="s">
        <v>26</v>
      </c>
    </row>
    <row r="5239" spans="6:9" x14ac:dyDescent="0.35">
      <c r="F5239" s="1"/>
      <c r="H5239" t="s">
        <v>78</v>
      </c>
      <c r="I5239" s="57">
        <v>0</v>
      </c>
    </row>
    <row r="5240" spans="6:9" x14ac:dyDescent="0.35">
      <c r="F5240" s="1"/>
      <c r="H5240" t="s">
        <v>78</v>
      </c>
      <c r="I5240" s="57">
        <v>0</v>
      </c>
    </row>
    <row r="5241" spans="6:9" x14ac:dyDescent="0.35">
      <c r="F5241" s="1"/>
      <c r="H5241" t="s">
        <v>78</v>
      </c>
      <c r="I5241" s="57">
        <v>0</v>
      </c>
    </row>
    <row r="5242" spans="6:9" x14ac:dyDescent="0.35">
      <c r="F5242" s="1"/>
      <c r="H5242" t="s">
        <v>78</v>
      </c>
      <c r="I5242" s="57">
        <v>0</v>
      </c>
    </row>
    <row r="5243" spans="6:9" x14ac:dyDescent="0.35">
      <c r="F5243" s="1"/>
      <c r="H5243" t="s">
        <v>78</v>
      </c>
      <c r="I5243" s="57">
        <v>0</v>
      </c>
    </row>
    <row r="5244" spans="6:9" x14ac:dyDescent="0.35">
      <c r="F5244" s="1"/>
      <c r="H5244" t="s">
        <v>78</v>
      </c>
      <c r="I5244" s="57">
        <v>0</v>
      </c>
    </row>
    <row r="5245" spans="6:9" x14ac:dyDescent="0.35">
      <c r="F5245" s="1"/>
      <c r="H5245" t="s">
        <v>78</v>
      </c>
      <c r="I5245" s="57">
        <v>0</v>
      </c>
    </row>
    <row r="5246" spans="6:9" x14ac:dyDescent="0.35">
      <c r="F5246" s="1"/>
      <c r="H5246" t="s">
        <v>78</v>
      </c>
      <c r="I5246" s="57">
        <v>0</v>
      </c>
    </row>
    <row r="5247" spans="6:9" x14ac:dyDescent="0.35">
      <c r="F5247" s="1"/>
      <c r="H5247" t="s">
        <v>78</v>
      </c>
      <c r="I5247" s="57">
        <v>0</v>
      </c>
    </row>
    <row r="5248" spans="6:9" x14ac:dyDescent="0.35">
      <c r="F5248" s="1"/>
      <c r="H5248" t="s">
        <v>78</v>
      </c>
      <c r="I5248" s="57">
        <v>0</v>
      </c>
    </row>
    <row r="5249" spans="6:9" x14ac:dyDescent="0.35">
      <c r="F5249" s="1"/>
      <c r="H5249" t="s">
        <v>78</v>
      </c>
      <c r="I5249" s="57">
        <v>0</v>
      </c>
    </row>
    <row r="5250" spans="6:9" x14ac:dyDescent="0.35">
      <c r="F5250" s="1"/>
      <c r="H5250" t="s">
        <v>78</v>
      </c>
      <c r="I5250" s="57">
        <v>0</v>
      </c>
    </row>
    <row r="5251" spans="6:9" x14ac:dyDescent="0.35">
      <c r="F5251" s="1"/>
      <c r="H5251" t="s">
        <v>78</v>
      </c>
      <c r="I5251" s="57">
        <v>0</v>
      </c>
    </row>
    <row r="5252" spans="6:9" x14ac:dyDescent="0.35">
      <c r="F5252" s="1"/>
      <c r="H5252" t="s">
        <v>78</v>
      </c>
      <c r="I5252" s="57">
        <v>0</v>
      </c>
    </row>
    <row r="5253" spans="6:9" x14ac:dyDescent="0.35">
      <c r="F5253" s="1"/>
      <c r="H5253" t="s">
        <v>78</v>
      </c>
      <c r="I5253" s="57">
        <v>0</v>
      </c>
    </row>
    <row r="5254" spans="6:9" x14ac:dyDescent="0.35">
      <c r="F5254" s="1"/>
      <c r="H5254" t="s">
        <v>78</v>
      </c>
      <c r="I5254" s="57">
        <v>0</v>
      </c>
    </row>
    <row r="5255" spans="6:9" x14ac:dyDescent="0.35">
      <c r="F5255" s="1"/>
      <c r="H5255" t="s">
        <v>78</v>
      </c>
      <c r="I5255" s="57">
        <v>0</v>
      </c>
    </row>
    <row r="5256" spans="6:9" x14ac:dyDescent="0.35">
      <c r="F5256" s="1"/>
      <c r="H5256" t="s">
        <v>78</v>
      </c>
      <c r="I5256" s="57">
        <v>0</v>
      </c>
    </row>
    <row r="5257" spans="6:9" x14ac:dyDescent="0.35">
      <c r="F5257" s="1"/>
      <c r="H5257" t="s">
        <v>78</v>
      </c>
      <c r="I5257" s="57">
        <v>0</v>
      </c>
    </row>
    <row r="5258" spans="6:9" x14ac:dyDescent="0.35">
      <c r="F5258" s="1"/>
      <c r="H5258" t="s">
        <v>78</v>
      </c>
      <c r="I5258" s="57">
        <v>0</v>
      </c>
    </row>
    <row r="5259" spans="6:9" x14ac:dyDescent="0.35">
      <c r="F5259" s="1"/>
      <c r="H5259" t="s">
        <v>78</v>
      </c>
      <c r="I5259" s="57">
        <v>0</v>
      </c>
    </row>
    <row r="5260" spans="6:9" x14ac:dyDescent="0.35">
      <c r="F5260" s="1"/>
      <c r="H5260" t="s">
        <v>78</v>
      </c>
      <c r="I5260" s="57">
        <v>0</v>
      </c>
    </row>
    <row r="5261" spans="6:9" x14ac:dyDescent="0.35">
      <c r="F5261" s="1"/>
      <c r="H5261" t="s">
        <v>78</v>
      </c>
      <c r="I5261" s="57">
        <v>0</v>
      </c>
    </row>
    <row r="5262" spans="6:9" x14ac:dyDescent="0.35">
      <c r="F5262" s="1"/>
      <c r="H5262" t="s">
        <v>78</v>
      </c>
      <c r="I5262" s="57">
        <v>0</v>
      </c>
    </row>
    <row r="5263" spans="6:9" x14ac:dyDescent="0.35">
      <c r="F5263" s="1"/>
      <c r="H5263" t="s">
        <v>78</v>
      </c>
      <c r="I5263" s="57">
        <v>0</v>
      </c>
    </row>
    <row r="5264" spans="6:9" x14ac:dyDescent="0.35">
      <c r="F5264" s="1"/>
      <c r="H5264" t="s">
        <v>78</v>
      </c>
      <c r="I5264" s="57">
        <v>0</v>
      </c>
    </row>
    <row r="5265" spans="6:9" x14ac:dyDescent="0.35">
      <c r="F5265" s="1"/>
      <c r="H5265" t="s">
        <v>78</v>
      </c>
      <c r="I5265" s="57">
        <v>0</v>
      </c>
    </row>
    <row r="5266" spans="6:9" x14ac:dyDescent="0.35">
      <c r="F5266" s="1"/>
      <c r="H5266" t="s">
        <v>78</v>
      </c>
      <c r="I5266" s="57">
        <v>0</v>
      </c>
    </row>
    <row r="5267" spans="6:9" x14ac:dyDescent="0.35">
      <c r="F5267" s="1"/>
      <c r="H5267" t="s">
        <v>78</v>
      </c>
      <c r="I5267" s="57">
        <v>0</v>
      </c>
    </row>
    <row r="5268" spans="6:9" x14ac:dyDescent="0.35">
      <c r="F5268" s="1"/>
      <c r="H5268" t="s">
        <v>78</v>
      </c>
      <c r="I5268" s="57">
        <v>0</v>
      </c>
    </row>
    <row r="5269" spans="6:9" x14ac:dyDescent="0.35">
      <c r="F5269" s="1"/>
      <c r="H5269" t="s">
        <v>78</v>
      </c>
      <c r="I5269" s="57">
        <v>0</v>
      </c>
    </row>
    <row r="5270" spans="6:9" x14ac:dyDescent="0.35">
      <c r="F5270" s="1"/>
      <c r="H5270" t="s">
        <v>78</v>
      </c>
      <c r="I5270" s="57">
        <v>0</v>
      </c>
    </row>
    <row r="5271" spans="6:9" x14ac:dyDescent="0.35">
      <c r="F5271" s="1"/>
      <c r="H5271" t="s">
        <v>78</v>
      </c>
      <c r="I5271" s="57">
        <v>0</v>
      </c>
    </row>
    <row r="5272" spans="6:9" x14ac:dyDescent="0.35">
      <c r="F5272" s="1"/>
      <c r="H5272" t="s">
        <v>78</v>
      </c>
      <c r="I5272" s="57">
        <v>0</v>
      </c>
    </row>
    <row r="5273" spans="6:9" x14ac:dyDescent="0.35">
      <c r="F5273" s="1"/>
      <c r="H5273" t="s">
        <v>78</v>
      </c>
      <c r="I5273" s="57">
        <v>0</v>
      </c>
    </row>
    <row r="5274" spans="6:9" x14ac:dyDescent="0.35">
      <c r="F5274" s="1"/>
      <c r="H5274" t="s">
        <v>78</v>
      </c>
      <c r="I5274" s="57">
        <v>0</v>
      </c>
    </row>
    <row r="5275" spans="6:9" x14ac:dyDescent="0.35">
      <c r="F5275" s="1"/>
      <c r="H5275" t="s">
        <v>78</v>
      </c>
      <c r="I5275" s="57">
        <v>0</v>
      </c>
    </row>
    <row r="5276" spans="6:9" x14ac:dyDescent="0.35">
      <c r="F5276" s="1"/>
      <c r="H5276" t="s">
        <v>78</v>
      </c>
      <c r="I5276" s="57">
        <v>0</v>
      </c>
    </row>
    <row r="5277" spans="6:9" x14ac:dyDescent="0.35">
      <c r="F5277" s="1"/>
      <c r="H5277" t="s">
        <v>78</v>
      </c>
      <c r="I5277" s="57">
        <v>0</v>
      </c>
    </row>
    <row r="5278" spans="6:9" x14ac:dyDescent="0.35">
      <c r="F5278" s="1"/>
      <c r="H5278" t="s">
        <v>78</v>
      </c>
      <c r="I5278" s="57">
        <v>0</v>
      </c>
    </row>
    <row r="5279" spans="6:9" x14ac:dyDescent="0.35">
      <c r="F5279" s="1"/>
      <c r="H5279" t="s">
        <v>78</v>
      </c>
      <c r="I5279" s="57">
        <v>0</v>
      </c>
    </row>
    <row r="5280" spans="6:9" x14ac:dyDescent="0.35">
      <c r="F5280" s="1"/>
      <c r="H5280" t="s">
        <v>78</v>
      </c>
      <c r="I5280" s="57">
        <v>0</v>
      </c>
    </row>
    <row r="5281" spans="6:9" x14ac:dyDescent="0.35">
      <c r="F5281" s="1"/>
      <c r="H5281" t="s">
        <v>78</v>
      </c>
      <c r="I5281" s="57">
        <v>0</v>
      </c>
    </row>
    <row r="5282" spans="6:9" x14ac:dyDescent="0.35">
      <c r="F5282" s="1"/>
      <c r="H5282" t="s">
        <v>78</v>
      </c>
      <c r="I5282" s="57">
        <v>0</v>
      </c>
    </row>
    <row r="5283" spans="6:9" x14ac:dyDescent="0.35">
      <c r="F5283" s="1"/>
      <c r="H5283" t="s">
        <v>78</v>
      </c>
      <c r="I5283" s="57">
        <v>0</v>
      </c>
    </row>
    <row r="5284" spans="6:9" x14ac:dyDescent="0.35">
      <c r="F5284" s="1"/>
      <c r="H5284" t="s">
        <v>78</v>
      </c>
      <c r="I5284" s="57">
        <v>0</v>
      </c>
    </row>
    <row r="5285" spans="6:9" x14ac:dyDescent="0.35">
      <c r="F5285" s="1"/>
      <c r="H5285" t="s">
        <v>78</v>
      </c>
      <c r="I5285" s="57">
        <v>0</v>
      </c>
    </row>
    <row r="5286" spans="6:9" x14ac:dyDescent="0.35">
      <c r="F5286" s="1"/>
      <c r="H5286" t="s">
        <v>78</v>
      </c>
      <c r="I5286" s="57">
        <v>0</v>
      </c>
    </row>
    <row r="5287" spans="6:9" x14ac:dyDescent="0.35">
      <c r="F5287" s="1"/>
      <c r="H5287" t="s">
        <v>78</v>
      </c>
      <c r="I5287" s="57">
        <v>0</v>
      </c>
    </row>
    <row r="5288" spans="6:9" x14ac:dyDescent="0.35">
      <c r="F5288" s="1"/>
      <c r="H5288" t="s">
        <v>78</v>
      </c>
      <c r="I5288" s="57">
        <v>0</v>
      </c>
    </row>
    <row r="5289" spans="6:9" x14ac:dyDescent="0.35">
      <c r="F5289" s="1"/>
      <c r="H5289" t="s">
        <v>78</v>
      </c>
      <c r="I5289" s="57">
        <v>0</v>
      </c>
    </row>
    <row r="5290" spans="6:9" x14ac:dyDescent="0.35">
      <c r="F5290" s="1"/>
      <c r="H5290" t="s">
        <v>78</v>
      </c>
      <c r="I5290" s="57">
        <v>0</v>
      </c>
    </row>
    <row r="5291" spans="6:9" x14ac:dyDescent="0.35">
      <c r="F5291" s="1"/>
      <c r="H5291" t="s">
        <v>78</v>
      </c>
      <c r="I5291" s="57">
        <v>0</v>
      </c>
    </row>
    <row r="5292" spans="6:9" x14ac:dyDescent="0.35">
      <c r="F5292" s="1"/>
      <c r="H5292" t="s">
        <v>78</v>
      </c>
      <c r="I5292" s="57">
        <v>0</v>
      </c>
    </row>
    <row r="5293" spans="6:9" x14ac:dyDescent="0.35">
      <c r="F5293" s="1"/>
      <c r="H5293" t="s">
        <v>78</v>
      </c>
      <c r="I5293" s="57">
        <v>0</v>
      </c>
    </row>
    <row r="5294" spans="6:9" x14ac:dyDescent="0.35">
      <c r="F5294" s="1"/>
      <c r="H5294" t="s">
        <v>78</v>
      </c>
      <c r="I5294" s="57">
        <v>0</v>
      </c>
    </row>
    <row r="5295" spans="6:9" x14ac:dyDescent="0.35">
      <c r="F5295" s="1"/>
      <c r="H5295" t="s">
        <v>78</v>
      </c>
      <c r="I5295" s="57">
        <v>0</v>
      </c>
    </row>
    <row r="5296" spans="6:9" x14ac:dyDescent="0.35">
      <c r="F5296" s="1"/>
      <c r="H5296" t="s">
        <v>78</v>
      </c>
      <c r="I5296" s="57">
        <v>0</v>
      </c>
    </row>
    <row r="5297" spans="6:9" x14ac:dyDescent="0.35">
      <c r="F5297" s="1"/>
      <c r="H5297" t="s">
        <v>78</v>
      </c>
      <c r="I5297" s="57">
        <v>0</v>
      </c>
    </row>
    <row r="5298" spans="6:9" x14ac:dyDescent="0.35">
      <c r="F5298" s="1"/>
      <c r="H5298" t="s">
        <v>78</v>
      </c>
      <c r="I5298" s="57">
        <v>0</v>
      </c>
    </row>
    <row r="5299" spans="6:9" x14ac:dyDescent="0.35">
      <c r="F5299" s="1"/>
      <c r="H5299" t="s">
        <v>78</v>
      </c>
      <c r="I5299" s="57">
        <v>0</v>
      </c>
    </row>
    <row r="5300" spans="6:9" x14ac:dyDescent="0.35">
      <c r="F5300" s="1"/>
      <c r="H5300" t="s">
        <v>78</v>
      </c>
      <c r="I5300" s="57">
        <v>0</v>
      </c>
    </row>
    <row r="5301" spans="6:9" x14ac:dyDescent="0.35">
      <c r="F5301" s="1"/>
      <c r="H5301" t="s">
        <v>78</v>
      </c>
      <c r="I5301" s="57">
        <v>0</v>
      </c>
    </row>
    <row r="5302" spans="6:9" x14ac:dyDescent="0.35">
      <c r="F5302" s="1"/>
      <c r="H5302" t="s">
        <v>78</v>
      </c>
      <c r="I5302" s="57">
        <v>0</v>
      </c>
    </row>
    <row r="5303" spans="6:9" x14ac:dyDescent="0.35">
      <c r="F5303" s="1"/>
      <c r="H5303" t="s">
        <v>78</v>
      </c>
      <c r="I5303" s="57">
        <v>0</v>
      </c>
    </row>
    <row r="5304" spans="6:9" x14ac:dyDescent="0.35">
      <c r="F5304" s="1"/>
      <c r="H5304" t="s">
        <v>78</v>
      </c>
      <c r="I5304" s="57">
        <v>0</v>
      </c>
    </row>
    <row r="5305" spans="6:9" x14ac:dyDescent="0.35">
      <c r="F5305" s="1"/>
      <c r="H5305" t="s">
        <v>78</v>
      </c>
      <c r="I5305" s="57">
        <v>0</v>
      </c>
    </row>
    <row r="5306" spans="6:9" x14ac:dyDescent="0.35">
      <c r="F5306" s="1"/>
      <c r="H5306" t="s">
        <v>78</v>
      </c>
      <c r="I5306" s="57">
        <v>0</v>
      </c>
    </row>
    <row r="5307" spans="6:9" x14ac:dyDescent="0.35">
      <c r="F5307" s="1"/>
      <c r="H5307" t="s">
        <v>78</v>
      </c>
      <c r="I5307" s="57">
        <v>0</v>
      </c>
    </row>
    <row r="5308" spans="6:9" x14ac:dyDescent="0.35">
      <c r="F5308" s="1"/>
      <c r="H5308" t="s">
        <v>78</v>
      </c>
      <c r="I5308" s="57">
        <v>0</v>
      </c>
    </row>
    <row r="5309" spans="6:9" x14ac:dyDescent="0.35">
      <c r="F5309" s="1"/>
      <c r="H5309" t="s">
        <v>78</v>
      </c>
      <c r="I5309" s="57">
        <v>0</v>
      </c>
    </row>
    <row r="5310" spans="6:9" x14ac:dyDescent="0.35">
      <c r="F5310" s="1"/>
      <c r="H5310" t="s">
        <v>78</v>
      </c>
      <c r="I5310" s="57">
        <v>0</v>
      </c>
    </row>
    <row r="5311" spans="6:9" x14ac:dyDescent="0.35">
      <c r="F5311" s="1"/>
      <c r="H5311" t="s">
        <v>78</v>
      </c>
      <c r="I5311" s="57">
        <v>0</v>
      </c>
    </row>
    <row r="5312" spans="6:9" x14ac:dyDescent="0.35">
      <c r="F5312" s="1"/>
      <c r="H5312" t="s">
        <v>78</v>
      </c>
      <c r="I5312" s="57">
        <v>0</v>
      </c>
    </row>
    <row r="5313" spans="6:9" x14ac:dyDescent="0.35">
      <c r="F5313" s="1"/>
      <c r="H5313" t="s">
        <v>78</v>
      </c>
      <c r="I5313" s="57">
        <v>0</v>
      </c>
    </row>
    <row r="5314" spans="6:9" x14ac:dyDescent="0.35">
      <c r="F5314" s="1"/>
      <c r="H5314" t="s">
        <v>78</v>
      </c>
      <c r="I5314" s="57">
        <v>0</v>
      </c>
    </row>
    <row r="5315" spans="6:9" x14ac:dyDescent="0.35">
      <c r="F5315" s="1"/>
      <c r="H5315" t="s">
        <v>78</v>
      </c>
      <c r="I5315" s="57">
        <v>0</v>
      </c>
    </row>
    <row r="5316" spans="6:9" x14ac:dyDescent="0.35">
      <c r="F5316" s="1"/>
      <c r="H5316" t="s">
        <v>78</v>
      </c>
      <c r="I5316" s="57">
        <v>0</v>
      </c>
    </row>
    <row r="5317" spans="6:9" x14ac:dyDescent="0.35">
      <c r="F5317" s="1"/>
      <c r="H5317" t="s">
        <v>78</v>
      </c>
      <c r="I5317" s="57">
        <v>0</v>
      </c>
    </row>
    <row r="5318" spans="6:9" x14ac:dyDescent="0.35">
      <c r="F5318" s="1"/>
      <c r="H5318" t="s">
        <v>78</v>
      </c>
      <c r="I5318" s="57">
        <v>0</v>
      </c>
    </row>
    <row r="5319" spans="6:9" x14ac:dyDescent="0.35">
      <c r="F5319" s="1"/>
      <c r="H5319" t="s">
        <v>78</v>
      </c>
      <c r="I5319" s="57">
        <v>0</v>
      </c>
    </row>
    <row r="5320" spans="6:9" x14ac:dyDescent="0.35">
      <c r="F5320" s="1"/>
      <c r="H5320" t="s">
        <v>78</v>
      </c>
      <c r="I5320" s="57">
        <v>0</v>
      </c>
    </row>
    <row r="5321" spans="6:9" x14ac:dyDescent="0.35">
      <c r="F5321" s="1"/>
      <c r="H5321" t="s">
        <v>78</v>
      </c>
      <c r="I5321" s="57">
        <v>0</v>
      </c>
    </row>
    <row r="5322" spans="6:9" x14ac:dyDescent="0.35">
      <c r="F5322" s="1"/>
      <c r="H5322" t="s">
        <v>78</v>
      </c>
      <c r="I5322" s="57">
        <v>0</v>
      </c>
    </row>
    <row r="5323" spans="6:9" x14ac:dyDescent="0.35">
      <c r="F5323" s="1"/>
      <c r="H5323" t="s">
        <v>78</v>
      </c>
      <c r="I5323" s="57">
        <v>0</v>
      </c>
    </row>
    <row r="5324" spans="6:9" x14ac:dyDescent="0.35">
      <c r="F5324" s="1"/>
      <c r="H5324" t="s">
        <v>78</v>
      </c>
      <c r="I5324" s="57">
        <v>0</v>
      </c>
    </row>
    <row r="5325" spans="6:9" x14ac:dyDescent="0.35">
      <c r="F5325" s="1"/>
      <c r="H5325" t="s">
        <v>78</v>
      </c>
      <c r="I5325" s="57">
        <v>0</v>
      </c>
    </row>
    <row r="5326" spans="6:9" x14ac:dyDescent="0.35">
      <c r="F5326" s="1"/>
      <c r="H5326" t="s">
        <v>78</v>
      </c>
      <c r="I5326" s="57">
        <v>0</v>
      </c>
    </row>
    <row r="5327" spans="6:9" x14ac:dyDescent="0.35">
      <c r="F5327" s="1"/>
      <c r="H5327" t="s">
        <v>78</v>
      </c>
      <c r="I5327" s="57">
        <v>0</v>
      </c>
    </row>
    <row r="5328" spans="6:9" x14ac:dyDescent="0.35">
      <c r="F5328" s="1"/>
      <c r="H5328" t="s">
        <v>78</v>
      </c>
      <c r="I5328" s="57">
        <v>0</v>
      </c>
    </row>
    <row r="5329" spans="6:9" x14ac:dyDescent="0.35">
      <c r="F5329" s="1"/>
      <c r="H5329" t="s">
        <v>78</v>
      </c>
      <c r="I5329" s="57">
        <v>0</v>
      </c>
    </row>
    <row r="5330" spans="6:9" x14ac:dyDescent="0.35">
      <c r="F5330" s="1"/>
      <c r="H5330" t="s">
        <v>78</v>
      </c>
      <c r="I5330" s="57">
        <v>0</v>
      </c>
    </row>
    <row r="5331" spans="6:9" x14ac:dyDescent="0.35">
      <c r="F5331" s="1"/>
      <c r="H5331" t="s">
        <v>78</v>
      </c>
      <c r="I5331" s="57">
        <v>0</v>
      </c>
    </row>
    <row r="5332" spans="6:9" x14ac:dyDescent="0.35">
      <c r="F5332" s="1"/>
      <c r="H5332" t="s">
        <v>78</v>
      </c>
      <c r="I5332" s="57">
        <v>0</v>
      </c>
    </row>
    <row r="5333" spans="6:9" x14ac:dyDescent="0.35">
      <c r="F5333" s="1"/>
      <c r="H5333" t="s">
        <v>78</v>
      </c>
      <c r="I5333" s="57">
        <v>0</v>
      </c>
    </row>
    <row r="5334" spans="6:9" x14ac:dyDescent="0.35">
      <c r="F5334" s="1"/>
      <c r="H5334" t="s">
        <v>78</v>
      </c>
      <c r="I5334" s="57">
        <v>0</v>
      </c>
    </row>
    <row r="5335" spans="6:9" x14ac:dyDescent="0.35">
      <c r="F5335" s="1"/>
      <c r="H5335" t="s">
        <v>78</v>
      </c>
      <c r="I5335" s="57">
        <v>0</v>
      </c>
    </row>
    <row r="5336" spans="6:9" x14ac:dyDescent="0.35">
      <c r="F5336" s="1"/>
      <c r="H5336" t="s">
        <v>78</v>
      </c>
      <c r="I5336" s="57">
        <v>0</v>
      </c>
    </row>
    <row r="5337" spans="6:9" x14ac:dyDescent="0.35">
      <c r="F5337" s="1"/>
      <c r="H5337" t="s">
        <v>78</v>
      </c>
      <c r="I5337" s="57">
        <v>0</v>
      </c>
    </row>
    <row r="5338" spans="6:9" x14ac:dyDescent="0.35">
      <c r="F5338" s="1"/>
      <c r="H5338" t="s">
        <v>78</v>
      </c>
      <c r="I5338" s="57">
        <v>0</v>
      </c>
    </row>
    <row r="5339" spans="6:9" x14ac:dyDescent="0.35">
      <c r="F5339" s="1"/>
      <c r="H5339" t="s">
        <v>78</v>
      </c>
      <c r="I5339" s="57">
        <v>0</v>
      </c>
    </row>
    <row r="5340" spans="6:9" x14ac:dyDescent="0.35">
      <c r="F5340" s="1"/>
      <c r="H5340" t="s">
        <v>78</v>
      </c>
      <c r="I5340" s="57">
        <v>0</v>
      </c>
    </row>
    <row r="5341" spans="6:9" x14ac:dyDescent="0.35">
      <c r="F5341" s="1"/>
      <c r="H5341" t="s">
        <v>78</v>
      </c>
      <c r="I5341" s="57">
        <v>0</v>
      </c>
    </row>
    <row r="5342" spans="6:9" x14ac:dyDescent="0.35">
      <c r="F5342" s="1"/>
      <c r="H5342" t="s">
        <v>78</v>
      </c>
      <c r="I5342" s="57">
        <v>0</v>
      </c>
    </row>
    <row r="5343" spans="6:9" x14ac:dyDescent="0.35">
      <c r="F5343" s="1"/>
      <c r="H5343" t="s">
        <v>78</v>
      </c>
      <c r="I5343" s="57">
        <v>0</v>
      </c>
    </row>
    <row r="5344" spans="6:9" x14ac:dyDescent="0.35">
      <c r="F5344" s="1"/>
      <c r="H5344" t="s">
        <v>78</v>
      </c>
      <c r="I5344" s="57">
        <v>0</v>
      </c>
    </row>
    <row r="5345" spans="6:9" x14ac:dyDescent="0.35">
      <c r="F5345" s="1"/>
      <c r="H5345" t="s">
        <v>78</v>
      </c>
      <c r="I5345" s="57">
        <v>0</v>
      </c>
    </row>
    <row r="5346" spans="6:9" x14ac:dyDescent="0.35">
      <c r="F5346" s="1"/>
      <c r="H5346" t="s">
        <v>78</v>
      </c>
      <c r="I5346" s="57">
        <v>0</v>
      </c>
    </row>
    <row r="5347" spans="6:9" x14ac:dyDescent="0.35">
      <c r="F5347" s="1"/>
      <c r="H5347" t="s">
        <v>78</v>
      </c>
      <c r="I5347" s="57">
        <v>0</v>
      </c>
    </row>
    <row r="5348" spans="6:9" x14ac:dyDescent="0.35">
      <c r="F5348" s="1"/>
      <c r="H5348" t="s">
        <v>78</v>
      </c>
      <c r="I5348" s="57">
        <v>0</v>
      </c>
    </row>
    <row r="5349" spans="6:9" x14ac:dyDescent="0.35">
      <c r="F5349" s="1"/>
      <c r="H5349" t="s">
        <v>78</v>
      </c>
      <c r="I5349" s="57">
        <v>0</v>
      </c>
    </row>
    <row r="5350" spans="6:9" x14ac:dyDescent="0.35">
      <c r="F5350" s="1"/>
      <c r="H5350" t="s">
        <v>78</v>
      </c>
      <c r="I5350" s="57">
        <v>0</v>
      </c>
    </row>
    <row r="5351" spans="6:9" x14ac:dyDescent="0.35">
      <c r="F5351" s="1"/>
      <c r="H5351" t="s">
        <v>78</v>
      </c>
      <c r="I5351" s="57">
        <v>0</v>
      </c>
    </row>
    <row r="5352" spans="6:9" x14ac:dyDescent="0.35">
      <c r="F5352" s="1"/>
      <c r="H5352" t="s">
        <v>78</v>
      </c>
      <c r="I5352" s="57">
        <v>0</v>
      </c>
    </row>
    <row r="5353" spans="6:9" x14ac:dyDescent="0.35">
      <c r="F5353" s="1"/>
      <c r="H5353" t="s">
        <v>78</v>
      </c>
      <c r="I5353" s="57">
        <v>0</v>
      </c>
    </row>
    <row r="5354" spans="6:9" x14ac:dyDescent="0.35">
      <c r="F5354" s="1"/>
      <c r="H5354" t="s">
        <v>78</v>
      </c>
      <c r="I5354" s="57">
        <v>0</v>
      </c>
    </row>
    <row r="5355" spans="6:9" x14ac:dyDescent="0.35">
      <c r="F5355" s="1"/>
      <c r="H5355" t="s">
        <v>78</v>
      </c>
      <c r="I5355" s="57">
        <v>0</v>
      </c>
    </row>
    <row r="5356" spans="6:9" x14ac:dyDescent="0.35">
      <c r="F5356" s="1"/>
      <c r="H5356" t="s">
        <v>78</v>
      </c>
      <c r="I5356" s="57">
        <v>0</v>
      </c>
    </row>
    <row r="5357" spans="6:9" x14ac:dyDescent="0.35">
      <c r="F5357" s="1"/>
      <c r="H5357" t="s">
        <v>78</v>
      </c>
      <c r="I5357" s="57">
        <v>0</v>
      </c>
    </row>
    <row r="5358" spans="6:9" x14ac:dyDescent="0.35">
      <c r="F5358" s="1"/>
      <c r="H5358" t="s">
        <v>78</v>
      </c>
      <c r="I5358" s="57">
        <v>0</v>
      </c>
    </row>
    <row r="5359" spans="6:9" x14ac:dyDescent="0.35">
      <c r="F5359" s="1"/>
      <c r="H5359" t="s">
        <v>78</v>
      </c>
      <c r="I5359" s="57">
        <v>0</v>
      </c>
    </row>
    <row r="5360" spans="6:9" x14ac:dyDescent="0.35">
      <c r="F5360" s="1"/>
      <c r="H5360" t="s">
        <v>78</v>
      </c>
      <c r="I5360" s="57">
        <v>0</v>
      </c>
    </row>
    <row r="5361" spans="6:9" x14ac:dyDescent="0.35">
      <c r="F5361" s="1"/>
      <c r="H5361" t="s">
        <v>78</v>
      </c>
      <c r="I5361" s="57">
        <v>0</v>
      </c>
    </row>
    <row r="5362" spans="6:9" x14ac:dyDescent="0.35">
      <c r="F5362" s="1"/>
      <c r="H5362" t="s">
        <v>78</v>
      </c>
      <c r="I5362" s="57">
        <v>0</v>
      </c>
    </row>
    <row r="5363" spans="6:9" x14ac:dyDescent="0.35">
      <c r="F5363" s="1"/>
      <c r="H5363" t="s">
        <v>78</v>
      </c>
      <c r="I5363" s="57">
        <v>0</v>
      </c>
    </row>
    <row r="5364" spans="6:9" x14ac:dyDescent="0.35">
      <c r="F5364" s="1"/>
      <c r="H5364" t="s">
        <v>78</v>
      </c>
      <c r="I5364" s="57">
        <v>0</v>
      </c>
    </row>
    <row r="5365" spans="6:9" x14ac:dyDescent="0.35">
      <c r="F5365" s="1"/>
      <c r="H5365" t="s">
        <v>78</v>
      </c>
      <c r="I5365" s="57">
        <v>0</v>
      </c>
    </row>
    <row r="5366" spans="6:9" x14ac:dyDescent="0.35">
      <c r="F5366" s="1"/>
      <c r="H5366" t="s">
        <v>78</v>
      </c>
      <c r="I5366" s="57">
        <v>0</v>
      </c>
    </row>
    <row r="5367" spans="6:9" x14ac:dyDescent="0.35">
      <c r="F5367" s="1"/>
      <c r="H5367" t="s">
        <v>78</v>
      </c>
      <c r="I5367" s="57">
        <v>0</v>
      </c>
    </row>
    <row r="5368" spans="6:9" x14ac:dyDescent="0.35">
      <c r="F5368" s="1"/>
      <c r="H5368" t="s">
        <v>78</v>
      </c>
      <c r="I5368" s="57">
        <v>0</v>
      </c>
    </row>
    <row r="5369" spans="6:9" x14ac:dyDescent="0.35">
      <c r="F5369" s="1"/>
      <c r="H5369" t="s">
        <v>78</v>
      </c>
      <c r="I5369" s="57">
        <v>0</v>
      </c>
    </row>
    <row r="5370" spans="6:9" x14ac:dyDescent="0.35">
      <c r="F5370" s="1"/>
      <c r="H5370" t="s">
        <v>78</v>
      </c>
      <c r="I5370" s="57">
        <v>0</v>
      </c>
    </row>
    <row r="5371" spans="6:9" x14ac:dyDescent="0.35">
      <c r="F5371" s="1"/>
      <c r="H5371" t="s">
        <v>78</v>
      </c>
      <c r="I5371" s="57">
        <v>0</v>
      </c>
    </row>
    <row r="5372" spans="6:9" x14ac:dyDescent="0.35">
      <c r="F5372" s="1"/>
      <c r="H5372" t="s">
        <v>78</v>
      </c>
      <c r="I5372" s="57">
        <v>0</v>
      </c>
    </row>
    <row r="5373" spans="6:9" x14ac:dyDescent="0.35">
      <c r="F5373" s="1"/>
      <c r="H5373" t="s">
        <v>78</v>
      </c>
      <c r="I5373" s="57">
        <v>0</v>
      </c>
    </row>
    <row r="5374" spans="6:9" x14ac:dyDescent="0.35">
      <c r="F5374" s="1"/>
      <c r="H5374" t="s">
        <v>78</v>
      </c>
      <c r="I5374" s="57">
        <v>0</v>
      </c>
    </row>
    <row r="5375" spans="6:9" x14ac:dyDescent="0.35">
      <c r="F5375" s="1"/>
      <c r="H5375" t="s">
        <v>78</v>
      </c>
      <c r="I5375" s="57">
        <v>0</v>
      </c>
    </row>
    <row r="5376" spans="6:9" x14ac:dyDescent="0.35">
      <c r="F5376" s="1"/>
      <c r="H5376" t="s">
        <v>78</v>
      </c>
      <c r="I5376" s="57">
        <v>0</v>
      </c>
    </row>
    <row r="5377" spans="6:9" x14ac:dyDescent="0.35">
      <c r="F5377" s="1"/>
      <c r="H5377" t="s">
        <v>78</v>
      </c>
      <c r="I5377" s="57">
        <v>0</v>
      </c>
    </row>
    <row r="5378" spans="6:9" x14ac:dyDescent="0.35">
      <c r="F5378" s="1"/>
      <c r="H5378" t="s">
        <v>78</v>
      </c>
      <c r="I5378" s="57">
        <v>0</v>
      </c>
    </row>
    <row r="5379" spans="6:9" x14ac:dyDescent="0.35">
      <c r="F5379" s="1"/>
      <c r="H5379" t="s">
        <v>78</v>
      </c>
      <c r="I5379" s="57">
        <v>0</v>
      </c>
    </row>
    <row r="5380" spans="6:9" x14ac:dyDescent="0.35">
      <c r="F5380" s="1"/>
      <c r="H5380" t="s">
        <v>78</v>
      </c>
      <c r="I5380" s="57">
        <v>0</v>
      </c>
    </row>
    <row r="5381" spans="6:9" x14ac:dyDescent="0.35">
      <c r="F5381" s="1"/>
      <c r="H5381" t="s">
        <v>78</v>
      </c>
      <c r="I5381" s="57">
        <v>0</v>
      </c>
    </row>
    <row r="5382" spans="6:9" x14ac:dyDescent="0.35">
      <c r="F5382" s="1"/>
      <c r="H5382" t="s">
        <v>78</v>
      </c>
      <c r="I5382" s="57">
        <v>0</v>
      </c>
    </row>
    <row r="5383" spans="6:9" x14ac:dyDescent="0.35">
      <c r="F5383" s="1"/>
      <c r="H5383" t="s">
        <v>78</v>
      </c>
      <c r="I5383" s="57">
        <v>0</v>
      </c>
    </row>
    <row r="5384" spans="6:9" x14ac:dyDescent="0.35">
      <c r="F5384" s="1"/>
      <c r="H5384" t="s">
        <v>78</v>
      </c>
      <c r="I5384" s="57">
        <v>0</v>
      </c>
    </row>
    <row r="5385" spans="6:9" x14ac:dyDescent="0.35">
      <c r="F5385" s="1"/>
      <c r="H5385" t="s">
        <v>78</v>
      </c>
      <c r="I5385" s="57">
        <v>0</v>
      </c>
    </row>
    <row r="5386" spans="6:9" x14ac:dyDescent="0.35">
      <c r="F5386" s="1"/>
      <c r="H5386" t="s">
        <v>78</v>
      </c>
      <c r="I5386" s="57">
        <v>0</v>
      </c>
    </row>
    <row r="5387" spans="6:9" x14ac:dyDescent="0.35">
      <c r="F5387" s="1"/>
      <c r="H5387" t="s">
        <v>78</v>
      </c>
      <c r="I5387" s="57">
        <v>0</v>
      </c>
    </row>
    <row r="5388" spans="6:9" x14ac:dyDescent="0.35">
      <c r="F5388" s="1"/>
      <c r="H5388" t="s">
        <v>78</v>
      </c>
      <c r="I5388" s="57">
        <v>0</v>
      </c>
    </row>
    <row r="5389" spans="6:9" x14ac:dyDescent="0.35">
      <c r="F5389" s="1"/>
      <c r="H5389" t="s">
        <v>78</v>
      </c>
      <c r="I5389" s="57">
        <v>0</v>
      </c>
    </row>
    <row r="5390" spans="6:9" x14ac:dyDescent="0.35">
      <c r="F5390" s="1"/>
      <c r="H5390" t="s">
        <v>78</v>
      </c>
      <c r="I5390" s="57">
        <v>0</v>
      </c>
    </row>
    <row r="5391" spans="6:9" x14ac:dyDescent="0.35">
      <c r="F5391" s="1"/>
      <c r="H5391" t="s">
        <v>78</v>
      </c>
      <c r="I5391" s="57">
        <v>0</v>
      </c>
    </row>
    <row r="5392" spans="6:9" x14ac:dyDescent="0.35">
      <c r="F5392" s="1"/>
      <c r="H5392" t="s">
        <v>78</v>
      </c>
      <c r="I5392" s="57">
        <v>0</v>
      </c>
    </row>
    <row r="5393" spans="6:9" x14ac:dyDescent="0.35">
      <c r="F5393" s="1"/>
      <c r="H5393" t="s">
        <v>78</v>
      </c>
      <c r="I5393" s="57">
        <v>0</v>
      </c>
    </row>
    <row r="5394" spans="6:9" x14ac:dyDescent="0.35">
      <c r="F5394" s="1"/>
      <c r="H5394" t="s">
        <v>78</v>
      </c>
      <c r="I5394" s="57">
        <v>0</v>
      </c>
    </row>
    <row r="5395" spans="6:9" x14ac:dyDescent="0.35">
      <c r="F5395" s="1"/>
      <c r="H5395" t="s">
        <v>78</v>
      </c>
      <c r="I5395" s="57">
        <v>0</v>
      </c>
    </row>
    <row r="5396" spans="6:9" x14ac:dyDescent="0.35">
      <c r="F5396" s="1"/>
      <c r="H5396" t="s">
        <v>78</v>
      </c>
      <c r="I5396" s="57">
        <v>0</v>
      </c>
    </row>
    <row r="5397" spans="6:9" x14ac:dyDescent="0.35">
      <c r="F5397" s="1"/>
      <c r="H5397" t="s">
        <v>78</v>
      </c>
      <c r="I5397" s="57">
        <v>0</v>
      </c>
    </row>
    <row r="5398" spans="6:9" x14ac:dyDescent="0.35">
      <c r="F5398" s="1"/>
      <c r="H5398" t="s">
        <v>78</v>
      </c>
      <c r="I5398" s="57">
        <v>0</v>
      </c>
    </row>
    <row r="5399" spans="6:9" x14ac:dyDescent="0.35">
      <c r="F5399" s="1"/>
      <c r="H5399" t="s">
        <v>78</v>
      </c>
      <c r="I5399" s="57">
        <v>0</v>
      </c>
    </row>
    <row r="5400" spans="6:9" x14ac:dyDescent="0.35">
      <c r="F5400" s="1"/>
      <c r="H5400" t="s">
        <v>78</v>
      </c>
      <c r="I5400" s="57">
        <v>0</v>
      </c>
    </row>
    <row r="5401" spans="6:9" x14ac:dyDescent="0.35">
      <c r="F5401" s="1"/>
      <c r="H5401" t="s">
        <v>78</v>
      </c>
      <c r="I5401" s="57">
        <v>0</v>
      </c>
    </row>
    <row r="5402" spans="6:9" x14ac:dyDescent="0.35">
      <c r="F5402" s="1"/>
      <c r="H5402" t="s">
        <v>78</v>
      </c>
      <c r="I5402" s="57">
        <v>0</v>
      </c>
    </row>
    <row r="5403" spans="6:9" x14ac:dyDescent="0.35">
      <c r="F5403" s="1"/>
      <c r="H5403" t="s">
        <v>78</v>
      </c>
      <c r="I5403" s="57">
        <v>0</v>
      </c>
    </row>
    <row r="5404" spans="6:9" x14ac:dyDescent="0.35">
      <c r="F5404" s="1"/>
      <c r="H5404" t="s">
        <v>78</v>
      </c>
      <c r="I5404" s="57">
        <v>0</v>
      </c>
    </row>
    <row r="5405" spans="6:9" x14ac:dyDescent="0.35">
      <c r="F5405" s="1"/>
      <c r="H5405" t="s">
        <v>78</v>
      </c>
      <c r="I5405" s="57">
        <v>0</v>
      </c>
    </row>
    <row r="5406" spans="6:9" x14ac:dyDescent="0.35">
      <c r="F5406" s="1"/>
      <c r="H5406" t="s">
        <v>78</v>
      </c>
      <c r="I5406" s="57">
        <v>0</v>
      </c>
    </row>
    <row r="5407" spans="6:9" x14ac:dyDescent="0.35">
      <c r="F5407" s="1"/>
      <c r="H5407" t="s">
        <v>78</v>
      </c>
      <c r="I5407" s="57">
        <v>0</v>
      </c>
    </row>
    <row r="5408" spans="6:9" x14ac:dyDescent="0.35">
      <c r="F5408" s="1"/>
      <c r="H5408" t="s">
        <v>78</v>
      </c>
      <c r="I5408" s="57">
        <v>0</v>
      </c>
    </row>
    <row r="5409" spans="6:9" x14ac:dyDescent="0.35">
      <c r="F5409" s="1"/>
      <c r="H5409" t="s">
        <v>78</v>
      </c>
      <c r="I5409" s="57">
        <v>0</v>
      </c>
    </row>
    <row r="5410" spans="6:9" x14ac:dyDescent="0.35">
      <c r="F5410" s="1"/>
      <c r="H5410" t="s">
        <v>78</v>
      </c>
      <c r="I5410" s="57">
        <v>0</v>
      </c>
    </row>
    <row r="5411" spans="6:9" x14ac:dyDescent="0.35">
      <c r="F5411" s="1"/>
      <c r="H5411" t="s">
        <v>78</v>
      </c>
      <c r="I5411" s="57">
        <v>0</v>
      </c>
    </row>
    <row r="5412" spans="6:9" x14ac:dyDescent="0.35">
      <c r="F5412" s="1"/>
      <c r="H5412" t="s">
        <v>78</v>
      </c>
      <c r="I5412" s="57">
        <v>0</v>
      </c>
    </row>
    <row r="5413" spans="6:9" x14ac:dyDescent="0.35">
      <c r="F5413" s="1"/>
      <c r="H5413" t="s">
        <v>78</v>
      </c>
      <c r="I5413" s="57">
        <v>0</v>
      </c>
    </row>
    <row r="5414" spans="6:9" x14ac:dyDescent="0.35">
      <c r="F5414" s="1"/>
      <c r="H5414" t="s">
        <v>78</v>
      </c>
      <c r="I5414" s="57">
        <v>0</v>
      </c>
    </row>
    <row r="5415" spans="6:9" x14ac:dyDescent="0.35">
      <c r="F5415" s="1"/>
      <c r="H5415" t="s">
        <v>78</v>
      </c>
      <c r="I5415" s="57">
        <v>0</v>
      </c>
    </row>
    <row r="5416" spans="6:9" x14ac:dyDescent="0.35">
      <c r="F5416" s="1"/>
      <c r="H5416" t="s">
        <v>78</v>
      </c>
      <c r="I5416" s="57">
        <v>0</v>
      </c>
    </row>
    <row r="5417" spans="6:9" x14ac:dyDescent="0.35">
      <c r="F5417" s="1"/>
      <c r="H5417" t="s">
        <v>78</v>
      </c>
      <c r="I5417" s="57">
        <v>0</v>
      </c>
    </row>
    <row r="5418" spans="6:9" x14ac:dyDescent="0.35">
      <c r="F5418" s="1"/>
      <c r="H5418" t="s">
        <v>78</v>
      </c>
      <c r="I5418" s="57">
        <v>0</v>
      </c>
    </row>
    <row r="5419" spans="6:9" x14ac:dyDescent="0.35">
      <c r="F5419" s="1"/>
      <c r="H5419" t="s">
        <v>78</v>
      </c>
      <c r="I5419" s="57">
        <v>0</v>
      </c>
    </row>
    <row r="5420" spans="6:9" x14ac:dyDescent="0.35">
      <c r="F5420" s="1"/>
      <c r="H5420" t="s">
        <v>78</v>
      </c>
      <c r="I5420" s="57">
        <v>0</v>
      </c>
    </row>
    <row r="5421" spans="6:9" x14ac:dyDescent="0.35">
      <c r="F5421" s="1"/>
      <c r="H5421" t="s">
        <v>78</v>
      </c>
      <c r="I5421" s="57">
        <v>0</v>
      </c>
    </row>
    <row r="5422" spans="6:9" x14ac:dyDescent="0.35">
      <c r="F5422" s="1"/>
      <c r="H5422" t="s">
        <v>78</v>
      </c>
      <c r="I5422" s="57">
        <v>0</v>
      </c>
    </row>
    <row r="5423" spans="6:9" x14ac:dyDescent="0.35">
      <c r="F5423" s="1"/>
      <c r="H5423" t="s">
        <v>78</v>
      </c>
      <c r="I5423" s="57">
        <v>0</v>
      </c>
    </row>
    <row r="5424" spans="6:9" x14ac:dyDescent="0.35">
      <c r="F5424" s="1"/>
      <c r="H5424" t="s">
        <v>78</v>
      </c>
      <c r="I5424" s="57">
        <v>0</v>
      </c>
    </row>
    <row r="5425" spans="6:9" x14ac:dyDescent="0.35">
      <c r="F5425" s="1"/>
      <c r="H5425" t="s">
        <v>78</v>
      </c>
      <c r="I5425" s="57">
        <v>0</v>
      </c>
    </row>
    <row r="5426" spans="6:9" x14ac:dyDescent="0.35">
      <c r="F5426" s="1"/>
      <c r="H5426" t="s">
        <v>78</v>
      </c>
      <c r="I5426" s="57">
        <v>0</v>
      </c>
    </row>
    <row r="5427" spans="6:9" x14ac:dyDescent="0.35">
      <c r="F5427" s="1"/>
      <c r="H5427" t="s">
        <v>78</v>
      </c>
      <c r="I5427" s="57">
        <v>0</v>
      </c>
    </row>
    <row r="5428" spans="6:9" x14ac:dyDescent="0.35">
      <c r="F5428" s="1"/>
      <c r="H5428" t="s">
        <v>78</v>
      </c>
      <c r="I5428" s="57">
        <v>0</v>
      </c>
    </row>
    <row r="5429" spans="6:9" x14ac:dyDescent="0.35">
      <c r="F5429" s="1"/>
      <c r="H5429" t="s">
        <v>78</v>
      </c>
      <c r="I5429" s="57">
        <v>0</v>
      </c>
    </row>
    <row r="5430" spans="6:9" x14ac:dyDescent="0.35">
      <c r="F5430" s="1"/>
      <c r="H5430" t="s">
        <v>78</v>
      </c>
      <c r="I5430" s="57">
        <v>0</v>
      </c>
    </row>
    <row r="5431" spans="6:9" x14ac:dyDescent="0.35">
      <c r="F5431" s="1"/>
      <c r="H5431" t="s">
        <v>78</v>
      </c>
      <c r="I5431" s="57">
        <v>0</v>
      </c>
    </row>
    <row r="5432" spans="6:9" x14ac:dyDescent="0.35">
      <c r="F5432" s="1"/>
      <c r="H5432" t="s">
        <v>78</v>
      </c>
      <c r="I5432" s="57">
        <v>0</v>
      </c>
    </row>
    <row r="5433" spans="6:9" x14ac:dyDescent="0.35">
      <c r="F5433" s="1"/>
      <c r="H5433" t="s">
        <v>78</v>
      </c>
      <c r="I5433" s="57">
        <v>0</v>
      </c>
    </row>
    <row r="5434" spans="6:9" x14ac:dyDescent="0.35">
      <c r="F5434" s="1"/>
      <c r="H5434" t="s">
        <v>78</v>
      </c>
      <c r="I5434" s="57">
        <v>0</v>
      </c>
    </row>
    <row r="5435" spans="6:9" x14ac:dyDescent="0.35">
      <c r="F5435" s="1"/>
      <c r="H5435" t="s">
        <v>78</v>
      </c>
      <c r="I5435" s="57">
        <v>0</v>
      </c>
    </row>
    <row r="5436" spans="6:9" x14ac:dyDescent="0.35">
      <c r="F5436" s="1"/>
      <c r="H5436" t="s">
        <v>78</v>
      </c>
      <c r="I5436" s="57">
        <v>0</v>
      </c>
    </row>
    <row r="5437" spans="6:9" x14ac:dyDescent="0.35">
      <c r="F5437" s="1"/>
      <c r="H5437" t="s">
        <v>78</v>
      </c>
      <c r="I5437" s="57">
        <v>0</v>
      </c>
    </row>
    <row r="5438" spans="6:9" x14ac:dyDescent="0.35">
      <c r="F5438" s="1"/>
      <c r="H5438" t="s">
        <v>78</v>
      </c>
      <c r="I5438" s="57">
        <v>0</v>
      </c>
    </row>
    <row r="5439" spans="6:9" x14ac:dyDescent="0.35">
      <c r="F5439" s="1"/>
      <c r="H5439" t="s">
        <v>78</v>
      </c>
      <c r="I5439" s="57">
        <v>0</v>
      </c>
    </row>
    <row r="5440" spans="6:9" x14ac:dyDescent="0.35">
      <c r="F5440" s="1"/>
      <c r="H5440" t="s">
        <v>78</v>
      </c>
      <c r="I5440" s="57">
        <v>0</v>
      </c>
    </row>
    <row r="5441" spans="6:9" x14ac:dyDescent="0.35">
      <c r="F5441" s="1"/>
      <c r="H5441" t="s">
        <v>78</v>
      </c>
      <c r="I5441" s="57">
        <v>0</v>
      </c>
    </row>
    <row r="5442" spans="6:9" x14ac:dyDescent="0.35">
      <c r="F5442" s="1"/>
      <c r="H5442" t="s">
        <v>78</v>
      </c>
      <c r="I5442" s="57">
        <v>0</v>
      </c>
    </row>
    <row r="5443" spans="6:9" x14ac:dyDescent="0.35">
      <c r="F5443" s="1"/>
      <c r="H5443" t="s">
        <v>78</v>
      </c>
      <c r="I5443" s="57">
        <v>0</v>
      </c>
    </row>
    <row r="5444" spans="6:9" x14ac:dyDescent="0.35">
      <c r="F5444" s="1"/>
      <c r="H5444" t="s">
        <v>78</v>
      </c>
      <c r="I5444" s="57">
        <v>0</v>
      </c>
    </row>
    <row r="5445" spans="6:9" x14ac:dyDescent="0.35">
      <c r="F5445" s="1"/>
      <c r="H5445" t="s">
        <v>78</v>
      </c>
      <c r="I5445" s="57">
        <v>0</v>
      </c>
    </row>
    <row r="5446" spans="6:9" x14ac:dyDescent="0.35">
      <c r="F5446" s="1"/>
      <c r="H5446" t="s">
        <v>78</v>
      </c>
      <c r="I5446" s="57">
        <v>0</v>
      </c>
    </row>
    <row r="5447" spans="6:9" x14ac:dyDescent="0.35">
      <c r="F5447" s="1"/>
      <c r="H5447" t="s">
        <v>78</v>
      </c>
      <c r="I5447" s="57">
        <v>0</v>
      </c>
    </row>
    <row r="5448" spans="6:9" x14ac:dyDescent="0.35">
      <c r="F5448" s="1"/>
      <c r="H5448" t="s">
        <v>78</v>
      </c>
      <c r="I5448" s="57">
        <v>0</v>
      </c>
    </row>
    <row r="5449" spans="6:9" x14ac:dyDescent="0.35">
      <c r="F5449" s="1"/>
      <c r="H5449" t="s">
        <v>78</v>
      </c>
      <c r="I5449" s="57">
        <v>0</v>
      </c>
    </row>
    <row r="5450" spans="6:9" x14ac:dyDescent="0.35">
      <c r="F5450" s="1"/>
      <c r="H5450" t="s">
        <v>78</v>
      </c>
      <c r="I5450" s="57">
        <v>0</v>
      </c>
    </row>
    <row r="5451" spans="6:9" x14ac:dyDescent="0.35">
      <c r="F5451" s="1"/>
      <c r="H5451" t="s">
        <v>78</v>
      </c>
      <c r="I5451" s="57">
        <v>0</v>
      </c>
    </row>
    <row r="5452" spans="6:9" x14ac:dyDescent="0.35">
      <c r="F5452" s="1"/>
      <c r="H5452" t="s">
        <v>78</v>
      </c>
      <c r="I5452" s="57">
        <v>0</v>
      </c>
    </row>
    <row r="5453" spans="6:9" x14ac:dyDescent="0.35">
      <c r="F5453" s="1"/>
      <c r="H5453" t="s">
        <v>78</v>
      </c>
      <c r="I5453" s="57">
        <v>0</v>
      </c>
    </row>
    <row r="5454" spans="6:9" x14ac:dyDescent="0.35">
      <c r="F5454" s="1"/>
      <c r="H5454" t="s">
        <v>78</v>
      </c>
      <c r="I5454" s="57">
        <v>0</v>
      </c>
    </row>
    <row r="5455" spans="6:9" x14ac:dyDescent="0.35">
      <c r="F5455" s="1"/>
      <c r="H5455" t="s">
        <v>78</v>
      </c>
      <c r="I5455" s="57">
        <v>0</v>
      </c>
    </row>
    <row r="5456" spans="6:9" x14ac:dyDescent="0.35">
      <c r="F5456" s="1"/>
      <c r="H5456" t="s">
        <v>78</v>
      </c>
      <c r="I5456" s="57">
        <v>0</v>
      </c>
    </row>
    <row r="5457" spans="6:9" x14ac:dyDescent="0.35">
      <c r="F5457" s="1"/>
      <c r="H5457" t="s">
        <v>78</v>
      </c>
      <c r="I5457" s="57">
        <v>0</v>
      </c>
    </row>
    <row r="5458" spans="6:9" x14ac:dyDescent="0.35">
      <c r="F5458" s="1"/>
      <c r="H5458" t="s">
        <v>78</v>
      </c>
      <c r="I5458" s="57">
        <v>0</v>
      </c>
    </row>
    <row r="5459" spans="6:9" x14ac:dyDescent="0.35">
      <c r="F5459" s="1"/>
      <c r="H5459" t="s">
        <v>78</v>
      </c>
      <c r="I5459" s="57">
        <v>0</v>
      </c>
    </row>
    <row r="5460" spans="6:9" x14ac:dyDescent="0.35">
      <c r="F5460" s="1"/>
      <c r="H5460" t="s">
        <v>78</v>
      </c>
      <c r="I5460" s="57">
        <v>0</v>
      </c>
    </row>
    <row r="5461" spans="6:9" x14ac:dyDescent="0.35">
      <c r="F5461" s="1"/>
      <c r="H5461" t="s">
        <v>78</v>
      </c>
      <c r="I5461" s="57">
        <v>0</v>
      </c>
    </row>
    <row r="5462" spans="6:9" x14ac:dyDescent="0.35">
      <c r="F5462" s="1"/>
      <c r="H5462" t="s">
        <v>78</v>
      </c>
      <c r="I5462" s="57">
        <v>0</v>
      </c>
    </row>
    <row r="5463" spans="6:9" x14ac:dyDescent="0.35">
      <c r="F5463" s="1"/>
      <c r="H5463" t="s">
        <v>78</v>
      </c>
      <c r="I5463" s="57">
        <v>0</v>
      </c>
    </row>
    <row r="5464" spans="6:9" x14ac:dyDescent="0.35">
      <c r="F5464" s="1"/>
      <c r="H5464" t="s">
        <v>78</v>
      </c>
      <c r="I5464" s="57">
        <v>0</v>
      </c>
    </row>
    <row r="5465" spans="6:9" x14ac:dyDescent="0.35">
      <c r="F5465" s="1"/>
      <c r="H5465" t="s">
        <v>78</v>
      </c>
      <c r="I5465" s="57">
        <v>0</v>
      </c>
    </row>
    <row r="5466" spans="6:9" x14ac:dyDescent="0.35">
      <c r="F5466" s="1"/>
      <c r="H5466" t="s">
        <v>78</v>
      </c>
      <c r="I5466" s="57">
        <v>0</v>
      </c>
    </row>
    <row r="5467" spans="6:9" x14ac:dyDescent="0.35">
      <c r="F5467" s="1"/>
      <c r="H5467" t="s">
        <v>78</v>
      </c>
      <c r="I5467" s="57">
        <v>0</v>
      </c>
    </row>
    <row r="5468" spans="6:9" x14ac:dyDescent="0.35">
      <c r="F5468" s="1"/>
      <c r="H5468" t="s">
        <v>78</v>
      </c>
      <c r="I5468" s="57">
        <v>0</v>
      </c>
    </row>
    <row r="5469" spans="6:9" x14ac:dyDescent="0.35">
      <c r="F5469" s="1"/>
      <c r="H5469" t="s">
        <v>78</v>
      </c>
      <c r="I5469" s="57">
        <v>0</v>
      </c>
    </row>
    <row r="5470" spans="6:9" x14ac:dyDescent="0.35">
      <c r="F5470" s="1"/>
      <c r="H5470" t="s">
        <v>78</v>
      </c>
      <c r="I5470" s="57">
        <v>0</v>
      </c>
    </row>
    <row r="5471" spans="6:9" x14ac:dyDescent="0.35">
      <c r="F5471" s="1"/>
      <c r="H5471" t="s">
        <v>78</v>
      </c>
      <c r="I5471" s="57">
        <v>0</v>
      </c>
    </row>
    <row r="5472" spans="6:9" x14ac:dyDescent="0.35">
      <c r="F5472" s="1"/>
      <c r="H5472" t="s">
        <v>78</v>
      </c>
      <c r="I5472" s="57">
        <v>0</v>
      </c>
    </row>
    <row r="5473" spans="6:9" x14ac:dyDescent="0.35">
      <c r="F5473" s="1"/>
      <c r="H5473" t="s">
        <v>78</v>
      </c>
      <c r="I5473" s="57">
        <v>0</v>
      </c>
    </row>
    <row r="5474" spans="6:9" x14ac:dyDescent="0.35">
      <c r="F5474" s="1"/>
      <c r="H5474" t="s">
        <v>78</v>
      </c>
      <c r="I5474" s="57">
        <v>0</v>
      </c>
    </row>
    <row r="5475" spans="6:9" x14ac:dyDescent="0.35">
      <c r="F5475" s="1"/>
      <c r="H5475" t="s">
        <v>78</v>
      </c>
      <c r="I5475" s="57">
        <v>0</v>
      </c>
    </row>
    <row r="5476" spans="6:9" x14ac:dyDescent="0.35">
      <c r="F5476" s="1"/>
      <c r="H5476" t="s">
        <v>78</v>
      </c>
      <c r="I5476" s="57">
        <v>0</v>
      </c>
    </row>
    <row r="5477" spans="6:9" x14ac:dyDescent="0.35">
      <c r="F5477" s="1"/>
      <c r="H5477" t="s">
        <v>78</v>
      </c>
      <c r="I5477" s="57">
        <v>0</v>
      </c>
    </row>
    <row r="5478" spans="6:9" x14ac:dyDescent="0.35">
      <c r="F5478" s="1"/>
      <c r="H5478" t="s">
        <v>78</v>
      </c>
      <c r="I5478" s="57">
        <v>0</v>
      </c>
    </row>
    <row r="5479" spans="6:9" x14ac:dyDescent="0.35">
      <c r="F5479" s="1"/>
      <c r="H5479" t="s">
        <v>78</v>
      </c>
      <c r="I5479" s="57">
        <v>0</v>
      </c>
    </row>
    <row r="5480" spans="6:9" x14ac:dyDescent="0.35">
      <c r="F5480" s="1"/>
      <c r="H5480" t="s">
        <v>78</v>
      </c>
      <c r="I5480" s="57">
        <v>0</v>
      </c>
    </row>
    <row r="5481" spans="6:9" x14ac:dyDescent="0.35">
      <c r="F5481" s="1"/>
      <c r="H5481" t="s">
        <v>78</v>
      </c>
      <c r="I5481" s="57">
        <v>0</v>
      </c>
    </row>
    <row r="5482" spans="6:9" x14ac:dyDescent="0.35">
      <c r="F5482" s="1"/>
      <c r="H5482" t="s">
        <v>78</v>
      </c>
      <c r="I5482" s="57">
        <v>0</v>
      </c>
    </row>
    <row r="5483" spans="6:9" x14ac:dyDescent="0.35">
      <c r="F5483" s="1"/>
      <c r="H5483" t="s">
        <v>78</v>
      </c>
      <c r="I5483" s="57">
        <v>0</v>
      </c>
    </row>
    <row r="5484" spans="6:9" x14ac:dyDescent="0.35">
      <c r="F5484" s="1"/>
      <c r="H5484" t="s">
        <v>78</v>
      </c>
      <c r="I5484" s="57">
        <v>0</v>
      </c>
    </row>
    <row r="5485" spans="6:9" x14ac:dyDescent="0.35">
      <c r="F5485" s="1"/>
      <c r="H5485" t="s">
        <v>78</v>
      </c>
      <c r="I5485" s="57">
        <v>0</v>
      </c>
    </row>
    <row r="5486" spans="6:9" x14ac:dyDescent="0.35">
      <c r="F5486" s="1"/>
      <c r="H5486" t="s">
        <v>78</v>
      </c>
      <c r="I5486" s="57">
        <v>0</v>
      </c>
    </row>
    <row r="5487" spans="6:9" x14ac:dyDescent="0.35">
      <c r="F5487" s="1"/>
      <c r="H5487" t="s">
        <v>78</v>
      </c>
      <c r="I5487" s="57">
        <v>0</v>
      </c>
    </row>
    <row r="5488" spans="6:9" x14ac:dyDescent="0.35">
      <c r="F5488" s="1"/>
      <c r="H5488" t="s">
        <v>78</v>
      </c>
      <c r="I5488" s="57">
        <v>0</v>
      </c>
    </row>
    <row r="5489" spans="6:8" x14ac:dyDescent="0.35">
      <c r="F5489" s="1"/>
      <c r="H5489" t="s">
        <v>26</v>
      </c>
    </row>
    <row r="5490" spans="6:8" x14ac:dyDescent="0.35">
      <c r="F5490" s="1"/>
      <c r="H5490" t="s">
        <v>26</v>
      </c>
    </row>
    <row r="5491" spans="6:8" x14ac:dyDescent="0.35">
      <c r="F5491" s="1"/>
      <c r="H5491" t="s">
        <v>26</v>
      </c>
    </row>
    <row r="5492" spans="6:8" x14ac:dyDescent="0.35">
      <c r="F5492" s="1"/>
      <c r="H5492" t="s">
        <v>26</v>
      </c>
    </row>
    <row r="5493" spans="6:8" x14ac:dyDescent="0.35">
      <c r="F5493" s="1"/>
      <c r="H5493" t="s">
        <v>26</v>
      </c>
    </row>
    <row r="5494" spans="6:8" x14ac:dyDescent="0.35">
      <c r="F5494" s="1"/>
      <c r="H5494" t="s">
        <v>26</v>
      </c>
    </row>
    <row r="5495" spans="6:8" x14ac:dyDescent="0.35">
      <c r="F5495" s="1"/>
      <c r="H5495" t="s">
        <v>26</v>
      </c>
    </row>
    <row r="5496" spans="6:8" x14ac:dyDescent="0.35">
      <c r="F5496" s="1"/>
      <c r="H5496" t="s">
        <v>26</v>
      </c>
    </row>
    <row r="5497" spans="6:8" x14ac:dyDescent="0.35">
      <c r="F5497" s="1"/>
      <c r="H5497" t="s">
        <v>26</v>
      </c>
    </row>
    <row r="5498" spans="6:8" x14ac:dyDescent="0.35">
      <c r="F5498" s="1"/>
      <c r="H5498" t="s">
        <v>26</v>
      </c>
    </row>
    <row r="5499" spans="6:8" x14ac:dyDescent="0.35">
      <c r="F5499" s="1"/>
      <c r="H5499" t="s">
        <v>26</v>
      </c>
    </row>
    <row r="5500" spans="6:8" x14ac:dyDescent="0.35">
      <c r="F5500" s="1"/>
      <c r="H5500" t="s">
        <v>26</v>
      </c>
    </row>
    <row r="5501" spans="6:8" x14ac:dyDescent="0.35">
      <c r="F5501" s="1"/>
      <c r="H5501" t="s">
        <v>26</v>
      </c>
    </row>
    <row r="5502" spans="6:8" x14ac:dyDescent="0.35">
      <c r="F5502" s="1"/>
      <c r="H5502" t="s">
        <v>26</v>
      </c>
    </row>
    <row r="5503" spans="6:8" x14ac:dyDescent="0.35">
      <c r="F5503" s="1"/>
      <c r="H5503" t="s">
        <v>26</v>
      </c>
    </row>
    <row r="5504" spans="6:8" x14ac:dyDescent="0.35">
      <c r="F5504" s="1"/>
      <c r="H5504" t="s">
        <v>26</v>
      </c>
    </row>
    <row r="5505" spans="6:8" x14ac:dyDescent="0.35">
      <c r="F5505" s="1"/>
      <c r="H5505" t="s">
        <v>26</v>
      </c>
    </row>
    <row r="5506" spans="6:8" x14ac:dyDescent="0.35">
      <c r="F5506" s="1"/>
      <c r="H5506" t="s">
        <v>26</v>
      </c>
    </row>
    <row r="5507" spans="6:8" x14ac:dyDescent="0.35">
      <c r="F5507" s="1"/>
      <c r="H5507" t="s">
        <v>26</v>
      </c>
    </row>
    <row r="5508" spans="6:8" x14ac:dyDescent="0.35">
      <c r="F5508" s="1"/>
      <c r="H5508" t="s">
        <v>26</v>
      </c>
    </row>
    <row r="5509" spans="6:8" x14ac:dyDescent="0.35">
      <c r="F5509" s="1"/>
      <c r="H5509" t="s">
        <v>26</v>
      </c>
    </row>
    <row r="5510" spans="6:8" x14ac:dyDescent="0.35">
      <c r="F5510" s="1"/>
      <c r="H5510" t="s">
        <v>26</v>
      </c>
    </row>
    <row r="5511" spans="6:8" x14ac:dyDescent="0.35">
      <c r="F5511" s="1"/>
      <c r="H5511" t="s">
        <v>26</v>
      </c>
    </row>
    <row r="5512" spans="6:8" x14ac:dyDescent="0.35">
      <c r="F5512" s="1"/>
      <c r="H5512" t="s">
        <v>26</v>
      </c>
    </row>
    <row r="5513" spans="6:8" x14ac:dyDescent="0.35">
      <c r="F5513" s="1"/>
      <c r="H5513" t="s">
        <v>26</v>
      </c>
    </row>
    <row r="5514" spans="6:8" x14ac:dyDescent="0.35">
      <c r="F5514" s="1"/>
      <c r="H5514" t="s">
        <v>26</v>
      </c>
    </row>
    <row r="5515" spans="6:8" x14ac:dyDescent="0.35">
      <c r="F5515" s="1"/>
      <c r="H5515" t="s">
        <v>26</v>
      </c>
    </row>
    <row r="5516" spans="6:8" x14ac:dyDescent="0.35">
      <c r="F5516" s="1"/>
      <c r="H5516" t="s">
        <v>26</v>
      </c>
    </row>
    <row r="5517" spans="6:8" x14ac:dyDescent="0.35">
      <c r="F5517" s="1"/>
      <c r="H5517" t="s">
        <v>26</v>
      </c>
    </row>
    <row r="5518" spans="6:8" x14ac:dyDescent="0.35">
      <c r="F5518" s="1"/>
      <c r="H5518" t="s">
        <v>26</v>
      </c>
    </row>
    <row r="5519" spans="6:8" x14ac:dyDescent="0.35">
      <c r="F5519" s="1"/>
      <c r="H5519" t="s">
        <v>26</v>
      </c>
    </row>
    <row r="5520" spans="6:8" x14ac:dyDescent="0.35">
      <c r="F5520" s="1"/>
      <c r="H5520" t="s">
        <v>26</v>
      </c>
    </row>
    <row r="5521" spans="6:8" x14ac:dyDescent="0.35">
      <c r="F5521" s="1"/>
      <c r="H5521" t="s">
        <v>26</v>
      </c>
    </row>
    <row r="5522" spans="6:8" x14ac:dyDescent="0.35">
      <c r="F5522" s="1"/>
      <c r="H5522" t="s">
        <v>26</v>
      </c>
    </row>
    <row r="5523" spans="6:8" x14ac:dyDescent="0.35">
      <c r="F5523" s="1"/>
      <c r="H5523" t="s">
        <v>26</v>
      </c>
    </row>
    <row r="5524" spans="6:8" x14ac:dyDescent="0.35">
      <c r="F5524" s="1"/>
      <c r="H5524" t="s">
        <v>26</v>
      </c>
    </row>
    <row r="5525" spans="6:8" x14ac:dyDescent="0.35">
      <c r="F5525" s="1"/>
      <c r="H5525" t="s">
        <v>26</v>
      </c>
    </row>
    <row r="5526" spans="6:8" x14ac:dyDescent="0.35">
      <c r="F5526" s="1"/>
      <c r="H5526" t="s">
        <v>26</v>
      </c>
    </row>
    <row r="5527" spans="6:8" x14ac:dyDescent="0.35">
      <c r="F5527" s="1"/>
      <c r="H5527" t="s">
        <v>26</v>
      </c>
    </row>
    <row r="5528" spans="6:8" x14ac:dyDescent="0.35">
      <c r="F5528" s="1"/>
      <c r="H5528" t="s">
        <v>26</v>
      </c>
    </row>
    <row r="5529" spans="6:8" x14ac:dyDescent="0.35">
      <c r="F5529" s="1"/>
      <c r="H5529" t="s">
        <v>26</v>
      </c>
    </row>
    <row r="5530" spans="6:8" x14ac:dyDescent="0.35">
      <c r="F5530" s="1"/>
      <c r="H5530" t="s">
        <v>26</v>
      </c>
    </row>
    <row r="5531" spans="6:8" x14ac:dyDescent="0.35">
      <c r="F5531" s="1"/>
      <c r="H5531" t="s">
        <v>26</v>
      </c>
    </row>
    <row r="5532" spans="6:8" x14ac:dyDescent="0.35">
      <c r="F5532" s="1"/>
      <c r="H5532" t="s">
        <v>26</v>
      </c>
    </row>
    <row r="5533" spans="6:8" x14ac:dyDescent="0.35">
      <c r="F5533" s="1"/>
      <c r="H5533" t="s">
        <v>26</v>
      </c>
    </row>
    <row r="5534" spans="6:8" x14ac:dyDescent="0.35">
      <c r="F5534" s="1"/>
      <c r="H5534" t="s">
        <v>26</v>
      </c>
    </row>
    <row r="5535" spans="6:8" x14ac:dyDescent="0.35">
      <c r="F5535" s="1"/>
      <c r="H5535" t="s">
        <v>26</v>
      </c>
    </row>
    <row r="5536" spans="6:8" x14ac:dyDescent="0.35">
      <c r="F5536" s="1"/>
      <c r="H5536" t="s">
        <v>26</v>
      </c>
    </row>
    <row r="5537" spans="6:8" x14ac:dyDescent="0.35">
      <c r="F5537" s="1"/>
      <c r="H5537" t="s">
        <v>26</v>
      </c>
    </row>
    <row r="5538" spans="6:8" x14ac:dyDescent="0.35">
      <c r="F5538" s="1"/>
      <c r="H5538" t="s">
        <v>26</v>
      </c>
    </row>
    <row r="5539" spans="6:8" x14ac:dyDescent="0.35">
      <c r="F5539" s="1"/>
      <c r="H5539" t="s">
        <v>26</v>
      </c>
    </row>
    <row r="5540" spans="6:8" x14ac:dyDescent="0.35">
      <c r="F5540" s="1"/>
      <c r="H5540" t="s">
        <v>26</v>
      </c>
    </row>
    <row r="5541" spans="6:8" x14ac:dyDescent="0.35">
      <c r="F5541" s="1"/>
      <c r="H5541" t="s">
        <v>26</v>
      </c>
    </row>
    <row r="5542" spans="6:8" x14ac:dyDescent="0.35">
      <c r="F5542" s="1"/>
      <c r="H5542" t="s">
        <v>26</v>
      </c>
    </row>
    <row r="5543" spans="6:8" x14ac:dyDescent="0.35">
      <c r="F5543" s="1"/>
      <c r="H5543" t="s">
        <v>26</v>
      </c>
    </row>
    <row r="5544" spans="6:8" x14ac:dyDescent="0.35">
      <c r="F5544" s="1"/>
      <c r="H5544" t="s">
        <v>26</v>
      </c>
    </row>
    <row r="5545" spans="6:8" x14ac:dyDescent="0.35">
      <c r="F5545" s="1"/>
      <c r="H5545" t="s">
        <v>26</v>
      </c>
    </row>
    <row r="5546" spans="6:8" x14ac:dyDescent="0.35">
      <c r="F5546" s="1"/>
      <c r="H5546" t="s">
        <v>26</v>
      </c>
    </row>
    <row r="5547" spans="6:8" x14ac:dyDescent="0.35">
      <c r="F5547" s="1"/>
      <c r="H5547" t="s">
        <v>26</v>
      </c>
    </row>
    <row r="5548" spans="6:8" x14ac:dyDescent="0.35">
      <c r="F5548" s="1"/>
      <c r="H5548" t="s">
        <v>26</v>
      </c>
    </row>
    <row r="5549" spans="6:8" x14ac:dyDescent="0.35">
      <c r="F5549" s="1"/>
      <c r="H5549" t="s">
        <v>26</v>
      </c>
    </row>
    <row r="5550" spans="6:8" x14ac:dyDescent="0.35">
      <c r="F5550" s="1"/>
      <c r="H5550" t="s">
        <v>26</v>
      </c>
    </row>
    <row r="5551" spans="6:8" x14ac:dyDescent="0.35">
      <c r="F5551" s="1"/>
      <c r="H5551" t="s">
        <v>26</v>
      </c>
    </row>
    <row r="5552" spans="6:8" x14ac:dyDescent="0.35">
      <c r="F5552" s="1"/>
      <c r="H5552" t="s">
        <v>26</v>
      </c>
    </row>
    <row r="5553" spans="6:8" x14ac:dyDescent="0.35">
      <c r="F5553" s="1"/>
      <c r="H5553" t="s">
        <v>26</v>
      </c>
    </row>
    <row r="5554" spans="6:8" x14ac:dyDescent="0.35">
      <c r="F5554" s="1"/>
      <c r="H5554" t="s">
        <v>26</v>
      </c>
    </row>
    <row r="5555" spans="6:8" x14ac:dyDescent="0.35">
      <c r="F5555" s="1"/>
      <c r="H5555" t="s">
        <v>26</v>
      </c>
    </row>
    <row r="5556" spans="6:8" x14ac:dyDescent="0.35">
      <c r="F5556" s="1"/>
      <c r="H5556" t="s">
        <v>26</v>
      </c>
    </row>
    <row r="5557" spans="6:8" x14ac:dyDescent="0.35">
      <c r="F5557" s="1"/>
      <c r="H5557" t="s">
        <v>26</v>
      </c>
    </row>
    <row r="5558" spans="6:8" x14ac:dyDescent="0.35">
      <c r="F5558" s="1"/>
      <c r="H5558" t="s">
        <v>26</v>
      </c>
    </row>
    <row r="5559" spans="6:8" x14ac:dyDescent="0.35">
      <c r="F5559" s="1"/>
      <c r="H5559" t="s">
        <v>26</v>
      </c>
    </row>
    <row r="5560" spans="6:8" x14ac:dyDescent="0.35">
      <c r="F5560" s="1"/>
      <c r="H5560" t="s">
        <v>26</v>
      </c>
    </row>
    <row r="5561" spans="6:8" x14ac:dyDescent="0.35">
      <c r="F5561" s="1"/>
      <c r="H5561" t="s">
        <v>26</v>
      </c>
    </row>
    <row r="5562" spans="6:8" x14ac:dyDescent="0.35">
      <c r="F5562" s="1"/>
      <c r="H5562" t="s">
        <v>26</v>
      </c>
    </row>
    <row r="5563" spans="6:8" x14ac:dyDescent="0.35">
      <c r="F5563" s="1"/>
      <c r="H5563" t="s">
        <v>26</v>
      </c>
    </row>
    <row r="5564" spans="6:8" x14ac:dyDescent="0.35">
      <c r="F5564" s="1"/>
      <c r="H5564" t="s">
        <v>26</v>
      </c>
    </row>
    <row r="5565" spans="6:8" x14ac:dyDescent="0.35">
      <c r="F5565" s="1"/>
      <c r="H5565" t="s">
        <v>26</v>
      </c>
    </row>
    <row r="5566" spans="6:8" x14ac:dyDescent="0.35">
      <c r="F5566" s="1"/>
      <c r="H5566" t="s">
        <v>26</v>
      </c>
    </row>
    <row r="5567" spans="6:8" x14ac:dyDescent="0.35">
      <c r="F5567" s="1"/>
      <c r="H5567" t="s">
        <v>26</v>
      </c>
    </row>
    <row r="5568" spans="6:8" x14ac:dyDescent="0.35">
      <c r="F5568" s="1"/>
      <c r="H5568" t="s">
        <v>26</v>
      </c>
    </row>
    <row r="5569" spans="6:8" x14ac:dyDescent="0.35">
      <c r="F5569" s="1"/>
      <c r="H5569" t="s">
        <v>26</v>
      </c>
    </row>
    <row r="5570" spans="6:8" x14ac:dyDescent="0.35">
      <c r="F5570" s="1"/>
      <c r="H5570" t="s">
        <v>26</v>
      </c>
    </row>
    <row r="5571" spans="6:8" x14ac:dyDescent="0.35">
      <c r="F5571" s="1"/>
      <c r="H5571" t="s">
        <v>26</v>
      </c>
    </row>
    <row r="5572" spans="6:8" x14ac:dyDescent="0.35">
      <c r="F5572" s="1"/>
      <c r="H5572" t="s">
        <v>26</v>
      </c>
    </row>
    <row r="5573" spans="6:8" x14ac:dyDescent="0.35">
      <c r="F5573" s="1"/>
      <c r="H5573" t="s">
        <v>26</v>
      </c>
    </row>
    <row r="5574" spans="6:8" x14ac:dyDescent="0.35">
      <c r="F5574" s="1"/>
      <c r="H5574" t="s">
        <v>26</v>
      </c>
    </row>
    <row r="5575" spans="6:8" x14ac:dyDescent="0.35">
      <c r="F5575" s="1"/>
      <c r="H5575" t="s">
        <v>26</v>
      </c>
    </row>
    <row r="5576" spans="6:8" x14ac:dyDescent="0.35">
      <c r="F5576" s="1"/>
      <c r="H5576" t="s">
        <v>26</v>
      </c>
    </row>
    <row r="5577" spans="6:8" x14ac:dyDescent="0.35">
      <c r="F5577" s="1"/>
      <c r="H5577" t="s">
        <v>26</v>
      </c>
    </row>
    <row r="5578" spans="6:8" x14ac:dyDescent="0.35">
      <c r="F5578" s="1"/>
      <c r="H5578" t="s">
        <v>26</v>
      </c>
    </row>
    <row r="5579" spans="6:8" x14ac:dyDescent="0.35">
      <c r="F5579" s="1"/>
      <c r="H5579" t="s">
        <v>26</v>
      </c>
    </row>
    <row r="5580" spans="6:8" x14ac:dyDescent="0.35">
      <c r="F5580" s="1"/>
      <c r="H5580" t="s">
        <v>26</v>
      </c>
    </row>
    <row r="5581" spans="6:8" x14ac:dyDescent="0.35">
      <c r="F5581" s="1"/>
      <c r="H5581" t="s">
        <v>26</v>
      </c>
    </row>
    <row r="5582" spans="6:8" x14ac:dyDescent="0.35">
      <c r="F5582" s="1"/>
      <c r="H5582" t="s">
        <v>26</v>
      </c>
    </row>
    <row r="5583" spans="6:8" x14ac:dyDescent="0.35">
      <c r="F5583" s="1"/>
      <c r="H5583" t="s">
        <v>26</v>
      </c>
    </row>
    <row r="5584" spans="6:8" x14ac:dyDescent="0.35">
      <c r="F5584" s="1"/>
      <c r="H5584" t="s">
        <v>26</v>
      </c>
    </row>
    <row r="5585" spans="6:8" x14ac:dyDescent="0.35">
      <c r="F5585" s="1"/>
      <c r="H5585" t="s">
        <v>26</v>
      </c>
    </row>
    <row r="5586" spans="6:8" x14ac:dyDescent="0.35">
      <c r="F5586" s="1"/>
      <c r="H5586" t="s">
        <v>26</v>
      </c>
    </row>
    <row r="5587" spans="6:8" x14ac:dyDescent="0.35">
      <c r="F5587" s="1"/>
      <c r="H5587" t="s">
        <v>26</v>
      </c>
    </row>
    <row r="5588" spans="6:8" x14ac:dyDescent="0.35">
      <c r="F5588" s="1"/>
      <c r="H5588" t="s">
        <v>26</v>
      </c>
    </row>
    <row r="5589" spans="6:8" x14ac:dyDescent="0.35">
      <c r="F5589" s="1"/>
      <c r="H5589" t="s">
        <v>26</v>
      </c>
    </row>
    <row r="5590" spans="6:8" x14ac:dyDescent="0.35">
      <c r="F5590" s="1"/>
      <c r="H5590" t="s">
        <v>26</v>
      </c>
    </row>
    <row r="5591" spans="6:8" x14ac:dyDescent="0.35">
      <c r="F5591" s="1"/>
      <c r="H5591" t="s">
        <v>26</v>
      </c>
    </row>
    <row r="5592" spans="6:8" x14ac:dyDescent="0.35">
      <c r="F5592" s="1"/>
      <c r="H5592" t="s">
        <v>26</v>
      </c>
    </row>
    <row r="5593" spans="6:8" x14ac:dyDescent="0.35">
      <c r="F5593" s="1"/>
      <c r="H5593" t="s">
        <v>26</v>
      </c>
    </row>
    <row r="5594" spans="6:8" x14ac:dyDescent="0.35">
      <c r="F5594" s="1"/>
      <c r="H5594" t="s">
        <v>26</v>
      </c>
    </row>
    <row r="5595" spans="6:8" x14ac:dyDescent="0.35">
      <c r="F5595" s="1"/>
      <c r="H5595" t="s">
        <v>26</v>
      </c>
    </row>
    <row r="5596" spans="6:8" x14ac:dyDescent="0.35">
      <c r="F5596" s="1"/>
      <c r="H5596" t="s">
        <v>26</v>
      </c>
    </row>
    <row r="5597" spans="6:8" x14ac:dyDescent="0.35">
      <c r="F5597" s="1"/>
      <c r="H5597" t="s">
        <v>26</v>
      </c>
    </row>
    <row r="5598" spans="6:8" x14ac:dyDescent="0.35">
      <c r="F5598" s="1"/>
      <c r="H5598" t="s">
        <v>26</v>
      </c>
    </row>
    <row r="5599" spans="6:8" x14ac:dyDescent="0.35">
      <c r="F5599" s="1"/>
      <c r="H5599" t="s">
        <v>26</v>
      </c>
    </row>
    <row r="5600" spans="6:8" x14ac:dyDescent="0.35">
      <c r="F5600" s="1"/>
      <c r="H5600" t="s">
        <v>26</v>
      </c>
    </row>
    <row r="5601" spans="6:8" x14ac:dyDescent="0.35">
      <c r="F5601" s="1"/>
      <c r="H5601" t="s">
        <v>26</v>
      </c>
    </row>
    <row r="5602" spans="6:8" x14ac:dyDescent="0.35">
      <c r="F5602" s="1"/>
      <c r="H5602" t="s">
        <v>26</v>
      </c>
    </row>
    <row r="5603" spans="6:8" x14ac:dyDescent="0.35">
      <c r="F5603" s="1"/>
      <c r="H5603" t="s">
        <v>26</v>
      </c>
    </row>
    <row r="5604" spans="6:8" x14ac:dyDescent="0.35">
      <c r="F5604" s="1"/>
      <c r="H5604" t="s">
        <v>26</v>
      </c>
    </row>
    <row r="5605" spans="6:8" x14ac:dyDescent="0.35">
      <c r="F5605" s="1"/>
      <c r="H5605" t="s">
        <v>26</v>
      </c>
    </row>
    <row r="5606" spans="6:8" x14ac:dyDescent="0.35">
      <c r="F5606" s="1"/>
      <c r="H5606" t="s">
        <v>26</v>
      </c>
    </row>
    <row r="5607" spans="6:8" x14ac:dyDescent="0.35">
      <c r="F5607" s="1"/>
      <c r="H5607" t="s">
        <v>26</v>
      </c>
    </row>
    <row r="5608" spans="6:8" x14ac:dyDescent="0.35">
      <c r="F5608" s="1"/>
      <c r="H5608" t="s">
        <v>26</v>
      </c>
    </row>
    <row r="5609" spans="6:8" x14ac:dyDescent="0.35">
      <c r="F5609" s="1"/>
      <c r="H5609" t="s">
        <v>26</v>
      </c>
    </row>
    <row r="5610" spans="6:8" x14ac:dyDescent="0.35">
      <c r="F5610" s="1"/>
      <c r="H5610" t="s">
        <v>26</v>
      </c>
    </row>
    <row r="5611" spans="6:8" x14ac:dyDescent="0.35">
      <c r="F5611" s="1"/>
      <c r="H5611" t="s">
        <v>26</v>
      </c>
    </row>
    <row r="5612" spans="6:8" x14ac:dyDescent="0.35">
      <c r="F5612" s="1"/>
      <c r="H5612" t="s">
        <v>26</v>
      </c>
    </row>
    <row r="5613" spans="6:8" x14ac:dyDescent="0.35">
      <c r="F5613" s="1"/>
      <c r="H5613" t="s">
        <v>26</v>
      </c>
    </row>
    <row r="5614" spans="6:8" x14ac:dyDescent="0.35">
      <c r="F5614" s="1"/>
      <c r="H5614" t="s">
        <v>26</v>
      </c>
    </row>
    <row r="5615" spans="6:8" x14ac:dyDescent="0.35">
      <c r="F5615" s="1"/>
      <c r="H5615" t="s">
        <v>26</v>
      </c>
    </row>
    <row r="5616" spans="6:8" x14ac:dyDescent="0.35">
      <c r="F5616" s="1"/>
      <c r="H5616" t="s">
        <v>26</v>
      </c>
    </row>
    <row r="5617" spans="6:8" x14ac:dyDescent="0.35">
      <c r="F5617" s="1"/>
      <c r="H5617" t="s">
        <v>26</v>
      </c>
    </row>
    <row r="5618" spans="6:8" x14ac:dyDescent="0.35">
      <c r="F5618" s="1"/>
      <c r="H5618" t="s">
        <v>26</v>
      </c>
    </row>
    <row r="5619" spans="6:8" x14ac:dyDescent="0.35">
      <c r="F5619" s="1"/>
      <c r="H5619" t="s">
        <v>26</v>
      </c>
    </row>
    <row r="5620" spans="6:8" x14ac:dyDescent="0.35">
      <c r="F5620" s="1"/>
      <c r="H5620" t="s">
        <v>26</v>
      </c>
    </row>
    <row r="5621" spans="6:8" x14ac:dyDescent="0.35">
      <c r="F5621" s="1"/>
      <c r="H5621" t="s">
        <v>26</v>
      </c>
    </row>
    <row r="5622" spans="6:8" x14ac:dyDescent="0.35">
      <c r="F5622" s="1"/>
      <c r="H5622" t="s">
        <v>26</v>
      </c>
    </row>
    <row r="5623" spans="6:8" x14ac:dyDescent="0.35">
      <c r="F5623" s="1"/>
      <c r="H5623" t="s">
        <v>26</v>
      </c>
    </row>
    <row r="5624" spans="6:8" x14ac:dyDescent="0.35">
      <c r="F5624" s="1"/>
      <c r="H5624" t="s">
        <v>26</v>
      </c>
    </row>
    <row r="5625" spans="6:8" x14ac:dyDescent="0.35">
      <c r="F5625" s="1"/>
      <c r="H5625" t="s">
        <v>26</v>
      </c>
    </row>
    <row r="5626" spans="6:8" x14ac:dyDescent="0.35">
      <c r="F5626" s="1"/>
      <c r="H5626" t="s">
        <v>26</v>
      </c>
    </row>
    <row r="5627" spans="6:8" x14ac:dyDescent="0.35">
      <c r="F5627" s="1"/>
      <c r="H5627" t="s">
        <v>26</v>
      </c>
    </row>
    <row r="5628" spans="6:8" x14ac:dyDescent="0.35">
      <c r="F5628" s="1"/>
      <c r="H5628" t="s">
        <v>26</v>
      </c>
    </row>
    <row r="5629" spans="6:8" x14ac:dyDescent="0.35">
      <c r="F5629" s="1"/>
      <c r="H5629" t="s">
        <v>26</v>
      </c>
    </row>
    <row r="5630" spans="6:8" x14ac:dyDescent="0.35">
      <c r="F5630" s="1"/>
      <c r="H5630" t="s">
        <v>26</v>
      </c>
    </row>
    <row r="5631" spans="6:8" x14ac:dyDescent="0.35">
      <c r="F5631" s="1"/>
      <c r="H5631" t="s">
        <v>26</v>
      </c>
    </row>
    <row r="5632" spans="6:8" x14ac:dyDescent="0.35">
      <c r="F5632" s="1"/>
      <c r="H5632" t="s">
        <v>26</v>
      </c>
    </row>
    <row r="5633" spans="6:8" x14ac:dyDescent="0.35">
      <c r="F5633" s="1"/>
      <c r="H5633" t="s">
        <v>26</v>
      </c>
    </row>
    <row r="5634" spans="6:8" x14ac:dyDescent="0.35">
      <c r="F5634" s="1"/>
      <c r="H5634" t="s">
        <v>26</v>
      </c>
    </row>
    <row r="5635" spans="6:8" x14ac:dyDescent="0.35">
      <c r="F5635" s="1"/>
      <c r="H5635" t="s">
        <v>26</v>
      </c>
    </row>
    <row r="5636" spans="6:8" x14ac:dyDescent="0.35">
      <c r="F5636" s="1"/>
      <c r="H5636" t="s">
        <v>26</v>
      </c>
    </row>
    <row r="5637" spans="6:8" x14ac:dyDescent="0.35">
      <c r="F5637" s="1"/>
      <c r="H5637" t="s">
        <v>26</v>
      </c>
    </row>
    <row r="5638" spans="6:8" x14ac:dyDescent="0.35">
      <c r="F5638" s="1"/>
      <c r="H5638" t="s">
        <v>26</v>
      </c>
    </row>
    <row r="5639" spans="6:8" x14ac:dyDescent="0.35">
      <c r="F5639" s="1"/>
      <c r="H5639" t="s">
        <v>26</v>
      </c>
    </row>
    <row r="5640" spans="6:8" x14ac:dyDescent="0.35">
      <c r="F5640" s="1"/>
      <c r="H5640" t="s">
        <v>26</v>
      </c>
    </row>
    <row r="5641" spans="6:8" x14ac:dyDescent="0.35">
      <c r="F5641" s="1"/>
      <c r="H5641" t="s">
        <v>26</v>
      </c>
    </row>
    <row r="5642" spans="6:8" x14ac:dyDescent="0.35">
      <c r="F5642" s="1"/>
      <c r="H5642" t="s">
        <v>26</v>
      </c>
    </row>
    <row r="5643" spans="6:8" x14ac:dyDescent="0.35">
      <c r="F5643" s="1"/>
      <c r="H5643" t="s">
        <v>26</v>
      </c>
    </row>
    <row r="5644" spans="6:8" x14ac:dyDescent="0.35">
      <c r="F5644" s="1"/>
      <c r="H5644" t="s">
        <v>26</v>
      </c>
    </row>
    <row r="5645" spans="6:8" x14ac:dyDescent="0.35">
      <c r="F5645" s="1"/>
      <c r="H5645" t="s">
        <v>26</v>
      </c>
    </row>
    <row r="5646" spans="6:8" x14ac:dyDescent="0.35">
      <c r="F5646" s="1"/>
      <c r="H5646" t="s">
        <v>26</v>
      </c>
    </row>
    <row r="5647" spans="6:8" x14ac:dyDescent="0.35">
      <c r="F5647" s="1"/>
      <c r="H5647" t="s">
        <v>26</v>
      </c>
    </row>
    <row r="5648" spans="6:8" x14ac:dyDescent="0.35">
      <c r="F5648" s="1"/>
      <c r="H5648" t="s">
        <v>26</v>
      </c>
    </row>
    <row r="5649" spans="6:8" x14ac:dyDescent="0.35">
      <c r="F5649" s="1"/>
      <c r="H5649" t="s">
        <v>26</v>
      </c>
    </row>
    <row r="5650" spans="6:8" x14ac:dyDescent="0.35">
      <c r="F5650" s="1"/>
      <c r="H5650" t="s">
        <v>26</v>
      </c>
    </row>
    <row r="5651" spans="6:8" x14ac:dyDescent="0.35">
      <c r="F5651" s="1"/>
      <c r="H5651" t="s">
        <v>26</v>
      </c>
    </row>
    <row r="5652" spans="6:8" x14ac:dyDescent="0.35">
      <c r="F5652" s="1"/>
      <c r="H5652" t="s">
        <v>26</v>
      </c>
    </row>
    <row r="5653" spans="6:8" x14ac:dyDescent="0.35">
      <c r="F5653" s="1"/>
      <c r="H5653" t="s">
        <v>26</v>
      </c>
    </row>
    <row r="5654" spans="6:8" x14ac:dyDescent="0.35">
      <c r="F5654" s="1"/>
      <c r="H5654" t="s">
        <v>26</v>
      </c>
    </row>
    <row r="5655" spans="6:8" x14ac:dyDescent="0.35">
      <c r="F5655" s="1"/>
      <c r="H5655" t="s">
        <v>26</v>
      </c>
    </row>
    <row r="5656" spans="6:8" x14ac:dyDescent="0.35">
      <c r="F5656" s="1"/>
      <c r="H5656" t="s">
        <v>26</v>
      </c>
    </row>
    <row r="5657" spans="6:8" x14ac:dyDescent="0.35">
      <c r="F5657" s="1"/>
      <c r="H5657" t="s">
        <v>26</v>
      </c>
    </row>
    <row r="5658" spans="6:8" x14ac:dyDescent="0.35">
      <c r="F5658" s="1"/>
      <c r="H5658" t="s">
        <v>26</v>
      </c>
    </row>
    <row r="5659" spans="6:8" x14ac:dyDescent="0.35">
      <c r="F5659" s="1"/>
      <c r="H5659" t="s">
        <v>26</v>
      </c>
    </row>
    <row r="5660" spans="6:8" x14ac:dyDescent="0.35">
      <c r="F5660" s="1"/>
      <c r="H5660" t="s">
        <v>26</v>
      </c>
    </row>
    <row r="5661" spans="6:8" x14ac:dyDescent="0.35">
      <c r="F5661" s="1"/>
      <c r="H5661" t="s">
        <v>26</v>
      </c>
    </row>
    <row r="5662" spans="6:8" x14ac:dyDescent="0.35">
      <c r="F5662" s="1"/>
      <c r="H5662" t="s">
        <v>26</v>
      </c>
    </row>
    <row r="5663" spans="6:8" x14ac:dyDescent="0.35">
      <c r="F5663" s="1"/>
      <c r="H5663" t="s">
        <v>26</v>
      </c>
    </row>
    <row r="5664" spans="6:8" x14ac:dyDescent="0.35">
      <c r="F5664" s="1"/>
      <c r="H5664" t="s">
        <v>26</v>
      </c>
    </row>
    <row r="5665" spans="6:8" x14ac:dyDescent="0.35">
      <c r="F5665" s="1"/>
      <c r="H5665" t="s">
        <v>26</v>
      </c>
    </row>
    <row r="5666" spans="6:8" x14ac:dyDescent="0.35">
      <c r="F5666" s="1"/>
      <c r="H5666" t="s">
        <v>26</v>
      </c>
    </row>
    <row r="5667" spans="6:8" x14ac:dyDescent="0.35">
      <c r="F5667" s="1"/>
      <c r="H5667" t="s">
        <v>26</v>
      </c>
    </row>
    <row r="5668" spans="6:8" x14ac:dyDescent="0.35">
      <c r="F5668" s="1"/>
      <c r="H5668" t="s">
        <v>26</v>
      </c>
    </row>
    <row r="5669" spans="6:8" x14ac:dyDescent="0.35">
      <c r="F5669" s="1"/>
      <c r="H5669" t="s">
        <v>26</v>
      </c>
    </row>
    <row r="5670" spans="6:8" x14ac:dyDescent="0.35">
      <c r="F5670" s="1"/>
      <c r="H5670" t="s">
        <v>26</v>
      </c>
    </row>
    <row r="5671" spans="6:8" x14ac:dyDescent="0.35">
      <c r="F5671" s="1"/>
      <c r="H5671" t="s">
        <v>26</v>
      </c>
    </row>
    <row r="5672" spans="6:8" x14ac:dyDescent="0.35">
      <c r="F5672" s="1"/>
      <c r="H5672" t="s">
        <v>26</v>
      </c>
    </row>
    <row r="5673" spans="6:8" x14ac:dyDescent="0.35">
      <c r="F5673" s="1"/>
      <c r="H5673" t="s">
        <v>26</v>
      </c>
    </row>
    <row r="5674" spans="6:8" x14ac:dyDescent="0.35">
      <c r="F5674" s="1"/>
      <c r="H5674" t="s">
        <v>26</v>
      </c>
    </row>
    <row r="5675" spans="6:8" x14ac:dyDescent="0.35">
      <c r="F5675" s="1"/>
      <c r="H5675" t="s">
        <v>26</v>
      </c>
    </row>
    <row r="5676" spans="6:8" x14ac:dyDescent="0.35">
      <c r="F5676" s="1"/>
      <c r="H5676" t="s">
        <v>26</v>
      </c>
    </row>
    <row r="5677" spans="6:8" x14ac:dyDescent="0.35">
      <c r="F5677" s="1"/>
      <c r="H5677" t="s">
        <v>26</v>
      </c>
    </row>
    <row r="5678" spans="6:8" x14ac:dyDescent="0.35">
      <c r="F5678" s="1"/>
      <c r="H5678" t="s">
        <v>26</v>
      </c>
    </row>
    <row r="5679" spans="6:8" x14ac:dyDescent="0.35">
      <c r="F5679" s="1"/>
      <c r="H5679" t="s">
        <v>26</v>
      </c>
    </row>
    <row r="5680" spans="6:8" x14ac:dyDescent="0.35">
      <c r="F5680" s="1"/>
      <c r="H5680" t="s">
        <v>26</v>
      </c>
    </row>
    <row r="5681" spans="6:8" x14ac:dyDescent="0.35">
      <c r="F5681" s="1"/>
      <c r="H5681" t="s">
        <v>26</v>
      </c>
    </row>
    <row r="5682" spans="6:8" x14ac:dyDescent="0.35">
      <c r="F5682" s="1"/>
      <c r="H5682" t="s">
        <v>26</v>
      </c>
    </row>
    <row r="5683" spans="6:8" x14ac:dyDescent="0.35">
      <c r="F5683" s="1"/>
      <c r="H5683" t="s">
        <v>26</v>
      </c>
    </row>
    <row r="5684" spans="6:8" x14ac:dyDescent="0.35">
      <c r="F5684" s="1"/>
      <c r="H5684" t="s">
        <v>26</v>
      </c>
    </row>
    <row r="5685" spans="6:8" x14ac:dyDescent="0.35">
      <c r="F5685" s="1"/>
      <c r="H5685" t="s">
        <v>26</v>
      </c>
    </row>
    <row r="5686" spans="6:8" x14ac:dyDescent="0.35">
      <c r="F5686" s="1"/>
      <c r="H5686" t="s">
        <v>26</v>
      </c>
    </row>
    <row r="5687" spans="6:8" x14ac:dyDescent="0.35">
      <c r="F5687" s="1"/>
      <c r="H5687" t="s">
        <v>26</v>
      </c>
    </row>
    <row r="5688" spans="6:8" x14ac:dyDescent="0.35">
      <c r="F5688" s="1"/>
      <c r="H5688" t="s">
        <v>26</v>
      </c>
    </row>
    <row r="5689" spans="6:8" x14ac:dyDescent="0.35">
      <c r="F5689" s="1"/>
      <c r="H5689" t="s">
        <v>26</v>
      </c>
    </row>
    <row r="5690" spans="6:8" x14ac:dyDescent="0.35">
      <c r="F5690" s="1"/>
      <c r="H5690" t="s">
        <v>26</v>
      </c>
    </row>
    <row r="5691" spans="6:8" x14ac:dyDescent="0.35">
      <c r="F5691" s="1"/>
      <c r="H5691" t="s">
        <v>26</v>
      </c>
    </row>
    <row r="5692" spans="6:8" x14ac:dyDescent="0.35">
      <c r="F5692" s="1"/>
      <c r="H5692" t="s">
        <v>26</v>
      </c>
    </row>
    <row r="5693" spans="6:8" x14ac:dyDescent="0.35">
      <c r="F5693" s="1"/>
      <c r="H5693" t="s">
        <v>26</v>
      </c>
    </row>
    <row r="5694" spans="6:8" x14ac:dyDescent="0.35">
      <c r="F5694" s="1"/>
      <c r="H5694" t="s">
        <v>26</v>
      </c>
    </row>
    <row r="5695" spans="6:8" x14ac:dyDescent="0.35">
      <c r="F5695" s="1"/>
      <c r="H5695" t="s">
        <v>26</v>
      </c>
    </row>
    <row r="5696" spans="6:8" x14ac:dyDescent="0.35">
      <c r="F5696" s="1"/>
      <c r="H5696" t="s">
        <v>26</v>
      </c>
    </row>
    <row r="5697" spans="6:8" x14ac:dyDescent="0.35">
      <c r="F5697" s="1"/>
      <c r="H5697" t="s">
        <v>26</v>
      </c>
    </row>
    <row r="5698" spans="6:8" x14ac:dyDescent="0.35">
      <c r="F5698" s="1"/>
      <c r="H5698" t="s">
        <v>26</v>
      </c>
    </row>
    <row r="5699" spans="6:8" x14ac:dyDescent="0.35">
      <c r="F5699" s="1"/>
      <c r="H5699" t="s">
        <v>26</v>
      </c>
    </row>
    <row r="5700" spans="6:8" x14ac:dyDescent="0.35">
      <c r="F5700" s="1"/>
      <c r="H5700" t="s">
        <v>26</v>
      </c>
    </row>
    <row r="5701" spans="6:8" x14ac:dyDescent="0.35">
      <c r="F5701" s="1"/>
      <c r="H5701" t="s">
        <v>26</v>
      </c>
    </row>
    <row r="5702" spans="6:8" x14ac:dyDescent="0.35">
      <c r="F5702" s="1"/>
      <c r="H5702" t="s">
        <v>26</v>
      </c>
    </row>
    <row r="5703" spans="6:8" x14ac:dyDescent="0.35">
      <c r="F5703" s="1"/>
      <c r="H5703" t="s">
        <v>26</v>
      </c>
    </row>
    <row r="5704" spans="6:8" x14ac:dyDescent="0.35">
      <c r="F5704" s="1"/>
      <c r="H5704" t="s">
        <v>26</v>
      </c>
    </row>
    <row r="5705" spans="6:8" x14ac:dyDescent="0.35">
      <c r="F5705" s="1"/>
      <c r="H5705" t="s">
        <v>26</v>
      </c>
    </row>
    <row r="5706" spans="6:8" x14ac:dyDescent="0.35">
      <c r="F5706" s="1"/>
      <c r="H5706" t="s">
        <v>26</v>
      </c>
    </row>
    <row r="5707" spans="6:8" x14ac:dyDescent="0.35">
      <c r="F5707" s="1"/>
      <c r="H5707" t="s">
        <v>26</v>
      </c>
    </row>
    <row r="5708" spans="6:8" x14ac:dyDescent="0.35">
      <c r="F5708" s="1"/>
      <c r="H5708" t="s">
        <v>26</v>
      </c>
    </row>
    <row r="5709" spans="6:8" x14ac:dyDescent="0.35">
      <c r="F5709" s="1"/>
      <c r="H5709" t="s">
        <v>26</v>
      </c>
    </row>
    <row r="5710" spans="6:8" x14ac:dyDescent="0.35">
      <c r="F5710" s="1"/>
      <c r="H5710" t="s">
        <v>26</v>
      </c>
    </row>
    <row r="5711" spans="6:8" x14ac:dyDescent="0.35">
      <c r="F5711" s="1"/>
      <c r="H5711" t="s">
        <v>26</v>
      </c>
    </row>
    <row r="5712" spans="6:8" x14ac:dyDescent="0.35">
      <c r="F5712" s="1"/>
      <c r="H5712" t="s">
        <v>26</v>
      </c>
    </row>
    <row r="5713" spans="6:8" x14ac:dyDescent="0.35">
      <c r="F5713" s="1"/>
      <c r="H5713" t="s">
        <v>26</v>
      </c>
    </row>
    <row r="5714" spans="6:8" x14ac:dyDescent="0.35">
      <c r="F5714" s="1"/>
      <c r="H5714" t="s">
        <v>26</v>
      </c>
    </row>
    <row r="5715" spans="6:8" x14ac:dyDescent="0.35">
      <c r="F5715" s="1"/>
      <c r="H5715" t="s">
        <v>26</v>
      </c>
    </row>
    <row r="5716" spans="6:8" x14ac:dyDescent="0.35">
      <c r="F5716" s="1"/>
      <c r="H5716" t="s">
        <v>26</v>
      </c>
    </row>
    <row r="5717" spans="6:8" x14ac:dyDescent="0.35">
      <c r="F5717" s="1"/>
      <c r="H5717" t="s">
        <v>26</v>
      </c>
    </row>
    <row r="5718" spans="6:8" x14ac:dyDescent="0.35">
      <c r="F5718" s="1"/>
      <c r="H5718" t="s">
        <v>26</v>
      </c>
    </row>
    <row r="5719" spans="6:8" x14ac:dyDescent="0.35">
      <c r="F5719" s="1"/>
      <c r="H5719" t="s">
        <v>26</v>
      </c>
    </row>
    <row r="5720" spans="6:8" x14ac:dyDescent="0.35">
      <c r="F5720" s="1"/>
      <c r="H5720" t="s">
        <v>26</v>
      </c>
    </row>
    <row r="5721" spans="6:8" x14ac:dyDescent="0.35">
      <c r="F5721" s="1"/>
      <c r="H5721" t="s">
        <v>26</v>
      </c>
    </row>
    <row r="5722" spans="6:8" x14ac:dyDescent="0.35">
      <c r="F5722" s="1"/>
      <c r="H5722" t="s">
        <v>26</v>
      </c>
    </row>
    <row r="5723" spans="6:8" x14ac:dyDescent="0.35">
      <c r="F5723" s="1"/>
      <c r="H5723" t="s">
        <v>26</v>
      </c>
    </row>
    <row r="5724" spans="6:8" x14ac:dyDescent="0.35">
      <c r="F5724" s="1"/>
      <c r="H5724" t="s">
        <v>26</v>
      </c>
    </row>
    <row r="5725" spans="6:8" x14ac:dyDescent="0.35">
      <c r="F5725" s="1"/>
      <c r="H5725" t="s">
        <v>26</v>
      </c>
    </row>
    <row r="5726" spans="6:8" x14ac:dyDescent="0.35">
      <c r="F5726" s="1"/>
      <c r="H5726" t="s">
        <v>26</v>
      </c>
    </row>
    <row r="5727" spans="6:8" x14ac:dyDescent="0.35">
      <c r="F5727" s="1"/>
      <c r="H5727" t="s">
        <v>26</v>
      </c>
    </row>
    <row r="5728" spans="6:8" x14ac:dyDescent="0.35">
      <c r="F5728" s="1"/>
      <c r="H5728" t="s">
        <v>26</v>
      </c>
    </row>
    <row r="5729" spans="6:8" x14ac:dyDescent="0.35">
      <c r="F5729" s="1"/>
      <c r="H5729" t="s">
        <v>26</v>
      </c>
    </row>
    <row r="5730" spans="6:8" x14ac:dyDescent="0.35">
      <c r="F5730" s="1"/>
      <c r="H5730" t="s">
        <v>26</v>
      </c>
    </row>
    <row r="5731" spans="6:8" x14ac:dyDescent="0.35">
      <c r="F5731" s="1"/>
      <c r="H5731" t="s">
        <v>26</v>
      </c>
    </row>
    <row r="5732" spans="6:8" x14ac:dyDescent="0.35">
      <c r="F5732" s="1"/>
      <c r="H5732" t="s">
        <v>26</v>
      </c>
    </row>
    <row r="5733" spans="6:8" x14ac:dyDescent="0.35">
      <c r="F5733" s="1"/>
      <c r="H5733" t="s">
        <v>26</v>
      </c>
    </row>
    <row r="5734" spans="6:8" x14ac:dyDescent="0.35">
      <c r="F5734" s="1"/>
      <c r="H5734" t="s">
        <v>26</v>
      </c>
    </row>
    <row r="5735" spans="6:8" x14ac:dyDescent="0.35">
      <c r="F5735" s="1"/>
      <c r="H5735" t="s">
        <v>26</v>
      </c>
    </row>
    <row r="5736" spans="6:8" x14ac:dyDescent="0.35">
      <c r="F5736" s="1"/>
      <c r="H5736" t="s">
        <v>26</v>
      </c>
    </row>
    <row r="5737" spans="6:8" x14ac:dyDescent="0.35">
      <c r="F5737" s="1"/>
      <c r="H5737" t="s">
        <v>26</v>
      </c>
    </row>
    <row r="5738" spans="6:8" x14ac:dyDescent="0.35">
      <c r="F5738" s="1"/>
      <c r="H5738" t="s">
        <v>26</v>
      </c>
    </row>
    <row r="5739" spans="6:8" x14ac:dyDescent="0.35">
      <c r="F5739" s="1"/>
      <c r="H5739" t="s">
        <v>26</v>
      </c>
    </row>
    <row r="5740" spans="6:8" x14ac:dyDescent="0.35">
      <c r="F5740" s="1"/>
      <c r="H5740" t="s">
        <v>26</v>
      </c>
    </row>
    <row r="5741" spans="6:8" x14ac:dyDescent="0.35">
      <c r="F5741" s="1"/>
      <c r="H5741" t="s">
        <v>26</v>
      </c>
    </row>
    <row r="5742" spans="6:8" x14ac:dyDescent="0.35">
      <c r="F5742" s="1"/>
      <c r="H5742" t="s">
        <v>26</v>
      </c>
    </row>
    <row r="5743" spans="6:8" x14ac:dyDescent="0.35">
      <c r="F5743" s="1"/>
      <c r="H5743" t="s">
        <v>26</v>
      </c>
    </row>
    <row r="5744" spans="6:8" x14ac:dyDescent="0.35">
      <c r="F5744" s="1"/>
      <c r="H5744" t="s">
        <v>26</v>
      </c>
    </row>
    <row r="5745" spans="6:8" x14ac:dyDescent="0.35">
      <c r="F5745" s="1"/>
      <c r="H5745" t="s">
        <v>26</v>
      </c>
    </row>
    <row r="5746" spans="6:8" x14ac:dyDescent="0.35">
      <c r="F5746" s="1"/>
      <c r="H5746" t="s">
        <v>26</v>
      </c>
    </row>
    <row r="5747" spans="6:8" x14ac:dyDescent="0.35">
      <c r="F5747" s="1"/>
      <c r="H5747" t="s">
        <v>26</v>
      </c>
    </row>
    <row r="5748" spans="6:8" x14ac:dyDescent="0.35">
      <c r="F5748" s="1"/>
      <c r="H5748" t="s">
        <v>26</v>
      </c>
    </row>
    <row r="5749" spans="6:8" x14ac:dyDescent="0.35">
      <c r="F5749" s="1"/>
      <c r="H5749" t="s">
        <v>26</v>
      </c>
    </row>
    <row r="5750" spans="6:8" x14ac:dyDescent="0.35">
      <c r="F5750" s="1"/>
      <c r="H5750" t="s">
        <v>26</v>
      </c>
    </row>
    <row r="5751" spans="6:8" x14ac:dyDescent="0.35">
      <c r="F5751" s="1"/>
      <c r="H5751" t="s">
        <v>26</v>
      </c>
    </row>
    <row r="5752" spans="6:8" x14ac:dyDescent="0.35">
      <c r="F5752" s="1"/>
      <c r="H5752" t="s">
        <v>26</v>
      </c>
    </row>
    <row r="5753" spans="6:8" x14ac:dyDescent="0.35">
      <c r="F5753" s="1"/>
      <c r="H5753" t="s">
        <v>26</v>
      </c>
    </row>
    <row r="5754" spans="6:8" x14ac:dyDescent="0.35">
      <c r="F5754" s="1"/>
      <c r="H5754" t="s">
        <v>26</v>
      </c>
    </row>
    <row r="5755" spans="6:8" x14ac:dyDescent="0.35">
      <c r="F5755" s="1"/>
      <c r="H5755" t="s">
        <v>26</v>
      </c>
    </row>
    <row r="5756" spans="6:8" x14ac:dyDescent="0.35">
      <c r="F5756" s="1"/>
      <c r="H5756" t="s">
        <v>26</v>
      </c>
    </row>
    <row r="5757" spans="6:8" x14ac:dyDescent="0.35">
      <c r="F5757" s="1"/>
      <c r="H5757" t="s">
        <v>26</v>
      </c>
    </row>
    <row r="5758" spans="6:8" x14ac:dyDescent="0.35">
      <c r="F5758" s="1"/>
      <c r="H5758" t="s">
        <v>26</v>
      </c>
    </row>
    <row r="5759" spans="6:8" x14ac:dyDescent="0.35">
      <c r="F5759" s="1"/>
      <c r="H5759" t="s">
        <v>26</v>
      </c>
    </row>
    <row r="5760" spans="6:8" x14ac:dyDescent="0.35">
      <c r="F5760" s="1"/>
      <c r="H5760" t="s">
        <v>26</v>
      </c>
    </row>
    <row r="5761" spans="6:8" x14ac:dyDescent="0.35">
      <c r="F5761" s="1"/>
      <c r="H5761" t="s">
        <v>26</v>
      </c>
    </row>
    <row r="5762" spans="6:8" x14ac:dyDescent="0.35">
      <c r="F5762" s="1"/>
      <c r="H5762" t="s">
        <v>26</v>
      </c>
    </row>
    <row r="5763" spans="6:8" x14ac:dyDescent="0.35">
      <c r="F5763" s="1"/>
      <c r="H5763" t="s">
        <v>26</v>
      </c>
    </row>
    <row r="5764" spans="6:8" x14ac:dyDescent="0.35">
      <c r="F5764" s="1"/>
      <c r="H5764" t="s">
        <v>26</v>
      </c>
    </row>
    <row r="5765" spans="6:8" x14ac:dyDescent="0.35">
      <c r="F5765" s="1"/>
      <c r="H5765" t="s">
        <v>26</v>
      </c>
    </row>
    <row r="5766" spans="6:8" x14ac:dyDescent="0.35">
      <c r="F5766" s="1"/>
      <c r="H5766" t="s">
        <v>26</v>
      </c>
    </row>
    <row r="5767" spans="6:8" x14ac:dyDescent="0.35">
      <c r="F5767" s="1"/>
      <c r="H5767" t="s">
        <v>26</v>
      </c>
    </row>
    <row r="5768" spans="6:8" x14ac:dyDescent="0.35">
      <c r="F5768" s="1"/>
      <c r="H5768" t="s">
        <v>26</v>
      </c>
    </row>
    <row r="5769" spans="6:8" x14ac:dyDescent="0.35">
      <c r="F5769" s="1"/>
      <c r="H5769" t="s">
        <v>26</v>
      </c>
    </row>
    <row r="5770" spans="6:8" x14ac:dyDescent="0.35">
      <c r="F5770" s="1"/>
      <c r="H5770" t="s">
        <v>26</v>
      </c>
    </row>
    <row r="5771" spans="6:8" x14ac:dyDescent="0.35">
      <c r="F5771" s="1"/>
      <c r="H5771" t="s">
        <v>26</v>
      </c>
    </row>
    <row r="5772" spans="6:8" x14ac:dyDescent="0.35">
      <c r="F5772" s="1"/>
      <c r="H5772" t="s">
        <v>26</v>
      </c>
    </row>
    <row r="5773" spans="6:8" x14ac:dyDescent="0.35">
      <c r="F5773" s="1"/>
      <c r="H5773" t="s">
        <v>26</v>
      </c>
    </row>
    <row r="5774" spans="6:8" x14ac:dyDescent="0.35">
      <c r="F5774" s="1"/>
      <c r="H5774" t="s">
        <v>26</v>
      </c>
    </row>
    <row r="5775" spans="6:8" x14ac:dyDescent="0.35">
      <c r="F5775" s="1"/>
      <c r="H5775" t="s">
        <v>26</v>
      </c>
    </row>
    <row r="5776" spans="6:8" x14ac:dyDescent="0.35">
      <c r="F5776" s="1"/>
      <c r="H5776" t="s">
        <v>26</v>
      </c>
    </row>
    <row r="5777" spans="6:8" x14ac:dyDescent="0.35">
      <c r="F5777" s="1"/>
      <c r="H5777" t="s">
        <v>26</v>
      </c>
    </row>
    <row r="5778" spans="6:8" x14ac:dyDescent="0.35">
      <c r="F5778" s="1"/>
      <c r="H5778" t="s">
        <v>26</v>
      </c>
    </row>
    <row r="5779" spans="6:8" x14ac:dyDescent="0.35">
      <c r="F5779" s="1"/>
      <c r="H5779" t="s">
        <v>26</v>
      </c>
    </row>
    <row r="5780" spans="6:8" x14ac:dyDescent="0.35">
      <c r="F5780" s="1"/>
      <c r="H5780" t="s">
        <v>26</v>
      </c>
    </row>
    <row r="5781" spans="6:8" x14ac:dyDescent="0.35">
      <c r="F5781" s="1"/>
      <c r="H5781" t="s">
        <v>26</v>
      </c>
    </row>
    <row r="5782" spans="6:8" x14ac:dyDescent="0.35">
      <c r="F5782" s="1"/>
      <c r="H5782" t="s">
        <v>26</v>
      </c>
    </row>
    <row r="5783" spans="6:8" x14ac:dyDescent="0.35">
      <c r="F5783" s="1"/>
      <c r="H5783" t="s">
        <v>26</v>
      </c>
    </row>
    <row r="5784" spans="6:8" x14ac:dyDescent="0.35">
      <c r="F5784" s="1"/>
      <c r="H5784" t="s">
        <v>26</v>
      </c>
    </row>
    <row r="5785" spans="6:8" x14ac:dyDescent="0.35">
      <c r="F5785" s="1"/>
      <c r="H5785" t="s">
        <v>26</v>
      </c>
    </row>
    <row r="5786" spans="6:8" x14ac:dyDescent="0.35">
      <c r="F5786" s="1"/>
      <c r="H5786" t="s">
        <v>26</v>
      </c>
    </row>
    <row r="5787" spans="6:8" x14ac:dyDescent="0.35">
      <c r="F5787" s="1"/>
      <c r="H5787" t="s">
        <v>26</v>
      </c>
    </row>
    <row r="5788" spans="6:8" x14ac:dyDescent="0.35">
      <c r="F5788" s="1"/>
      <c r="H5788" t="s">
        <v>26</v>
      </c>
    </row>
    <row r="5789" spans="6:8" x14ac:dyDescent="0.35">
      <c r="F5789" s="1"/>
      <c r="H5789" t="s">
        <v>26</v>
      </c>
    </row>
    <row r="5790" spans="6:8" x14ac:dyDescent="0.35">
      <c r="F5790" s="1"/>
      <c r="H5790" t="s">
        <v>26</v>
      </c>
    </row>
    <row r="5791" spans="6:8" x14ac:dyDescent="0.35">
      <c r="F5791" s="1"/>
      <c r="H5791" t="s">
        <v>26</v>
      </c>
    </row>
    <row r="5792" spans="6:8" x14ac:dyDescent="0.35">
      <c r="F5792" s="1"/>
      <c r="H5792" t="s">
        <v>26</v>
      </c>
    </row>
    <row r="5793" spans="6:8" x14ac:dyDescent="0.35">
      <c r="F5793" s="1"/>
      <c r="H5793" t="s">
        <v>26</v>
      </c>
    </row>
    <row r="5794" spans="6:8" x14ac:dyDescent="0.35">
      <c r="F5794" s="1"/>
      <c r="H5794" t="s">
        <v>26</v>
      </c>
    </row>
    <row r="5795" spans="6:8" x14ac:dyDescent="0.35">
      <c r="F5795" s="1"/>
      <c r="H5795" t="s">
        <v>26</v>
      </c>
    </row>
    <row r="5796" spans="6:8" x14ac:dyDescent="0.35">
      <c r="F5796" s="1"/>
      <c r="H5796" t="s">
        <v>26</v>
      </c>
    </row>
    <row r="5797" spans="6:8" x14ac:dyDescent="0.35">
      <c r="F5797" s="1"/>
      <c r="H5797" t="s">
        <v>26</v>
      </c>
    </row>
    <row r="5798" spans="6:8" x14ac:dyDescent="0.35">
      <c r="F5798" s="1"/>
      <c r="H5798" t="s">
        <v>26</v>
      </c>
    </row>
    <row r="5799" spans="6:8" x14ac:dyDescent="0.35">
      <c r="F5799" s="1"/>
      <c r="H5799" t="s">
        <v>26</v>
      </c>
    </row>
    <row r="5800" spans="6:8" x14ac:dyDescent="0.35">
      <c r="F5800" s="1"/>
      <c r="H5800" t="s">
        <v>26</v>
      </c>
    </row>
    <row r="5801" spans="6:8" x14ac:dyDescent="0.35">
      <c r="F5801" s="1"/>
      <c r="H5801" t="s">
        <v>26</v>
      </c>
    </row>
    <row r="5802" spans="6:8" x14ac:dyDescent="0.35">
      <c r="F5802" s="1"/>
      <c r="H5802" t="s">
        <v>26</v>
      </c>
    </row>
    <row r="5803" spans="6:8" x14ac:dyDescent="0.35">
      <c r="F5803" s="1"/>
      <c r="H5803" t="s">
        <v>26</v>
      </c>
    </row>
    <row r="5804" spans="6:8" x14ac:dyDescent="0.35">
      <c r="F5804" s="1"/>
      <c r="H5804" t="s">
        <v>26</v>
      </c>
    </row>
    <row r="5805" spans="6:8" x14ac:dyDescent="0.35">
      <c r="F5805" s="1"/>
      <c r="H5805" t="s">
        <v>26</v>
      </c>
    </row>
    <row r="5806" spans="6:8" x14ac:dyDescent="0.35">
      <c r="F5806" s="1"/>
      <c r="H5806" t="s">
        <v>26</v>
      </c>
    </row>
    <row r="5807" spans="6:8" x14ac:dyDescent="0.35">
      <c r="F5807" s="1"/>
      <c r="H5807" t="s">
        <v>26</v>
      </c>
    </row>
    <row r="5808" spans="6:8" x14ac:dyDescent="0.35">
      <c r="F5808" s="1"/>
      <c r="H5808" t="s">
        <v>26</v>
      </c>
    </row>
    <row r="5809" spans="6:8" x14ac:dyDescent="0.35">
      <c r="F5809" s="1"/>
      <c r="H5809" t="s">
        <v>26</v>
      </c>
    </row>
    <row r="5810" spans="6:8" x14ac:dyDescent="0.35">
      <c r="F5810" s="1"/>
      <c r="H5810" t="s">
        <v>26</v>
      </c>
    </row>
    <row r="5811" spans="6:8" x14ac:dyDescent="0.35">
      <c r="F5811" s="1"/>
      <c r="H5811" t="s">
        <v>26</v>
      </c>
    </row>
    <row r="5812" spans="6:8" x14ac:dyDescent="0.35">
      <c r="F5812" s="1"/>
      <c r="H5812" t="s">
        <v>26</v>
      </c>
    </row>
    <row r="5813" spans="6:8" x14ac:dyDescent="0.35">
      <c r="F5813" s="1"/>
      <c r="H5813" t="s">
        <v>26</v>
      </c>
    </row>
    <row r="5814" spans="6:8" x14ac:dyDescent="0.35">
      <c r="F5814" s="1"/>
      <c r="H5814" t="s">
        <v>26</v>
      </c>
    </row>
    <row r="5815" spans="6:8" x14ac:dyDescent="0.35">
      <c r="F5815" s="1"/>
      <c r="H5815" t="s">
        <v>26</v>
      </c>
    </row>
    <row r="5816" spans="6:8" x14ac:dyDescent="0.35">
      <c r="F5816" s="1"/>
      <c r="H5816" t="s">
        <v>26</v>
      </c>
    </row>
    <row r="5817" spans="6:8" x14ac:dyDescent="0.35">
      <c r="F5817" s="1"/>
      <c r="H5817" t="s">
        <v>26</v>
      </c>
    </row>
    <row r="5818" spans="6:8" x14ac:dyDescent="0.35">
      <c r="F5818" s="1"/>
      <c r="H5818" t="s">
        <v>26</v>
      </c>
    </row>
    <row r="5819" spans="6:8" x14ac:dyDescent="0.35">
      <c r="F5819" s="1"/>
      <c r="H5819" t="s">
        <v>26</v>
      </c>
    </row>
    <row r="5820" spans="6:8" x14ac:dyDescent="0.35">
      <c r="F5820" s="1"/>
      <c r="H5820" t="s">
        <v>26</v>
      </c>
    </row>
    <row r="5821" spans="6:8" x14ac:dyDescent="0.35">
      <c r="F5821" s="1"/>
      <c r="H5821" t="s">
        <v>26</v>
      </c>
    </row>
    <row r="5822" spans="6:8" x14ac:dyDescent="0.35">
      <c r="F5822" s="1"/>
      <c r="H5822" t="s">
        <v>26</v>
      </c>
    </row>
    <row r="5823" spans="6:8" x14ac:dyDescent="0.35">
      <c r="F5823" s="1"/>
      <c r="H5823" t="s">
        <v>26</v>
      </c>
    </row>
    <row r="5824" spans="6:8" x14ac:dyDescent="0.35">
      <c r="F5824" s="1"/>
      <c r="H5824" t="s">
        <v>26</v>
      </c>
    </row>
    <row r="5825" spans="6:8" x14ac:dyDescent="0.35">
      <c r="F5825" s="1"/>
      <c r="H5825" t="s">
        <v>26</v>
      </c>
    </row>
    <row r="5826" spans="6:8" x14ac:dyDescent="0.35">
      <c r="F5826" s="1"/>
      <c r="H5826" t="s">
        <v>26</v>
      </c>
    </row>
    <row r="5827" spans="6:8" x14ac:dyDescent="0.35">
      <c r="F5827" s="1"/>
      <c r="H5827" t="s">
        <v>26</v>
      </c>
    </row>
    <row r="5828" spans="6:8" x14ac:dyDescent="0.35">
      <c r="F5828" s="1"/>
      <c r="H5828" t="s">
        <v>26</v>
      </c>
    </row>
    <row r="5829" spans="6:8" x14ac:dyDescent="0.35">
      <c r="F5829" s="1"/>
      <c r="H5829" t="s">
        <v>26</v>
      </c>
    </row>
    <row r="5830" spans="6:8" x14ac:dyDescent="0.35">
      <c r="F5830" s="1"/>
      <c r="H5830" t="s">
        <v>26</v>
      </c>
    </row>
    <row r="5831" spans="6:8" x14ac:dyDescent="0.35">
      <c r="F5831" s="1"/>
      <c r="H5831" t="s">
        <v>26</v>
      </c>
    </row>
    <row r="5832" spans="6:8" x14ac:dyDescent="0.35">
      <c r="F5832" s="1"/>
      <c r="H5832" t="s">
        <v>26</v>
      </c>
    </row>
    <row r="5833" spans="6:8" x14ac:dyDescent="0.35">
      <c r="F5833" s="1"/>
      <c r="H5833" t="s">
        <v>26</v>
      </c>
    </row>
    <row r="5834" spans="6:8" x14ac:dyDescent="0.35">
      <c r="F5834" s="1"/>
      <c r="H5834" t="s">
        <v>26</v>
      </c>
    </row>
    <row r="5835" spans="6:8" x14ac:dyDescent="0.35">
      <c r="F5835" s="1"/>
      <c r="H5835" t="s">
        <v>26</v>
      </c>
    </row>
    <row r="5836" spans="6:8" x14ac:dyDescent="0.35">
      <c r="F5836" s="1"/>
      <c r="H5836" t="s">
        <v>26</v>
      </c>
    </row>
    <row r="5837" spans="6:8" x14ac:dyDescent="0.35">
      <c r="F5837" s="1"/>
      <c r="H5837" t="s">
        <v>26</v>
      </c>
    </row>
    <row r="5838" spans="6:8" x14ac:dyDescent="0.35">
      <c r="F5838" s="1"/>
      <c r="H5838" t="s">
        <v>26</v>
      </c>
    </row>
    <row r="5839" spans="6:8" x14ac:dyDescent="0.35">
      <c r="F5839" s="1"/>
      <c r="H5839" t="s">
        <v>26</v>
      </c>
    </row>
    <row r="5840" spans="6:8" x14ac:dyDescent="0.35">
      <c r="F5840" s="1"/>
      <c r="H5840" t="s">
        <v>26</v>
      </c>
    </row>
    <row r="5841" spans="6:8" x14ac:dyDescent="0.35">
      <c r="F5841" s="1"/>
      <c r="H5841" t="s">
        <v>26</v>
      </c>
    </row>
    <row r="5842" spans="6:8" x14ac:dyDescent="0.35">
      <c r="F5842" s="1"/>
      <c r="H5842" t="s">
        <v>26</v>
      </c>
    </row>
    <row r="5843" spans="6:8" x14ac:dyDescent="0.35">
      <c r="F5843" s="1"/>
      <c r="H5843" t="s">
        <v>26</v>
      </c>
    </row>
    <row r="5844" spans="6:8" x14ac:dyDescent="0.35">
      <c r="F5844" s="1"/>
      <c r="H5844" t="s">
        <v>26</v>
      </c>
    </row>
    <row r="5845" spans="6:8" x14ac:dyDescent="0.35">
      <c r="F5845" s="1"/>
      <c r="H5845" t="s">
        <v>26</v>
      </c>
    </row>
    <row r="5846" spans="6:8" x14ac:dyDescent="0.35">
      <c r="F5846" s="1"/>
      <c r="H5846" t="s">
        <v>26</v>
      </c>
    </row>
    <row r="5847" spans="6:8" x14ac:dyDescent="0.35">
      <c r="F5847" s="1"/>
      <c r="H5847" t="s">
        <v>26</v>
      </c>
    </row>
    <row r="5848" spans="6:8" x14ac:dyDescent="0.35">
      <c r="F5848" s="1"/>
      <c r="H5848" t="s">
        <v>26</v>
      </c>
    </row>
    <row r="5849" spans="6:8" x14ac:dyDescent="0.35">
      <c r="F5849" s="1"/>
      <c r="H5849" t="s">
        <v>26</v>
      </c>
    </row>
    <row r="5850" spans="6:8" x14ac:dyDescent="0.35">
      <c r="F5850" s="1"/>
      <c r="H5850" t="s">
        <v>26</v>
      </c>
    </row>
    <row r="5851" spans="6:8" x14ac:dyDescent="0.35">
      <c r="F5851" s="1"/>
      <c r="H5851" t="s">
        <v>26</v>
      </c>
    </row>
    <row r="5852" spans="6:8" x14ac:dyDescent="0.35">
      <c r="F5852" s="1"/>
      <c r="H5852" t="s">
        <v>26</v>
      </c>
    </row>
    <row r="5853" spans="6:8" x14ac:dyDescent="0.35">
      <c r="F5853" s="1"/>
      <c r="H5853" t="s">
        <v>26</v>
      </c>
    </row>
    <row r="5854" spans="6:8" x14ac:dyDescent="0.35">
      <c r="F5854" s="1"/>
      <c r="H5854" t="s">
        <v>26</v>
      </c>
    </row>
    <row r="5855" spans="6:8" x14ac:dyDescent="0.35">
      <c r="F5855" s="1"/>
      <c r="H5855" t="s">
        <v>26</v>
      </c>
    </row>
    <row r="5856" spans="6:8" x14ac:dyDescent="0.35">
      <c r="F5856" s="1"/>
      <c r="H5856" t="s">
        <v>26</v>
      </c>
    </row>
    <row r="5857" spans="6:8" x14ac:dyDescent="0.35">
      <c r="F5857" s="1"/>
      <c r="H5857" t="s">
        <v>26</v>
      </c>
    </row>
    <row r="5858" spans="6:8" x14ac:dyDescent="0.35">
      <c r="F5858" s="1"/>
      <c r="H5858" t="s">
        <v>26</v>
      </c>
    </row>
    <row r="5859" spans="6:8" x14ac:dyDescent="0.35">
      <c r="F5859" s="1"/>
      <c r="H5859" t="s">
        <v>26</v>
      </c>
    </row>
    <row r="5860" spans="6:8" x14ac:dyDescent="0.35">
      <c r="F5860" s="1"/>
      <c r="H5860" t="s">
        <v>26</v>
      </c>
    </row>
    <row r="5861" spans="6:8" x14ac:dyDescent="0.35">
      <c r="F5861" s="1"/>
      <c r="H5861" t="s">
        <v>26</v>
      </c>
    </row>
    <row r="5862" spans="6:8" x14ac:dyDescent="0.35">
      <c r="F5862" s="1"/>
      <c r="H5862" t="s">
        <v>26</v>
      </c>
    </row>
    <row r="5863" spans="6:8" x14ac:dyDescent="0.35">
      <c r="F5863" s="1"/>
      <c r="H5863" t="s">
        <v>26</v>
      </c>
    </row>
    <row r="5864" spans="6:8" x14ac:dyDescent="0.35">
      <c r="F5864" s="1"/>
      <c r="H5864" t="s">
        <v>26</v>
      </c>
    </row>
    <row r="5865" spans="6:8" x14ac:dyDescent="0.35">
      <c r="F5865" s="1"/>
      <c r="H5865" t="s">
        <v>26</v>
      </c>
    </row>
    <row r="5866" spans="6:8" x14ac:dyDescent="0.35">
      <c r="F5866" s="1"/>
      <c r="H5866" t="s">
        <v>26</v>
      </c>
    </row>
    <row r="5867" spans="6:8" x14ac:dyDescent="0.35">
      <c r="F5867" s="1"/>
      <c r="H5867" t="s">
        <v>26</v>
      </c>
    </row>
    <row r="5868" spans="6:8" x14ac:dyDescent="0.35">
      <c r="F5868" s="1"/>
      <c r="H5868" t="s">
        <v>26</v>
      </c>
    </row>
    <row r="5869" spans="6:8" x14ac:dyDescent="0.35">
      <c r="F5869" s="1"/>
      <c r="H5869" t="s">
        <v>26</v>
      </c>
    </row>
    <row r="5870" spans="6:8" x14ac:dyDescent="0.35">
      <c r="F5870" s="1"/>
      <c r="H5870" t="s">
        <v>26</v>
      </c>
    </row>
    <row r="5871" spans="6:8" x14ac:dyDescent="0.35">
      <c r="F5871" s="1"/>
      <c r="H5871" t="s">
        <v>26</v>
      </c>
    </row>
    <row r="5872" spans="6:8" x14ac:dyDescent="0.35">
      <c r="F5872" s="1"/>
      <c r="H5872" t="s">
        <v>26</v>
      </c>
    </row>
    <row r="5873" spans="6:8" x14ac:dyDescent="0.35">
      <c r="F5873" s="1"/>
      <c r="H5873" t="s">
        <v>26</v>
      </c>
    </row>
    <row r="5874" spans="6:8" x14ac:dyDescent="0.35">
      <c r="F5874" s="1"/>
      <c r="H5874" t="s">
        <v>26</v>
      </c>
    </row>
    <row r="5875" spans="6:8" x14ac:dyDescent="0.35">
      <c r="F5875" s="1"/>
      <c r="H5875" t="s">
        <v>26</v>
      </c>
    </row>
    <row r="5876" spans="6:8" x14ac:dyDescent="0.35">
      <c r="F5876" s="1"/>
      <c r="H5876" t="s">
        <v>26</v>
      </c>
    </row>
    <row r="5877" spans="6:8" x14ac:dyDescent="0.35">
      <c r="F5877" s="1"/>
      <c r="H5877" t="s">
        <v>26</v>
      </c>
    </row>
    <row r="5878" spans="6:8" x14ac:dyDescent="0.35">
      <c r="F5878" s="1"/>
      <c r="H5878" t="s">
        <v>26</v>
      </c>
    </row>
    <row r="5879" spans="6:8" x14ac:dyDescent="0.35">
      <c r="F5879" s="1"/>
      <c r="H5879" t="s">
        <v>26</v>
      </c>
    </row>
    <row r="5880" spans="6:8" x14ac:dyDescent="0.35">
      <c r="F5880" s="1"/>
      <c r="H5880" t="s">
        <v>26</v>
      </c>
    </row>
    <row r="5881" spans="6:8" x14ac:dyDescent="0.35">
      <c r="F5881" s="1"/>
      <c r="H5881" t="s">
        <v>26</v>
      </c>
    </row>
    <row r="5882" spans="6:8" x14ac:dyDescent="0.35">
      <c r="F5882" s="1"/>
      <c r="H5882" t="s">
        <v>26</v>
      </c>
    </row>
    <row r="5883" spans="6:8" x14ac:dyDescent="0.35">
      <c r="F5883" s="1"/>
      <c r="H5883" t="s">
        <v>26</v>
      </c>
    </row>
    <row r="5884" spans="6:8" x14ac:dyDescent="0.35">
      <c r="F5884" s="1"/>
      <c r="H5884" t="s">
        <v>26</v>
      </c>
    </row>
    <row r="5885" spans="6:8" x14ac:dyDescent="0.35">
      <c r="F5885" s="1"/>
      <c r="H5885" t="s">
        <v>26</v>
      </c>
    </row>
    <row r="5886" spans="6:8" x14ac:dyDescent="0.35">
      <c r="F5886" s="1"/>
      <c r="H5886" t="s">
        <v>26</v>
      </c>
    </row>
    <row r="5887" spans="6:8" x14ac:dyDescent="0.35">
      <c r="F5887" s="1"/>
      <c r="H5887" t="s">
        <v>26</v>
      </c>
    </row>
    <row r="5888" spans="6:8" x14ac:dyDescent="0.35">
      <c r="F5888" s="1"/>
      <c r="H5888" t="s">
        <v>26</v>
      </c>
    </row>
    <row r="5889" spans="6:8" x14ac:dyDescent="0.35">
      <c r="F5889" s="1"/>
      <c r="H5889" t="s">
        <v>26</v>
      </c>
    </row>
    <row r="5890" spans="6:8" x14ac:dyDescent="0.35">
      <c r="F5890" s="1"/>
      <c r="H5890" t="s">
        <v>26</v>
      </c>
    </row>
    <row r="5891" spans="6:8" x14ac:dyDescent="0.35">
      <c r="F5891" s="1"/>
      <c r="H5891" t="s">
        <v>26</v>
      </c>
    </row>
    <row r="5892" spans="6:8" x14ac:dyDescent="0.35">
      <c r="F5892" s="1"/>
      <c r="H5892" t="s">
        <v>26</v>
      </c>
    </row>
    <row r="5893" spans="6:8" x14ac:dyDescent="0.35">
      <c r="F5893" s="1"/>
      <c r="H5893" t="s">
        <v>26</v>
      </c>
    </row>
    <row r="5894" spans="6:8" x14ac:dyDescent="0.35">
      <c r="F5894" s="1"/>
      <c r="H5894" t="s">
        <v>26</v>
      </c>
    </row>
    <row r="5895" spans="6:8" x14ac:dyDescent="0.35">
      <c r="F5895" s="1"/>
      <c r="H5895" t="s">
        <v>26</v>
      </c>
    </row>
    <row r="5896" spans="6:8" x14ac:dyDescent="0.35">
      <c r="F5896" s="1"/>
      <c r="H5896" t="s">
        <v>26</v>
      </c>
    </row>
    <row r="5897" spans="6:8" x14ac:dyDescent="0.35">
      <c r="F5897" s="1"/>
      <c r="H5897" t="s">
        <v>26</v>
      </c>
    </row>
    <row r="5898" spans="6:8" x14ac:dyDescent="0.35">
      <c r="F5898" s="1"/>
      <c r="H5898" t="s">
        <v>26</v>
      </c>
    </row>
    <row r="5899" spans="6:8" x14ac:dyDescent="0.35">
      <c r="F5899" s="1"/>
      <c r="H5899" t="s">
        <v>26</v>
      </c>
    </row>
    <row r="5900" spans="6:8" x14ac:dyDescent="0.35">
      <c r="F5900" s="1"/>
      <c r="H5900" t="s">
        <v>26</v>
      </c>
    </row>
    <row r="5901" spans="6:8" x14ac:dyDescent="0.35">
      <c r="F5901" s="1"/>
      <c r="H5901" t="s">
        <v>26</v>
      </c>
    </row>
    <row r="5902" spans="6:8" x14ac:dyDescent="0.35">
      <c r="F5902" s="1"/>
      <c r="H5902" t="s">
        <v>26</v>
      </c>
    </row>
    <row r="5903" spans="6:8" x14ac:dyDescent="0.35">
      <c r="F5903" s="1"/>
      <c r="H5903" t="s">
        <v>26</v>
      </c>
    </row>
    <row r="5904" spans="6:8" x14ac:dyDescent="0.35">
      <c r="F5904" s="1"/>
      <c r="H5904" t="s">
        <v>26</v>
      </c>
    </row>
    <row r="5905" spans="6:8" x14ac:dyDescent="0.35">
      <c r="F5905" s="1"/>
      <c r="H5905" t="s">
        <v>26</v>
      </c>
    </row>
    <row r="5906" spans="6:8" x14ac:dyDescent="0.35">
      <c r="F5906" s="1"/>
      <c r="H5906" t="s">
        <v>26</v>
      </c>
    </row>
    <row r="5907" spans="6:8" x14ac:dyDescent="0.35">
      <c r="F5907" s="1"/>
      <c r="H5907" t="s">
        <v>26</v>
      </c>
    </row>
    <row r="5908" spans="6:8" x14ac:dyDescent="0.35">
      <c r="F5908" s="1"/>
      <c r="H5908" t="s">
        <v>26</v>
      </c>
    </row>
    <row r="5909" spans="6:8" x14ac:dyDescent="0.35">
      <c r="F5909" s="1"/>
      <c r="H5909" t="s">
        <v>26</v>
      </c>
    </row>
    <row r="5910" spans="6:8" x14ac:dyDescent="0.35">
      <c r="F5910" s="1"/>
      <c r="H5910" t="s">
        <v>26</v>
      </c>
    </row>
    <row r="5911" spans="6:8" x14ac:dyDescent="0.35">
      <c r="F5911" s="1"/>
      <c r="H5911" t="s">
        <v>26</v>
      </c>
    </row>
    <row r="5912" spans="6:8" x14ac:dyDescent="0.35">
      <c r="F5912" s="1"/>
      <c r="H5912" t="s">
        <v>26</v>
      </c>
    </row>
    <row r="5913" spans="6:8" x14ac:dyDescent="0.35">
      <c r="F5913" s="1"/>
      <c r="H5913" t="s">
        <v>26</v>
      </c>
    </row>
    <row r="5914" spans="6:8" x14ac:dyDescent="0.35">
      <c r="F5914" s="1"/>
      <c r="H5914" t="s">
        <v>26</v>
      </c>
    </row>
    <row r="5915" spans="6:8" x14ac:dyDescent="0.35">
      <c r="F5915" s="1"/>
      <c r="H5915" t="s">
        <v>26</v>
      </c>
    </row>
    <row r="5916" spans="6:8" x14ac:dyDescent="0.35">
      <c r="F5916" s="1"/>
      <c r="H5916" t="s">
        <v>26</v>
      </c>
    </row>
    <row r="5917" spans="6:8" x14ac:dyDescent="0.35">
      <c r="F5917" s="1"/>
      <c r="H5917" t="s">
        <v>26</v>
      </c>
    </row>
    <row r="5918" spans="6:8" x14ac:dyDescent="0.35">
      <c r="F5918" s="1"/>
      <c r="H5918" t="s">
        <v>26</v>
      </c>
    </row>
    <row r="5919" spans="6:8" x14ac:dyDescent="0.35">
      <c r="F5919" s="1"/>
      <c r="H5919" t="s">
        <v>26</v>
      </c>
    </row>
    <row r="5920" spans="6:8" x14ac:dyDescent="0.35">
      <c r="F5920" s="1"/>
      <c r="H5920" t="s">
        <v>26</v>
      </c>
    </row>
    <row r="5921" spans="6:8" x14ac:dyDescent="0.35">
      <c r="F5921" s="1"/>
      <c r="H5921" t="s">
        <v>26</v>
      </c>
    </row>
    <row r="5922" spans="6:8" x14ac:dyDescent="0.35">
      <c r="F5922" s="1"/>
      <c r="H5922" t="s">
        <v>26</v>
      </c>
    </row>
    <row r="5923" spans="6:8" x14ac:dyDescent="0.35">
      <c r="F5923" s="1"/>
      <c r="H5923" t="s">
        <v>26</v>
      </c>
    </row>
    <row r="5924" spans="6:8" x14ac:dyDescent="0.35">
      <c r="F5924" s="1"/>
      <c r="H5924" t="s">
        <v>26</v>
      </c>
    </row>
    <row r="5925" spans="6:8" x14ac:dyDescent="0.35">
      <c r="F5925" s="1"/>
      <c r="H5925" t="s">
        <v>26</v>
      </c>
    </row>
    <row r="5926" spans="6:8" x14ac:dyDescent="0.35">
      <c r="F5926" s="1"/>
      <c r="H5926" t="s">
        <v>26</v>
      </c>
    </row>
    <row r="5927" spans="6:8" x14ac:dyDescent="0.35">
      <c r="F5927" s="1"/>
      <c r="H5927" t="s">
        <v>26</v>
      </c>
    </row>
    <row r="5928" spans="6:8" x14ac:dyDescent="0.35">
      <c r="F5928" s="1"/>
      <c r="H5928" t="s">
        <v>26</v>
      </c>
    </row>
    <row r="5929" spans="6:8" x14ac:dyDescent="0.35">
      <c r="F5929" s="1"/>
      <c r="H5929" t="s">
        <v>26</v>
      </c>
    </row>
    <row r="5930" spans="6:8" x14ac:dyDescent="0.35">
      <c r="F5930" s="1"/>
      <c r="H5930" t="s">
        <v>26</v>
      </c>
    </row>
    <row r="5931" spans="6:8" x14ac:dyDescent="0.35">
      <c r="F5931" s="1"/>
      <c r="H5931" t="s">
        <v>26</v>
      </c>
    </row>
    <row r="5932" spans="6:8" x14ac:dyDescent="0.35">
      <c r="F5932" s="1"/>
      <c r="H5932" t="s">
        <v>26</v>
      </c>
    </row>
    <row r="5933" spans="6:8" x14ac:dyDescent="0.35">
      <c r="F5933" s="1"/>
      <c r="H5933" t="s">
        <v>26</v>
      </c>
    </row>
    <row r="5934" spans="6:8" x14ac:dyDescent="0.35">
      <c r="F5934" s="1"/>
      <c r="H5934" t="s">
        <v>26</v>
      </c>
    </row>
    <row r="5935" spans="6:8" x14ac:dyDescent="0.35">
      <c r="F5935" s="1"/>
      <c r="H5935" t="s">
        <v>26</v>
      </c>
    </row>
    <row r="5936" spans="6:8" x14ac:dyDescent="0.35">
      <c r="F5936" s="1"/>
      <c r="H5936" t="s">
        <v>26</v>
      </c>
    </row>
    <row r="5937" spans="6:8" x14ac:dyDescent="0.35">
      <c r="F5937" s="1"/>
      <c r="H5937" t="s">
        <v>26</v>
      </c>
    </row>
    <row r="5938" spans="6:8" x14ac:dyDescent="0.35">
      <c r="F5938" s="1"/>
      <c r="H5938" t="s">
        <v>26</v>
      </c>
    </row>
    <row r="5939" spans="6:8" x14ac:dyDescent="0.35">
      <c r="F5939" s="1"/>
      <c r="H5939" t="s">
        <v>26</v>
      </c>
    </row>
    <row r="5940" spans="6:8" x14ac:dyDescent="0.35">
      <c r="F5940" s="1"/>
      <c r="H5940" t="s">
        <v>26</v>
      </c>
    </row>
    <row r="5941" spans="6:8" x14ac:dyDescent="0.35">
      <c r="F5941" s="1"/>
      <c r="H5941" t="s">
        <v>26</v>
      </c>
    </row>
    <row r="5942" spans="6:8" x14ac:dyDescent="0.35">
      <c r="F5942" s="1"/>
      <c r="H5942" t="s">
        <v>26</v>
      </c>
    </row>
    <row r="5943" spans="6:8" x14ac:dyDescent="0.35">
      <c r="F5943" s="1"/>
      <c r="H5943" t="s">
        <v>26</v>
      </c>
    </row>
    <row r="5944" spans="6:8" x14ac:dyDescent="0.35">
      <c r="F5944" s="1"/>
      <c r="H5944" t="s">
        <v>26</v>
      </c>
    </row>
    <row r="5945" spans="6:8" x14ac:dyDescent="0.35">
      <c r="F5945" s="1"/>
      <c r="H5945" t="s">
        <v>26</v>
      </c>
    </row>
    <row r="5946" spans="6:8" x14ac:dyDescent="0.35">
      <c r="F5946" s="1"/>
      <c r="H5946" t="s">
        <v>26</v>
      </c>
    </row>
    <row r="5947" spans="6:8" x14ac:dyDescent="0.35">
      <c r="F5947" s="1"/>
      <c r="H5947" t="s">
        <v>26</v>
      </c>
    </row>
    <row r="5948" spans="6:8" x14ac:dyDescent="0.35">
      <c r="F5948" s="1"/>
      <c r="H5948" t="s">
        <v>26</v>
      </c>
    </row>
    <row r="5949" spans="6:8" x14ac:dyDescent="0.35">
      <c r="F5949" s="1"/>
      <c r="H5949" t="s">
        <v>26</v>
      </c>
    </row>
    <row r="5950" spans="6:8" x14ac:dyDescent="0.35">
      <c r="F5950" s="1"/>
      <c r="H5950" t="s">
        <v>26</v>
      </c>
    </row>
    <row r="5951" spans="6:8" x14ac:dyDescent="0.35">
      <c r="F5951" s="1"/>
      <c r="H5951" t="s">
        <v>26</v>
      </c>
    </row>
    <row r="5952" spans="6:8" x14ac:dyDescent="0.35">
      <c r="F5952" s="1"/>
      <c r="H5952" t="s">
        <v>26</v>
      </c>
    </row>
    <row r="5953" spans="6:8" x14ac:dyDescent="0.35">
      <c r="F5953" s="1"/>
      <c r="H5953" t="s">
        <v>26</v>
      </c>
    </row>
    <row r="5954" spans="6:8" x14ac:dyDescent="0.35">
      <c r="F5954" s="1"/>
      <c r="H5954" t="s">
        <v>26</v>
      </c>
    </row>
    <row r="5955" spans="6:8" x14ac:dyDescent="0.35">
      <c r="F5955" s="1"/>
      <c r="H5955" t="s">
        <v>26</v>
      </c>
    </row>
    <row r="5956" spans="6:8" x14ac:dyDescent="0.35">
      <c r="F5956" s="1"/>
      <c r="H5956" t="s">
        <v>26</v>
      </c>
    </row>
    <row r="5957" spans="6:8" x14ac:dyDescent="0.35">
      <c r="F5957" s="1"/>
      <c r="H5957" t="s">
        <v>26</v>
      </c>
    </row>
    <row r="5958" spans="6:8" x14ac:dyDescent="0.35">
      <c r="F5958" s="1"/>
      <c r="H5958" t="s">
        <v>26</v>
      </c>
    </row>
    <row r="5959" spans="6:8" x14ac:dyDescent="0.35">
      <c r="F5959" s="1"/>
      <c r="H5959" t="s">
        <v>26</v>
      </c>
    </row>
    <row r="5960" spans="6:8" x14ac:dyDescent="0.35">
      <c r="F5960" s="1"/>
      <c r="H5960" t="s">
        <v>26</v>
      </c>
    </row>
    <row r="5961" spans="6:8" x14ac:dyDescent="0.35">
      <c r="F5961" s="1"/>
      <c r="H5961" t="s">
        <v>26</v>
      </c>
    </row>
    <row r="5962" spans="6:8" x14ac:dyDescent="0.35">
      <c r="F5962" s="1"/>
      <c r="H5962" t="s">
        <v>26</v>
      </c>
    </row>
    <row r="5963" spans="6:8" x14ac:dyDescent="0.35">
      <c r="F5963" s="1"/>
      <c r="H5963" t="s">
        <v>26</v>
      </c>
    </row>
    <row r="5964" spans="6:8" x14ac:dyDescent="0.35">
      <c r="F5964" s="1"/>
      <c r="H5964" t="s">
        <v>26</v>
      </c>
    </row>
    <row r="5965" spans="6:8" x14ac:dyDescent="0.35">
      <c r="F5965" s="1"/>
      <c r="H5965" t="s">
        <v>26</v>
      </c>
    </row>
    <row r="5966" spans="6:8" x14ac:dyDescent="0.35">
      <c r="F5966" s="1"/>
      <c r="H5966" t="s">
        <v>26</v>
      </c>
    </row>
    <row r="5967" spans="6:8" x14ac:dyDescent="0.35">
      <c r="F5967" s="1"/>
      <c r="H5967" t="s">
        <v>26</v>
      </c>
    </row>
    <row r="5968" spans="6:8" x14ac:dyDescent="0.35">
      <c r="F5968" s="1"/>
      <c r="H5968" t="s">
        <v>26</v>
      </c>
    </row>
    <row r="5969" spans="6:8" x14ac:dyDescent="0.35">
      <c r="F5969" s="1"/>
      <c r="H5969" t="s">
        <v>26</v>
      </c>
    </row>
    <row r="5970" spans="6:8" x14ac:dyDescent="0.35">
      <c r="F5970" s="1"/>
      <c r="H5970" t="s">
        <v>26</v>
      </c>
    </row>
    <row r="5971" spans="6:8" x14ac:dyDescent="0.35">
      <c r="F5971" s="1"/>
      <c r="H5971" t="s">
        <v>26</v>
      </c>
    </row>
    <row r="5972" spans="6:8" x14ac:dyDescent="0.35">
      <c r="F5972" s="1"/>
      <c r="H5972" t="s">
        <v>26</v>
      </c>
    </row>
    <row r="5973" spans="6:8" x14ac:dyDescent="0.35">
      <c r="F5973" s="1"/>
      <c r="H5973" t="s">
        <v>26</v>
      </c>
    </row>
    <row r="5974" spans="6:8" x14ac:dyDescent="0.35">
      <c r="F5974" s="1"/>
      <c r="H5974" t="s">
        <v>26</v>
      </c>
    </row>
    <row r="5975" spans="6:8" x14ac:dyDescent="0.35">
      <c r="F5975" s="1"/>
      <c r="H5975" t="s">
        <v>26</v>
      </c>
    </row>
    <row r="5976" spans="6:8" x14ac:dyDescent="0.35">
      <c r="F5976" s="1"/>
      <c r="H5976" t="s">
        <v>26</v>
      </c>
    </row>
    <row r="5977" spans="6:8" x14ac:dyDescent="0.35">
      <c r="F5977" s="1"/>
      <c r="H5977" t="s">
        <v>26</v>
      </c>
    </row>
    <row r="5978" spans="6:8" x14ac:dyDescent="0.35">
      <c r="F5978" s="1"/>
      <c r="H5978" t="s">
        <v>26</v>
      </c>
    </row>
    <row r="5979" spans="6:8" x14ac:dyDescent="0.35">
      <c r="F5979" s="1"/>
      <c r="H5979" t="s">
        <v>26</v>
      </c>
    </row>
    <row r="5980" spans="6:8" x14ac:dyDescent="0.35">
      <c r="F5980" s="1"/>
      <c r="H5980" t="s">
        <v>26</v>
      </c>
    </row>
    <row r="5981" spans="6:8" x14ac:dyDescent="0.35">
      <c r="F5981" s="1"/>
      <c r="H5981" t="s">
        <v>26</v>
      </c>
    </row>
    <row r="5982" spans="6:8" x14ac:dyDescent="0.35">
      <c r="F5982" s="1"/>
      <c r="H5982" t="s">
        <v>26</v>
      </c>
    </row>
    <row r="5983" spans="6:8" x14ac:dyDescent="0.35">
      <c r="F5983" s="1"/>
      <c r="H5983" t="s">
        <v>26</v>
      </c>
    </row>
    <row r="5984" spans="6:8" x14ac:dyDescent="0.35">
      <c r="F5984" s="1"/>
      <c r="H5984" t="s">
        <v>26</v>
      </c>
    </row>
    <row r="5985" spans="6:8" x14ac:dyDescent="0.35">
      <c r="F5985" s="1"/>
      <c r="H5985" t="s">
        <v>26</v>
      </c>
    </row>
    <row r="5986" spans="6:8" x14ac:dyDescent="0.35">
      <c r="F5986" s="1"/>
      <c r="H5986" t="s">
        <v>26</v>
      </c>
    </row>
    <row r="5987" spans="6:8" x14ac:dyDescent="0.35">
      <c r="F5987" s="1"/>
      <c r="H5987" t="s">
        <v>26</v>
      </c>
    </row>
    <row r="5988" spans="6:8" x14ac:dyDescent="0.35">
      <c r="F5988" s="1"/>
      <c r="H5988" t="s">
        <v>26</v>
      </c>
    </row>
    <row r="5989" spans="6:8" x14ac:dyDescent="0.35">
      <c r="F5989" s="1"/>
      <c r="H5989" t="s">
        <v>26</v>
      </c>
    </row>
    <row r="5990" spans="6:8" x14ac:dyDescent="0.35">
      <c r="F5990" s="1"/>
      <c r="H5990" t="s">
        <v>26</v>
      </c>
    </row>
    <row r="5991" spans="6:8" x14ac:dyDescent="0.35">
      <c r="F5991" s="1"/>
      <c r="H5991" t="s">
        <v>26</v>
      </c>
    </row>
    <row r="5992" spans="6:8" x14ac:dyDescent="0.35">
      <c r="F5992" s="1"/>
      <c r="H5992" t="s">
        <v>26</v>
      </c>
    </row>
    <row r="5993" spans="6:8" x14ac:dyDescent="0.35">
      <c r="F5993" s="1"/>
      <c r="H5993" t="s">
        <v>26</v>
      </c>
    </row>
    <row r="5994" spans="6:8" x14ac:dyDescent="0.35">
      <c r="F5994" s="1"/>
      <c r="H5994" t="s">
        <v>26</v>
      </c>
    </row>
    <row r="5995" spans="6:8" x14ac:dyDescent="0.35">
      <c r="F5995" s="1"/>
      <c r="H5995" t="s">
        <v>26</v>
      </c>
    </row>
    <row r="5996" spans="6:8" x14ac:dyDescent="0.35">
      <c r="F5996" s="1"/>
      <c r="H5996" t="s">
        <v>26</v>
      </c>
    </row>
    <row r="5997" spans="6:8" x14ac:dyDescent="0.35">
      <c r="F5997" s="1"/>
      <c r="H5997" t="s">
        <v>26</v>
      </c>
    </row>
    <row r="5998" spans="6:8" x14ac:dyDescent="0.35">
      <c r="F5998" s="1"/>
      <c r="H5998" t="s">
        <v>26</v>
      </c>
    </row>
    <row r="5999" spans="6:8" x14ac:dyDescent="0.35">
      <c r="F5999" s="1"/>
      <c r="H5999" t="s">
        <v>26</v>
      </c>
    </row>
    <row r="6000" spans="6:8" x14ac:dyDescent="0.35">
      <c r="F6000" s="1"/>
      <c r="H6000" t="s">
        <v>26</v>
      </c>
    </row>
    <row r="6001" spans="6:8" x14ac:dyDescent="0.35">
      <c r="F6001" s="1"/>
      <c r="H6001" t="s">
        <v>26</v>
      </c>
    </row>
    <row r="6002" spans="6:8" x14ac:dyDescent="0.35">
      <c r="F6002" s="1"/>
      <c r="H6002" t="s">
        <v>26</v>
      </c>
    </row>
    <row r="6003" spans="6:8" x14ac:dyDescent="0.35">
      <c r="F6003" s="1"/>
      <c r="H6003" t="s">
        <v>26</v>
      </c>
    </row>
    <row r="6004" spans="6:8" x14ac:dyDescent="0.35">
      <c r="F6004" s="1"/>
      <c r="H6004" t="s">
        <v>26</v>
      </c>
    </row>
    <row r="6005" spans="6:8" x14ac:dyDescent="0.35">
      <c r="F6005" s="1"/>
      <c r="H6005" t="s">
        <v>26</v>
      </c>
    </row>
    <row r="6006" spans="6:8" x14ac:dyDescent="0.35">
      <c r="F6006" s="1"/>
      <c r="H6006" t="s">
        <v>26</v>
      </c>
    </row>
    <row r="6007" spans="6:8" x14ac:dyDescent="0.35">
      <c r="F6007" s="1"/>
      <c r="H6007" t="s">
        <v>26</v>
      </c>
    </row>
    <row r="6008" spans="6:8" x14ac:dyDescent="0.35">
      <c r="F6008" s="1"/>
      <c r="H6008" t="s">
        <v>26</v>
      </c>
    </row>
    <row r="6009" spans="6:8" x14ac:dyDescent="0.35">
      <c r="F6009" s="1"/>
      <c r="H6009" t="s">
        <v>26</v>
      </c>
    </row>
    <row r="6010" spans="6:8" x14ac:dyDescent="0.35">
      <c r="F6010" s="1"/>
      <c r="H6010" t="s">
        <v>26</v>
      </c>
    </row>
    <row r="6011" spans="6:8" x14ac:dyDescent="0.35">
      <c r="F6011" s="1"/>
      <c r="H6011" t="s">
        <v>26</v>
      </c>
    </row>
    <row r="6012" spans="6:8" x14ac:dyDescent="0.35">
      <c r="F6012" s="1"/>
      <c r="H6012" t="s">
        <v>26</v>
      </c>
    </row>
    <row r="6013" spans="6:8" x14ac:dyDescent="0.35">
      <c r="F6013" s="1"/>
      <c r="H6013" t="s">
        <v>26</v>
      </c>
    </row>
    <row r="6014" spans="6:8" x14ac:dyDescent="0.35">
      <c r="F6014" s="1"/>
      <c r="H6014" t="s">
        <v>26</v>
      </c>
    </row>
    <row r="6015" spans="6:8" x14ac:dyDescent="0.35">
      <c r="F6015" s="1"/>
      <c r="H6015" t="s">
        <v>26</v>
      </c>
    </row>
    <row r="6016" spans="6:8" x14ac:dyDescent="0.35">
      <c r="F6016" s="1"/>
      <c r="H6016" t="s">
        <v>26</v>
      </c>
    </row>
    <row r="6017" spans="6:8" x14ac:dyDescent="0.35">
      <c r="F6017" s="1"/>
      <c r="H6017" t="s">
        <v>26</v>
      </c>
    </row>
    <row r="6018" spans="6:8" x14ac:dyDescent="0.35">
      <c r="F6018" s="1"/>
      <c r="H6018" t="s">
        <v>26</v>
      </c>
    </row>
    <row r="6019" spans="6:8" x14ac:dyDescent="0.35">
      <c r="F6019" s="1"/>
      <c r="H6019" t="s">
        <v>26</v>
      </c>
    </row>
    <row r="6020" spans="6:8" x14ac:dyDescent="0.35">
      <c r="F6020" s="1"/>
      <c r="H6020" t="s">
        <v>26</v>
      </c>
    </row>
    <row r="6021" spans="6:8" x14ac:dyDescent="0.35">
      <c r="F6021" s="1"/>
      <c r="H6021" t="s">
        <v>26</v>
      </c>
    </row>
    <row r="6022" spans="6:8" x14ac:dyDescent="0.35">
      <c r="F6022" s="1"/>
      <c r="H6022" t="s">
        <v>26</v>
      </c>
    </row>
    <row r="6023" spans="6:8" x14ac:dyDescent="0.35">
      <c r="F6023" s="1"/>
      <c r="H6023" t="s">
        <v>26</v>
      </c>
    </row>
    <row r="6024" spans="6:8" x14ac:dyDescent="0.35">
      <c r="F6024" s="1"/>
      <c r="H6024" t="s">
        <v>26</v>
      </c>
    </row>
    <row r="6025" spans="6:8" x14ac:dyDescent="0.35">
      <c r="F6025" s="1"/>
      <c r="H6025" t="s">
        <v>26</v>
      </c>
    </row>
    <row r="6026" spans="6:8" x14ac:dyDescent="0.35">
      <c r="F6026" s="1"/>
      <c r="H6026" t="s">
        <v>26</v>
      </c>
    </row>
    <row r="6027" spans="6:8" x14ac:dyDescent="0.35">
      <c r="F6027" s="1"/>
      <c r="H6027" t="s">
        <v>26</v>
      </c>
    </row>
    <row r="6028" spans="6:8" x14ac:dyDescent="0.35">
      <c r="F6028" s="1"/>
      <c r="H6028" t="s">
        <v>26</v>
      </c>
    </row>
    <row r="6029" spans="6:8" x14ac:dyDescent="0.35">
      <c r="F6029" s="1"/>
      <c r="H6029" t="s">
        <v>26</v>
      </c>
    </row>
    <row r="6030" spans="6:8" x14ac:dyDescent="0.35">
      <c r="F6030" s="1"/>
      <c r="H6030" t="s">
        <v>26</v>
      </c>
    </row>
    <row r="6031" spans="6:8" x14ac:dyDescent="0.35">
      <c r="F6031" s="1"/>
      <c r="H6031" t="s">
        <v>26</v>
      </c>
    </row>
    <row r="6032" spans="6:8" x14ac:dyDescent="0.35">
      <c r="F6032" s="1"/>
      <c r="H6032" t="s">
        <v>26</v>
      </c>
    </row>
    <row r="6033" spans="6:8" x14ac:dyDescent="0.35">
      <c r="F6033" s="1"/>
      <c r="H6033" t="s">
        <v>26</v>
      </c>
    </row>
    <row r="6034" spans="6:8" x14ac:dyDescent="0.35">
      <c r="F6034" s="1"/>
      <c r="H6034" t="s">
        <v>26</v>
      </c>
    </row>
    <row r="6035" spans="6:8" x14ac:dyDescent="0.35">
      <c r="F6035" s="1"/>
      <c r="H6035" t="s">
        <v>26</v>
      </c>
    </row>
    <row r="6036" spans="6:8" x14ac:dyDescent="0.35">
      <c r="F6036" s="1"/>
      <c r="H6036" t="s">
        <v>26</v>
      </c>
    </row>
    <row r="6037" spans="6:8" x14ac:dyDescent="0.35">
      <c r="F6037" s="1"/>
      <c r="H6037" t="s">
        <v>26</v>
      </c>
    </row>
    <row r="6038" spans="6:8" x14ac:dyDescent="0.35">
      <c r="F6038" s="1"/>
      <c r="H6038" t="s">
        <v>26</v>
      </c>
    </row>
    <row r="6039" spans="6:8" x14ac:dyDescent="0.35">
      <c r="F6039" s="1"/>
      <c r="H6039" t="s">
        <v>26</v>
      </c>
    </row>
    <row r="6040" spans="6:8" x14ac:dyDescent="0.35">
      <c r="F6040" s="1"/>
      <c r="H6040" t="s">
        <v>26</v>
      </c>
    </row>
    <row r="6041" spans="6:8" x14ac:dyDescent="0.35">
      <c r="F6041" s="1"/>
      <c r="H6041" t="s">
        <v>26</v>
      </c>
    </row>
    <row r="6042" spans="6:8" x14ac:dyDescent="0.35">
      <c r="F6042" s="1"/>
      <c r="H6042" t="s">
        <v>26</v>
      </c>
    </row>
    <row r="6043" spans="6:8" x14ac:dyDescent="0.35">
      <c r="F6043" s="1"/>
      <c r="H6043" t="s">
        <v>26</v>
      </c>
    </row>
    <row r="6044" spans="6:8" x14ac:dyDescent="0.35">
      <c r="F6044" s="1"/>
      <c r="H6044" t="s">
        <v>26</v>
      </c>
    </row>
    <row r="6045" spans="6:8" x14ac:dyDescent="0.35">
      <c r="F6045" s="1"/>
      <c r="H6045" t="s">
        <v>26</v>
      </c>
    </row>
    <row r="6046" spans="6:8" x14ac:dyDescent="0.35">
      <c r="F6046" s="1"/>
      <c r="H6046" t="s">
        <v>26</v>
      </c>
    </row>
    <row r="6047" spans="6:8" x14ac:dyDescent="0.35">
      <c r="F6047" s="1"/>
      <c r="H6047" t="s">
        <v>26</v>
      </c>
    </row>
    <row r="6048" spans="6:8" x14ac:dyDescent="0.35">
      <c r="F6048" s="1"/>
      <c r="H6048" t="s">
        <v>26</v>
      </c>
    </row>
    <row r="6049" spans="6:8" x14ac:dyDescent="0.35">
      <c r="F6049" s="1"/>
      <c r="H6049" t="s">
        <v>26</v>
      </c>
    </row>
    <row r="6050" spans="6:8" x14ac:dyDescent="0.35">
      <c r="F6050" s="1"/>
      <c r="H6050" t="s">
        <v>26</v>
      </c>
    </row>
    <row r="6051" spans="6:8" x14ac:dyDescent="0.35">
      <c r="F6051" s="1"/>
      <c r="H6051" t="s">
        <v>26</v>
      </c>
    </row>
    <row r="6052" spans="6:8" x14ac:dyDescent="0.35">
      <c r="F6052" s="1"/>
      <c r="H6052" t="s">
        <v>26</v>
      </c>
    </row>
    <row r="6053" spans="6:8" x14ac:dyDescent="0.35">
      <c r="F6053" s="1"/>
      <c r="H6053" t="s">
        <v>26</v>
      </c>
    </row>
    <row r="6054" spans="6:8" x14ac:dyDescent="0.35">
      <c r="F6054" s="1"/>
      <c r="H6054" t="s">
        <v>26</v>
      </c>
    </row>
    <row r="6055" spans="6:8" x14ac:dyDescent="0.35">
      <c r="F6055" s="1"/>
      <c r="H6055" t="s">
        <v>26</v>
      </c>
    </row>
    <row r="6056" spans="6:8" x14ac:dyDescent="0.35">
      <c r="F6056" s="1"/>
      <c r="H6056" t="s">
        <v>26</v>
      </c>
    </row>
    <row r="6057" spans="6:8" x14ac:dyDescent="0.35">
      <c r="F6057" s="1"/>
      <c r="H6057" t="s">
        <v>26</v>
      </c>
    </row>
    <row r="6058" spans="6:8" x14ac:dyDescent="0.35">
      <c r="F6058" s="1"/>
      <c r="H6058" t="s">
        <v>26</v>
      </c>
    </row>
    <row r="6059" spans="6:8" x14ac:dyDescent="0.35">
      <c r="F6059" s="1"/>
      <c r="H6059" t="s">
        <v>26</v>
      </c>
    </row>
    <row r="6060" spans="6:8" x14ac:dyDescent="0.35">
      <c r="F6060" s="1"/>
      <c r="H6060" t="s">
        <v>26</v>
      </c>
    </row>
    <row r="6061" spans="6:8" x14ac:dyDescent="0.35">
      <c r="F6061" s="1"/>
      <c r="H6061" t="s">
        <v>26</v>
      </c>
    </row>
    <row r="6062" spans="6:8" x14ac:dyDescent="0.35">
      <c r="F6062" s="1"/>
      <c r="H6062" t="s">
        <v>26</v>
      </c>
    </row>
    <row r="6063" spans="6:8" x14ac:dyDescent="0.35">
      <c r="F6063" s="1"/>
      <c r="H6063" t="s">
        <v>26</v>
      </c>
    </row>
    <row r="6064" spans="6:8" x14ac:dyDescent="0.35">
      <c r="F6064" s="1"/>
      <c r="H6064" t="s">
        <v>26</v>
      </c>
    </row>
    <row r="6065" spans="6:8" x14ac:dyDescent="0.35">
      <c r="F6065" s="1"/>
      <c r="H6065" t="s">
        <v>26</v>
      </c>
    </row>
    <row r="6066" spans="6:8" x14ac:dyDescent="0.35">
      <c r="F6066" s="1"/>
      <c r="H6066" t="s">
        <v>26</v>
      </c>
    </row>
    <row r="6067" spans="6:8" x14ac:dyDescent="0.35">
      <c r="F6067" s="1"/>
      <c r="H6067" t="s">
        <v>26</v>
      </c>
    </row>
    <row r="6068" spans="6:8" x14ac:dyDescent="0.35">
      <c r="F6068" s="1"/>
      <c r="H6068" t="s">
        <v>26</v>
      </c>
    </row>
    <row r="6069" spans="6:8" x14ac:dyDescent="0.35">
      <c r="F6069" s="1"/>
      <c r="H6069" t="s">
        <v>26</v>
      </c>
    </row>
    <row r="6070" spans="6:8" x14ac:dyDescent="0.35">
      <c r="F6070" s="1"/>
      <c r="H6070" t="s">
        <v>26</v>
      </c>
    </row>
    <row r="6071" spans="6:8" x14ac:dyDescent="0.35">
      <c r="F6071" s="1"/>
      <c r="H6071" t="s">
        <v>26</v>
      </c>
    </row>
    <row r="6072" spans="6:8" x14ac:dyDescent="0.35">
      <c r="F6072" s="1"/>
      <c r="H6072" t="s">
        <v>26</v>
      </c>
    </row>
    <row r="6073" spans="6:8" x14ac:dyDescent="0.35">
      <c r="F6073" s="1"/>
      <c r="H6073" t="s">
        <v>26</v>
      </c>
    </row>
    <row r="6074" spans="6:8" x14ac:dyDescent="0.35">
      <c r="F6074" s="1"/>
      <c r="H6074" t="s">
        <v>26</v>
      </c>
    </row>
    <row r="6075" spans="6:8" x14ac:dyDescent="0.35">
      <c r="F6075" s="1"/>
      <c r="H6075" t="s">
        <v>26</v>
      </c>
    </row>
    <row r="6076" spans="6:8" x14ac:dyDescent="0.35">
      <c r="F6076" s="1"/>
      <c r="H6076" t="s">
        <v>26</v>
      </c>
    </row>
    <row r="6077" spans="6:8" x14ac:dyDescent="0.35">
      <c r="F6077" s="1"/>
      <c r="H6077" t="s">
        <v>26</v>
      </c>
    </row>
    <row r="6078" spans="6:8" x14ac:dyDescent="0.35">
      <c r="F6078" s="1"/>
      <c r="H6078" t="s">
        <v>26</v>
      </c>
    </row>
    <row r="6079" spans="6:8" x14ac:dyDescent="0.35">
      <c r="F6079" s="1"/>
      <c r="H6079" t="s">
        <v>26</v>
      </c>
    </row>
    <row r="6080" spans="6:8" x14ac:dyDescent="0.35">
      <c r="F6080" s="1"/>
      <c r="H6080" t="s">
        <v>26</v>
      </c>
    </row>
    <row r="6081" spans="6:8" x14ac:dyDescent="0.35">
      <c r="F6081" s="1"/>
      <c r="H6081" t="s">
        <v>26</v>
      </c>
    </row>
    <row r="6082" spans="6:8" x14ac:dyDescent="0.35">
      <c r="F6082" s="1"/>
      <c r="H6082" t="s">
        <v>26</v>
      </c>
    </row>
    <row r="6083" spans="6:8" x14ac:dyDescent="0.35">
      <c r="F6083" s="1"/>
      <c r="H6083" t="s">
        <v>26</v>
      </c>
    </row>
    <row r="6084" spans="6:8" x14ac:dyDescent="0.35">
      <c r="F6084" s="1"/>
      <c r="H6084" t="s">
        <v>26</v>
      </c>
    </row>
    <row r="6085" spans="6:8" x14ac:dyDescent="0.35">
      <c r="F6085" s="1"/>
      <c r="H6085" t="s">
        <v>26</v>
      </c>
    </row>
    <row r="6086" spans="6:8" x14ac:dyDescent="0.35">
      <c r="F6086" s="1"/>
      <c r="H6086" t="s">
        <v>26</v>
      </c>
    </row>
    <row r="6087" spans="6:8" x14ac:dyDescent="0.35">
      <c r="F6087" s="1"/>
      <c r="H6087" t="s">
        <v>26</v>
      </c>
    </row>
    <row r="6088" spans="6:8" x14ac:dyDescent="0.35">
      <c r="F6088" s="1"/>
      <c r="H6088" t="s">
        <v>26</v>
      </c>
    </row>
    <row r="6089" spans="6:8" x14ac:dyDescent="0.35">
      <c r="F6089" s="1"/>
      <c r="H6089" t="s">
        <v>26</v>
      </c>
    </row>
    <row r="6090" spans="6:8" x14ac:dyDescent="0.35">
      <c r="F6090" s="1"/>
      <c r="H6090" t="s">
        <v>26</v>
      </c>
    </row>
    <row r="6091" spans="6:8" x14ac:dyDescent="0.35">
      <c r="F6091" s="1"/>
      <c r="H6091" t="s">
        <v>26</v>
      </c>
    </row>
    <row r="6092" spans="6:8" x14ac:dyDescent="0.35">
      <c r="F6092" s="1"/>
      <c r="H6092" t="s">
        <v>26</v>
      </c>
    </row>
    <row r="6093" spans="6:8" x14ac:dyDescent="0.35">
      <c r="F6093" s="1"/>
      <c r="H6093" t="s">
        <v>26</v>
      </c>
    </row>
    <row r="6094" spans="6:8" x14ac:dyDescent="0.35">
      <c r="F6094" s="1"/>
      <c r="H6094" t="s">
        <v>26</v>
      </c>
    </row>
    <row r="6095" spans="6:8" x14ac:dyDescent="0.35">
      <c r="F6095" s="1"/>
      <c r="H6095" t="s">
        <v>26</v>
      </c>
    </row>
    <row r="6096" spans="6:8" x14ac:dyDescent="0.35">
      <c r="F6096" s="1"/>
      <c r="H6096" t="s">
        <v>26</v>
      </c>
    </row>
    <row r="6097" spans="6:8" x14ac:dyDescent="0.35">
      <c r="F6097" s="1"/>
      <c r="H6097" t="s">
        <v>26</v>
      </c>
    </row>
    <row r="6098" spans="6:8" x14ac:dyDescent="0.35">
      <c r="F6098" s="1"/>
      <c r="H6098" t="s">
        <v>26</v>
      </c>
    </row>
    <row r="6099" spans="6:8" x14ac:dyDescent="0.35">
      <c r="F6099" s="1"/>
      <c r="H6099" t="s">
        <v>26</v>
      </c>
    </row>
    <row r="6100" spans="6:8" x14ac:dyDescent="0.35">
      <c r="F6100" s="1"/>
      <c r="H6100" t="s">
        <v>26</v>
      </c>
    </row>
    <row r="6101" spans="6:8" x14ac:dyDescent="0.35">
      <c r="F6101" s="1"/>
      <c r="H6101" t="s">
        <v>26</v>
      </c>
    </row>
    <row r="6102" spans="6:8" x14ac:dyDescent="0.35">
      <c r="F6102" s="1"/>
      <c r="H6102" t="s">
        <v>26</v>
      </c>
    </row>
    <row r="6103" spans="6:8" x14ac:dyDescent="0.35">
      <c r="F6103" s="1"/>
      <c r="H6103" t="s">
        <v>26</v>
      </c>
    </row>
    <row r="6104" spans="6:8" x14ac:dyDescent="0.35">
      <c r="F6104" s="1"/>
      <c r="H6104" t="s">
        <v>26</v>
      </c>
    </row>
    <row r="6105" spans="6:8" x14ac:dyDescent="0.35">
      <c r="F6105" s="1"/>
      <c r="H6105" t="s">
        <v>26</v>
      </c>
    </row>
    <row r="6106" spans="6:8" x14ac:dyDescent="0.35">
      <c r="F6106" s="1"/>
      <c r="H6106" t="s">
        <v>26</v>
      </c>
    </row>
    <row r="6107" spans="6:8" x14ac:dyDescent="0.35">
      <c r="F6107" s="1"/>
      <c r="H6107" t="s">
        <v>26</v>
      </c>
    </row>
    <row r="6108" spans="6:8" x14ac:dyDescent="0.35">
      <c r="F6108" s="1"/>
      <c r="H6108" t="s">
        <v>26</v>
      </c>
    </row>
    <row r="6109" spans="6:8" x14ac:dyDescent="0.35">
      <c r="F6109" s="1"/>
      <c r="H6109" t="s">
        <v>26</v>
      </c>
    </row>
    <row r="6110" spans="6:8" x14ac:dyDescent="0.35">
      <c r="F6110" s="1"/>
      <c r="H6110" t="s">
        <v>26</v>
      </c>
    </row>
    <row r="6111" spans="6:8" x14ac:dyDescent="0.35">
      <c r="F6111" s="1"/>
      <c r="H6111" t="s">
        <v>26</v>
      </c>
    </row>
    <row r="6112" spans="6:8" x14ac:dyDescent="0.35">
      <c r="F6112" s="1"/>
      <c r="H6112" t="s">
        <v>26</v>
      </c>
    </row>
    <row r="6113" spans="6:8" x14ac:dyDescent="0.35">
      <c r="F6113" s="1"/>
      <c r="H6113" t="s">
        <v>26</v>
      </c>
    </row>
    <row r="6114" spans="6:8" x14ac:dyDescent="0.35">
      <c r="F6114" s="1"/>
      <c r="H6114" t="s">
        <v>26</v>
      </c>
    </row>
    <row r="6115" spans="6:8" x14ac:dyDescent="0.35">
      <c r="F6115" s="1"/>
      <c r="H6115" t="s">
        <v>26</v>
      </c>
    </row>
    <row r="6116" spans="6:8" x14ac:dyDescent="0.35">
      <c r="F6116" s="1"/>
      <c r="H6116" t="s">
        <v>26</v>
      </c>
    </row>
    <row r="6117" spans="6:8" x14ac:dyDescent="0.35">
      <c r="F6117" s="1"/>
      <c r="H6117" t="s">
        <v>26</v>
      </c>
    </row>
    <row r="6118" spans="6:8" x14ac:dyDescent="0.35">
      <c r="F6118" s="1"/>
      <c r="H6118" t="s">
        <v>26</v>
      </c>
    </row>
    <row r="6119" spans="6:8" x14ac:dyDescent="0.35">
      <c r="F6119" s="1"/>
      <c r="H6119" t="s">
        <v>26</v>
      </c>
    </row>
    <row r="6120" spans="6:8" x14ac:dyDescent="0.35">
      <c r="F6120" s="1"/>
      <c r="H6120" t="s">
        <v>26</v>
      </c>
    </row>
    <row r="6121" spans="6:8" x14ac:dyDescent="0.35">
      <c r="F6121" s="1"/>
      <c r="H6121" t="s">
        <v>26</v>
      </c>
    </row>
    <row r="6122" spans="6:8" x14ac:dyDescent="0.35">
      <c r="F6122" s="1"/>
      <c r="H6122" t="s">
        <v>26</v>
      </c>
    </row>
    <row r="6123" spans="6:8" x14ac:dyDescent="0.35">
      <c r="F6123" s="1"/>
      <c r="H6123" t="s">
        <v>26</v>
      </c>
    </row>
    <row r="6124" spans="6:8" x14ac:dyDescent="0.35">
      <c r="F6124" s="1"/>
      <c r="H6124" t="s">
        <v>26</v>
      </c>
    </row>
    <row r="6125" spans="6:8" x14ac:dyDescent="0.35">
      <c r="F6125" s="1"/>
      <c r="H6125" t="s">
        <v>26</v>
      </c>
    </row>
    <row r="6126" spans="6:8" x14ac:dyDescent="0.35">
      <c r="F6126" s="1"/>
      <c r="H6126" t="s">
        <v>26</v>
      </c>
    </row>
    <row r="6127" spans="6:8" x14ac:dyDescent="0.35">
      <c r="F6127" s="1"/>
      <c r="H6127" t="s">
        <v>26</v>
      </c>
    </row>
    <row r="6128" spans="6:8" x14ac:dyDescent="0.35">
      <c r="F6128" s="1"/>
      <c r="H6128" t="s">
        <v>26</v>
      </c>
    </row>
    <row r="6129" spans="6:8" x14ac:dyDescent="0.35">
      <c r="F6129" s="1"/>
      <c r="H6129" t="s">
        <v>26</v>
      </c>
    </row>
    <row r="6130" spans="6:8" x14ac:dyDescent="0.35">
      <c r="F6130" s="1"/>
      <c r="H6130" t="s">
        <v>26</v>
      </c>
    </row>
    <row r="6131" spans="6:8" x14ac:dyDescent="0.35">
      <c r="F6131" s="1"/>
      <c r="H6131" t="s">
        <v>26</v>
      </c>
    </row>
    <row r="6132" spans="6:8" x14ac:dyDescent="0.35">
      <c r="F6132" s="1"/>
      <c r="H6132" t="s">
        <v>26</v>
      </c>
    </row>
    <row r="6133" spans="6:8" x14ac:dyDescent="0.35">
      <c r="F6133" s="1"/>
      <c r="H6133" t="s">
        <v>26</v>
      </c>
    </row>
    <row r="6134" spans="6:8" x14ac:dyDescent="0.35">
      <c r="F6134" s="1"/>
      <c r="H6134" t="s">
        <v>26</v>
      </c>
    </row>
    <row r="6135" spans="6:8" x14ac:dyDescent="0.35">
      <c r="F6135" s="1"/>
      <c r="H6135" t="s">
        <v>26</v>
      </c>
    </row>
    <row r="6136" spans="6:8" x14ac:dyDescent="0.35">
      <c r="F6136" s="1"/>
      <c r="H6136" t="s">
        <v>26</v>
      </c>
    </row>
    <row r="6137" spans="6:8" x14ac:dyDescent="0.35">
      <c r="F6137" s="1"/>
      <c r="H6137" t="s">
        <v>26</v>
      </c>
    </row>
    <row r="6138" spans="6:8" x14ac:dyDescent="0.35">
      <c r="F6138" s="1"/>
      <c r="H6138" t="s">
        <v>26</v>
      </c>
    </row>
    <row r="6139" spans="6:8" x14ac:dyDescent="0.35">
      <c r="F6139" s="1"/>
      <c r="H6139" t="s">
        <v>26</v>
      </c>
    </row>
    <row r="6140" spans="6:8" x14ac:dyDescent="0.35">
      <c r="F6140" s="1"/>
      <c r="H6140" t="s">
        <v>26</v>
      </c>
    </row>
    <row r="6141" spans="6:8" x14ac:dyDescent="0.35">
      <c r="F6141" s="1"/>
      <c r="H6141" t="s">
        <v>26</v>
      </c>
    </row>
    <row r="6142" spans="6:8" x14ac:dyDescent="0.35">
      <c r="F6142" s="1"/>
      <c r="H6142" t="s">
        <v>26</v>
      </c>
    </row>
    <row r="6143" spans="6:8" x14ac:dyDescent="0.35">
      <c r="F6143" s="1"/>
      <c r="H6143" t="s">
        <v>26</v>
      </c>
    </row>
    <row r="6144" spans="6:8" x14ac:dyDescent="0.35">
      <c r="F6144" s="1"/>
      <c r="H6144" t="s">
        <v>26</v>
      </c>
    </row>
    <row r="6145" spans="6:8" x14ac:dyDescent="0.35">
      <c r="F6145" s="1"/>
      <c r="H6145" t="s">
        <v>26</v>
      </c>
    </row>
    <row r="6146" spans="6:8" x14ac:dyDescent="0.35">
      <c r="F6146" s="1"/>
      <c r="H6146" t="s">
        <v>26</v>
      </c>
    </row>
    <row r="6147" spans="6:8" x14ac:dyDescent="0.35">
      <c r="F6147" s="1"/>
      <c r="H6147" t="s">
        <v>26</v>
      </c>
    </row>
    <row r="6148" spans="6:8" x14ac:dyDescent="0.35">
      <c r="F6148" s="1"/>
      <c r="H6148" t="s">
        <v>26</v>
      </c>
    </row>
    <row r="6149" spans="6:8" x14ac:dyDescent="0.35">
      <c r="F6149" s="1"/>
      <c r="H6149" t="s">
        <v>26</v>
      </c>
    </row>
    <row r="6150" spans="6:8" x14ac:dyDescent="0.35">
      <c r="F6150" s="1"/>
      <c r="H6150" t="s">
        <v>26</v>
      </c>
    </row>
    <row r="6151" spans="6:8" x14ac:dyDescent="0.35">
      <c r="F6151" s="1"/>
      <c r="H6151" t="s">
        <v>26</v>
      </c>
    </row>
    <row r="6152" spans="6:8" x14ac:dyDescent="0.35">
      <c r="F6152" s="1"/>
      <c r="H6152" t="s">
        <v>26</v>
      </c>
    </row>
    <row r="6153" spans="6:8" x14ac:dyDescent="0.35">
      <c r="F6153" s="1"/>
      <c r="H6153" t="s">
        <v>26</v>
      </c>
    </row>
    <row r="6154" spans="6:8" x14ac:dyDescent="0.35">
      <c r="F6154" s="1"/>
      <c r="H6154" t="s">
        <v>26</v>
      </c>
    </row>
    <row r="6155" spans="6:8" x14ac:dyDescent="0.35">
      <c r="F6155" s="1"/>
      <c r="H6155" t="s">
        <v>26</v>
      </c>
    </row>
    <row r="6156" spans="6:8" x14ac:dyDescent="0.35">
      <c r="F6156" s="1"/>
      <c r="H6156" t="s">
        <v>26</v>
      </c>
    </row>
    <row r="6157" spans="6:8" x14ac:dyDescent="0.35">
      <c r="F6157" s="1"/>
      <c r="H6157" t="s">
        <v>26</v>
      </c>
    </row>
    <row r="6158" spans="6:8" x14ac:dyDescent="0.35">
      <c r="F6158" s="1"/>
      <c r="H6158" t="s">
        <v>26</v>
      </c>
    </row>
    <row r="6159" spans="6:8" x14ac:dyDescent="0.35">
      <c r="F6159" s="1"/>
      <c r="H6159" t="s">
        <v>26</v>
      </c>
    </row>
    <row r="6160" spans="6:8" x14ac:dyDescent="0.35">
      <c r="F6160" s="1"/>
      <c r="H6160" t="s">
        <v>26</v>
      </c>
    </row>
    <row r="6161" spans="6:8" x14ac:dyDescent="0.35">
      <c r="F6161" s="1"/>
      <c r="H6161" t="s">
        <v>26</v>
      </c>
    </row>
    <row r="6162" spans="6:8" x14ac:dyDescent="0.35">
      <c r="F6162" s="1"/>
      <c r="H6162" t="s">
        <v>26</v>
      </c>
    </row>
    <row r="6163" spans="6:8" x14ac:dyDescent="0.35">
      <c r="F6163" s="1"/>
      <c r="H6163" t="s">
        <v>26</v>
      </c>
    </row>
    <row r="6164" spans="6:8" x14ac:dyDescent="0.35">
      <c r="F6164" s="1"/>
      <c r="H6164" t="s">
        <v>26</v>
      </c>
    </row>
    <row r="6165" spans="6:8" x14ac:dyDescent="0.35">
      <c r="F6165" s="1"/>
      <c r="H6165" t="s">
        <v>26</v>
      </c>
    </row>
    <row r="6166" spans="6:8" x14ac:dyDescent="0.35">
      <c r="F6166" s="1"/>
      <c r="H6166" t="s">
        <v>26</v>
      </c>
    </row>
    <row r="6167" spans="6:8" x14ac:dyDescent="0.35">
      <c r="F6167" s="1"/>
      <c r="H6167" t="s">
        <v>26</v>
      </c>
    </row>
    <row r="6168" spans="6:8" x14ac:dyDescent="0.35">
      <c r="F6168" s="1"/>
      <c r="H6168" t="s">
        <v>26</v>
      </c>
    </row>
    <row r="6169" spans="6:8" x14ac:dyDescent="0.35">
      <c r="F6169" s="1"/>
      <c r="H6169" t="s">
        <v>26</v>
      </c>
    </row>
    <row r="6170" spans="6:8" x14ac:dyDescent="0.35">
      <c r="F6170" s="1"/>
      <c r="H6170" t="s">
        <v>26</v>
      </c>
    </row>
    <row r="6171" spans="6:8" x14ac:dyDescent="0.35">
      <c r="F6171" s="1"/>
      <c r="H6171" t="s">
        <v>26</v>
      </c>
    </row>
    <row r="6172" spans="6:8" x14ac:dyDescent="0.35">
      <c r="F6172" s="1"/>
      <c r="H6172" t="s">
        <v>26</v>
      </c>
    </row>
    <row r="6173" spans="6:8" x14ac:dyDescent="0.35">
      <c r="F6173" s="1"/>
      <c r="H6173" t="s">
        <v>26</v>
      </c>
    </row>
    <row r="6174" spans="6:8" x14ac:dyDescent="0.35">
      <c r="F6174" s="1"/>
      <c r="H6174" t="s">
        <v>26</v>
      </c>
    </row>
    <row r="6175" spans="6:8" x14ac:dyDescent="0.35">
      <c r="F6175" s="1"/>
      <c r="H6175" t="s">
        <v>26</v>
      </c>
    </row>
    <row r="6176" spans="6:8" x14ac:dyDescent="0.35">
      <c r="F6176" s="1"/>
      <c r="H6176" t="s">
        <v>26</v>
      </c>
    </row>
    <row r="6177" spans="6:8" x14ac:dyDescent="0.35">
      <c r="F6177" s="1"/>
      <c r="H6177" t="s">
        <v>26</v>
      </c>
    </row>
    <row r="6178" spans="6:8" x14ac:dyDescent="0.35">
      <c r="F6178" s="1"/>
      <c r="H6178" t="s">
        <v>26</v>
      </c>
    </row>
    <row r="6179" spans="6:8" x14ac:dyDescent="0.35">
      <c r="F6179" s="1"/>
      <c r="H6179" t="s">
        <v>26</v>
      </c>
    </row>
    <row r="6180" spans="6:8" x14ac:dyDescent="0.35">
      <c r="F6180" s="1"/>
      <c r="H6180" t="s">
        <v>26</v>
      </c>
    </row>
    <row r="6181" spans="6:8" x14ac:dyDescent="0.35">
      <c r="F6181" s="1"/>
      <c r="H6181" t="s">
        <v>26</v>
      </c>
    </row>
    <row r="6182" spans="6:8" x14ac:dyDescent="0.35">
      <c r="F6182" s="1"/>
      <c r="H6182" t="s">
        <v>26</v>
      </c>
    </row>
    <row r="6183" spans="6:8" x14ac:dyDescent="0.35">
      <c r="F6183" s="1"/>
      <c r="H6183" t="s">
        <v>26</v>
      </c>
    </row>
    <row r="6184" spans="6:8" x14ac:dyDescent="0.35">
      <c r="F6184" s="1"/>
      <c r="H6184" t="s">
        <v>26</v>
      </c>
    </row>
    <row r="6185" spans="6:8" x14ac:dyDescent="0.35">
      <c r="F6185" s="1"/>
      <c r="H6185" t="s">
        <v>26</v>
      </c>
    </row>
    <row r="6186" spans="6:8" x14ac:dyDescent="0.35">
      <c r="F6186" s="1"/>
      <c r="H6186" t="s">
        <v>26</v>
      </c>
    </row>
    <row r="6187" spans="6:8" x14ac:dyDescent="0.35">
      <c r="F6187" s="1"/>
      <c r="H6187" t="s">
        <v>26</v>
      </c>
    </row>
    <row r="6188" spans="6:8" x14ac:dyDescent="0.35">
      <c r="F6188" s="1"/>
      <c r="H6188" t="s">
        <v>26</v>
      </c>
    </row>
    <row r="6189" spans="6:8" x14ac:dyDescent="0.35">
      <c r="F6189" s="1"/>
      <c r="H6189" t="s">
        <v>26</v>
      </c>
    </row>
    <row r="6190" spans="6:8" x14ac:dyDescent="0.35">
      <c r="F6190" s="1"/>
      <c r="H6190" t="s">
        <v>26</v>
      </c>
    </row>
    <row r="6191" spans="6:8" x14ac:dyDescent="0.35">
      <c r="F6191" s="1"/>
      <c r="H6191" t="s">
        <v>26</v>
      </c>
    </row>
    <row r="6192" spans="6:8" x14ac:dyDescent="0.35">
      <c r="F6192" s="1"/>
      <c r="H6192" t="s">
        <v>26</v>
      </c>
    </row>
    <row r="6193" spans="6:8" x14ac:dyDescent="0.35">
      <c r="F6193" s="1"/>
      <c r="H6193" t="s">
        <v>26</v>
      </c>
    </row>
    <row r="6194" spans="6:8" x14ac:dyDescent="0.35">
      <c r="F6194" s="1"/>
      <c r="H6194" t="s">
        <v>26</v>
      </c>
    </row>
    <row r="6195" spans="6:8" x14ac:dyDescent="0.35">
      <c r="F6195" s="1"/>
      <c r="H6195" t="s">
        <v>26</v>
      </c>
    </row>
    <row r="6196" spans="6:8" x14ac:dyDescent="0.35">
      <c r="F6196" s="1"/>
      <c r="H6196" t="s">
        <v>26</v>
      </c>
    </row>
    <row r="6197" spans="6:8" x14ac:dyDescent="0.35">
      <c r="F6197" s="1"/>
      <c r="H6197" t="s">
        <v>26</v>
      </c>
    </row>
    <row r="6198" spans="6:8" x14ac:dyDescent="0.35">
      <c r="F6198" s="1"/>
      <c r="H6198" t="s">
        <v>26</v>
      </c>
    </row>
    <row r="6199" spans="6:8" x14ac:dyDescent="0.35">
      <c r="F6199" s="1"/>
      <c r="H6199" t="s">
        <v>26</v>
      </c>
    </row>
    <row r="6200" spans="6:8" x14ac:dyDescent="0.35">
      <c r="F6200" s="1"/>
      <c r="H6200" t="s">
        <v>26</v>
      </c>
    </row>
    <row r="6201" spans="6:8" x14ac:dyDescent="0.35">
      <c r="F6201" s="1"/>
      <c r="H6201" t="s">
        <v>26</v>
      </c>
    </row>
    <row r="6202" spans="6:8" x14ac:dyDescent="0.35">
      <c r="F6202" s="1"/>
      <c r="H6202" t="s">
        <v>26</v>
      </c>
    </row>
    <row r="6203" spans="6:8" x14ac:dyDescent="0.35">
      <c r="F6203" s="1"/>
      <c r="H6203" t="s">
        <v>26</v>
      </c>
    </row>
    <row r="6204" spans="6:8" x14ac:dyDescent="0.35">
      <c r="F6204" s="1"/>
      <c r="H6204" t="s">
        <v>26</v>
      </c>
    </row>
    <row r="6205" spans="6:8" x14ac:dyDescent="0.35">
      <c r="F6205" s="1"/>
      <c r="H6205" t="s">
        <v>26</v>
      </c>
    </row>
    <row r="6206" spans="6:8" x14ac:dyDescent="0.35">
      <c r="F6206" s="1"/>
      <c r="H6206" t="s">
        <v>26</v>
      </c>
    </row>
    <row r="6207" spans="6:8" x14ac:dyDescent="0.35">
      <c r="F6207" s="1"/>
      <c r="H6207" t="s">
        <v>26</v>
      </c>
    </row>
    <row r="6208" spans="6:8" x14ac:dyDescent="0.35">
      <c r="F6208" s="1"/>
      <c r="H6208" t="s">
        <v>26</v>
      </c>
    </row>
    <row r="6209" spans="6:8" x14ac:dyDescent="0.35">
      <c r="F6209" s="1"/>
      <c r="H6209" t="s">
        <v>26</v>
      </c>
    </row>
    <row r="6210" spans="6:8" x14ac:dyDescent="0.35">
      <c r="F6210" s="1"/>
      <c r="H6210" t="s">
        <v>26</v>
      </c>
    </row>
    <row r="6211" spans="6:8" x14ac:dyDescent="0.35">
      <c r="F6211" s="1"/>
      <c r="H6211" t="s">
        <v>26</v>
      </c>
    </row>
    <row r="6212" spans="6:8" x14ac:dyDescent="0.35">
      <c r="F6212" s="1"/>
      <c r="H6212" t="s">
        <v>26</v>
      </c>
    </row>
    <row r="6213" spans="6:8" x14ac:dyDescent="0.35">
      <c r="F6213" s="1"/>
      <c r="H6213" t="s">
        <v>26</v>
      </c>
    </row>
    <row r="6214" spans="6:8" x14ac:dyDescent="0.35">
      <c r="F6214" s="1"/>
      <c r="H6214" t="s">
        <v>26</v>
      </c>
    </row>
    <row r="6215" spans="6:8" x14ac:dyDescent="0.35">
      <c r="F6215" s="1"/>
      <c r="H6215" t="s">
        <v>26</v>
      </c>
    </row>
    <row r="6216" spans="6:8" x14ac:dyDescent="0.35">
      <c r="F6216" s="1"/>
      <c r="H6216" t="s">
        <v>26</v>
      </c>
    </row>
    <row r="6217" spans="6:8" x14ac:dyDescent="0.35">
      <c r="F6217" s="1"/>
      <c r="H6217" t="s">
        <v>26</v>
      </c>
    </row>
    <row r="6218" spans="6:8" x14ac:dyDescent="0.35">
      <c r="F6218" s="1"/>
      <c r="H6218" t="s">
        <v>26</v>
      </c>
    </row>
    <row r="6219" spans="6:8" x14ac:dyDescent="0.35">
      <c r="F6219" s="1"/>
      <c r="H6219" t="s">
        <v>26</v>
      </c>
    </row>
    <row r="6220" spans="6:8" x14ac:dyDescent="0.35">
      <c r="F6220" s="1"/>
      <c r="H6220" t="s">
        <v>26</v>
      </c>
    </row>
    <row r="6221" spans="6:8" x14ac:dyDescent="0.35">
      <c r="F6221" s="1"/>
      <c r="H6221" t="s">
        <v>26</v>
      </c>
    </row>
    <row r="6222" spans="6:8" x14ac:dyDescent="0.35">
      <c r="F6222" s="1"/>
      <c r="H6222" t="s">
        <v>26</v>
      </c>
    </row>
    <row r="6223" spans="6:8" x14ac:dyDescent="0.35">
      <c r="F6223" s="1"/>
      <c r="H6223" t="s">
        <v>26</v>
      </c>
    </row>
    <row r="6224" spans="6:8" x14ac:dyDescent="0.35">
      <c r="F6224" s="1"/>
      <c r="H6224" t="s">
        <v>26</v>
      </c>
    </row>
    <row r="6225" spans="6:8" x14ac:dyDescent="0.35">
      <c r="F6225" s="1"/>
      <c r="H6225" t="s">
        <v>26</v>
      </c>
    </row>
    <row r="6226" spans="6:8" x14ac:dyDescent="0.35">
      <c r="F6226" s="1"/>
      <c r="H6226" t="s">
        <v>26</v>
      </c>
    </row>
    <row r="6227" spans="6:8" x14ac:dyDescent="0.35">
      <c r="F6227" s="1"/>
      <c r="H6227" t="s">
        <v>26</v>
      </c>
    </row>
    <row r="6228" spans="6:8" x14ac:dyDescent="0.35">
      <c r="F6228" s="1"/>
      <c r="H6228" t="s">
        <v>26</v>
      </c>
    </row>
    <row r="6229" spans="6:8" x14ac:dyDescent="0.35">
      <c r="F6229" s="1"/>
      <c r="H6229" t="s">
        <v>26</v>
      </c>
    </row>
    <row r="6230" spans="6:8" x14ac:dyDescent="0.35">
      <c r="F6230" s="1"/>
      <c r="H6230" t="s">
        <v>26</v>
      </c>
    </row>
    <row r="6231" spans="6:8" x14ac:dyDescent="0.35">
      <c r="F6231" s="1"/>
      <c r="H6231" t="s">
        <v>26</v>
      </c>
    </row>
    <row r="6232" spans="6:8" x14ac:dyDescent="0.35">
      <c r="F6232" s="1"/>
      <c r="H6232" t="s">
        <v>26</v>
      </c>
    </row>
    <row r="6233" spans="6:8" x14ac:dyDescent="0.35">
      <c r="F6233" s="1"/>
      <c r="H6233" t="s">
        <v>26</v>
      </c>
    </row>
    <row r="6234" spans="6:8" x14ac:dyDescent="0.35">
      <c r="F6234" s="1"/>
      <c r="H6234" t="s">
        <v>26</v>
      </c>
    </row>
    <row r="6235" spans="6:8" x14ac:dyDescent="0.35">
      <c r="F6235" s="1"/>
      <c r="H6235" t="s">
        <v>26</v>
      </c>
    </row>
    <row r="6236" spans="6:8" x14ac:dyDescent="0.35">
      <c r="F6236" s="1"/>
      <c r="H6236" t="s">
        <v>26</v>
      </c>
    </row>
    <row r="6237" spans="6:8" x14ac:dyDescent="0.35">
      <c r="F6237" s="1"/>
      <c r="H6237" t="s">
        <v>26</v>
      </c>
    </row>
    <row r="6238" spans="6:8" x14ac:dyDescent="0.35">
      <c r="F6238" s="1"/>
      <c r="H6238" t="s">
        <v>26</v>
      </c>
    </row>
    <row r="6239" spans="6:8" x14ac:dyDescent="0.35">
      <c r="F6239" s="1"/>
      <c r="H6239" t="s">
        <v>26</v>
      </c>
    </row>
    <row r="6240" spans="6:8" x14ac:dyDescent="0.35">
      <c r="F6240" s="1"/>
      <c r="H6240" t="s">
        <v>26</v>
      </c>
    </row>
    <row r="6241" spans="6:8" x14ac:dyDescent="0.35">
      <c r="F6241" s="1"/>
      <c r="H6241" t="s">
        <v>26</v>
      </c>
    </row>
    <row r="6242" spans="6:8" x14ac:dyDescent="0.35">
      <c r="F6242" s="1"/>
      <c r="H6242" t="s">
        <v>26</v>
      </c>
    </row>
    <row r="6243" spans="6:8" x14ac:dyDescent="0.35">
      <c r="F6243" s="1"/>
      <c r="H6243" t="s">
        <v>26</v>
      </c>
    </row>
    <row r="6244" spans="6:8" x14ac:dyDescent="0.35">
      <c r="F6244" s="1"/>
      <c r="H6244" t="s">
        <v>26</v>
      </c>
    </row>
    <row r="6245" spans="6:8" x14ac:dyDescent="0.35">
      <c r="F6245" s="1"/>
      <c r="H6245" t="s">
        <v>26</v>
      </c>
    </row>
    <row r="6246" spans="6:8" x14ac:dyDescent="0.35">
      <c r="F6246" s="1"/>
      <c r="H6246" t="s">
        <v>26</v>
      </c>
    </row>
    <row r="6247" spans="6:8" x14ac:dyDescent="0.35">
      <c r="F6247" s="1"/>
      <c r="H6247" t="s">
        <v>26</v>
      </c>
    </row>
    <row r="6248" spans="6:8" x14ac:dyDescent="0.35">
      <c r="F6248" s="1"/>
      <c r="H6248" t="s">
        <v>26</v>
      </c>
    </row>
    <row r="6249" spans="6:8" x14ac:dyDescent="0.35">
      <c r="F6249" s="1"/>
      <c r="H6249" t="s">
        <v>26</v>
      </c>
    </row>
    <row r="6250" spans="6:8" x14ac:dyDescent="0.35">
      <c r="F6250" s="1"/>
      <c r="H6250" t="s">
        <v>26</v>
      </c>
    </row>
    <row r="6251" spans="6:8" x14ac:dyDescent="0.35">
      <c r="F6251" s="1"/>
      <c r="H6251" t="s">
        <v>26</v>
      </c>
    </row>
    <row r="6252" spans="6:8" x14ac:dyDescent="0.35">
      <c r="F6252" s="1"/>
      <c r="H6252" t="s">
        <v>26</v>
      </c>
    </row>
    <row r="6253" spans="6:8" x14ac:dyDescent="0.35">
      <c r="F6253" s="1"/>
      <c r="H6253" t="s">
        <v>26</v>
      </c>
    </row>
    <row r="6254" spans="6:8" x14ac:dyDescent="0.35">
      <c r="F6254" s="1"/>
      <c r="H6254" t="s">
        <v>26</v>
      </c>
    </row>
    <row r="6255" spans="6:8" x14ac:dyDescent="0.35">
      <c r="F6255" s="1"/>
      <c r="H6255" t="s">
        <v>26</v>
      </c>
    </row>
    <row r="6256" spans="6:8" x14ac:dyDescent="0.35">
      <c r="F6256" s="1"/>
      <c r="H6256" t="s">
        <v>26</v>
      </c>
    </row>
    <row r="6257" spans="6:8" x14ac:dyDescent="0.35">
      <c r="F6257" s="1"/>
      <c r="H6257" t="s">
        <v>26</v>
      </c>
    </row>
    <row r="6258" spans="6:8" x14ac:dyDescent="0.35">
      <c r="F6258" s="1"/>
      <c r="H6258" t="s">
        <v>26</v>
      </c>
    </row>
    <row r="6259" spans="6:8" x14ac:dyDescent="0.35">
      <c r="F6259" s="1"/>
      <c r="H6259" t="s">
        <v>26</v>
      </c>
    </row>
    <row r="6260" spans="6:8" x14ac:dyDescent="0.35">
      <c r="F6260" s="1"/>
      <c r="H6260" t="s">
        <v>26</v>
      </c>
    </row>
    <row r="6261" spans="6:8" x14ac:dyDescent="0.35">
      <c r="F6261" s="1"/>
      <c r="H6261" t="s">
        <v>26</v>
      </c>
    </row>
    <row r="6262" spans="6:8" x14ac:dyDescent="0.35">
      <c r="F6262" s="1"/>
      <c r="H6262" t="s">
        <v>26</v>
      </c>
    </row>
    <row r="6263" spans="6:8" x14ac:dyDescent="0.35">
      <c r="F6263" s="1"/>
      <c r="H6263" t="s">
        <v>26</v>
      </c>
    </row>
    <row r="6264" spans="6:8" x14ac:dyDescent="0.35">
      <c r="F6264" s="1"/>
      <c r="H6264" t="s">
        <v>26</v>
      </c>
    </row>
    <row r="6265" spans="6:8" x14ac:dyDescent="0.35">
      <c r="F6265" s="1"/>
      <c r="H6265" t="s">
        <v>26</v>
      </c>
    </row>
    <row r="6266" spans="6:8" x14ac:dyDescent="0.35">
      <c r="F6266" s="1"/>
      <c r="H6266" t="s">
        <v>26</v>
      </c>
    </row>
    <row r="6267" spans="6:8" x14ac:dyDescent="0.35">
      <c r="F6267" s="1"/>
      <c r="H6267" t="s">
        <v>26</v>
      </c>
    </row>
    <row r="6268" spans="6:8" x14ac:dyDescent="0.35">
      <c r="F6268" s="1"/>
      <c r="H6268" t="s">
        <v>26</v>
      </c>
    </row>
    <row r="6269" spans="6:8" x14ac:dyDescent="0.35">
      <c r="F6269" s="1"/>
      <c r="H6269" t="s">
        <v>26</v>
      </c>
    </row>
    <row r="6270" spans="6:8" x14ac:dyDescent="0.35">
      <c r="F6270" s="1"/>
      <c r="H6270" t="s">
        <v>26</v>
      </c>
    </row>
    <row r="6271" spans="6:8" x14ac:dyDescent="0.35">
      <c r="F6271" s="1"/>
      <c r="H6271" t="s">
        <v>26</v>
      </c>
    </row>
    <row r="6272" spans="6:8" x14ac:dyDescent="0.35">
      <c r="F6272" s="1"/>
      <c r="H6272" t="s">
        <v>26</v>
      </c>
    </row>
    <row r="6273" spans="6:8" x14ac:dyDescent="0.35">
      <c r="F6273" s="1"/>
      <c r="H6273" t="s">
        <v>26</v>
      </c>
    </row>
    <row r="6274" spans="6:8" x14ac:dyDescent="0.35">
      <c r="F6274" s="1"/>
      <c r="H6274" t="s">
        <v>26</v>
      </c>
    </row>
    <row r="6275" spans="6:8" x14ac:dyDescent="0.35">
      <c r="F6275" s="1"/>
      <c r="H6275" t="s">
        <v>26</v>
      </c>
    </row>
    <row r="6276" spans="6:8" x14ac:dyDescent="0.35">
      <c r="F6276" s="1"/>
      <c r="H6276" t="s">
        <v>26</v>
      </c>
    </row>
    <row r="6277" spans="6:8" x14ac:dyDescent="0.35">
      <c r="F6277" s="1"/>
      <c r="H6277" t="s">
        <v>26</v>
      </c>
    </row>
    <row r="6278" spans="6:8" x14ac:dyDescent="0.35">
      <c r="F6278" s="1"/>
      <c r="H6278" t="s">
        <v>26</v>
      </c>
    </row>
    <row r="6279" spans="6:8" x14ac:dyDescent="0.35">
      <c r="F6279" s="1"/>
      <c r="H6279" t="s">
        <v>26</v>
      </c>
    </row>
    <row r="6280" spans="6:8" x14ac:dyDescent="0.35">
      <c r="F6280" s="1"/>
      <c r="H6280" t="s">
        <v>26</v>
      </c>
    </row>
    <row r="6281" spans="6:8" x14ac:dyDescent="0.35">
      <c r="F6281" s="1"/>
      <c r="H6281" t="s">
        <v>26</v>
      </c>
    </row>
    <row r="6282" spans="6:8" x14ac:dyDescent="0.35">
      <c r="F6282" s="1"/>
      <c r="H6282" t="s">
        <v>26</v>
      </c>
    </row>
    <row r="6283" spans="6:8" x14ac:dyDescent="0.35">
      <c r="F6283" s="1"/>
      <c r="H6283" t="s">
        <v>26</v>
      </c>
    </row>
    <row r="6284" spans="6:8" x14ac:dyDescent="0.35">
      <c r="F6284" s="1"/>
      <c r="H6284" t="s">
        <v>26</v>
      </c>
    </row>
    <row r="6285" spans="6:8" x14ac:dyDescent="0.35">
      <c r="F6285" s="1"/>
      <c r="H6285" t="s">
        <v>26</v>
      </c>
    </row>
    <row r="6286" spans="6:8" x14ac:dyDescent="0.35">
      <c r="F6286" s="1"/>
      <c r="H6286" t="s">
        <v>26</v>
      </c>
    </row>
    <row r="6287" spans="6:8" x14ac:dyDescent="0.35">
      <c r="F6287" s="1"/>
      <c r="H6287" t="s">
        <v>26</v>
      </c>
    </row>
    <row r="6288" spans="6:8" x14ac:dyDescent="0.35">
      <c r="F6288" s="1"/>
      <c r="H6288" t="s">
        <v>26</v>
      </c>
    </row>
    <row r="6289" spans="6:8" x14ac:dyDescent="0.35">
      <c r="F6289" s="1"/>
      <c r="H6289" t="s">
        <v>26</v>
      </c>
    </row>
    <row r="6290" spans="6:8" x14ac:dyDescent="0.35">
      <c r="F6290" s="1"/>
      <c r="H6290" t="s">
        <v>26</v>
      </c>
    </row>
    <row r="6291" spans="6:8" x14ac:dyDescent="0.35">
      <c r="F6291" s="1"/>
      <c r="H6291" t="s">
        <v>26</v>
      </c>
    </row>
    <row r="6292" spans="6:8" x14ac:dyDescent="0.35">
      <c r="F6292" s="1"/>
      <c r="H6292" t="s">
        <v>26</v>
      </c>
    </row>
    <row r="6293" spans="6:8" x14ac:dyDescent="0.35">
      <c r="F6293" s="1"/>
      <c r="H6293" t="s">
        <v>26</v>
      </c>
    </row>
    <row r="6294" spans="6:8" x14ac:dyDescent="0.35">
      <c r="F6294" s="1"/>
      <c r="H6294" t="s">
        <v>26</v>
      </c>
    </row>
    <row r="6295" spans="6:8" x14ac:dyDescent="0.35">
      <c r="F6295" s="1"/>
      <c r="H6295" t="s">
        <v>26</v>
      </c>
    </row>
    <row r="6296" spans="6:8" x14ac:dyDescent="0.35">
      <c r="F6296" s="1"/>
      <c r="H6296" t="s">
        <v>26</v>
      </c>
    </row>
    <row r="6297" spans="6:8" x14ac:dyDescent="0.35">
      <c r="F6297" s="1"/>
      <c r="H6297" t="s">
        <v>26</v>
      </c>
    </row>
    <row r="6298" spans="6:8" x14ac:dyDescent="0.35">
      <c r="F6298" s="1"/>
      <c r="H6298" t="s">
        <v>26</v>
      </c>
    </row>
    <row r="6299" spans="6:8" x14ac:dyDescent="0.35">
      <c r="F6299" s="1"/>
      <c r="H6299" t="s">
        <v>26</v>
      </c>
    </row>
    <row r="6300" spans="6:8" x14ac:dyDescent="0.35">
      <c r="F6300" s="1"/>
      <c r="H6300" t="s">
        <v>26</v>
      </c>
    </row>
    <row r="6301" spans="6:8" x14ac:dyDescent="0.35">
      <c r="F6301" s="1"/>
      <c r="H6301" t="s">
        <v>26</v>
      </c>
    </row>
    <row r="6302" spans="6:8" x14ac:dyDescent="0.35">
      <c r="F6302" s="1"/>
      <c r="H6302" t="s">
        <v>26</v>
      </c>
    </row>
    <row r="6303" spans="6:8" x14ac:dyDescent="0.35">
      <c r="F6303" s="1"/>
      <c r="H6303" t="s">
        <v>26</v>
      </c>
    </row>
    <row r="6304" spans="6:8" x14ac:dyDescent="0.35">
      <c r="F6304" s="1"/>
      <c r="H6304" t="s">
        <v>26</v>
      </c>
    </row>
    <row r="6305" spans="6:8" x14ac:dyDescent="0.35">
      <c r="F6305" s="1"/>
      <c r="H6305" t="s">
        <v>26</v>
      </c>
    </row>
    <row r="6306" spans="6:8" x14ac:dyDescent="0.35">
      <c r="F6306" s="1"/>
      <c r="H6306" t="s">
        <v>26</v>
      </c>
    </row>
    <row r="6307" spans="6:8" x14ac:dyDescent="0.35">
      <c r="F6307" s="1"/>
      <c r="H6307" t="s">
        <v>26</v>
      </c>
    </row>
    <row r="6308" spans="6:8" x14ac:dyDescent="0.35">
      <c r="F6308" s="1"/>
      <c r="H6308" t="s">
        <v>26</v>
      </c>
    </row>
    <row r="6309" spans="6:8" x14ac:dyDescent="0.35">
      <c r="F6309" s="1"/>
      <c r="H6309" t="s">
        <v>26</v>
      </c>
    </row>
    <row r="6310" spans="6:8" x14ac:dyDescent="0.35">
      <c r="F6310" s="1"/>
      <c r="H6310" t="s">
        <v>26</v>
      </c>
    </row>
    <row r="6311" spans="6:8" x14ac:dyDescent="0.35">
      <c r="F6311" s="1"/>
      <c r="H6311" t="s">
        <v>26</v>
      </c>
    </row>
    <row r="6312" spans="6:8" x14ac:dyDescent="0.35">
      <c r="F6312" s="1"/>
      <c r="H6312" t="s">
        <v>26</v>
      </c>
    </row>
    <row r="6313" spans="6:8" x14ac:dyDescent="0.35">
      <c r="F6313" s="1"/>
      <c r="H6313" t="s">
        <v>26</v>
      </c>
    </row>
    <row r="6314" spans="6:8" x14ac:dyDescent="0.35">
      <c r="F6314" s="1"/>
      <c r="H6314" t="s">
        <v>26</v>
      </c>
    </row>
    <row r="6315" spans="6:8" x14ac:dyDescent="0.35">
      <c r="F6315" s="1"/>
      <c r="H6315" t="s">
        <v>26</v>
      </c>
    </row>
    <row r="6316" spans="6:8" x14ac:dyDescent="0.35">
      <c r="F6316" s="1"/>
      <c r="H6316" t="s">
        <v>26</v>
      </c>
    </row>
    <row r="6317" spans="6:8" x14ac:dyDescent="0.35">
      <c r="F6317" s="1"/>
      <c r="H6317" t="s">
        <v>26</v>
      </c>
    </row>
    <row r="6318" spans="6:8" x14ac:dyDescent="0.35">
      <c r="F6318" s="1"/>
      <c r="H6318" t="s">
        <v>26</v>
      </c>
    </row>
    <row r="6319" spans="6:8" x14ac:dyDescent="0.35">
      <c r="F6319" s="1"/>
      <c r="H6319" t="s">
        <v>26</v>
      </c>
    </row>
    <row r="6320" spans="6:8" x14ac:dyDescent="0.35">
      <c r="F6320" s="1"/>
      <c r="H6320" t="s">
        <v>26</v>
      </c>
    </row>
    <row r="6321" spans="6:8" x14ac:dyDescent="0.35">
      <c r="F6321" s="1"/>
      <c r="H6321" t="s">
        <v>26</v>
      </c>
    </row>
    <row r="6322" spans="6:8" x14ac:dyDescent="0.35">
      <c r="F6322" s="1"/>
      <c r="H6322" t="s">
        <v>26</v>
      </c>
    </row>
    <row r="6323" spans="6:8" x14ac:dyDescent="0.35">
      <c r="F6323" s="1"/>
      <c r="H6323" t="s">
        <v>26</v>
      </c>
    </row>
    <row r="6324" spans="6:8" x14ac:dyDescent="0.35">
      <c r="F6324" s="1"/>
      <c r="H6324" t="s">
        <v>26</v>
      </c>
    </row>
    <row r="6325" spans="6:8" x14ac:dyDescent="0.35">
      <c r="F6325" s="1"/>
      <c r="H6325" t="s">
        <v>26</v>
      </c>
    </row>
    <row r="6326" spans="6:8" x14ac:dyDescent="0.35">
      <c r="F6326" s="1"/>
      <c r="H6326" t="s">
        <v>26</v>
      </c>
    </row>
    <row r="6327" spans="6:8" x14ac:dyDescent="0.35">
      <c r="F6327" s="1"/>
      <c r="H6327" t="s">
        <v>26</v>
      </c>
    </row>
    <row r="6328" spans="6:8" x14ac:dyDescent="0.35">
      <c r="F6328" s="1"/>
      <c r="H6328" t="s">
        <v>26</v>
      </c>
    </row>
    <row r="6329" spans="6:8" x14ac:dyDescent="0.35">
      <c r="F6329" s="1"/>
      <c r="H6329" t="s">
        <v>26</v>
      </c>
    </row>
    <row r="6330" spans="6:8" x14ac:dyDescent="0.35">
      <c r="F6330" s="1"/>
      <c r="H6330" t="s">
        <v>26</v>
      </c>
    </row>
    <row r="6331" spans="6:8" x14ac:dyDescent="0.35">
      <c r="F6331" s="1"/>
      <c r="H6331" t="s">
        <v>26</v>
      </c>
    </row>
    <row r="6332" spans="6:8" x14ac:dyDescent="0.35">
      <c r="F6332" s="1"/>
      <c r="H6332" t="s">
        <v>26</v>
      </c>
    </row>
    <row r="6333" spans="6:8" x14ac:dyDescent="0.35">
      <c r="F6333" s="1"/>
      <c r="H6333" t="s">
        <v>26</v>
      </c>
    </row>
    <row r="6334" spans="6:8" x14ac:dyDescent="0.35">
      <c r="F6334" s="1"/>
      <c r="H6334" t="s">
        <v>26</v>
      </c>
    </row>
    <row r="6335" spans="6:8" x14ac:dyDescent="0.35">
      <c r="F6335" s="1"/>
      <c r="H6335" t="s">
        <v>26</v>
      </c>
    </row>
    <row r="6336" spans="6:8" x14ac:dyDescent="0.35">
      <c r="F6336" s="1"/>
      <c r="H6336" t="s">
        <v>26</v>
      </c>
    </row>
    <row r="6337" spans="6:9" x14ac:dyDescent="0.35">
      <c r="F6337" s="1"/>
      <c r="H6337" t="s">
        <v>26</v>
      </c>
    </row>
    <row r="6338" spans="6:9" x14ac:dyDescent="0.35">
      <c r="F6338" s="1"/>
      <c r="H6338" t="s">
        <v>26</v>
      </c>
    </row>
    <row r="6339" spans="6:9" x14ac:dyDescent="0.35">
      <c r="F6339" s="1"/>
      <c r="H6339" t="s">
        <v>26</v>
      </c>
    </row>
    <row r="6340" spans="6:9" x14ac:dyDescent="0.35">
      <c r="F6340" s="1"/>
      <c r="H6340" t="s">
        <v>26</v>
      </c>
    </row>
    <row r="6341" spans="6:9" x14ac:dyDescent="0.35">
      <c r="F6341" s="1"/>
      <c r="H6341" t="s">
        <v>78</v>
      </c>
      <c r="I6341" s="57">
        <v>0</v>
      </c>
    </row>
    <row r="6342" spans="6:9" x14ac:dyDescent="0.35">
      <c r="F6342" s="1"/>
      <c r="H6342" t="s">
        <v>78</v>
      </c>
      <c r="I6342" s="57">
        <v>0</v>
      </c>
    </row>
    <row r="6343" spans="6:9" x14ac:dyDescent="0.35">
      <c r="F6343" s="1"/>
      <c r="H6343" t="s">
        <v>78</v>
      </c>
      <c r="I6343" s="57">
        <v>0</v>
      </c>
    </row>
    <row r="6344" spans="6:9" x14ac:dyDescent="0.35">
      <c r="F6344" s="1"/>
      <c r="H6344" t="s">
        <v>78</v>
      </c>
      <c r="I6344" s="57">
        <v>0</v>
      </c>
    </row>
    <row r="6345" spans="6:9" x14ac:dyDescent="0.35">
      <c r="F6345" s="1"/>
      <c r="H6345" t="s">
        <v>78</v>
      </c>
      <c r="I6345" s="57">
        <v>0</v>
      </c>
    </row>
    <row r="6346" spans="6:9" x14ac:dyDescent="0.35">
      <c r="F6346" s="1"/>
      <c r="H6346" t="s">
        <v>78</v>
      </c>
      <c r="I6346" s="57">
        <v>0</v>
      </c>
    </row>
    <row r="6347" spans="6:9" x14ac:dyDescent="0.35">
      <c r="F6347" s="1"/>
      <c r="H6347" t="s">
        <v>78</v>
      </c>
      <c r="I6347" s="57">
        <v>0</v>
      </c>
    </row>
    <row r="6348" spans="6:9" x14ac:dyDescent="0.35">
      <c r="F6348" s="1"/>
      <c r="H6348" t="s">
        <v>78</v>
      </c>
      <c r="I6348" s="57">
        <v>0</v>
      </c>
    </row>
    <row r="6349" spans="6:9" x14ac:dyDescent="0.35">
      <c r="F6349" s="1"/>
      <c r="H6349" t="s">
        <v>78</v>
      </c>
      <c r="I6349" s="57">
        <v>0</v>
      </c>
    </row>
    <row r="6350" spans="6:9" x14ac:dyDescent="0.35">
      <c r="F6350" s="1"/>
      <c r="H6350" t="s">
        <v>78</v>
      </c>
      <c r="I6350" s="57">
        <v>0</v>
      </c>
    </row>
    <row r="6351" spans="6:9" x14ac:dyDescent="0.35">
      <c r="F6351" s="1"/>
      <c r="H6351" t="s">
        <v>78</v>
      </c>
      <c r="I6351" s="57">
        <v>0</v>
      </c>
    </row>
    <row r="6352" spans="6:9" x14ac:dyDescent="0.35">
      <c r="F6352" s="1"/>
      <c r="H6352" t="s">
        <v>78</v>
      </c>
      <c r="I6352" s="57">
        <v>0</v>
      </c>
    </row>
    <row r="6353" spans="6:9" x14ac:dyDescent="0.35">
      <c r="F6353" s="1"/>
      <c r="H6353" t="s">
        <v>78</v>
      </c>
      <c r="I6353" s="57">
        <v>0</v>
      </c>
    </row>
    <row r="6354" spans="6:9" x14ac:dyDescent="0.35">
      <c r="F6354" s="1"/>
      <c r="H6354" t="s">
        <v>78</v>
      </c>
      <c r="I6354" s="57">
        <v>0</v>
      </c>
    </row>
    <row r="6355" spans="6:9" x14ac:dyDescent="0.35">
      <c r="F6355" s="1"/>
      <c r="H6355" t="s">
        <v>78</v>
      </c>
      <c r="I6355" s="57">
        <v>0</v>
      </c>
    </row>
    <row r="6356" spans="6:9" x14ac:dyDescent="0.35">
      <c r="F6356" s="1"/>
      <c r="H6356" t="s">
        <v>78</v>
      </c>
      <c r="I6356" s="57">
        <v>0</v>
      </c>
    </row>
    <row r="6357" spans="6:9" x14ac:dyDescent="0.35">
      <c r="F6357" s="1"/>
      <c r="H6357" t="s">
        <v>78</v>
      </c>
      <c r="I6357" s="57">
        <v>0</v>
      </c>
    </row>
    <row r="6358" spans="6:9" x14ac:dyDescent="0.35">
      <c r="F6358" s="1"/>
      <c r="H6358" t="s">
        <v>78</v>
      </c>
      <c r="I6358" s="57">
        <v>0</v>
      </c>
    </row>
    <row r="6359" spans="6:9" x14ac:dyDescent="0.35">
      <c r="F6359" s="1"/>
      <c r="H6359" t="s">
        <v>78</v>
      </c>
      <c r="I6359" s="57">
        <v>0</v>
      </c>
    </row>
    <row r="6360" spans="6:9" x14ac:dyDescent="0.35">
      <c r="F6360" s="1"/>
      <c r="H6360" t="s">
        <v>78</v>
      </c>
      <c r="I6360" s="57">
        <v>0</v>
      </c>
    </row>
    <row r="6361" spans="6:9" x14ac:dyDescent="0.35">
      <c r="F6361" s="1"/>
      <c r="H6361" t="s">
        <v>78</v>
      </c>
      <c r="I6361" s="57">
        <v>0</v>
      </c>
    </row>
    <row r="6362" spans="6:9" x14ac:dyDescent="0.35">
      <c r="F6362" s="1"/>
      <c r="H6362" t="s">
        <v>78</v>
      </c>
      <c r="I6362" s="57">
        <v>0</v>
      </c>
    </row>
    <row r="6363" spans="6:9" x14ac:dyDescent="0.35">
      <c r="F6363" s="1"/>
      <c r="H6363" t="s">
        <v>78</v>
      </c>
      <c r="I6363" s="57">
        <v>0</v>
      </c>
    </row>
    <row r="6364" spans="6:9" x14ac:dyDescent="0.35">
      <c r="F6364" s="1"/>
      <c r="H6364" t="s">
        <v>78</v>
      </c>
      <c r="I6364" s="57">
        <v>0</v>
      </c>
    </row>
    <row r="6365" spans="6:9" x14ac:dyDescent="0.35">
      <c r="F6365" s="1"/>
      <c r="H6365" t="s">
        <v>78</v>
      </c>
      <c r="I6365" s="57">
        <v>0</v>
      </c>
    </row>
    <row r="6366" spans="6:9" x14ac:dyDescent="0.35">
      <c r="F6366" s="1"/>
      <c r="H6366" t="s">
        <v>78</v>
      </c>
      <c r="I6366" s="57">
        <v>0</v>
      </c>
    </row>
    <row r="6367" spans="6:9" x14ac:dyDescent="0.35">
      <c r="F6367" s="1"/>
      <c r="H6367" t="s">
        <v>78</v>
      </c>
      <c r="I6367" s="57">
        <v>0</v>
      </c>
    </row>
    <row r="6368" spans="6:9" x14ac:dyDescent="0.35">
      <c r="F6368" s="1"/>
      <c r="H6368" t="s">
        <v>78</v>
      </c>
      <c r="I6368" s="57">
        <v>0</v>
      </c>
    </row>
    <row r="6369" spans="6:9" x14ac:dyDescent="0.35">
      <c r="F6369" s="1"/>
      <c r="H6369" t="s">
        <v>78</v>
      </c>
      <c r="I6369" s="57">
        <v>0</v>
      </c>
    </row>
    <row r="6370" spans="6:9" x14ac:dyDescent="0.35">
      <c r="F6370" s="1"/>
      <c r="H6370" t="s">
        <v>78</v>
      </c>
      <c r="I6370" s="57">
        <v>0</v>
      </c>
    </row>
    <row r="6371" spans="6:9" x14ac:dyDescent="0.35">
      <c r="F6371" s="1"/>
      <c r="H6371" t="s">
        <v>78</v>
      </c>
      <c r="I6371" s="57">
        <v>0</v>
      </c>
    </row>
    <row r="6372" spans="6:9" x14ac:dyDescent="0.35">
      <c r="F6372" s="1"/>
      <c r="H6372" t="s">
        <v>78</v>
      </c>
      <c r="I6372" s="57">
        <v>0</v>
      </c>
    </row>
    <row r="6373" spans="6:9" x14ac:dyDescent="0.35">
      <c r="F6373" s="1"/>
      <c r="H6373" t="s">
        <v>78</v>
      </c>
      <c r="I6373" s="57">
        <v>0</v>
      </c>
    </row>
    <row r="6374" spans="6:9" x14ac:dyDescent="0.35">
      <c r="F6374" s="1"/>
      <c r="H6374" t="s">
        <v>78</v>
      </c>
      <c r="I6374" s="57">
        <v>0</v>
      </c>
    </row>
    <row r="6375" spans="6:9" x14ac:dyDescent="0.35">
      <c r="F6375" s="1"/>
      <c r="H6375" t="s">
        <v>78</v>
      </c>
      <c r="I6375" s="57">
        <v>0</v>
      </c>
    </row>
    <row r="6376" spans="6:9" x14ac:dyDescent="0.35">
      <c r="F6376" s="1"/>
      <c r="H6376" t="s">
        <v>78</v>
      </c>
      <c r="I6376" s="57">
        <v>0</v>
      </c>
    </row>
    <row r="6377" spans="6:9" x14ac:dyDescent="0.35">
      <c r="F6377" s="1"/>
      <c r="H6377" t="s">
        <v>78</v>
      </c>
      <c r="I6377" s="57">
        <v>0</v>
      </c>
    </row>
    <row r="6378" spans="6:9" x14ac:dyDescent="0.35">
      <c r="F6378" s="1"/>
      <c r="H6378" t="s">
        <v>78</v>
      </c>
      <c r="I6378" s="57">
        <v>0</v>
      </c>
    </row>
    <row r="6379" spans="6:9" x14ac:dyDescent="0.35">
      <c r="F6379" s="1"/>
      <c r="H6379" t="s">
        <v>78</v>
      </c>
      <c r="I6379" s="57">
        <v>0</v>
      </c>
    </row>
    <row r="6380" spans="6:9" x14ac:dyDescent="0.35">
      <c r="F6380" s="1"/>
      <c r="H6380" t="s">
        <v>78</v>
      </c>
      <c r="I6380" s="57">
        <v>0</v>
      </c>
    </row>
    <row r="6381" spans="6:9" x14ac:dyDescent="0.35">
      <c r="F6381" s="1"/>
      <c r="H6381" t="s">
        <v>78</v>
      </c>
      <c r="I6381" s="57">
        <v>0</v>
      </c>
    </row>
    <row r="6382" spans="6:9" x14ac:dyDescent="0.35">
      <c r="F6382" s="1"/>
      <c r="H6382" t="s">
        <v>78</v>
      </c>
      <c r="I6382" s="57">
        <v>0</v>
      </c>
    </row>
    <row r="6383" spans="6:9" x14ac:dyDescent="0.35">
      <c r="F6383" s="1"/>
      <c r="H6383" t="s">
        <v>78</v>
      </c>
      <c r="I6383" s="57">
        <v>0</v>
      </c>
    </row>
    <row r="6384" spans="6:9" x14ac:dyDescent="0.35">
      <c r="F6384" s="1"/>
      <c r="H6384" t="s">
        <v>78</v>
      </c>
      <c r="I6384" s="57">
        <v>0</v>
      </c>
    </row>
    <row r="6385" spans="6:9" x14ac:dyDescent="0.35">
      <c r="F6385" s="1"/>
      <c r="H6385" t="s">
        <v>78</v>
      </c>
      <c r="I6385" s="57">
        <v>0</v>
      </c>
    </row>
    <row r="6386" spans="6:9" x14ac:dyDescent="0.35">
      <c r="F6386" s="1"/>
      <c r="H6386" t="s">
        <v>78</v>
      </c>
      <c r="I6386" s="57">
        <v>0</v>
      </c>
    </row>
    <row r="6387" spans="6:9" x14ac:dyDescent="0.35">
      <c r="F6387" s="1"/>
      <c r="H6387" t="s">
        <v>78</v>
      </c>
      <c r="I6387" s="57">
        <v>0</v>
      </c>
    </row>
    <row r="6388" spans="6:9" x14ac:dyDescent="0.35">
      <c r="F6388" s="1"/>
      <c r="H6388" t="s">
        <v>78</v>
      </c>
      <c r="I6388" s="57">
        <v>0</v>
      </c>
    </row>
    <row r="6389" spans="6:9" x14ac:dyDescent="0.35">
      <c r="F6389" s="1"/>
      <c r="H6389" t="s">
        <v>78</v>
      </c>
      <c r="I6389" s="57">
        <v>0</v>
      </c>
    </row>
    <row r="6390" spans="6:9" x14ac:dyDescent="0.35">
      <c r="F6390" s="1"/>
      <c r="H6390" t="s">
        <v>78</v>
      </c>
      <c r="I6390" s="57">
        <v>0</v>
      </c>
    </row>
    <row r="6391" spans="6:9" x14ac:dyDescent="0.35">
      <c r="F6391" s="1"/>
      <c r="H6391" t="s">
        <v>78</v>
      </c>
      <c r="I6391" s="57">
        <v>0</v>
      </c>
    </row>
    <row r="6392" spans="6:9" x14ac:dyDescent="0.35">
      <c r="F6392" s="1"/>
      <c r="H6392" t="s">
        <v>78</v>
      </c>
      <c r="I6392" s="57">
        <v>0</v>
      </c>
    </row>
    <row r="6393" spans="6:9" x14ac:dyDescent="0.35">
      <c r="F6393" s="1"/>
      <c r="H6393" t="s">
        <v>78</v>
      </c>
      <c r="I6393" s="57">
        <v>0</v>
      </c>
    </row>
    <row r="6394" spans="6:9" x14ac:dyDescent="0.35">
      <c r="F6394" s="1"/>
      <c r="H6394" t="s">
        <v>78</v>
      </c>
      <c r="I6394" s="57">
        <v>0</v>
      </c>
    </row>
    <row r="6395" spans="6:9" x14ac:dyDescent="0.35">
      <c r="F6395" s="1"/>
      <c r="H6395" t="s">
        <v>78</v>
      </c>
      <c r="I6395" s="57">
        <v>0</v>
      </c>
    </row>
    <row r="6396" spans="6:9" x14ac:dyDescent="0.35">
      <c r="F6396" s="1"/>
      <c r="H6396" t="s">
        <v>78</v>
      </c>
      <c r="I6396" s="57">
        <v>0</v>
      </c>
    </row>
    <row r="6397" spans="6:9" x14ac:dyDescent="0.35">
      <c r="F6397" s="1"/>
      <c r="H6397" t="s">
        <v>78</v>
      </c>
      <c r="I6397" s="57">
        <v>0</v>
      </c>
    </row>
    <row r="6398" spans="6:9" x14ac:dyDescent="0.35">
      <c r="F6398" s="1"/>
      <c r="H6398" t="s">
        <v>78</v>
      </c>
      <c r="I6398" s="57">
        <v>0</v>
      </c>
    </row>
    <row r="6399" spans="6:9" x14ac:dyDescent="0.35">
      <c r="F6399" s="1"/>
      <c r="H6399" t="s">
        <v>78</v>
      </c>
      <c r="I6399" s="57">
        <v>0</v>
      </c>
    </row>
    <row r="6400" spans="6:9" x14ac:dyDescent="0.35">
      <c r="F6400" s="1"/>
      <c r="H6400" t="s">
        <v>78</v>
      </c>
      <c r="I6400" s="57">
        <v>0</v>
      </c>
    </row>
    <row r="6401" spans="6:9" x14ac:dyDescent="0.35">
      <c r="F6401" s="1"/>
      <c r="H6401" t="s">
        <v>78</v>
      </c>
      <c r="I6401" s="57">
        <v>0</v>
      </c>
    </row>
    <row r="6402" spans="6:9" x14ac:dyDescent="0.35">
      <c r="F6402" s="1"/>
      <c r="H6402" t="s">
        <v>78</v>
      </c>
      <c r="I6402" s="57">
        <v>0</v>
      </c>
    </row>
    <row r="6403" spans="6:9" x14ac:dyDescent="0.35">
      <c r="F6403" s="1"/>
      <c r="H6403" t="s">
        <v>78</v>
      </c>
      <c r="I6403" s="57">
        <v>0</v>
      </c>
    </row>
    <row r="6404" spans="6:9" x14ac:dyDescent="0.35">
      <c r="F6404" s="1"/>
      <c r="H6404" t="s">
        <v>78</v>
      </c>
      <c r="I6404" s="57">
        <v>0</v>
      </c>
    </row>
    <row r="6405" spans="6:9" x14ac:dyDescent="0.35">
      <c r="F6405" s="1"/>
      <c r="H6405" t="s">
        <v>78</v>
      </c>
      <c r="I6405" s="57">
        <v>0</v>
      </c>
    </row>
    <row r="6406" spans="6:9" x14ac:dyDescent="0.35">
      <c r="F6406" s="1"/>
      <c r="H6406" t="s">
        <v>78</v>
      </c>
      <c r="I6406" s="57">
        <v>0</v>
      </c>
    </row>
    <row r="6407" spans="6:9" x14ac:dyDescent="0.35">
      <c r="F6407" s="1"/>
      <c r="H6407" t="s">
        <v>78</v>
      </c>
      <c r="I6407" s="57">
        <v>0</v>
      </c>
    </row>
    <row r="6408" spans="6:9" x14ac:dyDescent="0.35">
      <c r="F6408" s="1"/>
      <c r="H6408" t="s">
        <v>78</v>
      </c>
      <c r="I6408" s="57">
        <v>0</v>
      </c>
    </row>
    <row r="6409" spans="6:9" x14ac:dyDescent="0.35">
      <c r="F6409" s="1"/>
      <c r="H6409" t="s">
        <v>78</v>
      </c>
      <c r="I6409" s="57">
        <v>0</v>
      </c>
    </row>
    <row r="6410" spans="6:9" x14ac:dyDescent="0.35">
      <c r="F6410" s="1"/>
      <c r="H6410" t="s">
        <v>78</v>
      </c>
      <c r="I6410" s="57">
        <v>0</v>
      </c>
    </row>
    <row r="6411" spans="6:9" x14ac:dyDescent="0.35">
      <c r="F6411" s="1"/>
      <c r="H6411" t="s">
        <v>78</v>
      </c>
      <c r="I6411" s="57">
        <v>0</v>
      </c>
    </row>
    <row r="6412" spans="6:9" x14ac:dyDescent="0.35">
      <c r="F6412" s="1"/>
      <c r="H6412" t="s">
        <v>78</v>
      </c>
      <c r="I6412" s="57">
        <v>0</v>
      </c>
    </row>
    <row r="6413" spans="6:9" x14ac:dyDescent="0.35">
      <c r="F6413" s="1"/>
      <c r="H6413" t="s">
        <v>78</v>
      </c>
      <c r="I6413" s="57">
        <v>0</v>
      </c>
    </row>
    <row r="6414" spans="6:9" x14ac:dyDescent="0.35">
      <c r="F6414" s="1"/>
      <c r="H6414" t="s">
        <v>78</v>
      </c>
      <c r="I6414" s="57">
        <v>0</v>
      </c>
    </row>
    <row r="6415" spans="6:9" x14ac:dyDescent="0.35">
      <c r="F6415" s="1"/>
      <c r="H6415" t="s">
        <v>78</v>
      </c>
      <c r="I6415" s="57">
        <v>0</v>
      </c>
    </row>
    <row r="6416" spans="6:9" x14ac:dyDescent="0.35">
      <c r="F6416" s="1"/>
      <c r="H6416" t="s">
        <v>78</v>
      </c>
      <c r="I6416" s="57">
        <v>0</v>
      </c>
    </row>
    <row r="6417" spans="6:9" x14ac:dyDescent="0.35">
      <c r="F6417" s="1"/>
      <c r="H6417" t="s">
        <v>78</v>
      </c>
      <c r="I6417" s="57">
        <v>0</v>
      </c>
    </row>
    <row r="6418" spans="6:9" x14ac:dyDescent="0.35">
      <c r="F6418" s="1"/>
      <c r="H6418" t="s">
        <v>78</v>
      </c>
      <c r="I6418" s="57">
        <v>0</v>
      </c>
    </row>
    <row r="6419" spans="6:9" x14ac:dyDescent="0.35">
      <c r="F6419" s="1"/>
      <c r="H6419" t="s">
        <v>78</v>
      </c>
      <c r="I6419" s="57">
        <v>0</v>
      </c>
    </row>
    <row r="6420" spans="6:9" x14ac:dyDescent="0.35">
      <c r="F6420" s="1"/>
      <c r="H6420" t="s">
        <v>78</v>
      </c>
      <c r="I6420" s="57">
        <v>0</v>
      </c>
    </row>
    <row r="6421" spans="6:9" x14ac:dyDescent="0.35">
      <c r="F6421" s="1"/>
      <c r="H6421" t="s">
        <v>78</v>
      </c>
      <c r="I6421" s="57">
        <v>0</v>
      </c>
    </row>
    <row r="6422" spans="6:9" x14ac:dyDescent="0.35">
      <c r="F6422" s="1"/>
      <c r="H6422" t="s">
        <v>78</v>
      </c>
      <c r="I6422" s="57">
        <v>0</v>
      </c>
    </row>
    <row r="6423" spans="6:9" x14ac:dyDescent="0.35">
      <c r="F6423" s="1"/>
      <c r="H6423" t="s">
        <v>78</v>
      </c>
      <c r="I6423" s="57">
        <v>0</v>
      </c>
    </row>
    <row r="6424" spans="6:9" x14ac:dyDescent="0.35">
      <c r="F6424" s="1"/>
      <c r="H6424" t="s">
        <v>78</v>
      </c>
      <c r="I6424" s="57">
        <v>0</v>
      </c>
    </row>
    <row r="6425" spans="6:9" x14ac:dyDescent="0.35">
      <c r="F6425" s="1"/>
      <c r="H6425" t="s">
        <v>78</v>
      </c>
      <c r="I6425" s="57">
        <v>0</v>
      </c>
    </row>
    <row r="6426" spans="6:9" x14ac:dyDescent="0.35">
      <c r="F6426" s="1"/>
      <c r="H6426" t="s">
        <v>78</v>
      </c>
      <c r="I6426" s="57">
        <v>0</v>
      </c>
    </row>
    <row r="6427" spans="6:9" x14ac:dyDescent="0.35">
      <c r="F6427" s="1"/>
      <c r="H6427" t="s">
        <v>78</v>
      </c>
      <c r="I6427" s="57">
        <v>0</v>
      </c>
    </row>
    <row r="6428" spans="6:9" x14ac:dyDescent="0.35">
      <c r="F6428" s="1"/>
      <c r="H6428" t="s">
        <v>26</v>
      </c>
    </row>
    <row r="6429" spans="6:9" x14ac:dyDescent="0.35">
      <c r="F6429" s="1"/>
      <c r="H6429" t="s">
        <v>26</v>
      </c>
    </row>
    <row r="6430" spans="6:9" x14ac:dyDescent="0.35">
      <c r="F6430" s="1"/>
      <c r="H6430" t="s">
        <v>26</v>
      </c>
    </row>
    <row r="6431" spans="6:9" x14ac:dyDescent="0.35">
      <c r="F6431" s="1"/>
      <c r="H6431" t="s">
        <v>26</v>
      </c>
    </row>
    <row r="6432" spans="6:9" x14ac:dyDescent="0.35">
      <c r="F6432" s="1"/>
      <c r="H6432" t="s">
        <v>78</v>
      </c>
      <c r="I6432" s="57">
        <v>0</v>
      </c>
    </row>
    <row r="6433" spans="6:9" x14ac:dyDescent="0.35">
      <c r="F6433" s="1"/>
      <c r="H6433" t="s">
        <v>26</v>
      </c>
    </row>
    <row r="6434" spans="6:9" x14ac:dyDescent="0.35">
      <c r="F6434" s="1"/>
      <c r="H6434" t="s">
        <v>78</v>
      </c>
      <c r="I6434" s="57">
        <v>0</v>
      </c>
    </row>
    <row r="6435" spans="6:9" x14ac:dyDescent="0.35">
      <c r="F6435" s="1"/>
      <c r="H6435" t="s">
        <v>26</v>
      </c>
    </row>
    <row r="6436" spans="6:9" x14ac:dyDescent="0.35">
      <c r="F6436" s="1"/>
      <c r="H6436" t="s">
        <v>26</v>
      </c>
    </row>
    <row r="6437" spans="6:9" x14ac:dyDescent="0.35">
      <c r="F6437" s="1"/>
      <c r="H6437" t="s">
        <v>26</v>
      </c>
    </row>
    <row r="6438" spans="6:9" x14ac:dyDescent="0.35">
      <c r="F6438" s="1"/>
      <c r="H6438" t="s">
        <v>26</v>
      </c>
    </row>
    <row r="6439" spans="6:9" x14ac:dyDescent="0.35">
      <c r="F6439" s="1"/>
      <c r="H6439" t="s">
        <v>26</v>
      </c>
    </row>
    <row r="6440" spans="6:9" x14ac:dyDescent="0.35">
      <c r="F6440" s="1"/>
      <c r="H6440" t="s">
        <v>26</v>
      </c>
    </row>
    <row r="6441" spans="6:9" x14ac:dyDescent="0.35">
      <c r="F6441" s="1"/>
      <c r="H6441" t="s">
        <v>26</v>
      </c>
    </row>
    <row r="6442" spans="6:9" x14ac:dyDescent="0.35">
      <c r="F6442" s="1"/>
      <c r="H6442" t="s">
        <v>26</v>
      </c>
    </row>
    <row r="6443" spans="6:9" x14ac:dyDescent="0.35">
      <c r="F6443" s="1"/>
      <c r="H6443" t="s">
        <v>26</v>
      </c>
    </row>
    <row r="6444" spans="6:9" x14ac:dyDescent="0.35">
      <c r="F6444" s="1"/>
      <c r="H6444" t="s">
        <v>78</v>
      </c>
      <c r="I6444" s="57">
        <v>0</v>
      </c>
    </row>
    <row r="6445" spans="6:9" x14ac:dyDescent="0.35">
      <c r="F6445" s="1"/>
      <c r="H6445" t="s">
        <v>78</v>
      </c>
      <c r="I6445" s="57">
        <v>0</v>
      </c>
    </row>
    <row r="6446" spans="6:9" x14ac:dyDescent="0.35">
      <c r="F6446" s="1"/>
      <c r="H6446" t="s">
        <v>78</v>
      </c>
      <c r="I6446" s="57">
        <v>0</v>
      </c>
    </row>
    <row r="6447" spans="6:9" x14ac:dyDescent="0.35">
      <c r="F6447" s="1"/>
      <c r="H6447" t="s">
        <v>78</v>
      </c>
      <c r="I6447" s="57">
        <v>0</v>
      </c>
    </row>
    <row r="6448" spans="6:9" x14ac:dyDescent="0.35">
      <c r="F6448" s="1"/>
      <c r="H6448" t="s">
        <v>78</v>
      </c>
      <c r="I6448" s="57">
        <v>0</v>
      </c>
    </row>
    <row r="6449" spans="6:9" x14ac:dyDescent="0.35">
      <c r="F6449" s="1"/>
      <c r="H6449" t="s">
        <v>78</v>
      </c>
      <c r="I6449" s="57">
        <v>0</v>
      </c>
    </row>
    <row r="6450" spans="6:9" x14ac:dyDescent="0.35">
      <c r="F6450" s="1"/>
      <c r="H6450" t="s">
        <v>78</v>
      </c>
      <c r="I6450" s="57">
        <v>0</v>
      </c>
    </row>
    <row r="6451" spans="6:9" x14ac:dyDescent="0.35">
      <c r="F6451" s="1"/>
      <c r="H6451" t="s">
        <v>78</v>
      </c>
      <c r="I6451" s="57">
        <v>0</v>
      </c>
    </row>
    <row r="6452" spans="6:9" x14ac:dyDescent="0.35">
      <c r="F6452" s="1"/>
      <c r="H6452" t="s">
        <v>78</v>
      </c>
      <c r="I6452" s="57">
        <v>0</v>
      </c>
    </row>
    <row r="6453" spans="6:9" x14ac:dyDescent="0.35">
      <c r="F6453" s="1"/>
      <c r="H6453" t="s">
        <v>78</v>
      </c>
      <c r="I6453" s="57">
        <v>0</v>
      </c>
    </row>
    <row r="6454" spans="6:9" x14ac:dyDescent="0.35">
      <c r="F6454" s="1"/>
      <c r="H6454" t="s">
        <v>78</v>
      </c>
      <c r="I6454" s="57">
        <v>0</v>
      </c>
    </row>
    <row r="6455" spans="6:9" x14ac:dyDescent="0.35">
      <c r="F6455" s="1"/>
      <c r="H6455" t="s">
        <v>78</v>
      </c>
      <c r="I6455" s="57">
        <v>0</v>
      </c>
    </row>
    <row r="6456" spans="6:9" x14ac:dyDescent="0.35">
      <c r="F6456" s="1"/>
      <c r="H6456" t="s">
        <v>78</v>
      </c>
      <c r="I6456" s="57">
        <v>0</v>
      </c>
    </row>
    <row r="6457" spans="6:9" x14ac:dyDescent="0.35">
      <c r="F6457" s="1"/>
      <c r="H6457" t="s">
        <v>78</v>
      </c>
      <c r="I6457" s="57">
        <v>0</v>
      </c>
    </row>
    <row r="6458" spans="6:9" x14ac:dyDescent="0.35">
      <c r="F6458" s="1"/>
      <c r="H6458" t="s">
        <v>78</v>
      </c>
      <c r="I6458" s="57">
        <v>0</v>
      </c>
    </row>
    <row r="6459" spans="6:9" x14ac:dyDescent="0.35">
      <c r="F6459" s="1"/>
      <c r="H6459" t="s">
        <v>78</v>
      </c>
      <c r="I6459" s="57">
        <v>0</v>
      </c>
    </row>
    <row r="6460" spans="6:9" x14ac:dyDescent="0.35">
      <c r="F6460" s="1"/>
      <c r="H6460" t="s">
        <v>78</v>
      </c>
      <c r="I6460" s="57">
        <v>0</v>
      </c>
    </row>
    <row r="6461" spans="6:9" x14ac:dyDescent="0.35">
      <c r="F6461" s="1"/>
      <c r="H6461" t="s">
        <v>78</v>
      </c>
      <c r="I6461" s="57">
        <v>0</v>
      </c>
    </row>
    <row r="6462" spans="6:9" x14ac:dyDescent="0.35">
      <c r="F6462" s="1"/>
      <c r="H6462" t="s">
        <v>78</v>
      </c>
      <c r="I6462" s="57">
        <v>0</v>
      </c>
    </row>
    <row r="6463" spans="6:9" x14ac:dyDescent="0.35">
      <c r="F6463" s="1"/>
      <c r="H6463" t="s">
        <v>78</v>
      </c>
      <c r="I6463" s="57">
        <v>0</v>
      </c>
    </row>
    <row r="6464" spans="6:9" x14ac:dyDescent="0.35">
      <c r="F6464" s="1"/>
      <c r="H6464" t="s">
        <v>78</v>
      </c>
      <c r="I6464" s="57">
        <v>0</v>
      </c>
    </row>
    <row r="6465" spans="6:9" x14ac:dyDescent="0.35">
      <c r="F6465" s="1"/>
      <c r="H6465" t="s">
        <v>78</v>
      </c>
      <c r="I6465" s="57">
        <v>0</v>
      </c>
    </row>
    <row r="6466" spans="6:9" x14ac:dyDescent="0.35">
      <c r="F6466" s="1"/>
      <c r="H6466" t="s">
        <v>78</v>
      </c>
      <c r="I6466" s="57">
        <v>0</v>
      </c>
    </row>
    <row r="6467" spans="6:9" x14ac:dyDescent="0.35">
      <c r="F6467" s="1"/>
      <c r="H6467" t="s">
        <v>78</v>
      </c>
      <c r="I6467" s="57">
        <v>0</v>
      </c>
    </row>
    <row r="6468" spans="6:9" x14ac:dyDescent="0.35">
      <c r="F6468" s="1"/>
      <c r="H6468" t="s">
        <v>78</v>
      </c>
      <c r="I6468" s="57">
        <v>0</v>
      </c>
    </row>
    <row r="6469" spans="6:9" x14ac:dyDescent="0.35">
      <c r="F6469" s="1"/>
      <c r="H6469" t="s">
        <v>78</v>
      </c>
      <c r="I6469" s="57">
        <v>0</v>
      </c>
    </row>
    <row r="6470" spans="6:9" x14ac:dyDescent="0.35">
      <c r="F6470" s="1"/>
      <c r="H6470" t="s">
        <v>78</v>
      </c>
      <c r="I6470" s="57">
        <v>0</v>
      </c>
    </row>
    <row r="6471" spans="6:9" x14ac:dyDescent="0.35">
      <c r="F6471" s="1"/>
      <c r="H6471" t="s">
        <v>78</v>
      </c>
      <c r="I6471" s="57">
        <v>0</v>
      </c>
    </row>
    <row r="6472" spans="6:9" x14ac:dyDescent="0.35">
      <c r="F6472" s="1"/>
      <c r="H6472" t="s">
        <v>78</v>
      </c>
      <c r="I6472" s="57">
        <v>0</v>
      </c>
    </row>
    <row r="6473" spans="6:9" x14ac:dyDescent="0.35">
      <c r="F6473" s="1"/>
      <c r="H6473" t="s">
        <v>78</v>
      </c>
      <c r="I6473" s="57">
        <v>0</v>
      </c>
    </row>
    <row r="6474" spans="6:9" x14ac:dyDescent="0.35">
      <c r="F6474" s="1"/>
      <c r="H6474" t="s">
        <v>78</v>
      </c>
      <c r="I6474" s="57">
        <v>0</v>
      </c>
    </row>
    <row r="6475" spans="6:9" x14ac:dyDescent="0.35">
      <c r="F6475" s="1"/>
      <c r="H6475" t="s">
        <v>78</v>
      </c>
      <c r="I6475" s="57">
        <v>0</v>
      </c>
    </row>
    <row r="6476" spans="6:9" x14ac:dyDescent="0.35">
      <c r="F6476" s="1"/>
      <c r="H6476" t="s">
        <v>78</v>
      </c>
      <c r="I6476" s="57">
        <v>0</v>
      </c>
    </row>
    <row r="6477" spans="6:9" x14ac:dyDescent="0.35">
      <c r="F6477" s="1"/>
      <c r="H6477" t="s">
        <v>78</v>
      </c>
      <c r="I6477" s="57">
        <v>0</v>
      </c>
    </row>
    <row r="6478" spans="6:9" x14ac:dyDescent="0.35">
      <c r="F6478" s="1"/>
      <c r="H6478" t="s">
        <v>78</v>
      </c>
      <c r="I6478" s="57">
        <v>0</v>
      </c>
    </row>
    <row r="6479" spans="6:9" x14ac:dyDescent="0.35">
      <c r="F6479" s="1"/>
      <c r="H6479" t="s">
        <v>78</v>
      </c>
      <c r="I6479" s="57">
        <v>0</v>
      </c>
    </row>
    <row r="6480" spans="6:9" x14ac:dyDescent="0.35">
      <c r="F6480" s="1"/>
      <c r="H6480" t="s">
        <v>78</v>
      </c>
      <c r="I6480" s="57">
        <v>0</v>
      </c>
    </row>
    <row r="6481" spans="6:9" x14ac:dyDescent="0.35">
      <c r="F6481" s="1"/>
      <c r="H6481" t="s">
        <v>78</v>
      </c>
      <c r="I6481" s="57">
        <v>0</v>
      </c>
    </row>
    <row r="6482" spans="6:9" x14ac:dyDescent="0.35">
      <c r="F6482" s="1"/>
      <c r="H6482" t="s">
        <v>78</v>
      </c>
      <c r="I6482" s="57">
        <v>0</v>
      </c>
    </row>
    <row r="6483" spans="6:9" x14ac:dyDescent="0.35">
      <c r="F6483" s="1"/>
      <c r="H6483" t="s">
        <v>78</v>
      </c>
      <c r="I6483" s="57">
        <v>0</v>
      </c>
    </row>
    <row r="6484" spans="6:9" x14ac:dyDescent="0.35">
      <c r="F6484" s="1"/>
      <c r="H6484" t="s">
        <v>78</v>
      </c>
      <c r="I6484" s="57">
        <v>0</v>
      </c>
    </row>
    <row r="6485" spans="6:9" x14ac:dyDescent="0.35">
      <c r="F6485" s="1"/>
      <c r="H6485" t="s">
        <v>78</v>
      </c>
      <c r="I6485" s="57">
        <v>0</v>
      </c>
    </row>
    <row r="6486" spans="6:9" x14ac:dyDescent="0.35">
      <c r="F6486" s="1"/>
      <c r="H6486" t="s">
        <v>78</v>
      </c>
      <c r="I6486" s="57">
        <v>0</v>
      </c>
    </row>
    <row r="6487" spans="6:9" x14ac:dyDescent="0.35">
      <c r="F6487" s="1"/>
      <c r="H6487" t="s">
        <v>78</v>
      </c>
      <c r="I6487" s="57">
        <v>0</v>
      </c>
    </row>
    <row r="6488" spans="6:9" x14ac:dyDescent="0.35">
      <c r="F6488" s="1"/>
      <c r="H6488" t="s">
        <v>78</v>
      </c>
      <c r="I6488" s="57">
        <v>0</v>
      </c>
    </row>
    <row r="6489" spans="6:9" x14ac:dyDescent="0.35">
      <c r="F6489" s="1"/>
      <c r="H6489" t="s">
        <v>78</v>
      </c>
      <c r="I6489" s="57">
        <v>0</v>
      </c>
    </row>
    <row r="6490" spans="6:9" x14ac:dyDescent="0.35">
      <c r="F6490" s="1"/>
      <c r="H6490" t="s">
        <v>78</v>
      </c>
      <c r="I6490" s="57">
        <v>0</v>
      </c>
    </row>
    <row r="6491" spans="6:9" x14ac:dyDescent="0.35">
      <c r="F6491" s="1"/>
      <c r="H6491" t="s">
        <v>78</v>
      </c>
      <c r="I6491" s="57">
        <v>0</v>
      </c>
    </row>
    <row r="6492" spans="6:9" x14ac:dyDescent="0.35">
      <c r="F6492" s="1"/>
      <c r="H6492" t="s">
        <v>78</v>
      </c>
      <c r="I6492" s="57">
        <v>0</v>
      </c>
    </row>
    <row r="6493" spans="6:9" x14ac:dyDescent="0.35">
      <c r="F6493" s="1"/>
      <c r="H6493" t="s">
        <v>78</v>
      </c>
      <c r="I6493" s="57">
        <v>0</v>
      </c>
    </row>
    <row r="6494" spans="6:9" x14ac:dyDescent="0.35">
      <c r="F6494" s="1"/>
      <c r="H6494" t="s">
        <v>78</v>
      </c>
      <c r="I6494" s="57">
        <v>0</v>
      </c>
    </row>
    <row r="6495" spans="6:9" x14ac:dyDescent="0.35">
      <c r="F6495" s="1"/>
      <c r="H6495" t="s">
        <v>78</v>
      </c>
      <c r="I6495" s="57">
        <v>0</v>
      </c>
    </row>
    <row r="6496" spans="6:9" x14ac:dyDescent="0.35">
      <c r="F6496" s="1"/>
      <c r="H6496" t="s">
        <v>78</v>
      </c>
      <c r="I6496" s="57">
        <v>0</v>
      </c>
    </row>
    <row r="6497" spans="6:9" x14ac:dyDescent="0.35">
      <c r="F6497" s="1"/>
      <c r="H6497" t="s">
        <v>78</v>
      </c>
      <c r="I6497" s="57">
        <v>0</v>
      </c>
    </row>
    <row r="6498" spans="6:9" x14ac:dyDescent="0.35">
      <c r="F6498" s="1"/>
      <c r="H6498" t="s">
        <v>78</v>
      </c>
      <c r="I6498" s="57">
        <v>0</v>
      </c>
    </row>
    <row r="6499" spans="6:9" x14ac:dyDescent="0.35">
      <c r="F6499" s="1"/>
      <c r="H6499" t="s">
        <v>78</v>
      </c>
      <c r="I6499" s="57">
        <v>0</v>
      </c>
    </row>
    <row r="6500" spans="6:9" x14ac:dyDescent="0.35">
      <c r="F6500" s="1"/>
      <c r="H6500" t="s">
        <v>78</v>
      </c>
      <c r="I6500" s="57">
        <v>0</v>
      </c>
    </row>
    <row r="6501" spans="6:9" x14ac:dyDescent="0.35">
      <c r="F6501" s="1"/>
      <c r="H6501" t="s">
        <v>78</v>
      </c>
      <c r="I6501" s="57">
        <v>0</v>
      </c>
    </row>
    <row r="6502" spans="6:9" x14ac:dyDescent="0.35">
      <c r="F6502" s="1"/>
      <c r="H6502" t="s">
        <v>78</v>
      </c>
      <c r="I6502" s="57">
        <v>0</v>
      </c>
    </row>
    <row r="6503" spans="6:9" x14ac:dyDescent="0.35">
      <c r="F6503" s="1"/>
      <c r="H6503" t="s">
        <v>78</v>
      </c>
      <c r="I6503" s="57">
        <v>0</v>
      </c>
    </row>
    <row r="6504" spans="6:9" x14ac:dyDescent="0.35">
      <c r="F6504" s="1"/>
      <c r="H6504" t="s">
        <v>78</v>
      </c>
      <c r="I6504" s="57">
        <v>0</v>
      </c>
    </row>
    <row r="6505" spans="6:9" x14ac:dyDescent="0.35">
      <c r="F6505" s="1"/>
      <c r="H6505" t="s">
        <v>78</v>
      </c>
      <c r="I6505" s="57">
        <v>0</v>
      </c>
    </row>
    <row r="6506" spans="6:9" x14ac:dyDescent="0.35">
      <c r="F6506" s="1"/>
      <c r="H6506" t="s">
        <v>78</v>
      </c>
      <c r="I6506" s="57">
        <v>0</v>
      </c>
    </row>
    <row r="6507" spans="6:9" x14ac:dyDescent="0.35">
      <c r="F6507" s="1"/>
      <c r="H6507" t="s">
        <v>78</v>
      </c>
      <c r="I6507" s="57">
        <v>0</v>
      </c>
    </row>
    <row r="6508" spans="6:9" x14ac:dyDescent="0.35">
      <c r="F6508" s="1"/>
      <c r="H6508" t="s">
        <v>78</v>
      </c>
      <c r="I6508" s="57">
        <v>0</v>
      </c>
    </row>
    <row r="6509" spans="6:9" x14ac:dyDescent="0.35">
      <c r="F6509" s="1"/>
      <c r="H6509" t="s">
        <v>78</v>
      </c>
      <c r="I6509" s="57">
        <v>0</v>
      </c>
    </row>
    <row r="6510" spans="6:9" x14ac:dyDescent="0.35">
      <c r="F6510" s="1"/>
      <c r="H6510" t="s">
        <v>78</v>
      </c>
      <c r="I6510" s="57">
        <v>0</v>
      </c>
    </row>
    <row r="6511" spans="6:9" x14ac:dyDescent="0.35">
      <c r="F6511" s="1"/>
      <c r="H6511" t="s">
        <v>78</v>
      </c>
      <c r="I6511" s="57">
        <v>0</v>
      </c>
    </row>
    <row r="6512" spans="6:9" x14ac:dyDescent="0.35">
      <c r="F6512" s="1"/>
      <c r="H6512" t="s">
        <v>78</v>
      </c>
      <c r="I6512" s="57">
        <v>0</v>
      </c>
    </row>
    <row r="6513" spans="6:9" x14ac:dyDescent="0.35">
      <c r="F6513" s="1"/>
      <c r="H6513" t="s">
        <v>78</v>
      </c>
      <c r="I6513" s="57">
        <v>0</v>
      </c>
    </row>
    <row r="6514" spans="6:9" x14ac:dyDescent="0.35">
      <c r="F6514" s="1"/>
      <c r="H6514" t="s">
        <v>78</v>
      </c>
      <c r="I6514" s="57">
        <v>0</v>
      </c>
    </row>
    <row r="6515" spans="6:9" x14ac:dyDescent="0.35">
      <c r="F6515" s="1"/>
      <c r="H6515" t="s">
        <v>78</v>
      </c>
      <c r="I6515" s="57">
        <v>0</v>
      </c>
    </row>
    <row r="6516" spans="6:9" x14ac:dyDescent="0.35">
      <c r="F6516" s="1"/>
      <c r="H6516" t="s">
        <v>78</v>
      </c>
      <c r="I6516" s="57">
        <v>0</v>
      </c>
    </row>
    <row r="6517" spans="6:9" x14ac:dyDescent="0.35">
      <c r="F6517" s="1"/>
      <c r="H6517" t="s">
        <v>78</v>
      </c>
      <c r="I6517" s="57">
        <v>0</v>
      </c>
    </row>
    <row r="6518" spans="6:9" x14ac:dyDescent="0.35">
      <c r="F6518" s="1"/>
      <c r="H6518" t="s">
        <v>78</v>
      </c>
      <c r="I6518" s="57">
        <v>0</v>
      </c>
    </row>
    <row r="6519" spans="6:9" x14ac:dyDescent="0.35">
      <c r="F6519" s="1"/>
      <c r="H6519" t="s">
        <v>78</v>
      </c>
      <c r="I6519" s="57">
        <v>0</v>
      </c>
    </row>
    <row r="6520" spans="6:9" x14ac:dyDescent="0.35">
      <c r="F6520" s="1"/>
      <c r="H6520" t="s">
        <v>78</v>
      </c>
      <c r="I6520" s="57">
        <v>0</v>
      </c>
    </row>
    <row r="6521" spans="6:9" x14ac:dyDescent="0.35">
      <c r="F6521" s="1"/>
      <c r="H6521" t="s">
        <v>78</v>
      </c>
      <c r="I6521" s="57">
        <v>0</v>
      </c>
    </row>
    <row r="6522" spans="6:9" x14ac:dyDescent="0.35">
      <c r="F6522" s="1"/>
      <c r="H6522" t="s">
        <v>78</v>
      </c>
      <c r="I6522" s="57">
        <v>0</v>
      </c>
    </row>
    <row r="6523" spans="6:9" x14ac:dyDescent="0.35">
      <c r="F6523" s="1"/>
      <c r="H6523" t="s">
        <v>78</v>
      </c>
      <c r="I6523" s="57">
        <v>0</v>
      </c>
    </row>
    <row r="6524" spans="6:9" x14ac:dyDescent="0.35">
      <c r="F6524" s="1"/>
      <c r="H6524" t="s">
        <v>78</v>
      </c>
      <c r="I6524" s="57">
        <v>0</v>
      </c>
    </row>
    <row r="6525" spans="6:9" x14ac:dyDescent="0.35">
      <c r="F6525" s="1"/>
      <c r="H6525" t="s">
        <v>78</v>
      </c>
      <c r="I6525" s="57">
        <v>0</v>
      </c>
    </row>
    <row r="6526" spans="6:9" x14ac:dyDescent="0.35">
      <c r="F6526" s="1"/>
      <c r="H6526" t="s">
        <v>78</v>
      </c>
      <c r="I6526" s="57">
        <v>0</v>
      </c>
    </row>
    <row r="6527" spans="6:9" x14ac:dyDescent="0.35">
      <c r="F6527" s="1"/>
      <c r="H6527" t="s">
        <v>78</v>
      </c>
      <c r="I6527" s="57">
        <v>0</v>
      </c>
    </row>
    <row r="6528" spans="6:9" x14ac:dyDescent="0.35">
      <c r="F6528" s="1"/>
      <c r="H6528" t="s">
        <v>78</v>
      </c>
      <c r="I6528" s="57">
        <v>0</v>
      </c>
    </row>
    <row r="6529" spans="6:9" x14ac:dyDescent="0.35">
      <c r="F6529" s="1"/>
      <c r="H6529" t="s">
        <v>78</v>
      </c>
      <c r="I6529" s="57">
        <v>0</v>
      </c>
    </row>
    <row r="6530" spans="6:9" x14ac:dyDescent="0.35">
      <c r="F6530" s="1"/>
      <c r="H6530" t="s">
        <v>78</v>
      </c>
      <c r="I6530" s="57">
        <v>0</v>
      </c>
    </row>
    <row r="6531" spans="6:9" x14ac:dyDescent="0.35">
      <c r="F6531" s="1"/>
      <c r="H6531" t="s">
        <v>78</v>
      </c>
      <c r="I6531" s="57">
        <v>0</v>
      </c>
    </row>
    <row r="6532" spans="6:9" x14ac:dyDescent="0.35">
      <c r="F6532" s="1"/>
      <c r="H6532" t="s">
        <v>78</v>
      </c>
      <c r="I6532" s="57">
        <v>0</v>
      </c>
    </row>
    <row r="6533" spans="6:9" x14ac:dyDescent="0.35">
      <c r="F6533" s="1"/>
      <c r="H6533" t="s">
        <v>78</v>
      </c>
      <c r="I6533" s="57">
        <v>0</v>
      </c>
    </row>
    <row r="6534" spans="6:9" x14ac:dyDescent="0.35">
      <c r="F6534" s="1"/>
      <c r="H6534" t="s">
        <v>78</v>
      </c>
      <c r="I6534" s="57">
        <v>0</v>
      </c>
    </row>
    <row r="6535" spans="6:9" x14ac:dyDescent="0.35">
      <c r="F6535" s="1"/>
      <c r="H6535" t="s">
        <v>78</v>
      </c>
      <c r="I6535" s="57">
        <v>0</v>
      </c>
    </row>
    <row r="6536" spans="6:9" x14ac:dyDescent="0.35">
      <c r="F6536" s="1"/>
      <c r="H6536" t="s">
        <v>78</v>
      </c>
      <c r="I6536" s="57">
        <v>0</v>
      </c>
    </row>
    <row r="6537" spans="6:9" x14ac:dyDescent="0.35">
      <c r="F6537" s="1"/>
      <c r="H6537" t="s">
        <v>78</v>
      </c>
      <c r="I6537" s="57">
        <v>0</v>
      </c>
    </row>
    <row r="6538" spans="6:9" x14ac:dyDescent="0.35">
      <c r="F6538" s="1"/>
      <c r="H6538" t="s">
        <v>78</v>
      </c>
      <c r="I6538" s="57">
        <v>0</v>
      </c>
    </row>
    <row r="6539" spans="6:9" x14ac:dyDescent="0.35">
      <c r="F6539" s="1"/>
      <c r="H6539" t="s">
        <v>78</v>
      </c>
      <c r="I6539" s="57">
        <v>0</v>
      </c>
    </row>
    <row r="6540" spans="6:9" x14ac:dyDescent="0.35">
      <c r="F6540" s="1"/>
      <c r="H6540" t="s">
        <v>78</v>
      </c>
      <c r="I6540" s="57">
        <v>0</v>
      </c>
    </row>
    <row r="6541" spans="6:9" x14ac:dyDescent="0.35">
      <c r="F6541" s="1"/>
      <c r="H6541" t="s">
        <v>78</v>
      </c>
      <c r="I6541" s="57">
        <v>0</v>
      </c>
    </row>
    <row r="6542" spans="6:9" x14ac:dyDescent="0.35">
      <c r="F6542" s="1"/>
      <c r="H6542" t="s">
        <v>78</v>
      </c>
      <c r="I6542" s="57">
        <v>0</v>
      </c>
    </row>
    <row r="6543" spans="6:9" x14ac:dyDescent="0.35">
      <c r="F6543" s="1"/>
      <c r="H6543" t="s">
        <v>78</v>
      </c>
      <c r="I6543" s="57">
        <v>0</v>
      </c>
    </row>
    <row r="6544" spans="6:9" x14ac:dyDescent="0.35">
      <c r="F6544" s="1"/>
      <c r="H6544" t="s">
        <v>78</v>
      </c>
      <c r="I6544" s="57">
        <v>0</v>
      </c>
    </row>
    <row r="6545" spans="6:9" x14ac:dyDescent="0.35">
      <c r="F6545" s="1"/>
      <c r="H6545" t="s">
        <v>78</v>
      </c>
      <c r="I6545" s="57">
        <v>0</v>
      </c>
    </row>
    <row r="6546" spans="6:9" x14ac:dyDescent="0.35">
      <c r="F6546" s="1"/>
      <c r="H6546" t="s">
        <v>78</v>
      </c>
      <c r="I6546" s="57">
        <v>0</v>
      </c>
    </row>
    <row r="6547" spans="6:9" x14ac:dyDescent="0.35">
      <c r="F6547" s="1"/>
      <c r="H6547" t="s">
        <v>78</v>
      </c>
      <c r="I6547" s="57">
        <v>0</v>
      </c>
    </row>
    <row r="6548" spans="6:9" x14ac:dyDescent="0.35">
      <c r="F6548" s="1"/>
      <c r="H6548" t="s">
        <v>78</v>
      </c>
      <c r="I6548" s="57">
        <v>0</v>
      </c>
    </row>
    <row r="6549" spans="6:9" x14ac:dyDescent="0.35">
      <c r="F6549" s="1"/>
      <c r="H6549" t="s">
        <v>78</v>
      </c>
      <c r="I6549" s="57">
        <v>0</v>
      </c>
    </row>
    <row r="6550" spans="6:9" x14ac:dyDescent="0.35">
      <c r="F6550" s="1"/>
      <c r="H6550" t="s">
        <v>78</v>
      </c>
      <c r="I6550" s="57">
        <v>0</v>
      </c>
    </row>
    <row r="6551" spans="6:9" x14ac:dyDescent="0.35">
      <c r="F6551" s="1"/>
      <c r="H6551" t="s">
        <v>78</v>
      </c>
      <c r="I6551" s="57">
        <v>0</v>
      </c>
    </row>
    <row r="6552" spans="6:9" x14ac:dyDescent="0.35">
      <c r="F6552" s="1"/>
      <c r="H6552" t="s">
        <v>78</v>
      </c>
      <c r="I6552" s="57">
        <v>0</v>
      </c>
    </row>
    <row r="6553" spans="6:9" x14ac:dyDescent="0.35">
      <c r="F6553" s="1"/>
      <c r="H6553" t="s">
        <v>78</v>
      </c>
      <c r="I6553" s="57">
        <v>0</v>
      </c>
    </row>
    <row r="6554" spans="6:9" x14ac:dyDescent="0.35">
      <c r="F6554" s="1"/>
      <c r="H6554" t="s">
        <v>78</v>
      </c>
      <c r="I6554" s="57">
        <v>0</v>
      </c>
    </row>
    <row r="6555" spans="6:9" x14ac:dyDescent="0.35">
      <c r="F6555" s="1"/>
      <c r="H6555" t="s">
        <v>78</v>
      </c>
      <c r="I6555" s="57">
        <v>0</v>
      </c>
    </row>
    <row r="6556" spans="6:9" x14ac:dyDescent="0.35">
      <c r="F6556" s="1"/>
      <c r="H6556" t="s">
        <v>78</v>
      </c>
      <c r="I6556" s="57">
        <v>0</v>
      </c>
    </row>
    <row r="6557" spans="6:9" x14ac:dyDescent="0.35">
      <c r="F6557" s="1"/>
      <c r="H6557" t="s">
        <v>78</v>
      </c>
      <c r="I6557" s="57">
        <v>0</v>
      </c>
    </row>
    <row r="6558" spans="6:9" x14ac:dyDescent="0.35">
      <c r="F6558" s="1"/>
      <c r="H6558" t="s">
        <v>78</v>
      </c>
      <c r="I6558" s="57">
        <v>0</v>
      </c>
    </row>
    <row r="6559" spans="6:9" x14ac:dyDescent="0.35">
      <c r="F6559" s="1"/>
      <c r="H6559" t="s">
        <v>78</v>
      </c>
      <c r="I6559" s="57">
        <v>0</v>
      </c>
    </row>
    <row r="6560" spans="6:9" x14ac:dyDescent="0.35">
      <c r="F6560" s="1"/>
      <c r="H6560" t="s">
        <v>78</v>
      </c>
      <c r="I6560" s="57">
        <v>0</v>
      </c>
    </row>
    <row r="6561" spans="6:9" x14ac:dyDescent="0.35">
      <c r="F6561" s="1"/>
      <c r="H6561" t="s">
        <v>78</v>
      </c>
      <c r="I6561" s="57">
        <v>0</v>
      </c>
    </row>
    <row r="6562" spans="6:9" x14ac:dyDescent="0.35">
      <c r="F6562" s="1"/>
      <c r="H6562" t="s">
        <v>78</v>
      </c>
      <c r="I6562" s="57">
        <v>0</v>
      </c>
    </row>
    <row r="6563" spans="6:9" x14ac:dyDescent="0.35">
      <c r="F6563" s="1"/>
      <c r="H6563" t="s">
        <v>78</v>
      </c>
      <c r="I6563" s="57">
        <v>0</v>
      </c>
    </row>
    <row r="6564" spans="6:9" x14ac:dyDescent="0.35">
      <c r="F6564" s="1"/>
      <c r="H6564" t="s">
        <v>78</v>
      </c>
      <c r="I6564" s="57">
        <v>0</v>
      </c>
    </row>
    <row r="6565" spans="6:9" x14ac:dyDescent="0.35">
      <c r="F6565" s="1"/>
      <c r="H6565" t="s">
        <v>78</v>
      </c>
      <c r="I6565" s="57">
        <v>0</v>
      </c>
    </row>
    <row r="6566" spans="6:9" x14ac:dyDescent="0.35">
      <c r="F6566" s="1"/>
      <c r="H6566" t="s">
        <v>78</v>
      </c>
      <c r="I6566" s="57">
        <v>0</v>
      </c>
    </row>
    <row r="6567" spans="6:9" x14ac:dyDescent="0.35">
      <c r="F6567" s="1"/>
      <c r="H6567" t="s">
        <v>78</v>
      </c>
      <c r="I6567" s="57">
        <v>0</v>
      </c>
    </row>
    <row r="6568" spans="6:9" x14ac:dyDescent="0.35">
      <c r="F6568" s="1"/>
      <c r="H6568" t="s">
        <v>78</v>
      </c>
      <c r="I6568" s="57">
        <v>0</v>
      </c>
    </row>
    <row r="6569" spans="6:9" x14ac:dyDescent="0.35">
      <c r="F6569" s="1"/>
      <c r="H6569" t="s">
        <v>78</v>
      </c>
      <c r="I6569" s="57">
        <v>0</v>
      </c>
    </row>
    <row r="6570" spans="6:9" x14ac:dyDescent="0.35">
      <c r="F6570" s="1"/>
      <c r="H6570" t="s">
        <v>78</v>
      </c>
      <c r="I6570" s="57">
        <v>0</v>
      </c>
    </row>
    <row r="6571" spans="6:9" x14ac:dyDescent="0.35">
      <c r="F6571" s="1"/>
      <c r="H6571" t="s">
        <v>78</v>
      </c>
      <c r="I6571" s="57">
        <v>0</v>
      </c>
    </row>
    <row r="6572" spans="6:9" x14ac:dyDescent="0.35">
      <c r="F6572" s="1"/>
      <c r="H6572" t="s">
        <v>78</v>
      </c>
      <c r="I6572" s="57">
        <v>0</v>
      </c>
    </row>
    <row r="6573" spans="6:9" x14ac:dyDescent="0.35">
      <c r="F6573" s="1"/>
      <c r="H6573" t="s">
        <v>78</v>
      </c>
      <c r="I6573" s="57">
        <v>0</v>
      </c>
    </row>
    <row r="6574" spans="6:9" x14ac:dyDescent="0.35">
      <c r="F6574" s="1"/>
      <c r="H6574" t="s">
        <v>78</v>
      </c>
      <c r="I6574" s="57">
        <v>0</v>
      </c>
    </row>
    <row r="6575" spans="6:9" x14ac:dyDescent="0.35">
      <c r="F6575" s="1"/>
      <c r="H6575" t="s">
        <v>78</v>
      </c>
      <c r="I6575" s="57">
        <v>0</v>
      </c>
    </row>
    <row r="6576" spans="6:9" x14ac:dyDescent="0.35">
      <c r="F6576" s="1"/>
      <c r="H6576" t="s">
        <v>78</v>
      </c>
      <c r="I6576" s="57">
        <v>0</v>
      </c>
    </row>
    <row r="6577" spans="6:9" x14ac:dyDescent="0.35">
      <c r="F6577" s="1"/>
      <c r="H6577" t="s">
        <v>78</v>
      </c>
      <c r="I6577" s="57">
        <v>0</v>
      </c>
    </row>
    <row r="6578" spans="6:9" x14ac:dyDescent="0.35">
      <c r="F6578" s="1"/>
      <c r="H6578" t="s">
        <v>78</v>
      </c>
      <c r="I6578" s="57">
        <v>0</v>
      </c>
    </row>
    <row r="6579" spans="6:9" x14ac:dyDescent="0.35">
      <c r="F6579" s="1"/>
      <c r="H6579" t="s">
        <v>78</v>
      </c>
      <c r="I6579" s="57">
        <v>0</v>
      </c>
    </row>
    <row r="6580" spans="6:9" x14ac:dyDescent="0.35">
      <c r="F6580" s="1"/>
      <c r="H6580" t="s">
        <v>78</v>
      </c>
      <c r="I6580" s="57">
        <v>0</v>
      </c>
    </row>
    <row r="6581" spans="6:9" x14ac:dyDescent="0.35">
      <c r="F6581" s="1"/>
      <c r="H6581" t="s">
        <v>78</v>
      </c>
      <c r="I6581" s="57">
        <v>0</v>
      </c>
    </row>
    <row r="6582" spans="6:9" x14ac:dyDescent="0.35">
      <c r="F6582" s="1"/>
      <c r="H6582" t="s">
        <v>78</v>
      </c>
      <c r="I6582" s="57">
        <v>0</v>
      </c>
    </row>
    <row r="6583" spans="6:9" x14ac:dyDescent="0.35">
      <c r="F6583" s="1"/>
      <c r="H6583" t="s">
        <v>78</v>
      </c>
      <c r="I6583" s="57">
        <v>0</v>
      </c>
    </row>
    <row r="6584" spans="6:9" x14ac:dyDescent="0.35">
      <c r="F6584" s="1"/>
      <c r="H6584" t="s">
        <v>78</v>
      </c>
      <c r="I6584" s="57">
        <v>0</v>
      </c>
    </row>
    <row r="6585" spans="6:9" x14ac:dyDescent="0.35">
      <c r="F6585" s="1"/>
      <c r="H6585" t="s">
        <v>78</v>
      </c>
      <c r="I6585" s="57">
        <v>0</v>
      </c>
    </row>
    <row r="6586" spans="6:9" x14ac:dyDescent="0.35">
      <c r="F6586" s="1"/>
      <c r="H6586" t="s">
        <v>78</v>
      </c>
      <c r="I6586" s="57">
        <v>0</v>
      </c>
    </row>
    <row r="6587" spans="6:9" x14ac:dyDescent="0.35">
      <c r="F6587" s="1"/>
      <c r="H6587" t="s">
        <v>78</v>
      </c>
      <c r="I6587" s="57">
        <v>0</v>
      </c>
    </row>
    <row r="6588" spans="6:9" x14ac:dyDescent="0.35">
      <c r="F6588" s="1"/>
      <c r="H6588" t="s">
        <v>78</v>
      </c>
      <c r="I6588" s="57">
        <v>0</v>
      </c>
    </row>
    <row r="6589" spans="6:9" x14ac:dyDescent="0.35">
      <c r="F6589" s="1"/>
      <c r="H6589" t="s">
        <v>78</v>
      </c>
      <c r="I6589" s="57">
        <v>0</v>
      </c>
    </row>
    <row r="6590" spans="6:9" x14ac:dyDescent="0.35">
      <c r="F6590" s="1"/>
      <c r="H6590" t="s">
        <v>78</v>
      </c>
      <c r="I6590" s="57">
        <v>0</v>
      </c>
    </row>
    <row r="6591" spans="6:9" x14ac:dyDescent="0.35">
      <c r="F6591" s="1"/>
      <c r="H6591" t="s">
        <v>78</v>
      </c>
      <c r="I6591" s="57">
        <v>0</v>
      </c>
    </row>
    <row r="6592" spans="6:9" x14ac:dyDescent="0.35">
      <c r="F6592" s="1"/>
      <c r="H6592" t="s">
        <v>78</v>
      </c>
      <c r="I6592" s="57">
        <v>0</v>
      </c>
    </row>
    <row r="6593" spans="6:9" x14ac:dyDescent="0.35">
      <c r="F6593" s="1"/>
      <c r="H6593" t="s">
        <v>78</v>
      </c>
      <c r="I6593" s="57">
        <v>0</v>
      </c>
    </row>
    <row r="6594" spans="6:9" x14ac:dyDescent="0.35">
      <c r="F6594" s="1"/>
      <c r="H6594" t="s">
        <v>78</v>
      </c>
      <c r="I6594" s="57">
        <v>0</v>
      </c>
    </row>
    <row r="6595" spans="6:9" x14ac:dyDescent="0.35">
      <c r="F6595" s="1"/>
      <c r="H6595" t="s">
        <v>78</v>
      </c>
      <c r="I6595" s="57">
        <v>0</v>
      </c>
    </row>
    <row r="6596" spans="6:9" x14ac:dyDescent="0.35">
      <c r="F6596" s="1"/>
      <c r="H6596" t="s">
        <v>78</v>
      </c>
      <c r="I6596" s="57">
        <v>0</v>
      </c>
    </row>
    <row r="6597" spans="6:9" x14ac:dyDescent="0.35">
      <c r="F6597" s="1"/>
      <c r="H6597" t="s">
        <v>78</v>
      </c>
      <c r="I6597" s="57">
        <v>0</v>
      </c>
    </row>
    <row r="6598" spans="6:9" x14ac:dyDescent="0.35">
      <c r="F6598" s="1"/>
      <c r="H6598" t="s">
        <v>78</v>
      </c>
      <c r="I6598" s="57">
        <v>0</v>
      </c>
    </row>
    <row r="6599" spans="6:9" x14ac:dyDescent="0.35">
      <c r="F6599" s="1"/>
      <c r="H6599" t="s">
        <v>78</v>
      </c>
      <c r="I6599" s="57">
        <v>0</v>
      </c>
    </row>
    <row r="6600" spans="6:9" x14ac:dyDescent="0.35">
      <c r="F6600" s="1"/>
      <c r="H6600" t="s">
        <v>78</v>
      </c>
      <c r="I6600" s="57">
        <v>0</v>
      </c>
    </row>
    <row r="6601" spans="6:9" x14ac:dyDescent="0.35">
      <c r="F6601" s="1"/>
      <c r="H6601" t="s">
        <v>78</v>
      </c>
      <c r="I6601" s="57">
        <v>0</v>
      </c>
    </row>
    <row r="6602" spans="6:9" x14ac:dyDescent="0.35">
      <c r="F6602" s="1"/>
      <c r="H6602" t="s">
        <v>78</v>
      </c>
      <c r="I6602" s="57">
        <v>0</v>
      </c>
    </row>
    <row r="6603" spans="6:9" x14ac:dyDescent="0.35">
      <c r="F6603" s="1"/>
      <c r="H6603" t="s">
        <v>78</v>
      </c>
      <c r="I6603" s="57">
        <v>0</v>
      </c>
    </row>
    <row r="6604" spans="6:9" x14ac:dyDescent="0.35">
      <c r="F6604" s="1"/>
      <c r="H6604" t="s">
        <v>78</v>
      </c>
      <c r="I6604" s="57">
        <v>0</v>
      </c>
    </row>
    <row r="6605" spans="6:9" x14ac:dyDescent="0.35">
      <c r="F6605" s="1"/>
      <c r="H6605" t="s">
        <v>78</v>
      </c>
      <c r="I6605" s="57">
        <v>0</v>
      </c>
    </row>
    <row r="6606" spans="6:9" x14ac:dyDescent="0.35">
      <c r="F6606" s="1"/>
      <c r="H6606" t="s">
        <v>78</v>
      </c>
      <c r="I6606" s="57">
        <v>0</v>
      </c>
    </row>
    <row r="6607" spans="6:9" x14ac:dyDescent="0.35">
      <c r="F6607" s="1"/>
      <c r="H6607" t="s">
        <v>78</v>
      </c>
      <c r="I6607" s="57">
        <v>0</v>
      </c>
    </row>
    <row r="6608" spans="6:9" x14ac:dyDescent="0.35">
      <c r="F6608" s="1"/>
      <c r="H6608" t="s">
        <v>78</v>
      </c>
      <c r="I6608" s="57">
        <v>0</v>
      </c>
    </row>
    <row r="6609" spans="6:9" x14ac:dyDescent="0.35">
      <c r="F6609" s="1"/>
      <c r="H6609" t="s">
        <v>78</v>
      </c>
      <c r="I6609" s="57">
        <v>0</v>
      </c>
    </row>
    <row r="6610" spans="6:9" x14ac:dyDescent="0.35">
      <c r="F6610" s="1"/>
      <c r="H6610" t="s">
        <v>78</v>
      </c>
      <c r="I6610" s="57">
        <v>0</v>
      </c>
    </row>
    <row r="6611" spans="6:9" x14ac:dyDescent="0.35">
      <c r="F6611" s="1"/>
      <c r="H6611" t="s">
        <v>78</v>
      </c>
      <c r="I6611" s="57">
        <v>0</v>
      </c>
    </row>
    <row r="6612" spans="6:9" x14ac:dyDescent="0.35">
      <c r="F6612" s="1"/>
      <c r="H6612" t="s">
        <v>78</v>
      </c>
      <c r="I6612" s="57">
        <v>0</v>
      </c>
    </row>
    <row r="6613" spans="6:9" x14ac:dyDescent="0.35">
      <c r="F6613" s="1"/>
      <c r="H6613" t="s">
        <v>78</v>
      </c>
      <c r="I6613" s="57">
        <v>0</v>
      </c>
    </row>
    <row r="6614" spans="6:9" x14ac:dyDescent="0.35">
      <c r="F6614" s="1"/>
      <c r="H6614" t="s">
        <v>78</v>
      </c>
      <c r="I6614" s="57">
        <v>0</v>
      </c>
    </row>
    <row r="6615" spans="6:9" x14ac:dyDescent="0.35">
      <c r="F6615" s="1"/>
      <c r="H6615" t="s">
        <v>78</v>
      </c>
      <c r="I6615" s="57">
        <v>0</v>
      </c>
    </row>
    <row r="6616" spans="6:9" x14ac:dyDescent="0.35">
      <c r="F6616" s="1"/>
      <c r="H6616" t="s">
        <v>78</v>
      </c>
      <c r="I6616" s="57">
        <v>0</v>
      </c>
    </row>
    <row r="6617" spans="6:9" x14ac:dyDescent="0.35">
      <c r="F6617" s="1"/>
      <c r="H6617" t="s">
        <v>78</v>
      </c>
      <c r="I6617" s="57">
        <v>0</v>
      </c>
    </row>
    <row r="6618" spans="6:9" x14ac:dyDescent="0.35">
      <c r="F6618" s="1"/>
      <c r="H6618" t="s">
        <v>78</v>
      </c>
      <c r="I6618" s="57">
        <v>0</v>
      </c>
    </row>
    <row r="6619" spans="6:9" x14ac:dyDescent="0.35">
      <c r="F6619" s="1"/>
      <c r="H6619" t="s">
        <v>78</v>
      </c>
      <c r="I6619" s="57">
        <v>0</v>
      </c>
    </row>
    <row r="6620" spans="6:9" x14ac:dyDescent="0.35">
      <c r="F6620" s="1"/>
      <c r="H6620" t="s">
        <v>78</v>
      </c>
      <c r="I6620" s="57">
        <v>0</v>
      </c>
    </row>
    <row r="6621" spans="6:9" x14ac:dyDescent="0.35">
      <c r="F6621" s="1"/>
      <c r="H6621" t="s">
        <v>78</v>
      </c>
      <c r="I6621" s="57">
        <v>0</v>
      </c>
    </row>
    <row r="6622" spans="6:9" x14ac:dyDescent="0.35">
      <c r="F6622" s="1"/>
      <c r="H6622" t="s">
        <v>78</v>
      </c>
      <c r="I6622" s="57">
        <v>0</v>
      </c>
    </row>
    <row r="6623" spans="6:9" x14ac:dyDescent="0.35">
      <c r="F6623" s="1"/>
      <c r="H6623" t="s">
        <v>78</v>
      </c>
      <c r="I6623" s="57">
        <v>0</v>
      </c>
    </row>
    <row r="6624" spans="6:9" x14ac:dyDescent="0.35">
      <c r="F6624" s="1"/>
      <c r="H6624" t="s">
        <v>78</v>
      </c>
      <c r="I6624" s="57">
        <v>0</v>
      </c>
    </row>
    <row r="6625" spans="6:9" x14ac:dyDescent="0.35">
      <c r="F6625" s="1"/>
      <c r="H6625" t="s">
        <v>78</v>
      </c>
      <c r="I6625" s="57">
        <v>0</v>
      </c>
    </row>
    <row r="6626" spans="6:9" x14ac:dyDescent="0.35">
      <c r="F6626" s="1"/>
      <c r="H6626" t="s">
        <v>78</v>
      </c>
      <c r="I6626" s="57">
        <v>0</v>
      </c>
    </row>
    <row r="6627" spans="6:9" x14ac:dyDescent="0.35">
      <c r="F6627" s="1"/>
      <c r="H6627" t="s">
        <v>78</v>
      </c>
      <c r="I6627" s="57">
        <v>0</v>
      </c>
    </row>
    <row r="6628" spans="6:9" x14ac:dyDescent="0.35">
      <c r="F6628" s="1"/>
      <c r="H6628" t="s">
        <v>78</v>
      </c>
      <c r="I6628" s="57">
        <v>0</v>
      </c>
    </row>
    <row r="6629" spans="6:9" x14ac:dyDescent="0.35">
      <c r="F6629" s="1"/>
      <c r="H6629" t="s">
        <v>78</v>
      </c>
      <c r="I6629" s="57">
        <v>0</v>
      </c>
    </row>
    <row r="6630" spans="6:9" x14ac:dyDescent="0.35">
      <c r="F6630" s="1"/>
      <c r="H6630" t="s">
        <v>78</v>
      </c>
      <c r="I6630" s="57">
        <v>0</v>
      </c>
    </row>
    <row r="6631" spans="6:9" x14ac:dyDescent="0.35">
      <c r="F6631" s="1"/>
      <c r="H6631" t="s">
        <v>78</v>
      </c>
      <c r="I6631" s="57">
        <v>0</v>
      </c>
    </row>
    <row r="6632" spans="6:9" x14ac:dyDescent="0.35">
      <c r="F6632" s="1"/>
      <c r="H6632" t="s">
        <v>26</v>
      </c>
    </row>
    <row r="6633" spans="6:9" x14ac:dyDescent="0.35">
      <c r="F6633" s="1"/>
      <c r="H6633" t="s">
        <v>78</v>
      </c>
      <c r="I6633" s="57">
        <v>0</v>
      </c>
    </row>
    <row r="6634" spans="6:9" x14ac:dyDescent="0.35">
      <c r="F6634" s="1"/>
      <c r="H6634" t="s">
        <v>26</v>
      </c>
    </row>
    <row r="6635" spans="6:9" x14ac:dyDescent="0.35">
      <c r="F6635" s="1"/>
      <c r="H6635" t="s">
        <v>26</v>
      </c>
    </row>
    <row r="6636" spans="6:9" x14ac:dyDescent="0.35">
      <c r="F6636" s="1"/>
      <c r="H6636" t="s">
        <v>26</v>
      </c>
    </row>
    <row r="6637" spans="6:9" x14ac:dyDescent="0.35">
      <c r="F6637" s="1"/>
      <c r="H6637" t="s">
        <v>26</v>
      </c>
    </row>
    <row r="6638" spans="6:9" x14ac:dyDescent="0.35">
      <c r="F6638" s="1"/>
      <c r="H6638" t="s">
        <v>26</v>
      </c>
    </row>
    <row r="6639" spans="6:9" x14ac:dyDescent="0.35">
      <c r="F6639" s="1"/>
      <c r="H6639" t="s">
        <v>26</v>
      </c>
    </row>
    <row r="6640" spans="6:9" x14ac:dyDescent="0.35">
      <c r="F6640" s="1"/>
      <c r="H6640" t="s">
        <v>26</v>
      </c>
    </row>
    <row r="6641" spans="6:8" x14ac:dyDescent="0.35">
      <c r="F6641" s="1"/>
      <c r="H6641" t="s">
        <v>26</v>
      </c>
    </row>
    <row r="6642" spans="6:8" x14ac:dyDescent="0.35">
      <c r="F6642" s="1"/>
      <c r="H6642" t="s">
        <v>26</v>
      </c>
    </row>
    <row r="6643" spans="6:8" x14ac:dyDescent="0.35">
      <c r="F6643" s="1"/>
      <c r="H6643" t="s">
        <v>26</v>
      </c>
    </row>
    <row r="6644" spans="6:8" x14ac:dyDescent="0.35">
      <c r="F6644" s="1"/>
      <c r="H6644" t="s">
        <v>26</v>
      </c>
    </row>
    <row r="6645" spans="6:8" x14ac:dyDescent="0.35">
      <c r="F6645" s="1"/>
      <c r="H6645" t="s">
        <v>26</v>
      </c>
    </row>
    <row r="6646" spans="6:8" x14ac:dyDescent="0.35">
      <c r="F6646" s="1"/>
      <c r="H6646" t="s">
        <v>26</v>
      </c>
    </row>
    <row r="6647" spans="6:8" x14ac:dyDescent="0.35">
      <c r="F6647" s="1"/>
      <c r="H6647" t="s">
        <v>26</v>
      </c>
    </row>
    <row r="6648" spans="6:8" x14ac:dyDescent="0.35">
      <c r="F6648" s="1"/>
      <c r="H6648" t="s">
        <v>26</v>
      </c>
    </row>
    <row r="6649" spans="6:8" x14ac:dyDescent="0.35">
      <c r="F6649" s="1"/>
      <c r="H6649" t="s">
        <v>26</v>
      </c>
    </row>
    <row r="6650" spans="6:8" x14ac:dyDescent="0.35">
      <c r="F6650" s="1"/>
      <c r="H6650" t="s">
        <v>26</v>
      </c>
    </row>
    <row r="6651" spans="6:8" x14ac:dyDescent="0.35">
      <c r="F6651" s="1"/>
      <c r="H6651" t="s">
        <v>26</v>
      </c>
    </row>
    <row r="6652" spans="6:8" x14ac:dyDescent="0.35">
      <c r="F6652" s="1"/>
      <c r="H6652" t="s">
        <v>26</v>
      </c>
    </row>
    <row r="6653" spans="6:8" x14ac:dyDescent="0.35">
      <c r="F6653" s="1"/>
      <c r="H6653" t="s">
        <v>26</v>
      </c>
    </row>
    <row r="6654" spans="6:8" x14ac:dyDescent="0.35">
      <c r="F6654" s="1"/>
      <c r="H6654" t="s">
        <v>26</v>
      </c>
    </row>
    <row r="6655" spans="6:8" x14ac:dyDescent="0.35">
      <c r="F6655" s="1"/>
      <c r="H6655" t="s">
        <v>26</v>
      </c>
    </row>
    <row r="6656" spans="6:8" x14ac:dyDescent="0.35">
      <c r="F6656" s="1"/>
      <c r="H6656" t="s">
        <v>26</v>
      </c>
    </row>
    <row r="6657" spans="6:8" x14ac:dyDescent="0.35">
      <c r="F6657" s="1"/>
      <c r="H6657" t="s">
        <v>26</v>
      </c>
    </row>
    <row r="6658" spans="6:8" x14ac:dyDescent="0.35">
      <c r="F6658" s="1"/>
      <c r="H6658" t="s">
        <v>26</v>
      </c>
    </row>
    <row r="6659" spans="6:8" x14ac:dyDescent="0.35">
      <c r="F6659" s="1"/>
      <c r="H6659" t="s">
        <v>26</v>
      </c>
    </row>
    <row r="6660" spans="6:8" x14ac:dyDescent="0.35">
      <c r="F6660" s="1"/>
      <c r="H6660" t="s">
        <v>26</v>
      </c>
    </row>
    <row r="6661" spans="6:8" x14ac:dyDescent="0.35">
      <c r="F6661" s="1"/>
      <c r="H6661" t="s">
        <v>26</v>
      </c>
    </row>
    <row r="6662" spans="6:8" x14ac:dyDescent="0.35">
      <c r="F6662" s="1"/>
      <c r="H6662" t="s">
        <v>26</v>
      </c>
    </row>
    <row r="6663" spans="6:8" x14ac:dyDescent="0.35">
      <c r="F6663" s="1"/>
      <c r="H6663" t="s">
        <v>26</v>
      </c>
    </row>
    <row r="6664" spans="6:8" x14ac:dyDescent="0.35">
      <c r="F6664" s="1"/>
      <c r="H6664" t="s">
        <v>26</v>
      </c>
    </row>
    <row r="6665" spans="6:8" x14ac:dyDescent="0.35">
      <c r="F6665" s="1"/>
      <c r="H6665" t="s">
        <v>26</v>
      </c>
    </row>
    <row r="6666" spans="6:8" x14ac:dyDescent="0.35">
      <c r="F6666" s="1"/>
      <c r="H6666" t="s">
        <v>26</v>
      </c>
    </row>
    <row r="6667" spans="6:8" x14ac:dyDescent="0.35">
      <c r="F6667" s="1"/>
      <c r="H6667" t="s">
        <v>26</v>
      </c>
    </row>
    <row r="6668" spans="6:8" x14ac:dyDescent="0.35">
      <c r="F6668" s="1"/>
      <c r="H6668" t="s">
        <v>26</v>
      </c>
    </row>
    <row r="6669" spans="6:8" x14ac:dyDescent="0.35">
      <c r="F6669" s="1"/>
      <c r="H6669" t="s">
        <v>26</v>
      </c>
    </row>
    <row r="6670" spans="6:8" x14ac:dyDescent="0.35">
      <c r="F6670" s="1"/>
      <c r="H6670" t="s">
        <v>26</v>
      </c>
    </row>
    <row r="6671" spans="6:8" x14ac:dyDescent="0.35">
      <c r="F6671" s="1"/>
      <c r="H6671" t="s">
        <v>26</v>
      </c>
    </row>
    <row r="6672" spans="6:8" x14ac:dyDescent="0.35">
      <c r="F6672" s="1"/>
      <c r="H6672" t="s">
        <v>26</v>
      </c>
    </row>
    <row r="6673" spans="6:8" x14ac:dyDescent="0.35">
      <c r="F6673" s="1"/>
      <c r="H6673" t="s">
        <v>26</v>
      </c>
    </row>
    <row r="6674" spans="6:8" x14ac:dyDescent="0.35">
      <c r="F6674" s="1"/>
      <c r="H6674" t="s">
        <v>26</v>
      </c>
    </row>
    <row r="6675" spans="6:8" x14ac:dyDescent="0.35">
      <c r="F6675" s="1"/>
      <c r="H6675" t="s">
        <v>26</v>
      </c>
    </row>
    <row r="6676" spans="6:8" x14ac:dyDescent="0.35">
      <c r="F6676" s="1"/>
      <c r="H6676" t="s">
        <v>26</v>
      </c>
    </row>
    <row r="6677" spans="6:8" x14ac:dyDescent="0.35">
      <c r="F6677" s="1"/>
      <c r="H6677" t="s">
        <v>26</v>
      </c>
    </row>
    <row r="6678" spans="6:8" x14ac:dyDescent="0.35">
      <c r="F6678" s="1"/>
      <c r="H6678" t="s">
        <v>26</v>
      </c>
    </row>
    <row r="6679" spans="6:8" x14ac:dyDescent="0.35">
      <c r="F6679" s="1"/>
      <c r="H6679" t="s">
        <v>26</v>
      </c>
    </row>
    <row r="6680" spans="6:8" x14ac:dyDescent="0.35">
      <c r="F6680" s="1"/>
      <c r="H6680" t="s">
        <v>26</v>
      </c>
    </row>
    <row r="6681" spans="6:8" x14ac:dyDescent="0.35">
      <c r="F6681" s="1"/>
      <c r="H6681" t="s">
        <v>26</v>
      </c>
    </row>
    <row r="6682" spans="6:8" x14ac:dyDescent="0.35">
      <c r="F6682" s="1"/>
      <c r="H6682" t="s">
        <v>26</v>
      </c>
    </row>
    <row r="6683" spans="6:8" x14ac:dyDescent="0.35">
      <c r="F6683" s="1"/>
      <c r="H6683" t="s">
        <v>26</v>
      </c>
    </row>
    <row r="6684" spans="6:8" x14ac:dyDescent="0.35">
      <c r="F6684" s="1"/>
      <c r="H6684" t="s">
        <v>26</v>
      </c>
    </row>
    <row r="6685" spans="6:8" x14ac:dyDescent="0.35">
      <c r="F6685" s="1"/>
      <c r="H6685" t="s">
        <v>26</v>
      </c>
    </row>
    <row r="6686" spans="6:8" x14ac:dyDescent="0.35">
      <c r="F6686" s="1"/>
      <c r="H6686" t="s">
        <v>26</v>
      </c>
    </row>
    <row r="6687" spans="6:8" x14ac:dyDescent="0.35">
      <c r="F6687" s="1"/>
      <c r="H6687" t="s">
        <v>26</v>
      </c>
    </row>
    <row r="6688" spans="6:8" x14ac:dyDescent="0.35">
      <c r="F6688" s="1"/>
      <c r="H6688" t="s">
        <v>26</v>
      </c>
    </row>
    <row r="6689" spans="6:8" x14ac:dyDescent="0.35">
      <c r="F6689" s="1"/>
      <c r="H6689" t="s">
        <v>26</v>
      </c>
    </row>
    <row r="6690" spans="6:8" x14ac:dyDescent="0.35">
      <c r="F6690" s="1"/>
      <c r="H6690" t="s">
        <v>26</v>
      </c>
    </row>
    <row r="6691" spans="6:8" x14ac:dyDescent="0.35">
      <c r="F6691" s="1"/>
      <c r="H6691" t="s">
        <v>26</v>
      </c>
    </row>
    <row r="6692" spans="6:8" x14ac:dyDescent="0.35">
      <c r="F6692" s="1"/>
      <c r="H6692" t="s">
        <v>26</v>
      </c>
    </row>
    <row r="6693" spans="6:8" x14ac:dyDescent="0.35">
      <c r="F6693" s="1"/>
      <c r="H6693" t="s">
        <v>26</v>
      </c>
    </row>
    <row r="6694" spans="6:8" x14ac:dyDescent="0.35">
      <c r="F6694" s="1"/>
      <c r="H6694" t="s">
        <v>26</v>
      </c>
    </row>
    <row r="6695" spans="6:8" x14ac:dyDescent="0.35">
      <c r="F6695" s="1"/>
      <c r="H6695" t="s">
        <v>26</v>
      </c>
    </row>
    <row r="6696" spans="6:8" x14ac:dyDescent="0.35">
      <c r="F6696" s="1"/>
      <c r="H6696" t="s">
        <v>26</v>
      </c>
    </row>
    <row r="6697" spans="6:8" x14ac:dyDescent="0.35">
      <c r="F6697" s="1"/>
      <c r="H6697" t="s">
        <v>26</v>
      </c>
    </row>
    <row r="6698" spans="6:8" x14ac:dyDescent="0.35">
      <c r="F6698" s="1"/>
      <c r="H6698" t="s">
        <v>26</v>
      </c>
    </row>
    <row r="6699" spans="6:8" x14ac:dyDescent="0.35">
      <c r="F6699" s="1"/>
      <c r="H6699" t="s">
        <v>26</v>
      </c>
    </row>
    <row r="6700" spans="6:8" x14ac:dyDescent="0.35">
      <c r="F6700" s="1"/>
      <c r="H6700" t="s">
        <v>26</v>
      </c>
    </row>
    <row r="6701" spans="6:8" x14ac:dyDescent="0.35">
      <c r="F6701" s="1"/>
      <c r="H6701" t="s">
        <v>26</v>
      </c>
    </row>
    <row r="6702" spans="6:8" x14ac:dyDescent="0.35">
      <c r="F6702" s="1"/>
      <c r="H6702" t="s">
        <v>26</v>
      </c>
    </row>
    <row r="6703" spans="6:8" x14ac:dyDescent="0.35">
      <c r="F6703" s="1"/>
      <c r="H6703" t="s">
        <v>26</v>
      </c>
    </row>
    <row r="6704" spans="6:8" x14ac:dyDescent="0.35">
      <c r="F6704" s="1"/>
      <c r="H6704" t="s">
        <v>26</v>
      </c>
    </row>
    <row r="6705" spans="6:8" x14ac:dyDescent="0.35">
      <c r="F6705" s="1"/>
      <c r="H6705" t="s">
        <v>26</v>
      </c>
    </row>
    <row r="6706" spans="6:8" x14ac:dyDescent="0.35">
      <c r="F6706" s="1"/>
      <c r="H6706" t="s">
        <v>26</v>
      </c>
    </row>
    <row r="6707" spans="6:8" x14ac:dyDescent="0.35">
      <c r="F6707" s="1"/>
      <c r="H6707" t="s">
        <v>26</v>
      </c>
    </row>
    <row r="6708" spans="6:8" x14ac:dyDescent="0.35">
      <c r="F6708" s="1"/>
      <c r="H6708" t="s">
        <v>26</v>
      </c>
    </row>
    <row r="6709" spans="6:8" x14ac:dyDescent="0.35">
      <c r="F6709" s="1"/>
      <c r="H6709" t="s">
        <v>26</v>
      </c>
    </row>
    <row r="6710" spans="6:8" x14ac:dyDescent="0.35">
      <c r="F6710" s="1"/>
      <c r="H6710" t="s">
        <v>26</v>
      </c>
    </row>
    <row r="6711" spans="6:8" x14ac:dyDescent="0.35">
      <c r="F6711" s="1"/>
      <c r="H6711" t="s">
        <v>26</v>
      </c>
    </row>
    <row r="6712" spans="6:8" x14ac:dyDescent="0.35">
      <c r="F6712" s="1"/>
      <c r="H6712" t="s">
        <v>26</v>
      </c>
    </row>
    <row r="6713" spans="6:8" x14ac:dyDescent="0.35">
      <c r="F6713" s="1"/>
      <c r="H6713" t="s">
        <v>26</v>
      </c>
    </row>
    <row r="6714" spans="6:8" x14ac:dyDescent="0.35">
      <c r="F6714" s="1"/>
      <c r="H6714" t="s">
        <v>26</v>
      </c>
    </row>
    <row r="6715" spans="6:8" x14ac:dyDescent="0.35">
      <c r="F6715" s="1"/>
      <c r="H6715" t="s">
        <v>26</v>
      </c>
    </row>
    <row r="6716" spans="6:8" x14ac:dyDescent="0.35">
      <c r="F6716" s="1"/>
      <c r="H6716" t="s">
        <v>26</v>
      </c>
    </row>
    <row r="6717" spans="6:8" x14ac:dyDescent="0.35">
      <c r="F6717" s="1"/>
      <c r="H6717" t="s">
        <v>26</v>
      </c>
    </row>
    <row r="6718" spans="6:8" x14ac:dyDescent="0.35">
      <c r="F6718" s="1"/>
      <c r="H6718" t="s">
        <v>26</v>
      </c>
    </row>
    <row r="6719" spans="6:8" x14ac:dyDescent="0.35">
      <c r="F6719" s="1"/>
      <c r="H6719" t="s">
        <v>26</v>
      </c>
    </row>
    <row r="6720" spans="6:8" x14ac:dyDescent="0.35">
      <c r="F6720" s="1"/>
      <c r="H6720" t="s">
        <v>26</v>
      </c>
    </row>
    <row r="6721" spans="6:8" x14ac:dyDescent="0.35">
      <c r="F6721" s="1"/>
      <c r="H6721" t="s">
        <v>26</v>
      </c>
    </row>
    <row r="6722" spans="6:8" x14ac:dyDescent="0.35">
      <c r="F6722" s="1"/>
      <c r="H6722" t="s">
        <v>26</v>
      </c>
    </row>
    <row r="6723" spans="6:8" x14ac:dyDescent="0.35">
      <c r="F6723" s="1"/>
      <c r="H6723" t="s">
        <v>26</v>
      </c>
    </row>
    <row r="6724" spans="6:8" x14ac:dyDescent="0.35">
      <c r="F6724" s="1"/>
      <c r="H6724" t="s">
        <v>26</v>
      </c>
    </row>
    <row r="6725" spans="6:8" x14ac:dyDescent="0.35">
      <c r="F6725" s="1"/>
      <c r="H6725" t="s">
        <v>26</v>
      </c>
    </row>
    <row r="6726" spans="6:8" x14ac:dyDescent="0.35">
      <c r="F6726" s="1"/>
      <c r="H6726" t="s">
        <v>26</v>
      </c>
    </row>
    <row r="6727" spans="6:8" x14ac:dyDescent="0.35">
      <c r="F6727" s="1"/>
      <c r="H6727" t="s">
        <v>26</v>
      </c>
    </row>
    <row r="6728" spans="6:8" x14ac:dyDescent="0.35">
      <c r="F6728" s="1"/>
      <c r="H6728" t="s">
        <v>26</v>
      </c>
    </row>
    <row r="6729" spans="6:8" x14ac:dyDescent="0.35">
      <c r="F6729" s="1"/>
      <c r="H6729" t="s">
        <v>26</v>
      </c>
    </row>
    <row r="6730" spans="6:8" x14ac:dyDescent="0.35">
      <c r="F6730" s="1"/>
      <c r="H6730" t="s">
        <v>26</v>
      </c>
    </row>
    <row r="6731" spans="6:8" x14ac:dyDescent="0.35">
      <c r="F6731" s="1"/>
      <c r="H6731" t="s">
        <v>26</v>
      </c>
    </row>
    <row r="6732" spans="6:8" x14ac:dyDescent="0.35">
      <c r="F6732" s="1"/>
      <c r="H6732" t="s">
        <v>26</v>
      </c>
    </row>
    <row r="6733" spans="6:8" x14ac:dyDescent="0.35">
      <c r="F6733" s="1"/>
      <c r="H6733" t="s">
        <v>26</v>
      </c>
    </row>
    <row r="6734" spans="6:8" x14ac:dyDescent="0.35">
      <c r="F6734" s="1"/>
      <c r="H6734" t="s">
        <v>26</v>
      </c>
    </row>
    <row r="6735" spans="6:8" x14ac:dyDescent="0.35">
      <c r="F6735" s="1"/>
      <c r="H6735" t="s">
        <v>26</v>
      </c>
    </row>
    <row r="6736" spans="6:8" x14ac:dyDescent="0.35">
      <c r="F6736" s="1"/>
      <c r="H6736" t="s">
        <v>26</v>
      </c>
    </row>
    <row r="6737" spans="6:8" x14ac:dyDescent="0.35">
      <c r="F6737" s="1"/>
      <c r="H6737" t="s">
        <v>26</v>
      </c>
    </row>
    <row r="6738" spans="6:8" x14ac:dyDescent="0.35">
      <c r="F6738" s="1"/>
      <c r="H6738" t="s">
        <v>26</v>
      </c>
    </row>
    <row r="6739" spans="6:8" x14ac:dyDescent="0.35">
      <c r="F6739" s="1"/>
      <c r="H6739" t="s">
        <v>26</v>
      </c>
    </row>
    <row r="6740" spans="6:8" x14ac:dyDescent="0.35">
      <c r="F6740" s="1"/>
      <c r="H6740" t="s">
        <v>26</v>
      </c>
    </row>
    <row r="6741" spans="6:8" x14ac:dyDescent="0.35">
      <c r="F6741" s="1"/>
      <c r="H6741" t="s">
        <v>26</v>
      </c>
    </row>
    <row r="6742" spans="6:8" x14ac:dyDescent="0.35">
      <c r="F6742" s="1"/>
      <c r="H6742" t="s">
        <v>26</v>
      </c>
    </row>
    <row r="6743" spans="6:8" x14ac:dyDescent="0.35">
      <c r="F6743" s="1"/>
      <c r="H6743" t="s">
        <v>26</v>
      </c>
    </row>
    <row r="6744" spans="6:8" x14ac:dyDescent="0.35">
      <c r="F6744" s="1"/>
      <c r="H6744" t="s">
        <v>26</v>
      </c>
    </row>
    <row r="6745" spans="6:8" x14ac:dyDescent="0.35">
      <c r="F6745" s="1"/>
      <c r="H6745" t="s">
        <v>26</v>
      </c>
    </row>
    <row r="6746" spans="6:8" x14ac:dyDescent="0.35">
      <c r="F6746" s="1"/>
      <c r="H6746" t="s">
        <v>26</v>
      </c>
    </row>
    <row r="6747" spans="6:8" x14ac:dyDescent="0.35">
      <c r="F6747" s="1"/>
      <c r="H6747" t="s">
        <v>26</v>
      </c>
    </row>
    <row r="6748" spans="6:8" x14ac:dyDescent="0.35">
      <c r="F6748" s="1"/>
      <c r="H6748" t="s">
        <v>26</v>
      </c>
    </row>
    <row r="6749" spans="6:8" x14ac:dyDescent="0.35">
      <c r="F6749" s="1"/>
      <c r="H6749" t="s">
        <v>26</v>
      </c>
    </row>
    <row r="6750" spans="6:8" x14ac:dyDescent="0.35">
      <c r="F6750" s="1"/>
      <c r="H6750" t="s">
        <v>26</v>
      </c>
    </row>
    <row r="6751" spans="6:8" x14ac:dyDescent="0.35">
      <c r="F6751" s="1"/>
      <c r="H6751" t="s">
        <v>26</v>
      </c>
    </row>
    <row r="6752" spans="6:8" x14ac:dyDescent="0.35">
      <c r="F6752" s="1"/>
      <c r="H6752" t="s">
        <v>26</v>
      </c>
    </row>
    <row r="6753" spans="6:8" x14ac:dyDescent="0.35">
      <c r="F6753" s="1"/>
      <c r="H6753" t="s">
        <v>26</v>
      </c>
    </row>
    <row r="6754" spans="6:8" x14ac:dyDescent="0.35">
      <c r="F6754" s="1"/>
      <c r="H6754" t="s">
        <v>26</v>
      </c>
    </row>
    <row r="6755" spans="6:8" x14ac:dyDescent="0.35">
      <c r="F6755" s="1"/>
      <c r="H6755" t="s">
        <v>26</v>
      </c>
    </row>
    <row r="6756" spans="6:8" x14ac:dyDescent="0.35">
      <c r="F6756" s="1"/>
      <c r="H6756" t="s">
        <v>26</v>
      </c>
    </row>
    <row r="6757" spans="6:8" x14ac:dyDescent="0.35">
      <c r="F6757" s="1"/>
      <c r="H6757" t="s">
        <v>26</v>
      </c>
    </row>
    <row r="6758" spans="6:8" x14ac:dyDescent="0.35">
      <c r="F6758" s="1"/>
      <c r="H6758" t="s">
        <v>26</v>
      </c>
    </row>
    <row r="6759" spans="6:8" x14ac:dyDescent="0.35">
      <c r="F6759" s="1"/>
      <c r="H6759" t="s">
        <v>26</v>
      </c>
    </row>
    <row r="6760" spans="6:8" x14ac:dyDescent="0.35">
      <c r="F6760" s="1"/>
      <c r="H6760" t="s">
        <v>26</v>
      </c>
    </row>
    <row r="6761" spans="6:8" x14ac:dyDescent="0.35">
      <c r="F6761" s="1"/>
      <c r="H6761" t="s">
        <v>26</v>
      </c>
    </row>
    <row r="6762" spans="6:8" x14ac:dyDescent="0.35">
      <c r="F6762" s="1"/>
      <c r="H6762" t="s">
        <v>26</v>
      </c>
    </row>
    <row r="6763" spans="6:8" x14ac:dyDescent="0.35">
      <c r="F6763" s="1"/>
      <c r="H6763" t="s">
        <v>26</v>
      </c>
    </row>
    <row r="6764" spans="6:8" x14ac:dyDescent="0.35">
      <c r="F6764" s="1"/>
      <c r="H6764" t="s">
        <v>26</v>
      </c>
    </row>
    <row r="6765" spans="6:8" x14ac:dyDescent="0.35">
      <c r="F6765" s="1"/>
      <c r="H6765" t="s">
        <v>26</v>
      </c>
    </row>
    <row r="6766" spans="6:8" x14ac:dyDescent="0.35">
      <c r="F6766" s="1"/>
      <c r="H6766" t="s">
        <v>26</v>
      </c>
    </row>
    <row r="6767" spans="6:8" x14ac:dyDescent="0.35">
      <c r="F6767" s="1"/>
      <c r="H6767" t="s">
        <v>26</v>
      </c>
    </row>
    <row r="6768" spans="6:8" x14ac:dyDescent="0.35">
      <c r="F6768" s="1"/>
      <c r="H6768" t="s">
        <v>26</v>
      </c>
    </row>
    <row r="6769" spans="6:8" x14ac:dyDescent="0.35">
      <c r="F6769" s="1"/>
      <c r="H6769" t="s">
        <v>26</v>
      </c>
    </row>
    <row r="6770" spans="6:8" x14ac:dyDescent="0.35">
      <c r="F6770" s="1"/>
      <c r="H6770" t="s">
        <v>26</v>
      </c>
    </row>
    <row r="6771" spans="6:8" x14ac:dyDescent="0.35">
      <c r="F6771" s="1"/>
      <c r="H6771" t="s">
        <v>26</v>
      </c>
    </row>
    <row r="6772" spans="6:8" x14ac:dyDescent="0.35">
      <c r="F6772" s="1"/>
      <c r="H6772" t="s">
        <v>26</v>
      </c>
    </row>
    <row r="6773" spans="6:8" x14ac:dyDescent="0.35">
      <c r="F6773" s="1"/>
      <c r="H6773" t="s">
        <v>26</v>
      </c>
    </row>
    <row r="6774" spans="6:8" x14ac:dyDescent="0.35">
      <c r="F6774" s="1"/>
      <c r="H6774" t="s">
        <v>26</v>
      </c>
    </row>
    <row r="6775" spans="6:8" x14ac:dyDescent="0.35">
      <c r="F6775" s="1"/>
      <c r="H6775" t="s">
        <v>26</v>
      </c>
    </row>
    <row r="6776" spans="6:8" x14ac:dyDescent="0.35">
      <c r="F6776" s="1"/>
      <c r="H6776" t="s">
        <v>26</v>
      </c>
    </row>
    <row r="6777" spans="6:8" x14ac:dyDescent="0.35">
      <c r="F6777" s="1"/>
      <c r="H6777" t="s">
        <v>26</v>
      </c>
    </row>
    <row r="6778" spans="6:8" x14ac:dyDescent="0.35">
      <c r="F6778" s="1"/>
      <c r="H6778" t="s">
        <v>26</v>
      </c>
    </row>
    <row r="6779" spans="6:8" x14ac:dyDescent="0.35">
      <c r="F6779" s="1"/>
      <c r="H6779" t="s">
        <v>26</v>
      </c>
    </row>
    <row r="6780" spans="6:8" x14ac:dyDescent="0.35">
      <c r="F6780" s="1"/>
      <c r="H6780" t="s">
        <v>26</v>
      </c>
    </row>
    <row r="6781" spans="6:8" x14ac:dyDescent="0.35">
      <c r="F6781" s="1"/>
      <c r="H6781" t="s">
        <v>26</v>
      </c>
    </row>
    <row r="6782" spans="6:8" x14ac:dyDescent="0.35">
      <c r="F6782" s="1"/>
      <c r="H6782" t="s">
        <v>26</v>
      </c>
    </row>
    <row r="6783" spans="6:8" x14ac:dyDescent="0.35">
      <c r="F6783" s="1"/>
      <c r="H6783" t="s">
        <v>26</v>
      </c>
    </row>
    <row r="6784" spans="6:8" x14ac:dyDescent="0.35">
      <c r="F6784" s="1"/>
      <c r="H6784" t="s">
        <v>26</v>
      </c>
    </row>
    <row r="6785" spans="6:8" x14ac:dyDescent="0.35">
      <c r="F6785" s="1"/>
      <c r="H6785" t="s">
        <v>26</v>
      </c>
    </row>
    <row r="6786" spans="6:8" x14ac:dyDescent="0.35">
      <c r="F6786" s="1"/>
      <c r="H6786" t="s">
        <v>26</v>
      </c>
    </row>
    <row r="6787" spans="6:8" x14ac:dyDescent="0.35">
      <c r="F6787" s="1"/>
      <c r="H6787" t="s">
        <v>26</v>
      </c>
    </row>
    <row r="6788" spans="6:8" x14ac:dyDescent="0.35">
      <c r="F6788" s="1"/>
      <c r="H6788" t="s">
        <v>26</v>
      </c>
    </row>
    <row r="6789" spans="6:8" x14ac:dyDescent="0.35">
      <c r="F6789" s="1"/>
      <c r="H6789" t="s">
        <v>26</v>
      </c>
    </row>
    <row r="6790" spans="6:8" x14ac:dyDescent="0.35">
      <c r="F6790" s="1"/>
      <c r="H6790" t="s">
        <v>26</v>
      </c>
    </row>
    <row r="6791" spans="6:8" x14ac:dyDescent="0.35">
      <c r="F6791" s="1"/>
      <c r="H6791" t="s">
        <v>26</v>
      </c>
    </row>
    <row r="6792" spans="6:8" x14ac:dyDescent="0.35">
      <c r="F6792" s="1"/>
      <c r="H6792" t="s">
        <v>26</v>
      </c>
    </row>
    <row r="6793" spans="6:8" x14ac:dyDescent="0.35">
      <c r="F6793" s="1"/>
      <c r="H6793" t="s">
        <v>26</v>
      </c>
    </row>
    <row r="6794" spans="6:8" x14ac:dyDescent="0.35">
      <c r="F6794" s="1"/>
      <c r="H6794" t="s">
        <v>26</v>
      </c>
    </row>
    <row r="6795" spans="6:8" x14ac:dyDescent="0.35">
      <c r="F6795" s="1"/>
      <c r="H6795" t="s">
        <v>26</v>
      </c>
    </row>
    <row r="6796" spans="6:8" x14ac:dyDescent="0.35">
      <c r="F6796" s="1"/>
      <c r="H6796" t="s">
        <v>26</v>
      </c>
    </row>
    <row r="6797" spans="6:8" x14ac:dyDescent="0.35">
      <c r="F6797" s="1"/>
      <c r="H6797" t="s">
        <v>26</v>
      </c>
    </row>
    <row r="6798" spans="6:8" x14ac:dyDescent="0.35">
      <c r="F6798" s="1"/>
      <c r="H6798" t="s">
        <v>26</v>
      </c>
    </row>
    <row r="6799" spans="6:8" x14ac:dyDescent="0.35">
      <c r="F6799" s="1"/>
      <c r="H6799" t="s">
        <v>26</v>
      </c>
    </row>
    <row r="6800" spans="6:8" x14ac:dyDescent="0.35">
      <c r="F6800" s="1"/>
      <c r="H6800" t="s">
        <v>26</v>
      </c>
    </row>
    <row r="6801" spans="6:8" x14ac:dyDescent="0.35">
      <c r="F6801" s="1"/>
      <c r="H6801" t="s">
        <v>26</v>
      </c>
    </row>
    <row r="6802" spans="6:8" x14ac:dyDescent="0.35">
      <c r="F6802" s="1"/>
      <c r="H6802" t="s">
        <v>26</v>
      </c>
    </row>
    <row r="6803" spans="6:8" x14ac:dyDescent="0.35">
      <c r="F6803" s="1"/>
      <c r="H6803" t="s">
        <v>26</v>
      </c>
    </row>
    <row r="6804" spans="6:8" x14ac:dyDescent="0.35">
      <c r="F6804" s="1"/>
      <c r="H6804" t="s">
        <v>26</v>
      </c>
    </row>
    <row r="6805" spans="6:8" x14ac:dyDescent="0.35">
      <c r="F6805" s="1"/>
      <c r="H6805" t="s">
        <v>26</v>
      </c>
    </row>
    <row r="6806" spans="6:8" x14ac:dyDescent="0.35">
      <c r="F6806" s="1"/>
      <c r="H6806" t="s">
        <v>26</v>
      </c>
    </row>
    <row r="6807" spans="6:8" x14ac:dyDescent="0.35">
      <c r="F6807" s="1"/>
      <c r="H6807" t="s">
        <v>26</v>
      </c>
    </row>
    <row r="6808" spans="6:8" x14ac:dyDescent="0.35">
      <c r="F6808" s="1"/>
      <c r="H6808" t="s">
        <v>26</v>
      </c>
    </row>
    <row r="6809" spans="6:8" x14ac:dyDescent="0.35">
      <c r="F6809" s="1"/>
      <c r="H6809" t="s">
        <v>26</v>
      </c>
    </row>
    <row r="6810" spans="6:8" x14ac:dyDescent="0.35">
      <c r="F6810" s="1"/>
      <c r="H6810" t="s">
        <v>26</v>
      </c>
    </row>
    <row r="6811" spans="6:8" x14ac:dyDescent="0.35">
      <c r="F6811" s="1"/>
      <c r="H6811" t="s">
        <v>26</v>
      </c>
    </row>
    <row r="6812" spans="6:8" x14ac:dyDescent="0.35">
      <c r="F6812" s="1"/>
      <c r="H6812" t="s">
        <v>26</v>
      </c>
    </row>
    <row r="6813" spans="6:8" x14ac:dyDescent="0.35">
      <c r="F6813" s="1"/>
      <c r="H6813" t="s">
        <v>26</v>
      </c>
    </row>
    <row r="6814" spans="6:8" x14ac:dyDescent="0.35">
      <c r="F6814" s="1"/>
      <c r="H6814" t="s">
        <v>26</v>
      </c>
    </row>
    <row r="6815" spans="6:8" x14ac:dyDescent="0.35">
      <c r="F6815" s="1"/>
      <c r="H6815" t="s">
        <v>26</v>
      </c>
    </row>
    <row r="6816" spans="6:8" x14ac:dyDescent="0.35">
      <c r="F6816" s="1"/>
      <c r="H6816" t="s">
        <v>26</v>
      </c>
    </row>
    <row r="6817" spans="6:8" x14ac:dyDescent="0.35">
      <c r="F6817" s="1"/>
      <c r="H6817" t="s">
        <v>26</v>
      </c>
    </row>
    <row r="6818" spans="6:8" x14ac:dyDescent="0.35">
      <c r="F6818" s="1"/>
      <c r="H6818" t="s">
        <v>26</v>
      </c>
    </row>
    <row r="6819" spans="6:8" x14ac:dyDescent="0.35">
      <c r="F6819" s="1"/>
      <c r="H6819" t="s">
        <v>26</v>
      </c>
    </row>
    <row r="6820" spans="6:8" x14ac:dyDescent="0.35">
      <c r="F6820" s="1"/>
      <c r="H6820" t="s">
        <v>26</v>
      </c>
    </row>
    <row r="6821" spans="6:8" x14ac:dyDescent="0.35">
      <c r="F6821" s="1"/>
      <c r="H6821" t="s">
        <v>26</v>
      </c>
    </row>
    <row r="6822" spans="6:8" x14ac:dyDescent="0.35">
      <c r="F6822" s="1"/>
      <c r="H6822" t="s">
        <v>26</v>
      </c>
    </row>
    <row r="6823" spans="6:8" x14ac:dyDescent="0.35">
      <c r="F6823" s="1"/>
      <c r="H6823" t="s">
        <v>26</v>
      </c>
    </row>
    <row r="6824" spans="6:8" x14ac:dyDescent="0.35">
      <c r="F6824" s="1"/>
      <c r="H6824" t="s">
        <v>26</v>
      </c>
    </row>
    <row r="6825" spans="6:8" x14ac:dyDescent="0.35">
      <c r="F6825" s="1"/>
      <c r="H6825" t="s">
        <v>26</v>
      </c>
    </row>
    <row r="6826" spans="6:8" x14ac:dyDescent="0.35">
      <c r="F6826" s="1"/>
      <c r="H6826" t="s">
        <v>26</v>
      </c>
    </row>
    <row r="6827" spans="6:8" x14ac:dyDescent="0.35">
      <c r="F6827" s="1"/>
      <c r="H6827" t="s">
        <v>26</v>
      </c>
    </row>
    <row r="6828" spans="6:8" x14ac:dyDescent="0.35">
      <c r="F6828" s="1"/>
      <c r="H6828" t="s">
        <v>26</v>
      </c>
    </row>
    <row r="6829" spans="6:8" x14ac:dyDescent="0.35">
      <c r="F6829" s="1"/>
      <c r="H6829" t="s">
        <v>26</v>
      </c>
    </row>
    <row r="6830" spans="6:8" x14ac:dyDescent="0.35">
      <c r="F6830" s="1"/>
      <c r="H6830" t="s">
        <v>26</v>
      </c>
    </row>
    <row r="6831" spans="6:8" x14ac:dyDescent="0.35">
      <c r="F6831" s="1"/>
      <c r="H6831" t="s">
        <v>26</v>
      </c>
    </row>
    <row r="6832" spans="6:8" x14ac:dyDescent="0.35">
      <c r="F6832" s="1"/>
      <c r="H6832" t="s">
        <v>26</v>
      </c>
    </row>
    <row r="6833" spans="6:8" x14ac:dyDescent="0.35">
      <c r="F6833" s="1"/>
      <c r="H6833" t="s">
        <v>26</v>
      </c>
    </row>
    <row r="6834" spans="6:8" x14ac:dyDescent="0.35">
      <c r="F6834" s="1"/>
      <c r="H6834" t="s">
        <v>26</v>
      </c>
    </row>
    <row r="6835" spans="6:8" x14ac:dyDescent="0.35">
      <c r="F6835" s="1"/>
      <c r="H6835" t="s">
        <v>26</v>
      </c>
    </row>
    <row r="6836" spans="6:8" x14ac:dyDescent="0.35">
      <c r="F6836" s="1"/>
      <c r="H6836" t="s">
        <v>26</v>
      </c>
    </row>
    <row r="6837" spans="6:8" x14ac:dyDescent="0.35">
      <c r="F6837" s="1"/>
      <c r="H6837" t="s">
        <v>26</v>
      </c>
    </row>
    <row r="6838" spans="6:8" x14ac:dyDescent="0.35">
      <c r="F6838" s="1"/>
      <c r="H6838" t="s">
        <v>26</v>
      </c>
    </row>
    <row r="6839" spans="6:8" x14ac:dyDescent="0.35">
      <c r="F6839" s="1"/>
      <c r="H6839" t="s">
        <v>26</v>
      </c>
    </row>
    <row r="6840" spans="6:8" x14ac:dyDescent="0.35">
      <c r="F6840" s="1"/>
      <c r="H6840" t="s">
        <v>26</v>
      </c>
    </row>
    <row r="6841" spans="6:8" x14ac:dyDescent="0.35">
      <c r="F6841" s="1"/>
      <c r="H6841" t="s">
        <v>26</v>
      </c>
    </row>
    <row r="6842" spans="6:8" x14ac:dyDescent="0.35">
      <c r="F6842" s="1"/>
      <c r="H6842" t="s">
        <v>26</v>
      </c>
    </row>
    <row r="6843" spans="6:8" x14ac:dyDescent="0.35">
      <c r="F6843" s="1"/>
      <c r="H6843" t="s">
        <v>26</v>
      </c>
    </row>
    <row r="6844" spans="6:8" x14ac:dyDescent="0.35">
      <c r="F6844" s="1"/>
      <c r="H6844" t="s">
        <v>26</v>
      </c>
    </row>
    <row r="6845" spans="6:8" x14ac:dyDescent="0.35">
      <c r="F6845" s="1"/>
      <c r="H6845" t="s">
        <v>26</v>
      </c>
    </row>
    <row r="6846" spans="6:8" x14ac:dyDescent="0.35">
      <c r="F6846" s="1"/>
      <c r="H6846" t="s">
        <v>26</v>
      </c>
    </row>
    <row r="6847" spans="6:8" x14ac:dyDescent="0.35">
      <c r="F6847" s="1"/>
      <c r="H6847" t="s">
        <v>26</v>
      </c>
    </row>
    <row r="6848" spans="6:8" x14ac:dyDescent="0.35">
      <c r="F6848" s="1"/>
      <c r="H6848" t="s">
        <v>26</v>
      </c>
    </row>
    <row r="6849" spans="6:8" x14ac:dyDescent="0.35">
      <c r="F6849" s="1"/>
      <c r="H6849" t="s">
        <v>26</v>
      </c>
    </row>
    <row r="6850" spans="6:8" x14ac:dyDescent="0.35">
      <c r="F6850" s="1"/>
      <c r="H6850" t="s">
        <v>26</v>
      </c>
    </row>
    <row r="6851" spans="6:8" x14ac:dyDescent="0.35">
      <c r="F6851" s="1"/>
      <c r="H6851" t="s">
        <v>26</v>
      </c>
    </row>
    <row r="6852" spans="6:8" x14ac:dyDescent="0.35">
      <c r="F6852" s="1"/>
      <c r="H6852" t="s">
        <v>26</v>
      </c>
    </row>
    <row r="6853" spans="6:8" x14ac:dyDescent="0.35">
      <c r="F6853" s="1"/>
      <c r="H6853" t="s">
        <v>26</v>
      </c>
    </row>
    <row r="6854" spans="6:8" x14ac:dyDescent="0.35">
      <c r="F6854" s="1"/>
      <c r="H6854" t="s">
        <v>26</v>
      </c>
    </row>
    <row r="6855" spans="6:8" x14ac:dyDescent="0.35">
      <c r="F6855" s="1"/>
      <c r="H6855" t="s">
        <v>26</v>
      </c>
    </row>
    <row r="6856" spans="6:8" x14ac:dyDescent="0.35">
      <c r="F6856" s="1"/>
      <c r="H6856" t="s">
        <v>26</v>
      </c>
    </row>
    <row r="6857" spans="6:8" x14ac:dyDescent="0.35">
      <c r="F6857" s="1"/>
      <c r="H6857" t="s">
        <v>26</v>
      </c>
    </row>
    <row r="6858" spans="6:8" x14ac:dyDescent="0.35">
      <c r="F6858" s="1"/>
      <c r="H6858" t="s">
        <v>26</v>
      </c>
    </row>
    <row r="6859" spans="6:8" x14ac:dyDescent="0.35">
      <c r="F6859" s="1"/>
      <c r="H6859" t="s">
        <v>26</v>
      </c>
    </row>
    <row r="6860" spans="6:8" x14ac:dyDescent="0.35">
      <c r="F6860" s="1"/>
      <c r="H6860" t="s">
        <v>26</v>
      </c>
    </row>
    <row r="6861" spans="6:8" x14ac:dyDescent="0.35">
      <c r="F6861" s="1"/>
      <c r="H6861" t="s">
        <v>26</v>
      </c>
    </row>
    <row r="6862" spans="6:8" x14ac:dyDescent="0.35">
      <c r="F6862" s="1"/>
      <c r="H6862" t="s">
        <v>26</v>
      </c>
    </row>
    <row r="6863" spans="6:8" x14ac:dyDescent="0.35">
      <c r="F6863" s="1"/>
      <c r="H6863" t="s">
        <v>26</v>
      </c>
    </row>
    <row r="6864" spans="6:8" x14ac:dyDescent="0.35">
      <c r="F6864" s="1"/>
      <c r="H6864" t="s">
        <v>26</v>
      </c>
    </row>
    <row r="6865" spans="6:8" x14ac:dyDescent="0.35">
      <c r="F6865" s="1"/>
      <c r="H6865" t="s">
        <v>26</v>
      </c>
    </row>
    <row r="6866" spans="6:8" x14ac:dyDescent="0.35">
      <c r="F6866" s="1"/>
      <c r="H6866" t="s">
        <v>26</v>
      </c>
    </row>
    <row r="6867" spans="6:8" x14ac:dyDescent="0.35">
      <c r="F6867" s="1"/>
      <c r="H6867" t="s">
        <v>26</v>
      </c>
    </row>
    <row r="6868" spans="6:8" x14ac:dyDescent="0.35">
      <c r="F6868" s="1"/>
      <c r="H6868" t="s">
        <v>26</v>
      </c>
    </row>
    <row r="6869" spans="6:8" x14ac:dyDescent="0.35">
      <c r="F6869" s="1"/>
      <c r="H6869" t="s">
        <v>26</v>
      </c>
    </row>
    <row r="6870" spans="6:8" x14ac:dyDescent="0.35">
      <c r="F6870" s="1"/>
      <c r="H6870" t="s">
        <v>26</v>
      </c>
    </row>
    <row r="6871" spans="6:8" x14ac:dyDescent="0.35">
      <c r="F6871" s="1"/>
      <c r="H6871" t="s">
        <v>26</v>
      </c>
    </row>
    <row r="6872" spans="6:8" x14ac:dyDescent="0.35">
      <c r="F6872" s="1"/>
      <c r="H6872" t="s">
        <v>26</v>
      </c>
    </row>
    <row r="6873" spans="6:8" x14ac:dyDescent="0.35">
      <c r="F6873" s="1"/>
      <c r="H6873" t="s">
        <v>26</v>
      </c>
    </row>
    <row r="6874" spans="6:8" x14ac:dyDescent="0.35">
      <c r="F6874" s="1"/>
      <c r="H6874" t="s">
        <v>26</v>
      </c>
    </row>
    <row r="6875" spans="6:8" x14ac:dyDescent="0.35">
      <c r="F6875" s="1"/>
      <c r="H6875" t="s">
        <v>26</v>
      </c>
    </row>
    <row r="6876" spans="6:8" x14ac:dyDescent="0.35">
      <c r="F6876" s="1"/>
      <c r="H6876" t="s">
        <v>26</v>
      </c>
    </row>
    <row r="6877" spans="6:8" x14ac:dyDescent="0.35">
      <c r="F6877" s="1"/>
      <c r="H6877" t="s">
        <v>26</v>
      </c>
    </row>
    <row r="6878" spans="6:8" x14ac:dyDescent="0.35">
      <c r="F6878" s="1"/>
      <c r="H6878" t="s">
        <v>26</v>
      </c>
    </row>
    <row r="6879" spans="6:8" x14ac:dyDescent="0.35">
      <c r="F6879" s="1"/>
      <c r="H6879" t="s">
        <v>26</v>
      </c>
    </row>
    <row r="6880" spans="6:8" x14ac:dyDescent="0.35">
      <c r="F6880" s="1"/>
      <c r="H6880" t="s">
        <v>26</v>
      </c>
    </row>
    <row r="6881" spans="6:8" x14ac:dyDescent="0.35">
      <c r="F6881" s="1"/>
      <c r="H6881" t="s">
        <v>26</v>
      </c>
    </row>
    <row r="6882" spans="6:8" x14ac:dyDescent="0.35">
      <c r="F6882" s="1"/>
      <c r="H6882" t="s">
        <v>26</v>
      </c>
    </row>
    <row r="6883" spans="6:8" x14ac:dyDescent="0.35">
      <c r="F6883" s="1"/>
      <c r="H6883" t="s">
        <v>26</v>
      </c>
    </row>
    <row r="6884" spans="6:8" x14ac:dyDescent="0.35">
      <c r="F6884" s="1"/>
      <c r="H6884" t="s">
        <v>26</v>
      </c>
    </row>
    <row r="6885" spans="6:8" x14ac:dyDescent="0.35">
      <c r="F6885" s="1"/>
      <c r="H6885" t="s">
        <v>26</v>
      </c>
    </row>
    <row r="6886" spans="6:8" x14ac:dyDescent="0.35">
      <c r="F6886" s="1"/>
      <c r="H6886" t="s">
        <v>26</v>
      </c>
    </row>
    <row r="6887" spans="6:8" x14ac:dyDescent="0.35">
      <c r="F6887" s="1"/>
      <c r="H6887" t="s">
        <v>26</v>
      </c>
    </row>
    <row r="6888" spans="6:8" x14ac:dyDescent="0.35">
      <c r="F6888" s="1"/>
      <c r="H6888" t="s">
        <v>26</v>
      </c>
    </row>
    <row r="6889" spans="6:8" x14ac:dyDescent="0.35">
      <c r="F6889" s="1"/>
      <c r="H6889" t="s">
        <v>26</v>
      </c>
    </row>
    <row r="6890" spans="6:8" x14ac:dyDescent="0.35">
      <c r="F6890" s="1"/>
      <c r="H6890" t="s">
        <v>26</v>
      </c>
    </row>
    <row r="6891" spans="6:8" x14ac:dyDescent="0.35">
      <c r="F6891" s="1"/>
      <c r="H6891" t="s">
        <v>26</v>
      </c>
    </row>
    <row r="6892" spans="6:8" x14ac:dyDescent="0.35">
      <c r="F6892" s="1"/>
      <c r="H6892" t="s">
        <v>26</v>
      </c>
    </row>
    <row r="6893" spans="6:8" x14ac:dyDescent="0.35">
      <c r="F6893" s="1"/>
      <c r="H6893" t="s">
        <v>26</v>
      </c>
    </row>
    <row r="6894" spans="6:8" x14ac:dyDescent="0.35">
      <c r="F6894" s="1"/>
      <c r="H6894" t="s">
        <v>26</v>
      </c>
    </row>
    <row r="6895" spans="6:8" x14ac:dyDescent="0.35">
      <c r="F6895" s="1"/>
      <c r="H6895" t="s">
        <v>26</v>
      </c>
    </row>
    <row r="6896" spans="6:8" x14ac:dyDescent="0.35">
      <c r="F6896" s="1"/>
      <c r="H6896" t="s">
        <v>26</v>
      </c>
    </row>
    <row r="6897" spans="6:8" x14ac:dyDescent="0.35">
      <c r="F6897" s="1"/>
      <c r="H6897" t="s">
        <v>26</v>
      </c>
    </row>
    <row r="6898" spans="6:8" x14ac:dyDescent="0.35">
      <c r="F6898" s="1"/>
      <c r="H6898" t="s">
        <v>26</v>
      </c>
    </row>
    <row r="6899" spans="6:8" x14ac:dyDescent="0.35">
      <c r="F6899" s="1"/>
      <c r="H6899" t="s">
        <v>26</v>
      </c>
    </row>
    <row r="6900" spans="6:8" x14ac:dyDescent="0.35">
      <c r="F6900" s="1"/>
      <c r="H6900" t="s">
        <v>26</v>
      </c>
    </row>
    <row r="6901" spans="6:8" x14ac:dyDescent="0.35">
      <c r="F6901" s="1"/>
      <c r="H6901" t="s">
        <v>26</v>
      </c>
    </row>
    <row r="6902" spans="6:8" x14ac:dyDescent="0.35">
      <c r="F6902" s="1"/>
      <c r="H6902" t="s">
        <v>26</v>
      </c>
    </row>
    <row r="6903" spans="6:8" x14ac:dyDescent="0.35">
      <c r="F6903" s="1"/>
      <c r="H6903" t="s">
        <v>26</v>
      </c>
    </row>
    <row r="6904" spans="6:8" x14ac:dyDescent="0.35">
      <c r="F6904" s="1"/>
      <c r="H6904" t="s">
        <v>26</v>
      </c>
    </row>
    <row r="6905" spans="6:8" x14ac:dyDescent="0.35">
      <c r="F6905" s="1"/>
      <c r="H6905" t="s">
        <v>26</v>
      </c>
    </row>
    <row r="6906" spans="6:8" x14ac:dyDescent="0.35">
      <c r="F6906" s="1"/>
      <c r="H6906" t="s">
        <v>26</v>
      </c>
    </row>
    <row r="6907" spans="6:8" x14ac:dyDescent="0.35">
      <c r="F6907" s="1"/>
      <c r="H6907" t="s">
        <v>26</v>
      </c>
    </row>
    <row r="6908" spans="6:8" x14ac:dyDescent="0.35">
      <c r="F6908" s="1"/>
      <c r="H6908" t="s">
        <v>26</v>
      </c>
    </row>
    <row r="6909" spans="6:8" x14ac:dyDescent="0.35">
      <c r="F6909" s="1"/>
      <c r="H6909" t="s">
        <v>26</v>
      </c>
    </row>
    <row r="6910" spans="6:8" x14ac:dyDescent="0.35">
      <c r="F6910" s="1"/>
      <c r="H6910" t="s">
        <v>26</v>
      </c>
    </row>
    <row r="6911" spans="6:8" x14ac:dyDescent="0.35">
      <c r="F6911" s="1"/>
      <c r="H6911" t="s">
        <v>26</v>
      </c>
    </row>
    <row r="6912" spans="6:8" x14ac:dyDescent="0.35">
      <c r="F6912" s="1"/>
      <c r="H6912" t="s">
        <v>26</v>
      </c>
    </row>
    <row r="6913" spans="6:8" x14ac:dyDescent="0.35">
      <c r="F6913" s="1"/>
      <c r="H6913" t="s">
        <v>26</v>
      </c>
    </row>
    <row r="6914" spans="6:8" x14ac:dyDescent="0.35">
      <c r="F6914" s="1"/>
      <c r="H6914" t="s">
        <v>26</v>
      </c>
    </row>
    <row r="6915" spans="6:8" x14ac:dyDescent="0.35">
      <c r="F6915" s="1"/>
      <c r="H6915" t="s">
        <v>26</v>
      </c>
    </row>
    <row r="6916" spans="6:8" x14ac:dyDescent="0.35">
      <c r="F6916" s="1"/>
      <c r="H6916" t="s">
        <v>26</v>
      </c>
    </row>
    <row r="6917" spans="6:8" x14ac:dyDescent="0.35">
      <c r="F6917" s="1"/>
      <c r="H6917" t="s">
        <v>26</v>
      </c>
    </row>
    <row r="6918" spans="6:8" x14ac:dyDescent="0.35">
      <c r="F6918" s="1"/>
      <c r="H6918" t="s">
        <v>26</v>
      </c>
    </row>
    <row r="6919" spans="6:8" x14ac:dyDescent="0.35">
      <c r="F6919" s="1"/>
      <c r="H6919" t="s">
        <v>26</v>
      </c>
    </row>
    <row r="6920" spans="6:8" x14ac:dyDescent="0.35">
      <c r="F6920" s="1"/>
      <c r="H6920" t="s">
        <v>26</v>
      </c>
    </row>
    <row r="6921" spans="6:8" x14ac:dyDescent="0.35">
      <c r="F6921" s="1"/>
      <c r="H6921" t="s">
        <v>26</v>
      </c>
    </row>
    <row r="6922" spans="6:8" x14ac:dyDescent="0.35">
      <c r="F6922" s="1"/>
      <c r="H6922" t="s">
        <v>26</v>
      </c>
    </row>
    <row r="6923" spans="6:8" x14ac:dyDescent="0.35">
      <c r="F6923" s="1"/>
      <c r="H6923" t="s">
        <v>26</v>
      </c>
    </row>
    <row r="6924" spans="6:8" x14ac:dyDescent="0.35">
      <c r="F6924" s="1"/>
      <c r="H6924" t="s">
        <v>26</v>
      </c>
    </row>
    <row r="6925" spans="6:8" x14ac:dyDescent="0.35">
      <c r="F6925" s="1"/>
      <c r="H6925" t="s">
        <v>26</v>
      </c>
    </row>
    <row r="6926" spans="6:8" x14ac:dyDescent="0.35">
      <c r="F6926" s="1"/>
      <c r="H6926" t="s">
        <v>26</v>
      </c>
    </row>
    <row r="6927" spans="6:8" x14ac:dyDescent="0.35">
      <c r="F6927" s="1"/>
      <c r="H6927" t="s">
        <v>26</v>
      </c>
    </row>
    <row r="6928" spans="6:8" x14ac:dyDescent="0.35">
      <c r="F6928" s="1"/>
      <c r="H6928" t="s">
        <v>26</v>
      </c>
    </row>
    <row r="6929" spans="6:8" x14ac:dyDescent="0.35">
      <c r="F6929" s="1"/>
      <c r="H6929" t="s">
        <v>26</v>
      </c>
    </row>
    <row r="6930" spans="6:8" x14ac:dyDescent="0.35">
      <c r="F6930" s="1"/>
      <c r="H6930" t="s">
        <v>26</v>
      </c>
    </row>
    <row r="6931" spans="6:8" x14ac:dyDescent="0.35">
      <c r="F6931" s="1"/>
      <c r="H6931" t="s">
        <v>26</v>
      </c>
    </row>
    <row r="6932" spans="6:8" x14ac:dyDescent="0.35">
      <c r="F6932" s="1"/>
      <c r="H6932" t="s">
        <v>26</v>
      </c>
    </row>
    <row r="6933" spans="6:8" x14ac:dyDescent="0.35">
      <c r="F6933" s="1"/>
      <c r="H6933" t="s">
        <v>26</v>
      </c>
    </row>
    <row r="6934" spans="6:8" x14ac:dyDescent="0.35">
      <c r="F6934" s="1"/>
      <c r="H6934" t="s">
        <v>26</v>
      </c>
    </row>
    <row r="6935" spans="6:8" x14ac:dyDescent="0.35">
      <c r="F6935" s="1"/>
      <c r="H6935" t="s">
        <v>26</v>
      </c>
    </row>
    <row r="6936" spans="6:8" x14ac:dyDescent="0.35">
      <c r="F6936" s="1"/>
      <c r="H6936" t="s">
        <v>26</v>
      </c>
    </row>
    <row r="6937" spans="6:8" x14ac:dyDescent="0.35">
      <c r="F6937" s="1"/>
      <c r="H6937" t="s">
        <v>26</v>
      </c>
    </row>
    <row r="6938" spans="6:8" x14ac:dyDescent="0.35">
      <c r="F6938" s="1"/>
      <c r="H6938" t="s">
        <v>26</v>
      </c>
    </row>
    <row r="6939" spans="6:8" x14ac:dyDescent="0.35">
      <c r="F6939" s="1"/>
      <c r="H6939" t="s">
        <v>26</v>
      </c>
    </row>
    <row r="6940" spans="6:8" x14ac:dyDescent="0.35">
      <c r="F6940" s="1"/>
      <c r="H6940" t="s">
        <v>26</v>
      </c>
    </row>
    <row r="6941" spans="6:8" x14ac:dyDescent="0.35">
      <c r="F6941" s="1"/>
      <c r="H6941" t="s">
        <v>26</v>
      </c>
    </row>
    <row r="6942" spans="6:8" x14ac:dyDescent="0.35">
      <c r="F6942" s="1"/>
      <c r="H6942" t="s">
        <v>26</v>
      </c>
    </row>
    <row r="6943" spans="6:8" x14ac:dyDescent="0.35">
      <c r="F6943" s="1"/>
      <c r="H6943" t="s">
        <v>26</v>
      </c>
    </row>
    <row r="6944" spans="6:8" x14ac:dyDescent="0.35">
      <c r="F6944" s="1"/>
      <c r="H6944" t="s">
        <v>26</v>
      </c>
    </row>
    <row r="6945" spans="6:8" x14ac:dyDescent="0.35">
      <c r="F6945" s="1"/>
      <c r="H6945" t="s">
        <v>26</v>
      </c>
    </row>
    <row r="6946" spans="6:8" x14ac:dyDescent="0.35">
      <c r="F6946" s="1"/>
      <c r="H6946" t="s">
        <v>26</v>
      </c>
    </row>
    <row r="6947" spans="6:8" x14ac:dyDescent="0.35">
      <c r="F6947" s="1"/>
      <c r="H6947" t="s">
        <v>26</v>
      </c>
    </row>
    <row r="6948" spans="6:8" x14ac:dyDescent="0.35">
      <c r="F6948" s="1"/>
      <c r="H6948" t="s">
        <v>26</v>
      </c>
    </row>
    <row r="6949" spans="6:8" x14ac:dyDescent="0.35">
      <c r="F6949" s="1"/>
      <c r="H6949" t="s">
        <v>26</v>
      </c>
    </row>
    <row r="6950" spans="6:8" x14ac:dyDescent="0.35">
      <c r="F6950" s="1"/>
      <c r="H6950" t="s">
        <v>26</v>
      </c>
    </row>
    <row r="6951" spans="6:8" x14ac:dyDescent="0.35">
      <c r="F6951" s="1"/>
      <c r="H6951" t="s">
        <v>26</v>
      </c>
    </row>
    <row r="6952" spans="6:8" x14ac:dyDescent="0.35">
      <c r="F6952" s="1"/>
      <c r="H6952" t="s">
        <v>26</v>
      </c>
    </row>
    <row r="6953" spans="6:8" x14ac:dyDescent="0.35">
      <c r="F6953" s="1"/>
      <c r="H6953" t="s">
        <v>26</v>
      </c>
    </row>
    <row r="6954" spans="6:8" x14ac:dyDescent="0.35">
      <c r="F6954" s="1"/>
      <c r="H6954" t="s">
        <v>26</v>
      </c>
    </row>
    <row r="6955" spans="6:8" x14ac:dyDescent="0.35">
      <c r="F6955" s="1"/>
      <c r="H6955" t="s">
        <v>26</v>
      </c>
    </row>
    <row r="6956" spans="6:8" x14ac:dyDescent="0.35">
      <c r="F6956" s="1"/>
      <c r="H6956" t="s">
        <v>26</v>
      </c>
    </row>
    <row r="6957" spans="6:8" x14ac:dyDescent="0.35">
      <c r="F6957" s="1"/>
      <c r="H6957" t="s">
        <v>26</v>
      </c>
    </row>
    <row r="6958" spans="6:8" x14ac:dyDescent="0.35">
      <c r="F6958" s="1"/>
      <c r="H6958" t="s">
        <v>26</v>
      </c>
    </row>
    <row r="6959" spans="6:8" x14ac:dyDescent="0.35">
      <c r="F6959" s="1"/>
      <c r="H6959" t="s">
        <v>26</v>
      </c>
    </row>
    <row r="6960" spans="6:8" x14ac:dyDescent="0.35">
      <c r="F6960" s="1"/>
      <c r="H6960" t="s">
        <v>26</v>
      </c>
    </row>
    <row r="6961" spans="6:8" x14ac:dyDescent="0.35">
      <c r="F6961" s="1"/>
      <c r="H6961" t="s">
        <v>26</v>
      </c>
    </row>
    <row r="6962" spans="6:8" x14ac:dyDescent="0.35">
      <c r="F6962" s="1"/>
      <c r="H6962" t="s">
        <v>26</v>
      </c>
    </row>
    <row r="6963" spans="6:8" x14ac:dyDescent="0.35">
      <c r="F6963" s="1"/>
      <c r="H6963" t="s">
        <v>26</v>
      </c>
    </row>
    <row r="6964" spans="6:8" x14ac:dyDescent="0.35">
      <c r="F6964" s="1"/>
      <c r="H6964" t="s">
        <v>26</v>
      </c>
    </row>
    <row r="6965" spans="6:8" x14ac:dyDescent="0.35">
      <c r="F6965" s="1"/>
      <c r="H6965" t="s">
        <v>26</v>
      </c>
    </row>
    <row r="6966" spans="6:8" x14ac:dyDescent="0.35">
      <c r="F6966" s="1"/>
      <c r="H6966" t="s">
        <v>26</v>
      </c>
    </row>
    <row r="6967" spans="6:8" x14ac:dyDescent="0.35">
      <c r="F6967" s="1"/>
      <c r="H6967" t="s">
        <v>26</v>
      </c>
    </row>
    <row r="6968" spans="6:8" x14ac:dyDescent="0.35">
      <c r="F6968" s="1"/>
      <c r="H6968" t="s">
        <v>26</v>
      </c>
    </row>
    <row r="6969" spans="6:8" x14ac:dyDescent="0.35">
      <c r="F6969" s="1"/>
      <c r="H6969" t="s">
        <v>26</v>
      </c>
    </row>
    <row r="6970" spans="6:8" x14ac:dyDescent="0.35">
      <c r="F6970" s="1"/>
      <c r="H6970" t="s">
        <v>26</v>
      </c>
    </row>
    <row r="6971" spans="6:8" x14ac:dyDescent="0.35">
      <c r="F6971" s="1"/>
      <c r="H6971" t="s">
        <v>26</v>
      </c>
    </row>
    <row r="6972" spans="6:8" x14ac:dyDescent="0.35">
      <c r="F6972" s="1"/>
      <c r="H6972" t="s">
        <v>26</v>
      </c>
    </row>
    <row r="6973" spans="6:8" x14ac:dyDescent="0.35">
      <c r="F6973" s="1"/>
      <c r="H6973" t="s">
        <v>26</v>
      </c>
    </row>
    <row r="6974" spans="6:8" x14ac:dyDescent="0.35">
      <c r="F6974" s="1"/>
      <c r="H6974" t="s">
        <v>26</v>
      </c>
    </row>
    <row r="6975" spans="6:8" x14ac:dyDescent="0.35">
      <c r="F6975" s="1"/>
      <c r="H6975" t="s">
        <v>26</v>
      </c>
    </row>
    <row r="6976" spans="6:8" x14ac:dyDescent="0.35">
      <c r="F6976" s="1"/>
      <c r="H6976" t="s">
        <v>26</v>
      </c>
    </row>
    <row r="6977" spans="6:8" x14ac:dyDescent="0.35">
      <c r="F6977" s="1"/>
      <c r="H6977" t="s">
        <v>26</v>
      </c>
    </row>
    <row r="6978" spans="6:8" x14ac:dyDescent="0.35">
      <c r="F6978" s="1"/>
      <c r="H6978" t="s">
        <v>26</v>
      </c>
    </row>
    <row r="6979" spans="6:8" x14ac:dyDescent="0.35">
      <c r="F6979" s="1"/>
      <c r="H6979" t="s">
        <v>26</v>
      </c>
    </row>
    <row r="6980" spans="6:8" x14ac:dyDescent="0.35">
      <c r="F6980" s="1"/>
      <c r="H6980" t="s">
        <v>26</v>
      </c>
    </row>
    <row r="6981" spans="6:8" x14ac:dyDescent="0.35">
      <c r="F6981" s="1"/>
      <c r="H6981" t="s">
        <v>26</v>
      </c>
    </row>
    <row r="6982" spans="6:8" x14ac:dyDescent="0.35">
      <c r="F6982" s="1"/>
      <c r="H6982" t="s">
        <v>26</v>
      </c>
    </row>
    <row r="6983" spans="6:8" x14ac:dyDescent="0.35">
      <c r="F6983" s="1"/>
      <c r="H6983" t="s">
        <v>26</v>
      </c>
    </row>
    <row r="6984" spans="6:8" x14ac:dyDescent="0.35">
      <c r="F6984" s="1"/>
      <c r="H6984" t="s">
        <v>26</v>
      </c>
    </row>
    <row r="6985" spans="6:8" x14ac:dyDescent="0.35">
      <c r="F6985" s="1"/>
      <c r="H6985" t="s">
        <v>26</v>
      </c>
    </row>
    <row r="6986" spans="6:8" x14ac:dyDescent="0.35">
      <c r="F6986" s="1"/>
      <c r="H6986" t="s">
        <v>26</v>
      </c>
    </row>
    <row r="6987" spans="6:8" x14ac:dyDescent="0.35">
      <c r="F6987" s="1"/>
      <c r="H6987" t="s">
        <v>26</v>
      </c>
    </row>
    <row r="6988" spans="6:8" x14ac:dyDescent="0.35">
      <c r="F6988" s="1"/>
      <c r="H6988" t="s">
        <v>26</v>
      </c>
    </row>
    <row r="6989" spans="6:8" x14ac:dyDescent="0.35">
      <c r="F6989" s="1"/>
      <c r="H6989" t="s">
        <v>26</v>
      </c>
    </row>
    <row r="6990" spans="6:8" x14ac:dyDescent="0.35">
      <c r="F6990" s="1"/>
      <c r="H6990" t="s">
        <v>26</v>
      </c>
    </row>
    <row r="6991" spans="6:8" x14ac:dyDescent="0.35">
      <c r="F6991" s="1"/>
      <c r="H6991" t="s">
        <v>26</v>
      </c>
    </row>
    <row r="6992" spans="6:8" x14ac:dyDescent="0.35">
      <c r="F6992" s="1"/>
      <c r="H6992" t="s">
        <v>26</v>
      </c>
    </row>
    <row r="6993" spans="6:8" x14ac:dyDescent="0.35">
      <c r="F6993" s="1"/>
      <c r="H6993" t="s">
        <v>26</v>
      </c>
    </row>
    <row r="6994" spans="6:8" x14ac:dyDescent="0.35">
      <c r="F6994" s="1"/>
      <c r="H6994" t="s">
        <v>26</v>
      </c>
    </row>
    <row r="6995" spans="6:8" x14ac:dyDescent="0.35">
      <c r="F6995" s="1"/>
      <c r="H6995" t="s">
        <v>26</v>
      </c>
    </row>
    <row r="6996" spans="6:8" x14ac:dyDescent="0.35">
      <c r="F6996" s="1"/>
      <c r="H6996" t="s">
        <v>26</v>
      </c>
    </row>
    <row r="6997" spans="6:8" x14ac:dyDescent="0.35">
      <c r="F6997" s="1"/>
      <c r="H6997" t="s">
        <v>26</v>
      </c>
    </row>
    <row r="6998" spans="6:8" x14ac:dyDescent="0.35">
      <c r="F6998" s="1"/>
      <c r="H6998" t="s">
        <v>26</v>
      </c>
    </row>
    <row r="6999" spans="6:8" x14ac:dyDescent="0.35">
      <c r="F6999" s="1"/>
      <c r="H6999" t="s">
        <v>26</v>
      </c>
    </row>
    <row r="7000" spans="6:8" x14ac:dyDescent="0.35">
      <c r="F7000" s="1"/>
      <c r="H7000" t="s">
        <v>26</v>
      </c>
    </row>
    <row r="7001" spans="6:8" x14ac:dyDescent="0.35">
      <c r="F7001" s="1"/>
      <c r="H7001" t="s">
        <v>26</v>
      </c>
    </row>
    <row r="7002" spans="6:8" x14ac:dyDescent="0.35">
      <c r="F7002" s="1"/>
      <c r="H7002" t="s">
        <v>26</v>
      </c>
    </row>
    <row r="7003" spans="6:8" x14ac:dyDescent="0.35">
      <c r="F7003" s="1"/>
      <c r="H7003" t="s">
        <v>26</v>
      </c>
    </row>
    <row r="7004" spans="6:8" x14ac:dyDescent="0.35">
      <c r="F7004" s="1"/>
      <c r="H7004" t="s">
        <v>26</v>
      </c>
    </row>
    <row r="7005" spans="6:8" x14ac:dyDescent="0.35">
      <c r="F7005" s="1"/>
      <c r="H7005" t="s">
        <v>26</v>
      </c>
    </row>
    <row r="7006" spans="6:8" x14ac:dyDescent="0.35">
      <c r="F7006" s="1"/>
      <c r="H7006" t="s">
        <v>26</v>
      </c>
    </row>
    <row r="7007" spans="6:8" x14ac:dyDescent="0.35">
      <c r="F7007" s="1"/>
      <c r="H7007" t="s">
        <v>26</v>
      </c>
    </row>
    <row r="7008" spans="6:8" x14ac:dyDescent="0.35">
      <c r="F7008" s="1"/>
      <c r="H7008" t="s">
        <v>26</v>
      </c>
    </row>
    <row r="7009" spans="6:8" x14ac:dyDescent="0.35">
      <c r="F7009" s="1"/>
      <c r="H7009" t="s">
        <v>26</v>
      </c>
    </row>
    <row r="7010" spans="6:8" x14ac:dyDescent="0.35">
      <c r="F7010" s="1"/>
      <c r="H7010" t="s">
        <v>26</v>
      </c>
    </row>
    <row r="7011" spans="6:8" x14ac:dyDescent="0.35">
      <c r="F7011" s="1"/>
      <c r="H7011" t="s">
        <v>26</v>
      </c>
    </row>
    <row r="7012" spans="6:8" x14ac:dyDescent="0.35">
      <c r="F7012" s="1"/>
      <c r="H7012" t="s">
        <v>26</v>
      </c>
    </row>
    <row r="7013" spans="6:8" x14ac:dyDescent="0.35">
      <c r="F7013" s="1"/>
      <c r="H7013" t="s">
        <v>26</v>
      </c>
    </row>
    <row r="7014" spans="6:8" x14ac:dyDescent="0.35">
      <c r="F7014" s="1"/>
      <c r="H7014" t="s">
        <v>26</v>
      </c>
    </row>
    <row r="7015" spans="6:8" x14ac:dyDescent="0.35">
      <c r="F7015" s="1"/>
      <c r="H7015" t="s">
        <v>26</v>
      </c>
    </row>
    <row r="7016" spans="6:8" x14ac:dyDescent="0.35">
      <c r="F7016" s="1"/>
      <c r="H7016" t="s">
        <v>26</v>
      </c>
    </row>
    <row r="7017" spans="6:8" x14ac:dyDescent="0.35">
      <c r="F7017" s="1"/>
      <c r="H7017" t="s">
        <v>26</v>
      </c>
    </row>
    <row r="7018" spans="6:8" x14ac:dyDescent="0.35">
      <c r="F7018" s="1"/>
      <c r="H7018" t="s">
        <v>26</v>
      </c>
    </row>
    <row r="7019" spans="6:8" x14ac:dyDescent="0.35">
      <c r="F7019" s="1"/>
      <c r="H7019" t="s">
        <v>26</v>
      </c>
    </row>
    <row r="7020" spans="6:8" x14ac:dyDescent="0.35">
      <c r="F7020" s="1"/>
      <c r="H7020" t="s">
        <v>26</v>
      </c>
    </row>
    <row r="7021" spans="6:8" x14ac:dyDescent="0.35">
      <c r="F7021" s="1"/>
      <c r="H7021" t="s">
        <v>26</v>
      </c>
    </row>
    <row r="7022" spans="6:8" x14ac:dyDescent="0.35">
      <c r="F7022" s="1"/>
      <c r="H7022" t="s">
        <v>26</v>
      </c>
    </row>
    <row r="7023" spans="6:8" x14ac:dyDescent="0.35">
      <c r="F7023" s="1"/>
      <c r="H7023" t="s">
        <v>26</v>
      </c>
    </row>
    <row r="7024" spans="6:8" x14ac:dyDescent="0.35">
      <c r="F7024" s="1"/>
      <c r="H7024" t="s">
        <v>26</v>
      </c>
    </row>
    <row r="7025" spans="6:8" x14ac:dyDescent="0.35">
      <c r="F7025" s="1"/>
      <c r="H7025" t="s">
        <v>26</v>
      </c>
    </row>
    <row r="7026" spans="6:8" x14ac:dyDescent="0.35">
      <c r="F7026" s="1"/>
      <c r="H7026" t="s">
        <v>26</v>
      </c>
    </row>
    <row r="7027" spans="6:8" x14ac:dyDescent="0.35">
      <c r="F7027" s="1"/>
      <c r="H7027" t="s">
        <v>26</v>
      </c>
    </row>
    <row r="7028" spans="6:8" x14ac:dyDescent="0.35">
      <c r="F7028" s="1"/>
      <c r="H7028" t="s">
        <v>26</v>
      </c>
    </row>
    <row r="7029" spans="6:8" x14ac:dyDescent="0.35">
      <c r="F7029" s="1"/>
      <c r="H7029" t="s">
        <v>26</v>
      </c>
    </row>
    <row r="7030" spans="6:8" x14ac:dyDescent="0.35">
      <c r="F7030" s="1"/>
      <c r="H7030" t="s">
        <v>26</v>
      </c>
    </row>
    <row r="7031" spans="6:8" x14ac:dyDescent="0.35">
      <c r="F7031" s="1"/>
      <c r="H7031" t="s">
        <v>26</v>
      </c>
    </row>
    <row r="7032" spans="6:8" x14ac:dyDescent="0.35">
      <c r="F7032" s="1"/>
      <c r="H7032" t="s">
        <v>26</v>
      </c>
    </row>
    <row r="7033" spans="6:8" x14ac:dyDescent="0.35">
      <c r="F7033" s="1"/>
      <c r="H7033" t="s">
        <v>26</v>
      </c>
    </row>
    <row r="7034" spans="6:8" x14ac:dyDescent="0.35">
      <c r="F7034" s="1"/>
      <c r="H7034" t="s">
        <v>26</v>
      </c>
    </row>
    <row r="7035" spans="6:8" x14ac:dyDescent="0.35">
      <c r="F7035" s="1"/>
      <c r="H7035" t="s">
        <v>26</v>
      </c>
    </row>
    <row r="7036" spans="6:8" x14ac:dyDescent="0.35">
      <c r="F7036" s="1"/>
      <c r="H7036" t="s">
        <v>26</v>
      </c>
    </row>
    <row r="7037" spans="6:8" x14ac:dyDescent="0.35">
      <c r="F7037" s="1"/>
      <c r="H7037" t="s">
        <v>26</v>
      </c>
    </row>
    <row r="7038" spans="6:8" x14ac:dyDescent="0.35">
      <c r="F7038" s="1"/>
      <c r="H7038" t="s">
        <v>26</v>
      </c>
    </row>
    <row r="7039" spans="6:8" x14ac:dyDescent="0.35">
      <c r="F7039" s="1"/>
      <c r="H7039" t="s">
        <v>26</v>
      </c>
    </row>
    <row r="7040" spans="6:8" x14ac:dyDescent="0.35">
      <c r="F7040" s="1"/>
      <c r="H7040" t="s">
        <v>26</v>
      </c>
    </row>
    <row r="7041" spans="6:8" x14ac:dyDescent="0.35">
      <c r="F7041" s="1"/>
      <c r="H7041" t="s">
        <v>26</v>
      </c>
    </row>
    <row r="7042" spans="6:8" x14ac:dyDescent="0.35">
      <c r="F7042" s="1"/>
      <c r="H7042" t="s">
        <v>26</v>
      </c>
    </row>
    <row r="7043" spans="6:8" x14ac:dyDescent="0.35">
      <c r="F7043" s="1"/>
      <c r="H7043" t="s">
        <v>26</v>
      </c>
    </row>
    <row r="7044" spans="6:8" x14ac:dyDescent="0.35">
      <c r="F7044" s="1"/>
      <c r="H7044" t="s">
        <v>26</v>
      </c>
    </row>
    <row r="7045" spans="6:8" x14ac:dyDescent="0.35">
      <c r="F7045" s="1"/>
      <c r="H7045" t="s">
        <v>26</v>
      </c>
    </row>
    <row r="7046" spans="6:8" x14ac:dyDescent="0.35">
      <c r="F7046" s="1"/>
      <c r="H7046" t="s">
        <v>26</v>
      </c>
    </row>
    <row r="7047" spans="6:8" x14ac:dyDescent="0.35">
      <c r="F7047" s="1"/>
      <c r="H7047" t="s">
        <v>26</v>
      </c>
    </row>
    <row r="7048" spans="6:8" x14ac:dyDescent="0.35">
      <c r="F7048" s="1"/>
      <c r="H7048" t="s">
        <v>26</v>
      </c>
    </row>
    <row r="7049" spans="6:8" x14ac:dyDescent="0.35">
      <c r="F7049" s="1"/>
      <c r="H7049" t="s">
        <v>26</v>
      </c>
    </row>
    <row r="7050" spans="6:8" x14ac:dyDescent="0.35">
      <c r="F7050" s="1"/>
      <c r="H7050" t="s">
        <v>26</v>
      </c>
    </row>
    <row r="7051" spans="6:8" x14ac:dyDescent="0.35">
      <c r="F7051" s="1"/>
      <c r="H7051" t="s">
        <v>26</v>
      </c>
    </row>
    <row r="7052" spans="6:8" x14ac:dyDescent="0.35">
      <c r="F7052" s="1"/>
      <c r="H7052" t="s">
        <v>26</v>
      </c>
    </row>
    <row r="7053" spans="6:8" x14ac:dyDescent="0.35">
      <c r="F7053" s="1"/>
      <c r="H7053" t="s">
        <v>26</v>
      </c>
    </row>
    <row r="7054" spans="6:8" x14ac:dyDescent="0.35">
      <c r="F7054" s="1"/>
      <c r="H7054" t="s">
        <v>26</v>
      </c>
    </row>
    <row r="7055" spans="6:8" x14ac:dyDescent="0.35">
      <c r="F7055" s="1"/>
      <c r="H7055" t="s">
        <v>26</v>
      </c>
    </row>
    <row r="7056" spans="6:8" x14ac:dyDescent="0.35">
      <c r="F7056" s="1"/>
      <c r="H7056" t="s">
        <v>26</v>
      </c>
    </row>
    <row r="7057" spans="6:8" x14ac:dyDescent="0.35">
      <c r="F7057" s="1"/>
      <c r="H7057" t="s">
        <v>26</v>
      </c>
    </row>
    <row r="7058" spans="6:8" x14ac:dyDescent="0.35">
      <c r="F7058" s="1"/>
      <c r="H7058" t="s">
        <v>26</v>
      </c>
    </row>
    <row r="7059" spans="6:8" x14ac:dyDescent="0.35">
      <c r="F7059" s="1"/>
      <c r="H7059" t="s">
        <v>26</v>
      </c>
    </row>
    <row r="7060" spans="6:8" x14ac:dyDescent="0.35">
      <c r="F7060" s="1"/>
      <c r="H7060" t="s">
        <v>26</v>
      </c>
    </row>
    <row r="7061" spans="6:8" x14ac:dyDescent="0.35">
      <c r="F7061" s="1"/>
      <c r="H7061" t="s">
        <v>26</v>
      </c>
    </row>
    <row r="7062" spans="6:8" x14ac:dyDescent="0.35">
      <c r="F7062" s="1"/>
      <c r="H7062" t="s">
        <v>26</v>
      </c>
    </row>
    <row r="7063" spans="6:8" x14ac:dyDescent="0.35">
      <c r="F7063" s="1"/>
      <c r="H7063" t="s">
        <v>26</v>
      </c>
    </row>
    <row r="7064" spans="6:8" x14ac:dyDescent="0.35">
      <c r="F7064" s="1"/>
      <c r="H7064" t="s">
        <v>26</v>
      </c>
    </row>
    <row r="7065" spans="6:8" x14ac:dyDescent="0.35">
      <c r="F7065" s="1"/>
      <c r="H7065" t="s">
        <v>26</v>
      </c>
    </row>
    <row r="7066" spans="6:8" x14ac:dyDescent="0.35">
      <c r="F7066" s="1"/>
      <c r="H7066" t="s">
        <v>26</v>
      </c>
    </row>
    <row r="7067" spans="6:8" x14ac:dyDescent="0.35">
      <c r="F7067" s="1"/>
      <c r="H7067" t="s">
        <v>26</v>
      </c>
    </row>
    <row r="7068" spans="6:8" x14ac:dyDescent="0.35">
      <c r="F7068" s="1"/>
      <c r="H7068" t="s">
        <v>26</v>
      </c>
    </row>
    <row r="7069" spans="6:8" x14ac:dyDescent="0.35">
      <c r="F7069" s="1"/>
      <c r="H7069" t="s">
        <v>26</v>
      </c>
    </row>
    <row r="7070" spans="6:8" x14ac:dyDescent="0.35">
      <c r="F7070" s="1"/>
      <c r="H7070" t="s">
        <v>26</v>
      </c>
    </row>
    <row r="7071" spans="6:8" x14ac:dyDescent="0.35">
      <c r="F7071" s="1"/>
      <c r="H7071" t="s">
        <v>26</v>
      </c>
    </row>
    <row r="7072" spans="6:8" x14ac:dyDescent="0.35">
      <c r="F7072" s="1"/>
      <c r="H7072" t="s">
        <v>26</v>
      </c>
    </row>
    <row r="7073" spans="6:8" x14ac:dyDescent="0.35">
      <c r="F7073" s="1"/>
      <c r="H7073" t="s">
        <v>26</v>
      </c>
    </row>
    <row r="7074" spans="6:8" x14ac:dyDescent="0.35">
      <c r="F7074" s="1"/>
      <c r="H7074" t="s">
        <v>26</v>
      </c>
    </row>
    <row r="7075" spans="6:8" x14ac:dyDescent="0.35">
      <c r="F7075" s="1"/>
      <c r="H7075" t="s">
        <v>26</v>
      </c>
    </row>
    <row r="7076" spans="6:8" x14ac:dyDescent="0.35">
      <c r="F7076" s="1"/>
      <c r="H7076" t="s">
        <v>26</v>
      </c>
    </row>
    <row r="7077" spans="6:8" x14ac:dyDescent="0.35">
      <c r="F7077" s="1"/>
      <c r="H7077" t="s">
        <v>26</v>
      </c>
    </row>
    <row r="7078" spans="6:8" x14ac:dyDescent="0.35">
      <c r="F7078" s="1"/>
      <c r="H7078" t="s">
        <v>26</v>
      </c>
    </row>
    <row r="7079" spans="6:8" x14ac:dyDescent="0.35">
      <c r="F7079" s="1"/>
      <c r="H7079" t="s">
        <v>26</v>
      </c>
    </row>
    <row r="7080" spans="6:8" x14ac:dyDescent="0.35">
      <c r="F7080" s="1"/>
      <c r="H7080" t="s">
        <v>26</v>
      </c>
    </row>
    <row r="7081" spans="6:8" x14ac:dyDescent="0.35">
      <c r="F7081" s="1"/>
      <c r="H7081" t="s">
        <v>26</v>
      </c>
    </row>
    <row r="7082" spans="6:8" x14ac:dyDescent="0.35">
      <c r="F7082" s="1"/>
      <c r="H7082" t="s">
        <v>26</v>
      </c>
    </row>
    <row r="7083" spans="6:8" x14ac:dyDescent="0.35">
      <c r="F7083" s="1"/>
      <c r="H7083" t="s">
        <v>26</v>
      </c>
    </row>
    <row r="7084" spans="6:8" x14ac:dyDescent="0.35">
      <c r="F7084" s="1"/>
      <c r="H7084" t="s">
        <v>26</v>
      </c>
    </row>
    <row r="7085" spans="6:8" x14ac:dyDescent="0.35">
      <c r="F7085" s="1"/>
      <c r="H7085" t="s">
        <v>26</v>
      </c>
    </row>
    <row r="7086" spans="6:8" x14ac:dyDescent="0.35">
      <c r="F7086" s="1"/>
      <c r="H7086" t="s">
        <v>26</v>
      </c>
    </row>
    <row r="7087" spans="6:8" x14ac:dyDescent="0.35">
      <c r="F7087" s="1"/>
      <c r="H7087" t="s">
        <v>26</v>
      </c>
    </row>
    <row r="7088" spans="6:8" x14ac:dyDescent="0.35">
      <c r="F7088" s="1"/>
      <c r="H7088" t="s">
        <v>26</v>
      </c>
    </row>
    <row r="7089" spans="6:8" x14ac:dyDescent="0.35">
      <c r="F7089" s="1"/>
      <c r="H7089" t="s">
        <v>26</v>
      </c>
    </row>
    <row r="7090" spans="6:8" x14ac:dyDescent="0.35">
      <c r="F7090" s="1"/>
      <c r="H7090" t="s">
        <v>26</v>
      </c>
    </row>
    <row r="7091" spans="6:8" x14ac:dyDescent="0.35">
      <c r="F7091" s="1"/>
      <c r="H7091" t="s">
        <v>26</v>
      </c>
    </row>
    <row r="7092" spans="6:8" x14ac:dyDescent="0.35">
      <c r="F7092" s="1"/>
      <c r="H7092" t="s">
        <v>26</v>
      </c>
    </row>
    <row r="7093" spans="6:8" x14ac:dyDescent="0.35">
      <c r="F7093" s="1"/>
      <c r="H7093" t="s">
        <v>26</v>
      </c>
    </row>
    <row r="7094" spans="6:8" x14ac:dyDescent="0.35">
      <c r="F7094" s="1"/>
      <c r="H7094" t="s">
        <v>26</v>
      </c>
    </row>
    <row r="7095" spans="6:8" x14ac:dyDescent="0.35">
      <c r="F7095" s="1"/>
      <c r="H7095" t="s">
        <v>26</v>
      </c>
    </row>
    <row r="7096" spans="6:8" x14ac:dyDescent="0.35">
      <c r="F7096" s="1"/>
      <c r="H7096" t="s">
        <v>26</v>
      </c>
    </row>
    <row r="7097" spans="6:8" x14ac:dyDescent="0.35">
      <c r="F7097" s="1"/>
      <c r="H7097" t="s">
        <v>26</v>
      </c>
    </row>
    <row r="7098" spans="6:8" x14ac:dyDescent="0.35">
      <c r="F7098" s="1"/>
      <c r="H7098" t="s">
        <v>26</v>
      </c>
    </row>
    <row r="7099" spans="6:8" x14ac:dyDescent="0.35">
      <c r="F7099" s="1"/>
      <c r="H7099" t="s">
        <v>26</v>
      </c>
    </row>
    <row r="7100" spans="6:8" x14ac:dyDescent="0.35">
      <c r="F7100" s="1"/>
      <c r="H7100" t="s">
        <v>26</v>
      </c>
    </row>
    <row r="7101" spans="6:8" x14ac:dyDescent="0.35">
      <c r="F7101" s="1"/>
      <c r="H7101" t="s">
        <v>26</v>
      </c>
    </row>
    <row r="7102" spans="6:8" x14ac:dyDescent="0.35">
      <c r="F7102" s="1"/>
      <c r="H7102" t="s">
        <v>26</v>
      </c>
    </row>
    <row r="7103" spans="6:8" x14ac:dyDescent="0.35">
      <c r="F7103" s="1"/>
      <c r="H7103" t="s">
        <v>26</v>
      </c>
    </row>
    <row r="7104" spans="6:8" x14ac:dyDescent="0.35">
      <c r="F7104" s="1"/>
      <c r="H7104" t="s">
        <v>26</v>
      </c>
    </row>
    <row r="7105" spans="6:8" x14ac:dyDescent="0.35">
      <c r="F7105" s="1"/>
      <c r="H7105" t="s">
        <v>26</v>
      </c>
    </row>
    <row r="7106" spans="6:8" x14ac:dyDescent="0.35">
      <c r="F7106" s="1"/>
      <c r="H7106" t="s">
        <v>26</v>
      </c>
    </row>
    <row r="7107" spans="6:8" x14ac:dyDescent="0.35">
      <c r="F7107" s="1"/>
      <c r="H7107" t="s">
        <v>26</v>
      </c>
    </row>
    <row r="7108" spans="6:8" x14ac:dyDescent="0.35">
      <c r="F7108" s="1"/>
      <c r="H7108" t="s">
        <v>26</v>
      </c>
    </row>
    <row r="7109" spans="6:8" x14ac:dyDescent="0.35">
      <c r="F7109" s="1"/>
      <c r="H7109" t="s">
        <v>26</v>
      </c>
    </row>
    <row r="7110" spans="6:8" x14ac:dyDescent="0.35">
      <c r="F7110" s="1"/>
      <c r="H7110" t="s">
        <v>26</v>
      </c>
    </row>
    <row r="7111" spans="6:8" x14ac:dyDescent="0.35">
      <c r="F7111" s="1"/>
      <c r="H7111" t="s">
        <v>26</v>
      </c>
    </row>
    <row r="7112" spans="6:8" x14ac:dyDescent="0.35">
      <c r="F7112" s="1"/>
      <c r="H7112" t="s">
        <v>26</v>
      </c>
    </row>
    <row r="7113" spans="6:8" x14ac:dyDescent="0.35">
      <c r="F7113" s="1"/>
      <c r="H7113" t="s">
        <v>26</v>
      </c>
    </row>
    <row r="7114" spans="6:8" x14ac:dyDescent="0.35">
      <c r="F7114" s="1"/>
      <c r="H7114" t="s">
        <v>26</v>
      </c>
    </row>
    <row r="7115" spans="6:8" x14ac:dyDescent="0.35">
      <c r="F7115" s="1"/>
      <c r="H7115" t="s">
        <v>26</v>
      </c>
    </row>
    <row r="7116" spans="6:8" x14ac:dyDescent="0.35">
      <c r="F7116" s="1"/>
      <c r="H7116" t="s">
        <v>26</v>
      </c>
    </row>
    <row r="7117" spans="6:8" x14ac:dyDescent="0.35">
      <c r="F7117" s="1"/>
      <c r="H7117" t="s">
        <v>26</v>
      </c>
    </row>
    <row r="7118" spans="6:8" x14ac:dyDescent="0.35">
      <c r="F7118" s="1"/>
      <c r="H7118" t="s">
        <v>26</v>
      </c>
    </row>
    <row r="7119" spans="6:8" x14ac:dyDescent="0.35">
      <c r="F7119" s="1"/>
      <c r="H7119" t="s">
        <v>26</v>
      </c>
    </row>
    <row r="7120" spans="6:8" x14ac:dyDescent="0.35">
      <c r="F7120" s="1"/>
      <c r="H7120" t="s">
        <v>26</v>
      </c>
    </row>
    <row r="7121" spans="6:8" x14ac:dyDescent="0.35">
      <c r="F7121" s="1"/>
      <c r="H7121" t="s">
        <v>26</v>
      </c>
    </row>
    <row r="7122" spans="6:8" x14ac:dyDescent="0.35">
      <c r="F7122" s="1"/>
      <c r="H7122" t="s">
        <v>26</v>
      </c>
    </row>
    <row r="7123" spans="6:8" x14ac:dyDescent="0.35">
      <c r="F7123" s="1"/>
      <c r="H7123" t="s">
        <v>26</v>
      </c>
    </row>
    <row r="7124" spans="6:8" x14ac:dyDescent="0.35">
      <c r="F7124" s="1"/>
      <c r="H7124" t="s">
        <v>26</v>
      </c>
    </row>
    <row r="7125" spans="6:8" x14ac:dyDescent="0.35">
      <c r="F7125" s="1"/>
      <c r="H7125" t="s">
        <v>26</v>
      </c>
    </row>
    <row r="7126" spans="6:8" x14ac:dyDescent="0.35">
      <c r="F7126" s="1"/>
      <c r="H7126" t="s">
        <v>26</v>
      </c>
    </row>
    <row r="7127" spans="6:8" x14ac:dyDescent="0.35">
      <c r="F7127" s="1"/>
      <c r="H7127" t="s">
        <v>26</v>
      </c>
    </row>
    <row r="7128" spans="6:8" x14ac:dyDescent="0.35">
      <c r="F7128" s="1"/>
      <c r="H7128" t="s">
        <v>26</v>
      </c>
    </row>
    <row r="7129" spans="6:8" x14ac:dyDescent="0.35">
      <c r="F7129" s="1"/>
      <c r="H7129" t="s">
        <v>26</v>
      </c>
    </row>
    <row r="7130" spans="6:8" x14ac:dyDescent="0.35">
      <c r="F7130" s="1"/>
      <c r="H7130" t="s">
        <v>26</v>
      </c>
    </row>
    <row r="7131" spans="6:8" x14ac:dyDescent="0.35">
      <c r="F7131" s="1"/>
      <c r="H7131" t="s">
        <v>26</v>
      </c>
    </row>
    <row r="7132" spans="6:8" x14ac:dyDescent="0.35">
      <c r="F7132" s="1"/>
      <c r="H7132" t="s">
        <v>26</v>
      </c>
    </row>
    <row r="7133" spans="6:8" x14ac:dyDescent="0.35">
      <c r="F7133" s="1"/>
      <c r="H7133" t="s">
        <v>26</v>
      </c>
    </row>
    <row r="7134" spans="6:8" x14ac:dyDescent="0.35">
      <c r="F7134" s="1"/>
      <c r="H7134" t="s">
        <v>26</v>
      </c>
    </row>
    <row r="7135" spans="6:8" x14ac:dyDescent="0.35">
      <c r="F7135" s="1"/>
      <c r="H7135" t="s">
        <v>26</v>
      </c>
    </row>
    <row r="7136" spans="6:8" x14ac:dyDescent="0.35">
      <c r="F7136" s="1"/>
      <c r="H7136" t="s">
        <v>26</v>
      </c>
    </row>
    <row r="7137" spans="6:8" x14ac:dyDescent="0.35">
      <c r="F7137" s="1"/>
      <c r="H7137" t="s">
        <v>26</v>
      </c>
    </row>
    <row r="7138" spans="6:8" x14ac:dyDescent="0.35">
      <c r="F7138" s="1"/>
      <c r="H7138" t="s">
        <v>26</v>
      </c>
    </row>
    <row r="7139" spans="6:8" x14ac:dyDescent="0.35">
      <c r="F7139" s="1"/>
      <c r="H7139" t="s">
        <v>26</v>
      </c>
    </row>
    <row r="7140" spans="6:8" x14ac:dyDescent="0.35">
      <c r="F7140" s="1"/>
      <c r="H7140" t="s">
        <v>26</v>
      </c>
    </row>
    <row r="7141" spans="6:8" x14ac:dyDescent="0.35">
      <c r="F7141" s="1"/>
      <c r="H7141" t="s">
        <v>26</v>
      </c>
    </row>
    <row r="7142" spans="6:8" x14ac:dyDescent="0.35">
      <c r="F7142" s="1"/>
      <c r="H7142" t="s">
        <v>26</v>
      </c>
    </row>
    <row r="7143" spans="6:8" x14ac:dyDescent="0.35">
      <c r="F7143" s="1"/>
      <c r="H7143" t="s">
        <v>26</v>
      </c>
    </row>
    <row r="7144" spans="6:8" x14ac:dyDescent="0.35">
      <c r="F7144" s="1"/>
      <c r="H7144" t="s">
        <v>26</v>
      </c>
    </row>
    <row r="7145" spans="6:8" x14ac:dyDescent="0.35">
      <c r="F7145" s="1"/>
      <c r="H7145" t="s">
        <v>26</v>
      </c>
    </row>
    <row r="7146" spans="6:8" x14ac:dyDescent="0.35">
      <c r="F7146" s="1"/>
      <c r="H7146" t="s">
        <v>26</v>
      </c>
    </row>
    <row r="7147" spans="6:8" x14ac:dyDescent="0.35">
      <c r="F7147" s="1"/>
      <c r="H7147" t="s">
        <v>26</v>
      </c>
    </row>
    <row r="7148" spans="6:8" x14ac:dyDescent="0.35">
      <c r="F7148" s="1"/>
      <c r="H7148" t="s">
        <v>26</v>
      </c>
    </row>
    <row r="7149" spans="6:8" x14ac:dyDescent="0.35">
      <c r="F7149" s="1"/>
      <c r="H7149" t="s">
        <v>26</v>
      </c>
    </row>
    <row r="7150" spans="6:8" x14ac:dyDescent="0.35">
      <c r="F7150" s="1"/>
      <c r="H7150" t="s">
        <v>26</v>
      </c>
    </row>
    <row r="7151" spans="6:8" x14ac:dyDescent="0.35">
      <c r="F7151" s="1"/>
      <c r="H7151" t="s">
        <v>26</v>
      </c>
    </row>
    <row r="7152" spans="6:8" x14ac:dyDescent="0.35">
      <c r="F7152" s="1"/>
      <c r="H7152" t="s">
        <v>26</v>
      </c>
    </row>
    <row r="7153" spans="6:8" x14ac:dyDescent="0.35">
      <c r="F7153" s="1"/>
      <c r="H7153" t="s">
        <v>26</v>
      </c>
    </row>
    <row r="7154" spans="6:8" x14ac:dyDescent="0.35">
      <c r="F7154" s="1"/>
      <c r="H7154" t="s">
        <v>26</v>
      </c>
    </row>
    <row r="7155" spans="6:8" x14ac:dyDescent="0.35">
      <c r="F7155" s="1"/>
      <c r="H7155" t="s">
        <v>26</v>
      </c>
    </row>
    <row r="7156" spans="6:8" x14ac:dyDescent="0.35">
      <c r="F7156" s="1"/>
      <c r="H7156" t="s">
        <v>26</v>
      </c>
    </row>
    <row r="7157" spans="6:8" x14ac:dyDescent="0.35">
      <c r="F7157" s="1"/>
      <c r="H7157" t="s">
        <v>26</v>
      </c>
    </row>
    <row r="7158" spans="6:8" x14ac:dyDescent="0.35">
      <c r="F7158" s="1"/>
      <c r="H7158" t="s">
        <v>26</v>
      </c>
    </row>
    <row r="7159" spans="6:8" x14ac:dyDescent="0.35">
      <c r="F7159" s="1"/>
      <c r="H7159" t="s">
        <v>26</v>
      </c>
    </row>
    <row r="7160" spans="6:8" x14ac:dyDescent="0.35">
      <c r="F7160" s="1"/>
      <c r="H7160" t="s">
        <v>26</v>
      </c>
    </row>
    <row r="7161" spans="6:8" x14ac:dyDescent="0.35">
      <c r="F7161" s="1"/>
      <c r="H7161" t="s">
        <v>26</v>
      </c>
    </row>
    <row r="7162" spans="6:8" x14ac:dyDescent="0.35">
      <c r="F7162" s="1"/>
      <c r="H7162" t="s">
        <v>26</v>
      </c>
    </row>
    <row r="7163" spans="6:8" x14ac:dyDescent="0.35">
      <c r="F7163" s="1"/>
      <c r="H7163" t="s">
        <v>26</v>
      </c>
    </row>
    <row r="7164" spans="6:8" x14ac:dyDescent="0.35">
      <c r="F7164" s="1"/>
      <c r="H7164" t="s">
        <v>26</v>
      </c>
    </row>
    <row r="7165" spans="6:8" x14ac:dyDescent="0.35">
      <c r="F7165" s="1"/>
      <c r="H7165" t="s">
        <v>26</v>
      </c>
    </row>
    <row r="7166" spans="6:8" x14ac:dyDescent="0.35">
      <c r="F7166" s="1"/>
      <c r="H7166" t="s">
        <v>26</v>
      </c>
    </row>
    <row r="7167" spans="6:8" x14ac:dyDescent="0.35">
      <c r="F7167" s="1"/>
      <c r="H7167" t="s">
        <v>26</v>
      </c>
    </row>
    <row r="7168" spans="6:8" x14ac:dyDescent="0.35">
      <c r="F7168" s="1"/>
      <c r="H7168" t="s">
        <v>26</v>
      </c>
    </row>
    <row r="7169" spans="6:8" x14ac:dyDescent="0.35">
      <c r="F7169" s="1"/>
      <c r="H7169" t="s">
        <v>26</v>
      </c>
    </row>
    <row r="7170" spans="6:8" x14ac:dyDescent="0.35">
      <c r="F7170" s="1"/>
      <c r="H7170" t="s">
        <v>26</v>
      </c>
    </row>
    <row r="7171" spans="6:8" x14ac:dyDescent="0.35">
      <c r="F7171" s="1"/>
      <c r="H7171" t="s">
        <v>26</v>
      </c>
    </row>
    <row r="7172" spans="6:8" x14ac:dyDescent="0.35">
      <c r="F7172" s="1"/>
      <c r="H7172" t="s">
        <v>26</v>
      </c>
    </row>
    <row r="7173" spans="6:8" x14ac:dyDescent="0.35">
      <c r="F7173" s="1"/>
      <c r="H7173" t="s">
        <v>26</v>
      </c>
    </row>
    <row r="7174" spans="6:8" x14ac:dyDescent="0.35">
      <c r="F7174" s="1"/>
      <c r="H7174" t="s">
        <v>26</v>
      </c>
    </row>
    <row r="7175" spans="6:8" x14ac:dyDescent="0.35">
      <c r="F7175" s="1"/>
      <c r="H7175" t="s">
        <v>26</v>
      </c>
    </row>
    <row r="7176" spans="6:8" x14ac:dyDescent="0.35">
      <c r="F7176" s="1"/>
      <c r="H7176" t="s">
        <v>26</v>
      </c>
    </row>
    <row r="7177" spans="6:8" x14ac:dyDescent="0.35">
      <c r="F7177" s="1"/>
      <c r="H7177" t="s">
        <v>26</v>
      </c>
    </row>
    <row r="7178" spans="6:8" x14ac:dyDescent="0.35">
      <c r="F7178" s="1"/>
      <c r="H7178" t="s">
        <v>26</v>
      </c>
    </row>
    <row r="7179" spans="6:8" x14ac:dyDescent="0.35">
      <c r="F7179" s="1"/>
      <c r="H7179" t="s">
        <v>26</v>
      </c>
    </row>
    <row r="7180" spans="6:8" x14ac:dyDescent="0.35">
      <c r="F7180" s="1"/>
      <c r="H7180" t="s">
        <v>26</v>
      </c>
    </row>
    <row r="7181" spans="6:8" x14ac:dyDescent="0.35">
      <c r="F7181" s="1"/>
      <c r="H7181" t="s">
        <v>26</v>
      </c>
    </row>
    <row r="7182" spans="6:8" x14ac:dyDescent="0.35">
      <c r="F7182" s="1"/>
      <c r="H7182" t="s">
        <v>26</v>
      </c>
    </row>
    <row r="7183" spans="6:8" x14ac:dyDescent="0.35">
      <c r="F7183" s="1"/>
      <c r="H7183" t="s">
        <v>26</v>
      </c>
    </row>
    <row r="7184" spans="6:8" x14ac:dyDescent="0.35">
      <c r="F7184" s="1"/>
      <c r="H7184" t="s">
        <v>26</v>
      </c>
    </row>
    <row r="7185" spans="6:8" x14ac:dyDescent="0.35">
      <c r="F7185" s="1"/>
      <c r="H7185" t="s">
        <v>26</v>
      </c>
    </row>
    <row r="7186" spans="6:8" x14ac:dyDescent="0.35">
      <c r="F7186" s="1"/>
      <c r="H7186" t="s">
        <v>26</v>
      </c>
    </row>
    <row r="7187" spans="6:8" x14ac:dyDescent="0.35">
      <c r="F7187" s="1"/>
      <c r="H7187" t="s">
        <v>26</v>
      </c>
    </row>
    <row r="7188" spans="6:8" x14ac:dyDescent="0.35">
      <c r="F7188" s="1"/>
      <c r="H7188" t="s">
        <v>26</v>
      </c>
    </row>
    <row r="7189" spans="6:8" x14ac:dyDescent="0.35">
      <c r="F7189" s="1"/>
      <c r="H7189" t="s">
        <v>26</v>
      </c>
    </row>
    <row r="7190" spans="6:8" x14ac:dyDescent="0.35">
      <c r="F7190" s="1"/>
      <c r="H7190" t="s">
        <v>26</v>
      </c>
    </row>
    <row r="7191" spans="6:8" x14ac:dyDescent="0.35">
      <c r="F7191" s="1"/>
      <c r="H7191" t="s">
        <v>26</v>
      </c>
    </row>
    <row r="7192" spans="6:8" x14ac:dyDescent="0.35">
      <c r="F7192" s="1"/>
      <c r="H7192" t="s">
        <v>26</v>
      </c>
    </row>
    <row r="7193" spans="6:8" x14ac:dyDescent="0.35">
      <c r="F7193" s="1"/>
      <c r="H7193" t="s">
        <v>26</v>
      </c>
    </row>
    <row r="7194" spans="6:8" x14ac:dyDescent="0.35">
      <c r="F7194" s="1"/>
      <c r="H7194" t="s">
        <v>26</v>
      </c>
    </row>
    <row r="7195" spans="6:8" x14ac:dyDescent="0.35">
      <c r="F7195" s="1"/>
      <c r="H7195" t="s">
        <v>26</v>
      </c>
    </row>
    <row r="7196" spans="6:8" x14ac:dyDescent="0.35">
      <c r="F7196" s="1"/>
      <c r="H7196" t="s">
        <v>26</v>
      </c>
    </row>
    <row r="7197" spans="6:8" x14ac:dyDescent="0.35">
      <c r="F7197" s="1"/>
      <c r="H7197" t="s">
        <v>26</v>
      </c>
    </row>
    <row r="7198" spans="6:8" x14ac:dyDescent="0.35">
      <c r="F7198" s="1"/>
      <c r="H7198" t="s">
        <v>26</v>
      </c>
    </row>
    <row r="7199" spans="6:8" x14ac:dyDescent="0.35">
      <c r="F7199" s="1"/>
      <c r="H7199" t="s">
        <v>26</v>
      </c>
    </row>
    <row r="7200" spans="6:8" x14ac:dyDescent="0.35">
      <c r="F7200" s="1"/>
      <c r="H7200" t="s">
        <v>26</v>
      </c>
    </row>
    <row r="7201" spans="6:8" x14ac:dyDescent="0.35">
      <c r="F7201" s="1"/>
      <c r="H7201" t="s">
        <v>26</v>
      </c>
    </row>
    <row r="7202" spans="6:8" x14ac:dyDescent="0.35">
      <c r="F7202" s="1"/>
      <c r="H7202" t="s">
        <v>26</v>
      </c>
    </row>
    <row r="7203" spans="6:8" x14ac:dyDescent="0.35">
      <c r="F7203" s="1"/>
      <c r="H7203" t="s">
        <v>26</v>
      </c>
    </row>
    <row r="7204" spans="6:8" x14ac:dyDescent="0.35">
      <c r="F7204" s="1"/>
      <c r="H7204" t="s">
        <v>26</v>
      </c>
    </row>
    <row r="7205" spans="6:8" x14ac:dyDescent="0.35">
      <c r="F7205" s="1"/>
      <c r="H7205" t="s">
        <v>26</v>
      </c>
    </row>
    <row r="7206" spans="6:8" x14ac:dyDescent="0.35">
      <c r="F7206" s="1"/>
      <c r="H7206" t="s">
        <v>26</v>
      </c>
    </row>
    <row r="7207" spans="6:8" x14ac:dyDescent="0.35">
      <c r="F7207" s="1"/>
      <c r="H7207" t="s">
        <v>26</v>
      </c>
    </row>
    <row r="7208" spans="6:8" x14ac:dyDescent="0.35">
      <c r="F7208" s="1"/>
      <c r="H7208" t="s">
        <v>26</v>
      </c>
    </row>
    <row r="7209" spans="6:8" x14ac:dyDescent="0.35">
      <c r="F7209" s="1"/>
      <c r="H7209" t="s">
        <v>26</v>
      </c>
    </row>
    <row r="7210" spans="6:8" x14ac:dyDescent="0.35">
      <c r="F7210" s="1"/>
      <c r="H7210" t="s">
        <v>26</v>
      </c>
    </row>
    <row r="7211" spans="6:8" x14ac:dyDescent="0.35">
      <c r="F7211" s="1"/>
      <c r="H7211" t="s">
        <v>26</v>
      </c>
    </row>
    <row r="7212" spans="6:8" x14ac:dyDescent="0.35">
      <c r="F7212" s="1"/>
      <c r="H7212" t="s">
        <v>26</v>
      </c>
    </row>
    <row r="7213" spans="6:8" x14ac:dyDescent="0.35">
      <c r="F7213" s="1"/>
      <c r="H7213" t="s">
        <v>26</v>
      </c>
    </row>
    <row r="7214" spans="6:8" x14ac:dyDescent="0.35">
      <c r="F7214" s="1"/>
      <c r="H7214" t="s">
        <v>26</v>
      </c>
    </row>
    <row r="7215" spans="6:8" x14ac:dyDescent="0.35">
      <c r="F7215" s="1"/>
      <c r="H7215" t="s">
        <v>26</v>
      </c>
    </row>
    <row r="7216" spans="6:8" x14ac:dyDescent="0.35">
      <c r="F7216" s="1"/>
      <c r="H7216" t="s">
        <v>26</v>
      </c>
    </row>
    <row r="7217" spans="6:8" x14ac:dyDescent="0.35">
      <c r="F7217" s="1"/>
      <c r="H7217" t="s">
        <v>26</v>
      </c>
    </row>
    <row r="7218" spans="6:8" x14ac:dyDescent="0.35">
      <c r="F7218" s="1"/>
      <c r="H7218" t="s">
        <v>26</v>
      </c>
    </row>
    <row r="7219" spans="6:8" x14ac:dyDescent="0.35">
      <c r="F7219" s="1"/>
      <c r="H7219" t="s">
        <v>26</v>
      </c>
    </row>
    <row r="7220" spans="6:8" x14ac:dyDescent="0.35">
      <c r="F7220" s="1"/>
      <c r="H7220" t="s">
        <v>26</v>
      </c>
    </row>
    <row r="7221" spans="6:8" x14ac:dyDescent="0.35">
      <c r="F7221" s="1"/>
      <c r="H7221" t="s">
        <v>26</v>
      </c>
    </row>
    <row r="7222" spans="6:8" x14ac:dyDescent="0.35">
      <c r="F7222" s="1"/>
      <c r="H7222" t="s">
        <v>26</v>
      </c>
    </row>
    <row r="7223" spans="6:8" x14ac:dyDescent="0.35">
      <c r="F7223" s="1"/>
      <c r="H7223" t="s">
        <v>26</v>
      </c>
    </row>
    <row r="7224" spans="6:8" x14ac:dyDescent="0.35">
      <c r="F7224" s="1"/>
      <c r="H7224" t="s">
        <v>26</v>
      </c>
    </row>
    <row r="7225" spans="6:8" x14ac:dyDescent="0.35">
      <c r="F7225" s="1"/>
      <c r="H7225" t="s">
        <v>26</v>
      </c>
    </row>
    <row r="7226" spans="6:8" x14ac:dyDescent="0.35">
      <c r="F7226" s="1"/>
      <c r="H7226" t="s">
        <v>26</v>
      </c>
    </row>
    <row r="7227" spans="6:8" x14ac:dyDescent="0.35">
      <c r="F7227" s="1"/>
      <c r="H7227" t="s">
        <v>26</v>
      </c>
    </row>
    <row r="7228" spans="6:8" x14ac:dyDescent="0.35">
      <c r="F7228" s="1"/>
      <c r="H7228" t="s">
        <v>26</v>
      </c>
    </row>
    <row r="7229" spans="6:8" x14ac:dyDescent="0.35">
      <c r="F7229" s="1"/>
      <c r="H7229" t="s">
        <v>26</v>
      </c>
    </row>
    <row r="7230" spans="6:8" x14ac:dyDescent="0.35">
      <c r="F7230" s="1"/>
      <c r="H7230" t="s">
        <v>26</v>
      </c>
    </row>
    <row r="7231" spans="6:8" x14ac:dyDescent="0.35">
      <c r="F7231" s="1"/>
      <c r="H7231" t="s">
        <v>26</v>
      </c>
    </row>
    <row r="7232" spans="6:8" x14ac:dyDescent="0.35">
      <c r="F7232" s="1"/>
      <c r="H7232" t="s">
        <v>26</v>
      </c>
    </row>
    <row r="7233" spans="6:8" x14ac:dyDescent="0.35">
      <c r="F7233" s="1"/>
      <c r="H7233" t="s">
        <v>26</v>
      </c>
    </row>
    <row r="7234" spans="6:8" x14ac:dyDescent="0.35">
      <c r="F7234" s="1"/>
      <c r="H7234" t="s">
        <v>26</v>
      </c>
    </row>
    <row r="7235" spans="6:8" x14ac:dyDescent="0.35">
      <c r="F7235" s="1"/>
      <c r="H7235" t="s">
        <v>26</v>
      </c>
    </row>
    <row r="7236" spans="6:8" x14ac:dyDescent="0.35">
      <c r="F7236" s="1"/>
      <c r="H7236" t="s">
        <v>26</v>
      </c>
    </row>
    <row r="7237" spans="6:8" x14ac:dyDescent="0.35">
      <c r="F7237" s="1"/>
      <c r="H7237" t="s">
        <v>26</v>
      </c>
    </row>
    <row r="7238" spans="6:8" x14ac:dyDescent="0.35">
      <c r="F7238" s="1"/>
      <c r="H7238" t="s">
        <v>26</v>
      </c>
    </row>
    <row r="7239" spans="6:8" x14ac:dyDescent="0.35">
      <c r="F7239" s="1"/>
      <c r="H7239" t="s">
        <v>26</v>
      </c>
    </row>
    <row r="7240" spans="6:8" x14ac:dyDescent="0.35">
      <c r="F7240" s="1"/>
      <c r="H7240" t="s">
        <v>26</v>
      </c>
    </row>
    <row r="7241" spans="6:8" x14ac:dyDescent="0.35">
      <c r="F7241" s="1"/>
      <c r="H7241" t="s">
        <v>26</v>
      </c>
    </row>
    <row r="7242" spans="6:8" x14ac:dyDescent="0.35">
      <c r="F7242" s="1"/>
      <c r="H7242" t="s">
        <v>26</v>
      </c>
    </row>
    <row r="7243" spans="6:8" x14ac:dyDescent="0.35">
      <c r="F7243" s="1"/>
      <c r="H7243" t="s">
        <v>26</v>
      </c>
    </row>
    <row r="7244" spans="6:8" x14ac:dyDescent="0.35">
      <c r="F7244" s="1"/>
      <c r="H7244" t="s">
        <v>26</v>
      </c>
    </row>
    <row r="7245" spans="6:8" x14ac:dyDescent="0.35">
      <c r="F7245" s="1"/>
      <c r="H7245" t="s">
        <v>26</v>
      </c>
    </row>
    <row r="7246" spans="6:8" x14ac:dyDescent="0.35">
      <c r="F7246" s="1"/>
      <c r="H7246" t="s">
        <v>26</v>
      </c>
    </row>
    <row r="7247" spans="6:8" x14ac:dyDescent="0.35">
      <c r="F7247" s="1"/>
      <c r="H7247" t="s">
        <v>26</v>
      </c>
    </row>
    <row r="7248" spans="6:8" x14ac:dyDescent="0.35">
      <c r="F7248" s="1"/>
      <c r="H7248" t="s">
        <v>26</v>
      </c>
    </row>
    <row r="7249" spans="6:8" x14ac:dyDescent="0.35">
      <c r="F7249" s="1"/>
      <c r="H7249" t="s">
        <v>26</v>
      </c>
    </row>
    <row r="7250" spans="6:8" x14ac:dyDescent="0.35">
      <c r="F7250" s="1"/>
      <c r="H7250" t="s">
        <v>26</v>
      </c>
    </row>
    <row r="7251" spans="6:8" x14ac:dyDescent="0.35">
      <c r="F7251" s="1"/>
      <c r="H7251" t="s">
        <v>26</v>
      </c>
    </row>
    <row r="7252" spans="6:8" x14ac:dyDescent="0.35">
      <c r="F7252" s="1"/>
      <c r="H7252" t="s">
        <v>26</v>
      </c>
    </row>
    <row r="7253" spans="6:8" x14ac:dyDescent="0.35">
      <c r="F7253" s="1"/>
      <c r="H7253" t="s">
        <v>26</v>
      </c>
    </row>
    <row r="7254" spans="6:8" x14ac:dyDescent="0.35">
      <c r="F7254" s="1"/>
      <c r="H7254" t="s">
        <v>26</v>
      </c>
    </row>
    <row r="7255" spans="6:8" x14ac:dyDescent="0.35">
      <c r="F7255" s="1"/>
      <c r="H7255" t="s">
        <v>26</v>
      </c>
    </row>
    <row r="7256" spans="6:8" x14ac:dyDescent="0.35">
      <c r="F7256" s="1"/>
      <c r="H7256" t="s">
        <v>26</v>
      </c>
    </row>
    <row r="7257" spans="6:8" x14ac:dyDescent="0.35">
      <c r="F7257" s="1"/>
      <c r="H7257" t="s">
        <v>26</v>
      </c>
    </row>
    <row r="7258" spans="6:8" x14ac:dyDescent="0.35">
      <c r="F7258" s="1"/>
      <c r="H7258" t="s">
        <v>26</v>
      </c>
    </row>
    <row r="7259" spans="6:8" x14ac:dyDescent="0.35">
      <c r="F7259" s="1"/>
      <c r="H7259" t="s">
        <v>26</v>
      </c>
    </row>
    <row r="7260" spans="6:8" x14ac:dyDescent="0.35">
      <c r="F7260" s="1"/>
      <c r="H7260" t="s">
        <v>26</v>
      </c>
    </row>
    <row r="7261" spans="6:8" x14ac:dyDescent="0.35">
      <c r="F7261" s="1"/>
      <c r="H7261" t="s">
        <v>26</v>
      </c>
    </row>
    <row r="7262" spans="6:8" x14ac:dyDescent="0.35">
      <c r="F7262" s="1"/>
      <c r="H7262" t="s">
        <v>26</v>
      </c>
    </row>
    <row r="7263" spans="6:8" x14ac:dyDescent="0.35">
      <c r="F7263" s="1"/>
      <c r="H7263" t="s">
        <v>26</v>
      </c>
    </row>
    <row r="7264" spans="6:8" x14ac:dyDescent="0.35">
      <c r="F7264" s="1"/>
      <c r="H7264" t="s">
        <v>26</v>
      </c>
    </row>
    <row r="7265" spans="6:8" x14ac:dyDescent="0.35">
      <c r="F7265" s="1"/>
      <c r="H7265" t="s">
        <v>26</v>
      </c>
    </row>
    <row r="7266" spans="6:8" x14ac:dyDescent="0.35">
      <c r="F7266" s="1"/>
      <c r="H7266" t="s">
        <v>26</v>
      </c>
    </row>
    <row r="7267" spans="6:8" x14ac:dyDescent="0.35">
      <c r="F7267" s="1"/>
      <c r="H7267" t="s">
        <v>26</v>
      </c>
    </row>
    <row r="7268" spans="6:8" x14ac:dyDescent="0.35">
      <c r="F7268" s="1"/>
      <c r="H7268" t="s">
        <v>26</v>
      </c>
    </row>
    <row r="7269" spans="6:8" x14ac:dyDescent="0.35">
      <c r="F7269" s="1"/>
      <c r="H7269" t="s">
        <v>26</v>
      </c>
    </row>
    <row r="7270" spans="6:8" x14ac:dyDescent="0.35">
      <c r="F7270" s="1"/>
      <c r="H7270" t="s">
        <v>26</v>
      </c>
    </row>
    <row r="7271" spans="6:8" x14ac:dyDescent="0.35">
      <c r="F7271" s="1"/>
      <c r="H7271" t="s">
        <v>26</v>
      </c>
    </row>
    <row r="7272" spans="6:8" x14ac:dyDescent="0.35">
      <c r="F7272" s="1"/>
      <c r="H7272" t="s">
        <v>26</v>
      </c>
    </row>
    <row r="7273" spans="6:8" x14ac:dyDescent="0.35">
      <c r="F7273" s="1"/>
      <c r="H7273" t="s">
        <v>26</v>
      </c>
    </row>
    <row r="7274" spans="6:8" x14ac:dyDescent="0.35">
      <c r="F7274" s="1"/>
      <c r="H7274" t="s">
        <v>26</v>
      </c>
    </row>
    <row r="7275" spans="6:8" x14ac:dyDescent="0.35">
      <c r="F7275" s="1"/>
      <c r="H7275" t="s">
        <v>26</v>
      </c>
    </row>
    <row r="7276" spans="6:8" x14ac:dyDescent="0.35">
      <c r="F7276" s="1"/>
      <c r="H7276" t="s">
        <v>26</v>
      </c>
    </row>
    <row r="7277" spans="6:8" x14ac:dyDescent="0.35">
      <c r="F7277" s="1"/>
      <c r="H7277" t="s">
        <v>26</v>
      </c>
    </row>
    <row r="7278" spans="6:8" x14ac:dyDescent="0.35">
      <c r="F7278" s="1"/>
      <c r="H7278" t="s">
        <v>26</v>
      </c>
    </row>
    <row r="7279" spans="6:8" x14ac:dyDescent="0.35">
      <c r="F7279" s="1"/>
      <c r="H7279" t="s">
        <v>26</v>
      </c>
    </row>
    <row r="7280" spans="6:8" x14ac:dyDescent="0.35">
      <c r="F7280" s="1"/>
      <c r="H7280" t="s">
        <v>26</v>
      </c>
    </row>
    <row r="7281" spans="6:8" x14ac:dyDescent="0.35">
      <c r="F7281" s="1"/>
      <c r="H7281" t="s">
        <v>26</v>
      </c>
    </row>
    <row r="7282" spans="6:8" x14ac:dyDescent="0.35">
      <c r="F7282" s="1"/>
      <c r="H7282" t="s">
        <v>26</v>
      </c>
    </row>
    <row r="7283" spans="6:8" x14ac:dyDescent="0.35">
      <c r="F7283" s="1"/>
      <c r="H7283" t="s">
        <v>26</v>
      </c>
    </row>
    <row r="7284" spans="6:8" x14ac:dyDescent="0.35">
      <c r="F7284" s="1"/>
      <c r="H7284" t="s">
        <v>26</v>
      </c>
    </row>
    <row r="7285" spans="6:8" x14ac:dyDescent="0.35">
      <c r="F7285" s="1"/>
      <c r="H7285" t="s">
        <v>26</v>
      </c>
    </row>
    <row r="7286" spans="6:8" x14ac:dyDescent="0.35">
      <c r="F7286" s="1"/>
      <c r="H7286" t="s">
        <v>26</v>
      </c>
    </row>
    <row r="7287" spans="6:8" x14ac:dyDescent="0.35">
      <c r="F7287" s="1"/>
      <c r="H7287" t="s">
        <v>26</v>
      </c>
    </row>
    <row r="7288" spans="6:8" x14ac:dyDescent="0.35">
      <c r="F7288" s="1"/>
      <c r="H7288" t="s">
        <v>26</v>
      </c>
    </row>
    <row r="7289" spans="6:8" x14ac:dyDescent="0.35">
      <c r="F7289" s="1"/>
      <c r="H7289" t="s">
        <v>26</v>
      </c>
    </row>
    <row r="7290" spans="6:8" x14ac:dyDescent="0.35">
      <c r="F7290" s="1"/>
      <c r="H7290" t="s">
        <v>26</v>
      </c>
    </row>
    <row r="7291" spans="6:8" x14ac:dyDescent="0.35">
      <c r="F7291" s="1"/>
      <c r="H7291" t="s">
        <v>26</v>
      </c>
    </row>
    <row r="7292" spans="6:8" x14ac:dyDescent="0.35">
      <c r="F7292" s="1"/>
      <c r="H7292" t="s">
        <v>26</v>
      </c>
    </row>
    <row r="7293" spans="6:8" x14ac:dyDescent="0.35">
      <c r="F7293" s="1"/>
      <c r="H7293" t="s">
        <v>26</v>
      </c>
    </row>
    <row r="7294" spans="6:8" x14ac:dyDescent="0.35">
      <c r="F7294" s="1"/>
      <c r="H7294" t="s">
        <v>26</v>
      </c>
    </row>
    <row r="7295" spans="6:8" x14ac:dyDescent="0.35">
      <c r="F7295" s="1"/>
      <c r="H7295" t="s">
        <v>26</v>
      </c>
    </row>
    <row r="7296" spans="6:8" x14ac:dyDescent="0.35">
      <c r="F7296" s="1"/>
      <c r="H7296" t="s">
        <v>26</v>
      </c>
    </row>
    <row r="7297" spans="6:8" x14ac:dyDescent="0.35">
      <c r="F7297" s="1"/>
      <c r="H7297" t="s">
        <v>26</v>
      </c>
    </row>
    <row r="7298" spans="6:8" x14ac:dyDescent="0.35">
      <c r="F7298" s="1"/>
      <c r="H7298" t="s">
        <v>26</v>
      </c>
    </row>
    <row r="7299" spans="6:8" x14ac:dyDescent="0.35">
      <c r="F7299" s="1"/>
      <c r="H7299" t="s">
        <v>26</v>
      </c>
    </row>
    <row r="7300" spans="6:8" x14ac:dyDescent="0.35">
      <c r="F7300" s="1"/>
      <c r="H7300" t="s">
        <v>26</v>
      </c>
    </row>
    <row r="7301" spans="6:8" x14ac:dyDescent="0.35">
      <c r="F7301" s="1"/>
      <c r="H7301" t="s">
        <v>26</v>
      </c>
    </row>
    <row r="7302" spans="6:8" x14ac:dyDescent="0.35">
      <c r="F7302" s="1"/>
      <c r="H7302" t="s">
        <v>26</v>
      </c>
    </row>
    <row r="7303" spans="6:8" x14ac:dyDescent="0.35">
      <c r="F7303" s="1"/>
      <c r="H7303" t="s">
        <v>26</v>
      </c>
    </row>
    <row r="7304" spans="6:8" x14ac:dyDescent="0.35">
      <c r="F7304" s="1"/>
      <c r="H7304" t="s">
        <v>26</v>
      </c>
    </row>
    <row r="7305" spans="6:8" x14ac:dyDescent="0.35">
      <c r="F7305" s="1"/>
      <c r="H7305" t="s">
        <v>26</v>
      </c>
    </row>
    <row r="7306" spans="6:8" x14ac:dyDescent="0.35">
      <c r="F7306" s="1"/>
      <c r="H7306" t="s">
        <v>26</v>
      </c>
    </row>
    <row r="7307" spans="6:8" x14ac:dyDescent="0.35">
      <c r="F7307" s="1"/>
      <c r="H7307" t="s">
        <v>26</v>
      </c>
    </row>
    <row r="7308" spans="6:8" x14ac:dyDescent="0.35">
      <c r="F7308" s="1"/>
      <c r="H7308" t="s">
        <v>26</v>
      </c>
    </row>
    <row r="7309" spans="6:8" x14ac:dyDescent="0.35">
      <c r="F7309" s="1"/>
      <c r="H7309" t="s">
        <v>26</v>
      </c>
    </row>
    <row r="7310" spans="6:8" x14ac:dyDescent="0.35">
      <c r="F7310" s="1"/>
      <c r="H7310" t="s">
        <v>26</v>
      </c>
    </row>
    <row r="7311" spans="6:8" x14ac:dyDescent="0.35">
      <c r="F7311" s="1"/>
      <c r="H7311" t="s">
        <v>26</v>
      </c>
    </row>
    <row r="7312" spans="6:8" x14ac:dyDescent="0.35">
      <c r="F7312" s="1"/>
      <c r="H7312" t="s">
        <v>26</v>
      </c>
    </row>
    <row r="7313" spans="6:8" x14ac:dyDescent="0.35">
      <c r="F7313" s="1"/>
      <c r="H7313" t="s">
        <v>26</v>
      </c>
    </row>
    <row r="7314" spans="6:8" x14ac:dyDescent="0.35">
      <c r="F7314" s="1"/>
      <c r="H7314" t="s">
        <v>26</v>
      </c>
    </row>
    <row r="7315" spans="6:8" x14ac:dyDescent="0.35">
      <c r="F7315" s="1"/>
      <c r="H7315" t="s">
        <v>26</v>
      </c>
    </row>
    <row r="7316" spans="6:8" x14ac:dyDescent="0.35">
      <c r="F7316" s="1"/>
      <c r="H7316" t="s">
        <v>26</v>
      </c>
    </row>
    <row r="7317" spans="6:8" x14ac:dyDescent="0.35">
      <c r="F7317" s="1"/>
      <c r="H7317" t="s">
        <v>26</v>
      </c>
    </row>
    <row r="7318" spans="6:8" x14ac:dyDescent="0.35">
      <c r="F7318" s="1"/>
      <c r="H7318" t="s">
        <v>26</v>
      </c>
    </row>
    <row r="7319" spans="6:8" x14ac:dyDescent="0.35">
      <c r="F7319" s="1"/>
      <c r="H7319" t="s">
        <v>26</v>
      </c>
    </row>
    <row r="7320" spans="6:8" x14ac:dyDescent="0.35">
      <c r="F7320" s="1"/>
      <c r="H7320" t="s">
        <v>26</v>
      </c>
    </row>
    <row r="7321" spans="6:8" x14ac:dyDescent="0.35">
      <c r="F7321" s="1"/>
      <c r="H7321" t="s">
        <v>26</v>
      </c>
    </row>
    <row r="7322" spans="6:8" x14ac:dyDescent="0.35">
      <c r="F7322" s="1"/>
      <c r="H7322" t="s">
        <v>26</v>
      </c>
    </row>
    <row r="7323" spans="6:8" x14ac:dyDescent="0.35">
      <c r="F7323" s="1"/>
      <c r="H7323" t="s">
        <v>26</v>
      </c>
    </row>
    <row r="7324" spans="6:8" x14ac:dyDescent="0.35">
      <c r="F7324" s="1"/>
      <c r="H7324" t="s">
        <v>26</v>
      </c>
    </row>
    <row r="7325" spans="6:8" x14ac:dyDescent="0.35">
      <c r="F7325" s="1"/>
      <c r="H7325" t="s">
        <v>26</v>
      </c>
    </row>
    <row r="7326" spans="6:8" x14ac:dyDescent="0.35">
      <c r="F7326" s="1"/>
      <c r="H7326" t="s">
        <v>26</v>
      </c>
    </row>
    <row r="7327" spans="6:8" x14ac:dyDescent="0.35">
      <c r="F7327" s="1"/>
      <c r="H7327" t="s">
        <v>26</v>
      </c>
    </row>
    <row r="7328" spans="6:8" x14ac:dyDescent="0.35">
      <c r="F7328" s="1"/>
      <c r="H7328" t="s">
        <v>26</v>
      </c>
    </row>
    <row r="7329" spans="6:8" x14ac:dyDescent="0.35">
      <c r="F7329" s="1"/>
      <c r="H7329" t="s">
        <v>26</v>
      </c>
    </row>
    <row r="7330" spans="6:8" x14ac:dyDescent="0.35">
      <c r="F7330" s="1"/>
      <c r="H7330" t="s">
        <v>26</v>
      </c>
    </row>
    <row r="7331" spans="6:8" x14ac:dyDescent="0.35">
      <c r="F7331" s="1"/>
      <c r="H7331" t="s">
        <v>26</v>
      </c>
    </row>
    <row r="7332" spans="6:8" x14ac:dyDescent="0.35">
      <c r="F7332" s="1"/>
      <c r="H7332" t="s">
        <v>26</v>
      </c>
    </row>
    <row r="7333" spans="6:8" x14ac:dyDescent="0.35">
      <c r="F7333" s="1"/>
      <c r="H7333" t="s">
        <v>26</v>
      </c>
    </row>
    <row r="7334" spans="6:8" x14ac:dyDescent="0.35">
      <c r="F7334" s="1"/>
      <c r="H7334" t="s">
        <v>26</v>
      </c>
    </row>
    <row r="7335" spans="6:8" x14ac:dyDescent="0.35">
      <c r="F7335" s="1"/>
      <c r="H7335" t="s">
        <v>26</v>
      </c>
    </row>
    <row r="7336" spans="6:8" x14ac:dyDescent="0.35">
      <c r="F7336" s="1"/>
      <c r="H7336" t="s">
        <v>26</v>
      </c>
    </row>
    <row r="7337" spans="6:8" x14ac:dyDescent="0.35">
      <c r="F7337" s="1"/>
      <c r="H7337" t="s">
        <v>26</v>
      </c>
    </row>
    <row r="7338" spans="6:8" x14ac:dyDescent="0.35">
      <c r="F7338" s="1"/>
      <c r="H7338" t="s">
        <v>26</v>
      </c>
    </row>
    <row r="7339" spans="6:8" x14ac:dyDescent="0.35">
      <c r="F7339" s="1"/>
      <c r="H7339" t="s">
        <v>26</v>
      </c>
    </row>
    <row r="7340" spans="6:8" x14ac:dyDescent="0.35">
      <c r="F7340" s="1"/>
      <c r="H7340" t="s">
        <v>26</v>
      </c>
    </row>
    <row r="7341" spans="6:8" x14ac:dyDescent="0.35">
      <c r="F7341" s="1"/>
      <c r="H7341" t="s">
        <v>26</v>
      </c>
    </row>
    <row r="7342" spans="6:8" x14ac:dyDescent="0.35">
      <c r="F7342" s="1"/>
      <c r="H7342" t="s">
        <v>26</v>
      </c>
    </row>
    <row r="7343" spans="6:8" x14ac:dyDescent="0.35">
      <c r="F7343" s="1"/>
      <c r="H7343" t="s">
        <v>26</v>
      </c>
    </row>
    <row r="7344" spans="6:8" x14ac:dyDescent="0.35">
      <c r="F7344" s="1"/>
      <c r="H7344" t="s">
        <v>26</v>
      </c>
    </row>
    <row r="7345" spans="6:8" x14ac:dyDescent="0.35">
      <c r="F7345" s="1"/>
      <c r="H7345" t="s">
        <v>26</v>
      </c>
    </row>
    <row r="7346" spans="6:8" x14ac:dyDescent="0.35">
      <c r="F7346" s="1"/>
      <c r="H7346" t="s">
        <v>26</v>
      </c>
    </row>
    <row r="7347" spans="6:8" x14ac:dyDescent="0.35">
      <c r="F7347" s="1"/>
      <c r="H7347" t="s">
        <v>26</v>
      </c>
    </row>
    <row r="7348" spans="6:8" x14ac:dyDescent="0.35">
      <c r="F7348" s="1"/>
      <c r="H7348" t="s">
        <v>26</v>
      </c>
    </row>
    <row r="7349" spans="6:8" x14ac:dyDescent="0.35">
      <c r="F7349" s="1"/>
      <c r="H7349" t="s">
        <v>26</v>
      </c>
    </row>
    <row r="7350" spans="6:8" x14ac:dyDescent="0.35">
      <c r="F7350" s="1"/>
      <c r="H7350" t="s">
        <v>26</v>
      </c>
    </row>
    <row r="7351" spans="6:8" x14ac:dyDescent="0.35">
      <c r="F7351" s="1"/>
      <c r="H7351" t="s">
        <v>26</v>
      </c>
    </row>
    <row r="7352" spans="6:8" x14ac:dyDescent="0.35">
      <c r="F7352" s="1"/>
      <c r="H7352" t="s">
        <v>26</v>
      </c>
    </row>
    <row r="7353" spans="6:8" x14ac:dyDescent="0.35">
      <c r="F7353" s="1"/>
      <c r="H7353" t="s">
        <v>26</v>
      </c>
    </row>
    <row r="7354" spans="6:8" x14ac:dyDescent="0.35">
      <c r="F7354" s="1"/>
      <c r="H7354" t="s">
        <v>26</v>
      </c>
    </row>
    <row r="7355" spans="6:8" x14ac:dyDescent="0.35">
      <c r="F7355" s="1"/>
      <c r="H7355" t="s">
        <v>26</v>
      </c>
    </row>
    <row r="7356" spans="6:8" x14ac:dyDescent="0.35">
      <c r="F7356" s="1"/>
      <c r="H7356" t="s">
        <v>26</v>
      </c>
    </row>
    <row r="7357" spans="6:8" x14ac:dyDescent="0.35">
      <c r="F7357" s="1"/>
      <c r="H7357" t="s">
        <v>26</v>
      </c>
    </row>
    <row r="7358" spans="6:8" x14ac:dyDescent="0.35">
      <c r="F7358" s="1"/>
      <c r="H7358" t="s">
        <v>26</v>
      </c>
    </row>
    <row r="7359" spans="6:8" x14ac:dyDescent="0.35">
      <c r="F7359" s="1"/>
      <c r="H7359" t="s">
        <v>26</v>
      </c>
    </row>
    <row r="7360" spans="6:8" x14ac:dyDescent="0.35">
      <c r="F7360" s="1"/>
      <c r="H7360" t="s">
        <v>26</v>
      </c>
    </row>
    <row r="7361" spans="6:8" x14ac:dyDescent="0.35">
      <c r="F7361" s="1"/>
      <c r="H7361" t="s">
        <v>26</v>
      </c>
    </row>
    <row r="7362" spans="6:8" x14ac:dyDescent="0.35">
      <c r="F7362" s="1"/>
      <c r="H7362" t="s">
        <v>26</v>
      </c>
    </row>
    <row r="7363" spans="6:8" x14ac:dyDescent="0.35">
      <c r="F7363" s="1"/>
      <c r="H7363" t="s">
        <v>26</v>
      </c>
    </row>
    <row r="7364" spans="6:8" x14ac:dyDescent="0.35">
      <c r="F7364" s="1"/>
      <c r="H7364" t="s">
        <v>26</v>
      </c>
    </row>
    <row r="7365" spans="6:8" x14ac:dyDescent="0.35">
      <c r="F7365" s="1"/>
      <c r="H7365" t="s">
        <v>26</v>
      </c>
    </row>
    <row r="7366" spans="6:8" x14ac:dyDescent="0.35">
      <c r="F7366" s="1"/>
      <c r="H7366" t="s">
        <v>26</v>
      </c>
    </row>
    <row r="7367" spans="6:8" x14ac:dyDescent="0.35">
      <c r="F7367" s="1"/>
      <c r="H7367" t="s">
        <v>26</v>
      </c>
    </row>
    <row r="7368" spans="6:8" x14ac:dyDescent="0.35">
      <c r="F7368" s="1"/>
      <c r="H7368" t="s">
        <v>26</v>
      </c>
    </row>
    <row r="7369" spans="6:8" x14ac:dyDescent="0.35">
      <c r="F7369" s="1"/>
      <c r="H7369" t="s">
        <v>26</v>
      </c>
    </row>
    <row r="7370" spans="6:8" x14ac:dyDescent="0.35">
      <c r="F7370" s="1"/>
      <c r="H7370" t="s">
        <v>26</v>
      </c>
    </row>
    <row r="7371" spans="6:8" x14ac:dyDescent="0.35">
      <c r="F7371" s="1"/>
      <c r="H7371" t="s">
        <v>26</v>
      </c>
    </row>
    <row r="7372" spans="6:8" x14ac:dyDescent="0.35">
      <c r="F7372" s="1"/>
      <c r="H7372" t="s">
        <v>26</v>
      </c>
    </row>
    <row r="7373" spans="6:8" x14ac:dyDescent="0.35">
      <c r="F7373" s="1"/>
      <c r="H7373" t="s">
        <v>26</v>
      </c>
    </row>
    <row r="7374" spans="6:8" x14ac:dyDescent="0.35">
      <c r="F7374" s="1"/>
      <c r="H7374" t="s">
        <v>26</v>
      </c>
    </row>
    <row r="7375" spans="6:8" x14ac:dyDescent="0.35">
      <c r="F7375" s="1"/>
      <c r="H7375" t="s">
        <v>26</v>
      </c>
    </row>
    <row r="7376" spans="6:8" x14ac:dyDescent="0.35">
      <c r="F7376" s="1"/>
      <c r="H7376" t="s">
        <v>26</v>
      </c>
    </row>
    <row r="7377" spans="6:8" x14ac:dyDescent="0.35">
      <c r="F7377" s="1"/>
      <c r="H7377" t="s">
        <v>26</v>
      </c>
    </row>
    <row r="7378" spans="6:8" x14ac:dyDescent="0.35">
      <c r="F7378" s="1"/>
      <c r="H7378" t="s">
        <v>26</v>
      </c>
    </row>
    <row r="7379" spans="6:8" x14ac:dyDescent="0.35">
      <c r="F7379" s="1"/>
      <c r="H7379" t="s">
        <v>26</v>
      </c>
    </row>
    <row r="7380" spans="6:8" x14ac:dyDescent="0.35">
      <c r="F7380" s="1"/>
      <c r="H7380" t="s">
        <v>26</v>
      </c>
    </row>
    <row r="7381" spans="6:8" x14ac:dyDescent="0.35">
      <c r="F7381" s="1"/>
      <c r="H7381" t="s">
        <v>26</v>
      </c>
    </row>
    <row r="7382" spans="6:8" x14ac:dyDescent="0.35">
      <c r="F7382" s="1"/>
      <c r="H7382" t="s">
        <v>26</v>
      </c>
    </row>
    <row r="7383" spans="6:8" x14ac:dyDescent="0.35">
      <c r="F7383" s="1"/>
      <c r="H7383" t="s">
        <v>26</v>
      </c>
    </row>
    <row r="7384" spans="6:8" x14ac:dyDescent="0.35">
      <c r="F7384" s="1"/>
      <c r="H7384" t="s">
        <v>26</v>
      </c>
    </row>
    <row r="7385" spans="6:8" x14ac:dyDescent="0.35">
      <c r="F7385" s="1"/>
      <c r="H7385" t="s">
        <v>26</v>
      </c>
    </row>
    <row r="7386" spans="6:8" x14ac:dyDescent="0.35">
      <c r="F7386" s="1"/>
      <c r="H7386" t="s">
        <v>26</v>
      </c>
    </row>
    <row r="7387" spans="6:8" x14ac:dyDescent="0.35">
      <c r="F7387" s="1"/>
      <c r="H7387" t="s">
        <v>26</v>
      </c>
    </row>
    <row r="7388" spans="6:8" x14ac:dyDescent="0.35">
      <c r="F7388" s="1"/>
      <c r="H7388" t="s">
        <v>26</v>
      </c>
    </row>
    <row r="7389" spans="6:8" x14ac:dyDescent="0.35">
      <c r="F7389" s="1"/>
      <c r="H7389" t="s">
        <v>26</v>
      </c>
    </row>
    <row r="7390" spans="6:8" x14ac:dyDescent="0.35">
      <c r="F7390" s="1"/>
      <c r="H7390" t="s">
        <v>26</v>
      </c>
    </row>
    <row r="7391" spans="6:8" x14ac:dyDescent="0.35">
      <c r="F7391" s="1"/>
      <c r="H7391" t="s">
        <v>26</v>
      </c>
    </row>
    <row r="7392" spans="6:8" x14ac:dyDescent="0.35">
      <c r="F7392" s="1"/>
      <c r="H7392" t="s">
        <v>26</v>
      </c>
    </row>
    <row r="7393" spans="6:8" x14ac:dyDescent="0.35">
      <c r="F7393" s="1"/>
      <c r="H7393" t="s">
        <v>26</v>
      </c>
    </row>
    <row r="7394" spans="6:8" x14ac:dyDescent="0.35">
      <c r="F7394" s="1"/>
      <c r="H7394" t="s">
        <v>26</v>
      </c>
    </row>
    <row r="7395" spans="6:8" x14ac:dyDescent="0.35">
      <c r="F7395" s="1"/>
      <c r="H7395" t="s">
        <v>26</v>
      </c>
    </row>
    <row r="7396" spans="6:8" x14ac:dyDescent="0.35">
      <c r="F7396" s="1"/>
      <c r="H7396" t="s">
        <v>26</v>
      </c>
    </row>
    <row r="7397" spans="6:8" x14ac:dyDescent="0.35">
      <c r="F7397" s="1"/>
      <c r="H7397" t="s">
        <v>26</v>
      </c>
    </row>
    <row r="7398" spans="6:8" x14ac:dyDescent="0.35">
      <c r="F7398" s="1"/>
      <c r="H7398" t="s">
        <v>26</v>
      </c>
    </row>
    <row r="7399" spans="6:8" x14ac:dyDescent="0.35">
      <c r="F7399" s="1"/>
      <c r="H7399" t="s">
        <v>26</v>
      </c>
    </row>
    <row r="7400" spans="6:8" x14ac:dyDescent="0.35">
      <c r="F7400" s="1"/>
      <c r="H7400" t="s">
        <v>26</v>
      </c>
    </row>
    <row r="7401" spans="6:8" x14ac:dyDescent="0.35">
      <c r="F7401" s="1"/>
      <c r="H7401" t="s">
        <v>26</v>
      </c>
    </row>
    <row r="7402" spans="6:8" x14ac:dyDescent="0.35">
      <c r="F7402" s="1"/>
      <c r="H7402" t="s">
        <v>26</v>
      </c>
    </row>
    <row r="7403" spans="6:8" x14ac:dyDescent="0.35">
      <c r="F7403" s="1"/>
      <c r="H7403" t="s">
        <v>26</v>
      </c>
    </row>
    <row r="7404" spans="6:8" x14ac:dyDescent="0.35">
      <c r="F7404" s="1"/>
      <c r="H7404" t="s">
        <v>26</v>
      </c>
    </row>
    <row r="7405" spans="6:8" x14ac:dyDescent="0.35">
      <c r="F7405" s="1"/>
      <c r="H7405" t="s">
        <v>26</v>
      </c>
    </row>
    <row r="7406" spans="6:8" x14ac:dyDescent="0.35">
      <c r="F7406" s="1"/>
      <c r="H7406" t="s">
        <v>26</v>
      </c>
    </row>
    <row r="7407" spans="6:8" x14ac:dyDescent="0.35">
      <c r="F7407" s="1"/>
      <c r="H7407" t="s">
        <v>26</v>
      </c>
    </row>
    <row r="7408" spans="6:8" x14ac:dyDescent="0.35">
      <c r="F7408" s="1"/>
      <c r="H7408" t="s">
        <v>26</v>
      </c>
    </row>
    <row r="7409" spans="6:8" x14ac:dyDescent="0.35">
      <c r="F7409" s="1"/>
      <c r="H7409" t="s">
        <v>26</v>
      </c>
    </row>
    <row r="7410" spans="6:8" x14ac:dyDescent="0.35">
      <c r="F7410" s="1"/>
      <c r="H7410" t="s">
        <v>26</v>
      </c>
    </row>
    <row r="7411" spans="6:8" x14ac:dyDescent="0.35">
      <c r="F7411" s="1"/>
      <c r="H7411" t="s">
        <v>26</v>
      </c>
    </row>
    <row r="7412" spans="6:8" x14ac:dyDescent="0.35">
      <c r="F7412" s="1"/>
      <c r="H7412" t="s">
        <v>26</v>
      </c>
    </row>
    <row r="7413" spans="6:8" x14ac:dyDescent="0.35">
      <c r="F7413" s="1"/>
      <c r="H7413" t="s">
        <v>26</v>
      </c>
    </row>
    <row r="7414" spans="6:8" x14ac:dyDescent="0.35">
      <c r="F7414" s="1"/>
      <c r="H7414" t="s">
        <v>26</v>
      </c>
    </row>
    <row r="7415" spans="6:8" x14ac:dyDescent="0.35">
      <c r="F7415" s="1"/>
      <c r="H7415" t="s">
        <v>26</v>
      </c>
    </row>
    <row r="7416" spans="6:8" x14ac:dyDescent="0.35">
      <c r="F7416" s="1"/>
      <c r="H7416" t="s">
        <v>26</v>
      </c>
    </row>
    <row r="7417" spans="6:8" x14ac:dyDescent="0.35">
      <c r="F7417" s="1"/>
      <c r="H7417" t="s">
        <v>26</v>
      </c>
    </row>
    <row r="7418" spans="6:8" x14ac:dyDescent="0.35">
      <c r="F7418" s="1"/>
      <c r="H7418" t="s">
        <v>26</v>
      </c>
    </row>
    <row r="7419" spans="6:8" x14ac:dyDescent="0.35">
      <c r="F7419" s="1"/>
      <c r="H7419" t="s">
        <v>26</v>
      </c>
    </row>
    <row r="7420" spans="6:8" x14ac:dyDescent="0.35">
      <c r="F7420" s="1"/>
      <c r="H7420" t="s">
        <v>26</v>
      </c>
    </row>
    <row r="7421" spans="6:8" x14ac:dyDescent="0.35">
      <c r="F7421" s="1"/>
      <c r="H7421" t="s">
        <v>26</v>
      </c>
    </row>
    <row r="7422" spans="6:8" x14ac:dyDescent="0.35">
      <c r="F7422" s="1"/>
      <c r="H7422" t="s">
        <v>26</v>
      </c>
    </row>
    <row r="7423" spans="6:8" x14ac:dyDescent="0.35">
      <c r="F7423" s="1"/>
      <c r="H7423" t="s">
        <v>26</v>
      </c>
    </row>
    <row r="7424" spans="6:8" x14ac:dyDescent="0.35">
      <c r="F7424" s="1"/>
      <c r="H7424" t="s">
        <v>26</v>
      </c>
    </row>
    <row r="7425" spans="6:8" x14ac:dyDescent="0.35">
      <c r="F7425" s="1"/>
      <c r="H7425" t="s">
        <v>26</v>
      </c>
    </row>
    <row r="7426" spans="6:8" x14ac:dyDescent="0.35">
      <c r="F7426" s="1"/>
      <c r="H7426" t="s">
        <v>26</v>
      </c>
    </row>
    <row r="7427" spans="6:8" x14ac:dyDescent="0.35">
      <c r="F7427" s="1"/>
      <c r="H7427" t="s">
        <v>26</v>
      </c>
    </row>
    <row r="7428" spans="6:8" x14ac:dyDescent="0.35">
      <c r="F7428" s="1"/>
      <c r="H7428" t="s">
        <v>26</v>
      </c>
    </row>
    <row r="7429" spans="6:8" x14ac:dyDescent="0.35">
      <c r="F7429" s="1"/>
      <c r="H7429" t="s">
        <v>26</v>
      </c>
    </row>
    <row r="7430" spans="6:8" x14ac:dyDescent="0.35">
      <c r="F7430" s="1"/>
      <c r="H7430" t="s">
        <v>26</v>
      </c>
    </row>
    <row r="7431" spans="6:8" x14ac:dyDescent="0.35">
      <c r="F7431" s="1"/>
      <c r="H7431" t="s">
        <v>26</v>
      </c>
    </row>
    <row r="7432" spans="6:8" x14ac:dyDescent="0.35">
      <c r="F7432" s="1"/>
      <c r="H7432" t="s">
        <v>26</v>
      </c>
    </row>
    <row r="7433" spans="6:8" x14ac:dyDescent="0.35">
      <c r="F7433" s="1"/>
      <c r="H7433" t="s">
        <v>26</v>
      </c>
    </row>
    <row r="7434" spans="6:8" x14ac:dyDescent="0.35">
      <c r="F7434" s="1"/>
      <c r="H7434" t="s">
        <v>26</v>
      </c>
    </row>
    <row r="7435" spans="6:8" x14ac:dyDescent="0.35">
      <c r="F7435" s="1"/>
      <c r="H7435" t="s">
        <v>26</v>
      </c>
    </row>
    <row r="7436" spans="6:8" x14ac:dyDescent="0.35">
      <c r="F7436" s="1"/>
      <c r="H7436" t="s">
        <v>26</v>
      </c>
    </row>
    <row r="7437" spans="6:8" x14ac:dyDescent="0.35">
      <c r="F7437" s="1"/>
      <c r="H7437" t="s">
        <v>26</v>
      </c>
    </row>
    <row r="7438" spans="6:8" x14ac:dyDescent="0.35">
      <c r="F7438" s="1"/>
      <c r="H7438" t="s">
        <v>26</v>
      </c>
    </row>
    <row r="7439" spans="6:8" x14ac:dyDescent="0.35">
      <c r="F7439" s="1"/>
      <c r="H7439" t="s">
        <v>26</v>
      </c>
    </row>
    <row r="7440" spans="6:8" x14ac:dyDescent="0.35">
      <c r="F7440" s="1"/>
      <c r="H7440" t="s">
        <v>26</v>
      </c>
    </row>
    <row r="7441" spans="6:8" x14ac:dyDescent="0.35">
      <c r="F7441" s="1"/>
      <c r="H7441" t="s">
        <v>26</v>
      </c>
    </row>
    <row r="7442" spans="6:8" x14ac:dyDescent="0.35">
      <c r="F7442" s="1"/>
      <c r="H7442" t="s">
        <v>26</v>
      </c>
    </row>
    <row r="7443" spans="6:8" x14ac:dyDescent="0.35">
      <c r="F7443" s="1"/>
      <c r="H7443" t="s">
        <v>26</v>
      </c>
    </row>
    <row r="7444" spans="6:8" x14ac:dyDescent="0.35">
      <c r="F7444" s="1"/>
      <c r="H7444" t="s">
        <v>26</v>
      </c>
    </row>
    <row r="7445" spans="6:8" x14ac:dyDescent="0.35">
      <c r="F7445" s="1"/>
      <c r="H7445" t="s">
        <v>26</v>
      </c>
    </row>
    <row r="7446" spans="6:8" x14ac:dyDescent="0.35">
      <c r="F7446" s="1"/>
      <c r="H7446" t="s">
        <v>26</v>
      </c>
    </row>
    <row r="7447" spans="6:8" x14ac:dyDescent="0.35">
      <c r="F7447" s="1"/>
      <c r="H7447" t="s">
        <v>26</v>
      </c>
    </row>
    <row r="7448" spans="6:8" x14ac:dyDescent="0.35">
      <c r="F7448" s="1"/>
      <c r="H7448" t="s">
        <v>26</v>
      </c>
    </row>
    <row r="7449" spans="6:8" x14ac:dyDescent="0.35">
      <c r="F7449" s="1"/>
      <c r="H7449" t="s">
        <v>26</v>
      </c>
    </row>
    <row r="7450" spans="6:8" x14ac:dyDescent="0.35">
      <c r="F7450" s="1"/>
      <c r="H7450" t="s">
        <v>26</v>
      </c>
    </row>
    <row r="7451" spans="6:8" x14ac:dyDescent="0.35">
      <c r="F7451" s="1"/>
      <c r="H7451" t="s">
        <v>26</v>
      </c>
    </row>
    <row r="7452" spans="6:8" x14ac:dyDescent="0.35">
      <c r="F7452" s="1"/>
      <c r="H7452" t="s">
        <v>26</v>
      </c>
    </row>
    <row r="7453" spans="6:8" x14ac:dyDescent="0.35">
      <c r="F7453" s="1"/>
      <c r="H7453" t="s">
        <v>26</v>
      </c>
    </row>
    <row r="7454" spans="6:8" x14ac:dyDescent="0.35">
      <c r="F7454" s="1"/>
      <c r="H7454" t="s">
        <v>26</v>
      </c>
    </row>
    <row r="7455" spans="6:8" x14ac:dyDescent="0.35">
      <c r="F7455" s="1"/>
      <c r="H7455" t="s">
        <v>26</v>
      </c>
    </row>
    <row r="7456" spans="6:8" x14ac:dyDescent="0.35">
      <c r="F7456" s="1"/>
      <c r="H7456" t="s">
        <v>26</v>
      </c>
    </row>
    <row r="7457" spans="6:8" x14ac:dyDescent="0.35">
      <c r="F7457" s="1"/>
      <c r="H7457" t="s">
        <v>26</v>
      </c>
    </row>
    <row r="7458" spans="6:8" x14ac:dyDescent="0.35">
      <c r="F7458" s="1"/>
      <c r="H7458" t="s">
        <v>26</v>
      </c>
    </row>
    <row r="7459" spans="6:8" x14ac:dyDescent="0.35">
      <c r="F7459" s="1"/>
      <c r="H7459" t="s">
        <v>26</v>
      </c>
    </row>
    <row r="7460" spans="6:8" x14ac:dyDescent="0.35">
      <c r="F7460" s="1"/>
      <c r="H7460" t="s">
        <v>26</v>
      </c>
    </row>
    <row r="7461" spans="6:8" x14ac:dyDescent="0.35">
      <c r="F7461" s="1"/>
      <c r="H7461" t="s">
        <v>26</v>
      </c>
    </row>
    <row r="7462" spans="6:8" x14ac:dyDescent="0.35">
      <c r="F7462" s="1"/>
      <c r="H7462" t="s">
        <v>26</v>
      </c>
    </row>
    <row r="7463" spans="6:8" x14ac:dyDescent="0.35">
      <c r="F7463" s="1"/>
      <c r="H7463" t="s">
        <v>26</v>
      </c>
    </row>
    <row r="7464" spans="6:8" x14ac:dyDescent="0.35">
      <c r="F7464" s="1"/>
      <c r="H7464" t="s">
        <v>26</v>
      </c>
    </row>
    <row r="7465" spans="6:8" x14ac:dyDescent="0.35">
      <c r="F7465" s="1"/>
      <c r="H7465" t="s">
        <v>26</v>
      </c>
    </row>
    <row r="7466" spans="6:8" x14ac:dyDescent="0.35">
      <c r="F7466" s="1"/>
      <c r="H7466" t="s">
        <v>26</v>
      </c>
    </row>
    <row r="7467" spans="6:8" x14ac:dyDescent="0.35">
      <c r="F7467" s="1"/>
      <c r="H7467" t="s">
        <v>26</v>
      </c>
    </row>
    <row r="7468" spans="6:8" x14ac:dyDescent="0.35">
      <c r="F7468" s="1"/>
      <c r="H7468" t="s">
        <v>26</v>
      </c>
    </row>
    <row r="7469" spans="6:8" x14ac:dyDescent="0.35">
      <c r="F7469" s="1"/>
      <c r="H7469" t="s">
        <v>26</v>
      </c>
    </row>
    <row r="7470" spans="6:8" x14ac:dyDescent="0.35">
      <c r="F7470" s="1"/>
      <c r="H7470" t="s">
        <v>26</v>
      </c>
    </row>
    <row r="7471" spans="6:8" x14ac:dyDescent="0.35">
      <c r="F7471" s="1"/>
      <c r="H7471" t="s">
        <v>26</v>
      </c>
    </row>
    <row r="7472" spans="6:8" x14ac:dyDescent="0.35">
      <c r="F7472" s="1"/>
      <c r="H7472" t="s">
        <v>26</v>
      </c>
    </row>
    <row r="7473" spans="6:8" x14ac:dyDescent="0.35">
      <c r="F7473" s="1"/>
      <c r="H7473" t="s">
        <v>26</v>
      </c>
    </row>
    <row r="7474" spans="6:8" x14ac:dyDescent="0.35">
      <c r="F7474" s="1"/>
      <c r="H7474" t="s">
        <v>26</v>
      </c>
    </row>
    <row r="7475" spans="6:8" x14ac:dyDescent="0.35">
      <c r="F7475" s="1"/>
      <c r="H7475" t="s">
        <v>26</v>
      </c>
    </row>
    <row r="7476" spans="6:8" x14ac:dyDescent="0.35">
      <c r="F7476" s="1"/>
      <c r="H7476" t="s">
        <v>26</v>
      </c>
    </row>
    <row r="7477" spans="6:8" x14ac:dyDescent="0.35">
      <c r="F7477" s="1"/>
      <c r="H7477" t="s">
        <v>26</v>
      </c>
    </row>
    <row r="7478" spans="6:8" x14ac:dyDescent="0.35">
      <c r="F7478" s="1"/>
      <c r="H7478" t="s">
        <v>26</v>
      </c>
    </row>
    <row r="7479" spans="6:8" x14ac:dyDescent="0.35">
      <c r="F7479" s="1"/>
      <c r="H7479" t="s">
        <v>26</v>
      </c>
    </row>
    <row r="7480" spans="6:8" x14ac:dyDescent="0.35">
      <c r="F7480" s="1"/>
      <c r="H7480" t="s">
        <v>26</v>
      </c>
    </row>
    <row r="7481" spans="6:8" x14ac:dyDescent="0.35">
      <c r="F7481" s="1"/>
      <c r="H7481" t="s">
        <v>26</v>
      </c>
    </row>
    <row r="7482" spans="6:8" x14ac:dyDescent="0.35">
      <c r="F7482" s="1"/>
      <c r="H7482" t="s">
        <v>26</v>
      </c>
    </row>
    <row r="7483" spans="6:8" x14ac:dyDescent="0.35">
      <c r="F7483" s="1"/>
      <c r="H7483" t="s">
        <v>26</v>
      </c>
    </row>
    <row r="7484" spans="6:8" x14ac:dyDescent="0.35">
      <c r="F7484" s="1"/>
      <c r="H7484" t="s">
        <v>26</v>
      </c>
    </row>
    <row r="7485" spans="6:8" x14ac:dyDescent="0.35">
      <c r="F7485" s="1"/>
      <c r="H7485" t="s">
        <v>26</v>
      </c>
    </row>
    <row r="7486" spans="6:8" x14ac:dyDescent="0.35">
      <c r="F7486" s="1"/>
      <c r="H7486" t="s">
        <v>26</v>
      </c>
    </row>
    <row r="7487" spans="6:8" x14ac:dyDescent="0.35">
      <c r="F7487" s="1"/>
      <c r="H7487" t="s">
        <v>26</v>
      </c>
    </row>
    <row r="7488" spans="6:8" x14ac:dyDescent="0.35">
      <c r="F7488" s="1"/>
      <c r="H7488" t="s">
        <v>26</v>
      </c>
    </row>
    <row r="7489" spans="6:8" x14ac:dyDescent="0.35">
      <c r="F7489" s="1"/>
      <c r="H7489" t="s">
        <v>26</v>
      </c>
    </row>
    <row r="7490" spans="6:8" x14ac:dyDescent="0.35">
      <c r="F7490" s="1"/>
      <c r="H7490" t="s">
        <v>26</v>
      </c>
    </row>
    <row r="7491" spans="6:8" x14ac:dyDescent="0.35">
      <c r="F7491" s="1"/>
      <c r="H7491" t="s">
        <v>26</v>
      </c>
    </row>
    <row r="7492" spans="6:8" x14ac:dyDescent="0.35">
      <c r="F7492" s="1"/>
      <c r="H7492" t="s">
        <v>26</v>
      </c>
    </row>
    <row r="7493" spans="6:8" x14ac:dyDescent="0.35">
      <c r="F7493" s="1"/>
      <c r="H7493" t="s">
        <v>26</v>
      </c>
    </row>
    <row r="7494" spans="6:8" x14ac:dyDescent="0.35">
      <c r="F7494" s="1"/>
      <c r="H7494" t="s">
        <v>26</v>
      </c>
    </row>
    <row r="7495" spans="6:8" x14ac:dyDescent="0.35">
      <c r="F7495" s="1"/>
      <c r="H7495" t="s">
        <v>26</v>
      </c>
    </row>
    <row r="7496" spans="6:8" x14ac:dyDescent="0.35">
      <c r="F7496" s="1"/>
      <c r="H7496" t="s">
        <v>26</v>
      </c>
    </row>
    <row r="7497" spans="6:8" x14ac:dyDescent="0.35">
      <c r="F7497" s="1"/>
      <c r="H7497" t="s">
        <v>26</v>
      </c>
    </row>
    <row r="7498" spans="6:8" x14ac:dyDescent="0.35">
      <c r="F7498" s="1"/>
      <c r="H7498" t="s">
        <v>26</v>
      </c>
    </row>
    <row r="7499" spans="6:8" x14ac:dyDescent="0.35">
      <c r="F7499" s="1"/>
      <c r="H7499" t="s">
        <v>26</v>
      </c>
    </row>
    <row r="7500" spans="6:8" x14ac:dyDescent="0.35">
      <c r="F7500" s="1"/>
      <c r="H7500" t="s">
        <v>26</v>
      </c>
    </row>
    <row r="7501" spans="6:8" x14ac:dyDescent="0.35">
      <c r="F7501" s="1"/>
      <c r="H7501" t="s">
        <v>26</v>
      </c>
    </row>
    <row r="7502" spans="6:8" x14ac:dyDescent="0.35">
      <c r="F7502" s="1"/>
      <c r="H7502" t="s">
        <v>26</v>
      </c>
    </row>
    <row r="7503" spans="6:8" x14ac:dyDescent="0.35">
      <c r="F7503" s="1"/>
      <c r="H7503" t="s">
        <v>26</v>
      </c>
    </row>
    <row r="7504" spans="6:8" x14ac:dyDescent="0.35">
      <c r="F7504" s="1"/>
      <c r="H7504" t="s">
        <v>26</v>
      </c>
    </row>
    <row r="7505" spans="6:8" x14ac:dyDescent="0.35">
      <c r="F7505" s="1"/>
      <c r="H7505" t="s">
        <v>26</v>
      </c>
    </row>
    <row r="7506" spans="6:8" x14ac:dyDescent="0.35">
      <c r="F7506" s="1"/>
      <c r="H7506" t="s">
        <v>26</v>
      </c>
    </row>
    <row r="7507" spans="6:8" x14ac:dyDescent="0.35">
      <c r="F7507" s="1"/>
      <c r="H7507" t="s">
        <v>26</v>
      </c>
    </row>
    <row r="7508" spans="6:8" x14ac:dyDescent="0.35">
      <c r="F7508" s="1"/>
      <c r="H7508" t="s">
        <v>26</v>
      </c>
    </row>
    <row r="7509" spans="6:8" x14ac:dyDescent="0.35">
      <c r="F7509" s="1"/>
      <c r="H7509" t="s">
        <v>26</v>
      </c>
    </row>
    <row r="7510" spans="6:8" x14ac:dyDescent="0.35">
      <c r="F7510" s="1"/>
      <c r="H7510" t="s">
        <v>26</v>
      </c>
    </row>
    <row r="7511" spans="6:8" x14ac:dyDescent="0.35">
      <c r="F7511" s="1"/>
      <c r="H7511" t="s">
        <v>26</v>
      </c>
    </row>
    <row r="7512" spans="6:8" x14ac:dyDescent="0.35">
      <c r="F7512" s="1"/>
      <c r="H7512" t="s">
        <v>26</v>
      </c>
    </row>
    <row r="7513" spans="6:8" x14ac:dyDescent="0.35">
      <c r="F7513" s="1"/>
      <c r="H7513" t="s">
        <v>26</v>
      </c>
    </row>
    <row r="7514" spans="6:8" x14ac:dyDescent="0.35">
      <c r="F7514" s="1"/>
      <c r="H7514" t="s">
        <v>26</v>
      </c>
    </row>
    <row r="7515" spans="6:8" x14ac:dyDescent="0.35">
      <c r="F7515" s="1"/>
      <c r="H7515" t="s">
        <v>26</v>
      </c>
    </row>
    <row r="7516" spans="6:8" x14ac:dyDescent="0.35">
      <c r="F7516" s="1"/>
      <c r="H7516" t="s">
        <v>26</v>
      </c>
    </row>
    <row r="7517" spans="6:8" x14ac:dyDescent="0.35">
      <c r="F7517" s="1"/>
      <c r="H7517" t="s">
        <v>26</v>
      </c>
    </row>
    <row r="7518" spans="6:8" x14ac:dyDescent="0.35">
      <c r="F7518" s="1"/>
      <c r="H7518" t="s">
        <v>26</v>
      </c>
    </row>
    <row r="7519" spans="6:8" x14ac:dyDescent="0.35">
      <c r="F7519" s="1"/>
      <c r="H7519" t="s">
        <v>26</v>
      </c>
    </row>
    <row r="7520" spans="6:8" x14ac:dyDescent="0.35">
      <c r="F7520" s="1"/>
      <c r="H7520" t="s">
        <v>26</v>
      </c>
    </row>
    <row r="7521" spans="6:8" x14ac:dyDescent="0.35">
      <c r="F7521" s="1"/>
      <c r="H7521" t="s">
        <v>26</v>
      </c>
    </row>
    <row r="7522" spans="6:8" x14ac:dyDescent="0.35">
      <c r="F7522" s="1"/>
      <c r="H7522" t="s">
        <v>26</v>
      </c>
    </row>
    <row r="7523" spans="6:8" x14ac:dyDescent="0.35">
      <c r="F7523" s="1"/>
      <c r="H7523" t="s">
        <v>26</v>
      </c>
    </row>
    <row r="7524" spans="6:8" x14ac:dyDescent="0.35">
      <c r="F7524" s="1"/>
      <c r="H7524" t="s">
        <v>26</v>
      </c>
    </row>
    <row r="7525" spans="6:8" x14ac:dyDescent="0.35">
      <c r="F7525" s="1"/>
      <c r="H7525" t="s">
        <v>26</v>
      </c>
    </row>
    <row r="7526" spans="6:8" x14ac:dyDescent="0.35">
      <c r="F7526" s="1"/>
      <c r="H7526" t="s">
        <v>26</v>
      </c>
    </row>
    <row r="7527" spans="6:8" x14ac:dyDescent="0.35">
      <c r="F7527" s="1"/>
      <c r="H7527" t="s">
        <v>26</v>
      </c>
    </row>
    <row r="7528" spans="6:8" x14ac:dyDescent="0.35">
      <c r="F7528" s="1"/>
      <c r="H7528" t="s">
        <v>26</v>
      </c>
    </row>
    <row r="7529" spans="6:8" x14ac:dyDescent="0.35">
      <c r="F7529" s="1"/>
      <c r="H7529" t="s">
        <v>26</v>
      </c>
    </row>
    <row r="7530" spans="6:8" x14ac:dyDescent="0.35">
      <c r="F7530" s="1"/>
      <c r="H7530" t="s">
        <v>26</v>
      </c>
    </row>
    <row r="7531" spans="6:8" x14ac:dyDescent="0.35">
      <c r="F7531" s="1"/>
      <c r="H7531" t="s">
        <v>26</v>
      </c>
    </row>
    <row r="7532" spans="6:8" x14ac:dyDescent="0.35">
      <c r="F7532" s="1"/>
      <c r="H7532" t="s">
        <v>26</v>
      </c>
    </row>
    <row r="7533" spans="6:8" x14ac:dyDescent="0.35">
      <c r="F7533" s="1"/>
      <c r="H7533" t="s">
        <v>26</v>
      </c>
    </row>
    <row r="7534" spans="6:8" x14ac:dyDescent="0.35">
      <c r="F7534" s="1"/>
      <c r="H7534" t="s">
        <v>26</v>
      </c>
    </row>
    <row r="7535" spans="6:8" x14ac:dyDescent="0.35">
      <c r="F7535" s="1"/>
      <c r="H7535" t="s">
        <v>26</v>
      </c>
    </row>
    <row r="7536" spans="6:8" x14ac:dyDescent="0.35">
      <c r="F7536" s="1"/>
      <c r="H7536" t="s">
        <v>26</v>
      </c>
    </row>
    <row r="7537" spans="6:8" x14ac:dyDescent="0.35">
      <c r="F7537" s="1"/>
      <c r="H7537" t="s">
        <v>26</v>
      </c>
    </row>
    <row r="7538" spans="6:8" x14ac:dyDescent="0.35">
      <c r="F7538" s="1"/>
      <c r="H7538" t="s">
        <v>26</v>
      </c>
    </row>
    <row r="7539" spans="6:8" x14ac:dyDescent="0.35">
      <c r="F7539" s="1"/>
      <c r="H7539" t="s">
        <v>26</v>
      </c>
    </row>
    <row r="7540" spans="6:8" x14ac:dyDescent="0.35">
      <c r="F7540" s="1"/>
      <c r="H7540" t="s">
        <v>26</v>
      </c>
    </row>
    <row r="7541" spans="6:8" x14ac:dyDescent="0.35">
      <c r="F7541" s="1"/>
      <c r="H7541" t="s">
        <v>26</v>
      </c>
    </row>
    <row r="7542" spans="6:8" x14ac:dyDescent="0.35">
      <c r="F7542" s="1"/>
      <c r="H7542" t="s">
        <v>26</v>
      </c>
    </row>
    <row r="7543" spans="6:8" x14ac:dyDescent="0.35">
      <c r="F7543" s="1"/>
      <c r="H7543" t="s">
        <v>26</v>
      </c>
    </row>
    <row r="7544" spans="6:8" x14ac:dyDescent="0.35">
      <c r="F7544" s="1"/>
      <c r="H7544" t="s">
        <v>26</v>
      </c>
    </row>
    <row r="7545" spans="6:8" x14ac:dyDescent="0.35">
      <c r="F7545" s="1"/>
      <c r="H7545" t="s">
        <v>26</v>
      </c>
    </row>
    <row r="7546" spans="6:8" x14ac:dyDescent="0.35">
      <c r="F7546" s="1"/>
      <c r="H7546" t="s">
        <v>26</v>
      </c>
    </row>
    <row r="7547" spans="6:8" x14ac:dyDescent="0.35">
      <c r="F7547" s="1"/>
      <c r="H7547" t="s">
        <v>26</v>
      </c>
    </row>
    <row r="7548" spans="6:8" x14ac:dyDescent="0.35">
      <c r="F7548" s="1"/>
      <c r="H7548" t="s">
        <v>26</v>
      </c>
    </row>
    <row r="7549" spans="6:8" x14ac:dyDescent="0.35">
      <c r="F7549" s="1"/>
      <c r="H7549" t="s">
        <v>26</v>
      </c>
    </row>
    <row r="7550" spans="6:8" x14ac:dyDescent="0.35">
      <c r="F7550" s="1"/>
      <c r="H7550" t="s">
        <v>26</v>
      </c>
    </row>
    <row r="7551" spans="6:8" x14ac:dyDescent="0.35">
      <c r="F7551" s="1"/>
      <c r="H7551" t="s">
        <v>26</v>
      </c>
    </row>
    <row r="7552" spans="6:8" x14ac:dyDescent="0.35">
      <c r="F7552" s="1"/>
      <c r="H7552" t="s">
        <v>26</v>
      </c>
    </row>
    <row r="7553" spans="6:8" x14ac:dyDescent="0.35">
      <c r="F7553" s="1"/>
      <c r="H7553" t="s">
        <v>26</v>
      </c>
    </row>
    <row r="7554" spans="6:8" x14ac:dyDescent="0.35">
      <c r="F7554" s="1"/>
      <c r="H7554" t="s">
        <v>26</v>
      </c>
    </row>
    <row r="7555" spans="6:8" x14ac:dyDescent="0.35">
      <c r="F7555" s="1"/>
      <c r="H7555" t="s">
        <v>26</v>
      </c>
    </row>
    <row r="7556" spans="6:8" x14ac:dyDescent="0.35">
      <c r="F7556" s="1"/>
      <c r="H7556" t="s">
        <v>26</v>
      </c>
    </row>
    <row r="7557" spans="6:8" x14ac:dyDescent="0.35">
      <c r="F7557" s="1"/>
      <c r="H7557" t="s">
        <v>26</v>
      </c>
    </row>
    <row r="7558" spans="6:8" x14ac:dyDescent="0.35">
      <c r="F7558" s="1"/>
      <c r="H7558" t="s">
        <v>26</v>
      </c>
    </row>
    <row r="7559" spans="6:8" x14ac:dyDescent="0.35">
      <c r="F7559" s="1"/>
      <c r="H7559" t="s">
        <v>26</v>
      </c>
    </row>
    <row r="7560" spans="6:8" x14ac:dyDescent="0.35">
      <c r="F7560" s="1"/>
      <c r="H7560" t="s">
        <v>26</v>
      </c>
    </row>
    <row r="7561" spans="6:8" x14ac:dyDescent="0.35">
      <c r="F7561" s="1"/>
      <c r="H7561" t="s">
        <v>26</v>
      </c>
    </row>
    <row r="7562" spans="6:8" x14ac:dyDescent="0.35">
      <c r="F7562" s="1"/>
      <c r="H7562" t="s">
        <v>26</v>
      </c>
    </row>
    <row r="7563" spans="6:8" x14ac:dyDescent="0.35">
      <c r="F7563" s="1"/>
      <c r="H7563" t="s">
        <v>26</v>
      </c>
    </row>
    <row r="7564" spans="6:8" x14ac:dyDescent="0.35">
      <c r="F7564" s="1"/>
      <c r="H7564" t="s">
        <v>26</v>
      </c>
    </row>
    <row r="7565" spans="6:8" x14ac:dyDescent="0.35">
      <c r="F7565" s="1"/>
      <c r="H7565" t="s">
        <v>26</v>
      </c>
    </row>
    <row r="7566" spans="6:8" x14ac:dyDescent="0.35">
      <c r="F7566" s="1"/>
      <c r="H7566" t="s">
        <v>26</v>
      </c>
    </row>
    <row r="7567" spans="6:8" x14ac:dyDescent="0.35">
      <c r="F7567" s="1"/>
      <c r="H7567" t="s">
        <v>26</v>
      </c>
    </row>
    <row r="7568" spans="6:8" x14ac:dyDescent="0.35">
      <c r="F7568" s="1"/>
      <c r="H7568" t="s">
        <v>26</v>
      </c>
    </row>
    <row r="7569" spans="6:8" x14ac:dyDescent="0.35">
      <c r="F7569" s="1"/>
      <c r="H7569" t="s">
        <v>26</v>
      </c>
    </row>
    <row r="7570" spans="6:8" x14ac:dyDescent="0.35">
      <c r="F7570" s="1"/>
      <c r="H7570" t="s">
        <v>26</v>
      </c>
    </row>
    <row r="7571" spans="6:8" x14ac:dyDescent="0.35">
      <c r="F7571" s="1"/>
      <c r="H7571" t="s">
        <v>26</v>
      </c>
    </row>
    <row r="7572" spans="6:8" x14ac:dyDescent="0.35">
      <c r="F7572" s="1"/>
      <c r="H7572" t="s">
        <v>26</v>
      </c>
    </row>
    <row r="7573" spans="6:8" x14ac:dyDescent="0.35">
      <c r="F7573" s="1"/>
      <c r="H7573" t="s">
        <v>26</v>
      </c>
    </row>
    <row r="7574" spans="6:8" x14ac:dyDescent="0.35">
      <c r="F7574" s="1"/>
      <c r="H7574" t="s">
        <v>26</v>
      </c>
    </row>
    <row r="7575" spans="6:8" x14ac:dyDescent="0.35">
      <c r="F7575" s="1"/>
      <c r="H7575" t="s">
        <v>26</v>
      </c>
    </row>
    <row r="7576" spans="6:8" x14ac:dyDescent="0.35">
      <c r="F7576" s="1"/>
      <c r="H7576" t="s">
        <v>26</v>
      </c>
    </row>
    <row r="7577" spans="6:8" x14ac:dyDescent="0.35">
      <c r="F7577" s="1"/>
      <c r="H7577" t="s">
        <v>26</v>
      </c>
    </row>
    <row r="7578" spans="6:8" x14ac:dyDescent="0.35">
      <c r="F7578" s="1"/>
      <c r="H7578" t="s">
        <v>26</v>
      </c>
    </row>
    <row r="7579" spans="6:8" x14ac:dyDescent="0.35">
      <c r="F7579" s="1"/>
      <c r="H7579" t="s">
        <v>26</v>
      </c>
    </row>
    <row r="7580" spans="6:8" x14ac:dyDescent="0.35">
      <c r="F7580" s="1"/>
      <c r="H7580" t="s">
        <v>26</v>
      </c>
    </row>
    <row r="7581" spans="6:8" x14ac:dyDescent="0.35">
      <c r="F7581" s="1"/>
      <c r="H7581" t="s">
        <v>26</v>
      </c>
    </row>
    <row r="7582" spans="6:8" x14ac:dyDescent="0.35">
      <c r="F7582" s="1"/>
      <c r="H7582" t="s">
        <v>26</v>
      </c>
    </row>
    <row r="7583" spans="6:8" x14ac:dyDescent="0.35">
      <c r="F7583" s="1"/>
      <c r="H7583" t="s">
        <v>26</v>
      </c>
    </row>
    <row r="7584" spans="6:8" x14ac:dyDescent="0.35">
      <c r="F7584" s="1"/>
      <c r="H7584" t="s">
        <v>26</v>
      </c>
    </row>
    <row r="7585" spans="6:8" x14ac:dyDescent="0.35">
      <c r="F7585" s="1"/>
      <c r="H7585" t="s">
        <v>26</v>
      </c>
    </row>
    <row r="7586" spans="6:8" x14ac:dyDescent="0.35">
      <c r="F7586" s="1"/>
      <c r="H7586" t="s">
        <v>26</v>
      </c>
    </row>
    <row r="7587" spans="6:8" x14ac:dyDescent="0.35">
      <c r="F7587" s="1"/>
      <c r="H7587" t="s">
        <v>26</v>
      </c>
    </row>
    <row r="7588" spans="6:8" x14ac:dyDescent="0.35">
      <c r="F7588" s="1"/>
      <c r="H7588" t="s">
        <v>26</v>
      </c>
    </row>
    <row r="7589" spans="6:8" x14ac:dyDescent="0.35">
      <c r="F7589" s="1"/>
      <c r="H7589" t="s">
        <v>26</v>
      </c>
    </row>
    <row r="7590" spans="6:8" x14ac:dyDescent="0.35">
      <c r="F7590" s="1"/>
      <c r="H7590" t="s">
        <v>26</v>
      </c>
    </row>
    <row r="7591" spans="6:8" x14ac:dyDescent="0.35">
      <c r="F7591" s="1"/>
      <c r="H7591" t="s">
        <v>26</v>
      </c>
    </row>
    <row r="7592" spans="6:8" x14ac:dyDescent="0.35">
      <c r="F7592" s="1"/>
      <c r="H7592" t="s">
        <v>26</v>
      </c>
    </row>
    <row r="7593" spans="6:8" x14ac:dyDescent="0.35">
      <c r="F7593" s="1"/>
      <c r="H7593" t="s">
        <v>26</v>
      </c>
    </row>
    <row r="7594" spans="6:8" x14ac:dyDescent="0.35">
      <c r="F7594" s="1"/>
      <c r="H7594" t="s">
        <v>26</v>
      </c>
    </row>
    <row r="7595" spans="6:8" x14ac:dyDescent="0.35">
      <c r="F7595" s="1"/>
      <c r="H7595" t="s">
        <v>26</v>
      </c>
    </row>
    <row r="7596" spans="6:8" x14ac:dyDescent="0.35">
      <c r="F7596" s="1"/>
      <c r="H7596" t="s">
        <v>26</v>
      </c>
    </row>
    <row r="7597" spans="6:8" x14ac:dyDescent="0.35">
      <c r="F7597" s="1"/>
      <c r="H7597" t="s">
        <v>26</v>
      </c>
    </row>
    <row r="7598" spans="6:8" x14ac:dyDescent="0.35">
      <c r="F7598" s="1"/>
      <c r="H7598" t="s">
        <v>26</v>
      </c>
    </row>
    <row r="7599" spans="6:8" x14ac:dyDescent="0.35">
      <c r="F7599" s="1"/>
      <c r="H7599" t="s">
        <v>26</v>
      </c>
    </row>
    <row r="7600" spans="6:8" x14ac:dyDescent="0.35">
      <c r="F7600" s="1"/>
      <c r="H7600" t="s">
        <v>26</v>
      </c>
    </row>
    <row r="7601" spans="6:8" x14ac:dyDescent="0.35">
      <c r="F7601" s="1"/>
      <c r="H7601" t="s">
        <v>26</v>
      </c>
    </row>
    <row r="7602" spans="6:8" x14ac:dyDescent="0.35">
      <c r="F7602" s="1"/>
      <c r="H7602" t="s">
        <v>26</v>
      </c>
    </row>
    <row r="7603" spans="6:8" x14ac:dyDescent="0.35">
      <c r="F7603" s="1"/>
      <c r="H7603" t="s">
        <v>26</v>
      </c>
    </row>
    <row r="7604" spans="6:8" x14ac:dyDescent="0.35">
      <c r="F7604" s="1"/>
      <c r="H7604" t="s">
        <v>26</v>
      </c>
    </row>
    <row r="7605" spans="6:8" x14ac:dyDescent="0.35">
      <c r="F7605" s="1"/>
      <c r="H7605" t="s">
        <v>26</v>
      </c>
    </row>
    <row r="7606" spans="6:8" x14ac:dyDescent="0.35">
      <c r="F7606" s="1"/>
      <c r="H7606" t="s">
        <v>26</v>
      </c>
    </row>
    <row r="7607" spans="6:8" x14ac:dyDescent="0.35">
      <c r="F7607" s="1"/>
      <c r="H7607" t="s">
        <v>26</v>
      </c>
    </row>
    <row r="7608" spans="6:8" x14ac:dyDescent="0.35">
      <c r="F7608" s="1"/>
      <c r="H7608" t="s">
        <v>26</v>
      </c>
    </row>
    <row r="7609" spans="6:8" x14ac:dyDescent="0.35">
      <c r="F7609" s="1"/>
      <c r="H7609" t="s">
        <v>26</v>
      </c>
    </row>
    <row r="7610" spans="6:8" x14ac:dyDescent="0.35">
      <c r="F7610" s="1"/>
      <c r="H7610" t="s">
        <v>26</v>
      </c>
    </row>
    <row r="7611" spans="6:8" x14ac:dyDescent="0.35">
      <c r="F7611" s="1"/>
      <c r="H7611" t="s">
        <v>26</v>
      </c>
    </row>
    <row r="7612" spans="6:8" x14ac:dyDescent="0.35">
      <c r="F7612" s="1"/>
      <c r="H7612" t="s">
        <v>26</v>
      </c>
    </row>
    <row r="7613" spans="6:8" x14ac:dyDescent="0.35">
      <c r="F7613" s="1"/>
      <c r="H7613" t="s">
        <v>26</v>
      </c>
    </row>
    <row r="7614" spans="6:8" x14ac:dyDescent="0.35">
      <c r="F7614" s="1"/>
      <c r="H7614" t="s">
        <v>26</v>
      </c>
    </row>
    <row r="7615" spans="6:8" x14ac:dyDescent="0.35">
      <c r="F7615" s="1"/>
      <c r="H7615" t="s">
        <v>26</v>
      </c>
    </row>
    <row r="7616" spans="6:8" x14ac:dyDescent="0.35">
      <c r="F7616" s="1"/>
      <c r="H7616" t="s">
        <v>26</v>
      </c>
    </row>
    <row r="7617" spans="6:8" x14ac:dyDescent="0.35">
      <c r="F7617" s="1"/>
      <c r="H7617" t="s">
        <v>26</v>
      </c>
    </row>
    <row r="7618" spans="6:8" x14ac:dyDescent="0.35">
      <c r="F7618" s="1"/>
      <c r="H7618" t="s">
        <v>26</v>
      </c>
    </row>
    <row r="7619" spans="6:8" x14ac:dyDescent="0.35">
      <c r="F7619" s="1"/>
      <c r="H7619" t="s">
        <v>26</v>
      </c>
    </row>
    <row r="7620" spans="6:8" x14ac:dyDescent="0.35">
      <c r="F7620" s="1"/>
      <c r="H7620" t="s">
        <v>26</v>
      </c>
    </row>
    <row r="7621" spans="6:8" x14ac:dyDescent="0.35">
      <c r="F7621" s="1"/>
      <c r="H7621" t="s">
        <v>26</v>
      </c>
    </row>
    <row r="7622" spans="6:8" x14ac:dyDescent="0.35">
      <c r="F7622" s="1"/>
      <c r="H7622" t="s">
        <v>26</v>
      </c>
    </row>
    <row r="7623" spans="6:8" x14ac:dyDescent="0.35">
      <c r="F7623" s="1"/>
      <c r="H7623" t="s">
        <v>26</v>
      </c>
    </row>
    <row r="7624" spans="6:8" x14ac:dyDescent="0.35">
      <c r="F7624" s="1"/>
      <c r="H7624" t="s">
        <v>26</v>
      </c>
    </row>
    <row r="7625" spans="6:8" x14ac:dyDescent="0.35">
      <c r="F7625" s="1"/>
      <c r="H7625" t="s">
        <v>26</v>
      </c>
    </row>
    <row r="7626" spans="6:8" x14ac:dyDescent="0.35">
      <c r="F7626" s="1"/>
      <c r="H7626" t="s">
        <v>26</v>
      </c>
    </row>
    <row r="7627" spans="6:8" x14ac:dyDescent="0.35">
      <c r="F7627" s="1"/>
      <c r="H7627" t="s">
        <v>26</v>
      </c>
    </row>
    <row r="7628" spans="6:8" x14ac:dyDescent="0.35">
      <c r="F7628" s="1"/>
      <c r="H7628" t="s">
        <v>26</v>
      </c>
    </row>
    <row r="7629" spans="6:8" x14ac:dyDescent="0.35">
      <c r="F7629" s="1"/>
      <c r="H7629" t="s">
        <v>26</v>
      </c>
    </row>
    <row r="7630" spans="6:8" x14ac:dyDescent="0.35">
      <c r="F7630" s="1"/>
      <c r="H7630" t="s">
        <v>26</v>
      </c>
    </row>
    <row r="7631" spans="6:8" x14ac:dyDescent="0.35">
      <c r="F7631" s="1"/>
      <c r="H7631" t="s">
        <v>26</v>
      </c>
    </row>
    <row r="7632" spans="6:8" x14ac:dyDescent="0.35">
      <c r="F7632" s="1"/>
      <c r="H7632" t="s">
        <v>26</v>
      </c>
    </row>
    <row r="7633" spans="6:8" x14ac:dyDescent="0.35">
      <c r="F7633" s="1"/>
      <c r="H7633" t="s">
        <v>26</v>
      </c>
    </row>
    <row r="7634" spans="6:8" x14ac:dyDescent="0.35">
      <c r="F7634" s="1"/>
      <c r="H7634" t="s">
        <v>26</v>
      </c>
    </row>
    <row r="7635" spans="6:8" x14ac:dyDescent="0.35">
      <c r="F7635" s="1"/>
      <c r="H7635" t="s">
        <v>26</v>
      </c>
    </row>
    <row r="7636" spans="6:8" x14ac:dyDescent="0.35">
      <c r="F7636" s="1"/>
      <c r="H7636" t="s">
        <v>26</v>
      </c>
    </row>
    <row r="7637" spans="6:8" x14ac:dyDescent="0.35">
      <c r="F7637" s="1"/>
      <c r="H7637" t="s">
        <v>26</v>
      </c>
    </row>
    <row r="7638" spans="6:8" x14ac:dyDescent="0.35">
      <c r="F7638" s="1"/>
      <c r="H7638" t="s">
        <v>26</v>
      </c>
    </row>
    <row r="7639" spans="6:8" x14ac:dyDescent="0.35">
      <c r="F7639" s="1"/>
      <c r="H7639" t="s">
        <v>26</v>
      </c>
    </row>
    <row r="7640" spans="6:8" x14ac:dyDescent="0.35">
      <c r="F7640" s="1"/>
      <c r="H7640" t="s">
        <v>26</v>
      </c>
    </row>
    <row r="7641" spans="6:8" x14ac:dyDescent="0.35">
      <c r="F7641" s="1"/>
      <c r="H7641" t="s">
        <v>26</v>
      </c>
    </row>
    <row r="7642" spans="6:8" x14ac:dyDescent="0.35">
      <c r="F7642" s="1"/>
      <c r="H7642" t="s">
        <v>26</v>
      </c>
    </row>
    <row r="7643" spans="6:8" x14ac:dyDescent="0.35">
      <c r="F7643" s="1"/>
      <c r="H7643" t="s">
        <v>26</v>
      </c>
    </row>
    <row r="7644" spans="6:8" x14ac:dyDescent="0.35">
      <c r="F7644" s="1"/>
      <c r="H7644" t="s">
        <v>26</v>
      </c>
    </row>
    <row r="7645" spans="6:8" x14ac:dyDescent="0.35">
      <c r="F7645" s="1"/>
      <c r="H7645" t="s">
        <v>26</v>
      </c>
    </row>
    <row r="7646" spans="6:8" x14ac:dyDescent="0.35">
      <c r="F7646" s="1"/>
      <c r="H7646" t="s">
        <v>26</v>
      </c>
    </row>
    <row r="7647" spans="6:8" x14ac:dyDescent="0.35">
      <c r="F7647" s="1"/>
      <c r="H7647" t="s">
        <v>26</v>
      </c>
    </row>
    <row r="7648" spans="6:8" x14ac:dyDescent="0.35">
      <c r="F7648" s="1"/>
      <c r="H7648" t="s">
        <v>26</v>
      </c>
    </row>
    <row r="7649" spans="6:8" x14ac:dyDescent="0.35">
      <c r="F7649" s="1"/>
      <c r="H7649" t="s">
        <v>26</v>
      </c>
    </row>
    <row r="7650" spans="6:8" x14ac:dyDescent="0.35">
      <c r="F7650" s="1"/>
      <c r="H7650" t="s">
        <v>26</v>
      </c>
    </row>
    <row r="7651" spans="6:8" x14ac:dyDescent="0.35">
      <c r="F7651" s="1"/>
      <c r="H7651" t="s">
        <v>26</v>
      </c>
    </row>
    <row r="7652" spans="6:8" x14ac:dyDescent="0.35">
      <c r="F7652" s="1"/>
      <c r="H7652" t="s">
        <v>26</v>
      </c>
    </row>
    <row r="7653" spans="6:8" x14ac:dyDescent="0.35">
      <c r="F7653" s="1"/>
      <c r="H7653" t="s">
        <v>26</v>
      </c>
    </row>
    <row r="7654" spans="6:8" x14ac:dyDescent="0.35">
      <c r="F7654" s="1"/>
      <c r="H7654" t="s">
        <v>26</v>
      </c>
    </row>
    <row r="7655" spans="6:8" x14ac:dyDescent="0.35">
      <c r="F7655" s="1"/>
      <c r="H7655" t="s">
        <v>26</v>
      </c>
    </row>
    <row r="7656" spans="6:8" x14ac:dyDescent="0.35">
      <c r="F7656" s="1"/>
      <c r="H7656" t="s">
        <v>26</v>
      </c>
    </row>
    <row r="7657" spans="6:8" x14ac:dyDescent="0.35">
      <c r="F7657" s="1"/>
      <c r="H7657" t="s">
        <v>26</v>
      </c>
    </row>
    <row r="7658" spans="6:8" x14ac:dyDescent="0.35">
      <c r="F7658" s="1"/>
      <c r="H7658" t="s">
        <v>26</v>
      </c>
    </row>
    <row r="7659" spans="6:8" x14ac:dyDescent="0.35">
      <c r="F7659" s="1"/>
      <c r="H7659" t="s">
        <v>26</v>
      </c>
    </row>
    <row r="7660" spans="6:8" x14ac:dyDescent="0.35">
      <c r="F7660" s="1"/>
      <c r="H7660" t="s">
        <v>26</v>
      </c>
    </row>
    <row r="7661" spans="6:8" x14ac:dyDescent="0.35">
      <c r="F7661" s="1"/>
      <c r="H7661" t="s">
        <v>26</v>
      </c>
    </row>
    <row r="7662" spans="6:8" x14ac:dyDescent="0.35">
      <c r="F7662" s="1"/>
      <c r="H7662" t="s">
        <v>26</v>
      </c>
    </row>
    <row r="7663" spans="6:8" x14ac:dyDescent="0.35">
      <c r="F7663" s="1"/>
      <c r="H7663" t="s">
        <v>26</v>
      </c>
    </row>
    <row r="7664" spans="6:8" x14ac:dyDescent="0.35">
      <c r="F7664" s="1"/>
      <c r="H7664" t="s">
        <v>26</v>
      </c>
    </row>
    <row r="7665" spans="6:8" x14ac:dyDescent="0.35">
      <c r="F7665" s="1"/>
      <c r="H7665" t="s">
        <v>26</v>
      </c>
    </row>
    <row r="7666" spans="6:8" x14ac:dyDescent="0.35">
      <c r="F7666" s="1"/>
      <c r="H7666" t="s">
        <v>26</v>
      </c>
    </row>
    <row r="7667" spans="6:8" x14ac:dyDescent="0.35">
      <c r="F7667" s="1"/>
      <c r="H7667" t="s">
        <v>26</v>
      </c>
    </row>
    <row r="7668" spans="6:8" x14ac:dyDescent="0.35">
      <c r="F7668" s="1"/>
      <c r="H7668" t="s">
        <v>26</v>
      </c>
    </row>
    <row r="7669" spans="6:8" x14ac:dyDescent="0.35">
      <c r="F7669" s="1"/>
      <c r="H7669" t="s">
        <v>26</v>
      </c>
    </row>
    <row r="7670" spans="6:8" x14ac:dyDescent="0.35">
      <c r="F7670" s="1"/>
      <c r="H7670" t="s">
        <v>26</v>
      </c>
    </row>
    <row r="7671" spans="6:8" x14ac:dyDescent="0.35">
      <c r="F7671" s="1"/>
      <c r="H7671" t="s">
        <v>26</v>
      </c>
    </row>
    <row r="7672" spans="6:8" x14ac:dyDescent="0.35">
      <c r="F7672" s="1"/>
      <c r="H7672" t="s">
        <v>26</v>
      </c>
    </row>
    <row r="7673" spans="6:8" x14ac:dyDescent="0.35">
      <c r="F7673" s="1"/>
      <c r="H7673" t="s">
        <v>26</v>
      </c>
    </row>
    <row r="7674" spans="6:8" x14ac:dyDescent="0.35">
      <c r="F7674" s="1"/>
      <c r="H7674" t="s">
        <v>26</v>
      </c>
    </row>
    <row r="7675" spans="6:8" x14ac:dyDescent="0.35">
      <c r="F7675" s="1"/>
      <c r="H7675" t="s">
        <v>26</v>
      </c>
    </row>
    <row r="7676" spans="6:8" x14ac:dyDescent="0.35">
      <c r="F7676" s="1"/>
      <c r="H7676" t="s">
        <v>26</v>
      </c>
    </row>
    <row r="7677" spans="6:8" x14ac:dyDescent="0.35">
      <c r="F7677" s="1"/>
      <c r="H7677" t="s">
        <v>26</v>
      </c>
    </row>
    <row r="7678" spans="6:8" x14ac:dyDescent="0.35">
      <c r="F7678" s="1"/>
      <c r="H7678" t="s">
        <v>26</v>
      </c>
    </row>
    <row r="7679" spans="6:8" x14ac:dyDescent="0.35">
      <c r="F7679" s="1"/>
      <c r="H7679" t="s">
        <v>26</v>
      </c>
    </row>
    <row r="7680" spans="6:8" x14ac:dyDescent="0.35">
      <c r="F7680" s="1"/>
      <c r="H7680" t="s">
        <v>26</v>
      </c>
    </row>
    <row r="7681" spans="6:8" x14ac:dyDescent="0.35">
      <c r="F7681" s="1"/>
      <c r="H7681" t="s">
        <v>26</v>
      </c>
    </row>
    <row r="7682" spans="6:8" x14ac:dyDescent="0.35">
      <c r="F7682" s="1"/>
      <c r="H7682" t="s">
        <v>26</v>
      </c>
    </row>
    <row r="7683" spans="6:8" x14ac:dyDescent="0.35">
      <c r="F7683" s="1"/>
      <c r="H7683" t="s">
        <v>26</v>
      </c>
    </row>
    <row r="7684" spans="6:8" x14ac:dyDescent="0.35">
      <c r="F7684" s="1"/>
      <c r="H7684" t="s">
        <v>26</v>
      </c>
    </row>
    <row r="7685" spans="6:8" x14ac:dyDescent="0.35">
      <c r="F7685" s="1"/>
      <c r="H7685" t="s">
        <v>26</v>
      </c>
    </row>
    <row r="7686" spans="6:8" x14ac:dyDescent="0.35">
      <c r="F7686" s="1"/>
      <c r="H7686" t="s">
        <v>26</v>
      </c>
    </row>
    <row r="7687" spans="6:8" x14ac:dyDescent="0.35">
      <c r="F7687" s="1"/>
      <c r="H7687" t="s">
        <v>26</v>
      </c>
    </row>
    <row r="7688" spans="6:8" x14ac:dyDescent="0.35">
      <c r="F7688" s="1"/>
      <c r="H7688" t="s">
        <v>26</v>
      </c>
    </row>
    <row r="7689" spans="6:8" x14ac:dyDescent="0.35">
      <c r="F7689" s="1"/>
      <c r="H7689" t="s">
        <v>26</v>
      </c>
    </row>
    <row r="7690" spans="6:8" x14ac:dyDescent="0.35">
      <c r="F7690" s="1"/>
      <c r="H7690" t="s">
        <v>26</v>
      </c>
    </row>
    <row r="7691" spans="6:8" x14ac:dyDescent="0.35">
      <c r="F7691" s="1"/>
      <c r="H7691" t="s">
        <v>26</v>
      </c>
    </row>
    <row r="7692" spans="6:8" x14ac:dyDescent="0.35">
      <c r="F7692" s="1"/>
      <c r="H7692" t="s">
        <v>26</v>
      </c>
    </row>
    <row r="7693" spans="6:8" x14ac:dyDescent="0.35">
      <c r="F7693" s="1"/>
      <c r="H7693" t="s">
        <v>26</v>
      </c>
    </row>
    <row r="7694" spans="6:8" x14ac:dyDescent="0.35">
      <c r="F7694" s="1"/>
      <c r="H7694" t="s">
        <v>26</v>
      </c>
    </row>
    <row r="7695" spans="6:8" x14ac:dyDescent="0.35">
      <c r="F7695" s="1"/>
      <c r="H7695" t="s">
        <v>26</v>
      </c>
    </row>
    <row r="7696" spans="6:8" x14ac:dyDescent="0.35">
      <c r="F7696" s="1"/>
      <c r="H7696" t="s">
        <v>26</v>
      </c>
    </row>
    <row r="7697" spans="6:8" x14ac:dyDescent="0.35">
      <c r="F7697" s="1"/>
      <c r="H7697" t="s">
        <v>26</v>
      </c>
    </row>
    <row r="7698" spans="6:8" x14ac:dyDescent="0.35">
      <c r="F7698" s="1"/>
      <c r="H7698" t="s">
        <v>26</v>
      </c>
    </row>
    <row r="7699" spans="6:8" x14ac:dyDescent="0.35">
      <c r="F7699" s="1"/>
      <c r="H7699" t="s">
        <v>26</v>
      </c>
    </row>
    <row r="7700" spans="6:8" x14ac:dyDescent="0.35">
      <c r="F7700" s="1"/>
      <c r="H7700" t="s">
        <v>26</v>
      </c>
    </row>
    <row r="7701" spans="6:8" x14ac:dyDescent="0.35">
      <c r="F7701" s="1"/>
      <c r="H7701" t="s">
        <v>26</v>
      </c>
    </row>
    <row r="7702" spans="6:8" x14ac:dyDescent="0.35">
      <c r="F7702" s="1"/>
      <c r="H7702" t="s">
        <v>26</v>
      </c>
    </row>
    <row r="7703" spans="6:8" x14ac:dyDescent="0.35">
      <c r="F7703" s="1"/>
      <c r="H7703" t="s">
        <v>26</v>
      </c>
    </row>
    <row r="7704" spans="6:8" x14ac:dyDescent="0.35">
      <c r="F7704" s="1"/>
      <c r="H7704" t="s">
        <v>26</v>
      </c>
    </row>
    <row r="7705" spans="6:8" x14ac:dyDescent="0.35">
      <c r="F7705" s="1"/>
      <c r="H7705" t="s">
        <v>26</v>
      </c>
    </row>
    <row r="7706" spans="6:8" x14ac:dyDescent="0.35">
      <c r="F7706" s="1"/>
      <c r="H7706" t="s">
        <v>26</v>
      </c>
    </row>
    <row r="7707" spans="6:8" x14ac:dyDescent="0.35">
      <c r="F7707" s="1"/>
      <c r="H7707" t="s">
        <v>26</v>
      </c>
    </row>
    <row r="7708" spans="6:8" x14ac:dyDescent="0.35">
      <c r="F7708" s="1"/>
      <c r="H7708" t="s">
        <v>26</v>
      </c>
    </row>
    <row r="7709" spans="6:8" x14ac:dyDescent="0.35">
      <c r="F7709" s="1"/>
      <c r="H7709" t="s">
        <v>26</v>
      </c>
    </row>
    <row r="7710" spans="6:8" x14ac:dyDescent="0.35">
      <c r="F7710" s="1"/>
      <c r="H7710" t="s">
        <v>26</v>
      </c>
    </row>
    <row r="7711" spans="6:8" x14ac:dyDescent="0.35">
      <c r="F7711" s="1"/>
      <c r="H7711" t="s">
        <v>26</v>
      </c>
    </row>
    <row r="7712" spans="6:8" x14ac:dyDescent="0.35">
      <c r="F7712" s="1"/>
      <c r="H7712" t="s">
        <v>26</v>
      </c>
    </row>
    <row r="7713" spans="6:8" x14ac:dyDescent="0.35">
      <c r="F7713" s="1"/>
      <c r="H7713" t="s">
        <v>26</v>
      </c>
    </row>
    <row r="7714" spans="6:8" x14ac:dyDescent="0.35">
      <c r="F7714" s="1"/>
      <c r="H7714" t="s">
        <v>26</v>
      </c>
    </row>
    <row r="7715" spans="6:8" x14ac:dyDescent="0.35">
      <c r="F7715" s="1"/>
      <c r="H7715" t="s">
        <v>26</v>
      </c>
    </row>
    <row r="7716" spans="6:8" x14ac:dyDescent="0.35">
      <c r="F7716" s="1"/>
      <c r="H7716" t="s">
        <v>26</v>
      </c>
    </row>
    <row r="7717" spans="6:8" x14ac:dyDescent="0.35">
      <c r="F7717" s="1"/>
      <c r="H7717" t="s">
        <v>26</v>
      </c>
    </row>
    <row r="7718" spans="6:8" x14ac:dyDescent="0.35">
      <c r="F7718" s="1"/>
      <c r="H7718" t="s">
        <v>26</v>
      </c>
    </row>
    <row r="7719" spans="6:8" x14ac:dyDescent="0.35">
      <c r="F7719" s="1"/>
      <c r="H7719" t="s">
        <v>26</v>
      </c>
    </row>
    <row r="7720" spans="6:8" x14ac:dyDescent="0.35">
      <c r="F7720" s="1"/>
      <c r="H7720" t="s">
        <v>26</v>
      </c>
    </row>
    <row r="7721" spans="6:8" x14ac:dyDescent="0.35">
      <c r="F7721" s="1"/>
      <c r="H7721" t="s">
        <v>26</v>
      </c>
    </row>
    <row r="7722" spans="6:8" x14ac:dyDescent="0.35">
      <c r="F7722" s="1"/>
      <c r="H7722" t="s">
        <v>26</v>
      </c>
    </row>
    <row r="7723" spans="6:8" x14ac:dyDescent="0.35">
      <c r="F7723" s="1"/>
      <c r="H7723" t="s">
        <v>26</v>
      </c>
    </row>
    <row r="7724" spans="6:8" x14ac:dyDescent="0.35">
      <c r="F7724" s="1"/>
      <c r="H7724" t="s">
        <v>26</v>
      </c>
    </row>
    <row r="7725" spans="6:8" x14ac:dyDescent="0.35">
      <c r="F7725" s="1"/>
      <c r="H7725" t="s">
        <v>26</v>
      </c>
    </row>
    <row r="7726" spans="6:8" x14ac:dyDescent="0.35">
      <c r="F7726" s="1"/>
      <c r="H7726" t="s">
        <v>26</v>
      </c>
    </row>
    <row r="7727" spans="6:8" x14ac:dyDescent="0.35">
      <c r="F7727" s="1"/>
      <c r="H7727" t="s">
        <v>26</v>
      </c>
    </row>
    <row r="7728" spans="6:8" x14ac:dyDescent="0.35">
      <c r="F7728" s="1"/>
      <c r="H7728" t="s">
        <v>26</v>
      </c>
    </row>
    <row r="7729" spans="6:8" x14ac:dyDescent="0.35">
      <c r="F7729" s="1"/>
      <c r="H7729" t="s">
        <v>26</v>
      </c>
    </row>
    <row r="7730" spans="6:8" x14ac:dyDescent="0.35">
      <c r="F7730" s="1"/>
      <c r="H7730" t="s">
        <v>26</v>
      </c>
    </row>
    <row r="7731" spans="6:8" x14ac:dyDescent="0.35">
      <c r="F7731" s="1"/>
      <c r="H7731" t="s">
        <v>26</v>
      </c>
    </row>
    <row r="7732" spans="6:8" x14ac:dyDescent="0.35">
      <c r="F7732" s="1"/>
      <c r="H7732" t="s">
        <v>26</v>
      </c>
    </row>
    <row r="7733" spans="6:8" x14ac:dyDescent="0.35">
      <c r="F7733" s="1"/>
      <c r="H7733" t="s">
        <v>26</v>
      </c>
    </row>
    <row r="7734" spans="6:8" x14ac:dyDescent="0.35">
      <c r="F7734" s="1"/>
      <c r="H7734" t="s">
        <v>26</v>
      </c>
    </row>
    <row r="7735" spans="6:8" x14ac:dyDescent="0.35">
      <c r="F7735" s="1"/>
      <c r="H7735" t="s">
        <v>26</v>
      </c>
    </row>
    <row r="7736" spans="6:8" x14ac:dyDescent="0.35">
      <c r="F7736" s="1"/>
      <c r="H7736" t="s">
        <v>26</v>
      </c>
    </row>
    <row r="7737" spans="6:8" x14ac:dyDescent="0.35">
      <c r="F7737" s="1"/>
      <c r="H7737" t="s">
        <v>26</v>
      </c>
    </row>
    <row r="7738" spans="6:8" x14ac:dyDescent="0.35">
      <c r="F7738" s="1"/>
      <c r="H7738" t="s">
        <v>26</v>
      </c>
    </row>
    <row r="7739" spans="6:8" x14ac:dyDescent="0.35">
      <c r="F7739" s="1"/>
      <c r="H7739" t="s">
        <v>26</v>
      </c>
    </row>
    <row r="7740" spans="6:8" x14ac:dyDescent="0.35">
      <c r="F7740" s="1"/>
      <c r="H7740" t="s">
        <v>26</v>
      </c>
    </row>
    <row r="7741" spans="6:8" x14ac:dyDescent="0.35">
      <c r="F7741" s="1"/>
      <c r="H7741" t="s">
        <v>26</v>
      </c>
    </row>
    <row r="7742" spans="6:8" x14ac:dyDescent="0.35">
      <c r="F7742" s="1"/>
      <c r="H7742" t="s">
        <v>26</v>
      </c>
    </row>
    <row r="7743" spans="6:8" x14ac:dyDescent="0.35">
      <c r="F7743" s="1"/>
      <c r="H7743" t="s">
        <v>26</v>
      </c>
    </row>
    <row r="7744" spans="6:8" x14ac:dyDescent="0.35">
      <c r="F7744" s="1"/>
      <c r="H7744" t="s">
        <v>26</v>
      </c>
    </row>
    <row r="7745" spans="6:8" x14ac:dyDescent="0.35">
      <c r="F7745" s="1"/>
      <c r="H7745" t="s">
        <v>26</v>
      </c>
    </row>
    <row r="7746" spans="6:8" x14ac:dyDescent="0.35">
      <c r="F7746" s="1"/>
      <c r="H7746" t="s">
        <v>26</v>
      </c>
    </row>
    <row r="7747" spans="6:8" x14ac:dyDescent="0.35">
      <c r="F7747" s="1"/>
      <c r="H7747" t="s">
        <v>26</v>
      </c>
    </row>
    <row r="7748" spans="6:8" x14ac:dyDescent="0.35">
      <c r="F7748" s="1"/>
      <c r="H7748" t="s">
        <v>26</v>
      </c>
    </row>
    <row r="7749" spans="6:8" x14ac:dyDescent="0.35">
      <c r="F7749" s="1"/>
      <c r="H7749" t="s">
        <v>26</v>
      </c>
    </row>
    <row r="7750" spans="6:8" x14ac:dyDescent="0.35">
      <c r="F7750" s="1"/>
      <c r="H7750" t="s">
        <v>26</v>
      </c>
    </row>
    <row r="7751" spans="6:8" x14ac:dyDescent="0.35">
      <c r="F7751" s="1"/>
      <c r="H7751" t="s">
        <v>26</v>
      </c>
    </row>
    <row r="7752" spans="6:8" x14ac:dyDescent="0.35">
      <c r="F7752" s="1"/>
      <c r="H7752" t="s">
        <v>26</v>
      </c>
    </row>
    <row r="7753" spans="6:8" x14ac:dyDescent="0.35">
      <c r="F7753" s="1"/>
      <c r="H7753" t="s">
        <v>26</v>
      </c>
    </row>
    <row r="7754" spans="6:8" x14ac:dyDescent="0.35">
      <c r="F7754" s="1"/>
      <c r="H7754" t="s">
        <v>26</v>
      </c>
    </row>
    <row r="7755" spans="6:8" x14ac:dyDescent="0.35">
      <c r="F7755" s="1"/>
      <c r="H7755" t="s">
        <v>26</v>
      </c>
    </row>
    <row r="7756" spans="6:8" x14ac:dyDescent="0.35">
      <c r="F7756" s="1"/>
      <c r="H7756" t="s">
        <v>26</v>
      </c>
    </row>
    <row r="7757" spans="6:8" x14ac:dyDescent="0.35">
      <c r="F7757" s="1"/>
      <c r="H7757" t="s">
        <v>26</v>
      </c>
    </row>
    <row r="7758" spans="6:8" x14ac:dyDescent="0.35">
      <c r="F7758" s="1"/>
      <c r="H7758" t="s">
        <v>26</v>
      </c>
    </row>
    <row r="7759" spans="6:8" x14ac:dyDescent="0.35">
      <c r="F7759" s="1"/>
      <c r="H7759" t="s">
        <v>26</v>
      </c>
    </row>
    <row r="7760" spans="6:8" x14ac:dyDescent="0.35">
      <c r="F7760" s="1"/>
      <c r="H7760" t="s">
        <v>26</v>
      </c>
    </row>
    <row r="7761" spans="6:8" x14ac:dyDescent="0.35">
      <c r="F7761" s="1"/>
      <c r="H7761" t="s">
        <v>26</v>
      </c>
    </row>
    <row r="7762" spans="6:8" x14ac:dyDescent="0.35">
      <c r="F7762" s="1"/>
      <c r="H7762" t="s">
        <v>26</v>
      </c>
    </row>
    <row r="7763" spans="6:8" x14ac:dyDescent="0.35">
      <c r="F7763" s="1"/>
      <c r="H7763" t="s">
        <v>26</v>
      </c>
    </row>
    <row r="7764" spans="6:8" x14ac:dyDescent="0.35">
      <c r="F7764" s="1"/>
      <c r="H7764" t="s">
        <v>26</v>
      </c>
    </row>
    <row r="7765" spans="6:8" x14ac:dyDescent="0.35">
      <c r="F7765" s="1"/>
      <c r="H7765" t="s">
        <v>26</v>
      </c>
    </row>
    <row r="7766" spans="6:8" x14ac:dyDescent="0.35">
      <c r="F7766" s="1"/>
      <c r="H7766" t="s">
        <v>26</v>
      </c>
    </row>
    <row r="7767" spans="6:8" x14ac:dyDescent="0.35">
      <c r="F7767" s="1"/>
      <c r="H7767" t="s">
        <v>26</v>
      </c>
    </row>
    <row r="7768" spans="6:8" x14ac:dyDescent="0.35">
      <c r="F7768" s="1"/>
      <c r="H7768" t="s">
        <v>26</v>
      </c>
    </row>
    <row r="7769" spans="6:8" x14ac:dyDescent="0.35">
      <c r="F7769" s="1"/>
      <c r="H7769" t="s">
        <v>26</v>
      </c>
    </row>
    <row r="7770" spans="6:8" x14ac:dyDescent="0.35">
      <c r="F7770" s="1"/>
      <c r="H7770" t="s">
        <v>26</v>
      </c>
    </row>
    <row r="7771" spans="6:8" x14ac:dyDescent="0.35">
      <c r="F7771" s="1"/>
      <c r="H7771" t="s">
        <v>26</v>
      </c>
    </row>
    <row r="7772" spans="6:8" x14ac:dyDescent="0.35">
      <c r="F7772" s="1"/>
      <c r="H7772" t="s">
        <v>26</v>
      </c>
    </row>
    <row r="7773" spans="6:8" x14ac:dyDescent="0.35">
      <c r="F7773" s="1"/>
      <c r="H7773" t="s">
        <v>26</v>
      </c>
    </row>
    <row r="7774" spans="6:8" x14ac:dyDescent="0.35">
      <c r="F7774" s="1"/>
      <c r="H7774" t="s">
        <v>26</v>
      </c>
    </row>
    <row r="7775" spans="6:8" x14ac:dyDescent="0.35">
      <c r="F7775" s="1"/>
      <c r="H7775" t="s">
        <v>26</v>
      </c>
    </row>
    <row r="7776" spans="6:8" x14ac:dyDescent="0.35">
      <c r="F7776" s="1"/>
      <c r="H7776" t="s">
        <v>26</v>
      </c>
    </row>
    <row r="7777" spans="6:8" x14ac:dyDescent="0.35">
      <c r="F7777" s="1"/>
      <c r="H7777" t="s">
        <v>26</v>
      </c>
    </row>
    <row r="7778" spans="6:8" x14ac:dyDescent="0.35">
      <c r="F7778" s="1"/>
      <c r="H7778" t="s">
        <v>26</v>
      </c>
    </row>
    <row r="7779" spans="6:8" x14ac:dyDescent="0.35">
      <c r="F7779" s="1"/>
      <c r="H7779" t="s">
        <v>26</v>
      </c>
    </row>
    <row r="7780" spans="6:8" x14ac:dyDescent="0.35">
      <c r="F7780" s="1"/>
      <c r="H7780" t="s">
        <v>26</v>
      </c>
    </row>
    <row r="7781" spans="6:8" x14ac:dyDescent="0.35">
      <c r="F7781" s="1"/>
      <c r="H7781" t="s">
        <v>26</v>
      </c>
    </row>
    <row r="7782" spans="6:8" x14ac:dyDescent="0.35">
      <c r="F7782" s="1"/>
      <c r="H7782" t="s">
        <v>26</v>
      </c>
    </row>
    <row r="7783" spans="6:8" x14ac:dyDescent="0.35">
      <c r="F7783" s="1"/>
      <c r="H7783" t="s">
        <v>26</v>
      </c>
    </row>
    <row r="7784" spans="6:8" x14ac:dyDescent="0.35">
      <c r="F7784" s="1"/>
      <c r="H7784" t="s">
        <v>26</v>
      </c>
    </row>
    <row r="7785" spans="6:8" x14ac:dyDescent="0.35">
      <c r="F7785" s="1"/>
      <c r="H7785" t="s">
        <v>26</v>
      </c>
    </row>
    <row r="7786" spans="6:8" x14ac:dyDescent="0.35">
      <c r="F7786" s="1"/>
      <c r="H7786" t="s">
        <v>26</v>
      </c>
    </row>
    <row r="7787" spans="6:8" x14ac:dyDescent="0.35">
      <c r="F7787" s="1"/>
      <c r="H7787" t="s">
        <v>26</v>
      </c>
    </row>
    <row r="7788" spans="6:8" x14ac:dyDescent="0.35">
      <c r="F7788" s="1"/>
      <c r="H7788" t="s">
        <v>26</v>
      </c>
    </row>
    <row r="7789" spans="6:8" x14ac:dyDescent="0.35">
      <c r="F7789" s="1"/>
      <c r="H7789" t="s">
        <v>26</v>
      </c>
    </row>
    <row r="7790" spans="6:8" x14ac:dyDescent="0.35">
      <c r="F7790" s="1"/>
      <c r="H7790" t="s">
        <v>26</v>
      </c>
    </row>
    <row r="7791" spans="6:8" x14ac:dyDescent="0.35">
      <c r="F7791" s="1"/>
      <c r="H7791" t="s">
        <v>26</v>
      </c>
    </row>
    <row r="7792" spans="6:8" x14ac:dyDescent="0.35">
      <c r="F7792" s="1"/>
      <c r="H7792" t="s">
        <v>26</v>
      </c>
    </row>
    <row r="7793" spans="6:8" x14ac:dyDescent="0.35">
      <c r="F7793" s="1"/>
      <c r="H7793" t="s">
        <v>26</v>
      </c>
    </row>
    <row r="7794" spans="6:8" x14ac:dyDescent="0.35">
      <c r="F7794" s="1"/>
      <c r="H7794" t="s">
        <v>26</v>
      </c>
    </row>
    <row r="7795" spans="6:8" x14ac:dyDescent="0.35">
      <c r="F7795" s="1"/>
      <c r="H7795" t="s">
        <v>26</v>
      </c>
    </row>
    <row r="7796" spans="6:8" x14ac:dyDescent="0.35">
      <c r="F7796" s="1"/>
      <c r="H7796" t="s">
        <v>26</v>
      </c>
    </row>
    <row r="7797" spans="6:8" x14ac:dyDescent="0.35">
      <c r="F7797" s="1"/>
      <c r="H7797" t="s">
        <v>26</v>
      </c>
    </row>
    <row r="7798" spans="6:8" x14ac:dyDescent="0.35">
      <c r="F7798" s="1"/>
      <c r="H7798" t="s">
        <v>26</v>
      </c>
    </row>
    <row r="7799" spans="6:8" x14ac:dyDescent="0.35">
      <c r="F7799" s="1"/>
      <c r="H7799" t="s">
        <v>26</v>
      </c>
    </row>
    <row r="7800" spans="6:8" x14ac:dyDescent="0.35">
      <c r="F7800" s="1"/>
      <c r="H7800" t="s">
        <v>26</v>
      </c>
    </row>
    <row r="7801" spans="6:8" x14ac:dyDescent="0.35">
      <c r="F7801" s="1"/>
      <c r="H7801" t="s">
        <v>26</v>
      </c>
    </row>
    <row r="7802" spans="6:8" x14ac:dyDescent="0.35">
      <c r="F7802" s="1"/>
      <c r="H7802" t="s">
        <v>26</v>
      </c>
    </row>
    <row r="7803" spans="6:8" x14ac:dyDescent="0.35">
      <c r="F7803" s="1"/>
      <c r="H7803" t="s">
        <v>26</v>
      </c>
    </row>
    <row r="7804" spans="6:8" x14ac:dyDescent="0.35">
      <c r="F7804" s="1"/>
      <c r="H7804" t="s">
        <v>26</v>
      </c>
    </row>
    <row r="7805" spans="6:8" x14ac:dyDescent="0.35">
      <c r="F7805" s="1"/>
      <c r="H7805" t="s">
        <v>26</v>
      </c>
    </row>
    <row r="7806" spans="6:8" x14ac:dyDescent="0.35">
      <c r="F7806" s="1"/>
      <c r="H7806" t="s">
        <v>26</v>
      </c>
    </row>
    <row r="7807" spans="6:8" x14ac:dyDescent="0.35">
      <c r="F7807" s="1"/>
      <c r="H7807" t="s">
        <v>26</v>
      </c>
    </row>
    <row r="7808" spans="6:8" x14ac:dyDescent="0.35">
      <c r="F7808" s="1"/>
      <c r="H7808" t="s">
        <v>26</v>
      </c>
    </row>
    <row r="7809" spans="6:8" x14ac:dyDescent="0.35">
      <c r="F7809" s="1"/>
      <c r="H7809" t="s">
        <v>26</v>
      </c>
    </row>
    <row r="7810" spans="6:8" x14ac:dyDescent="0.35">
      <c r="F7810" s="1"/>
      <c r="H7810" t="s">
        <v>26</v>
      </c>
    </row>
    <row r="7811" spans="6:8" x14ac:dyDescent="0.35">
      <c r="F7811" s="1"/>
      <c r="H7811" t="s">
        <v>26</v>
      </c>
    </row>
    <row r="7812" spans="6:8" x14ac:dyDescent="0.35">
      <c r="F7812" s="1"/>
      <c r="H7812" t="s">
        <v>26</v>
      </c>
    </row>
    <row r="7813" spans="6:8" x14ac:dyDescent="0.35">
      <c r="F7813" s="1"/>
      <c r="H7813" t="s">
        <v>26</v>
      </c>
    </row>
    <row r="7814" spans="6:8" x14ac:dyDescent="0.35">
      <c r="F7814" s="1"/>
      <c r="H7814" t="s">
        <v>26</v>
      </c>
    </row>
    <row r="7815" spans="6:8" x14ac:dyDescent="0.35">
      <c r="F7815" s="1"/>
      <c r="H7815" t="s">
        <v>26</v>
      </c>
    </row>
    <row r="7816" spans="6:8" x14ac:dyDescent="0.35">
      <c r="F7816" s="1"/>
      <c r="H7816" t="s">
        <v>26</v>
      </c>
    </row>
    <row r="7817" spans="6:8" x14ac:dyDescent="0.35">
      <c r="F7817" s="1"/>
      <c r="H7817" t="s">
        <v>26</v>
      </c>
    </row>
    <row r="7818" spans="6:8" x14ac:dyDescent="0.35">
      <c r="F7818" s="1"/>
      <c r="H7818" t="s">
        <v>26</v>
      </c>
    </row>
    <row r="7819" spans="6:8" x14ac:dyDescent="0.35">
      <c r="F7819" s="1"/>
      <c r="H7819" t="s">
        <v>26</v>
      </c>
    </row>
    <row r="7820" spans="6:8" x14ac:dyDescent="0.35">
      <c r="F7820" s="1"/>
      <c r="H7820" t="s">
        <v>26</v>
      </c>
    </row>
    <row r="7821" spans="6:8" x14ac:dyDescent="0.35">
      <c r="F7821" s="1"/>
      <c r="H7821" t="s">
        <v>26</v>
      </c>
    </row>
    <row r="7822" spans="6:8" x14ac:dyDescent="0.35">
      <c r="F7822" s="1"/>
      <c r="H7822" t="s">
        <v>26</v>
      </c>
    </row>
    <row r="7823" spans="6:8" x14ac:dyDescent="0.35">
      <c r="F7823" s="1"/>
      <c r="H7823" t="s">
        <v>26</v>
      </c>
    </row>
    <row r="7824" spans="6:8" x14ac:dyDescent="0.35">
      <c r="F7824" s="1"/>
      <c r="H7824" t="s">
        <v>26</v>
      </c>
    </row>
    <row r="7825" spans="6:8" x14ac:dyDescent="0.35">
      <c r="F7825" s="1"/>
      <c r="H7825" t="s">
        <v>26</v>
      </c>
    </row>
    <row r="7826" spans="6:8" x14ac:dyDescent="0.35">
      <c r="F7826" s="1"/>
      <c r="H7826" t="s">
        <v>26</v>
      </c>
    </row>
    <row r="7827" spans="6:8" x14ac:dyDescent="0.35">
      <c r="F7827" s="1"/>
      <c r="H7827" t="s">
        <v>26</v>
      </c>
    </row>
    <row r="7828" spans="6:8" x14ac:dyDescent="0.35">
      <c r="F7828" s="1"/>
      <c r="H7828" t="s">
        <v>26</v>
      </c>
    </row>
    <row r="7829" spans="6:8" x14ac:dyDescent="0.35">
      <c r="F7829" s="1"/>
      <c r="H7829" t="s">
        <v>26</v>
      </c>
    </row>
    <row r="7830" spans="6:8" x14ac:dyDescent="0.35">
      <c r="F7830" s="1"/>
      <c r="H7830" t="s">
        <v>26</v>
      </c>
    </row>
    <row r="7831" spans="6:8" x14ac:dyDescent="0.35">
      <c r="F7831" s="1"/>
      <c r="H7831" t="s">
        <v>26</v>
      </c>
    </row>
    <row r="7832" spans="6:8" x14ac:dyDescent="0.35">
      <c r="F7832" s="1"/>
      <c r="H7832" t="s">
        <v>26</v>
      </c>
    </row>
    <row r="7833" spans="6:8" x14ac:dyDescent="0.35">
      <c r="F7833" s="1"/>
      <c r="H7833" t="s">
        <v>26</v>
      </c>
    </row>
    <row r="7834" spans="6:8" x14ac:dyDescent="0.35">
      <c r="F7834" s="1"/>
      <c r="H7834" t="s">
        <v>26</v>
      </c>
    </row>
    <row r="7835" spans="6:8" x14ac:dyDescent="0.35">
      <c r="F7835" s="1"/>
      <c r="H7835" t="s">
        <v>26</v>
      </c>
    </row>
    <row r="7836" spans="6:8" x14ac:dyDescent="0.35">
      <c r="F7836" s="1"/>
      <c r="H7836" t="s">
        <v>26</v>
      </c>
    </row>
    <row r="7837" spans="6:8" x14ac:dyDescent="0.35">
      <c r="F7837" s="1"/>
      <c r="H7837" t="s">
        <v>26</v>
      </c>
    </row>
    <row r="7838" spans="6:8" x14ac:dyDescent="0.35">
      <c r="F7838" s="1"/>
      <c r="H7838" t="s">
        <v>26</v>
      </c>
    </row>
    <row r="7839" spans="6:8" x14ac:dyDescent="0.35">
      <c r="F7839" s="1"/>
      <c r="H7839" t="s">
        <v>26</v>
      </c>
    </row>
    <row r="7840" spans="6:8" x14ac:dyDescent="0.35">
      <c r="F7840" s="1"/>
      <c r="H7840" t="s">
        <v>26</v>
      </c>
    </row>
    <row r="7841" spans="6:8" x14ac:dyDescent="0.35">
      <c r="F7841" s="1"/>
      <c r="H7841" t="s">
        <v>26</v>
      </c>
    </row>
    <row r="7842" spans="6:8" x14ac:dyDescent="0.35">
      <c r="F7842" s="1"/>
      <c r="H7842" t="s">
        <v>26</v>
      </c>
    </row>
    <row r="7843" spans="6:8" x14ac:dyDescent="0.35">
      <c r="F7843" s="1"/>
      <c r="H7843" t="s">
        <v>26</v>
      </c>
    </row>
    <row r="7844" spans="6:8" x14ac:dyDescent="0.35">
      <c r="F7844" s="1"/>
      <c r="H7844" t="s">
        <v>26</v>
      </c>
    </row>
    <row r="7845" spans="6:8" x14ac:dyDescent="0.35">
      <c r="F7845" s="1"/>
      <c r="H7845" t="s">
        <v>26</v>
      </c>
    </row>
    <row r="7846" spans="6:8" x14ac:dyDescent="0.35">
      <c r="F7846" s="1"/>
      <c r="H7846" t="s">
        <v>26</v>
      </c>
    </row>
    <row r="7847" spans="6:8" x14ac:dyDescent="0.35">
      <c r="F7847" s="1"/>
      <c r="H7847" t="s">
        <v>26</v>
      </c>
    </row>
    <row r="7848" spans="6:8" x14ac:dyDescent="0.35">
      <c r="F7848" s="1"/>
      <c r="H7848" t="s">
        <v>26</v>
      </c>
    </row>
    <row r="7849" spans="6:8" x14ac:dyDescent="0.35">
      <c r="F7849" s="1"/>
      <c r="H7849" t="s">
        <v>26</v>
      </c>
    </row>
    <row r="7850" spans="6:8" x14ac:dyDescent="0.35">
      <c r="F7850" s="1"/>
      <c r="H7850" t="s">
        <v>26</v>
      </c>
    </row>
    <row r="7851" spans="6:8" x14ac:dyDescent="0.35">
      <c r="F7851" s="1"/>
      <c r="H7851" t="s">
        <v>26</v>
      </c>
    </row>
    <row r="7852" spans="6:8" x14ac:dyDescent="0.35">
      <c r="F7852" s="1"/>
      <c r="H7852" t="s">
        <v>26</v>
      </c>
    </row>
    <row r="7853" spans="6:8" x14ac:dyDescent="0.35">
      <c r="F7853" s="1"/>
      <c r="H7853" t="s">
        <v>26</v>
      </c>
    </row>
    <row r="7854" spans="6:8" x14ac:dyDescent="0.35">
      <c r="F7854" s="1"/>
      <c r="H7854" t="s">
        <v>26</v>
      </c>
    </row>
    <row r="7855" spans="6:8" x14ac:dyDescent="0.35">
      <c r="F7855" s="1"/>
      <c r="H7855" t="s">
        <v>26</v>
      </c>
    </row>
    <row r="7856" spans="6:8" x14ac:dyDescent="0.35">
      <c r="F7856" s="1"/>
      <c r="H7856" t="s">
        <v>26</v>
      </c>
    </row>
    <row r="7857" spans="6:8" x14ac:dyDescent="0.35">
      <c r="F7857" s="1"/>
      <c r="H7857" t="s">
        <v>26</v>
      </c>
    </row>
    <row r="7858" spans="6:8" x14ac:dyDescent="0.35">
      <c r="F7858" s="1"/>
      <c r="H7858" t="s">
        <v>26</v>
      </c>
    </row>
    <row r="7859" spans="6:8" x14ac:dyDescent="0.35">
      <c r="F7859" s="1"/>
      <c r="H7859" t="s">
        <v>26</v>
      </c>
    </row>
    <row r="7860" spans="6:8" x14ac:dyDescent="0.35">
      <c r="F7860" s="1"/>
      <c r="H7860" t="s">
        <v>26</v>
      </c>
    </row>
    <row r="7861" spans="6:8" x14ac:dyDescent="0.35">
      <c r="F7861" s="1"/>
      <c r="H7861" t="s">
        <v>26</v>
      </c>
    </row>
    <row r="7862" spans="6:8" x14ac:dyDescent="0.35">
      <c r="F7862" s="1"/>
      <c r="H7862" t="s">
        <v>26</v>
      </c>
    </row>
    <row r="7863" spans="6:8" x14ac:dyDescent="0.35">
      <c r="F7863" s="1"/>
      <c r="H7863" t="s">
        <v>26</v>
      </c>
    </row>
    <row r="7864" spans="6:8" x14ac:dyDescent="0.35">
      <c r="F7864" s="1"/>
      <c r="H7864" t="s">
        <v>26</v>
      </c>
    </row>
    <row r="7865" spans="6:8" x14ac:dyDescent="0.35">
      <c r="F7865" s="1"/>
      <c r="H7865" t="s">
        <v>26</v>
      </c>
    </row>
    <row r="7866" spans="6:8" x14ac:dyDescent="0.35">
      <c r="F7866" s="1"/>
      <c r="H7866" t="s">
        <v>26</v>
      </c>
    </row>
    <row r="7867" spans="6:8" x14ac:dyDescent="0.35">
      <c r="F7867" s="1"/>
      <c r="H7867" t="s">
        <v>26</v>
      </c>
    </row>
    <row r="7868" spans="6:8" x14ac:dyDescent="0.35">
      <c r="F7868" s="1"/>
      <c r="H7868" t="s">
        <v>26</v>
      </c>
    </row>
    <row r="7869" spans="6:8" x14ac:dyDescent="0.35">
      <c r="F7869" s="1"/>
      <c r="H7869" t="s">
        <v>26</v>
      </c>
    </row>
    <row r="7870" spans="6:8" x14ac:dyDescent="0.35">
      <c r="F7870" s="1"/>
      <c r="H7870" t="s">
        <v>26</v>
      </c>
    </row>
    <row r="7871" spans="6:8" x14ac:dyDescent="0.35">
      <c r="F7871" s="1"/>
      <c r="H7871" t="s">
        <v>26</v>
      </c>
    </row>
    <row r="7872" spans="6:8" x14ac:dyDescent="0.35">
      <c r="F7872" s="1"/>
      <c r="H7872" t="s">
        <v>26</v>
      </c>
    </row>
    <row r="7873" spans="6:8" x14ac:dyDescent="0.35">
      <c r="F7873" s="1"/>
      <c r="H7873" t="s">
        <v>26</v>
      </c>
    </row>
    <row r="7874" spans="6:8" x14ac:dyDescent="0.35">
      <c r="F7874" s="1"/>
      <c r="H7874" t="s">
        <v>26</v>
      </c>
    </row>
    <row r="7875" spans="6:8" x14ac:dyDescent="0.35">
      <c r="F7875" s="1"/>
      <c r="H7875" t="s">
        <v>26</v>
      </c>
    </row>
    <row r="7876" spans="6:8" x14ac:dyDescent="0.35">
      <c r="F7876" s="1"/>
      <c r="H7876" t="s">
        <v>26</v>
      </c>
    </row>
    <row r="7877" spans="6:8" x14ac:dyDescent="0.35">
      <c r="F7877" s="1"/>
      <c r="H7877" t="s">
        <v>26</v>
      </c>
    </row>
    <row r="7878" spans="6:8" x14ac:dyDescent="0.35">
      <c r="F7878" s="1"/>
      <c r="H7878" t="s">
        <v>26</v>
      </c>
    </row>
    <row r="7879" spans="6:8" x14ac:dyDescent="0.35">
      <c r="F7879" s="1"/>
      <c r="H7879" t="s">
        <v>26</v>
      </c>
    </row>
    <row r="7880" spans="6:8" x14ac:dyDescent="0.35">
      <c r="F7880" s="1"/>
      <c r="H7880" t="s">
        <v>26</v>
      </c>
    </row>
    <row r="7881" spans="6:8" x14ac:dyDescent="0.35">
      <c r="F7881" s="1"/>
      <c r="H7881" t="s">
        <v>26</v>
      </c>
    </row>
    <row r="7882" spans="6:8" x14ac:dyDescent="0.35">
      <c r="F7882" s="1"/>
      <c r="H7882" t="s">
        <v>26</v>
      </c>
    </row>
    <row r="7883" spans="6:8" x14ac:dyDescent="0.35">
      <c r="F7883" s="1"/>
      <c r="H7883" t="s">
        <v>26</v>
      </c>
    </row>
    <row r="7884" spans="6:8" x14ac:dyDescent="0.35">
      <c r="F7884" s="1"/>
      <c r="H7884" t="s">
        <v>26</v>
      </c>
    </row>
    <row r="7885" spans="6:8" x14ac:dyDescent="0.35">
      <c r="F7885" s="1"/>
      <c r="H7885" t="s">
        <v>26</v>
      </c>
    </row>
    <row r="7886" spans="6:8" x14ac:dyDescent="0.35">
      <c r="F7886" s="1"/>
      <c r="H7886" t="s">
        <v>26</v>
      </c>
    </row>
    <row r="7887" spans="6:8" x14ac:dyDescent="0.35">
      <c r="F7887" s="1"/>
      <c r="H7887" t="s">
        <v>26</v>
      </c>
    </row>
    <row r="7888" spans="6:8" x14ac:dyDescent="0.35">
      <c r="F7888" s="1"/>
      <c r="H7888" t="s">
        <v>26</v>
      </c>
    </row>
    <row r="7889" spans="6:8" x14ac:dyDescent="0.35">
      <c r="F7889" s="1"/>
      <c r="H7889" t="s">
        <v>26</v>
      </c>
    </row>
    <row r="7890" spans="6:8" x14ac:dyDescent="0.35">
      <c r="F7890" s="1"/>
      <c r="H7890" t="s">
        <v>26</v>
      </c>
    </row>
    <row r="7891" spans="6:8" x14ac:dyDescent="0.35">
      <c r="F7891" s="1"/>
      <c r="H7891" t="s">
        <v>26</v>
      </c>
    </row>
    <row r="7892" spans="6:8" x14ac:dyDescent="0.35">
      <c r="F7892" s="1"/>
      <c r="H7892" t="s">
        <v>26</v>
      </c>
    </row>
    <row r="7893" spans="6:8" x14ac:dyDescent="0.35">
      <c r="F7893" s="1"/>
      <c r="H7893" t="s">
        <v>26</v>
      </c>
    </row>
    <row r="7894" spans="6:8" x14ac:dyDescent="0.35">
      <c r="F7894" s="1"/>
      <c r="H7894" t="s">
        <v>26</v>
      </c>
    </row>
    <row r="7895" spans="6:8" x14ac:dyDescent="0.35">
      <c r="F7895" s="1"/>
      <c r="H7895" t="s">
        <v>26</v>
      </c>
    </row>
    <row r="7896" spans="6:8" x14ac:dyDescent="0.35">
      <c r="F7896" s="1"/>
      <c r="H7896" t="s">
        <v>26</v>
      </c>
    </row>
    <row r="7897" spans="6:8" x14ac:dyDescent="0.35">
      <c r="F7897" s="1"/>
      <c r="H7897" t="s">
        <v>26</v>
      </c>
    </row>
    <row r="7898" spans="6:8" x14ac:dyDescent="0.35">
      <c r="F7898" s="1"/>
      <c r="H7898" t="s">
        <v>26</v>
      </c>
    </row>
    <row r="7899" spans="6:8" x14ac:dyDescent="0.35">
      <c r="F7899" s="1"/>
      <c r="H7899" t="s">
        <v>26</v>
      </c>
    </row>
    <row r="7900" spans="6:8" x14ac:dyDescent="0.35">
      <c r="F7900" s="1"/>
      <c r="H7900" t="s">
        <v>26</v>
      </c>
    </row>
    <row r="7901" spans="6:8" x14ac:dyDescent="0.35">
      <c r="F7901" s="1"/>
      <c r="H7901" t="s">
        <v>26</v>
      </c>
    </row>
    <row r="7902" spans="6:8" x14ac:dyDescent="0.35">
      <c r="F7902" s="1"/>
      <c r="H7902" t="s">
        <v>26</v>
      </c>
    </row>
    <row r="7903" spans="6:8" x14ac:dyDescent="0.35">
      <c r="F7903" s="1"/>
      <c r="H7903" t="s">
        <v>26</v>
      </c>
    </row>
    <row r="7904" spans="6:8" x14ac:dyDescent="0.35">
      <c r="F7904" s="1"/>
      <c r="H7904" t="s">
        <v>26</v>
      </c>
    </row>
    <row r="7905" spans="6:8" x14ac:dyDescent="0.35">
      <c r="F7905" s="1"/>
      <c r="H7905" t="s">
        <v>26</v>
      </c>
    </row>
    <row r="7906" spans="6:8" x14ac:dyDescent="0.35">
      <c r="F7906" s="1"/>
      <c r="H7906" t="s">
        <v>26</v>
      </c>
    </row>
    <row r="7907" spans="6:8" x14ac:dyDescent="0.35">
      <c r="F7907" s="1"/>
      <c r="H7907" t="s">
        <v>26</v>
      </c>
    </row>
    <row r="7908" spans="6:8" x14ac:dyDescent="0.35">
      <c r="F7908" s="1"/>
      <c r="H7908" t="s">
        <v>26</v>
      </c>
    </row>
    <row r="7909" spans="6:8" x14ac:dyDescent="0.35">
      <c r="F7909" s="1"/>
      <c r="H7909" t="s">
        <v>26</v>
      </c>
    </row>
    <row r="7910" spans="6:8" x14ac:dyDescent="0.35">
      <c r="F7910" s="1"/>
      <c r="H7910" t="s">
        <v>26</v>
      </c>
    </row>
    <row r="7911" spans="6:8" x14ac:dyDescent="0.35">
      <c r="F7911" s="1"/>
      <c r="H7911" t="s">
        <v>26</v>
      </c>
    </row>
    <row r="7912" spans="6:8" x14ac:dyDescent="0.35">
      <c r="F7912" s="1"/>
      <c r="H7912" t="s">
        <v>26</v>
      </c>
    </row>
    <row r="7913" spans="6:8" x14ac:dyDescent="0.35">
      <c r="F7913" s="1"/>
      <c r="H7913" t="s">
        <v>26</v>
      </c>
    </row>
    <row r="7914" spans="6:8" x14ac:dyDescent="0.35">
      <c r="F7914" s="1"/>
      <c r="H7914" t="s">
        <v>26</v>
      </c>
    </row>
    <row r="7915" spans="6:8" x14ac:dyDescent="0.35">
      <c r="F7915" s="1"/>
      <c r="H7915" t="s">
        <v>26</v>
      </c>
    </row>
    <row r="7916" spans="6:8" x14ac:dyDescent="0.35">
      <c r="F7916" s="1"/>
      <c r="H7916" t="s">
        <v>26</v>
      </c>
    </row>
    <row r="7917" spans="6:8" x14ac:dyDescent="0.35">
      <c r="F7917" s="1"/>
      <c r="H7917" t="s">
        <v>26</v>
      </c>
    </row>
    <row r="7918" spans="6:8" x14ac:dyDescent="0.35">
      <c r="F7918" s="1"/>
      <c r="H7918" t="s">
        <v>26</v>
      </c>
    </row>
    <row r="7919" spans="6:8" x14ac:dyDescent="0.35">
      <c r="F7919" s="1"/>
      <c r="H7919" t="s">
        <v>26</v>
      </c>
    </row>
    <row r="7920" spans="6:8" x14ac:dyDescent="0.35">
      <c r="F7920" s="1"/>
      <c r="H7920" t="s">
        <v>26</v>
      </c>
    </row>
    <row r="7921" spans="6:8" x14ac:dyDescent="0.35">
      <c r="F7921" s="1"/>
      <c r="H7921" t="s">
        <v>26</v>
      </c>
    </row>
    <row r="7922" spans="6:8" x14ac:dyDescent="0.35">
      <c r="F7922" s="1"/>
      <c r="H7922" t="s">
        <v>26</v>
      </c>
    </row>
    <row r="7923" spans="6:8" x14ac:dyDescent="0.35">
      <c r="F7923" s="1"/>
      <c r="H7923" t="s">
        <v>26</v>
      </c>
    </row>
    <row r="7924" spans="6:8" x14ac:dyDescent="0.35">
      <c r="F7924" s="1"/>
      <c r="H7924" t="s">
        <v>26</v>
      </c>
    </row>
    <row r="7925" spans="6:8" x14ac:dyDescent="0.35">
      <c r="F7925" s="1"/>
      <c r="H7925" t="s">
        <v>26</v>
      </c>
    </row>
    <row r="7926" spans="6:8" x14ac:dyDescent="0.35">
      <c r="F7926" s="1"/>
      <c r="H7926" t="s">
        <v>26</v>
      </c>
    </row>
    <row r="7927" spans="6:8" x14ac:dyDescent="0.35">
      <c r="F7927" s="1"/>
      <c r="H7927" t="s">
        <v>26</v>
      </c>
    </row>
    <row r="7928" spans="6:8" x14ac:dyDescent="0.35">
      <c r="F7928" s="1"/>
      <c r="H7928" t="s">
        <v>26</v>
      </c>
    </row>
    <row r="7929" spans="6:8" x14ac:dyDescent="0.35">
      <c r="F7929" s="1"/>
      <c r="H7929" t="s">
        <v>26</v>
      </c>
    </row>
    <row r="7930" spans="6:8" x14ac:dyDescent="0.35">
      <c r="F7930" s="1"/>
      <c r="H7930" t="s">
        <v>26</v>
      </c>
    </row>
    <row r="7931" spans="6:8" x14ac:dyDescent="0.35">
      <c r="F7931" s="1"/>
      <c r="H7931" t="s">
        <v>26</v>
      </c>
    </row>
    <row r="7932" spans="6:8" x14ac:dyDescent="0.35">
      <c r="F7932" s="1"/>
      <c r="H7932" t="s">
        <v>26</v>
      </c>
    </row>
    <row r="7933" spans="6:8" x14ac:dyDescent="0.35">
      <c r="F7933" s="1"/>
      <c r="H7933" t="s">
        <v>26</v>
      </c>
    </row>
    <row r="7934" spans="6:8" x14ac:dyDescent="0.35">
      <c r="F7934" s="1"/>
      <c r="H7934" t="s">
        <v>26</v>
      </c>
    </row>
    <row r="7935" spans="6:8" x14ac:dyDescent="0.35">
      <c r="F7935" s="1"/>
      <c r="H7935" t="s">
        <v>26</v>
      </c>
    </row>
    <row r="7936" spans="6:8" x14ac:dyDescent="0.35">
      <c r="F7936" s="1"/>
      <c r="H7936" t="s">
        <v>26</v>
      </c>
    </row>
    <row r="7937" spans="6:8" x14ac:dyDescent="0.35">
      <c r="F7937" s="1"/>
      <c r="H7937" t="s">
        <v>26</v>
      </c>
    </row>
    <row r="7938" spans="6:8" x14ac:dyDescent="0.35">
      <c r="F7938" s="1"/>
      <c r="H7938" t="s">
        <v>26</v>
      </c>
    </row>
    <row r="7939" spans="6:8" x14ac:dyDescent="0.35">
      <c r="F7939" s="1"/>
      <c r="H7939" t="s">
        <v>26</v>
      </c>
    </row>
    <row r="7940" spans="6:8" x14ac:dyDescent="0.35">
      <c r="F7940" s="1"/>
      <c r="H7940" t="s">
        <v>26</v>
      </c>
    </row>
    <row r="7941" spans="6:8" x14ac:dyDescent="0.35">
      <c r="F7941" s="1"/>
      <c r="H7941" t="s">
        <v>26</v>
      </c>
    </row>
    <row r="7942" spans="6:8" x14ac:dyDescent="0.35">
      <c r="F7942" s="1"/>
      <c r="H7942" t="s">
        <v>26</v>
      </c>
    </row>
    <row r="7943" spans="6:8" x14ac:dyDescent="0.35">
      <c r="F7943" s="1"/>
      <c r="H7943" t="s">
        <v>26</v>
      </c>
    </row>
    <row r="7944" spans="6:8" x14ac:dyDescent="0.35">
      <c r="F7944" s="1"/>
      <c r="H7944" t="s">
        <v>26</v>
      </c>
    </row>
    <row r="7945" spans="6:8" x14ac:dyDescent="0.35">
      <c r="F7945" s="1"/>
      <c r="H7945" t="s">
        <v>26</v>
      </c>
    </row>
    <row r="7946" spans="6:8" x14ac:dyDescent="0.35">
      <c r="F7946" s="1"/>
      <c r="H7946" t="s">
        <v>26</v>
      </c>
    </row>
    <row r="7947" spans="6:8" x14ac:dyDescent="0.35">
      <c r="F7947" s="1"/>
      <c r="H7947" t="s">
        <v>26</v>
      </c>
    </row>
    <row r="7948" spans="6:8" x14ac:dyDescent="0.35">
      <c r="F7948" s="1"/>
      <c r="H7948" t="s">
        <v>26</v>
      </c>
    </row>
    <row r="7949" spans="6:8" x14ac:dyDescent="0.35">
      <c r="F7949" s="1"/>
      <c r="H7949" t="s">
        <v>26</v>
      </c>
    </row>
    <row r="7950" spans="6:8" x14ac:dyDescent="0.35">
      <c r="F7950" s="1"/>
      <c r="H7950" t="s">
        <v>26</v>
      </c>
    </row>
    <row r="7951" spans="6:8" x14ac:dyDescent="0.35">
      <c r="F7951" s="1"/>
      <c r="H7951" t="s">
        <v>26</v>
      </c>
    </row>
    <row r="7952" spans="6:8" x14ac:dyDescent="0.35">
      <c r="F7952" s="1"/>
      <c r="H7952" t="s">
        <v>26</v>
      </c>
    </row>
    <row r="7953" spans="6:8" x14ac:dyDescent="0.35">
      <c r="F7953" s="1"/>
      <c r="H7953" t="s">
        <v>26</v>
      </c>
    </row>
    <row r="7954" spans="6:8" x14ac:dyDescent="0.35">
      <c r="F7954" s="1"/>
      <c r="H7954" t="s">
        <v>26</v>
      </c>
    </row>
    <row r="7955" spans="6:8" x14ac:dyDescent="0.35">
      <c r="F7955" s="1"/>
      <c r="H7955" t="s">
        <v>26</v>
      </c>
    </row>
    <row r="7956" spans="6:8" x14ac:dyDescent="0.35">
      <c r="F7956" s="1"/>
      <c r="H7956" t="s">
        <v>26</v>
      </c>
    </row>
    <row r="7957" spans="6:8" x14ac:dyDescent="0.35">
      <c r="F7957" s="1"/>
      <c r="H7957" t="s">
        <v>26</v>
      </c>
    </row>
    <row r="7958" spans="6:8" x14ac:dyDescent="0.35">
      <c r="F7958" s="1"/>
      <c r="H7958" t="s">
        <v>26</v>
      </c>
    </row>
    <row r="7959" spans="6:8" x14ac:dyDescent="0.35">
      <c r="F7959" s="1"/>
      <c r="H7959" t="s">
        <v>26</v>
      </c>
    </row>
    <row r="7960" spans="6:8" x14ac:dyDescent="0.35">
      <c r="F7960" s="1"/>
      <c r="H7960" t="s">
        <v>26</v>
      </c>
    </row>
    <row r="7961" spans="6:8" x14ac:dyDescent="0.35">
      <c r="F7961" s="1"/>
      <c r="H7961" t="s">
        <v>26</v>
      </c>
    </row>
    <row r="7962" spans="6:8" x14ac:dyDescent="0.35">
      <c r="F7962" s="1"/>
      <c r="H7962" t="s">
        <v>26</v>
      </c>
    </row>
    <row r="7963" spans="6:8" x14ac:dyDescent="0.35">
      <c r="F7963" s="1"/>
      <c r="H7963" t="s">
        <v>26</v>
      </c>
    </row>
    <row r="7964" spans="6:8" x14ac:dyDescent="0.35">
      <c r="F7964" s="1"/>
      <c r="H7964" t="s">
        <v>26</v>
      </c>
    </row>
    <row r="7965" spans="6:8" x14ac:dyDescent="0.35">
      <c r="F7965" s="1"/>
      <c r="H7965" t="s">
        <v>26</v>
      </c>
    </row>
    <row r="7966" spans="6:8" x14ac:dyDescent="0.35">
      <c r="F7966" s="1"/>
      <c r="H7966" t="s">
        <v>26</v>
      </c>
    </row>
    <row r="7967" spans="6:8" x14ac:dyDescent="0.35">
      <c r="F7967" s="1"/>
      <c r="H7967" t="s">
        <v>26</v>
      </c>
    </row>
    <row r="7968" spans="6:8" x14ac:dyDescent="0.35">
      <c r="F7968" s="1"/>
      <c r="H7968" t="s">
        <v>26</v>
      </c>
    </row>
    <row r="7969" spans="6:8" x14ac:dyDescent="0.35">
      <c r="F7969" s="1"/>
      <c r="H7969" t="s">
        <v>26</v>
      </c>
    </row>
    <row r="7970" spans="6:8" x14ac:dyDescent="0.35">
      <c r="F7970" s="1"/>
      <c r="H7970" t="s">
        <v>26</v>
      </c>
    </row>
    <row r="7971" spans="6:8" x14ac:dyDescent="0.35">
      <c r="F7971" s="1"/>
      <c r="H7971" t="s">
        <v>26</v>
      </c>
    </row>
    <row r="7972" spans="6:8" x14ac:dyDescent="0.35">
      <c r="F7972" s="1"/>
      <c r="H7972" t="s">
        <v>26</v>
      </c>
    </row>
    <row r="7973" spans="6:8" x14ac:dyDescent="0.35">
      <c r="F7973" s="1"/>
      <c r="H7973" t="s">
        <v>26</v>
      </c>
    </row>
    <row r="7974" spans="6:8" x14ac:dyDescent="0.35">
      <c r="F7974" s="1"/>
      <c r="H7974" t="s">
        <v>26</v>
      </c>
    </row>
    <row r="7975" spans="6:8" x14ac:dyDescent="0.35">
      <c r="F7975" s="1"/>
      <c r="H7975" t="s">
        <v>26</v>
      </c>
    </row>
    <row r="7976" spans="6:8" x14ac:dyDescent="0.35">
      <c r="F7976" s="1"/>
      <c r="H7976" t="s">
        <v>26</v>
      </c>
    </row>
    <row r="7977" spans="6:8" x14ac:dyDescent="0.35">
      <c r="F7977" s="1"/>
      <c r="H7977" t="s">
        <v>26</v>
      </c>
    </row>
    <row r="7978" spans="6:8" x14ac:dyDescent="0.35">
      <c r="F7978" s="1"/>
      <c r="H7978" t="s">
        <v>26</v>
      </c>
    </row>
    <row r="7979" spans="6:8" x14ac:dyDescent="0.35">
      <c r="F7979" s="1"/>
      <c r="H7979" t="s">
        <v>26</v>
      </c>
    </row>
    <row r="7980" spans="6:8" x14ac:dyDescent="0.35">
      <c r="F7980" s="1"/>
      <c r="H7980" t="s">
        <v>26</v>
      </c>
    </row>
    <row r="7981" spans="6:8" x14ac:dyDescent="0.35">
      <c r="F7981" s="1"/>
      <c r="H7981" t="s">
        <v>26</v>
      </c>
    </row>
    <row r="7982" spans="6:8" x14ac:dyDescent="0.35">
      <c r="F7982" s="1"/>
      <c r="H7982" t="s">
        <v>26</v>
      </c>
    </row>
    <row r="7983" spans="6:8" x14ac:dyDescent="0.35">
      <c r="F7983" s="1"/>
      <c r="H7983" t="s">
        <v>26</v>
      </c>
    </row>
    <row r="7984" spans="6:8" x14ac:dyDescent="0.35">
      <c r="F7984" s="1"/>
      <c r="H7984" t="s">
        <v>26</v>
      </c>
    </row>
    <row r="7985" spans="6:8" x14ac:dyDescent="0.35">
      <c r="F7985" s="1"/>
      <c r="H7985" t="s">
        <v>26</v>
      </c>
    </row>
    <row r="7986" spans="6:8" x14ac:dyDescent="0.35">
      <c r="F7986" s="1"/>
      <c r="H7986" t="s">
        <v>26</v>
      </c>
    </row>
    <row r="7987" spans="6:8" x14ac:dyDescent="0.35">
      <c r="F7987" s="1"/>
      <c r="H7987" t="s">
        <v>26</v>
      </c>
    </row>
    <row r="7988" spans="6:8" x14ac:dyDescent="0.35">
      <c r="F7988" s="1"/>
      <c r="H7988" t="s">
        <v>26</v>
      </c>
    </row>
    <row r="7989" spans="6:8" x14ac:dyDescent="0.35">
      <c r="F7989" s="1"/>
      <c r="H7989" t="s">
        <v>26</v>
      </c>
    </row>
    <row r="7990" spans="6:8" x14ac:dyDescent="0.35">
      <c r="F7990" s="1"/>
      <c r="H7990" t="s">
        <v>26</v>
      </c>
    </row>
    <row r="7991" spans="6:8" x14ac:dyDescent="0.35">
      <c r="F7991" s="1"/>
      <c r="H7991" t="s">
        <v>26</v>
      </c>
    </row>
    <row r="7992" spans="6:8" x14ac:dyDescent="0.35">
      <c r="F7992" s="1"/>
      <c r="H7992" t="s">
        <v>26</v>
      </c>
    </row>
    <row r="7993" spans="6:8" x14ac:dyDescent="0.35">
      <c r="F7993" s="1"/>
      <c r="H7993" t="s">
        <v>26</v>
      </c>
    </row>
    <row r="7994" spans="6:8" x14ac:dyDescent="0.35">
      <c r="F7994" s="1"/>
      <c r="H7994" t="s">
        <v>26</v>
      </c>
    </row>
    <row r="7995" spans="6:8" x14ac:dyDescent="0.35">
      <c r="F7995" s="1"/>
      <c r="H7995" t="s">
        <v>26</v>
      </c>
    </row>
    <row r="7996" spans="6:8" x14ac:dyDescent="0.35">
      <c r="F7996" s="1"/>
      <c r="H7996" t="s">
        <v>26</v>
      </c>
    </row>
    <row r="7997" spans="6:8" x14ac:dyDescent="0.35">
      <c r="F7997" s="1"/>
      <c r="H7997" t="s">
        <v>26</v>
      </c>
    </row>
    <row r="7998" spans="6:8" x14ac:dyDescent="0.35">
      <c r="F7998" s="1"/>
      <c r="H7998" t="s">
        <v>26</v>
      </c>
    </row>
    <row r="7999" spans="6:8" x14ac:dyDescent="0.35">
      <c r="F7999" s="1"/>
      <c r="H7999" t="s">
        <v>26</v>
      </c>
    </row>
    <row r="8000" spans="6:8" x14ac:dyDescent="0.35">
      <c r="F8000" s="1"/>
      <c r="H8000" t="s">
        <v>26</v>
      </c>
    </row>
    <row r="8001" spans="6:8" x14ac:dyDescent="0.35">
      <c r="F8001" s="1"/>
      <c r="H8001" t="s">
        <v>26</v>
      </c>
    </row>
    <row r="8002" spans="6:8" x14ac:dyDescent="0.35">
      <c r="F8002" s="1"/>
      <c r="H8002" t="s">
        <v>26</v>
      </c>
    </row>
    <row r="8003" spans="6:8" x14ac:dyDescent="0.35">
      <c r="F8003" s="1"/>
      <c r="H8003" t="s">
        <v>26</v>
      </c>
    </row>
    <row r="8004" spans="6:8" x14ac:dyDescent="0.35">
      <c r="F8004" s="1"/>
      <c r="H8004" t="s">
        <v>26</v>
      </c>
    </row>
    <row r="8005" spans="6:8" x14ac:dyDescent="0.35">
      <c r="F8005" s="1"/>
      <c r="H8005" t="s">
        <v>26</v>
      </c>
    </row>
    <row r="8006" spans="6:8" x14ac:dyDescent="0.35">
      <c r="F8006" s="1"/>
      <c r="H8006" t="s">
        <v>26</v>
      </c>
    </row>
    <row r="8007" spans="6:8" x14ac:dyDescent="0.35">
      <c r="F8007" s="1"/>
      <c r="H8007" t="s">
        <v>26</v>
      </c>
    </row>
    <row r="8008" spans="6:8" x14ac:dyDescent="0.35">
      <c r="F8008" s="1"/>
      <c r="H8008" t="s">
        <v>26</v>
      </c>
    </row>
    <row r="8009" spans="6:8" x14ac:dyDescent="0.35">
      <c r="F8009" s="1"/>
      <c r="H8009" t="s">
        <v>26</v>
      </c>
    </row>
    <row r="8010" spans="6:8" x14ac:dyDescent="0.35">
      <c r="F8010" s="1"/>
      <c r="H8010" t="s">
        <v>26</v>
      </c>
    </row>
    <row r="8011" spans="6:8" x14ac:dyDescent="0.35">
      <c r="F8011" s="1"/>
      <c r="H8011" t="s">
        <v>26</v>
      </c>
    </row>
    <row r="8012" spans="6:8" x14ac:dyDescent="0.35">
      <c r="F8012" s="1"/>
      <c r="H8012" t="s">
        <v>26</v>
      </c>
    </row>
    <row r="8013" spans="6:8" x14ac:dyDescent="0.35">
      <c r="F8013" s="1"/>
      <c r="H8013" t="s">
        <v>26</v>
      </c>
    </row>
    <row r="8014" spans="6:8" x14ac:dyDescent="0.35">
      <c r="F8014" s="1"/>
      <c r="H8014" t="s">
        <v>26</v>
      </c>
    </row>
    <row r="8015" spans="6:8" x14ac:dyDescent="0.35">
      <c r="F8015" s="1"/>
      <c r="H8015" t="s">
        <v>26</v>
      </c>
    </row>
    <row r="8016" spans="6:8" x14ac:dyDescent="0.35">
      <c r="F8016" s="1"/>
      <c r="H8016" t="s">
        <v>26</v>
      </c>
    </row>
    <row r="8017" spans="6:8" x14ac:dyDescent="0.35">
      <c r="F8017" s="1"/>
      <c r="H8017" t="s">
        <v>26</v>
      </c>
    </row>
    <row r="8018" spans="6:8" x14ac:dyDescent="0.35">
      <c r="F8018" s="1"/>
      <c r="H8018" t="s">
        <v>26</v>
      </c>
    </row>
    <row r="8019" spans="6:8" x14ac:dyDescent="0.35">
      <c r="F8019" s="1"/>
      <c r="H8019" t="s">
        <v>26</v>
      </c>
    </row>
    <row r="8020" spans="6:8" x14ac:dyDescent="0.35">
      <c r="F8020" s="1"/>
      <c r="H8020" t="s">
        <v>26</v>
      </c>
    </row>
    <row r="8021" spans="6:8" x14ac:dyDescent="0.35">
      <c r="F8021" s="1"/>
      <c r="H8021" t="s">
        <v>26</v>
      </c>
    </row>
    <row r="8022" spans="6:8" x14ac:dyDescent="0.35">
      <c r="F8022" s="1"/>
      <c r="H8022" t="s">
        <v>26</v>
      </c>
    </row>
    <row r="8023" spans="6:8" x14ac:dyDescent="0.35">
      <c r="F8023" s="1"/>
      <c r="H8023" t="s">
        <v>26</v>
      </c>
    </row>
    <row r="8024" spans="6:8" x14ac:dyDescent="0.35">
      <c r="F8024" s="1"/>
      <c r="H8024" t="s">
        <v>26</v>
      </c>
    </row>
    <row r="8025" spans="6:8" x14ac:dyDescent="0.35">
      <c r="F8025" s="1"/>
      <c r="H8025" t="s">
        <v>26</v>
      </c>
    </row>
    <row r="8026" spans="6:8" x14ac:dyDescent="0.35">
      <c r="F8026" s="1"/>
      <c r="H8026" t="s">
        <v>26</v>
      </c>
    </row>
    <row r="8027" spans="6:8" x14ac:dyDescent="0.35">
      <c r="F8027" s="1"/>
      <c r="H8027" t="s">
        <v>26</v>
      </c>
    </row>
    <row r="8028" spans="6:8" x14ac:dyDescent="0.35">
      <c r="F8028" s="1"/>
      <c r="H8028" t="s">
        <v>26</v>
      </c>
    </row>
    <row r="8029" spans="6:8" x14ac:dyDescent="0.35">
      <c r="F8029" s="1"/>
      <c r="H8029" t="s">
        <v>26</v>
      </c>
    </row>
    <row r="8030" spans="6:8" x14ac:dyDescent="0.35">
      <c r="F8030" s="1"/>
      <c r="H8030" t="s">
        <v>26</v>
      </c>
    </row>
    <row r="8031" spans="6:8" x14ac:dyDescent="0.35">
      <c r="F8031" s="1"/>
      <c r="H8031" t="s">
        <v>26</v>
      </c>
    </row>
    <row r="8032" spans="6:8" x14ac:dyDescent="0.35">
      <c r="F8032" s="1"/>
      <c r="H8032" t="s">
        <v>26</v>
      </c>
    </row>
    <row r="8033" spans="6:8" x14ac:dyDescent="0.35">
      <c r="F8033" s="1"/>
      <c r="H8033" t="s">
        <v>26</v>
      </c>
    </row>
    <row r="8034" spans="6:8" x14ac:dyDescent="0.35">
      <c r="F8034" s="1"/>
      <c r="H8034" t="s">
        <v>26</v>
      </c>
    </row>
    <row r="8035" spans="6:8" x14ac:dyDescent="0.35">
      <c r="F8035" s="1"/>
      <c r="H8035" t="s">
        <v>26</v>
      </c>
    </row>
    <row r="8036" spans="6:8" x14ac:dyDescent="0.35">
      <c r="F8036" s="1"/>
      <c r="H8036" t="s">
        <v>26</v>
      </c>
    </row>
    <row r="8037" spans="6:8" x14ac:dyDescent="0.35">
      <c r="F8037" s="1"/>
      <c r="H8037" t="s">
        <v>26</v>
      </c>
    </row>
    <row r="8038" spans="6:8" x14ac:dyDescent="0.35">
      <c r="F8038" s="1"/>
      <c r="H8038" t="s">
        <v>26</v>
      </c>
    </row>
    <row r="8039" spans="6:8" x14ac:dyDescent="0.35">
      <c r="F8039" s="1"/>
      <c r="H8039" t="s">
        <v>26</v>
      </c>
    </row>
    <row r="8040" spans="6:8" x14ac:dyDescent="0.35">
      <c r="F8040" s="1"/>
      <c r="H8040" t="s">
        <v>26</v>
      </c>
    </row>
    <row r="8041" spans="6:8" x14ac:dyDescent="0.35">
      <c r="F8041" s="1"/>
      <c r="H8041" t="s">
        <v>26</v>
      </c>
    </row>
    <row r="8042" spans="6:8" x14ac:dyDescent="0.35">
      <c r="F8042" s="1"/>
      <c r="H8042" t="s">
        <v>26</v>
      </c>
    </row>
    <row r="8043" spans="6:8" x14ac:dyDescent="0.35">
      <c r="F8043" s="1"/>
      <c r="H8043" t="s">
        <v>26</v>
      </c>
    </row>
    <row r="8044" spans="6:8" x14ac:dyDescent="0.35">
      <c r="F8044" s="1"/>
      <c r="H8044" t="s">
        <v>26</v>
      </c>
    </row>
    <row r="8045" spans="6:8" x14ac:dyDescent="0.35">
      <c r="F8045" s="1"/>
      <c r="H8045" t="s">
        <v>26</v>
      </c>
    </row>
    <row r="8046" spans="6:8" x14ac:dyDescent="0.35">
      <c r="F8046" s="1"/>
      <c r="H8046" t="s">
        <v>26</v>
      </c>
    </row>
    <row r="8047" spans="6:8" x14ac:dyDescent="0.35">
      <c r="F8047" s="1"/>
      <c r="H8047" t="s">
        <v>26</v>
      </c>
    </row>
    <row r="8048" spans="6:8" x14ac:dyDescent="0.35">
      <c r="F8048" s="1"/>
      <c r="H8048" t="s">
        <v>26</v>
      </c>
    </row>
    <row r="8049" spans="6:8" x14ac:dyDescent="0.35">
      <c r="F8049" s="1"/>
      <c r="H8049" t="s">
        <v>26</v>
      </c>
    </row>
    <row r="8050" spans="6:8" x14ac:dyDescent="0.35">
      <c r="F8050" s="1"/>
      <c r="H8050" t="s">
        <v>26</v>
      </c>
    </row>
    <row r="8051" spans="6:8" x14ac:dyDescent="0.35">
      <c r="F8051" s="1"/>
      <c r="H8051" t="s">
        <v>26</v>
      </c>
    </row>
    <row r="8052" spans="6:8" x14ac:dyDescent="0.35">
      <c r="F8052" s="1"/>
      <c r="H8052" t="s">
        <v>26</v>
      </c>
    </row>
    <row r="8053" spans="6:8" x14ac:dyDescent="0.35">
      <c r="F8053" s="1"/>
      <c r="H8053" t="s">
        <v>26</v>
      </c>
    </row>
    <row r="8054" spans="6:8" x14ac:dyDescent="0.35">
      <c r="F8054" s="1"/>
      <c r="H8054" t="s">
        <v>26</v>
      </c>
    </row>
    <row r="8055" spans="6:8" x14ac:dyDescent="0.35">
      <c r="F8055" s="1"/>
      <c r="H8055" t="s">
        <v>26</v>
      </c>
    </row>
    <row r="8056" spans="6:8" x14ac:dyDescent="0.35">
      <c r="F8056" s="1"/>
      <c r="H8056" t="s">
        <v>26</v>
      </c>
    </row>
    <row r="8057" spans="6:8" x14ac:dyDescent="0.35">
      <c r="F8057" s="1"/>
      <c r="H8057" t="s">
        <v>26</v>
      </c>
    </row>
    <row r="8058" spans="6:8" x14ac:dyDescent="0.35">
      <c r="F8058" s="1"/>
      <c r="H8058" t="s">
        <v>26</v>
      </c>
    </row>
    <row r="8059" spans="6:8" x14ac:dyDescent="0.35">
      <c r="F8059" s="1"/>
      <c r="H8059" t="s">
        <v>26</v>
      </c>
    </row>
    <row r="8060" spans="6:8" x14ac:dyDescent="0.35">
      <c r="F8060" s="1"/>
      <c r="H8060" t="s">
        <v>26</v>
      </c>
    </row>
    <row r="8061" spans="6:8" x14ac:dyDescent="0.35">
      <c r="F8061" s="1"/>
      <c r="H8061" t="s">
        <v>26</v>
      </c>
    </row>
    <row r="8062" spans="6:8" x14ac:dyDescent="0.35">
      <c r="F8062" s="1"/>
      <c r="H8062" t="s">
        <v>26</v>
      </c>
    </row>
    <row r="8063" spans="6:8" x14ac:dyDescent="0.35">
      <c r="F8063" s="1"/>
      <c r="H8063" t="s">
        <v>26</v>
      </c>
    </row>
    <row r="8064" spans="6:8" x14ac:dyDescent="0.35">
      <c r="F8064" s="1"/>
      <c r="H8064" t="s">
        <v>26</v>
      </c>
    </row>
    <row r="8065" spans="6:8" x14ac:dyDescent="0.35">
      <c r="F8065" s="1"/>
      <c r="H8065" t="s">
        <v>26</v>
      </c>
    </row>
    <row r="8066" spans="6:8" x14ac:dyDescent="0.35">
      <c r="F8066" s="1"/>
      <c r="H8066" t="s">
        <v>26</v>
      </c>
    </row>
    <row r="8067" spans="6:8" x14ac:dyDescent="0.35">
      <c r="F8067" s="1"/>
      <c r="H8067" t="s">
        <v>26</v>
      </c>
    </row>
    <row r="8068" spans="6:8" x14ac:dyDescent="0.35">
      <c r="F8068" s="1"/>
      <c r="H8068" t="s">
        <v>26</v>
      </c>
    </row>
    <row r="8069" spans="6:8" x14ac:dyDescent="0.35">
      <c r="F8069" s="1"/>
      <c r="H8069" t="s">
        <v>26</v>
      </c>
    </row>
    <row r="8070" spans="6:8" x14ac:dyDescent="0.35">
      <c r="F8070" s="1"/>
      <c r="H8070" t="s">
        <v>26</v>
      </c>
    </row>
    <row r="8071" spans="6:8" x14ac:dyDescent="0.35">
      <c r="F8071" s="1"/>
      <c r="H8071" t="s">
        <v>26</v>
      </c>
    </row>
    <row r="8072" spans="6:8" x14ac:dyDescent="0.35">
      <c r="F8072" s="1"/>
      <c r="H8072" t="s">
        <v>26</v>
      </c>
    </row>
    <row r="8073" spans="6:8" x14ac:dyDescent="0.35">
      <c r="F8073" s="1"/>
      <c r="H8073" t="s">
        <v>26</v>
      </c>
    </row>
    <row r="8074" spans="6:8" x14ac:dyDescent="0.35">
      <c r="F8074" s="1"/>
      <c r="H8074" t="s">
        <v>26</v>
      </c>
    </row>
    <row r="8075" spans="6:8" x14ac:dyDescent="0.35">
      <c r="F8075" s="1"/>
      <c r="H8075" t="s">
        <v>26</v>
      </c>
    </row>
    <row r="8076" spans="6:8" x14ac:dyDescent="0.35">
      <c r="F8076" s="1"/>
      <c r="H8076" t="s">
        <v>26</v>
      </c>
    </row>
    <row r="8077" spans="6:8" x14ac:dyDescent="0.35">
      <c r="F8077" s="1"/>
      <c r="H8077" t="s">
        <v>26</v>
      </c>
    </row>
    <row r="8078" spans="6:8" x14ac:dyDescent="0.35">
      <c r="F8078" s="1"/>
      <c r="H8078" t="s">
        <v>26</v>
      </c>
    </row>
    <row r="8079" spans="6:8" x14ac:dyDescent="0.35">
      <c r="F8079" s="1"/>
      <c r="H8079" t="s">
        <v>26</v>
      </c>
    </row>
    <row r="8080" spans="6:8" x14ac:dyDescent="0.35">
      <c r="F8080" s="1"/>
      <c r="H8080" t="s">
        <v>26</v>
      </c>
    </row>
    <row r="8081" spans="6:8" x14ac:dyDescent="0.35">
      <c r="F8081" s="1"/>
      <c r="H8081" t="s">
        <v>26</v>
      </c>
    </row>
    <row r="8082" spans="6:8" x14ac:dyDescent="0.35">
      <c r="F8082" s="1"/>
      <c r="H8082" t="s">
        <v>26</v>
      </c>
    </row>
    <row r="8083" spans="6:8" x14ac:dyDescent="0.35">
      <c r="F8083" s="1"/>
      <c r="H8083" t="s">
        <v>26</v>
      </c>
    </row>
    <row r="8084" spans="6:8" x14ac:dyDescent="0.35">
      <c r="F8084" s="1"/>
      <c r="H8084" t="s">
        <v>26</v>
      </c>
    </row>
    <row r="8085" spans="6:8" x14ac:dyDescent="0.35">
      <c r="F8085" s="1"/>
      <c r="H8085" t="s">
        <v>26</v>
      </c>
    </row>
    <row r="8086" spans="6:8" x14ac:dyDescent="0.35">
      <c r="F8086" s="1"/>
      <c r="H8086" t="s">
        <v>26</v>
      </c>
    </row>
    <row r="8087" spans="6:8" x14ac:dyDescent="0.35">
      <c r="F8087" s="1"/>
      <c r="H8087" t="s">
        <v>26</v>
      </c>
    </row>
    <row r="8088" spans="6:8" x14ac:dyDescent="0.35">
      <c r="F8088" s="1"/>
      <c r="H8088" t="s">
        <v>26</v>
      </c>
    </row>
    <row r="8089" spans="6:8" x14ac:dyDescent="0.35">
      <c r="F8089" s="1"/>
      <c r="H8089" t="s">
        <v>26</v>
      </c>
    </row>
    <row r="8090" spans="6:8" x14ac:dyDescent="0.35">
      <c r="F8090" s="1"/>
      <c r="H8090" t="s">
        <v>26</v>
      </c>
    </row>
    <row r="8091" spans="6:8" x14ac:dyDescent="0.35">
      <c r="F8091" s="1"/>
      <c r="H8091" t="s">
        <v>26</v>
      </c>
    </row>
    <row r="8092" spans="6:8" x14ac:dyDescent="0.35">
      <c r="F8092" s="1"/>
      <c r="H8092" t="s">
        <v>26</v>
      </c>
    </row>
    <row r="8093" spans="6:8" x14ac:dyDescent="0.35">
      <c r="F8093" s="1"/>
      <c r="H8093" t="s">
        <v>26</v>
      </c>
    </row>
    <row r="8094" spans="6:8" x14ac:dyDescent="0.35">
      <c r="F8094" s="1"/>
      <c r="H8094" t="s">
        <v>26</v>
      </c>
    </row>
    <row r="8095" spans="6:8" x14ac:dyDescent="0.35">
      <c r="F8095" s="1"/>
      <c r="H8095" t="s">
        <v>26</v>
      </c>
    </row>
    <row r="8096" spans="6:8" x14ac:dyDescent="0.35">
      <c r="F8096" s="1"/>
      <c r="H8096" t="s">
        <v>26</v>
      </c>
    </row>
    <row r="8097" spans="6:8" x14ac:dyDescent="0.35">
      <c r="F8097" s="1"/>
      <c r="H8097" t="s">
        <v>26</v>
      </c>
    </row>
    <row r="8098" spans="6:8" x14ac:dyDescent="0.35">
      <c r="F8098" s="1"/>
      <c r="H8098" t="s">
        <v>26</v>
      </c>
    </row>
    <row r="8099" spans="6:8" x14ac:dyDescent="0.35">
      <c r="F8099" s="1"/>
      <c r="H8099" t="s">
        <v>26</v>
      </c>
    </row>
    <row r="8100" spans="6:8" x14ac:dyDescent="0.35">
      <c r="F8100" s="1"/>
      <c r="H8100" t="s">
        <v>26</v>
      </c>
    </row>
    <row r="8101" spans="6:8" x14ac:dyDescent="0.35">
      <c r="F8101" s="1"/>
      <c r="H8101" t="s">
        <v>26</v>
      </c>
    </row>
    <row r="8102" spans="6:8" x14ac:dyDescent="0.35">
      <c r="F8102" s="1"/>
      <c r="H8102" t="s">
        <v>26</v>
      </c>
    </row>
    <row r="8103" spans="6:8" x14ac:dyDescent="0.35">
      <c r="F8103" s="1"/>
      <c r="H8103" t="s">
        <v>26</v>
      </c>
    </row>
    <row r="8104" spans="6:8" x14ac:dyDescent="0.35">
      <c r="F8104" s="1"/>
      <c r="H8104" t="s">
        <v>26</v>
      </c>
    </row>
    <row r="8105" spans="6:8" x14ac:dyDescent="0.35">
      <c r="F8105" s="1"/>
      <c r="H8105" t="s">
        <v>26</v>
      </c>
    </row>
    <row r="8106" spans="6:8" x14ac:dyDescent="0.35">
      <c r="F8106" s="1"/>
      <c r="H8106" t="s">
        <v>26</v>
      </c>
    </row>
    <row r="8107" spans="6:8" x14ac:dyDescent="0.35">
      <c r="F8107" s="1"/>
      <c r="H8107" t="s">
        <v>26</v>
      </c>
    </row>
    <row r="8108" spans="6:8" x14ac:dyDescent="0.35">
      <c r="F8108" s="1"/>
      <c r="H8108" t="s">
        <v>26</v>
      </c>
    </row>
    <row r="8109" spans="6:8" x14ac:dyDescent="0.35">
      <c r="F8109" s="1"/>
      <c r="H8109" t="s">
        <v>26</v>
      </c>
    </row>
    <row r="8110" spans="6:8" x14ac:dyDescent="0.35">
      <c r="F8110" s="1"/>
      <c r="H8110" t="s">
        <v>26</v>
      </c>
    </row>
    <row r="8111" spans="6:8" x14ac:dyDescent="0.35">
      <c r="F8111" s="1"/>
      <c r="H8111" t="s">
        <v>26</v>
      </c>
    </row>
    <row r="8112" spans="6:8" x14ac:dyDescent="0.35">
      <c r="F8112" s="1"/>
      <c r="H8112" t="s">
        <v>26</v>
      </c>
    </row>
    <row r="8113" spans="6:8" x14ac:dyDescent="0.35">
      <c r="F8113" s="1"/>
      <c r="H8113" t="s">
        <v>26</v>
      </c>
    </row>
    <row r="8114" spans="6:8" x14ac:dyDescent="0.35">
      <c r="F8114" s="1"/>
      <c r="H8114" t="s">
        <v>26</v>
      </c>
    </row>
    <row r="8115" spans="6:8" x14ac:dyDescent="0.35">
      <c r="F8115" s="1"/>
      <c r="H8115" t="s">
        <v>26</v>
      </c>
    </row>
    <row r="8116" spans="6:8" x14ac:dyDescent="0.35">
      <c r="F8116" s="1"/>
      <c r="H8116" t="s">
        <v>26</v>
      </c>
    </row>
    <row r="8117" spans="6:8" x14ac:dyDescent="0.35">
      <c r="F8117" s="1"/>
      <c r="H8117" t="s">
        <v>26</v>
      </c>
    </row>
    <row r="8118" spans="6:8" x14ac:dyDescent="0.35">
      <c r="F8118" s="1"/>
      <c r="H8118" t="s">
        <v>26</v>
      </c>
    </row>
    <row r="8119" spans="6:8" x14ac:dyDescent="0.35">
      <c r="F8119" s="1"/>
      <c r="H8119" t="s">
        <v>26</v>
      </c>
    </row>
    <row r="8120" spans="6:8" x14ac:dyDescent="0.35">
      <c r="F8120" s="1"/>
      <c r="H8120" t="s">
        <v>26</v>
      </c>
    </row>
    <row r="8121" spans="6:8" x14ac:dyDescent="0.35">
      <c r="F8121" s="1"/>
      <c r="H8121" t="s">
        <v>26</v>
      </c>
    </row>
    <row r="8122" spans="6:8" x14ac:dyDescent="0.35">
      <c r="F8122" s="1"/>
      <c r="H8122" t="s">
        <v>26</v>
      </c>
    </row>
    <row r="8123" spans="6:8" x14ac:dyDescent="0.35">
      <c r="F8123" s="1"/>
      <c r="H8123" t="s">
        <v>26</v>
      </c>
    </row>
    <row r="8124" spans="6:8" x14ac:dyDescent="0.35">
      <c r="F8124" s="1"/>
      <c r="H8124" t="s">
        <v>26</v>
      </c>
    </row>
    <row r="8125" spans="6:8" x14ac:dyDescent="0.35">
      <c r="F8125" s="1"/>
      <c r="H8125" t="s">
        <v>26</v>
      </c>
    </row>
    <row r="8126" spans="6:8" x14ac:dyDescent="0.35">
      <c r="F8126" s="1"/>
      <c r="H8126" t="s">
        <v>26</v>
      </c>
    </row>
    <row r="8127" spans="6:8" x14ac:dyDescent="0.35">
      <c r="F8127" s="1"/>
      <c r="H8127" t="s">
        <v>26</v>
      </c>
    </row>
    <row r="8128" spans="6:8" x14ac:dyDescent="0.35">
      <c r="F8128" s="1"/>
      <c r="H8128" t="s">
        <v>26</v>
      </c>
    </row>
    <row r="8129" spans="6:8" x14ac:dyDescent="0.35">
      <c r="F8129" s="1"/>
      <c r="H8129" t="s">
        <v>26</v>
      </c>
    </row>
    <row r="8130" spans="6:8" x14ac:dyDescent="0.35">
      <c r="F8130" s="1"/>
      <c r="H8130" t="s">
        <v>26</v>
      </c>
    </row>
    <row r="8131" spans="6:8" x14ac:dyDescent="0.35">
      <c r="F8131" s="1"/>
      <c r="H8131" t="s">
        <v>26</v>
      </c>
    </row>
    <row r="8132" spans="6:8" x14ac:dyDescent="0.35">
      <c r="F8132" s="1"/>
      <c r="H8132" t="s">
        <v>26</v>
      </c>
    </row>
    <row r="8133" spans="6:8" x14ac:dyDescent="0.35">
      <c r="F8133" s="1"/>
      <c r="H8133" t="s">
        <v>26</v>
      </c>
    </row>
    <row r="8134" spans="6:8" x14ac:dyDescent="0.35">
      <c r="F8134" s="1"/>
      <c r="H8134" t="s">
        <v>26</v>
      </c>
    </row>
    <row r="8135" spans="6:8" x14ac:dyDescent="0.35">
      <c r="F8135" s="1"/>
      <c r="H8135" t="s">
        <v>26</v>
      </c>
    </row>
    <row r="8136" spans="6:8" x14ac:dyDescent="0.35">
      <c r="F8136" s="1"/>
      <c r="H8136" t="s">
        <v>26</v>
      </c>
    </row>
    <row r="8137" spans="6:8" x14ac:dyDescent="0.35">
      <c r="F8137" s="1"/>
      <c r="H8137" t="s">
        <v>26</v>
      </c>
    </row>
    <row r="8138" spans="6:8" x14ac:dyDescent="0.35">
      <c r="F8138" s="1"/>
      <c r="H8138" t="s">
        <v>26</v>
      </c>
    </row>
    <row r="8139" spans="6:8" x14ac:dyDescent="0.35">
      <c r="F8139" s="1"/>
      <c r="H8139" t="s">
        <v>26</v>
      </c>
    </row>
    <row r="8140" spans="6:8" x14ac:dyDescent="0.35">
      <c r="F8140" s="1"/>
      <c r="H8140" t="s">
        <v>26</v>
      </c>
    </row>
    <row r="8141" spans="6:8" x14ac:dyDescent="0.35">
      <c r="F8141" s="1"/>
      <c r="H8141" t="s">
        <v>26</v>
      </c>
    </row>
    <row r="8142" spans="6:8" x14ac:dyDescent="0.35">
      <c r="F8142" s="1"/>
      <c r="H8142" t="s">
        <v>26</v>
      </c>
    </row>
    <row r="8143" spans="6:8" x14ac:dyDescent="0.35">
      <c r="F8143" s="1"/>
      <c r="H8143" t="s">
        <v>26</v>
      </c>
    </row>
    <row r="8144" spans="6:8" x14ac:dyDescent="0.35">
      <c r="F8144" s="1"/>
      <c r="H8144" t="s">
        <v>26</v>
      </c>
    </row>
    <row r="8145" spans="6:8" x14ac:dyDescent="0.35">
      <c r="F8145" s="1"/>
      <c r="H8145" t="s">
        <v>26</v>
      </c>
    </row>
    <row r="8146" spans="6:8" x14ac:dyDescent="0.35">
      <c r="F8146" s="1"/>
      <c r="H8146" t="s">
        <v>26</v>
      </c>
    </row>
    <row r="8147" spans="6:8" x14ac:dyDescent="0.35">
      <c r="F8147" s="1"/>
      <c r="H8147" t="s">
        <v>26</v>
      </c>
    </row>
    <row r="8148" spans="6:8" x14ac:dyDescent="0.35">
      <c r="F8148" s="1"/>
      <c r="H8148" t="s">
        <v>26</v>
      </c>
    </row>
    <row r="8149" spans="6:8" x14ac:dyDescent="0.35">
      <c r="F8149" s="1"/>
      <c r="H8149" t="s">
        <v>26</v>
      </c>
    </row>
    <row r="8150" spans="6:8" x14ac:dyDescent="0.35">
      <c r="F8150" s="1"/>
      <c r="H8150" t="s">
        <v>26</v>
      </c>
    </row>
    <row r="8151" spans="6:8" x14ac:dyDescent="0.35">
      <c r="F8151" s="1"/>
      <c r="H8151" t="s">
        <v>26</v>
      </c>
    </row>
    <row r="8152" spans="6:8" x14ac:dyDescent="0.35">
      <c r="F8152" s="1"/>
      <c r="H8152" t="s">
        <v>26</v>
      </c>
    </row>
    <row r="8153" spans="6:8" x14ac:dyDescent="0.35">
      <c r="F8153" s="1"/>
      <c r="H8153" t="s">
        <v>26</v>
      </c>
    </row>
    <row r="8154" spans="6:8" x14ac:dyDescent="0.35">
      <c r="F8154" s="1"/>
      <c r="H8154" t="s">
        <v>26</v>
      </c>
    </row>
    <row r="8155" spans="6:8" x14ac:dyDescent="0.35">
      <c r="F8155" s="1"/>
      <c r="H8155" t="s">
        <v>26</v>
      </c>
    </row>
    <row r="8156" spans="6:8" x14ac:dyDescent="0.35">
      <c r="F8156" s="1"/>
      <c r="H8156" t="s">
        <v>26</v>
      </c>
    </row>
    <row r="8157" spans="6:8" x14ac:dyDescent="0.35">
      <c r="F8157" s="1"/>
      <c r="H8157" t="s">
        <v>26</v>
      </c>
    </row>
    <row r="8158" spans="6:8" x14ac:dyDescent="0.35">
      <c r="F8158" s="1"/>
      <c r="H8158" t="s">
        <v>26</v>
      </c>
    </row>
    <row r="8159" spans="6:8" x14ac:dyDescent="0.35">
      <c r="F8159" s="1"/>
      <c r="H8159" t="s">
        <v>26</v>
      </c>
    </row>
    <row r="8160" spans="6:8" x14ac:dyDescent="0.35">
      <c r="F8160" s="1"/>
      <c r="H8160" t="s">
        <v>26</v>
      </c>
    </row>
    <row r="8161" spans="6:8" x14ac:dyDescent="0.35">
      <c r="F8161" s="1"/>
      <c r="H8161" t="s">
        <v>26</v>
      </c>
    </row>
    <row r="8162" spans="6:8" x14ac:dyDescent="0.35">
      <c r="F8162" s="1"/>
      <c r="H8162" t="s">
        <v>26</v>
      </c>
    </row>
    <row r="8163" spans="6:8" x14ac:dyDescent="0.35">
      <c r="F8163" s="1"/>
      <c r="H8163" t="s">
        <v>26</v>
      </c>
    </row>
    <row r="8164" spans="6:8" x14ac:dyDescent="0.35">
      <c r="F8164" s="1"/>
      <c r="H8164" t="s">
        <v>26</v>
      </c>
    </row>
    <row r="8165" spans="6:8" x14ac:dyDescent="0.35">
      <c r="F8165" s="1"/>
      <c r="H8165" t="s">
        <v>26</v>
      </c>
    </row>
    <row r="8166" spans="6:8" x14ac:dyDescent="0.35">
      <c r="F8166" s="1"/>
      <c r="H8166" t="s">
        <v>26</v>
      </c>
    </row>
    <row r="8167" spans="6:8" x14ac:dyDescent="0.35">
      <c r="F8167" s="1"/>
      <c r="H8167" t="s">
        <v>26</v>
      </c>
    </row>
    <row r="8168" spans="6:8" x14ac:dyDescent="0.35">
      <c r="F8168" s="1"/>
      <c r="H8168" t="s">
        <v>26</v>
      </c>
    </row>
    <row r="8169" spans="6:8" x14ac:dyDescent="0.35">
      <c r="F8169" s="1"/>
      <c r="H8169" t="s">
        <v>26</v>
      </c>
    </row>
    <row r="8170" spans="6:8" x14ac:dyDescent="0.35">
      <c r="F8170" s="1"/>
      <c r="H8170" t="s">
        <v>26</v>
      </c>
    </row>
    <row r="8171" spans="6:8" x14ac:dyDescent="0.35">
      <c r="F8171" s="1"/>
      <c r="H8171" t="s">
        <v>26</v>
      </c>
    </row>
    <row r="8172" spans="6:8" x14ac:dyDescent="0.35">
      <c r="F8172" s="1"/>
      <c r="H8172" t="s">
        <v>26</v>
      </c>
    </row>
    <row r="8173" spans="6:8" x14ac:dyDescent="0.35">
      <c r="F8173" s="1"/>
      <c r="H8173" t="s">
        <v>26</v>
      </c>
    </row>
    <row r="8174" spans="6:8" x14ac:dyDescent="0.35">
      <c r="F8174" s="1"/>
      <c r="H8174" t="s">
        <v>26</v>
      </c>
    </row>
    <row r="8175" spans="6:8" x14ac:dyDescent="0.35">
      <c r="F8175" s="1"/>
      <c r="H8175" t="s">
        <v>26</v>
      </c>
    </row>
    <row r="8176" spans="6:8" x14ac:dyDescent="0.35">
      <c r="F8176" s="1"/>
      <c r="H8176" t="s">
        <v>26</v>
      </c>
    </row>
    <row r="8177" spans="6:8" x14ac:dyDescent="0.35">
      <c r="F8177" s="1"/>
      <c r="H8177" t="s">
        <v>26</v>
      </c>
    </row>
    <row r="8178" spans="6:8" x14ac:dyDescent="0.35">
      <c r="F8178" s="1"/>
      <c r="H8178" t="s">
        <v>26</v>
      </c>
    </row>
    <row r="8179" spans="6:8" x14ac:dyDescent="0.35">
      <c r="F8179" s="1"/>
      <c r="H8179" t="s">
        <v>26</v>
      </c>
    </row>
    <row r="8180" spans="6:8" x14ac:dyDescent="0.35">
      <c r="F8180" s="1"/>
      <c r="H8180" t="s">
        <v>26</v>
      </c>
    </row>
    <row r="8181" spans="6:8" x14ac:dyDescent="0.35">
      <c r="F8181" s="1"/>
      <c r="H8181" t="s">
        <v>26</v>
      </c>
    </row>
    <row r="8182" spans="6:8" x14ac:dyDescent="0.35">
      <c r="F8182" s="1"/>
      <c r="H8182" t="s">
        <v>26</v>
      </c>
    </row>
    <row r="8183" spans="6:8" x14ac:dyDescent="0.35">
      <c r="F8183" s="1"/>
      <c r="H8183" t="s">
        <v>26</v>
      </c>
    </row>
    <row r="8184" spans="6:8" x14ac:dyDescent="0.35">
      <c r="F8184" s="1"/>
      <c r="H8184" t="s">
        <v>26</v>
      </c>
    </row>
    <row r="8185" spans="6:8" x14ac:dyDescent="0.35">
      <c r="F8185" s="1"/>
      <c r="H8185" t="s">
        <v>26</v>
      </c>
    </row>
    <row r="8186" spans="6:8" x14ac:dyDescent="0.35">
      <c r="F8186" s="1"/>
      <c r="H8186" t="s">
        <v>26</v>
      </c>
    </row>
    <row r="8187" spans="6:8" x14ac:dyDescent="0.35">
      <c r="F8187" s="1"/>
      <c r="H8187" t="s">
        <v>26</v>
      </c>
    </row>
    <row r="8188" spans="6:8" x14ac:dyDescent="0.35">
      <c r="F8188" s="1"/>
      <c r="H8188" t="s">
        <v>26</v>
      </c>
    </row>
    <row r="8189" spans="6:8" x14ac:dyDescent="0.35">
      <c r="F8189" s="1"/>
      <c r="H8189" t="s">
        <v>26</v>
      </c>
    </row>
    <row r="8190" spans="6:8" x14ac:dyDescent="0.35">
      <c r="F8190" s="1"/>
      <c r="H8190" t="s">
        <v>26</v>
      </c>
    </row>
    <row r="8191" spans="6:8" x14ac:dyDescent="0.35">
      <c r="F8191" s="1"/>
      <c r="H8191" t="s">
        <v>26</v>
      </c>
    </row>
    <row r="8192" spans="6:8" x14ac:dyDescent="0.35">
      <c r="F8192" s="1"/>
      <c r="H8192" t="s">
        <v>26</v>
      </c>
    </row>
    <row r="8193" spans="6:8" x14ac:dyDescent="0.35">
      <c r="F8193" s="1"/>
      <c r="H8193" t="s">
        <v>26</v>
      </c>
    </row>
    <row r="8194" spans="6:8" x14ac:dyDescent="0.35">
      <c r="F8194" s="1"/>
      <c r="H8194" t="s">
        <v>26</v>
      </c>
    </row>
    <row r="8195" spans="6:8" x14ac:dyDescent="0.35">
      <c r="F8195" s="1"/>
      <c r="H8195" t="s">
        <v>26</v>
      </c>
    </row>
    <row r="8196" spans="6:8" x14ac:dyDescent="0.35">
      <c r="F8196" s="1"/>
      <c r="H8196" t="s">
        <v>26</v>
      </c>
    </row>
    <row r="8197" spans="6:8" x14ac:dyDescent="0.35">
      <c r="F8197" s="1"/>
      <c r="H8197" t="s">
        <v>26</v>
      </c>
    </row>
    <row r="8198" spans="6:8" x14ac:dyDescent="0.35">
      <c r="F8198" s="1"/>
      <c r="H8198" t="s">
        <v>26</v>
      </c>
    </row>
    <row r="8199" spans="6:8" x14ac:dyDescent="0.35">
      <c r="F8199" s="1"/>
      <c r="H8199" t="s">
        <v>26</v>
      </c>
    </row>
    <row r="8200" spans="6:8" x14ac:dyDescent="0.35">
      <c r="F8200" s="1"/>
      <c r="H8200" t="s">
        <v>26</v>
      </c>
    </row>
    <row r="8201" spans="6:8" x14ac:dyDescent="0.35">
      <c r="F8201" s="1"/>
      <c r="H8201" t="s">
        <v>26</v>
      </c>
    </row>
    <row r="8202" spans="6:8" x14ac:dyDescent="0.35">
      <c r="F8202" s="1"/>
      <c r="H8202" t="s">
        <v>26</v>
      </c>
    </row>
    <row r="8203" spans="6:8" x14ac:dyDescent="0.35">
      <c r="F8203" s="1"/>
      <c r="H8203" t="s">
        <v>26</v>
      </c>
    </row>
    <row r="8204" spans="6:8" x14ac:dyDescent="0.35">
      <c r="F8204" s="1"/>
      <c r="H8204" t="s">
        <v>26</v>
      </c>
    </row>
    <row r="8205" spans="6:8" x14ac:dyDescent="0.35">
      <c r="F8205" s="1"/>
      <c r="H8205" t="s">
        <v>26</v>
      </c>
    </row>
    <row r="8206" spans="6:8" x14ac:dyDescent="0.35">
      <c r="F8206" s="1"/>
      <c r="H8206" t="s">
        <v>26</v>
      </c>
    </row>
    <row r="8207" spans="6:8" x14ac:dyDescent="0.35">
      <c r="F8207" s="1"/>
      <c r="H8207" t="s">
        <v>26</v>
      </c>
    </row>
    <row r="8208" spans="6:8" x14ac:dyDescent="0.35">
      <c r="F8208" s="1"/>
      <c r="H8208" t="s">
        <v>26</v>
      </c>
    </row>
    <row r="8209" spans="6:8" x14ac:dyDescent="0.35">
      <c r="F8209" s="1"/>
      <c r="H8209" t="s">
        <v>26</v>
      </c>
    </row>
    <row r="8210" spans="6:8" x14ac:dyDescent="0.35">
      <c r="F8210" s="1"/>
      <c r="H8210" t="s">
        <v>26</v>
      </c>
    </row>
    <row r="8211" spans="6:8" x14ac:dyDescent="0.35">
      <c r="F8211" s="1"/>
      <c r="H8211" t="s">
        <v>26</v>
      </c>
    </row>
    <row r="8212" spans="6:8" x14ac:dyDescent="0.35">
      <c r="F8212" s="1"/>
      <c r="H8212" t="s">
        <v>26</v>
      </c>
    </row>
    <row r="8213" spans="6:8" x14ac:dyDescent="0.35">
      <c r="F8213" s="1"/>
      <c r="H8213" t="s">
        <v>26</v>
      </c>
    </row>
    <row r="8214" spans="6:8" x14ac:dyDescent="0.35">
      <c r="F8214" s="1"/>
      <c r="H8214" t="s">
        <v>26</v>
      </c>
    </row>
    <row r="8215" spans="6:8" x14ac:dyDescent="0.35">
      <c r="F8215" s="1"/>
      <c r="H8215" t="s">
        <v>26</v>
      </c>
    </row>
    <row r="8216" spans="6:8" x14ac:dyDescent="0.35">
      <c r="F8216" s="1"/>
      <c r="H8216" t="s">
        <v>26</v>
      </c>
    </row>
    <row r="8217" spans="6:8" x14ac:dyDescent="0.35">
      <c r="F8217" s="1"/>
      <c r="H8217" t="s">
        <v>26</v>
      </c>
    </row>
    <row r="8218" spans="6:8" x14ac:dyDescent="0.35">
      <c r="F8218" s="1"/>
      <c r="H8218" t="s">
        <v>26</v>
      </c>
    </row>
    <row r="8219" spans="6:8" x14ac:dyDescent="0.35">
      <c r="F8219" s="1"/>
      <c r="H8219" t="s">
        <v>26</v>
      </c>
    </row>
    <row r="8220" spans="6:8" x14ac:dyDescent="0.35">
      <c r="F8220" s="1"/>
      <c r="H8220" t="s">
        <v>26</v>
      </c>
    </row>
    <row r="8221" spans="6:8" x14ac:dyDescent="0.35">
      <c r="F8221" s="1"/>
      <c r="H8221" t="s">
        <v>26</v>
      </c>
    </row>
    <row r="8222" spans="6:8" x14ac:dyDescent="0.35">
      <c r="F8222" s="1"/>
      <c r="H8222" t="s">
        <v>26</v>
      </c>
    </row>
    <row r="8223" spans="6:8" x14ac:dyDescent="0.35">
      <c r="F8223" s="1"/>
      <c r="H8223" t="s">
        <v>26</v>
      </c>
    </row>
    <row r="8224" spans="6:8" x14ac:dyDescent="0.35">
      <c r="F8224" s="1"/>
      <c r="H8224" t="s">
        <v>26</v>
      </c>
    </row>
    <row r="8225" spans="6:8" x14ac:dyDescent="0.35">
      <c r="F8225" s="1"/>
      <c r="H8225" t="s">
        <v>26</v>
      </c>
    </row>
    <row r="8226" spans="6:8" x14ac:dyDescent="0.35">
      <c r="F8226" s="1"/>
      <c r="H8226" t="s">
        <v>26</v>
      </c>
    </row>
    <row r="8227" spans="6:8" x14ac:dyDescent="0.35">
      <c r="F8227" s="1"/>
      <c r="H8227" t="s">
        <v>26</v>
      </c>
    </row>
    <row r="8228" spans="6:8" x14ac:dyDescent="0.35">
      <c r="F8228" s="1"/>
      <c r="H8228" t="s">
        <v>26</v>
      </c>
    </row>
    <row r="8229" spans="6:8" x14ac:dyDescent="0.35">
      <c r="F8229" s="1"/>
      <c r="H8229" t="s">
        <v>26</v>
      </c>
    </row>
    <row r="8230" spans="6:8" x14ac:dyDescent="0.35">
      <c r="F8230" s="1"/>
      <c r="H8230" t="s">
        <v>26</v>
      </c>
    </row>
    <row r="8231" spans="6:8" x14ac:dyDescent="0.35">
      <c r="F8231" s="1"/>
      <c r="H8231" t="s">
        <v>26</v>
      </c>
    </row>
    <row r="8232" spans="6:8" x14ac:dyDescent="0.35">
      <c r="F8232" s="1"/>
      <c r="H8232" t="s">
        <v>26</v>
      </c>
    </row>
    <row r="8233" spans="6:8" x14ac:dyDescent="0.35">
      <c r="F8233" s="1"/>
      <c r="H8233" t="s">
        <v>26</v>
      </c>
    </row>
    <row r="8234" spans="6:8" x14ac:dyDescent="0.35">
      <c r="F8234" s="1"/>
      <c r="H8234" t="s">
        <v>26</v>
      </c>
    </row>
    <row r="8235" spans="6:8" x14ac:dyDescent="0.35">
      <c r="F8235" s="1"/>
      <c r="H8235" t="s">
        <v>26</v>
      </c>
    </row>
    <row r="8236" spans="6:8" x14ac:dyDescent="0.35">
      <c r="F8236" s="1"/>
      <c r="H8236" t="s">
        <v>26</v>
      </c>
    </row>
    <row r="8237" spans="6:8" x14ac:dyDescent="0.35">
      <c r="F8237" s="1"/>
      <c r="H8237" t="s">
        <v>26</v>
      </c>
    </row>
    <row r="8238" spans="6:8" x14ac:dyDescent="0.35">
      <c r="F8238" s="1"/>
      <c r="H8238" t="s">
        <v>26</v>
      </c>
    </row>
    <row r="8239" spans="6:8" x14ac:dyDescent="0.35">
      <c r="F8239" s="1"/>
      <c r="H8239" t="s">
        <v>26</v>
      </c>
    </row>
    <row r="8240" spans="6:8" x14ac:dyDescent="0.35">
      <c r="F8240" s="1"/>
      <c r="H8240" t="s">
        <v>26</v>
      </c>
    </row>
    <row r="8241" spans="6:8" x14ac:dyDescent="0.35">
      <c r="F8241" s="1"/>
      <c r="H8241" t="s">
        <v>26</v>
      </c>
    </row>
    <row r="8242" spans="6:8" x14ac:dyDescent="0.35">
      <c r="F8242" s="1"/>
      <c r="H8242" t="s">
        <v>26</v>
      </c>
    </row>
    <row r="8243" spans="6:8" x14ac:dyDescent="0.35">
      <c r="F8243" s="1"/>
      <c r="H8243" t="s">
        <v>26</v>
      </c>
    </row>
    <row r="8244" spans="6:8" x14ac:dyDescent="0.35">
      <c r="F8244" s="1"/>
      <c r="H8244" t="s">
        <v>26</v>
      </c>
    </row>
    <row r="8245" spans="6:8" x14ac:dyDescent="0.35">
      <c r="F8245" s="1"/>
      <c r="H8245" t="s">
        <v>26</v>
      </c>
    </row>
    <row r="8246" spans="6:8" x14ac:dyDescent="0.35">
      <c r="F8246" s="1"/>
      <c r="H8246" t="s">
        <v>26</v>
      </c>
    </row>
    <row r="8247" spans="6:8" x14ac:dyDescent="0.35">
      <c r="F8247" s="1"/>
      <c r="H8247" t="s">
        <v>26</v>
      </c>
    </row>
    <row r="8248" spans="6:8" x14ac:dyDescent="0.35">
      <c r="F8248" s="1"/>
      <c r="H8248" t="s">
        <v>26</v>
      </c>
    </row>
    <row r="8249" spans="6:8" x14ac:dyDescent="0.35">
      <c r="F8249" s="1"/>
      <c r="H8249" t="s">
        <v>26</v>
      </c>
    </row>
    <row r="8250" spans="6:8" x14ac:dyDescent="0.35">
      <c r="F8250" s="1"/>
      <c r="H8250" t="s">
        <v>26</v>
      </c>
    </row>
    <row r="8251" spans="6:8" x14ac:dyDescent="0.35">
      <c r="F8251" s="1"/>
      <c r="H8251" t="s">
        <v>26</v>
      </c>
    </row>
    <row r="8252" spans="6:8" x14ac:dyDescent="0.35">
      <c r="F8252" s="1"/>
      <c r="H8252" t="s">
        <v>26</v>
      </c>
    </row>
    <row r="8253" spans="6:8" x14ac:dyDescent="0.35">
      <c r="F8253" s="1"/>
      <c r="H8253" t="s">
        <v>26</v>
      </c>
    </row>
    <row r="8254" spans="6:8" x14ac:dyDescent="0.35">
      <c r="F8254" s="1"/>
      <c r="H8254" t="s">
        <v>26</v>
      </c>
    </row>
    <row r="8255" spans="6:8" x14ac:dyDescent="0.35">
      <c r="F8255" s="1"/>
      <c r="H8255" t="s">
        <v>26</v>
      </c>
    </row>
    <row r="8256" spans="6:8" x14ac:dyDescent="0.35">
      <c r="F8256" s="1"/>
      <c r="H8256" t="s">
        <v>26</v>
      </c>
    </row>
    <row r="8257" spans="6:8" x14ac:dyDescent="0.35">
      <c r="F8257" s="1"/>
      <c r="H8257" t="s">
        <v>26</v>
      </c>
    </row>
    <row r="8258" spans="6:8" x14ac:dyDescent="0.35">
      <c r="F8258" s="1"/>
      <c r="H8258" t="s">
        <v>26</v>
      </c>
    </row>
    <row r="8259" spans="6:8" x14ac:dyDescent="0.35">
      <c r="F8259" s="1"/>
      <c r="H8259" t="s">
        <v>26</v>
      </c>
    </row>
    <row r="8260" spans="6:8" x14ac:dyDescent="0.35">
      <c r="F8260" s="1"/>
      <c r="H8260" t="s">
        <v>26</v>
      </c>
    </row>
    <row r="8261" spans="6:8" x14ac:dyDescent="0.35">
      <c r="F8261" s="1"/>
      <c r="H8261" t="s">
        <v>26</v>
      </c>
    </row>
    <row r="8262" spans="6:8" x14ac:dyDescent="0.35">
      <c r="F8262" s="1"/>
      <c r="H8262" t="s">
        <v>26</v>
      </c>
    </row>
    <row r="8263" spans="6:8" x14ac:dyDescent="0.35">
      <c r="F8263" s="1"/>
      <c r="H8263" t="s">
        <v>26</v>
      </c>
    </row>
    <row r="8264" spans="6:8" x14ac:dyDescent="0.35">
      <c r="F8264" s="1"/>
      <c r="H8264" t="s">
        <v>26</v>
      </c>
    </row>
    <row r="8265" spans="6:8" x14ac:dyDescent="0.35">
      <c r="F8265" s="1"/>
      <c r="H8265" t="s">
        <v>26</v>
      </c>
    </row>
    <row r="8266" spans="6:8" x14ac:dyDescent="0.35">
      <c r="F8266" s="1"/>
      <c r="H8266" t="s">
        <v>26</v>
      </c>
    </row>
    <row r="8267" spans="6:8" x14ac:dyDescent="0.35">
      <c r="F8267" s="1"/>
      <c r="H8267" t="s">
        <v>26</v>
      </c>
    </row>
    <row r="8268" spans="6:8" x14ac:dyDescent="0.35">
      <c r="F8268" s="1"/>
      <c r="H8268" t="s">
        <v>26</v>
      </c>
    </row>
    <row r="8269" spans="6:8" x14ac:dyDescent="0.35">
      <c r="F8269" s="1"/>
      <c r="H8269" t="s">
        <v>26</v>
      </c>
    </row>
    <row r="8270" spans="6:8" x14ac:dyDescent="0.35">
      <c r="F8270" s="1"/>
      <c r="H8270" t="s">
        <v>26</v>
      </c>
    </row>
    <row r="8271" spans="6:8" x14ac:dyDescent="0.35">
      <c r="F8271" s="1"/>
      <c r="H8271" t="s">
        <v>26</v>
      </c>
    </row>
    <row r="8272" spans="6:8" x14ac:dyDescent="0.35">
      <c r="F8272" s="1"/>
      <c r="H8272" t="s">
        <v>26</v>
      </c>
    </row>
    <row r="8273" spans="6:8" x14ac:dyDescent="0.35">
      <c r="F8273" s="1"/>
      <c r="H8273" t="s">
        <v>26</v>
      </c>
    </row>
    <row r="8274" spans="6:8" x14ac:dyDescent="0.35">
      <c r="F8274" s="1"/>
      <c r="H8274" t="s">
        <v>26</v>
      </c>
    </row>
    <row r="8275" spans="6:8" x14ac:dyDescent="0.35">
      <c r="F8275" s="1"/>
      <c r="H8275" t="s">
        <v>26</v>
      </c>
    </row>
    <row r="8276" spans="6:8" x14ac:dyDescent="0.35">
      <c r="F8276" s="1"/>
      <c r="H8276" t="s">
        <v>26</v>
      </c>
    </row>
    <row r="8277" spans="6:8" x14ac:dyDescent="0.35">
      <c r="F8277" s="1"/>
      <c r="H8277" t="s">
        <v>26</v>
      </c>
    </row>
    <row r="8278" spans="6:8" x14ac:dyDescent="0.35">
      <c r="F8278" s="1"/>
      <c r="H8278" t="s">
        <v>26</v>
      </c>
    </row>
    <row r="8279" spans="6:8" x14ac:dyDescent="0.35">
      <c r="F8279" s="1"/>
      <c r="H8279" t="s">
        <v>26</v>
      </c>
    </row>
    <row r="8280" spans="6:8" x14ac:dyDescent="0.35">
      <c r="F8280" s="1"/>
      <c r="H8280" t="s">
        <v>26</v>
      </c>
    </row>
    <row r="8281" spans="6:8" x14ac:dyDescent="0.35">
      <c r="F8281" s="1"/>
      <c r="H8281" t="s">
        <v>26</v>
      </c>
    </row>
    <row r="8282" spans="6:8" x14ac:dyDescent="0.35">
      <c r="F8282" s="1"/>
      <c r="H8282" t="s">
        <v>26</v>
      </c>
    </row>
    <row r="8283" spans="6:8" x14ac:dyDescent="0.35">
      <c r="F8283" s="1"/>
      <c r="H8283" t="s">
        <v>26</v>
      </c>
    </row>
    <row r="8284" spans="6:8" x14ac:dyDescent="0.35">
      <c r="F8284" s="1"/>
      <c r="H8284" t="s">
        <v>26</v>
      </c>
    </row>
    <row r="8285" spans="6:8" x14ac:dyDescent="0.35">
      <c r="F8285" s="1"/>
      <c r="H8285" t="s">
        <v>26</v>
      </c>
    </row>
    <row r="8286" spans="6:8" x14ac:dyDescent="0.35">
      <c r="F8286" s="1"/>
      <c r="H8286" t="s">
        <v>26</v>
      </c>
    </row>
    <row r="8287" spans="6:8" x14ac:dyDescent="0.35">
      <c r="F8287" s="1"/>
      <c r="H8287" t="s">
        <v>26</v>
      </c>
    </row>
    <row r="8288" spans="6:8" x14ac:dyDescent="0.35">
      <c r="F8288" s="1"/>
      <c r="H8288" t="s">
        <v>26</v>
      </c>
    </row>
    <row r="8289" spans="6:8" x14ac:dyDescent="0.35">
      <c r="F8289" s="1"/>
      <c r="H8289" t="s">
        <v>26</v>
      </c>
    </row>
    <row r="8290" spans="6:8" x14ac:dyDescent="0.35">
      <c r="F8290" s="1"/>
      <c r="H8290" t="s">
        <v>26</v>
      </c>
    </row>
    <row r="8291" spans="6:8" x14ac:dyDescent="0.35">
      <c r="F8291" s="1"/>
      <c r="H8291" t="s">
        <v>26</v>
      </c>
    </row>
    <row r="8292" spans="6:8" x14ac:dyDescent="0.35">
      <c r="F8292" s="1"/>
      <c r="H8292" t="s">
        <v>26</v>
      </c>
    </row>
    <row r="8293" spans="6:8" x14ac:dyDescent="0.35">
      <c r="F8293" s="1"/>
      <c r="H8293" t="s">
        <v>26</v>
      </c>
    </row>
    <row r="8294" spans="6:8" x14ac:dyDescent="0.35">
      <c r="F8294" s="1"/>
      <c r="H8294" t="s">
        <v>26</v>
      </c>
    </row>
    <row r="8295" spans="6:8" x14ac:dyDescent="0.35">
      <c r="F8295" s="1"/>
      <c r="H8295" t="s">
        <v>26</v>
      </c>
    </row>
    <row r="8296" spans="6:8" x14ac:dyDescent="0.35">
      <c r="F8296" s="1"/>
      <c r="H8296" t="s">
        <v>26</v>
      </c>
    </row>
    <row r="8297" spans="6:8" x14ac:dyDescent="0.35">
      <c r="F8297" s="1"/>
      <c r="H8297" t="s">
        <v>26</v>
      </c>
    </row>
    <row r="8298" spans="6:8" x14ac:dyDescent="0.35">
      <c r="F8298" s="1"/>
      <c r="H8298" t="s">
        <v>26</v>
      </c>
    </row>
    <row r="8299" spans="6:8" x14ac:dyDescent="0.35">
      <c r="F8299" s="1"/>
      <c r="H8299" t="s">
        <v>26</v>
      </c>
    </row>
    <row r="8300" spans="6:8" x14ac:dyDescent="0.35">
      <c r="F8300" s="1"/>
      <c r="H8300" t="s">
        <v>26</v>
      </c>
    </row>
    <row r="8301" spans="6:8" x14ac:dyDescent="0.35">
      <c r="F8301" s="1"/>
      <c r="H8301" t="s">
        <v>26</v>
      </c>
    </row>
    <row r="8302" spans="6:8" x14ac:dyDescent="0.35">
      <c r="F8302" s="1"/>
      <c r="H8302" t="s">
        <v>26</v>
      </c>
    </row>
    <row r="8303" spans="6:8" x14ac:dyDescent="0.35">
      <c r="F8303" s="1"/>
      <c r="H8303" t="s">
        <v>26</v>
      </c>
    </row>
    <row r="8304" spans="6:8" x14ac:dyDescent="0.35">
      <c r="F8304" s="1"/>
      <c r="H8304" t="s">
        <v>26</v>
      </c>
    </row>
    <row r="8305" spans="6:8" x14ac:dyDescent="0.35">
      <c r="F8305" s="1"/>
      <c r="H8305" t="s">
        <v>26</v>
      </c>
    </row>
    <row r="8306" spans="6:8" x14ac:dyDescent="0.35">
      <c r="F8306" s="1"/>
      <c r="H8306" t="s">
        <v>26</v>
      </c>
    </row>
    <row r="8307" spans="6:8" x14ac:dyDescent="0.35">
      <c r="F8307" s="1"/>
      <c r="H8307" t="s">
        <v>26</v>
      </c>
    </row>
    <row r="8308" spans="6:8" x14ac:dyDescent="0.35">
      <c r="F8308" s="1"/>
      <c r="H8308" t="s">
        <v>26</v>
      </c>
    </row>
    <row r="8309" spans="6:8" x14ac:dyDescent="0.35">
      <c r="F8309" s="1"/>
      <c r="H8309" t="s">
        <v>26</v>
      </c>
    </row>
    <row r="8310" spans="6:8" x14ac:dyDescent="0.35">
      <c r="F8310" s="1"/>
      <c r="H8310" t="s">
        <v>26</v>
      </c>
    </row>
    <row r="8311" spans="6:8" x14ac:dyDescent="0.35">
      <c r="F8311" s="1"/>
      <c r="H8311" t="s">
        <v>26</v>
      </c>
    </row>
    <row r="8312" spans="6:8" x14ac:dyDescent="0.35">
      <c r="F8312" s="1"/>
      <c r="H8312" t="s">
        <v>26</v>
      </c>
    </row>
    <row r="8313" spans="6:8" x14ac:dyDescent="0.35">
      <c r="F8313" s="1"/>
      <c r="H8313" t="s">
        <v>26</v>
      </c>
    </row>
    <row r="8314" spans="6:8" x14ac:dyDescent="0.35">
      <c r="F8314" s="1"/>
      <c r="H8314" t="s">
        <v>26</v>
      </c>
    </row>
    <row r="8315" spans="6:8" x14ac:dyDescent="0.35">
      <c r="F8315" s="1"/>
      <c r="H8315" t="s">
        <v>26</v>
      </c>
    </row>
    <row r="8316" spans="6:8" x14ac:dyDescent="0.35">
      <c r="F8316" s="1"/>
      <c r="H8316" t="s">
        <v>26</v>
      </c>
    </row>
    <row r="8317" spans="6:8" x14ac:dyDescent="0.35">
      <c r="F8317" s="1"/>
      <c r="H8317" t="s">
        <v>26</v>
      </c>
    </row>
    <row r="8318" spans="6:8" x14ac:dyDescent="0.35">
      <c r="F8318" s="1"/>
      <c r="H8318" t="s">
        <v>26</v>
      </c>
    </row>
    <row r="8319" spans="6:8" x14ac:dyDescent="0.35">
      <c r="F8319" s="1"/>
      <c r="H8319" t="s">
        <v>26</v>
      </c>
    </row>
    <row r="8320" spans="6:8" x14ac:dyDescent="0.35">
      <c r="F8320" s="1"/>
      <c r="H8320" t="s">
        <v>26</v>
      </c>
    </row>
    <row r="8321" spans="6:8" x14ac:dyDescent="0.35">
      <c r="F8321" s="1"/>
      <c r="H8321" t="s">
        <v>26</v>
      </c>
    </row>
    <row r="8322" spans="6:8" x14ac:dyDescent="0.35">
      <c r="F8322" s="1"/>
      <c r="H8322" t="s">
        <v>26</v>
      </c>
    </row>
    <row r="8323" spans="6:8" x14ac:dyDescent="0.35">
      <c r="F8323" s="1"/>
      <c r="H8323" t="s">
        <v>26</v>
      </c>
    </row>
    <row r="8324" spans="6:8" x14ac:dyDescent="0.35">
      <c r="F8324" s="1"/>
      <c r="H8324" t="s">
        <v>26</v>
      </c>
    </row>
    <row r="8325" spans="6:8" x14ac:dyDescent="0.35">
      <c r="F8325" s="1"/>
      <c r="H8325" t="s">
        <v>26</v>
      </c>
    </row>
    <row r="8326" spans="6:8" x14ac:dyDescent="0.35">
      <c r="F8326" s="1"/>
      <c r="H8326" t="s">
        <v>26</v>
      </c>
    </row>
    <row r="8327" spans="6:8" x14ac:dyDescent="0.35">
      <c r="F8327" s="1"/>
      <c r="H8327" t="s">
        <v>26</v>
      </c>
    </row>
    <row r="8328" spans="6:8" x14ac:dyDescent="0.35">
      <c r="F8328" s="1"/>
      <c r="H8328" t="s">
        <v>26</v>
      </c>
    </row>
    <row r="8329" spans="6:8" x14ac:dyDescent="0.35">
      <c r="F8329" s="1"/>
      <c r="H8329" t="s">
        <v>26</v>
      </c>
    </row>
    <row r="8330" spans="6:8" x14ac:dyDescent="0.35">
      <c r="F8330" s="1"/>
      <c r="H8330" t="s">
        <v>26</v>
      </c>
    </row>
    <row r="8331" spans="6:8" x14ac:dyDescent="0.35">
      <c r="F8331" s="1"/>
      <c r="H8331" t="s">
        <v>26</v>
      </c>
    </row>
    <row r="8332" spans="6:8" x14ac:dyDescent="0.35">
      <c r="F8332" s="1"/>
      <c r="H8332" t="s">
        <v>26</v>
      </c>
    </row>
    <row r="8333" spans="6:8" x14ac:dyDescent="0.35">
      <c r="F8333" s="1"/>
      <c r="H8333" t="s">
        <v>26</v>
      </c>
    </row>
    <row r="8334" spans="6:8" x14ac:dyDescent="0.35">
      <c r="F8334" s="1"/>
      <c r="H8334" t="s">
        <v>26</v>
      </c>
    </row>
    <row r="8335" spans="6:8" x14ac:dyDescent="0.35">
      <c r="F8335" s="1"/>
      <c r="H8335" t="s">
        <v>26</v>
      </c>
    </row>
    <row r="8336" spans="6:8" x14ac:dyDescent="0.35">
      <c r="F8336" s="1"/>
      <c r="H8336" t="s">
        <v>26</v>
      </c>
    </row>
    <row r="8337" spans="6:8" x14ac:dyDescent="0.35">
      <c r="F8337" s="1"/>
      <c r="H8337" t="s">
        <v>26</v>
      </c>
    </row>
    <row r="8338" spans="6:8" x14ac:dyDescent="0.35">
      <c r="F8338" s="1"/>
      <c r="H8338" t="s">
        <v>26</v>
      </c>
    </row>
    <row r="8339" spans="6:8" x14ac:dyDescent="0.35">
      <c r="F8339" s="1"/>
      <c r="H8339" t="s">
        <v>26</v>
      </c>
    </row>
    <row r="8340" spans="6:8" x14ac:dyDescent="0.35">
      <c r="F8340" s="1"/>
      <c r="H8340" t="s">
        <v>26</v>
      </c>
    </row>
    <row r="8341" spans="6:8" x14ac:dyDescent="0.35">
      <c r="F8341" s="1"/>
      <c r="H8341" t="s">
        <v>26</v>
      </c>
    </row>
    <row r="8342" spans="6:8" x14ac:dyDescent="0.35">
      <c r="F8342" s="1"/>
      <c r="H8342" t="s">
        <v>26</v>
      </c>
    </row>
    <row r="8343" spans="6:8" x14ac:dyDescent="0.35">
      <c r="F8343" s="1"/>
      <c r="H8343" t="s">
        <v>26</v>
      </c>
    </row>
    <row r="8344" spans="6:8" x14ac:dyDescent="0.35">
      <c r="F8344" s="1"/>
      <c r="H8344" t="s">
        <v>26</v>
      </c>
    </row>
    <row r="8345" spans="6:8" x14ac:dyDescent="0.35">
      <c r="F8345" s="1"/>
      <c r="H8345" t="s">
        <v>26</v>
      </c>
    </row>
    <row r="8346" spans="6:8" x14ac:dyDescent="0.35">
      <c r="F8346" s="1"/>
      <c r="H8346" t="s">
        <v>26</v>
      </c>
    </row>
    <row r="8347" spans="6:8" x14ac:dyDescent="0.35">
      <c r="F8347" s="1"/>
      <c r="H8347" t="s">
        <v>26</v>
      </c>
    </row>
    <row r="8348" spans="6:8" x14ac:dyDescent="0.35">
      <c r="F8348" s="1"/>
      <c r="H8348" t="s">
        <v>26</v>
      </c>
    </row>
    <row r="8349" spans="6:8" x14ac:dyDescent="0.35">
      <c r="F8349" s="1"/>
      <c r="H8349" t="s">
        <v>26</v>
      </c>
    </row>
    <row r="8350" spans="6:8" x14ac:dyDescent="0.35">
      <c r="F8350" s="1"/>
      <c r="H8350" t="s">
        <v>26</v>
      </c>
    </row>
    <row r="8351" spans="6:8" x14ac:dyDescent="0.35">
      <c r="F8351" s="1"/>
      <c r="H8351" t="s">
        <v>26</v>
      </c>
    </row>
    <row r="8352" spans="6:8" x14ac:dyDescent="0.35">
      <c r="F8352" s="1"/>
      <c r="H8352" t="s">
        <v>26</v>
      </c>
    </row>
    <row r="8353" spans="6:8" x14ac:dyDescent="0.35">
      <c r="F8353" s="1"/>
      <c r="H8353" t="s">
        <v>26</v>
      </c>
    </row>
    <row r="8354" spans="6:8" x14ac:dyDescent="0.35">
      <c r="F8354" s="1"/>
      <c r="H8354" t="s">
        <v>26</v>
      </c>
    </row>
    <row r="8355" spans="6:8" x14ac:dyDescent="0.35">
      <c r="F8355" s="1"/>
      <c r="H8355" t="s">
        <v>26</v>
      </c>
    </row>
    <row r="8356" spans="6:8" x14ac:dyDescent="0.35">
      <c r="F8356" s="1"/>
      <c r="H8356" t="s">
        <v>26</v>
      </c>
    </row>
    <row r="8357" spans="6:8" x14ac:dyDescent="0.35">
      <c r="F8357" s="1"/>
      <c r="H8357" t="s">
        <v>26</v>
      </c>
    </row>
    <row r="8358" spans="6:8" x14ac:dyDescent="0.35">
      <c r="F8358" s="1"/>
      <c r="H8358" t="s">
        <v>26</v>
      </c>
    </row>
    <row r="8359" spans="6:8" x14ac:dyDescent="0.35">
      <c r="F8359" s="1"/>
      <c r="H8359" t="s">
        <v>26</v>
      </c>
    </row>
    <row r="8360" spans="6:8" x14ac:dyDescent="0.35">
      <c r="F8360" s="1"/>
      <c r="H8360" t="s">
        <v>26</v>
      </c>
    </row>
    <row r="8361" spans="6:8" x14ac:dyDescent="0.35">
      <c r="F8361" s="1"/>
      <c r="H8361" t="s">
        <v>26</v>
      </c>
    </row>
    <row r="8362" spans="6:8" x14ac:dyDescent="0.35">
      <c r="F8362" s="1"/>
      <c r="H8362" t="s">
        <v>26</v>
      </c>
    </row>
    <row r="8363" spans="6:8" x14ac:dyDescent="0.35">
      <c r="F8363" s="1"/>
      <c r="H8363" t="s">
        <v>26</v>
      </c>
    </row>
    <row r="8364" spans="6:8" x14ac:dyDescent="0.35">
      <c r="F8364" s="1"/>
      <c r="H8364" t="s">
        <v>26</v>
      </c>
    </row>
    <row r="8365" spans="6:8" x14ac:dyDescent="0.35">
      <c r="F8365" s="1"/>
      <c r="H8365" t="s">
        <v>26</v>
      </c>
    </row>
    <row r="8366" spans="6:8" x14ac:dyDescent="0.35">
      <c r="F8366" s="1"/>
      <c r="H8366" t="s">
        <v>26</v>
      </c>
    </row>
    <row r="8367" spans="6:8" x14ac:dyDescent="0.35">
      <c r="F8367" s="1"/>
      <c r="H8367" t="s">
        <v>26</v>
      </c>
    </row>
    <row r="8368" spans="6:8" x14ac:dyDescent="0.35">
      <c r="F8368" s="1"/>
      <c r="H8368" t="s">
        <v>26</v>
      </c>
    </row>
    <row r="8369" spans="6:8" x14ac:dyDescent="0.35">
      <c r="F8369" s="1"/>
      <c r="H8369" t="s">
        <v>26</v>
      </c>
    </row>
    <row r="8370" spans="6:8" x14ac:dyDescent="0.35">
      <c r="F8370" s="1"/>
      <c r="H8370" t="s">
        <v>26</v>
      </c>
    </row>
    <row r="8371" spans="6:8" x14ac:dyDescent="0.35">
      <c r="F8371" s="1"/>
      <c r="H8371" t="s">
        <v>26</v>
      </c>
    </row>
    <row r="8372" spans="6:8" x14ac:dyDescent="0.35">
      <c r="F8372" s="1"/>
      <c r="H8372" t="s">
        <v>26</v>
      </c>
    </row>
    <row r="8373" spans="6:8" x14ac:dyDescent="0.35">
      <c r="F8373" s="1"/>
      <c r="H8373" t="s">
        <v>26</v>
      </c>
    </row>
    <row r="8374" spans="6:8" x14ac:dyDescent="0.35">
      <c r="F8374" s="1"/>
      <c r="H8374" t="s">
        <v>26</v>
      </c>
    </row>
    <row r="8375" spans="6:8" x14ac:dyDescent="0.35">
      <c r="F8375" s="1"/>
      <c r="H8375" t="s">
        <v>26</v>
      </c>
    </row>
    <row r="8376" spans="6:8" x14ac:dyDescent="0.35">
      <c r="F8376" s="1"/>
      <c r="H8376" t="s">
        <v>26</v>
      </c>
    </row>
    <row r="8377" spans="6:8" x14ac:dyDescent="0.35">
      <c r="F8377" s="1"/>
      <c r="H8377" t="s">
        <v>26</v>
      </c>
    </row>
    <row r="8378" spans="6:8" x14ac:dyDescent="0.35">
      <c r="F8378" s="1"/>
      <c r="H8378" t="s">
        <v>26</v>
      </c>
    </row>
    <row r="8379" spans="6:8" x14ac:dyDescent="0.35">
      <c r="F8379" s="1"/>
      <c r="H8379" t="s">
        <v>26</v>
      </c>
    </row>
    <row r="8380" spans="6:8" x14ac:dyDescent="0.35">
      <c r="F8380" s="1"/>
      <c r="H8380" t="s">
        <v>26</v>
      </c>
    </row>
    <row r="8381" spans="6:8" x14ac:dyDescent="0.35">
      <c r="F8381" s="1"/>
      <c r="H8381" t="s">
        <v>26</v>
      </c>
    </row>
    <row r="8382" spans="6:8" x14ac:dyDescent="0.35">
      <c r="F8382" s="1"/>
      <c r="H8382" t="s">
        <v>26</v>
      </c>
    </row>
    <row r="8383" spans="6:8" x14ac:dyDescent="0.35">
      <c r="F8383" s="1"/>
      <c r="H8383" t="s">
        <v>26</v>
      </c>
    </row>
    <row r="8384" spans="6:8" x14ac:dyDescent="0.35">
      <c r="F8384" s="1"/>
      <c r="H8384" t="s">
        <v>26</v>
      </c>
    </row>
    <row r="8385" spans="6:8" x14ac:dyDescent="0.35">
      <c r="F8385" s="1"/>
      <c r="H8385" t="s">
        <v>26</v>
      </c>
    </row>
    <row r="8386" spans="6:8" x14ac:dyDescent="0.35">
      <c r="F8386" s="1"/>
      <c r="H8386" t="s">
        <v>26</v>
      </c>
    </row>
    <row r="8387" spans="6:8" x14ac:dyDescent="0.35">
      <c r="F8387" s="1"/>
      <c r="H8387" t="s">
        <v>26</v>
      </c>
    </row>
    <row r="8388" spans="6:8" x14ac:dyDescent="0.35">
      <c r="F8388" s="1"/>
      <c r="H8388" t="s">
        <v>26</v>
      </c>
    </row>
    <row r="8389" spans="6:8" x14ac:dyDescent="0.35">
      <c r="F8389" s="1"/>
      <c r="H8389" t="s">
        <v>26</v>
      </c>
    </row>
    <row r="8390" spans="6:8" x14ac:dyDescent="0.35">
      <c r="F8390" s="1"/>
      <c r="H8390" t="s">
        <v>26</v>
      </c>
    </row>
    <row r="8391" spans="6:8" x14ac:dyDescent="0.35">
      <c r="F8391" s="1"/>
      <c r="H8391" t="s">
        <v>26</v>
      </c>
    </row>
    <row r="8392" spans="6:8" x14ac:dyDescent="0.35">
      <c r="F8392" s="1"/>
      <c r="H8392" t="s">
        <v>26</v>
      </c>
    </row>
    <row r="8393" spans="6:8" x14ac:dyDescent="0.35">
      <c r="F8393" s="1"/>
      <c r="H8393" t="s">
        <v>26</v>
      </c>
    </row>
    <row r="8394" spans="6:8" x14ac:dyDescent="0.35">
      <c r="F8394" s="1"/>
      <c r="H8394" t="s">
        <v>26</v>
      </c>
    </row>
    <row r="8395" spans="6:8" x14ac:dyDescent="0.35">
      <c r="F8395" s="1"/>
      <c r="H8395" t="s">
        <v>26</v>
      </c>
    </row>
    <row r="8396" spans="6:8" x14ac:dyDescent="0.35">
      <c r="F8396" s="1"/>
      <c r="H8396" t="s">
        <v>26</v>
      </c>
    </row>
    <row r="8397" spans="6:8" x14ac:dyDescent="0.35">
      <c r="F8397" s="1"/>
      <c r="H8397" t="s">
        <v>26</v>
      </c>
    </row>
    <row r="8398" spans="6:8" x14ac:dyDescent="0.35">
      <c r="F8398" s="1"/>
      <c r="H8398" t="s">
        <v>26</v>
      </c>
    </row>
    <row r="8399" spans="6:8" x14ac:dyDescent="0.35">
      <c r="F8399" s="1"/>
      <c r="H8399" t="s">
        <v>26</v>
      </c>
    </row>
    <row r="8400" spans="6:8" x14ac:dyDescent="0.35">
      <c r="F8400" s="1"/>
      <c r="H8400" t="s">
        <v>26</v>
      </c>
    </row>
    <row r="8401" spans="6:8" x14ac:dyDescent="0.35">
      <c r="F8401" s="1"/>
      <c r="H8401" t="s">
        <v>26</v>
      </c>
    </row>
    <row r="8402" spans="6:8" x14ac:dyDescent="0.35">
      <c r="F8402" s="1"/>
      <c r="H8402" t="s">
        <v>26</v>
      </c>
    </row>
    <row r="8403" spans="6:8" x14ac:dyDescent="0.35">
      <c r="F8403" s="1"/>
      <c r="H8403" t="s">
        <v>26</v>
      </c>
    </row>
    <row r="8404" spans="6:8" x14ac:dyDescent="0.35">
      <c r="F8404" s="1"/>
      <c r="H8404" t="s">
        <v>26</v>
      </c>
    </row>
    <row r="8405" spans="6:8" x14ac:dyDescent="0.35">
      <c r="F8405" s="1"/>
      <c r="H8405" t="s">
        <v>26</v>
      </c>
    </row>
    <row r="8406" spans="6:8" x14ac:dyDescent="0.35">
      <c r="F8406" s="1"/>
      <c r="H8406" t="s">
        <v>26</v>
      </c>
    </row>
    <row r="8407" spans="6:8" x14ac:dyDescent="0.35">
      <c r="F8407" s="1"/>
      <c r="H8407" t="s">
        <v>26</v>
      </c>
    </row>
    <row r="8408" spans="6:8" x14ac:dyDescent="0.35">
      <c r="F8408" s="1"/>
      <c r="H8408" t="s">
        <v>26</v>
      </c>
    </row>
    <row r="8409" spans="6:8" x14ac:dyDescent="0.35">
      <c r="F8409" s="1"/>
      <c r="H8409" t="s">
        <v>26</v>
      </c>
    </row>
    <row r="8410" spans="6:8" x14ac:dyDescent="0.35">
      <c r="F8410" s="1"/>
      <c r="H8410" t="s">
        <v>26</v>
      </c>
    </row>
    <row r="8411" spans="6:8" x14ac:dyDescent="0.35">
      <c r="F8411" s="1"/>
      <c r="H8411" t="s">
        <v>26</v>
      </c>
    </row>
    <row r="8412" spans="6:8" x14ac:dyDescent="0.35">
      <c r="F8412" s="1"/>
      <c r="H8412" t="s">
        <v>26</v>
      </c>
    </row>
    <row r="8413" spans="6:8" x14ac:dyDescent="0.35">
      <c r="F8413" s="1"/>
      <c r="H8413" t="s">
        <v>26</v>
      </c>
    </row>
    <row r="8414" spans="6:8" x14ac:dyDescent="0.35">
      <c r="F8414" s="1"/>
      <c r="H8414" t="s">
        <v>26</v>
      </c>
    </row>
    <row r="8415" spans="6:8" x14ac:dyDescent="0.35">
      <c r="F8415" s="1"/>
      <c r="H8415" t="s">
        <v>26</v>
      </c>
    </row>
    <row r="8416" spans="6:8" x14ac:dyDescent="0.35">
      <c r="F8416" s="1"/>
      <c r="H8416" t="s">
        <v>26</v>
      </c>
    </row>
    <row r="8417" spans="6:8" x14ac:dyDescent="0.35">
      <c r="F8417" s="1"/>
      <c r="H8417" t="s">
        <v>26</v>
      </c>
    </row>
    <row r="8418" spans="6:8" x14ac:dyDescent="0.35">
      <c r="F8418" s="1"/>
      <c r="H8418" t="s">
        <v>26</v>
      </c>
    </row>
    <row r="8419" spans="6:8" x14ac:dyDescent="0.35">
      <c r="F8419" s="1"/>
      <c r="H8419" t="s">
        <v>26</v>
      </c>
    </row>
    <row r="8420" spans="6:8" x14ac:dyDescent="0.35">
      <c r="F8420" s="1"/>
      <c r="H8420" t="s">
        <v>26</v>
      </c>
    </row>
    <row r="8421" spans="6:8" x14ac:dyDescent="0.35">
      <c r="F8421" s="1"/>
      <c r="H8421" t="s">
        <v>26</v>
      </c>
    </row>
    <row r="8422" spans="6:8" x14ac:dyDescent="0.35">
      <c r="F8422" s="1"/>
      <c r="H8422" t="s">
        <v>26</v>
      </c>
    </row>
    <row r="8423" spans="6:8" x14ac:dyDescent="0.35">
      <c r="F8423" s="1"/>
      <c r="H8423" t="s">
        <v>26</v>
      </c>
    </row>
    <row r="8424" spans="6:8" x14ac:dyDescent="0.35">
      <c r="F8424" s="1"/>
      <c r="H8424" t="s">
        <v>26</v>
      </c>
    </row>
    <row r="8425" spans="6:8" x14ac:dyDescent="0.35">
      <c r="F8425" s="1"/>
      <c r="H8425" t="s">
        <v>26</v>
      </c>
    </row>
    <row r="8426" spans="6:8" x14ac:dyDescent="0.35">
      <c r="F8426" s="1"/>
      <c r="H8426" t="s">
        <v>26</v>
      </c>
    </row>
    <row r="8427" spans="6:8" x14ac:dyDescent="0.35">
      <c r="F8427" s="1"/>
      <c r="H8427" t="s">
        <v>26</v>
      </c>
    </row>
    <row r="8428" spans="6:8" x14ac:dyDescent="0.35">
      <c r="F8428" s="1"/>
      <c r="H8428" t="s">
        <v>26</v>
      </c>
    </row>
    <row r="8429" spans="6:8" x14ac:dyDescent="0.35">
      <c r="F8429" s="1"/>
      <c r="H8429" t="s">
        <v>26</v>
      </c>
    </row>
    <row r="8430" spans="6:8" x14ac:dyDescent="0.35">
      <c r="F8430" s="1"/>
      <c r="H8430" t="s">
        <v>26</v>
      </c>
    </row>
    <row r="8431" spans="6:8" x14ac:dyDescent="0.35">
      <c r="F8431" s="1"/>
      <c r="H8431" t="s">
        <v>26</v>
      </c>
    </row>
    <row r="8432" spans="6:8" x14ac:dyDescent="0.35">
      <c r="F8432" s="1"/>
      <c r="H8432" t="s">
        <v>26</v>
      </c>
    </row>
    <row r="8433" spans="6:8" x14ac:dyDescent="0.35">
      <c r="F8433" s="1"/>
      <c r="H8433" t="s">
        <v>26</v>
      </c>
    </row>
    <row r="8434" spans="6:8" x14ac:dyDescent="0.35">
      <c r="F8434" s="1"/>
      <c r="H8434" t="s">
        <v>26</v>
      </c>
    </row>
    <row r="8435" spans="6:8" x14ac:dyDescent="0.35">
      <c r="F8435" s="1"/>
      <c r="H8435" t="s">
        <v>26</v>
      </c>
    </row>
    <row r="8436" spans="6:8" x14ac:dyDescent="0.35">
      <c r="F8436" s="1"/>
      <c r="H8436" t="s">
        <v>26</v>
      </c>
    </row>
    <row r="8437" spans="6:8" x14ac:dyDescent="0.35">
      <c r="F8437" s="1"/>
      <c r="H8437" t="s">
        <v>26</v>
      </c>
    </row>
    <row r="8438" spans="6:8" x14ac:dyDescent="0.35">
      <c r="F8438" s="1"/>
      <c r="H8438" t="s">
        <v>26</v>
      </c>
    </row>
    <row r="8439" spans="6:8" x14ac:dyDescent="0.35">
      <c r="F8439" s="1"/>
      <c r="H8439" t="s">
        <v>26</v>
      </c>
    </row>
    <row r="8440" spans="6:8" x14ac:dyDescent="0.35">
      <c r="F8440" s="1"/>
      <c r="H8440" t="s">
        <v>26</v>
      </c>
    </row>
    <row r="8441" spans="6:8" x14ac:dyDescent="0.35">
      <c r="F8441" s="1"/>
      <c r="H8441" t="s">
        <v>26</v>
      </c>
    </row>
    <row r="8442" spans="6:8" x14ac:dyDescent="0.35">
      <c r="F8442" s="1"/>
      <c r="H8442" t="s">
        <v>26</v>
      </c>
    </row>
    <row r="8443" spans="6:8" x14ac:dyDescent="0.35">
      <c r="F8443" s="1"/>
      <c r="H8443" t="s">
        <v>26</v>
      </c>
    </row>
    <row r="8444" spans="6:8" x14ac:dyDescent="0.35">
      <c r="F8444" s="1"/>
      <c r="H8444" t="s">
        <v>26</v>
      </c>
    </row>
    <row r="8445" spans="6:8" x14ac:dyDescent="0.35">
      <c r="F8445" s="1"/>
      <c r="H8445" t="s">
        <v>26</v>
      </c>
    </row>
    <row r="8446" spans="6:8" x14ac:dyDescent="0.35">
      <c r="F8446" s="1"/>
      <c r="H8446" t="s">
        <v>26</v>
      </c>
    </row>
    <row r="8447" spans="6:8" x14ac:dyDescent="0.35">
      <c r="F8447" s="1"/>
      <c r="H8447" t="s">
        <v>26</v>
      </c>
    </row>
    <row r="8448" spans="6:8" x14ac:dyDescent="0.35">
      <c r="F8448" s="1"/>
      <c r="H8448" t="s">
        <v>26</v>
      </c>
    </row>
    <row r="8449" spans="6:8" x14ac:dyDescent="0.35">
      <c r="F8449" s="1"/>
      <c r="H8449" t="s">
        <v>26</v>
      </c>
    </row>
    <row r="8450" spans="6:8" x14ac:dyDescent="0.35">
      <c r="F8450" s="1"/>
      <c r="H8450" t="s">
        <v>26</v>
      </c>
    </row>
    <row r="8451" spans="6:8" x14ac:dyDescent="0.35">
      <c r="F8451" s="1"/>
      <c r="H8451" t="s">
        <v>26</v>
      </c>
    </row>
    <row r="8452" spans="6:8" x14ac:dyDescent="0.35">
      <c r="F8452" s="1"/>
      <c r="H8452" t="s">
        <v>26</v>
      </c>
    </row>
    <row r="8453" spans="6:8" x14ac:dyDescent="0.35">
      <c r="F8453" s="1"/>
      <c r="H8453" t="s">
        <v>26</v>
      </c>
    </row>
    <row r="8454" spans="6:8" x14ac:dyDescent="0.35">
      <c r="F8454" s="1"/>
      <c r="H8454" t="s">
        <v>26</v>
      </c>
    </row>
    <row r="8455" spans="6:8" x14ac:dyDescent="0.35">
      <c r="F8455" s="1"/>
      <c r="H8455" t="s">
        <v>26</v>
      </c>
    </row>
    <row r="8456" spans="6:8" x14ac:dyDescent="0.35">
      <c r="F8456" s="1"/>
      <c r="H8456" t="s">
        <v>26</v>
      </c>
    </row>
    <row r="8457" spans="6:8" x14ac:dyDescent="0.35">
      <c r="F8457" s="1"/>
      <c r="H8457" t="s">
        <v>26</v>
      </c>
    </row>
    <row r="8458" spans="6:8" x14ac:dyDescent="0.35">
      <c r="F8458" s="1"/>
      <c r="H8458" t="s">
        <v>26</v>
      </c>
    </row>
    <row r="8459" spans="6:8" x14ac:dyDescent="0.35">
      <c r="F8459" s="1"/>
      <c r="H8459" t="s">
        <v>26</v>
      </c>
    </row>
    <row r="8460" spans="6:8" x14ac:dyDescent="0.35">
      <c r="F8460" s="1"/>
      <c r="H8460" t="s">
        <v>26</v>
      </c>
    </row>
    <row r="8461" spans="6:8" x14ac:dyDescent="0.35">
      <c r="F8461" s="1"/>
      <c r="H8461" t="s">
        <v>26</v>
      </c>
    </row>
    <row r="8462" spans="6:8" x14ac:dyDescent="0.35">
      <c r="F8462" s="1"/>
      <c r="H8462" t="s">
        <v>26</v>
      </c>
    </row>
    <row r="8463" spans="6:8" x14ac:dyDescent="0.35">
      <c r="F8463" s="1"/>
      <c r="H8463" t="s">
        <v>26</v>
      </c>
    </row>
    <row r="8464" spans="6:8" x14ac:dyDescent="0.35">
      <c r="F8464" s="1"/>
      <c r="H8464" t="s">
        <v>26</v>
      </c>
    </row>
    <row r="8465" spans="6:8" x14ac:dyDescent="0.35">
      <c r="F8465" s="1"/>
      <c r="H8465" t="s">
        <v>26</v>
      </c>
    </row>
    <row r="8466" spans="6:8" x14ac:dyDescent="0.35">
      <c r="F8466" s="1"/>
      <c r="H8466" t="s">
        <v>26</v>
      </c>
    </row>
    <row r="8467" spans="6:8" x14ac:dyDescent="0.35">
      <c r="F8467" s="1"/>
      <c r="H8467" t="s">
        <v>26</v>
      </c>
    </row>
    <row r="8468" spans="6:8" x14ac:dyDescent="0.35">
      <c r="F8468" s="1"/>
      <c r="H8468" t="s">
        <v>26</v>
      </c>
    </row>
    <row r="8469" spans="6:8" x14ac:dyDescent="0.35">
      <c r="F8469" s="1"/>
      <c r="H8469" t="s">
        <v>26</v>
      </c>
    </row>
    <row r="8470" spans="6:8" x14ac:dyDescent="0.35">
      <c r="F8470" s="1"/>
      <c r="H8470" t="s">
        <v>26</v>
      </c>
    </row>
    <row r="8471" spans="6:8" x14ac:dyDescent="0.35">
      <c r="F8471" s="1"/>
      <c r="H8471" t="s">
        <v>26</v>
      </c>
    </row>
    <row r="8472" spans="6:8" x14ac:dyDescent="0.35">
      <c r="F8472" s="1"/>
      <c r="H8472" t="s">
        <v>26</v>
      </c>
    </row>
    <row r="8473" spans="6:8" x14ac:dyDescent="0.35">
      <c r="F8473" s="1"/>
      <c r="H8473" t="s">
        <v>26</v>
      </c>
    </row>
    <row r="8474" spans="6:8" x14ac:dyDescent="0.35">
      <c r="F8474" s="1"/>
      <c r="H8474" t="s">
        <v>26</v>
      </c>
    </row>
    <row r="8475" spans="6:8" x14ac:dyDescent="0.35">
      <c r="F8475" s="1"/>
      <c r="H8475" t="s">
        <v>26</v>
      </c>
    </row>
    <row r="8476" spans="6:8" x14ac:dyDescent="0.35">
      <c r="F8476" s="1"/>
      <c r="H8476" t="s">
        <v>26</v>
      </c>
    </row>
    <row r="8477" spans="6:8" x14ac:dyDescent="0.35">
      <c r="F8477" s="1"/>
      <c r="H8477" t="s">
        <v>26</v>
      </c>
    </row>
    <row r="8478" spans="6:8" x14ac:dyDescent="0.35">
      <c r="F8478" s="1"/>
      <c r="H8478" t="s">
        <v>26</v>
      </c>
    </row>
    <row r="8479" spans="6:8" x14ac:dyDescent="0.35">
      <c r="F8479" s="1"/>
      <c r="H8479" t="s">
        <v>26</v>
      </c>
    </row>
    <row r="8480" spans="6:8" x14ac:dyDescent="0.35">
      <c r="F8480" s="1"/>
      <c r="H8480" t="s">
        <v>26</v>
      </c>
    </row>
    <row r="8481" spans="6:8" x14ac:dyDescent="0.35">
      <c r="F8481" s="1"/>
      <c r="H8481" t="s">
        <v>26</v>
      </c>
    </row>
    <row r="8482" spans="6:8" x14ac:dyDescent="0.35">
      <c r="F8482" s="1"/>
      <c r="H8482" t="s">
        <v>26</v>
      </c>
    </row>
    <row r="8483" spans="6:8" x14ac:dyDescent="0.35">
      <c r="F8483" s="1"/>
      <c r="H8483" t="s">
        <v>26</v>
      </c>
    </row>
    <row r="8484" spans="6:8" x14ac:dyDescent="0.35">
      <c r="F8484" s="1"/>
      <c r="H8484" t="s">
        <v>26</v>
      </c>
    </row>
    <row r="8485" spans="6:8" x14ac:dyDescent="0.35">
      <c r="F8485" s="1"/>
      <c r="H8485" t="s">
        <v>26</v>
      </c>
    </row>
    <row r="8486" spans="6:8" x14ac:dyDescent="0.35">
      <c r="F8486" s="1"/>
      <c r="H8486" t="s">
        <v>26</v>
      </c>
    </row>
    <row r="8487" spans="6:8" x14ac:dyDescent="0.35">
      <c r="F8487" s="1"/>
      <c r="H8487" t="s">
        <v>26</v>
      </c>
    </row>
    <row r="8488" spans="6:8" x14ac:dyDescent="0.35">
      <c r="F8488" s="1"/>
      <c r="H8488" t="s">
        <v>26</v>
      </c>
    </row>
    <row r="8489" spans="6:8" x14ac:dyDescent="0.35">
      <c r="F8489" s="1"/>
      <c r="H8489" t="s">
        <v>26</v>
      </c>
    </row>
    <row r="8490" spans="6:8" x14ac:dyDescent="0.35">
      <c r="F8490" s="1"/>
      <c r="H8490" t="s">
        <v>26</v>
      </c>
    </row>
    <row r="8491" spans="6:8" x14ac:dyDescent="0.35">
      <c r="F8491" s="1"/>
      <c r="H8491" t="s">
        <v>26</v>
      </c>
    </row>
    <row r="8492" spans="6:8" x14ac:dyDescent="0.35">
      <c r="F8492" s="1"/>
      <c r="H8492" t="s">
        <v>26</v>
      </c>
    </row>
    <row r="8493" spans="6:8" x14ac:dyDescent="0.35">
      <c r="F8493" s="1"/>
      <c r="H8493" t="s">
        <v>26</v>
      </c>
    </row>
    <row r="8494" spans="6:8" x14ac:dyDescent="0.35">
      <c r="F8494" s="1"/>
      <c r="H8494" t="s">
        <v>26</v>
      </c>
    </row>
    <row r="8495" spans="6:8" x14ac:dyDescent="0.35">
      <c r="F8495" s="1"/>
      <c r="H8495" t="s">
        <v>26</v>
      </c>
    </row>
    <row r="8496" spans="6:8" x14ac:dyDescent="0.35">
      <c r="F8496" s="1"/>
      <c r="H8496" t="s">
        <v>26</v>
      </c>
    </row>
    <row r="8497" spans="6:8" x14ac:dyDescent="0.35">
      <c r="F8497" s="1"/>
      <c r="H8497" t="s">
        <v>26</v>
      </c>
    </row>
    <row r="8498" spans="6:8" x14ac:dyDescent="0.35">
      <c r="F8498" s="1"/>
      <c r="H8498" t="s">
        <v>26</v>
      </c>
    </row>
    <row r="8499" spans="6:8" x14ac:dyDescent="0.35">
      <c r="F8499" s="1"/>
      <c r="H8499" t="s">
        <v>26</v>
      </c>
    </row>
    <row r="8500" spans="6:8" x14ac:dyDescent="0.35">
      <c r="F8500" s="1"/>
      <c r="H8500" t="s">
        <v>26</v>
      </c>
    </row>
    <row r="8501" spans="6:8" x14ac:dyDescent="0.35">
      <c r="F8501" s="1"/>
      <c r="H8501" t="s">
        <v>26</v>
      </c>
    </row>
    <row r="8502" spans="6:8" x14ac:dyDescent="0.35">
      <c r="F8502" s="1"/>
      <c r="H8502" t="s">
        <v>26</v>
      </c>
    </row>
    <row r="8503" spans="6:8" x14ac:dyDescent="0.35">
      <c r="F8503" s="1"/>
      <c r="H8503" t="s">
        <v>26</v>
      </c>
    </row>
    <row r="8504" spans="6:8" x14ac:dyDescent="0.35">
      <c r="F8504" s="1"/>
      <c r="H8504" t="s">
        <v>26</v>
      </c>
    </row>
    <row r="8505" spans="6:8" x14ac:dyDescent="0.35">
      <c r="F8505" s="1"/>
      <c r="H8505" t="s">
        <v>26</v>
      </c>
    </row>
    <row r="8506" spans="6:8" x14ac:dyDescent="0.35">
      <c r="F8506" s="1"/>
      <c r="H8506" t="s">
        <v>26</v>
      </c>
    </row>
    <row r="8507" spans="6:8" x14ac:dyDescent="0.35">
      <c r="F8507" s="1"/>
      <c r="H8507" t="s">
        <v>26</v>
      </c>
    </row>
    <row r="8508" spans="6:8" x14ac:dyDescent="0.35">
      <c r="F8508" s="1"/>
      <c r="H8508" t="s">
        <v>26</v>
      </c>
    </row>
    <row r="8509" spans="6:8" x14ac:dyDescent="0.35">
      <c r="F8509" s="1"/>
      <c r="H8509" t="s">
        <v>26</v>
      </c>
    </row>
    <row r="8510" spans="6:8" x14ac:dyDescent="0.35">
      <c r="F8510" s="1"/>
      <c r="H8510" t="s">
        <v>26</v>
      </c>
    </row>
    <row r="8511" spans="6:8" x14ac:dyDescent="0.35">
      <c r="F8511" s="1"/>
      <c r="H8511" t="s">
        <v>26</v>
      </c>
    </row>
    <row r="8512" spans="6:8" x14ac:dyDescent="0.35">
      <c r="F8512" s="1"/>
      <c r="H8512" t="s">
        <v>26</v>
      </c>
    </row>
    <row r="8513" spans="6:8" x14ac:dyDescent="0.35">
      <c r="F8513" s="1"/>
      <c r="H8513" t="s">
        <v>26</v>
      </c>
    </row>
    <row r="8514" spans="6:8" x14ac:dyDescent="0.35">
      <c r="F8514" s="1"/>
      <c r="H8514" t="s">
        <v>26</v>
      </c>
    </row>
    <row r="8515" spans="6:8" x14ac:dyDescent="0.35">
      <c r="F8515" s="1"/>
      <c r="H8515" t="s">
        <v>26</v>
      </c>
    </row>
    <row r="8516" spans="6:8" x14ac:dyDescent="0.35">
      <c r="F8516" s="1"/>
      <c r="H8516" t="s">
        <v>26</v>
      </c>
    </row>
    <row r="8517" spans="6:8" x14ac:dyDescent="0.35">
      <c r="F8517" s="1"/>
      <c r="H8517" t="s">
        <v>26</v>
      </c>
    </row>
    <row r="8518" spans="6:8" x14ac:dyDescent="0.35">
      <c r="F8518" s="1"/>
      <c r="H8518" t="s">
        <v>26</v>
      </c>
    </row>
    <row r="8519" spans="6:8" x14ac:dyDescent="0.35">
      <c r="F8519" s="1"/>
      <c r="H8519" t="s">
        <v>26</v>
      </c>
    </row>
    <row r="8520" spans="6:8" x14ac:dyDescent="0.35">
      <c r="F8520" s="1"/>
      <c r="H8520" t="s">
        <v>26</v>
      </c>
    </row>
    <row r="8521" spans="6:8" x14ac:dyDescent="0.35">
      <c r="F8521" s="1"/>
      <c r="H8521" t="s">
        <v>26</v>
      </c>
    </row>
    <row r="8522" spans="6:8" x14ac:dyDescent="0.35">
      <c r="F8522" s="1"/>
      <c r="H8522" t="s">
        <v>26</v>
      </c>
    </row>
    <row r="8523" spans="6:8" x14ac:dyDescent="0.35">
      <c r="F8523" s="1"/>
      <c r="H8523" t="s">
        <v>26</v>
      </c>
    </row>
    <row r="8524" spans="6:8" x14ac:dyDescent="0.35">
      <c r="F8524" s="1"/>
      <c r="H8524" t="s">
        <v>26</v>
      </c>
    </row>
    <row r="8525" spans="6:8" x14ac:dyDescent="0.35">
      <c r="F8525" s="1"/>
      <c r="H8525" t="s">
        <v>26</v>
      </c>
    </row>
    <row r="8526" spans="6:8" x14ac:dyDescent="0.35">
      <c r="F8526" s="1"/>
      <c r="H8526" t="s">
        <v>26</v>
      </c>
    </row>
    <row r="8527" spans="6:8" x14ac:dyDescent="0.35">
      <c r="F8527" s="1"/>
      <c r="H8527" t="s">
        <v>26</v>
      </c>
    </row>
    <row r="8528" spans="6:8" x14ac:dyDescent="0.35">
      <c r="F8528" s="1"/>
      <c r="H8528" t="s">
        <v>26</v>
      </c>
    </row>
    <row r="8529" spans="6:8" x14ac:dyDescent="0.35">
      <c r="F8529" s="1"/>
      <c r="H8529" t="s">
        <v>26</v>
      </c>
    </row>
    <row r="8530" spans="6:8" x14ac:dyDescent="0.35">
      <c r="F8530" s="1"/>
      <c r="H8530" t="s">
        <v>26</v>
      </c>
    </row>
    <row r="8531" spans="6:8" x14ac:dyDescent="0.35">
      <c r="F8531" s="1"/>
      <c r="H8531" t="s">
        <v>26</v>
      </c>
    </row>
    <row r="8532" spans="6:8" x14ac:dyDescent="0.35">
      <c r="F8532" s="1"/>
      <c r="H8532" t="s">
        <v>26</v>
      </c>
    </row>
    <row r="8533" spans="6:8" x14ac:dyDescent="0.35">
      <c r="F8533" s="1"/>
      <c r="H8533" t="s">
        <v>26</v>
      </c>
    </row>
    <row r="8534" spans="6:8" x14ac:dyDescent="0.35">
      <c r="F8534" s="1"/>
      <c r="H8534" t="s">
        <v>26</v>
      </c>
    </row>
    <row r="8535" spans="6:8" x14ac:dyDescent="0.35">
      <c r="F8535" s="1"/>
      <c r="H8535" t="s">
        <v>26</v>
      </c>
    </row>
    <row r="8536" spans="6:8" x14ac:dyDescent="0.35">
      <c r="F8536" s="1"/>
      <c r="H8536" t="s">
        <v>26</v>
      </c>
    </row>
    <row r="8537" spans="6:8" x14ac:dyDescent="0.35">
      <c r="F8537" s="1"/>
      <c r="H8537" t="s">
        <v>26</v>
      </c>
    </row>
    <row r="8538" spans="6:8" x14ac:dyDescent="0.35">
      <c r="F8538" s="1"/>
      <c r="H8538" t="s">
        <v>26</v>
      </c>
    </row>
    <row r="8539" spans="6:8" x14ac:dyDescent="0.35">
      <c r="F8539" s="1"/>
      <c r="H8539" t="s">
        <v>26</v>
      </c>
    </row>
    <row r="8540" spans="6:8" x14ac:dyDescent="0.35">
      <c r="F8540" s="1"/>
      <c r="H8540" t="s">
        <v>26</v>
      </c>
    </row>
    <row r="8541" spans="6:8" x14ac:dyDescent="0.35">
      <c r="F8541" s="1"/>
      <c r="H8541" t="s">
        <v>26</v>
      </c>
    </row>
    <row r="8542" spans="6:8" x14ac:dyDescent="0.35">
      <c r="F8542" s="1"/>
      <c r="H8542" t="s">
        <v>26</v>
      </c>
    </row>
    <row r="8543" spans="6:8" x14ac:dyDescent="0.35">
      <c r="F8543" s="1"/>
      <c r="H8543" t="s">
        <v>26</v>
      </c>
    </row>
    <row r="8544" spans="6:8" x14ac:dyDescent="0.35">
      <c r="F8544" s="1"/>
      <c r="H8544" t="s">
        <v>26</v>
      </c>
    </row>
    <row r="8545" spans="6:8" x14ac:dyDescent="0.35">
      <c r="F8545" s="1"/>
      <c r="H8545" t="s">
        <v>26</v>
      </c>
    </row>
    <row r="8546" spans="6:8" x14ac:dyDescent="0.35">
      <c r="F8546" s="1"/>
      <c r="H8546" t="s">
        <v>26</v>
      </c>
    </row>
    <row r="8547" spans="6:8" x14ac:dyDescent="0.35">
      <c r="F8547" s="1"/>
      <c r="H8547" t="s">
        <v>26</v>
      </c>
    </row>
    <row r="8548" spans="6:8" x14ac:dyDescent="0.35">
      <c r="F8548" s="1"/>
      <c r="H8548" t="s">
        <v>26</v>
      </c>
    </row>
    <row r="8549" spans="6:8" x14ac:dyDescent="0.35">
      <c r="F8549" s="1"/>
      <c r="H8549" t="s">
        <v>26</v>
      </c>
    </row>
    <row r="8550" spans="6:8" x14ac:dyDescent="0.35">
      <c r="F8550" s="1"/>
      <c r="H8550" t="s">
        <v>26</v>
      </c>
    </row>
    <row r="8551" spans="6:8" x14ac:dyDescent="0.35">
      <c r="F8551" s="1"/>
      <c r="H8551" t="s">
        <v>26</v>
      </c>
    </row>
    <row r="8552" spans="6:8" x14ac:dyDescent="0.35">
      <c r="F8552" s="1"/>
      <c r="H8552" t="s">
        <v>26</v>
      </c>
    </row>
    <row r="8553" spans="6:8" x14ac:dyDescent="0.35">
      <c r="F8553" s="1"/>
      <c r="H8553" t="s">
        <v>26</v>
      </c>
    </row>
    <row r="8554" spans="6:8" x14ac:dyDescent="0.35">
      <c r="F8554" s="1"/>
      <c r="H8554" t="s">
        <v>26</v>
      </c>
    </row>
    <row r="8555" spans="6:8" x14ac:dyDescent="0.35">
      <c r="F8555" s="1"/>
      <c r="H8555" t="s">
        <v>26</v>
      </c>
    </row>
    <row r="8556" spans="6:8" x14ac:dyDescent="0.35">
      <c r="F8556" s="1"/>
      <c r="H8556" t="s">
        <v>26</v>
      </c>
    </row>
    <row r="8557" spans="6:8" x14ac:dyDescent="0.35">
      <c r="F8557" s="1"/>
      <c r="H8557" t="s">
        <v>26</v>
      </c>
    </row>
    <row r="8558" spans="6:8" x14ac:dyDescent="0.35">
      <c r="F8558" s="1"/>
      <c r="H8558" t="s">
        <v>26</v>
      </c>
    </row>
    <row r="8559" spans="6:8" x14ac:dyDescent="0.35">
      <c r="F8559" s="1"/>
      <c r="H8559" t="s">
        <v>26</v>
      </c>
    </row>
    <row r="8560" spans="6:8" x14ac:dyDescent="0.35">
      <c r="F8560" s="1"/>
      <c r="H8560" t="s">
        <v>26</v>
      </c>
    </row>
    <row r="8561" spans="6:8" x14ac:dyDescent="0.35">
      <c r="F8561" s="1"/>
      <c r="H8561" t="s">
        <v>26</v>
      </c>
    </row>
    <row r="8562" spans="6:8" x14ac:dyDescent="0.35">
      <c r="F8562" s="1"/>
      <c r="H8562" t="s">
        <v>26</v>
      </c>
    </row>
    <row r="8563" spans="6:8" x14ac:dyDescent="0.35">
      <c r="F8563" s="1"/>
      <c r="H8563" t="s">
        <v>26</v>
      </c>
    </row>
    <row r="8564" spans="6:8" x14ac:dyDescent="0.35">
      <c r="F8564" s="1"/>
      <c r="H8564" t="s">
        <v>26</v>
      </c>
    </row>
    <row r="8565" spans="6:8" x14ac:dyDescent="0.35">
      <c r="F8565" s="1"/>
      <c r="H8565" t="s">
        <v>26</v>
      </c>
    </row>
    <row r="8566" spans="6:8" x14ac:dyDescent="0.35">
      <c r="F8566" s="1"/>
      <c r="H8566" t="s">
        <v>26</v>
      </c>
    </row>
    <row r="8567" spans="6:8" x14ac:dyDescent="0.35">
      <c r="F8567" s="1"/>
      <c r="H8567" t="s">
        <v>26</v>
      </c>
    </row>
    <row r="8568" spans="6:8" x14ac:dyDescent="0.35">
      <c r="F8568" s="1"/>
      <c r="H8568" t="s">
        <v>26</v>
      </c>
    </row>
    <row r="8569" spans="6:8" x14ac:dyDescent="0.35">
      <c r="F8569" s="1"/>
      <c r="H8569" t="s">
        <v>26</v>
      </c>
    </row>
    <row r="8570" spans="6:8" x14ac:dyDescent="0.35">
      <c r="F8570" s="1"/>
      <c r="H8570" t="s">
        <v>26</v>
      </c>
    </row>
    <row r="8571" spans="6:8" x14ac:dyDescent="0.35">
      <c r="F8571" s="1"/>
      <c r="H8571" t="s">
        <v>26</v>
      </c>
    </row>
    <row r="8572" spans="6:8" x14ac:dyDescent="0.35">
      <c r="F8572" s="1"/>
      <c r="H8572" t="s">
        <v>26</v>
      </c>
    </row>
    <row r="8573" spans="6:8" x14ac:dyDescent="0.35">
      <c r="F8573" s="1"/>
      <c r="H8573" t="s">
        <v>26</v>
      </c>
    </row>
    <row r="8574" spans="6:8" x14ac:dyDescent="0.35">
      <c r="F8574" s="1"/>
      <c r="H8574" t="s">
        <v>26</v>
      </c>
    </row>
    <row r="8575" spans="6:8" x14ac:dyDescent="0.35">
      <c r="F8575" s="1"/>
      <c r="H8575" t="s">
        <v>26</v>
      </c>
    </row>
    <row r="8576" spans="6:8" x14ac:dyDescent="0.35">
      <c r="F8576" s="1"/>
      <c r="H8576" t="s">
        <v>26</v>
      </c>
    </row>
    <row r="8577" spans="6:8" x14ac:dyDescent="0.35">
      <c r="F8577" s="1"/>
      <c r="H8577" t="s">
        <v>26</v>
      </c>
    </row>
    <row r="8578" spans="6:8" x14ac:dyDescent="0.35">
      <c r="F8578" s="1"/>
      <c r="H8578" t="s">
        <v>26</v>
      </c>
    </row>
    <row r="8579" spans="6:8" x14ac:dyDescent="0.35">
      <c r="F8579" s="1"/>
      <c r="H8579" t="s">
        <v>26</v>
      </c>
    </row>
    <row r="8580" spans="6:8" x14ac:dyDescent="0.35">
      <c r="F8580" s="1"/>
      <c r="H8580" t="s">
        <v>26</v>
      </c>
    </row>
    <row r="8581" spans="6:8" x14ac:dyDescent="0.35">
      <c r="F8581" s="1"/>
      <c r="H8581" t="s">
        <v>26</v>
      </c>
    </row>
    <row r="8582" spans="6:8" x14ac:dyDescent="0.35">
      <c r="F8582" s="1"/>
      <c r="H8582" t="s">
        <v>26</v>
      </c>
    </row>
    <row r="8583" spans="6:8" x14ac:dyDescent="0.35">
      <c r="F8583" s="1"/>
      <c r="H8583" t="s">
        <v>26</v>
      </c>
    </row>
    <row r="8584" spans="6:8" x14ac:dyDescent="0.35">
      <c r="F8584" s="1"/>
      <c r="H8584" t="s">
        <v>26</v>
      </c>
    </row>
    <row r="8585" spans="6:8" x14ac:dyDescent="0.35">
      <c r="F8585" s="1"/>
      <c r="H8585" t="s">
        <v>26</v>
      </c>
    </row>
    <row r="8586" spans="6:8" x14ac:dyDescent="0.35">
      <c r="F8586" s="1"/>
      <c r="H8586" t="s">
        <v>26</v>
      </c>
    </row>
    <row r="8587" spans="6:8" x14ac:dyDescent="0.35">
      <c r="F8587" s="1"/>
      <c r="H8587" t="s">
        <v>26</v>
      </c>
    </row>
    <row r="8588" spans="6:8" x14ac:dyDescent="0.35">
      <c r="F8588" s="1"/>
      <c r="H8588" t="s">
        <v>26</v>
      </c>
    </row>
    <row r="8589" spans="6:8" x14ac:dyDescent="0.35">
      <c r="F8589" s="1"/>
      <c r="H8589" t="s">
        <v>26</v>
      </c>
    </row>
    <row r="8590" spans="6:8" x14ac:dyDescent="0.35">
      <c r="F8590" s="1"/>
      <c r="H8590" t="s">
        <v>26</v>
      </c>
    </row>
    <row r="8591" spans="6:8" x14ac:dyDescent="0.35">
      <c r="F8591" s="1"/>
      <c r="H8591" t="s">
        <v>26</v>
      </c>
    </row>
    <row r="8592" spans="6:8" x14ac:dyDescent="0.35">
      <c r="F8592" s="1"/>
      <c r="H8592" t="s">
        <v>26</v>
      </c>
    </row>
    <row r="8593" spans="6:8" x14ac:dyDescent="0.35">
      <c r="F8593" s="1"/>
      <c r="H8593" t="s">
        <v>26</v>
      </c>
    </row>
    <row r="8594" spans="6:8" x14ac:dyDescent="0.35">
      <c r="F8594" s="1"/>
      <c r="H8594" t="s">
        <v>26</v>
      </c>
    </row>
    <row r="8595" spans="6:8" x14ac:dyDescent="0.35">
      <c r="F8595" s="1"/>
      <c r="H8595" t="s">
        <v>26</v>
      </c>
    </row>
    <row r="8596" spans="6:8" x14ac:dyDescent="0.35">
      <c r="F8596" s="1"/>
      <c r="H8596" t="s">
        <v>26</v>
      </c>
    </row>
    <row r="8597" spans="6:8" x14ac:dyDescent="0.35">
      <c r="F8597" s="1"/>
      <c r="H8597" t="s">
        <v>26</v>
      </c>
    </row>
    <row r="8598" spans="6:8" x14ac:dyDescent="0.35">
      <c r="F8598" s="1"/>
      <c r="H8598" t="s">
        <v>26</v>
      </c>
    </row>
    <row r="8599" spans="6:8" x14ac:dyDescent="0.35">
      <c r="F8599" s="1"/>
      <c r="H8599" t="s">
        <v>26</v>
      </c>
    </row>
    <row r="8600" spans="6:8" x14ac:dyDescent="0.35">
      <c r="F8600" s="1"/>
      <c r="H8600" t="s">
        <v>26</v>
      </c>
    </row>
    <row r="8601" spans="6:8" x14ac:dyDescent="0.35">
      <c r="F8601" s="1"/>
      <c r="H8601" t="s">
        <v>26</v>
      </c>
    </row>
    <row r="8602" spans="6:8" x14ac:dyDescent="0.35">
      <c r="F8602" s="1"/>
      <c r="H8602" t="s">
        <v>26</v>
      </c>
    </row>
    <row r="8603" spans="6:8" x14ac:dyDescent="0.35">
      <c r="F8603" s="1"/>
      <c r="H8603" t="s">
        <v>26</v>
      </c>
    </row>
    <row r="8604" spans="6:8" x14ac:dyDescent="0.35">
      <c r="F8604" s="1"/>
      <c r="H8604" t="s">
        <v>26</v>
      </c>
    </row>
    <row r="8605" spans="6:8" x14ac:dyDescent="0.35">
      <c r="F8605" s="1"/>
      <c r="H8605" t="s">
        <v>26</v>
      </c>
    </row>
    <row r="8606" spans="6:8" x14ac:dyDescent="0.35">
      <c r="F8606" s="1"/>
      <c r="H8606" t="s">
        <v>26</v>
      </c>
    </row>
    <row r="8607" spans="6:8" x14ac:dyDescent="0.35">
      <c r="F8607" s="1"/>
      <c r="H8607" t="s">
        <v>26</v>
      </c>
    </row>
    <row r="8608" spans="6:8" x14ac:dyDescent="0.35">
      <c r="F8608" s="1"/>
      <c r="H8608" t="s">
        <v>26</v>
      </c>
    </row>
    <row r="8609" spans="6:8" x14ac:dyDescent="0.35">
      <c r="F8609" s="1"/>
      <c r="H8609" t="s">
        <v>26</v>
      </c>
    </row>
    <row r="8610" spans="6:8" x14ac:dyDescent="0.35">
      <c r="F8610" s="1"/>
      <c r="H8610" t="s">
        <v>26</v>
      </c>
    </row>
    <row r="8611" spans="6:8" x14ac:dyDescent="0.35">
      <c r="F8611" s="1"/>
      <c r="H8611" t="s">
        <v>26</v>
      </c>
    </row>
    <row r="8612" spans="6:8" x14ac:dyDescent="0.35">
      <c r="F8612" s="1"/>
      <c r="H8612" t="s">
        <v>26</v>
      </c>
    </row>
    <row r="8613" spans="6:8" x14ac:dyDescent="0.35">
      <c r="F8613" s="1"/>
      <c r="H8613" t="s">
        <v>26</v>
      </c>
    </row>
    <row r="8614" spans="6:8" x14ac:dyDescent="0.35">
      <c r="F8614" s="1"/>
      <c r="H8614" t="s">
        <v>26</v>
      </c>
    </row>
    <row r="8615" spans="6:8" x14ac:dyDescent="0.35">
      <c r="F8615" s="1"/>
      <c r="H8615" t="s">
        <v>26</v>
      </c>
    </row>
    <row r="8616" spans="6:8" x14ac:dyDescent="0.35">
      <c r="F8616" s="1"/>
      <c r="H8616" t="s">
        <v>26</v>
      </c>
    </row>
    <row r="8617" spans="6:8" x14ac:dyDescent="0.35">
      <c r="F8617" s="1"/>
      <c r="H8617" t="s">
        <v>26</v>
      </c>
    </row>
    <row r="8618" spans="6:8" x14ac:dyDescent="0.35">
      <c r="F8618" s="1"/>
      <c r="H8618" t="s">
        <v>26</v>
      </c>
    </row>
    <row r="8619" spans="6:8" x14ac:dyDescent="0.35">
      <c r="F8619" s="1"/>
      <c r="H8619" t="s">
        <v>26</v>
      </c>
    </row>
    <row r="8620" spans="6:8" x14ac:dyDescent="0.35">
      <c r="F8620" s="1"/>
      <c r="H8620" t="s">
        <v>26</v>
      </c>
    </row>
    <row r="8621" spans="6:8" x14ac:dyDescent="0.35">
      <c r="F8621" s="1"/>
      <c r="H8621" t="s">
        <v>26</v>
      </c>
    </row>
    <row r="8622" spans="6:8" x14ac:dyDescent="0.35">
      <c r="F8622" s="1"/>
      <c r="H8622" t="s">
        <v>26</v>
      </c>
    </row>
    <row r="8623" spans="6:8" x14ac:dyDescent="0.35">
      <c r="F8623" s="1"/>
      <c r="H8623" t="s">
        <v>26</v>
      </c>
    </row>
    <row r="8624" spans="6:8" x14ac:dyDescent="0.35">
      <c r="F8624" s="1"/>
      <c r="H8624" t="s">
        <v>26</v>
      </c>
    </row>
    <row r="8625" spans="6:8" x14ac:dyDescent="0.35">
      <c r="F8625" s="1"/>
      <c r="H8625" t="s">
        <v>26</v>
      </c>
    </row>
    <row r="8626" spans="6:8" x14ac:dyDescent="0.35">
      <c r="F8626" s="1"/>
      <c r="H8626" t="s">
        <v>26</v>
      </c>
    </row>
    <row r="8627" spans="6:8" x14ac:dyDescent="0.35">
      <c r="F8627" s="1"/>
      <c r="H8627" t="s">
        <v>26</v>
      </c>
    </row>
    <row r="8628" spans="6:8" x14ac:dyDescent="0.35">
      <c r="F8628" s="1"/>
      <c r="H8628" t="s">
        <v>26</v>
      </c>
    </row>
    <row r="8629" spans="6:8" x14ac:dyDescent="0.35">
      <c r="F8629" s="1"/>
      <c r="H8629" t="s">
        <v>26</v>
      </c>
    </row>
    <row r="8630" spans="6:8" x14ac:dyDescent="0.35">
      <c r="F8630" s="1"/>
      <c r="H8630" t="s">
        <v>26</v>
      </c>
    </row>
    <row r="8631" spans="6:8" x14ac:dyDescent="0.35">
      <c r="F8631" s="1"/>
      <c r="H8631" t="s">
        <v>26</v>
      </c>
    </row>
    <row r="8632" spans="6:8" x14ac:dyDescent="0.35">
      <c r="F8632" s="1"/>
      <c r="H8632" t="s">
        <v>26</v>
      </c>
    </row>
    <row r="8633" spans="6:8" x14ac:dyDescent="0.35">
      <c r="F8633" s="1"/>
      <c r="H8633" t="s">
        <v>26</v>
      </c>
    </row>
    <row r="8634" spans="6:8" x14ac:dyDescent="0.35">
      <c r="F8634" s="1"/>
      <c r="H8634" t="s">
        <v>26</v>
      </c>
    </row>
    <row r="8635" spans="6:8" x14ac:dyDescent="0.35">
      <c r="F8635" s="1"/>
      <c r="H8635" t="s">
        <v>26</v>
      </c>
    </row>
    <row r="8636" spans="6:8" x14ac:dyDescent="0.35">
      <c r="F8636" s="1"/>
      <c r="H8636" t="s">
        <v>26</v>
      </c>
    </row>
    <row r="8637" spans="6:8" x14ac:dyDescent="0.35">
      <c r="F8637" s="1"/>
      <c r="H8637" t="s">
        <v>26</v>
      </c>
    </row>
    <row r="8638" spans="6:8" x14ac:dyDescent="0.35">
      <c r="F8638" s="1"/>
      <c r="H8638" t="s">
        <v>26</v>
      </c>
    </row>
    <row r="8639" spans="6:8" x14ac:dyDescent="0.35">
      <c r="F8639" s="1"/>
      <c r="H8639" t="s">
        <v>26</v>
      </c>
    </row>
    <row r="8640" spans="6:8" x14ac:dyDescent="0.35">
      <c r="F8640" s="1"/>
      <c r="H8640" t="s">
        <v>26</v>
      </c>
    </row>
    <row r="8641" spans="6:8" x14ac:dyDescent="0.35">
      <c r="F8641" s="1"/>
      <c r="H8641" t="s">
        <v>26</v>
      </c>
    </row>
    <row r="8642" spans="6:8" x14ac:dyDescent="0.35">
      <c r="F8642" s="1"/>
      <c r="H8642" t="s">
        <v>26</v>
      </c>
    </row>
    <row r="8643" spans="6:8" x14ac:dyDescent="0.35">
      <c r="F8643" s="1"/>
      <c r="H8643" t="s">
        <v>26</v>
      </c>
    </row>
    <row r="8644" spans="6:8" x14ac:dyDescent="0.35">
      <c r="F8644" s="1"/>
      <c r="H8644" t="s">
        <v>26</v>
      </c>
    </row>
    <row r="8645" spans="6:8" x14ac:dyDescent="0.35">
      <c r="F8645" s="1"/>
      <c r="H8645" t="s">
        <v>26</v>
      </c>
    </row>
    <row r="8646" spans="6:8" x14ac:dyDescent="0.35">
      <c r="F8646" s="1"/>
      <c r="H8646" t="s">
        <v>26</v>
      </c>
    </row>
    <row r="8647" spans="6:8" x14ac:dyDescent="0.35">
      <c r="F8647" s="1"/>
      <c r="H8647" t="s">
        <v>26</v>
      </c>
    </row>
    <row r="8648" spans="6:8" x14ac:dyDescent="0.35">
      <c r="F8648" s="1"/>
      <c r="H8648" t="s">
        <v>26</v>
      </c>
    </row>
    <row r="8649" spans="6:8" x14ac:dyDescent="0.35">
      <c r="F8649" s="1"/>
      <c r="H8649" t="s">
        <v>26</v>
      </c>
    </row>
    <row r="8650" spans="6:8" x14ac:dyDescent="0.35">
      <c r="F8650" s="1"/>
      <c r="H8650" t="s">
        <v>26</v>
      </c>
    </row>
    <row r="8651" spans="6:8" x14ac:dyDescent="0.35">
      <c r="F8651" s="1"/>
      <c r="H8651" t="s">
        <v>26</v>
      </c>
    </row>
    <row r="8652" spans="6:8" x14ac:dyDescent="0.35">
      <c r="F8652" s="1"/>
      <c r="H8652" t="s">
        <v>26</v>
      </c>
    </row>
    <row r="8653" spans="6:8" x14ac:dyDescent="0.35">
      <c r="F8653" s="1"/>
      <c r="H8653" t="s">
        <v>26</v>
      </c>
    </row>
    <row r="8654" spans="6:8" x14ac:dyDescent="0.35">
      <c r="F8654" s="1"/>
      <c r="H8654" t="s">
        <v>26</v>
      </c>
    </row>
    <row r="8655" spans="6:8" x14ac:dyDescent="0.35">
      <c r="F8655" s="1"/>
      <c r="H8655" t="s">
        <v>26</v>
      </c>
    </row>
    <row r="8656" spans="6:8" x14ac:dyDescent="0.35">
      <c r="F8656" s="1"/>
      <c r="H8656" t="s">
        <v>26</v>
      </c>
    </row>
    <row r="8657" spans="6:8" x14ac:dyDescent="0.35">
      <c r="F8657" s="1"/>
      <c r="H8657" t="s">
        <v>26</v>
      </c>
    </row>
    <row r="8658" spans="6:8" x14ac:dyDescent="0.35">
      <c r="F8658" s="1"/>
      <c r="H8658" t="s">
        <v>26</v>
      </c>
    </row>
    <row r="8659" spans="6:8" x14ac:dyDescent="0.35">
      <c r="F8659" s="1"/>
      <c r="H8659" t="s">
        <v>26</v>
      </c>
    </row>
    <row r="8660" spans="6:8" x14ac:dyDescent="0.35">
      <c r="F8660" s="1"/>
      <c r="H8660" t="s">
        <v>26</v>
      </c>
    </row>
    <row r="8661" spans="6:8" x14ac:dyDescent="0.35">
      <c r="F8661" s="1"/>
      <c r="H8661" t="s">
        <v>26</v>
      </c>
    </row>
    <row r="8662" spans="6:8" x14ac:dyDescent="0.35">
      <c r="F8662" s="1"/>
      <c r="H8662" t="s">
        <v>26</v>
      </c>
    </row>
    <row r="8663" spans="6:8" x14ac:dyDescent="0.35">
      <c r="F8663" s="1"/>
      <c r="H8663" t="s">
        <v>26</v>
      </c>
    </row>
    <row r="8664" spans="6:8" x14ac:dyDescent="0.35">
      <c r="F8664" s="1"/>
      <c r="H8664" t="s">
        <v>26</v>
      </c>
    </row>
    <row r="8665" spans="6:8" x14ac:dyDescent="0.35">
      <c r="F8665" s="1"/>
      <c r="H8665" t="s">
        <v>26</v>
      </c>
    </row>
    <row r="8666" spans="6:8" x14ac:dyDescent="0.35">
      <c r="F8666" s="1"/>
      <c r="H8666" t="s">
        <v>26</v>
      </c>
    </row>
    <row r="8667" spans="6:8" x14ac:dyDescent="0.35">
      <c r="F8667" s="1"/>
      <c r="H8667" t="s">
        <v>26</v>
      </c>
    </row>
    <row r="8668" spans="6:8" x14ac:dyDescent="0.35">
      <c r="F8668" s="1"/>
      <c r="H8668" t="s">
        <v>26</v>
      </c>
    </row>
    <row r="8669" spans="6:8" x14ac:dyDescent="0.35">
      <c r="F8669" s="1"/>
      <c r="H8669" t="s">
        <v>26</v>
      </c>
    </row>
    <row r="8670" spans="6:8" x14ac:dyDescent="0.35">
      <c r="F8670" s="1"/>
      <c r="H8670" t="s">
        <v>26</v>
      </c>
    </row>
    <row r="8671" spans="6:8" x14ac:dyDescent="0.35">
      <c r="F8671" s="1"/>
      <c r="H8671" t="s">
        <v>26</v>
      </c>
    </row>
    <row r="8672" spans="6:8" x14ac:dyDescent="0.35">
      <c r="F8672" s="1"/>
      <c r="H8672" t="s">
        <v>26</v>
      </c>
    </row>
    <row r="8673" spans="6:8" x14ac:dyDescent="0.35">
      <c r="F8673" s="1"/>
      <c r="H8673" t="s">
        <v>26</v>
      </c>
    </row>
    <row r="8674" spans="6:8" x14ac:dyDescent="0.35">
      <c r="F8674" s="1"/>
      <c r="H8674" t="s">
        <v>26</v>
      </c>
    </row>
    <row r="8675" spans="6:8" x14ac:dyDescent="0.35">
      <c r="F8675" s="1"/>
      <c r="H8675" t="s">
        <v>26</v>
      </c>
    </row>
    <row r="8676" spans="6:8" x14ac:dyDescent="0.35">
      <c r="F8676" s="1"/>
      <c r="H8676" t="s">
        <v>26</v>
      </c>
    </row>
    <row r="8677" spans="6:8" x14ac:dyDescent="0.35">
      <c r="F8677" s="1"/>
      <c r="H8677" t="s">
        <v>26</v>
      </c>
    </row>
    <row r="8678" spans="6:8" x14ac:dyDescent="0.35">
      <c r="H8678" t="s">
        <v>26</v>
      </c>
    </row>
    <row r="8679" spans="6:8" x14ac:dyDescent="0.35">
      <c r="H8679" t="s">
        <v>26</v>
      </c>
    </row>
    <row r="8680" spans="6:8" x14ac:dyDescent="0.35">
      <c r="H8680" t="s">
        <v>26</v>
      </c>
    </row>
    <row r="8681" spans="6:8" x14ac:dyDescent="0.35">
      <c r="H8681" t="s">
        <v>26</v>
      </c>
    </row>
    <row r="8682" spans="6:8" x14ac:dyDescent="0.35">
      <c r="H8682" t="s">
        <v>26</v>
      </c>
    </row>
    <row r="8683" spans="6:8" x14ac:dyDescent="0.35">
      <c r="H8683" t="s">
        <v>26</v>
      </c>
    </row>
    <row r="8684" spans="6:8" x14ac:dyDescent="0.35">
      <c r="H8684" t="s">
        <v>26</v>
      </c>
    </row>
    <row r="8685" spans="6:8" x14ac:dyDescent="0.35">
      <c r="H8685" t="s">
        <v>26</v>
      </c>
    </row>
    <row r="8686" spans="6:8" x14ac:dyDescent="0.35">
      <c r="H8686" t="s">
        <v>26</v>
      </c>
    </row>
    <row r="8687" spans="6:8" x14ac:dyDescent="0.35">
      <c r="H8687" t="s">
        <v>26</v>
      </c>
    </row>
    <row r="8688" spans="6:8" x14ac:dyDescent="0.35">
      <c r="H8688" t="s">
        <v>26</v>
      </c>
    </row>
    <row r="8689" spans="8:8" x14ac:dyDescent="0.35">
      <c r="H8689" t="s">
        <v>26</v>
      </c>
    </row>
    <row r="8690" spans="8:8" x14ac:dyDescent="0.35">
      <c r="H8690" t="s">
        <v>26</v>
      </c>
    </row>
    <row r="8691" spans="8:8" x14ac:dyDescent="0.35">
      <c r="H8691" t="s">
        <v>26</v>
      </c>
    </row>
    <row r="8692" spans="8:8" x14ac:dyDescent="0.35">
      <c r="H8692" t="s">
        <v>26</v>
      </c>
    </row>
    <row r="8693" spans="8:8" x14ac:dyDescent="0.35">
      <c r="H8693" t="s">
        <v>26</v>
      </c>
    </row>
    <row r="8694" spans="8:8" x14ac:dyDescent="0.35">
      <c r="H8694" t="s">
        <v>26</v>
      </c>
    </row>
    <row r="8695" spans="8:8" x14ac:dyDescent="0.35">
      <c r="H8695" t="s">
        <v>26</v>
      </c>
    </row>
    <row r="8696" spans="8:8" x14ac:dyDescent="0.35">
      <c r="H8696" t="s">
        <v>26</v>
      </c>
    </row>
    <row r="8697" spans="8:8" x14ac:dyDescent="0.35">
      <c r="H8697" t="s">
        <v>26</v>
      </c>
    </row>
    <row r="8698" spans="8:8" x14ac:dyDescent="0.35">
      <c r="H8698" t="s">
        <v>26</v>
      </c>
    </row>
    <row r="8699" spans="8:8" x14ac:dyDescent="0.35">
      <c r="H8699" t="s">
        <v>26</v>
      </c>
    </row>
    <row r="8700" spans="8:8" x14ac:dyDescent="0.35">
      <c r="H8700" t="s">
        <v>26</v>
      </c>
    </row>
    <row r="8701" spans="8:8" x14ac:dyDescent="0.35">
      <c r="H8701" t="s">
        <v>26</v>
      </c>
    </row>
    <row r="8702" spans="8:8" x14ac:dyDescent="0.35">
      <c r="H8702" t="s">
        <v>26</v>
      </c>
    </row>
    <row r="8703" spans="8:8" x14ac:dyDescent="0.35">
      <c r="H8703" t="s">
        <v>26</v>
      </c>
    </row>
    <row r="8704" spans="8:8" x14ac:dyDescent="0.35">
      <c r="H8704" t="s">
        <v>26</v>
      </c>
    </row>
    <row r="8705" spans="8:8" x14ac:dyDescent="0.35">
      <c r="H8705" t="s">
        <v>26</v>
      </c>
    </row>
    <row r="8706" spans="8:8" x14ac:dyDescent="0.35">
      <c r="H8706" t="s">
        <v>26</v>
      </c>
    </row>
    <row r="8707" spans="8:8" x14ac:dyDescent="0.35">
      <c r="H8707" t="s">
        <v>26</v>
      </c>
    </row>
    <row r="8708" spans="8:8" x14ac:dyDescent="0.35">
      <c r="H8708" t="s">
        <v>26</v>
      </c>
    </row>
    <row r="8709" spans="8:8" x14ac:dyDescent="0.35">
      <c r="H8709" t="s">
        <v>26</v>
      </c>
    </row>
    <row r="8710" spans="8:8" x14ac:dyDescent="0.35">
      <c r="H8710" t="s">
        <v>26</v>
      </c>
    </row>
    <row r="8711" spans="8:8" x14ac:dyDescent="0.35">
      <c r="H8711" t="s">
        <v>26</v>
      </c>
    </row>
    <row r="8712" spans="8:8" x14ac:dyDescent="0.35">
      <c r="H8712" t="s">
        <v>26</v>
      </c>
    </row>
    <row r="8713" spans="8:8" x14ac:dyDescent="0.35">
      <c r="H8713" t="s">
        <v>26</v>
      </c>
    </row>
    <row r="8714" spans="8:8" x14ac:dyDescent="0.35">
      <c r="H8714" t="s">
        <v>26</v>
      </c>
    </row>
    <row r="8715" spans="8:8" x14ac:dyDescent="0.35">
      <c r="H8715" t="s">
        <v>26</v>
      </c>
    </row>
    <row r="8716" spans="8:8" x14ac:dyDescent="0.35">
      <c r="H8716" t="s">
        <v>26</v>
      </c>
    </row>
    <row r="8717" spans="8:8" x14ac:dyDescent="0.35">
      <c r="H8717" t="s">
        <v>26</v>
      </c>
    </row>
    <row r="8718" spans="8:8" x14ac:dyDescent="0.35">
      <c r="H8718" t="s">
        <v>26</v>
      </c>
    </row>
    <row r="8719" spans="8:8" x14ac:dyDescent="0.35">
      <c r="H8719" t="s">
        <v>26</v>
      </c>
    </row>
    <row r="8720" spans="8:8" x14ac:dyDescent="0.35">
      <c r="H8720" t="s">
        <v>26</v>
      </c>
    </row>
    <row r="8721" spans="8:8" x14ac:dyDescent="0.35">
      <c r="H8721" t="s">
        <v>26</v>
      </c>
    </row>
    <row r="8722" spans="8:8" x14ac:dyDescent="0.35">
      <c r="H8722" t="s">
        <v>26</v>
      </c>
    </row>
    <row r="8723" spans="8:8" x14ac:dyDescent="0.35">
      <c r="H8723" t="s">
        <v>26</v>
      </c>
    </row>
    <row r="8724" spans="8:8" x14ac:dyDescent="0.35">
      <c r="H8724" t="s">
        <v>26</v>
      </c>
    </row>
    <row r="8725" spans="8:8" x14ac:dyDescent="0.35">
      <c r="H8725" t="s">
        <v>26</v>
      </c>
    </row>
    <row r="8726" spans="8:8" x14ac:dyDescent="0.35">
      <c r="H8726" t="s">
        <v>26</v>
      </c>
    </row>
    <row r="8727" spans="8:8" x14ac:dyDescent="0.35">
      <c r="H8727" t="s">
        <v>26</v>
      </c>
    </row>
    <row r="8728" spans="8:8" x14ac:dyDescent="0.35">
      <c r="H8728" t="s">
        <v>26</v>
      </c>
    </row>
    <row r="8729" spans="8:8" x14ac:dyDescent="0.35">
      <c r="H8729" t="s">
        <v>26</v>
      </c>
    </row>
    <row r="8730" spans="8:8" x14ac:dyDescent="0.35">
      <c r="H8730" t="s">
        <v>26</v>
      </c>
    </row>
    <row r="8731" spans="8:8" x14ac:dyDescent="0.35">
      <c r="H8731" t="s">
        <v>26</v>
      </c>
    </row>
    <row r="8732" spans="8:8" x14ac:dyDescent="0.35">
      <c r="H8732" t="s">
        <v>26</v>
      </c>
    </row>
    <row r="8733" spans="8:8" x14ac:dyDescent="0.35">
      <c r="H8733" t="s">
        <v>26</v>
      </c>
    </row>
    <row r="8734" spans="8:8" x14ac:dyDescent="0.35">
      <c r="H8734" t="s">
        <v>26</v>
      </c>
    </row>
    <row r="8735" spans="8:8" x14ac:dyDescent="0.35">
      <c r="H8735" t="s">
        <v>26</v>
      </c>
    </row>
    <row r="8736" spans="8:8" x14ac:dyDescent="0.35">
      <c r="H8736" t="s">
        <v>26</v>
      </c>
    </row>
    <row r="8737" spans="8:8" x14ac:dyDescent="0.35">
      <c r="H8737" t="s">
        <v>26</v>
      </c>
    </row>
    <row r="8738" spans="8:8" x14ac:dyDescent="0.35">
      <c r="H8738" t="s">
        <v>26</v>
      </c>
    </row>
    <row r="8739" spans="8:8" x14ac:dyDescent="0.35">
      <c r="H8739" t="s">
        <v>26</v>
      </c>
    </row>
    <row r="8740" spans="8:8" x14ac:dyDescent="0.35">
      <c r="H8740" t="s">
        <v>26</v>
      </c>
    </row>
    <row r="8741" spans="8:8" x14ac:dyDescent="0.35">
      <c r="H8741" t="s">
        <v>26</v>
      </c>
    </row>
    <row r="8742" spans="8:8" x14ac:dyDescent="0.35">
      <c r="H8742" t="s">
        <v>26</v>
      </c>
    </row>
    <row r="8743" spans="8:8" x14ac:dyDescent="0.35">
      <c r="H8743" t="s">
        <v>26</v>
      </c>
    </row>
    <row r="8744" spans="8:8" x14ac:dyDescent="0.35">
      <c r="H8744" t="s">
        <v>26</v>
      </c>
    </row>
    <row r="8745" spans="8:8" x14ac:dyDescent="0.35">
      <c r="H8745" t="s">
        <v>26</v>
      </c>
    </row>
    <row r="8746" spans="8:8" x14ac:dyDescent="0.35">
      <c r="H8746" t="s">
        <v>26</v>
      </c>
    </row>
    <row r="8747" spans="8:8" x14ac:dyDescent="0.35">
      <c r="H8747" t="s">
        <v>26</v>
      </c>
    </row>
    <row r="8748" spans="8:8" x14ac:dyDescent="0.35">
      <c r="H8748" t="s">
        <v>26</v>
      </c>
    </row>
    <row r="8749" spans="8:8" x14ac:dyDescent="0.35">
      <c r="H8749" t="s">
        <v>26</v>
      </c>
    </row>
    <row r="8750" spans="8:8" x14ac:dyDescent="0.35">
      <c r="H8750" t="s">
        <v>26</v>
      </c>
    </row>
    <row r="8751" spans="8:8" x14ac:dyDescent="0.35">
      <c r="H8751" t="s">
        <v>26</v>
      </c>
    </row>
    <row r="8752" spans="8:8" x14ac:dyDescent="0.35">
      <c r="H8752" t="s">
        <v>26</v>
      </c>
    </row>
    <row r="8753" spans="8:8" x14ac:dyDescent="0.35">
      <c r="H8753" t="s">
        <v>26</v>
      </c>
    </row>
    <row r="8754" spans="8:8" x14ac:dyDescent="0.35">
      <c r="H8754" t="s">
        <v>26</v>
      </c>
    </row>
    <row r="8755" spans="8:8" x14ac:dyDescent="0.35">
      <c r="H8755" t="s">
        <v>26</v>
      </c>
    </row>
    <row r="8756" spans="8:8" x14ac:dyDescent="0.35">
      <c r="H8756" t="s">
        <v>26</v>
      </c>
    </row>
    <row r="8757" spans="8:8" x14ac:dyDescent="0.35">
      <c r="H8757" t="s">
        <v>26</v>
      </c>
    </row>
    <row r="8758" spans="8:8" x14ac:dyDescent="0.35">
      <c r="H8758" t="s">
        <v>26</v>
      </c>
    </row>
    <row r="8759" spans="8:8" x14ac:dyDescent="0.35">
      <c r="H8759" t="s">
        <v>26</v>
      </c>
    </row>
    <row r="8760" spans="8:8" x14ac:dyDescent="0.35">
      <c r="H8760" t="s">
        <v>26</v>
      </c>
    </row>
    <row r="8761" spans="8:8" x14ac:dyDescent="0.35">
      <c r="H8761" t="s">
        <v>26</v>
      </c>
    </row>
    <row r="8762" spans="8:8" x14ac:dyDescent="0.35">
      <c r="H8762" t="s">
        <v>26</v>
      </c>
    </row>
    <row r="8763" spans="8:8" x14ac:dyDescent="0.35">
      <c r="H8763" t="s">
        <v>26</v>
      </c>
    </row>
    <row r="8764" spans="8:8" x14ac:dyDescent="0.35">
      <c r="H8764" t="s">
        <v>26</v>
      </c>
    </row>
    <row r="8765" spans="8:8" x14ac:dyDescent="0.35">
      <c r="H8765" t="s">
        <v>26</v>
      </c>
    </row>
    <row r="8766" spans="8:8" x14ac:dyDescent="0.35">
      <c r="H8766" t="s">
        <v>26</v>
      </c>
    </row>
    <row r="8767" spans="8:8" x14ac:dyDescent="0.35">
      <c r="H8767" t="s">
        <v>26</v>
      </c>
    </row>
    <row r="8768" spans="8:8" x14ac:dyDescent="0.35">
      <c r="H8768" t="s">
        <v>26</v>
      </c>
    </row>
    <row r="8769" spans="8:8" x14ac:dyDescent="0.35">
      <c r="H8769" t="s">
        <v>26</v>
      </c>
    </row>
    <row r="8770" spans="8:8" x14ac:dyDescent="0.35">
      <c r="H8770" t="s">
        <v>26</v>
      </c>
    </row>
    <row r="8771" spans="8:8" x14ac:dyDescent="0.35">
      <c r="H8771" t="s">
        <v>26</v>
      </c>
    </row>
    <row r="8772" spans="8:8" x14ac:dyDescent="0.35">
      <c r="H8772" t="s">
        <v>26</v>
      </c>
    </row>
    <row r="8773" spans="8:8" x14ac:dyDescent="0.35">
      <c r="H8773" t="s">
        <v>26</v>
      </c>
    </row>
    <row r="8774" spans="8:8" x14ac:dyDescent="0.35">
      <c r="H8774" t="s">
        <v>26</v>
      </c>
    </row>
    <row r="8775" spans="8:8" x14ac:dyDescent="0.35">
      <c r="H8775" t="s">
        <v>26</v>
      </c>
    </row>
    <row r="8776" spans="8:8" x14ac:dyDescent="0.35">
      <c r="H8776" t="s">
        <v>26</v>
      </c>
    </row>
    <row r="8777" spans="8:8" x14ac:dyDescent="0.35">
      <c r="H8777" t="s">
        <v>26</v>
      </c>
    </row>
    <row r="8778" spans="8:8" x14ac:dyDescent="0.35">
      <c r="H8778" t="s">
        <v>26</v>
      </c>
    </row>
    <row r="8779" spans="8:8" x14ac:dyDescent="0.35">
      <c r="H8779" t="s">
        <v>26</v>
      </c>
    </row>
    <row r="8780" spans="8:8" x14ac:dyDescent="0.35">
      <c r="H8780" t="s">
        <v>26</v>
      </c>
    </row>
    <row r="8781" spans="8:8" x14ac:dyDescent="0.35">
      <c r="H8781" t="s">
        <v>26</v>
      </c>
    </row>
    <row r="8782" spans="8:8" x14ac:dyDescent="0.35">
      <c r="H8782" t="s">
        <v>26</v>
      </c>
    </row>
    <row r="8783" spans="8:8" x14ac:dyDescent="0.35">
      <c r="H8783" t="s">
        <v>26</v>
      </c>
    </row>
    <row r="8784" spans="8:8" x14ac:dyDescent="0.35">
      <c r="H8784" t="s">
        <v>26</v>
      </c>
    </row>
    <row r="8785" spans="8:8" x14ac:dyDescent="0.35">
      <c r="H8785" t="s">
        <v>26</v>
      </c>
    </row>
    <row r="8786" spans="8:8" x14ac:dyDescent="0.35">
      <c r="H8786" t="s">
        <v>26</v>
      </c>
    </row>
    <row r="8787" spans="8:8" x14ac:dyDescent="0.35">
      <c r="H8787" t="s">
        <v>26</v>
      </c>
    </row>
    <row r="8788" spans="8:8" x14ac:dyDescent="0.35">
      <c r="H8788" t="s">
        <v>26</v>
      </c>
    </row>
    <row r="8789" spans="8:8" x14ac:dyDescent="0.35">
      <c r="H8789" t="s">
        <v>26</v>
      </c>
    </row>
    <row r="8790" spans="8:8" x14ac:dyDescent="0.35">
      <c r="H8790" t="s">
        <v>26</v>
      </c>
    </row>
    <row r="8791" spans="8:8" x14ac:dyDescent="0.35">
      <c r="H8791" t="s">
        <v>26</v>
      </c>
    </row>
    <row r="8792" spans="8:8" x14ac:dyDescent="0.35">
      <c r="H8792" t="s">
        <v>26</v>
      </c>
    </row>
    <row r="8793" spans="8:8" x14ac:dyDescent="0.35">
      <c r="H8793" t="s">
        <v>26</v>
      </c>
    </row>
    <row r="8794" spans="8:8" x14ac:dyDescent="0.35">
      <c r="H8794" t="s">
        <v>26</v>
      </c>
    </row>
    <row r="8795" spans="8:8" x14ac:dyDescent="0.35">
      <c r="H8795" t="s">
        <v>26</v>
      </c>
    </row>
    <row r="8796" spans="8:8" x14ac:dyDescent="0.35">
      <c r="H8796" t="s">
        <v>26</v>
      </c>
    </row>
    <row r="8797" spans="8:8" x14ac:dyDescent="0.35">
      <c r="H8797" t="s">
        <v>26</v>
      </c>
    </row>
    <row r="8798" spans="8:8" x14ac:dyDescent="0.35">
      <c r="H8798" t="s">
        <v>26</v>
      </c>
    </row>
    <row r="8799" spans="8:8" x14ac:dyDescent="0.35">
      <c r="H8799" t="s">
        <v>26</v>
      </c>
    </row>
    <row r="8800" spans="8:8" x14ac:dyDescent="0.35">
      <c r="H8800" t="s">
        <v>26</v>
      </c>
    </row>
    <row r="8801" spans="8:8" x14ac:dyDescent="0.35">
      <c r="H8801" t="s">
        <v>26</v>
      </c>
    </row>
    <row r="8802" spans="8:8" x14ac:dyDescent="0.35">
      <c r="H8802" t="s">
        <v>26</v>
      </c>
    </row>
    <row r="8803" spans="8:8" x14ac:dyDescent="0.35">
      <c r="H8803" t="s">
        <v>26</v>
      </c>
    </row>
    <row r="8804" spans="8:8" x14ac:dyDescent="0.35">
      <c r="H8804" t="s">
        <v>26</v>
      </c>
    </row>
    <row r="8805" spans="8:8" x14ac:dyDescent="0.35">
      <c r="H8805" t="s">
        <v>26</v>
      </c>
    </row>
    <row r="8806" spans="8:8" x14ac:dyDescent="0.35">
      <c r="H8806" t="s">
        <v>26</v>
      </c>
    </row>
    <row r="8807" spans="8:8" x14ac:dyDescent="0.35">
      <c r="H8807" t="s">
        <v>26</v>
      </c>
    </row>
    <row r="8808" spans="8:8" x14ac:dyDescent="0.35">
      <c r="H8808" t="s">
        <v>26</v>
      </c>
    </row>
    <row r="8809" spans="8:8" x14ac:dyDescent="0.35">
      <c r="H8809" t="s">
        <v>26</v>
      </c>
    </row>
    <row r="8810" spans="8:8" x14ac:dyDescent="0.35">
      <c r="H8810" t="s">
        <v>26</v>
      </c>
    </row>
    <row r="8811" spans="8:8" x14ac:dyDescent="0.35">
      <c r="H8811" t="s">
        <v>26</v>
      </c>
    </row>
    <row r="8812" spans="8:8" x14ac:dyDescent="0.35">
      <c r="H8812" t="s">
        <v>26</v>
      </c>
    </row>
    <row r="8813" spans="8:8" x14ac:dyDescent="0.35">
      <c r="H8813" t="s">
        <v>26</v>
      </c>
    </row>
    <row r="8814" spans="8:8" x14ac:dyDescent="0.35">
      <c r="H8814" t="s">
        <v>26</v>
      </c>
    </row>
    <row r="8815" spans="8:8" x14ac:dyDescent="0.35">
      <c r="H8815" t="s">
        <v>26</v>
      </c>
    </row>
    <row r="8816" spans="8:8" x14ac:dyDescent="0.35">
      <c r="H8816" t="s">
        <v>26</v>
      </c>
    </row>
    <row r="8817" spans="8:8" x14ac:dyDescent="0.35">
      <c r="H8817" t="s">
        <v>26</v>
      </c>
    </row>
    <row r="8818" spans="8:8" x14ac:dyDescent="0.35">
      <c r="H8818" t="s">
        <v>26</v>
      </c>
    </row>
    <row r="8819" spans="8:8" x14ac:dyDescent="0.35">
      <c r="H8819" t="s">
        <v>26</v>
      </c>
    </row>
    <row r="8820" spans="8:8" x14ac:dyDescent="0.35">
      <c r="H8820" t="s">
        <v>26</v>
      </c>
    </row>
    <row r="8821" spans="8:8" x14ac:dyDescent="0.35">
      <c r="H8821" t="s">
        <v>26</v>
      </c>
    </row>
    <row r="8822" spans="8:8" x14ac:dyDescent="0.35">
      <c r="H8822" t="s">
        <v>26</v>
      </c>
    </row>
    <row r="8823" spans="8:8" x14ac:dyDescent="0.35">
      <c r="H8823" t="s">
        <v>26</v>
      </c>
    </row>
    <row r="8824" spans="8:8" x14ac:dyDescent="0.35">
      <c r="H8824" t="s">
        <v>26</v>
      </c>
    </row>
    <row r="8825" spans="8:8" x14ac:dyDescent="0.35">
      <c r="H8825" t="s">
        <v>26</v>
      </c>
    </row>
    <row r="8826" spans="8:8" x14ac:dyDescent="0.35">
      <c r="H8826" t="s">
        <v>26</v>
      </c>
    </row>
    <row r="8827" spans="8:8" x14ac:dyDescent="0.35">
      <c r="H8827" t="s">
        <v>26</v>
      </c>
    </row>
    <row r="8828" spans="8:8" x14ac:dyDescent="0.35">
      <c r="H8828" t="s">
        <v>26</v>
      </c>
    </row>
    <row r="8829" spans="8:8" x14ac:dyDescent="0.35">
      <c r="H8829" t="s">
        <v>26</v>
      </c>
    </row>
    <row r="8830" spans="8:8" x14ac:dyDescent="0.35">
      <c r="H8830" t="s">
        <v>26</v>
      </c>
    </row>
    <row r="8831" spans="8:8" x14ac:dyDescent="0.35">
      <c r="H8831" t="s">
        <v>26</v>
      </c>
    </row>
    <row r="8832" spans="8:8" x14ac:dyDescent="0.35">
      <c r="H8832" t="s">
        <v>26</v>
      </c>
    </row>
    <row r="8833" spans="8:8" x14ac:dyDescent="0.35">
      <c r="H8833" t="s">
        <v>26</v>
      </c>
    </row>
    <row r="8834" spans="8:8" x14ac:dyDescent="0.35">
      <c r="H8834" t="s">
        <v>26</v>
      </c>
    </row>
    <row r="8835" spans="8:8" x14ac:dyDescent="0.35">
      <c r="H8835" t="s">
        <v>26</v>
      </c>
    </row>
    <row r="8836" spans="8:8" x14ac:dyDescent="0.35">
      <c r="H8836" t="s">
        <v>26</v>
      </c>
    </row>
    <row r="8837" spans="8:8" x14ac:dyDescent="0.35">
      <c r="H8837" t="s">
        <v>26</v>
      </c>
    </row>
    <row r="8838" spans="8:8" x14ac:dyDescent="0.35">
      <c r="H8838" t="s">
        <v>26</v>
      </c>
    </row>
    <row r="8839" spans="8:8" x14ac:dyDescent="0.35">
      <c r="H8839" t="s">
        <v>26</v>
      </c>
    </row>
    <row r="8840" spans="8:8" x14ac:dyDescent="0.35">
      <c r="H8840" t="s">
        <v>26</v>
      </c>
    </row>
    <row r="8841" spans="8:8" x14ac:dyDescent="0.35">
      <c r="H8841" t="s">
        <v>26</v>
      </c>
    </row>
    <row r="8842" spans="8:8" x14ac:dyDescent="0.35">
      <c r="H8842" t="s">
        <v>26</v>
      </c>
    </row>
    <row r="8843" spans="8:8" x14ac:dyDescent="0.35">
      <c r="H8843" t="s">
        <v>26</v>
      </c>
    </row>
    <row r="8844" spans="8:8" x14ac:dyDescent="0.35">
      <c r="H8844" t="s">
        <v>26</v>
      </c>
    </row>
    <row r="8845" spans="8:8" x14ac:dyDescent="0.35">
      <c r="H8845" t="s">
        <v>26</v>
      </c>
    </row>
    <row r="8846" spans="8:8" x14ac:dyDescent="0.35">
      <c r="H8846" t="s">
        <v>26</v>
      </c>
    </row>
    <row r="8847" spans="8:8" x14ac:dyDescent="0.35">
      <c r="H8847" t="s">
        <v>26</v>
      </c>
    </row>
    <row r="8848" spans="8:8" x14ac:dyDescent="0.35">
      <c r="H8848" t="s">
        <v>26</v>
      </c>
    </row>
    <row r="8849" spans="8:8" x14ac:dyDescent="0.35">
      <c r="H8849" t="s">
        <v>26</v>
      </c>
    </row>
    <row r="8850" spans="8:8" x14ac:dyDescent="0.35">
      <c r="H8850" t="s">
        <v>26</v>
      </c>
    </row>
    <row r="8851" spans="8:8" x14ac:dyDescent="0.35">
      <c r="H8851" t="s">
        <v>26</v>
      </c>
    </row>
    <row r="8852" spans="8:8" x14ac:dyDescent="0.35">
      <c r="H8852" t="s">
        <v>26</v>
      </c>
    </row>
    <row r="8853" spans="8:8" x14ac:dyDescent="0.35">
      <c r="H8853" t="s">
        <v>26</v>
      </c>
    </row>
    <row r="8854" spans="8:8" x14ac:dyDescent="0.35">
      <c r="H8854" t="s">
        <v>26</v>
      </c>
    </row>
    <row r="8855" spans="8:8" x14ac:dyDescent="0.35">
      <c r="H8855" t="s">
        <v>26</v>
      </c>
    </row>
    <row r="8856" spans="8:8" x14ac:dyDescent="0.35">
      <c r="H8856" t="s">
        <v>26</v>
      </c>
    </row>
    <row r="8857" spans="8:8" x14ac:dyDescent="0.35">
      <c r="H8857" t="s">
        <v>26</v>
      </c>
    </row>
    <row r="8858" spans="8:8" x14ac:dyDescent="0.35">
      <c r="H8858" t="s">
        <v>26</v>
      </c>
    </row>
    <row r="8859" spans="8:8" x14ac:dyDescent="0.35">
      <c r="H8859" t="s">
        <v>26</v>
      </c>
    </row>
    <row r="8860" spans="8:8" x14ac:dyDescent="0.35">
      <c r="H8860" t="s">
        <v>26</v>
      </c>
    </row>
    <row r="8861" spans="8:8" x14ac:dyDescent="0.35">
      <c r="H8861" t="s">
        <v>26</v>
      </c>
    </row>
    <row r="8862" spans="8:8" x14ac:dyDescent="0.35">
      <c r="H8862" t="s">
        <v>26</v>
      </c>
    </row>
    <row r="8863" spans="8:8" x14ac:dyDescent="0.35">
      <c r="H8863" t="s">
        <v>26</v>
      </c>
    </row>
    <row r="8864" spans="8:8" x14ac:dyDescent="0.35">
      <c r="H8864" t="s">
        <v>26</v>
      </c>
    </row>
    <row r="8865" spans="8:8" x14ac:dyDescent="0.35">
      <c r="H8865" t="s">
        <v>26</v>
      </c>
    </row>
    <row r="8866" spans="8:8" x14ac:dyDescent="0.35">
      <c r="H8866" t="s">
        <v>26</v>
      </c>
    </row>
    <row r="8867" spans="8:8" x14ac:dyDescent="0.35">
      <c r="H8867" t="s">
        <v>26</v>
      </c>
    </row>
    <row r="8868" spans="8:8" x14ac:dyDescent="0.35">
      <c r="H8868" t="s">
        <v>26</v>
      </c>
    </row>
    <row r="8869" spans="8:8" x14ac:dyDescent="0.35">
      <c r="H8869" t="s">
        <v>26</v>
      </c>
    </row>
    <row r="8870" spans="8:8" x14ac:dyDescent="0.35">
      <c r="H8870" t="s">
        <v>26</v>
      </c>
    </row>
    <row r="8871" spans="8:8" x14ac:dyDescent="0.35">
      <c r="H8871" t="s">
        <v>26</v>
      </c>
    </row>
    <row r="8872" spans="8:8" x14ac:dyDescent="0.35">
      <c r="H8872" t="s">
        <v>26</v>
      </c>
    </row>
    <row r="8873" spans="8:8" x14ac:dyDescent="0.35">
      <c r="H8873" t="s">
        <v>26</v>
      </c>
    </row>
    <row r="8874" spans="8:8" x14ac:dyDescent="0.35">
      <c r="H8874" t="s">
        <v>26</v>
      </c>
    </row>
    <row r="8875" spans="8:8" x14ac:dyDescent="0.35">
      <c r="H8875" t="s">
        <v>26</v>
      </c>
    </row>
    <row r="8876" spans="8:8" x14ac:dyDescent="0.35">
      <c r="H8876" t="s">
        <v>26</v>
      </c>
    </row>
    <row r="8877" spans="8:8" x14ac:dyDescent="0.35">
      <c r="H8877" t="s">
        <v>26</v>
      </c>
    </row>
    <row r="8878" spans="8:8" x14ac:dyDescent="0.35">
      <c r="H8878" t="s">
        <v>26</v>
      </c>
    </row>
    <row r="8879" spans="8:8" x14ac:dyDescent="0.35">
      <c r="H8879" t="s">
        <v>26</v>
      </c>
    </row>
    <row r="8880" spans="8:8" x14ac:dyDescent="0.35">
      <c r="H8880" t="s">
        <v>26</v>
      </c>
    </row>
    <row r="8881" spans="8:8" x14ac:dyDescent="0.35">
      <c r="H8881" t="s">
        <v>26</v>
      </c>
    </row>
    <row r="8882" spans="8:8" x14ac:dyDescent="0.35">
      <c r="H8882" t="s">
        <v>26</v>
      </c>
    </row>
    <row r="8883" spans="8:8" x14ac:dyDescent="0.35">
      <c r="H8883" t="s">
        <v>26</v>
      </c>
    </row>
    <row r="8884" spans="8:8" x14ac:dyDescent="0.35">
      <c r="H8884" t="s">
        <v>26</v>
      </c>
    </row>
    <row r="8885" spans="8:8" x14ac:dyDescent="0.35">
      <c r="H8885" t="s">
        <v>26</v>
      </c>
    </row>
    <row r="8886" spans="8:8" x14ac:dyDescent="0.35">
      <c r="H8886" t="s">
        <v>26</v>
      </c>
    </row>
    <row r="8887" spans="8:8" x14ac:dyDescent="0.35">
      <c r="H8887" t="s">
        <v>26</v>
      </c>
    </row>
    <row r="8888" spans="8:8" x14ac:dyDescent="0.35">
      <c r="H8888" t="s">
        <v>26</v>
      </c>
    </row>
    <row r="8889" spans="8:8" x14ac:dyDescent="0.35">
      <c r="H8889" t="s">
        <v>26</v>
      </c>
    </row>
    <row r="8890" spans="8:8" x14ac:dyDescent="0.35">
      <c r="H8890" t="s">
        <v>26</v>
      </c>
    </row>
    <row r="8891" spans="8:8" x14ac:dyDescent="0.35">
      <c r="H8891" t="s">
        <v>26</v>
      </c>
    </row>
    <row r="8892" spans="8:8" x14ac:dyDescent="0.35">
      <c r="H8892" t="s">
        <v>26</v>
      </c>
    </row>
    <row r="8893" spans="8:8" x14ac:dyDescent="0.35">
      <c r="H8893" t="s">
        <v>26</v>
      </c>
    </row>
    <row r="8894" spans="8:8" x14ac:dyDescent="0.35">
      <c r="H8894" t="s">
        <v>26</v>
      </c>
    </row>
    <row r="8895" spans="8:8" x14ac:dyDescent="0.35">
      <c r="H8895" t="s">
        <v>26</v>
      </c>
    </row>
    <row r="8896" spans="8:8" x14ac:dyDescent="0.35">
      <c r="H8896" t="s">
        <v>26</v>
      </c>
    </row>
    <row r="8897" spans="8:9" x14ac:dyDescent="0.35">
      <c r="H8897" t="s">
        <v>26</v>
      </c>
    </row>
    <row r="8898" spans="8:9" x14ac:dyDescent="0.35">
      <c r="H8898" t="s">
        <v>26</v>
      </c>
    </row>
    <row r="8899" spans="8:9" x14ac:dyDescent="0.35">
      <c r="H8899" t="s">
        <v>26</v>
      </c>
    </row>
    <row r="8900" spans="8:9" x14ac:dyDescent="0.35">
      <c r="H8900" t="s">
        <v>26</v>
      </c>
    </row>
    <row r="8901" spans="8:9" x14ac:dyDescent="0.35">
      <c r="H8901" t="s">
        <v>26</v>
      </c>
    </row>
    <row r="8902" spans="8:9" x14ac:dyDescent="0.35">
      <c r="H8902" t="s">
        <v>26</v>
      </c>
    </row>
    <row r="8903" spans="8:9" x14ac:dyDescent="0.35">
      <c r="H8903" t="s">
        <v>78</v>
      </c>
      <c r="I8903" s="57">
        <v>0</v>
      </c>
    </row>
    <row r="8904" spans="8:9" x14ac:dyDescent="0.35">
      <c r="H8904" t="s">
        <v>78</v>
      </c>
      <c r="I8904" s="57">
        <v>0</v>
      </c>
    </row>
    <row r="8905" spans="8:9" x14ac:dyDescent="0.35">
      <c r="H8905" t="s">
        <v>78</v>
      </c>
      <c r="I8905" s="57">
        <v>0</v>
      </c>
    </row>
    <row r="8906" spans="8:9" x14ac:dyDescent="0.35">
      <c r="H8906" t="s">
        <v>26</v>
      </c>
    </row>
    <row r="8907" spans="8:9" x14ac:dyDescent="0.35">
      <c r="H8907" t="s">
        <v>78</v>
      </c>
      <c r="I8907" s="57">
        <v>0</v>
      </c>
    </row>
    <row r="8908" spans="8:9" x14ac:dyDescent="0.35">
      <c r="H8908" t="s">
        <v>78</v>
      </c>
      <c r="I8908" s="57">
        <v>0</v>
      </c>
    </row>
    <row r="8909" spans="8:9" x14ac:dyDescent="0.35">
      <c r="H8909" t="s">
        <v>78</v>
      </c>
      <c r="I8909" s="57">
        <v>0</v>
      </c>
    </row>
    <row r="8910" spans="8:9" x14ac:dyDescent="0.35">
      <c r="H8910" t="s">
        <v>26</v>
      </c>
    </row>
    <row r="8911" spans="8:9" x14ac:dyDescent="0.35">
      <c r="H8911" t="s">
        <v>26</v>
      </c>
    </row>
    <row r="8912" spans="8:9" x14ac:dyDescent="0.35">
      <c r="H8912" t="s">
        <v>26</v>
      </c>
    </row>
    <row r="8913" spans="8:8" x14ac:dyDescent="0.35">
      <c r="H8913" t="s">
        <v>26</v>
      </c>
    </row>
    <row r="8914" spans="8:8" x14ac:dyDescent="0.35">
      <c r="H8914" t="s">
        <v>26</v>
      </c>
    </row>
    <row r="8915" spans="8:8" x14ac:dyDescent="0.35">
      <c r="H8915" t="s">
        <v>26</v>
      </c>
    </row>
    <row r="8916" spans="8:8" x14ac:dyDescent="0.35">
      <c r="H8916" t="s">
        <v>26</v>
      </c>
    </row>
    <row r="8917" spans="8:8" x14ac:dyDescent="0.35">
      <c r="H8917" t="s">
        <v>26</v>
      </c>
    </row>
    <row r="8918" spans="8:8" x14ac:dyDescent="0.35">
      <c r="H8918" t="s">
        <v>26</v>
      </c>
    </row>
    <row r="8919" spans="8:8" x14ac:dyDescent="0.35">
      <c r="H8919" t="s">
        <v>26</v>
      </c>
    </row>
    <row r="8920" spans="8:8" x14ac:dyDescent="0.35">
      <c r="H8920" t="s">
        <v>26</v>
      </c>
    </row>
    <row r="8921" spans="8:8" x14ac:dyDescent="0.35">
      <c r="H8921" t="s">
        <v>26</v>
      </c>
    </row>
    <row r="8922" spans="8:8" x14ac:dyDescent="0.35">
      <c r="H8922" t="s">
        <v>26</v>
      </c>
    </row>
    <row r="8923" spans="8:8" x14ac:dyDescent="0.35">
      <c r="H8923" t="s">
        <v>26</v>
      </c>
    </row>
    <row r="8924" spans="8:8" x14ac:dyDescent="0.35">
      <c r="H8924" t="s">
        <v>26</v>
      </c>
    </row>
    <row r="8925" spans="8:8" x14ac:dyDescent="0.35">
      <c r="H8925" t="s">
        <v>26</v>
      </c>
    </row>
    <row r="8926" spans="8:8" x14ac:dyDescent="0.35">
      <c r="H8926" t="s">
        <v>26</v>
      </c>
    </row>
    <row r="8927" spans="8:8" x14ac:dyDescent="0.35">
      <c r="H8927" t="s">
        <v>26</v>
      </c>
    </row>
    <row r="8928" spans="8:8" x14ac:dyDescent="0.35">
      <c r="H8928" t="s">
        <v>26</v>
      </c>
    </row>
    <row r="8929" spans="8:9" x14ac:dyDescent="0.35">
      <c r="H8929" t="s">
        <v>78</v>
      </c>
      <c r="I8929" s="57">
        <v>0</v>
      </c>
    </row>
    <row r="8930" spans="8:9" x14ac:dyDescent="0.35">
      <c r="H8930" t="s">
        <v>78</v>
      </c>
      <c r="I8930" s="57">
        <v>0</v>
      </c>
    </row>
    <row r="8931" spans="8:9" x14ac:dyDescent="0.35">
      <c r="H8931" t="s">
        <v>26</v>
      </c>
    </row>
    <row r="8932" spans="8:9" x14ac:dyDescent="0.35">
      <c r="H8932" t="s">
        <v>78</v>
      </c>
      <c r="I8932" s="57">
        <v>0</v>
      </c>
    </row>
    <row r="8933" spans="8:9" x14ac:dyDescent="0.35">
      <c r="H8933" t="s">
        <v>78</v>
      </c>
      <c r="I8933" s="57">
        <v>0</v>
      </c>
    </row>
    <row r="8934" spans="8:9" x14ac:dyDescent="0.35">
      <c r="H8934" t="s">
        <v>78</v>
      </c>
      <c r="I8934" s="57">
        <v>0</v>
      </c>
    </row>
    <row r="8935" spans="8:9" x14ac:dyDescent="0.35">
      <c r="H8935" t="s">
        <v>78</v>
      </c>
      <c r="I8935" s="57">
        <v>0</v>
      </c>
    </row>
    <row r="8936" spans="8:9" x14ac:dyDescent="0.35">
      <c r="H8936" t="s">
        <v>78</v>
      </c>
      <c r="I8936" s="57">
        <v>0</v>
      </c>
    </row>
    <row r="8937" spans="8:9" x14ac:dyDescent="0.35">
      <c r="H8937" t="s">
        <v>78</v>
      </c>
      <c r="I8937" s="57">
        <v>0</v>
      </c>
    </row>
    <row r="8938" spans="8:9" x14ac:dyDescent="0.35">
      <c r="H8938" t="s">
        <v>78</v>
      </c>
      <c r="I8938" s="57">
        <v>0</v>
      </c>
    </row>
    <row r="8939" spans="8:9" x14ac:dyDescent="0.35">
      <c r="H8939" t="s">
        <v>78</v>
      </c>
      <c r="I8939" s="57">
        <v>0</v>
      </c>
    </row>
    <row r="8940" spans="8:9" x14ac:dyDescent="0.35">
      <c r="H8940" t="s">
        <v>78</v>
      </c>
      <c r="I8940" s="57">
        <v>0</v>
      </c>
    </row>
    <row r="8941" spans="8:9" x14ac:dyDescent="0.35">
      <c r="H8941" t="s">
        <v>78</v>
      </c>
      <c r="I8941" s="57">
        <v>0</v>
      </c>
    </row>
    <row r="8942" spans="8:9" x14ac:dyDescent="0.35">
      <c r="H8942" t="s">
        <v>78</v>
      </c>
      <c r="I8942" s="57">
        <v>0</v>
      </c>
    </row>
    <row r="8943" spans="8:9" x14ac:dyDescent="0.35">
      <c r="H8943" t="s">
        <v>78</v>
      </c>
      <c r="I8943" s="57">
        <v>0</v>
      </c>
    </row>
    <row r="8944" spans="8:9" x14ac:dyDescent="0.35">
      <c r="H8944" t="s">
        <v>78</v>
      </c>
      <c r="I8944" s="57">
        <v>0</v>
      </c>
    </row>
    <row r="8945" spans="8:9" x14ac:dyDescent="0.35">
      <c r="H8945" t="s">
        <v>78</v>
      </c>
      <c r="I8945" s="57">
        <v>0</v>
      </c>
    </row>
    <row r="8946" spans="8:9" x14ac:dyDescent="0.35">
      <c r="H8946" t="s">
        <v>78</v>
      </c>
      <c r="I8946" s="57">
        <v>0</v>
      </c>
    </row>
    <row r="8947" spans="8:9" x14ac:dyDescent="0.35">
      <c r="H8947" t="s">
        <v>78</v>
      </c>
      <c r="I8947" s="57">
        <v>0</v>
      </c>
    </row>
    <row r="8948" spans="8:9" x14ac:dyDescent="0.35">
      <c r="H8948" t="s">
        <v>78</v>
      </c>
      <c r="I8948" s="57">
        <v>0</v>
      </c>
    </row>
    <row r="8949" spans="8:9" x14ac:dyDescent="0.35">
      <c r="H8949" t="s">
        <v>78</v>
      </c>
      <c r="I8949" s="57">
        <v>0</v>
      </c>
    </row>
    <row r="8950" spans="8:9" x14ac:dyDescent="0.35">
      <c r="H8950" t="s">
        <v>78</v>
      </c>
      <c r="I8950" s="57">
        <v>0</v>
      </c>
    </row>
    <row r="8951" spans="8:9" x14ac:dyDescent="0.35">
      <c r="H8951" t="s">
        <v>78</v>
      </c>
      <c r="I8951" s="57">
        <v>0</v>
      </c>
    </row>
    <row r="8952" spans="8:9" x14ac:dyDescent="0.35">
      <c r="H8952" t="s">
        <v>78</v>
      </c>
      <c r="I8952" s="57">
        <v>0</v>
      </c>
    </row>
    <row r="8953" spans="8:9" x14ac:dyDescent="0.35">
      <c r="H8953" t="s">
        <v>78</v>
      </c>
      <c r="I8953" s="57">
        <v>0</v>
      </c>
    </row>
    <row r="8954" spans="8:9" x14ac:dyDescent="0.35">
      <c r="H8954" t="s">
        <v>78</v>
      </c>
      <c r="I8954" s="57">
        <v>0</v>
      </c>
    </row>
    <row r="8955" spans="8:9" x14ac:dyDescent="0.35">
      <c r="H8955" t="s">
        <v>78</v>
      </c>
      <c r="I8955" s="57">
        <v>0</v>
      </c>
    </row>
    <row r="8956" spans="8:9" x14ac:dyDescent="0.35">
      <c r="H8956" t="s">
        <v>78</v>
      </c>
      <c r="I8956" s="57">
        <v>0</v>
      </c>
    </row>
    <row r="8957" spans="8:9" x14ac:dyDescent="0.35">
      <c r="H8957" t="s">
        <v>26</v>
      </c>
    </row>
    <row r="8958" spans="8:9" x14ac:dyDescent="0.35">
      <c r="H8958" t="s">
        <v>26</v>
      </c>
    </row>
    <row r="8959" spans="8:9" x14ac:dyDescent="0.35">
      <c r="H8959" t="s">
        <v>26</v>
      </c>
    </row>
    <row r="8960" spans="8:9" x14ac:dyDescent="0.35">
      <c r="H8960" t="s">
        <v>26</v>
      </c>
    </row>
    <row r="8961" spans="8:8" x14ac:dyDescent="0.35">
      <c r="H8961" t="s">
        <v>26</v>
      </c>
    </row>
    <row r="8962" spans="8:8" x14ac:dyDescent="0.35">
      <c r="H8962" t="s">
        <v>26</v>
      </c>
    </row>
    <row r="8963" spans="8:8" x14ac:dyDescent="0.35">
      <c r="H8963" t="s">
        <v>26</v>
      </c>
    </row>
    <row r="8964" spans="8:8" x14ac:dyDescent="0.35">
      <c r="H8964" t="s">
        <v>26</v>
      </c>
    </row>
    <row r="8965" spans="8:8" x14ac:dyDescent="0.35">
      <c r="H8965" t="s">
        <v>26</v>
      </c>
    </row>
    <row r="8966" spans="8:8" x14ac:dyDescent="0.35">
      <c r="H8966" t="s">
        <v>26</v>
      </c>
    </row>
    <row r="8967" spans="8:8" x14ac:dyDescent="0.35">
      <c r="H8967" t="s">
        <v>26</v>
      </c>
    </row>
    <row r="8968" spans="8:8" x14ac:dyDescent="0.35">
      <c r="H8968" t="s">
        <v>26</v>
      </c>
    </row>
    <row r="8969" spans="8:8" x14ac:dyDescent="0.35">
      <c r="H8969" t="s">
        <v>26</v>
      </c>
    </row>
    <row r="8970" spans="8:8" x14ac:dyDescent="0.35">
      <c r="H8970" t="s">
        <v>26</v>
      </c>
    </row>
    <row r="8971" spans="8:8" x14ac:dyDescent="0.35">
      <c r="H8971" t="s">
        <v>26</v>
      </c>
    </row>
    <row r="8972" spans="8:8" x14ac:dyDescent="0.35">
      <c r="H8972" t="s">
        <v>26</v>
      </c>
    </row>
    <row r="8973" spans="8:8" x14ac:dyDescent="0.35">
      <c r="H8973" t="s">
        <v>26</v>
      </c>
    </row>
    <row r="8974" spans="8:8" x14ac:dyDescent="0.35">
      <c r="H8974" t="s">
        <v>26</v>
      </c>
    </row>
    <row r="8975" spans="8:8" x14ac:dyDescent="0.35">
      <c r="H8975" t="s">
        <v>26</v>
      </c>
    </row>
    <row r="8976" spans="8:8" x14ac:dyDescent="0.35">
      <c r="H8976" t="s">
        <v>26</v>
      </c>
    </row>
    <row r="8977" spans="8:8" x14ac:dyDescent="0.35">
      <c r="H8977" t="s">
        <v>26</v>
      </c>
    </row>
    <row r="8978" spans="8:8" x14ac:dyDescent="0.35">
      <c r="H8978" t="s">
        <v>26</v>
      </c>
    </row>
    <row r="8979" spans="8:8" x14ac:dyDescent="0.35">
      <c r="H8979" t="s">
        <v>26</v>
      </c>
    </row>
    <row r="8980" spans="8:8" x14ac:dyDescent="0.35">
      <c r="H8980" t="s">
        <v>26</v>
      </c>
    </row>
    <row r="8981" spans="8:8" x14ac:dyDescent="0.35">
      <c r="H8981" t="s">
        <v>26</v>
      </c>
    </row>
    <row r="8982" spans="8:8" x14ac:dyDescent="0.35">
      <c r="H8982" t="s">
        <v>26</v>
      </c>
    </row>
    <row r="8983" spans="8:8" x14ac:dyDescent="0.35">
      <c r="H8983" t="s">
        <v>26</v>
      </c>
    </row>
    <row r="8984" spans="8:8" x14ac:dyDescent="0.35">
      <c r="H8984" t="s">
        <v>26</v>
      </c>
    </row>
    <row r="8985" spans="8:8" x14ac:dyDescent="0.35">
      <c r="H8985" t="s">
        <v>26</v>
      </c>
    </row>
    <row r="8986" spans="8:8" x14ac:dyDescent="0.35">
      <c r="H8986" t="s">
        <v>26</v>
      </c>
    </row>
    <row r="8987" spans="8:8" x14ac:dyDescent="0.35">
      <c r="H8987" t="s">
        <v>26</v>
      </c>
    </row>
    <row r="8988" spans="8:8" x14ac:dyDescent="0.35">
      <c r="H8988" t="s">
        <v>26</v>
      </c>
    </row>
    <row r="8989" spans="8:8" x14ac:dyDescent="0.35">
      <c r="H8989" t="s">
        <v>26</v>
      </c>
    </row>
    <row r="8990" spans="8:8" x14ac:dyDescent="0.35">
      <c r="H8990" t="s">
        <v>26</v>
      </c>
    </row>
    <row r="8991" spans="8:8" x14ac:dyDescent="0.35">
      <c r="H8991" t="s">
        <v>26</v>
      </c>
    </row>
    <row r="8992" spans="8:8" x14ac:dyDescent="0.35">
      <c r="H8992" t="s">
        <v>26</v>
      </c>
    </row>
    <row r="8993" spans="8:8" x14ac:dyDescent="0.35">
      <c r="H8993" t="s">
        <v>26</v>
      </c>
    </row>
    <row r="8994" spans="8:8" x14ac:dyDescent="0.35">
      <c r="H8994" t="s">
        <v>26</v>
      </c>
    </row>
    <row r="8995" spans="8:8" x14ac:dyDescent="0.35">
      <c r="H8995" t="s">
        <v>26</v>
      </c>
    </row>
    <row r="8996" spans="8:8" x14ac:dyDescent="0.35">
      <c r="H8996" t="s">
        <v>26</v>
      </c>
    </row>
    <row r="8997" spans="8:8" x14ac:dyDescent="0.35">
      <c r="H8997" t="s">
        <v>26</v>
      </c>
    </row>
    <row r="8998" spans="8:8" x14ac:dyDescent="0.35">
      <c r="H8998" t="s">
        <v>26</v>
      </c>
    </row>
    <row r="8999" spans="8:8" x14ac:dyDescent="0.35">
      <c r="H8999" t="s">
        <v>26</v>
      </c>
    </row>
    <row r="9000" spans="8:8" x14ac:dyDescent="0.35">
      <c r="H9000" t="s">
        <v>26</v>
      </c>
    </row>
    <row r="9001" spans="8:8" x14ac:dyDescent="0.35">
      <c r="H9001" t="s">
        <v>26</v>
      </c>
    </row>
    <row r="9002" spans="8:8" x14ac:dyDescent="0.35">
      <c r="H9002" t="s">
        <v>26</v>
      </c>
    </row>
    <row r="9003" spans="8:8" x14ac:dyDescent="0.35">
      <c r="H9003" t="s">
        <v>26</v>
      </c>
    </row>
    <row r="9004" spans="8:8" x14ac:dyDescent="0.35">
      <c r="H9004" t="s">
        <v>26</v>
      </c>
    </row>
    <row r="9005" spans="8:8" x14ac:dyDescent="0.35">
      <c r="H9005" t="s">
        <v>26</v>
      </c>
    </row>
    <row r="9006" spans="8:8" x14ac:dyDescent="0.35">
      <c r="H9006" t="s">
        <v>26</v>
      </c>
    </row>
    <row r="9007" spans="8:8" x14ac:dyDescent="0.35">
      <c r="H9007" t="s">
        <v>26</v>
      </c>
    </row>
    <row r="9008" spans="8:8" x14ac:dyDescent="0.35">
      <c r="H9008" t="s">
        <v>26</v>
      </c>
    </row>
    <row r="9009" spans="8:8" x14ac:dyDescent="0.35">
      <c r="H9009" t="s">
        <v>26</v>
      </c>
    </row>
    <row r="9010" spans="8:8" x14ac:dyDescent="0.35">
      <c r="H9010" t="s">
        <v>26</v>
      </c>
    </row>
    <row r="9011" spans="8:8" x14ac:dyDescent="0.35">
      <c r="H9011" t="s">
        <v>26</v>
      </c>
    </row>
    <row r="9012" spans="8:8" x14ac:dyDescent="0.35">
      <c r="H9012" t="s">
        <v>26</v>
      </c>
    </row>
    <row r="9013" spans="8:8" x14ac:dyDescent="0.35">
      <c r="H9013" t="s">
        <v>26</v>
      </c>
    </row>
    <row r="9014" spans="8:8" x14ac:dyDescent="0.35">
      <c r="H9014" t="s">
        <v>26</v>
      </c>
    </row>
    <row r="9015" spans="8:8" x14ac:dyDescent="0.35">
      <c r="H9015" t="s">
        <v>26</v>
      </c>
    </row>
    <row r="9016" spans="8:8" x14ac:dyDescent="0.35">
      <c r="H9016" t="s">
        <v>26</v>
      </c>
    </row>
    <row r="9017" spans="8:8" x14ac:dyDescent="0.35">
      <c r="H9017" t="s">
        <v>26</v>
      </c>
    </row>
    <row r="9018" spans="8:8" x14ac:dyDescent="0.35">
      <c r="H9018" t="s">
        <v>26</v>
      </c>
    </row>
    <row r="9019" spans="8:8" x14ac:dyDescent="0.35">
      <c r="H9019" t="s">
        <v>26</v>
      </c>
    </row>
    <row r="9020" spans="8:8" x14ac:dyDescent="0.35">
      <c r="H9020" t="s">
        <v>26</v>
      </c>
    </row>
    <row r="9021" spans="8:8" x14ac:dyDescent="0.35">
      <c r="H9021" t="s">
        <v>26</v>
      </c>
    </row>
    <row r="9022" spans="8:8" x14ac:dyDescent="0.35">
      <c r="H9022" t="s">
        <v>26</v>
      </c>
    </row>
    <row r="9023" spans="8:8" x14ac:dyDescent="0.35">
      <c r="H9023" t="s">
        <v>26</v>
      </c>
    </row>
    <row r="9024" spans="8:8" x14ac:dyDescent="0.35">
      <c r="H9024" t="s">
        <v>26</v>
      </c>
    </row>
    <row r="9025" spans="8:8" x14ac:dyDescent="0.35">
      <c r="H9025" t="s">
        <v>26</v>
      </c>
    </row>
    <row r="9026" spans="8:8" x14ac:dyDescent="0.35">
      <c r="H9026" t="s">
        <v>26</v>
      </c>
    </row>
    <row r="9027" spans="8:8" x14ac:dyDescent="0.35">
      <c r="H9027" t="s">
        <v>26</v>
      </c>
    </row>
    <row r="9028" spans="8:8" x14ac:dyDescent="0.35">
      <c r="H9028" t="s">
        <v>26</v>
      </c>
    </row>
    <row r="9029" spans="8:8" x14ac:dyDescent="0.35">
      <c r="H9029" t="s">
        <v>26</v>
      </c>
    </row>
    <row r="9030" spans="8:8" x14ac:dyDescent="0.35">
      <c r="H9030" t="s">
        <v>26</v>
      </c>
    </row>
    <row r="9031" spans="8:8" x14ac:dyDescent="0.35">
      <c r="H9031" t="s">
        <v>26</v>
      </c>
    </row>
    <row r="9032" spans="8:8" x14ac:dyDescent="0.35">
      <c r="H9032" t="s">
        <v>26</v>
      </c>
    </row>
    <row r="9033" spans="8:8" x14ac:dyDescent="0.35">
      <c r="H9033" t="s">
        <v>26</v>
      </c>
    </row>
    <row r="9034" spans="8:8" x14ac:dyDescent="0.35">
      <c r="H9034" t="s">
        <v>26</v>
      </c>
    </row>
    <row r="9035" spans="8:8" x14ac:dyDescent="0.35">
      <c r="H9035" t="s">
        <v>26</v>
      </c>
    </row>
    <row r="9036" spans="8:8" x14ac:dyDescent="0.35">
      <c r="H9036" t="s">
        <v>26</v>
      </c>
    </row>
    <row r="9037" spans="8:8" x14ac:dyDescent="0.35">
      <c r="H9037" t="s">
        <v>26</v>
      </c>
    </row>
    <row r="9038" spans="8:8" x14ac:dyDescent="0.35">
      <c r="H9038" t="s">
        <v>26</v>
      </c>
    </row>
    <row r="9039" spans="8:8" x14ac:dyDescent="0.35">
      <c r="H9039" t="s">
        <v>26</v>
      </c>
    </row>
    <row r="9040" spans="8:8" x14ac:dyDescent="0.35">
      <c r="H9040" t="s">
        <v>26</v>
      </c>
    </row>
    <row r="9041" spans="8:8" x14ac:dyDescent="0.35">
      <c r="H9041" t="s">
        <v>26</v>
      </c>
    </row>
    <row r="9042" spans="8:8" x14ac:dyDescent="0.35">
      <c r="H9042" t="s">
        <v>26</v>
      </c>
    </row>
    <row r="9043" spans="8:8" x14ac:dyDescent="0.35">
      <c r="H9043" t="s">
        <v>26</v>
      </c>
    </row>
    <row r="9044" spans="8:8" x14ac:dyDescent="0.35">
      <c r="H9044" t="s">
        <v>26</v>
      </c>
    </row>
    <row r="9045" spans="8:8" x14ac:dyDescent="0.35">
      <c r="H9045" t="s">
        <v>26</v>
      </c>
    </row>
    <row r="9046" spans="8:8" x14ac:dyDescent="0.35">
      <c r="H9046" t="s">
        <v>26</v>
      </c>
    </row>
    <row r="9047" spans="8:8" x14ac:dyDescent="0.35">
      <c r="H9047" t="s">
        <v>26</v>
      </c>
    </row>
    <row r="9048" spans="8:8" x14ac:dyDescent="0.35">
      <c r="H9048" t="s">
        <v>26</v>
      </c>
    </row>
    <row r="9049" spans="8:8" x14ac:dyDescent="0.35">
      <c r="H9049" t="s">
        <v>26</v>
      </c>
    </row>
    <row r="9050" spans="8:8" x14ac:dyDescent="0.35">
      <c r="H9050" t="s">
        <v>26</v>
      </c>
    </row>
    <row r="9051" spans="8:8" x14ac:dyDescent="0.35">
      <c r="H9051" t="s">
        <v>26</v>
      </c>
    </row>
    <row r="9052" spans="8:8" x14ac:dyDescent="0.35">
      <c r="H9052" t="s">
        <v>26</v>
      </c>
    </row>
    <row r="9053" spans="8:8" x14ac:dyDescent="0.35">
      <c r="H9053" t="s">
        <v>26</v>
      </c>
    </row>
    <row r="9054" spans="8:8" x14ac:dyDescent="0.35">
      <c r="H9054" t="s">
        <v>26</v>
      </c>
    </row>
    <row r="9055" spans="8:8" x14ac:dyDescent="0.35">
      <c r="H9055" t="s">
        <v>26</v>
      </c>
    </row>
    <row r="9056" spans="8:8" x14ac:dyDescent="0.35">
      <c r="H9056" t="s">
        <v>26</v>
      </c>
    </row>
    <row r="9057" spans="8:8" x14ac:dyDescent="0.35">
      <c r="H9057" t="s">
        <v>26</v>
      </c>
    </row>
    <row r="9058" spans="8:8" x14ac:dyDescent="0.35">
      <c r="H9058" t="s">
        <v>26</v>
      </c>
    </row>
    <row r="9059" spans="8:8" x14ac:dyDescent="0.35">
      <c r="H9059" t="s">
        <v>26</v>
      </c>
    </row>
    <row r="9060" spans="8:8" x14ac:dyDescent="0.35">
      <c r="H9060" t="s">
        <v>26</v>
      </c>
    </row>
    <row r="9061" spans="8:8" x14ac:dyDescent="0.35">
      <c r="H9061" t="s">
        <v>26</v>
      </c>
    </row>
    <row r="9062" spans="8:8" x14ac:dyDescent="0.35">
      <c r="H9062" t="s">
        <v>26</v>
      </c>
    </row>
    <row r="9063" spans="8:8" x14ac:dyDescent="0.35">
      <c r="H9063" t="s">
        <v>26</v>
      </c>
    </row>
    <row r="9064" spans="8:8" x14ac:dyDescent="0.35">
      <c r="H9064" t="s">
        <v>26</v>
      </c>
    </row>
    <row r="9065" spans="8:8" x14ac:dyDescent="0.35">
      <c r="H9065" t="s">
        <v>26</v>
      </c>
    </row>
    <row r="9066" spans="8:8" x14ac:dyDescent="0.35">
      <c r="H9066" t="s">
        <v>26</v>
      </c>
    </row>
    <row r="9067" spans="8:8" x14ac:dyDescent="0.35">
      <c r="H9067" t="s">
        <v>26</v>
      </c>
    </row>
    <row r="9068" spans="8:8" x14ac:dyDescent="0.35">
      <c r="H9068" t="s">
        <v>26</v>
      </c>
    </row>
    <row r="9069" spans="8:8" x14ac:dyDescent="0.35">
      <c r="H9069" t="s">
        <v>26</v>
      </c>
    </row>
    <row r="9070" spans="8:8" x14ac:dyDescent="0.35">
      <c r="H9070" t="s">
        <v>26</v>
      </c>
    </row>
    <row r="9071" spans="8:8" x14ac:dyDescent="0.35">
      <c r="H9071" t="s">
        <v>26</v>
      </c>
    </row>
    <row r="9072" spans="8:8" x14ac:dyDescent="0.35">
      <c r="H9072" t="s">
        <v>26</v>
      </c>
    </row>
    <row r="9073" spans="8:8" x14ac:dyDescent="0.35">
      <c r="H9073" t="s">
        <v>26</v>
      </c>
    </row>
    <row r="9074" spans="8:8" x14ac:dyDescent="0.35">
      <c r="H9074" t="s">
        <v>26</v>
      </c>
    </row>
    <row r="9075" spans="8:8" x14ac:dyDescent="0.35">
      <c r="H9075" t="s">
        <v>26</v>
      </c>
    </row>
    <row r="9076" spans="8:8" x14ac:dyDescent="0.35">
      <c r="H9076" t="s">
        <v>26</v>
      </c>
    </row>
    <row r="9077" spans="8:8" x14ac:dyDescent="0.35">
      <c r="H9077" t="s">
        <v>26</v>
      </c>
    </row>
    <row r="9078" spans="8:8" x14ac:dyDescent="0.35">
      <c r="H9078" t="s">
        <v>26</v>
      </c>
    </row>
    <row r="9079" spans="8:8" x14ac:dyDescent="0.35">
      <c r="H9079" t="s">
        <v>26</v>
      </c>
    </row>
    <row r="9080" spans="8:8" x14ac:dyDescent="0.35">
      <c r="H9080" t="s">
        <v>26</v>
      </c>
    </row>
    <row r="9081" spans="8:8" x14ac:dyDescent="0.35">
      <c r="H9081" t="s">
        <v>26</v>
      </c>
    </row>
    <row r="9082" spans="8:8" x14ac:dyDescent="0.35">
      <c r="H9082" t="s">
        <v>26</v>
      </c>
    </row>
    <row r="9083" spans="8:8" x14ac:dyDescent="0.35">
      <c r="H9083" t="s">
        <v>26</v>
      </c>
    </row>
    <row r="9084" spans="8:8" x14ac:dyDescent="0.35">
      <c r="H9084" t="s">
        <v>26</v>
      </c>
    </row>
    <row r="9085" spans="8:8" x14ac:dyDescent="0.35">
      <c r="H9085" t="s">
        <v>26</v>
      </c>
    </row>
    <row r="9086" spans="8:8" x14ac:dyDescent="0.35">
      <c r="H9086" t="s">
        <v>26</v>
      </c>
    </row>
    <row r="9087" spans="8:8" x14ac:dyDescent="0.35">
      <c r="H9087" t="s">
        <v>26</v>
      </c>
    </row>
    <row r="9088" spans="8:8" x14ac:dyDescent="0.35">
      <c r="H9088" t="s">
        <v>26</v>
      </c>
    </row>
    <row r="9089" spans="8:8" x14ac:dyDescent="0.35">
      <c r="H9089" t="s">
        <v>26</v>
      </c>
    </row>
    <row r="9090" spans="8:8" x14ac:dyDescent="0.35">
      <c r="H9090" t="s">
        <v>26</v>
      </c>
    </row>
    <row r="9091" spans="8:8" x14ac:dyDescent="0.35">
      <c r="H9091" t="s">
        <v>26</v>
      </c>
    </row>
    <row r="9092" spans="8:8" x14ac:dyDescent="0.35">
      <c r="H9092" t="s">
        <v>26</v>
      </c>
    </row>
    <row r="9093" spans="8:8" x14ac:dyDescent="0.35">
      <c r="H9093" t="s">
        <v>26</v>
      </c>
    </row>
    <row r="9094" spans="8:8" x14ac:dyDescent="0.35">
      <c r="H9094" t="s">
        <v>26</v>
      </c>
    </row>
    <row r="9095" spans="8:8" x14ac:dyDescent="0.35">
      <c r="H9095" t="s">
        <v>26</v>
      </c>
    </row>
    <row r="9096" spans="8:8" x14ac:dyDescent="0.35">
      <c r="H9096" t="s">
        <v>26</v>
      </c>
    </row>
    <row r="9097" spans="8:8" x14ac:dyDescent="0.35">
      <c r="H9097" t="s">
        <v>26</v>
      </c>
    </row>
    <row r="9098" spans="8:8" x14ac:dyDescent="0.35">
      <c r="H9098" t="s">
        <v>26</v>
      </c>
    </row>
    <row r="9099" spans="8:8" x14ac:dyDescent="0.35">
      <c r="H9099" t="s">
        <v>26</v>
      </c>
    </row>
    <row r="9100" spans="8:8" x14ac:dyDescent="0.35">
      <c r="H9100" t="s">
        <v>26</v>
      </c>
    </row>
    <row r="9101" spans="8:8" x14ac:dyDescent="0.35">
      <c r="H9101" t="s">
        <v>26</v>
      </c>
    </row>
    <row r="9102" spans="8:8" x14ac:dyDescent="0.35">
      <c r="H9102" t="s">
        <v>26</v>
      </c>
    </row>
    <row r="9103" spans="8:8" x14ac:dyDescent="0.35">
      <c r="H9103" t="s">
        <v>26</v>
      </c>
    </row>
    <row r="9104" spans="8:8" x14ac:dyDescent="0.35">
      <c r="H9104" t="s">
        <v>26</v>
      </c>
    </row>
    <row r="9105" spans="8:8" x14ac:dyDescent="0.35">
      <c r="H9105" t="s">
        <v>26</v>
      </c>
    </row>
    <row r="9106" spans="8:8" x14ac:dyDescent="0.35">
      <c r="H9106" t="s">
        <v>26</v>
      </c>
    </row>
    <row r="9107" spans="8:8" x14ac:dyDescent="0.35">
      <c r="H9107" t="s">
        <v>26</v>
      </c>
    </row>
    <row r="9108" spans="8:8" x14ac:dyDescent="0.35">
      <c r="H9108" t="s">
        <v>26</v>
      </c>
    </row>
    <row r="9109" spans="8:8" x14ac:dyDescent="0.35">
      <c r="H9109" t="s">
        <v>26</v>
      </c>
    </row>
    <row r="9110" spans="8:8" x14ac:dyDescent="0.35">
      <c r="H9110" t="s">
        <v>26</v>
      </c>
    </row>
    <row r="9111" spans="8:8" x14ac:dyDescent="0.35">
      <c r="H9111" t="s">
        <v>26</v>
      </c>
    </row>
    <row r="9112" spans="8:8" x14ac:dyDescent="0.35">
      <c r="H9112" t="s">
        <v>26</v>
      </c>
    </row>
    <row r="9113" spans="8:8" x14ac:dyDescent="0.35">
      <c r="H9113" t="s">
        <v>26</v>
      </c>
    </row>
    <row r="9114" spans="8:8" x14ac:dyDescent="0.35">
      <c r="H9114" t="s">
        <v>26</v>
      </c>
    </row>
    <row r="9115" spans="8:8" x14ac:dyDescent="0.35">
      <c r="H9115" t="s">
        <v>26</v>
      </c>
    </row>
    <row r="9116" spans="8:8" x14ac:dyDescent="0.35">
      <c r="H9116" t="s">
        <v>26</v>
      </c>
    </row>
    <row r="9117" spans="8:8" x14ac:dyDescent="0.35">
      <c r="H9117" t="s">
        <v>26</v>
      </c>
    </row>
    <row r="9118" spans="8:8" x14ac:dyDescent="0.35">
      <c r="H9118" t="s">
        <v>26</v>
      </c>
    </row>
    <row r="9119" spans="8:8" x14ac:dyDescent="0.35">
      <c r="H9119" t="s">
        <v>26</v>
      </c>
    </row>
    <row r="9120" spans="8:8" x14ac:dyDescent="0.35">
      <c r="H9120" t="s">
        <v>26</v>
      </c>
    </row>
    <row r="9121" spans="8:8" x14ac:dyDescent="0.35">
      <c r="H9121" t="s">
        <v>26</v>
      </c>
    </row>
    <row r="9122" spans="8:8" x14ac:dyDescent="0.35">
      <c r="H9122" t="s">
        <v>26</v>
      </c>
    </row>
    <row r="9123" spans="8:8" x14ac:dyDescent="0.35">
      <c r="H9123" t="s">
        <v>26</v>
      </c>
    </row>
    <row r="9124" spans="8:8" x14ac:dyDescent="0.35">
      <c r="H9124" t="s">
        <v>26</v>
      </c>
    </row>
    <row r="9125" spans="8:8" x14ac:dyDescent="0.35">
      <c r="H9125" t="s">
        <v>26</v>
      </c>
    </row>
    <row r="9126" spans="8:8" x14ac:dyDescent="0.35">
      <c r="H9126" t="s">
        <v>26</v>
      </c>
    </row>
    <row r="9127" spans="8:8" x14ac:dyDescent="0.35">
      <c r="H9127" t="s">
        <v>26</v>
      </c>
    </row>
    <row r="9128" spans="8:8" x14ac:dyDescent="0.35">
      <c r="H9128" t="s">
        <v>26</v>
      </c>
    </row>
    <row r="9129" spans="8:8" x14ac:dyDescent="0.35">
      <c r="H9129" t="s">
        <v>26</v>
      </c>
    </row>
    <row r="9130" spans="8:8" x14ac:dyDescent="0.35">
      <c r="H9130" t="s">
        <v>26</v>
      </c>
    </row>
    <row r="9131" spans="8:8" x14ac:dyDescent="0.35">
      <c r="H9131" t="s">
        <v>26</v>
      </c>
    </row>
    <row r="9132" spans="8:8" x14ac:dyDescent="0.35">
      <c r="H9132" t="s">
        <v>26</v>
      </c>
    </row>
    <row r="9133" spans="8:8" x14ac:dyDescent="0.35">
      <c r="H9133" t="s">
        <v>26</v>
      </c>
    </row>
    <row r="9134" spans="8:8" x14ac:dyDescent="0.35">
      <c r="H9134" t="s">
        <v>26</v>
      </c>
    </row>
    <row r="9135" spans="8:8" x14ac:dyDescent="0.35">
      <c r="H9135" t="s">
        <v>26</v>
      </c>
    </row>
    <row r="9136" spans="8:8" x14ac:dyDescent="0.35">
      <c r="H9136" t="s">
        <v>26</v>
      </c>
    </row>
    <row r="9137" spans="8:8" x14ac:dyDescent="0.35">
      <c r="H9137" t="s">
        <v>26</v>
      </c>
    </row>
    <row r="9138" spans="8:8" x14ac:dyDescent="0.35">
      <c r="H9138" t="s">
        <v>26</v>
      </c>
    </row>
    <row r="9139" spans="8:8" x14ac:dyDescent="0.35">
      <c r="H9139" t="s">
        <v>26</v>
      </c>
    </row>
    <row r="9140" spans="8:8" x14ac:dyDescent="0.35">
      <c r="H9140" t="s">
        <v>26</v>
      </c>
    </row>
    <row r="9141" spans="8:8" x14ac:dyDescent="0.35">
      <c r="H9141" t="s">
        <v>26</v>
      </c>
    </row>
    <row r="9142" spans="8:8" x14ac:dyDescent="0.35">
      <c r="H9142" t="s">
        <v>26</v>
      </c>
    </row>
    <row r="9143" spans="8:8" x14ac:dyDescent="0.35">
      <c r="H9143" t="s">
        <v>26</v>
      </c>
    </row>
    <row r="9144" spans="8:8" x14ac:dyDescent="0.35">
      <c r="H9144" t="s">
        <v>26</v>
      </c>
    </row>
    <row r="9145" spans="8:8" x14ac:dyDescent="0.35">
      <c r="H9145" t="s">
        <v>26</v>
      </c>
    </row>
    <row r="9146" spans="8:8" x14ac:dyDescent="0.35">
      <c r="H9146" t="s">
        <v>26</v>
      </c>
    </row>
    <row r="9147" spans="8:8" x14ac:dyDescent="0.35">
      <c r="H9147" t="s">
        <v>26</v>
      </c>
    </row>
    <row r="9148" spans="8:8" x14ac:dyDescent="0.35">
      <c r="H9148" t="s">
        <v>26</v>
      </c>
    </row>
    <row r="9149" spans="8:8" x14ac:dyDescent="0.35">
      <c r="H9149" t="s">
        <v>26</v>
      </c>
    </row>
    <row r="9150" spans="8:8" x14ac:dyDescent="0.35">
      <c r="H9150" t="s">
        <v>26</v>
      </c>
    </row>
    <row r="9151" spans="8:8" x14ac:dyDescent="0.35">
      <c r="H9151" t="s">
        <v>26</v>
      </c>
    </row>
    <row r="9152" spans="8:8" x14ac:dyDescent="0.35">
      <c r="H9152" t="s">
        <v>26</v>
      </c>
    </row>
    <row r="9153" spans="8:8" x14ac:dyDescent="0.35">
      <c r="H9153" t="s">
        <v>26</v>
      </c>
    </row>
    <row r="9154" spans="8:8" x14ac:dyDescent="0.35">
      <c r="H9154" t="s">
        <v>26</v>
      </c>
    </row>
    <row r="9155" spans="8:8" x14ac:dyDescent="0.35">
      <c r="H9155" t="s">
        <v>26</v>
      </c>
    </row>
    <row r="9156" spans="8:8" x14ac:dyDescent="0.35">
      <c r="H9156" t="s">
        <v>26</v>
      </c>
    </row>
    <row r="9157" spans="8:8" x14ac:dyDescent="0.35">
      <c r="H9157" t="s">
        <v>26</v>
      </c>
    </row>
    <row r="9158" spans="8:8" x14ac:dyDescent="0.35">
      <c r="H9158" t="s">
        <v>26</v>
      </c>
    </row>
    <row r="9159" spans="8:8" x14ac:dyDescent="0.35">
      <c r="H9159" t="s">
        <v>26</v>
      </c>
    </row>
    <row r="9160" spans="8:8" x14ac:dyDescent="0.35">
      <c r="H9160" t="s">
        <v>26</v>
      </c>
    </row>
    <row r="9161" spans="8:8" x14ac:dyDescent="0.35">
      <c r="H9161" t="s">
        <v>26</v>
      </c>
    </row>
    <row r="9162" spans="8:8" x14ac:dyDescent="0.35">
      <c r="H9162" t="s">
        <v>26</v>
      </c>
    </row>
    <row r="9163" spans="8:8" x14ac:dyDescent="0.35">
      <c r="H9163" t="s">
        <v>26</v>
      </c>
    </row>
    <row r="9164" spans="8:8" x14ac:dyDescent="0.35">
      <c r="H9164" t="s">
        <v>26</v>
      </c>
    </row>
    <row r="9165" spans="8:8" x14ac:dyDescent="0.35">
      <c r="H9165" t="s">
        <v>26</v>
      </c>
    </row>
    <row r="9166" spans="8:8" x14ac:dyDescent="0.35">
      <c r="H9166" t="s">
        <v>26</v>
      </c>
    </row>
    <row r="9167" spans="8:8" x14ac:dyDescent="0.35">
      <c r="H9167" t="s">
        <v>26</v>
      </c>
    </row>
    <row r="9168" spans="8:8" x14ac:dyDescent="0.35">
      <c r="H9168" t="s">
        <v>26</v>
      </c>
    </row>
    <row r="9169" spans="8:8" x14ac:dyDescent="0.35">
      <c r="H9169" t="s">
        <v>26</v>
      </c>
    </row>
    <row r="9170" spans="8:8" x14ac:dyDescent="0.35">
      <c r="H9170" t="s">
        <v>26</v>
      </c>
    </row>
    <row r="9171" spans="8:8" x14ac:dyDescent="0.35">
      <c r="H9171" t="s">
        <v>26</v>
      </c>
    </row>
    <row r="9172" spans="8:8" x14ac:dyDescent="0.35">
      <c r="H9172" t="s">
        <v>26</v>
      </c>
    </row>
    <row r="9173" spans="8:8" x14ac:dyDescent="0.35">
      <c r="H9173" t="s">
        <v>26</v>
      </c>
    </row>
    <row r="9174" spans="8:8" x14ac:dyDescent="0.35">
      <c r="H9174" t="s">
        <v>26</v>
      </c>
    </row>
    <row r="9175" spans="8:8" x14ac:dyDescent="0.35">
      <c r="H9175" t="s">
        <v>26</v>
      </c>
    </row>
    <row r="9176" spans="8:8" x14ac:dyDescent="0.35">
      <c r="H9176" t="s">
        <v>26</v>
      </c>
    </row>
    <row r="9177" spans="8:8" x14ac:dyDescent="0.35">
      <c r="H9177" t="s">
        <v>26</v>
      </c>
    </row>
    <row r="9178" spans="8:8" x14ac:dyDescent="0.35">
      <c r="H9178" t="s">
        <v>26</v>
      </c>
    </row>
    <row r="9179" spans="8:8" x14ac:dyDescent="0.35">
      <c r="H9179" t="s">
        <v>26</v>
      </c>
    </row>
    <row r="9180" spans="8:8" x14ac:dyDescent="0.35">
      <c r="H9180" t="s">
        <v>26</v>
      </c>
    </row>
    <row r="9181" spans="8:8" x14ac:dyDescent="0.35">
      <c r="H9181" t="s">
        <v>26</v>
      </c>
    </row>
    <row r="9182" spans="8:8" x14ac:dyDescent="0.35">
      <c r="H9182" t="s">
        <v>26</v>
      </c>
    </row>
    <row r="9183" spans="8:8" x14ac:dyDescent="0.35">
      <c r="H9183" t="s">
        <v>26</v>
      </c>
    </row>
    <row r="9184" spans="8:8" x14ac:dyDescent="0.35">
      <c r="H9184" t="s">
        <v>26</v>
      </c>
    </row>
    <row r="9185" spans="8:8" x14ac:dyDescent="0.35">
      <c r="H9185" t="s">
        <v>26</v>
      </c>
    </row>
    <row r="9186" spans="8:8" x14ac:dyDescent="0.35">
      <c r="H9186" t="s">
        <v>26</v>
      </c>
    </row>
    <row r="9187" spans="8:8" x14ac:dyDescent="0.35">
      <c r="H9187" t="s">
        <v>26</v>
      </c>
    </row>
    <row r="9188" spans="8:8" x14ac:dyDescent="0.35">
      <c r="H9188" t="s">
        <v>26</v>
      </c>
    </row>
    <row r="9189" spans="8:8" x14ac:dyDescent="0.35">
      <c r="H9189" t="s">
        <v>26</v>
      </c>
    </row>
    <row r="9190" spans="8:8" x14ac:dyDescent="0.35">
      <c r="H9190" t="s">
        <v>26</v>
      </c>
    </row>
    <row r="9191" spans="8:8" x14ac:dyDescent="0.35">
      <c r="H9191" t="s">
        <v>26</v>
      </c>
    </row>
    <row r="9192" spans="8:8" x14ac:dyDescent="0.35">
      <c r="H9192" t="s">
        <v>26</v>
      </c>
    </row>
    <row r="9193" spans="8:8" x14ac:dyDescent="0.35">
      <c r="H9193" t="s">
        <v>26</v>
      </c>
    </row>
    <row r="9194" spans="8:8" x14ac:dyDescent="0.35">
      <c r="H9194" t="s">
        <v>26</v>
      </c>
    </row>
    <row r="9195" spans="8:8" x14ac:dyDescent="0.35">
      <c r="H9195" t="s">
        <v>26</v>
      </c>
    </row>
    <row r="9196" spans="8:8" x14ac:dyDescent="0.35">
      <c r="H9196" t="s">
        <v>26</v>
      </c>
    </row>
    <row r="9197" spans="8:8" x14ac:dyDescent="0.35">
      <c r="H9197" t="s">
        <v>26</v>
      </c>
    </row>
    <row r="9198" spans="8:8" x14ac:dyDescent="0.35">
      <c r="H9198" t="s">
        <v>26</v>
      </c>
    </row>
    <row r="9199" spans="8:8" x14ac:dyDescent="0.35">
      <c r="H9199" t="s">
        <v>26</v>
      </c>
    </row>
    <row r="9200" spans="8:8" x14ac:dyDescent="0.35">
      <c r="H9200" t="s">
        <v>26</v>
      </c>
    </row>
    <row r="9201" spans="8:8" x14ac:dyDescent="0.35">
      <c r="H9201" t="s">
        <v>26</v>
      </c>
    </row>
    <row r="9202" spans="8:8" x14ac:dyDescent="0.35">
      <c r="H9202" t="s">
        <v>26</v>
      </c>
    </row>
    <row r="9203" spans="8:8" x14ac:dyDescent="0.35">
      <c r="H9203" t="s">
        <v>26</v>
      </c>
    </row>
    <row r="9204" spans="8:8" x14ac:dyDescent="0.35">
      <c r="H9204" t="s">
        <v>26</v>
      </c>
    </row>
    <row r="9205" spans="8:8" x14ac:dyDescent="0.35">
      <c r="H9205" t="s">
        <v>26</v>
      </c>
    </row>
    <row r="9206" spans="8:8" x14ac:dyDescent="0.35">
      <c r="H9206" t="s">
        <v>26</v>
      </c>
    </row>
    <row r="9207" spans="8:8" x14ac:dyDescent="0.35">
      <c r="H9207" t="s">
        <v>26</v>
      </c>
    </row>
    <row r="9208" spans="8:8" x14ac:dyDescent="0.35">
      <c r="H9208" t="s">
        <v>26</v>
      </c>
    </row>
    <row r="9209" spans="8:8" x14ac:dyDescent="0.35">
      <c r="H9209" t="s">
        <v>26</v>
      </c>
    </row>
    <row r="9210" spans="8:8" x14ac:dyDescent="0.35">
      <c r="H9210" t="s">
        <v>26</v>
      </c>
    </row>
    <row r="9211" spans="8:8" x14ac:dyDescent="0.35">
      <c r="H9211" t="s">
        <v>26</v>
      </c>
    </row>
    <row r="9212" spans="8:8" x14ac:dyDescent="0.35">
      <c r="H9212" t="s">
        <v>26</v>
      </c>
    </row>
    <row r="9213" spans="8:8" x14ac:dyDescent="0.35">
      <c r="H9213" t="s">
        <v>26</v>
      </c>
    </row>
    <row r="9214" spans="8:8" x14ac:dyDescent="0.35">
      <c r="H9214" t="s">
        <v>26</v>
      </c>
    </row>
    <row r="9215" spans="8:8" x14ac:dyDescent="0.35">
      <c r="H9215" t="s">
        <v>26</v>
      </c>
    </row>
    <row r="9216" spans="8:8" x14ac:dyDescent="0.35">
      <c r="H9216" t="s">
        <v>26</v>
      </c>
    </row>
    <row r="9217" spans="8:8" x14ac:dyDescent="0.35">
      <c r="H9217" t="s">
        <v>26</v>
      </c>
    </row>
    <row r="9218" spans="8:8" x14ac:dyDescent="0.35">
      <c r="H9218" t="s">
        <v>26</v>
      </c>
    </row>
    <row r="9219" spans="8:8" x14ac:dyDescent="0.35">
      <c r="H9219" t="s">
        <v>26</v>
      </c>
    </row>
    <row r="9220" spans="8:8" x14ac:dyDescent="0.35">
      <c r="H9220" t="s">
        <v>26</v>
      </c>
    </row>
    <row r="9221" spans="8:8" x14ac:dyDescent="0.35">
      <c r="H9221" t="s">
        <v>26</v>
      </c>
    </row>
    <row r="9222" spans="8:8" x14ac:dyDescent="0.35">
      <c r="H9222" t="s">
        <v>26</v>
      </c>
    </row>
    <row r="9223" spans="8:8" x14ac:dyDescent="0.35">
      <c r="H9223" t="s">
        <v>26</v>
      </c>
    </row>
    <row r="9224" spans="8:8" x14ac:dyDescent="0.35">
      <c r="H9224" t="s">
        <v>26</v>
      </c>
    </row>
    <row r="9225" spans="8:8" x14ac:dyDescent="0.35">
      <c r="H9225" t="s">
        <v>26</v>
      </c>
    </row>
    <row r="9226" spans="8:8" x14ac:dyDescent="0.35">
      <c r="H9226" t="s">
        <v>26</v>
      </c>
    </row>
    <row r="9227" spans="8:8" x14ac:dyDescent="0.35">
      <c r="H9227" t="s">
        <v>26</v>
      </c>
    </row>
    <row r="9228" spans="8:8" x14ac:dyDescent="0.35">
      <c r="H9228" t="s">
        <v>26</v>
      </c>
    </row>
    <row r="9229" spans="8:8" x14ac:dyDescent="0.35">
      <c r="H9229" t="s">
        <v>26</v>
      </c>
    </row>
    <row r="9230" spans="8:8" x14ac:dyDescent="0.35">
      <c r="H9230" t="s">
        <v>26</v>
      </c>
    </row>
    <row r="9231" spans="8:8" x14ac:dyDescent="0.35">
      <c r="H9231" t="s">
        <v>26</v>
      </c>
    </row>
    <row r="9232" spans="8:8" x14ac:dyDescent="0.35">
      <c r="H9232" t="s">
        <v>26</v>
      </c>
    </row>
    <row r="9233" spans="8:8" x14ac:dyDescent="0.35">
      <c r="H9233" t="s">
        <v>26</v>
      </c>
    </row>
    <row r="9234" spans="8:8" x14ac:dyDescent="0.35">
      <c r="H9234" t="s">
        <v>26</v>
      </c>
    </row>
    <row r="9235" spans="8:8" x14ac:dyDescent="0.35">
      <c r="H9235" t="s">
        <v>26</v>
      </c>
    </row>
    <row r="9236" spans="8:8" x14ac:dyDescent="0.35">
      <c r="H9236" t="s">
        <v>26</v>
      </c>
    </row>
    <row r="9237" spans="8:8" x14ac:dyDescent="0.35">
      <c r="H9237" t="s">
        <v>26</v>
      </c>
    </row>
    <row r="9238" spans="8:8" x14ac:dyDescent="0.35">
      <c r="H9238" t="s">
        <v>26</v>
      </c>
    </row>
    <row r="9239" spans="8:8" x14ac:dyDescent="0.35">
      <c r="H9239" t="s">
        <v>26</v>
      </c>
    </row>
    <row r="9240" spans="8:8" x14ac:dyDescent="0.35">
      <c r="H9240" t="s">
        <v>26</v>
      </c>
    </row>
    <row r="9241" spans="8:8" x14ac:dyDescent="0.35">
      <c r="H9241" t="s">
        <v>26</v>
      </c>
    </row>
    <row r="9242" spans="8:8" x14ac:dyDescent="0.35">
      <c r="H9242" t="s">
        <v>26</v>
      </c>
    </row>
    <row r="9243" spans="8:8" x14ac:dyDescent="0.35">
      <c r="H9243" t="s">
        <v>26</v>
      </c>
    </row>
    <row r="9244" spans="8:8" x14ac:dyDescent="0.35">
      <c r="H9244" t="s">
        <v>26</v>
      </c>
    </row>
    <row r="9245" spans="8:8" x14ac:dyDescent="0.35">
      <c r="H9245" t="s">
        <v>26</v>
      </c>
    </row>
    <row r="9246" spans="8:8" x14ac:dyDescent="0.35">
      <c r="H9246" t="s">
        <v>26</v>
      </c>
    </row>
    <row r="9247" spans="8:8" x14ac:dyDescent="0.35">
      <c r="H9247" t="s">
        <v>26</v>
      </c>
    </row>
    <row r="9248" spans="8:8" x14ac:dyDescent="0.35">
      <c r="H9248" t="s">
        <v>26</v>
      </c>
    </row>
    <row r="9249" spans="8:8" x14ac:dyDescent="0.35">
      <c r="H9249" t="s">
        <v>26</v>
      </c>
    </row>
    <row r="9250" spans="8:8" x14ac:dyDescent="0.35">
      <c r="H9250" t="s">
        <v>26</v>
      </c>
    </row>
    <row r="9251" spans="8:8" x14ac:dyDescent="0.35">
      <c r="H9251" t="s">
        <v>26</v>
      </c>
    </row>
    <row r="9252" spans="8:8" x14ac:dyDescent="0.35">
      <c r="H9252" t="s">
        <v>26</v>
      </c>
    </row>
    <row r="9253" spans="8:8" x14ac:dyDescent="0.35">
      <c r="H9253" t="s">
        <v>26</v>
      </c>
    </row>
    <row r="9254" spans="8:8" x14ac:dyDescent="0.35">
      <c r="H9254" t="s">
        <v>26</v>
      </c>
    </row>
    <row r="9255" spans="8:8" x14ac:dyDescent="0.35">
      <c r="H9255" t="s">
        <v>26</v>
      </c>
    </row>
    <row r="9256" spans="8:8" x14ac:dyDescent="0.35">
      <c r="H9256" t="s">
        <v>26</v>
      </c>
    </row>
    <row r="9257" spans="8:8" x14ac:dyDescent="0.35">
      <c r="H9257" t="s">
        <v>26</v>
      </c>
    </row>
    <row r="9258" spans="8:8" x14ac:dyDescent="0.35">
      <c r="H9258" t="s">
        <v>26</v>
      </c>
    </row>
    <row r="9259" spans="8:8" x14ac:dyDescent="0.35">
      <c r="H9259" t="s">
        <v>26</v>
      </c>
    </row>
    <row r="9260" spans="8:8" x14ac:dyDescent="0.35">
      <c r="H9260" t="s">
        <v>26</v>
      </c>
    </row>
    <row r="9261" spans="8:8" x14ac:dyDescent="0.35">
      <c r="H9261" t="s">
        <v>26</v>
      </c>
    </row>
    <row r="9262" spans="8:8" x14ac:dyDescent="0.35">
      <c r="H9262" t="s">
        <v>26</v>
      </c>
    </row>
    <row r="9263" spans="8:8" x14ac:dyDescent="0.35">
      <c r="H9263" t="s">
        <v>26</v>
      </c>
    </row>
    <row r="9264" spans="8:8" x14ac:dyDescent="0.35">
      <c r="H9264" t="s">
        <v>26</v>
      </c>
    </row>
    <row r="9265" spans="8:8" x14ac:dyDescent="0.35">
      <c r="H9265" t="s">
        <v>26</v>
      </c>
    </row>
    <row r="9266" spans="8:8" x14ac:dyDescent="0.35">
      <c r="H9266" t="s">
        <v>26</v>
      </c>
    </row>
    <row r="9267" spans="8:8" x14ac:dyDescent="0.35">
      <c r="H9267" t="s">
        <v>26</v>
      </c>
    </row>
    <row r="9268" spans="8:8" x14ac:dyDescent="0.35">
      <c r="H9268" t="s">
        <v>26</v>
      </c>
    </row>
    <row r="9269" spans="8:8" x14ac:dyDescent="0.35">
      <c r="H9269" t="s">
        <v>26</v>
      </c>
    </row>
    <row r="9270" spans="8:8" x14ac:dyDescent="0.35">
      <c r="H9270" t="s">
        <v>26</v>
      </c>
    </row>
    <row r="9271" spans="8:8" x14ac:dyDescent="0.35">
      <c r="H9271" t="s">
        <v>26</v>
      </c>
    </row>
    <row r="9272" spans="8:8" x14ac:dyDescent="0.35">
      <c r="H9272" t="s">
        <v>26</v>
      </c>
    </row>
    <row r="9273" spans="8:8" x14ac:dyDescent="0.35">
      <c r="H9273" t="s">
        <v>26</v>
      </c>
    </row>
    <row r="9274" spans="8:8" x14ac:dyDescent="0.35">
      <c r="H9274" t="s">
        <v>26</v>
      </c>
    </row>
    <row r="9275" spans="8:8" x14ac:dyDescent="0.35">
      <c r="H9275" t="s">
        <v>26</v>
      </c>
    </row>
    <row r="9276" spans="8:8" x14ac:dyDescent="0.35">
      <c r="H9276" t="s">
        <v>26</v>
      </c>
    </row>
    <row r="9277" spans="8:8" x14ac:dyDescent="0.35">
      <c r="H9277" t="s">
        <v>26</v>
      </c>
    </row>
    <row r="9278" spans="8:8" x14ac:dyDescent="0.35">
      <c r="H9278" t="s">
        <v>26</v>
      </c>
    </row>
    <row r="9279" spans="8:8" x14ac:dyDescent="0.35">
      <c r="H9279" t="s">
        <v>26</v>
      </c>
    </row>
    <row r="9280" spans="8:8" x14ac:dyDescent="0.35">
      <c r="H9280" t="s">
        <v>26</v>
      </c>
    </row>
    <row r="9281" spans="8:8" x14ac:dyDescent="0.35">
      <c r="H9281" t="s">
        <v>26</v>
      </c>
    </row>
    <row r="9282" spans="8:8" x14ac:dyDescent="0.35">
      <c r="H9282" t="s">
        <v>26</v>
      </c>
    </row>
    <row r="9283" spans="8:8" x14ac:dyDescent="0.35">
      <c r="H9283" t="s">
        <v>26</v>
      </c>
    </row>
    <row r="9284" spans="8:8" x14ac:dyDescent="0.35">
      <c r="H9284" t="s">
        <v>26</v>
      </c>
    </row>
    <row r="9285" spans="8:8" x14ac:dyDescent="0.35">
      <c r="H9285" t="s">
        <v>26</v>
      </c>
    </row>
    <row r="9286" spans="8:8" x14ac:dyDescent="0.35">
      <c r="H9286" t="s">
        <v>26</v>
      </c>
    </row>
    <row r="9287" spans="8:8" x14ac:dyDescent="0.35">
      <c r="H9287" t="s">
        <v>26</v>
      </c>
    </row>
    <row r="9288" spans="8:8" x14ac:dyDescent="0.35">
      <c r="H9288" t="s">
        <v>26</v>
      </c>
    </row>
    <row r="9289" spans="8:8" x14ac:dyDescent="0.35">
      <c r="H9289" t="s">
        <v>26</v>
      </c>
    </row>
    <row r="9290" spans="8:8" x14ac:dyDescent="0.35">
      <c r="H9290" t="s">
        <v>26</v>
      </c>
    </row>
    <row r="9291" spans="8:8" x14ac:dyDescent="0.35">
      <c r="H9291" t="s">
        <v>26</v>
      </c>
    </row>
    <row r="9292" spans="8:8" x14ac:dyDescent="0.35">
      <c r="H9292" t="s">
        <v>26</v>
      </c>
    </row>
    <row r="9293" spans="8:8" x14ac:dyDescent="0.35">
      <c r="H9293" t="s">
        <v>26</v>
      </c>
    </row>
    <row r="9294" spans="8:8" x14ac:dyDescent="0.35">
      <c r="H9294" t="s">
        <v>26</v>
      </c>
    </row>
    <row r="9295" spans="8:8" x14ac:dyDescent="0.35">
      <c r="H9295" t="s">
        <v>26</v>
      </c>
    </row>
    <row r="9296" spans="8:8" x14ac:dyDescent="0.35">
      <c r="H9296" t="s">
        <v>26</v>
      </c>
    </row>
    <row r="9297" spans="8:8" x14ac:dyDescent="0.35">
      <c r="H9297" t="s">
        <v>26</v>
      </c>
    </row>
    <row r="9298" spans="8:8" x14ac:dyDescent="0.35">
      <c r="H9298" t="s">
        <v>26</v>
      </c>
    </row>
    <row r="9299" spans="8:8" x14ac:dyDescent="0.35">
      <c r="H9299" t="s">
        <v>26</v>
      </c>
    </row>
    <row r="9300" spans="8:8" x14ac:dyDescent="0.35">
      <c r="H9300" t="s">
        <v>26</v>
      </c>
    </row>
    <row r="9301" spans="8:8" x14ac:dyDescent="0.35">
      <c r="H9301" t="s">
        <v>26</v>
      </c>
    </row>
    <row r="9302" spans="8:8" x14ac:dyDescent="0.35">
      <c r="H9302" t="s">
        <v>26</v>
      </c>
    </row>
    <row r="9303" spans="8:8" x14ac:dyDescent="0.35">
      <c r="H9303" t="s">
        <v>26</v>
      </c>
    </row>
    <row r="9304" spans="8:8" x14ac:dyDescent="0.35">
      <c r="H9304" t="s">
        <v>26</v>
      </c>
    </row>
    <row r="9305" spans="8:8" x14ac:dyDescent="0.35">
      <c r="H9305" t="s">
        <v>26</v>
      </c>
    </row>
    <row r="9306" spans="8:8" x14ac:dyDescent="0.35">
      <c r="H9306" t="s">
        <v>26</v>
      </c>
    </row>
    <row r="9307" spans="8:8" x14ac:dyDescent="0.35">
      <c r="H9307" t="s">
        <v>26</v>
      </c>
    </row>
    <row r="9308" spans="8:8" x14ac:dyDescent="0.35">
      <c r="H9308" t="s">
        <v>26</v>
      </c>
    </row>
    <row r="9309" spans="8:8" x14ac:dyDescent="0.35">
      <c r="H9309" t="s">
        <v>26</v>
      </c>
    </row>
    <row r="9310" spans="8:8" x14ac:dyDescent="0.35">
      <c r="H9310" t="s">
        <v>26</v>
      </c>
    </row>
    <row r="9311" spans="8:8" x14ac:dyDescent="0.35">
      <c r="H9311" t="s">
        <v>26</v>
      </c>
    </row>
    <row r="9312" spans="8:8" x14ac:dyDescent="0.35">
      <c r="H9312" t="s">
        <v>26</v>
      </c>
    </row>
    <row r="9313" spans="8:8" x14ac:dyDescent="0.35">
      <c r="H9313" t="s">
        <v>26</v>
      </c>
    </row>
    <row r="9314" spans="8:8" x14ac:dyDescent="0.35">
      <c r="H9314" t="s">
        <v>26</v>
      </c>
    </row>
    <row r="9315" spans="8:8" x14ac:dyDescent="0.35">
      <c r="H9315" t="s">
        <v>26</v>
      </c>
    </row>
    <row r="9316" spans="8:8" x14ac:dyDescent="0.35">
      <c r="H9316" t="s">
        <v>26</v>
      </c>
    </row>
    <row r="9317" spans="8:8" x14ac:dyDescent="0.35">
      <c r="H9317" t="s">
        <v>26</v>
      </c>
    </row>
    <row r="9318" spans="8:8" x14ac:dyDescent="0.35">
      <c r="H9318" t="s">
        <v>26</v>
      </c>
    </row>
    <row r="9319" spans="8:8" x14ac:dyDescent="0.35">
      <c r="H9319" t="s">
        <v>26</v>
      </c>
    </row>
    <row r="9320" spans="8:8" x14ac:dyDescent="0.35">
      <c r="H9320" t="s">
        <v>26</v>
      </c>
    </row>
    <row r="9321" spans="8:8" x14ac:dyDescent="0.35">
      <c r="H9321" t="s">
        <v>26</v>
      </c>
    </row>
    <row r="9322" spans="8:8" x14ac:dyDescent="0.35">
      <c r="H9322" t="s">
        <v>26</v>
      </c>
    </row>
    <row r="9323" spans="8:8" x14ac:dyDescent="0.35">
      <c r="H9323" t="s">
        <v>26</v>
      </c>
    </row>
    <row r="9324" spans="8:8" x14ac:dyDescent="0.35">
      <c r="H9324" t="s">
        <v>26</v>
      </c>
    </row>
    <row r="9325" spans="8:8" x14ac:dyDescent="0.35">
      <c r="H9325" t="s">
        <v>26</v>
      </c>
    </row>
    <row r="9326" spans="8:8" x14ac:dyDescent="0.35">
      <c r="H9326" t="s">
        <v>26</v>
      </c>
    </row>
    <row r="9327" spans="8:8" x14ac:dyDescent="0.35">
      <c r="H9327" t="s">
        <v>26</v>
      </c>
    </row>
    <row r="9328" spans="8:8" x14ac:dyDescent="0.35">
      <c r="H9328" t="s">
        <v>26</v>
      </c>
    </row>
    <row r="9329" spans="8:8" x14ac:dyDescent="0.35">
      <c r="H9329" t="s">
        <v>26</v>
      </c>
    </row>
    <row r="9330" spans="8:8" x14ac:dyDescent="0.35">
      <c r="H9330" t="s">
        <v>26</v>
      </c>
    </row>
    <row r="9331" spans="8:8" x14ac:dyDescent="0.35">
      <c r="H9331" t="s">
        <v>26</v>
      </c>
    </row>
    <row r="9332" spans="8:8" x14ac:dyDescent="0.35">
      <c r="H9332" t="s">
        <v>26</v>
      </c>
    </row>
    <row r="9333" spans="8:8" x14ac:dyDescent="0.35">
      <c r="H9333" t="s">
        <v>26</v>
      </c>
    </row>
    <row r="9334" spans="8:8" x14ac:dyDescent="0.35">
      <c r="H9334" t="s">
        <v>26</v>
      </c>
    </row>
    <row r="9335" spans="8:8" x14ac:dyDescent="0.35">
      <c r="H9335" t="s">
        <v>26</v>
      </c>
    </row>
    <row r="9336" spans="8:8" x14ac:dyDescent="0.35">
      <c r="H9336" t="s">
        <v>26</v>
      </c>
    </row>
    <row r="9337" spans="8:8" x14ac:dyDescent="0.35">
      <c r="H9337" t="s">
        <v>26</v>
      </c>
    </row>
    <row r="9338" spans="8:8" x14ac:dyDescent="0.35">
      <c r="H9338" t="s">
        <v>26</v>
      </c>
    </row>
    <row r="9339" spans="8:8" x14ac:dyDescent="0.35">
      <c r="H9339" t="s">
        <v>26</v>
      </c>
    </row>
    <row r="9340" spans="8:8" x14ac:dyDescent="0.35">
      <c r="H9340" t="s">
        <v>26</v>
      </c>
    </row>
    <row r="9341" spans="8:8" x14ac:dyDescent="0.35">
      <c r="H9341" t="s">
        <v>26</v>
      </c>
    </row>
    <row r="9342" spans="8:8" x14ac:dyDescent="0.35">
      <c r="H9342" t="s">
        <v>26</v>
      </c>
    </row>
    <row r="9343" spans="8:8" x14ac:dyDescent="0.35">
      <c r="H9343" t="s">
        <v>26</v>
      </c>
    </row>
    <row r="9344" spans="8:8" x14ac:dyDescent="0.35">
      <c r="H9344" t="s">
        <v>26</v>
      </c>
    </row>
    <row r="9345" spans="8:8" x14ac:dyDescent="0.35">
      <c r="H9345" t="s">
        <v>26</v>
      </c>
    </row>
    <row r="9346" spans="8:8" x14ac:dyDescent="0.35">
      <c r="H9346" t="s">
        <v>26</v>
      </c>
    </row>
    <row r="9347" spans="8:8" x14ac:dyDescent="0.35">
      <c r="H9347" t="s">
        <v>26</v>
      </c>
    </row>
    <row r="9348" spans="8:8" x14ac:dyDescent="0.35">
      <c r="H9348" t="s">
        <v>26</v>
      </c>
    </row>
    <row r="9349" spans="8:8" x14ac:dyDescent="0.35">
      <c r="H9349" t="s">
        <v>26</v>
      </c>
    </row>
    <row r="9350" spans="8:8" x14ac:dyDescent="0.35">
      <c r="H9350" t="s">
        <v>26</v>
      </c>
    </row>
    <row r="9351" spans="8:8" x14ac:dyDescent="0.35">
      <c r="H9351" t="s">
        <v>26</v>
      </c>
    </row>
    <row r="9352" spans="8:8" x14ac:dyDescent="0.35">
      <c r="H9352" t="s">
        <v>26</v>
      </c>
    </row>
    <row r="9353" spans="8:8" x14ac:dyDescent="0.35">
      <c r="H9353" t="s">
        <v>26</v>
      </c>
    </row>
    <row r="9354" spans="8:8" x14ac:dyDescent="0.35">
      <c r="H9354" t="s">
        <v>26</v>
      </c>
    </row>
    <row r="9355" spans="8:8" x14ac:dyDescent="0.35">
      <c r="H9355" t="s">
        <v>26</v>
      </c>
    </row>
    <row r="9356" spans="8:8" x14ac:dyDescent="0.35">
      <c r="H9356" t="s">
        <v>26</v>
      </c>
    </row>
    <row r="9357" spans="8:8" x14ac:dyDescent="0.35">
      <c r="H9357" t="s">
        <v>26</v>
      </c>
    </row>
    <row r="9358" spans="8:8" x14ac:dyDescent="0.35">
      <c r="H9358" t="s">
        <v>26</v>
      </c>
    </row>
    <row r="9359" spans="8:8" x14ac:dyDescent="0.35">
      <c r="H9359" t="s">
        <v>26</v>
      </c>
    </row>
    <row r="9360" spans="8:8" x14ac:dyDescent="0.35">
      <c r="H9360" t="s">
        <v>26</v>
      </c>
    </row>
    <row r="9361" spans="8:8" x14ac:dyDescent="0.35">
      <c r="H9361" t="s">
        <v>26</v>
      </c>
    </row>
    <row r="9362" spans="8:8" x14ac:dyDescent="0.35">
      <c r="H9362" t="s">
        <v>26</v>
      </c>
    </row>
    <row r="9363" spans="8:8" x14ac:dyDescent="0.35">
      <c r="H9363" t="s">
        <v>26</v>
      </c>
    </row>
    <row r="9364" spans="8:8" x14ac:dyDescent="0.35">
      <c r="H9364" t="s">
        <v>26</v>
      </c>
    </row>
    <row r="9365" spans="8:8" x14ac:dyDescent="0.35">
      <c r="H9365" t="s">
        <v>26</v>
      </c>
    </row>
    <row r="9366" spans="8:8" x14ac:dyDescent="0.35">
      <c r="H9366" t="s">
        <v>26</v>
      </c>
    </row>
    <row r="9367" spans="8:8" x14ac:dyDescent="0.35">
      <c r="H9367" t="s">
        <v>26</v>
      </c>
    </row>
    <row r="9368" spans="8:8" x14ac:dyDescent="0.35">
      <c r="H9368" t="s">
        <v>26</v>
      </c>
    </row>
    <row r="9369" spans="8:8" x14ac:dyDescent="0.35">
      <c r="H9369" t="s">
        <v>26</v>
      </c>
    </row>
    <row r="9370" spans="8:8" x14ac:dyDescent="0.35">
      <c r="H9370" t="s">
        <v>26</v>
      </c>
    </row>
    <row r="9371" spans="8:8" x14ac:dyDescent="0.35">
      <c r="H9371" t="s">
        <v>26</v>
      </c>
    </row>
    <row r="9372" spans="8:8" x14ac:dyDescent="0.35">
      <c r="H9372" t="s">
        <v>26</v>
      </c>
    </row>
    <row r="9373" spans="8:8" x14ac:dyDescent="0.35">
      <c r="H9373" t="s">
        <v>26</v>
      </c>
    </row>
    <row r="9374" spans="8:8" x14ac:dyDescent="0.35">
      <c r="H9374" t="s">
        <v>26</v>
      </c>
    </row>
    <row r="9375" spans="8:8" x14ac:dyDescent="0.35">
      <c r="H9375" t="s">
        <v>26</v>
      </c>
    </row>
    <row r="9376" spans="8:8" x14ac:dyDescent="0.35">
      <c r="H9376" t="s">
        <v>26</v>
      </c>
    </row>
    <row r="9377" spans="8:8" x14ac:dyDescent="0.35">
      <c r="H9377" t="s">
        <v>26</v>
      </c>
    </row>
    <row r="9378" spans="8:8" x14ac:dyDescent="0.35">
      <c r="H9378" t="s">
        <v>26</v>
      </c>
    </row>
    <row r="9379" spans="8:8" x14ac:dyDescent="0.35">
      <c r="H9379" t="s">
        <v>26</v>
      </c>
    </row>
    <row r="9380" spans="8:8" x14ac:dyDescent="0.35">
      <c r="H9380" t="s">
        <v>26</v>
      </c>
    </row>
    <row r="9381" spans="8:8" x14ac:dyDescent="0.35">
      <c r="H9381" t="s">
        <v>26</v>
      </c>
    </row>
    <row r="9382" spans="8:8" x14ac:dyDescent="0.35">
      <c r="H9382" t="s">
        <v>26</v>
      </c>
    </row>
    <row r="9383" spans="8:8" x14ac:dyDescent="0.35">
      <c r="H9383" t="s">
        <v>26</v>
      </c>
    </row>
    <row r="9384" spans="8:8" x14ac:dyDescent="0.35">
      <c r="H9384" t="s">
        <v>26</v>
      </c>
    </row>
    <row r="9385" spans="8:8" x14ac:dyDescent="0.35">
      <c r="H9385" t="s">
        <v>26</v>
      </c>
    </row>
    <row r="9386" spans="8:8" x14ac:dyDescent="0.35">
      <c r="H9386" t="s">
        <v>26</v>
      </c>
    </row>
    <row r="9387" spans="8:8" x14ac:dyDescent="0.35">
      <c r="H9387" t="s">
        <v>26</v>
      </c>
    </row>
    <row r="9388" spans="8:8" x14ac:dyDescent="0.35">
      <c r="H9388" t="s">
        <v>26</v>
      </c>
    </row>
    <row r="9389" spans="8:8" x14ac:dyDescent="0.35">
      <c r="H9389" t="s">
        <v>26</v>
      </c>
    </row>
    <row r="9390" spans="8:8" x14ac:dyDescent="0.35">
      <c r="H9390" t="s">
        <v>26</v>
      </c>
    </row>
    <row r="9391" spans="8:8" x14ac:dyDescent="0.35">
      <c r="H9391" t="s">
        <v>26</v>
      </c>
    </row>
    <row r="9392" spans="8:8" x14ac:dyDescent="0.35">
      <c r="H9392" t="s">
        <v>26</v>
      </c>
    </row>
    <row r="9393" spans="8:8" x14ac:dyDescent="0.35">
      <c r="H9393" t="s">
        <v>26</v>
      </c>
    </row>
    <row r="9394" spans="8:8" x14ac:dyDescent="0.35">
      <c r="H9394" t="s">
        <v>26</v>
      </c>
    </row>
    <row r="9395" spans="8:8" x14ac:dyDescent="0.35">
      <c r="H9395" t="s">
        <v>26</v>
      </c>
    </row>
    <row r="9396" spans="8:8" x14ac:dyDescent="0.35">
      <c r="H9396" t="s">
        <v>26</v>
      </c>
    </row>
    <row r="9397" spans="8:8" x14ac:dyDescent="0.35">
      <c r="H9397" t="s">
        <v>26</v>
      </c>
    </row>
    <row r="9398" spans="8:8" x14ac:dyDescent="0.35">
      <c r="H9398" t="s">
        <v>26</v>
      </c>
    </row>
    <row r="9399" spans="8:8" x14ac:dyDescent="0.35">
      <c r="H9399" t="s">
        <v>26</v>
      </c>
    </row>
    <row r="9400" spans="8:8" x14ac:dyDescent="0.35">
      <c r="H9400" t="s">
        <v>26</v>
      </c>
    </row>
    <row r="9401" spans="8:8" x14ac:dyDescent="0.35">
      <c r="H9401" t="s">
        <v>26</v>
      </c>
    </row>
    <row r="9402" spans="8:8" x14ac:dyDescent="0.35">
      <c r="H9402" t="s">
        <v>26</v>
      </c>
    </row>
    <row r="9403" spans="8:8" x14ac:dyDescent="0.35">
      <c r="H9403" t="s">
        <v>26</v>
      </c>
    </row>
    <row r="9404" spans="8:8" x14ac:dyDescent="0.35">
      <c r="H9404" t="s">
        <v>26</v>
      </c>
    </row>
    <row r="9405" spans="8:8" x14ac:dyDescent="0.35">
      <c r="H9405" t="s">
        <v>26</v>
      </c>
    </row>
    <row r="9406" spans="8:8" x14ac:dyDescent="0.35">
      <c r="H9406" t="s">
        <v>26</v>
      </c>
    </row>
    <row r="9407" spans="8:8" x14ac:dyDescent="0.35">
      <c r="H9407" t="s">
        <v>26</v>
      </c>
    </row>
    <row r="9408" spans="8:8" x14ac:dyDescent="0.35">
      <c r="H9408" t="s">
        <v>26</v>
      </c>
    </row>
    <row r="9409" spans="8:8" x14ac:dyDescent="0.35">
      <c r="H9409" t="s">
        <v>26</v>
      </c>
    </row>
    <row r="9410" spans="8:8" x14ac:dyDescent="0.35">
      <c r="H9410" t="s">
        <v>26</v>
      </c>
    </row>
    <row r="9411" spans="8:8" x14ac:dyDescent="0.35">
      <c r="H9411" t="s">
        <v>26</v>
      </c>
    </row>
    <row r="9412" spans="8:8" x14ac:dyDescent="0.35">
      <c r="H9412" t="s">
        <v>26</v>
      </c>
    </row>
    <row r="9413" spans="8:8" x14ac:dyDescent="0.35">
      <c r="H9413" t="s">
        <v>26</v>
      </c>
    </row>
    <row r="9414" spans="8:8" x14ac:dyDescent="0.35">
      <c r="H9414" t="s">
        <v>26</v>
      </c>
    </row>
    <row r="9415" spans="8:8" x14ac:dyDescent="0.35">
      <c r="H9415" t="s">
        <v>26</v>
      </c>
    </row>
    <row r="9416" spans="8:8" x14ac:dyDescent="0.35">
      <c r="H9416" t="s">
        <v>26</v>
      </c>
    </row>
    <row r="9417" spans="8:8" x14ac:dyDescent="0.35">
      <c r="H9417" t="s">
        <v>26</v>
      </c>
    </row>
    <row r="9418" spans="8:8" x14ac:dyDescent="0.35">
      <c r="H9418" t="s">
        <v>26</v>
      </c>
    </row>
    <row r="9419" spans="8:8" x14ac:dyDescent="0.35">
      <c r="H9419" t="s">
        <v>26</v>
      </c>
    </row>
    <row r="9420" spans="8:8" x14ac:dyDescent="0.35">
      <c r="H9420" t="s">
        <v>26</v>
      </c>
    </row>
    <row r="9421" spans="8:8" x14ac:dyDescent="0.35">
      <c r="H9421" t="s">
        <v>26</v>
      </c>
    </row>
    <row r="9422" spans="8:8" x14ac:dyDescent="0.35">
      <c r="H9422" t="s">
        <v>26</v>
      </c>
    </row>
    <row r="9423" spans="8:8" x14ac:dyDescent="0.35">
      <c r="H9423" t="s">
        <v>26</v>
      </c>
    </row>
    <row r="9424" spans="8:8" x14ac:dyDescent="0.35">
      <c r="H9424" t="s">
        <v>26</v>
      </c>
    </row>
    <row r="9425" spans="8:8" x14ac:dyDescent="0.35">
      <c r="H9425" t="s">
        <v>26</v>
      </c>
    </row>
    <row r="9426" spans="8:8" x14ac:dyDescent="0.35">
      <c r="H9426" t="s">
        <v>26</v>
      </c>
    </row>
    <row r="9427" spans="8:8" x14ac:dyDescent="0.35">
      <c r="H9427" t="s">
        <v>26</v>
      </c>
    </row>
    <row r="9428" spans="8:8" x14ac:dyDescent="0.35">
      <c r="H9428" t="s">
        <v>26</v>
      </c>
    </row>
    <row r="9429" spans="8:8" x14ac:dyDescent="0.35">
      <c r="H9429" t="s">
        <v>26</v>
      </c>
    </row>
    <row r="9430" spans="8:8" x14ac:dyDescent="0.35">
      <c r="H9430" t="s">
        <v>26</v>
      </c>
    </row>
    <row r="9431" spans="8:8" x14ac:dyDescent="0.35">
      <c r="H9431" t="s">
        <v>26</v>
      </c>
    </row>
    <row r="9432" spans="8:8" x14ac:dyDescent="0.35">
      <c r="H9432" t="s">
        <v>26</v>
      </c>
    </row>
    <row r="9433" spans="8:8" x14ac:dyDescent="0.35">
      <c r="H9433" t="s">
        <v>26</v>
      </c>
    </row>
    <row r="9434" spans="8:8" x14ac:dyDescent="0.35">
      <c r="H9434" t="s">
        <v>26</v>
      </c>
    </row>
    <row r="9435" spans="8:8" x14ac:dyDescent="0.35">
      <c r="H9435" t="s">
        <v>26</v>
      </c>
    </row>
    <row r="9436" spans="8:8" x14ac:dyDescent="0.35">
      <c r="H9436" t="s">
        <v>26</v>
      </c>
    </row>
    <row r="9437" spans="8:8" x14ac:dyDescent="0.35">
      <c r="H9437" t="s">
        <v>26</v>
      </c>
    </row>
    <row r="9438" spans="8:8" x14ac:dyDescent="0.35">
      <c r="H9438" t="s">
        <v>26</v>
      </c>
    </row>
    <row r="9439" spans="8:8" x14ac:dyDescent="0.35">
      <c r="H9439" t="s">
        <v>26</v>
      </c>
    </row>
    <row r="9440" spans="8:8" x14ac:dyDescent="0.35">
      <c r="H9440" t="s">
        <v>26</v>
      </c>
    </row>
    <row r="9441" spans="8:8" x14ac:dyDescent="0.35">
      <c r="H9441" t="s">
        <v>26</v>
      </c>
    </row>
    <row r="9442" spans="8:8" x14ac:dyDescent="0.35">
      <c r="H9442" t="s">
        <v>26</v>
      </c>
    </row>
    <row r="9443" spans="8:8" x14ac:dyDescent="0.35">
      <c r="H9443" t="s">
        <v>26</v>
      </c>
    </row>
    <row r="9444" spans="8:8" x14ac:dyDescent="0.35">
      <c r="H9444" t="s">
        <v>26</v>
      </c>
    </row>
    <row r="9445" spans="8:8" x14ac:dyDescent="0.35">
      <c r="H9445" t="s">
        <v>26</v>
      </c>
    </row>
    <row r="9446" spans="8:8" x14ac:dyDescent="0.35">
      <c r="H9446" t="s">
        <v>26</v>
      </c>
    </row>
    <row r="9447" spans="8:8" x14ac:dyDescent="0.35">
      <c r="H9447" t="s">
        <v>26</v>
      </c>
    </row>
    <row r="9448" spans="8:8" x14ac:dyDescent="0.35">
      <c r="H9448" t="s">
        <v>26</v>
      </c>
    </row>
    <row r="9449" spans="8:8" x14ac:dyDescent="0.35">
      <c r="H9449" t="s">
        <v>26</v>
      </c>
    </row>
    <row r="9450" spans="8:8" x14ac:dyDescent="0.35">
      <c r="H9450" t="s">
        <v>26</v>
      </c>
    </row>
    <row r="9451" spans="8:8" x14ac:dyDescent="0.35">
      <c r="H9451" t="s">
        <v>26</v>
      </c>
    </row>
    <row r="9452" spans="8:8" x14ac:dyDescent="0.35">
      <c r="H9452" t="s">
        <v>26</v>
      </c>
    </row>
    <row r="9453" spans="8:8" x14ac:dyDescent="0.35">
      <c r="H9453" t="s">
        <v>26</v>
      </c>
    </row>
    <row r="9454" spans="8:8" x14ac:dyDescent="0.35">
      <c r="H9454" t="s">
        <v>26</v>
      </c>
    </row>
    <row r="9455" spans="8:8" x14ac:dyDescent="0.35">
      <c r="H9455" t="s">
        <v>26</v>
      </c>
    </row>
    <row r="9456" spans="8:8" x14ac:dyDescent="0.35">
      <c r="H9456" t="s">
        <v>26</v>
      </c>
    </row>
    <row r="9457" spans="8:8" x14ac:dyDescent="0.35">
      <c r="H9457" t="s">
        <v>26</v>
      </c>
    </row>
    <row r="9458" spans="8:8" x14ac:dyDescent="0.35">
      <c r="H9458" t="s">
        <v>26</v>
      </c>
    </row>
    <row r="9459" spans="8:8" x14ac:dyDescent="0.35">
      <c r="H9459" t="s">
        <v>26</v>
      </c>
    </row>
    <row r="9460" spans="8:8" x14ac:dyDescent="0.35">
      <c r="H9460" t="s">
        <v>26</v>
      </c>
    </row>
    <row r="9461" spans="8:8" x14ac:dyDescent="0.35">
      <c r="H9461" t="s">
        <v>26</v>
      </c>
    </row>
    <row r="9462" spans="8:8" x14ac:dyDescent="0.35">
      <c r="H9462" t="s">
        <v>26</v>
      </c>
    </row>
    <row r="9463" spans="8:8" x14ac:dyDescent="0.35">
      <c r="H9463" t="s">
        <v>26</v>
      </c>
    </row>
    <row r="9464" spans="8:8" x14ac:dyDescent="0.35">
      <c r="H9464" t="s">
        <v>26</v>
      </c>
    </row>
    <row r="9465" spans="8:8" x14ac:dyDescent="0.35">
      <c r="H9465" t="s">
        <v>26</v>
      </c>
    </row>
    <row r="9466" spans="8:8" x14ac:dyDescent="0.35">
      <c r="H9466" t="s">
        <v>26</v>
      </c>
    </row>
    <row r="9467" spans="8:8" x14ac:dyDescent="0.35">
      <c r="H9467" t="s">
        <v>26</v>
      </c>
    </row>
    <row r="9468" spans="8:8" x14ac:dyDescent="0.35">
      <c r="H9468" t="s">
        <v>26</v>
      </c>
    </row>
    <row r="9469" spans="8:8" x14ac:dyDescent="0.35">
      <c r="H9469" t="s">
        <v>26</v>
      </c>
    </row>
    <row r="9470" spans="8:8" x14ac:dyDescent="0.35">
      <c r="H9470" t="s">
        <v>26</v>
      </c>
    </row>
    <row r="9471" spans="8:8" x14ac:dyDescent="0.35">
      <c r="H9471" t="s">
        <v>26</v>
      </c>
    </row>
    <row r="9472" spans="8:8" x14ac:dyDescent="0.35">
      <c r="H9472" t="s">
        <v>26</v>
      </c>
    </row>
    <row r="9473" spans="8:8" x14ac:dyDescent="0.35">
      <c r="H9473" t="s">
        <v>26</v>
      </c>
    </row>
    <row r="9474" spans="8:8" x14ac:dyDescent="0.35">
      <c r="H9474" t="s">
        <v>26</v>
      </c>
    </row>
    <row r="9475" spans="8:8" x14ac:dyDescent="0.35">
      <c r="H9475" t="s">
        <v>26</v>
      </c>
    </row>
    <row r="9476" spans="8:8" x14ac:dyDescent="0.35">
      <c r="H9476" t="s">
        <v>26</v>
      </c>
    </row>
    <row r="9477" spans="8:8" x14ac:dyDescent="0.35">
      <c r="H9477" t="s">
        <v>26</v>
      </c>
    </row>
    <row r="9478" spans="8:8" x14ac:dyDescent="0.35">
      <c r="H9478" t="s">
        <v>26</v>
      </c>
    </row>
    <row r="9479" spans="8:8" x14ac:dyDescent="0.35">
      <c r="H9479" t="s">
        <v>26</v>
      </c>
    </row>
    <row r="9480" spans="8:8" x14ac:dyDescent="0.35">
      <c r="H9480" t="s">
        <v>26</v>
      </c>
    </row>
    <row r="9481" spans="8:8" x14ac:dyDescent="0.35">
      <c r="H9481" t="s">
        <v>26</v>
      </c>
    </row>
    <row r="9482" spans="8:8" x14ac:dyDescent="0.35">
      <c r="H9482" t="s">
        <v>26</v>
      </c>
    </row>
    <row r="9483" spans="8:8" x14ac:dyDescent="0.35">
      <c r="H9483" t="s">
        <v>26</v>
      </c>
    </row>
    <row r="9484" spans="8:8" x14ac:dyDescent="0.35">
      <c r="H9484" t="s">
        <v>26</v>
      </c>
    </row>
    <row r="9485" spans="8:8" x14ac:dyDescent="0.35">
      <c r="H9485" t="s">
        <v>26</v>
      </c>
    </row>
    <row r="9486" spans="8:8" x14ac:dyDescent="0.35">
      <c r="H9486" t="s">
        <v>26</v>
      </c>
    </row>
    <row r="9487" spans="8:8" x14ac:dyDescent="0.35">
      <c r="H9487" t="s">
        <v>26</v>
      </c>
    </row>
    <row r="9488" spans="8:8" x14ac:dyDescent="0.35">
      <c r="H9488" t="s">
        <v>26</v>
      </c>
    </row>
    <row r="9489" spans="8:8" x14ac:dyDescent="0.35">
      <c r="H9489" t="s">
        <v>26</v>
      </c>
    </row>
    <row r="9490" spans="8:8" x14ac:dyDescent="0.35">
      <c r="H9490" t="s">
        <v>26</v>
      </c>
    </row>
    <row r="9491" spans="8:8" x14ac:dyDescent="0.35">
      <c r="H9491" t="s">
        <v>26</v>
      </c>
    </row>
    <row r="9492" spans="8:8" x14ac:dyDescent="0.35">
      <c r="H9492" t="s">
        <v>26</v>
      </c>
    </row>
    <row r="9493" spans="8:8" x14ac:dyDescent="0.35">
      <c r="H9493" t="s">
        <v>26</v>
      </c>
    </row>
    <row r="9494" spans="8:8" x14ac:dyDescent="0.35">
      <c r="H9494" t="s">
        <v>26</v>
      </c>
    </row>
    <row r="9495" spans="8:8" x14ac:dyDescent="0.35">
      <c r="H9495" t="s">
        <v>26</v>
      </c>
    </row>
    <row r="9496" spans="8:8" x14ac:dyDescent="0.35">
      <c r="H9496" t="s">
        <v>26</v>
      </c>
    </row>
    <row r="9497" spans="8:8" x14ac:dyDescent="0.35">
      <c r="H9497" t="s">
        <v>26</v>
      </c>
    </row>
    <row r="9498" spans="8:8" x14ac:dyDescent="0.35">
      <c r="H9498" t="s">
        <v>26</v>
      </c>
    </row>
    <row r="9499" spans="8:8" x14ac:dyDescent="0.35">
      <c r="H9499" t="s">
        <v>26</v>
      </c>
    </row>
    <row r="9500" spans="8:8" x14ac:dyDescent="0.35">
      <c r="H9500" t="s">
        <v>26</v>
      </c>
    </row>
    <row r="9501" spans="8:8" x14ac:dyDescent="0.35">
      <c r="H9501" t="s">
        <v>26</v>
      </c>
    </row>
    <row r="9502" spans="8:8" x14ac:dyDescent="0.35">
      <c r="H9502" t="s">
        <v>26</v>
      </c>
    </row>
    <row r="9503" spans="8:8" x14ac:dyDescent="0.35">
      <c r="H9503" t="s">
        <v>26</v>
      </c>
    </row>
    <row r="9504" spans="8:8" x14ac:dyDescent="0.35">
      <c r="H9504" t="s">
        <v>26</v>
      </c>
    </row>
    <row r="9505" spans="8:8" x14ac:dyDescent="0.35">
      <c r="H9505" t="s">
        <v>26</v>
      </c>
    </row>
    <row r="9506" spans="8:8" x14ac:dyDescent="0.35">
      <c r="H9506" t="s">
        <v>26</v>
      </c>
    </row>
    <row r="9507" spans="8:8" x14ac:dyDescent="0.35">
      <c r="H9507" t="s">
        <v>26</v>
      </c>
    </row>
    <row r="9508" spans="8:8" x14ac:dyDescent="0.35">
      <c r="H9508" t="s">
        <v>26</v>
      </c>
    </row>
    <row r="9509" spans="8:8" x14ac:dyDescent="0.35">
      <c r="H9509" t="s">
        <v>26</v>
      </c>
    </row>
    <row r="9510" spans="8:8" x14ac:dyDescent="0.35">
      <c r="H9510" t="s">
        <v>26</v>
      </c>
    </row>
    <row r="9511" spans="8:8" x14ac:dyDescent="0.35">
      <c r="H9511" t="s">
        <v>26</v>
      </c>
    </row>
    <row r="9512" spans="8:8" x14ac:dyDescent="0.35">
      <c r="H9512" t="s">
        <v>26</v>
      </c>
    </row>
    <row r="9513" spans="8:8" x14ac:dyDescent="0.35">
      <c r="H9513" t="s">
        <v>26</v>
      </c>
    </row>
    <row r="9514" spans="8:8" x14ac:dyDescent="0.35">
      <c r="H9514" t="s">
        <v>26</v>
      </c>
    </row>
    <row r="9515" spans="8:8" x14ac:dyDescent="0.35">
      <c r="H9515" t="s">
        <v>26</v>
      </c>
    </row>
    <row r="9516" spans="8:8" x14ac:dyDescent="0.35">
      <c r="H9516" t="s">
        <v>26</v>
      </c>
    </row>
    <row r="9517" spans="8:8" x14ac:dyDescent="0.35">
      <c r="H9517" t="s">
        <v>26</v>
      </c>
    </row>
    <row r="9518" spans="8:8" x14ac:dyDescent="0.35">
      <c r="H9518" t="s">
        <v>26</v>
      </c>
    </row>
    <row r="9519" spans="8:8" x14ac:dyDescent="0.35">
      <c r="H9519" t="s">
        <v>26</v>
      </c>
    </row>
    <row r="9520" spans="8:8" x14ac:dyDescent="0.35">
      <c r="H9520" t="s">
        <v>26</v>
      </c>
    </row>
    <row r="9521" spans="8:8" x14ac:dyDescent="0.35">
      <c r="H9521" t="s">
        <v>26</v>
      </c>
    </row>
    <row r="9522" spans="8:8" x14ac:dyDescent="0.35">
      <c r="H9522" t="s">
        <v>26</v>
      </c>
    </row>
    <row r="9523" spans="8:8" x14ac:dyDescent="0.35">
      <c r="H9523" t="s">
        <v>26</v>
      </c>
    </row>
    <row r="9524" spans="8:8" x14ac:dyDescent="0.35">
      <c r="H9524" t="s">
        <v>26</v>
      </c>
    </row>
    <row r="9525" spans="8:8" x14ac:dyDescent="0.35">
      <c r="H9525" t="s">
        <v>26</v>
      </c>
    </row>
    <row r="9526" spans="8:8" x14ac:dyDescent="0.35">
      <c r="H9526" t="s">
        <v>26</v>
      </c>
    </row>
    <row r="9527" spans="8:8" x14ac:dyDescent="0.35">
      <c r="H9527" t="s">
        <v>26</v>
      </c>
    </row>
    <row r="9528" spans="8:8" x14ac:dyDescent="0.35">
      <c r="H9528" t="s">
        <v>26</v>
      </c>
    </row>
    <row r="9529" spans="8:8" x14ac:dyDescent="0.35">
      <c r="H9529" t="s">
        <v>26</v>
      </c>
    </row>
    <row r="9530" spans="8:8" x14ac:dyDescent="0.35">
      <c r="H9530" t="s">
        <v>26</v>
      </c>
    </row>
    <row r="9531" spans="8:8" x14ac:dyDescent="0.35">
      <c r="H9531" t="s">
        <v>26</v>
      </c>
    </row>
    <row r="9532" spans="8:8" x14ac:dyDescent="0.35">
      <c r="H9532" t="s">
        <v>26</v>
      </c>
    </row>
    <row r="9533" spans="8:8" x14ac:dyDescent="0.35">
      <c r="H9533" t="s">
        <v>26</v>
      </c>
    </row>
    <row r="9534" spans="8:8" x14ac:dyDescent="0.35">
      <c r="H9534" t="s">
        <v>26</v>
      </c>
    </row>
    <row r="9535" spans="8:8" x14ac:dyDescent="0.35">
      <c r="H9535" t="s">
        <v>26</v>
      </c>
    </row>
    <row r="9536" spans="8:8" x14ac:dyDescent="0.35">
      <c r="H9536" t="s">
        <v>26</v>
      </c>
    </row>
    <row r="9537" spans="8:8" x14ac:dyDescent="0.35">
      <c r="H9537" t="s">
        <v>26</v>
      </c>
    </row>
    <row r="9538" spans="8:8" x14ac:dyDescent="0.35">
      <c r="H9538" t="s">
        <v>26</v>
      </c>
    </row>
    <row r="9539" spans="8:8" x14ac:dyDescent="0.35">
      <c r="H9539" t="s">
        <v>26</v>
      </c>
    </row>
    <row r="9540" spans="8:8" x14ac:dyDescent="0.35">
      <c r="H9540" t="s">
        <v>26</v>
      </c>
    </row>
    <row r="9541" spans="8:8" x14ac:dyDescent="0.35">
      <c r="H9541" t="s">
        <v>26</v>
      </c>
    </row>
    <row r="9542" spans="8:8" x14ac:dyDescent="0.35">
      <c r="H9542" t="s">
        <v>26</v>
      </c>
    </row>
    <row r="9543" spans="8:8" x14ac:dyDescent="0.35">
      <c r="H9543" t="s">
        <v>26</v>
      </c>
    </row>
    <row r="9544" spans="8:8" x14ac:dyDescent="0.35">
      <c r="H9544" t="s">
        <v>26</v>
      </c>
    </row>
    <row r="9545" spans="8:8" x14ac:dyDescent="0.35">
      <c r="H9545" t="s">
        <v>26</v>
      </c>
    </row>
    <row r="9546" spans="8:8" x14ac:dyDescent="0.35">
      <c r="H9546" t="s">
        <v>26</v>
      </c>
    </row>
    <row r="9547" spans="8:8" x14ac:dyDescent="0.35">
      <c r="H9547" t="s">
        <v>26</v>
      </c>
    </row>
    <row r="9548" spans="8:8" x14ac:dyDescent="0.35">
      <c r="H9548" t="s">
        <v>26</v>
      </c>
    </row>
    <row r="9549" spans="8:8" x14ac:dyDescent="0.35">
      <c r="H9549" t="s">
        <v>26</v>
      </c>
    </row>
    <row r="9550" spans="8:8" x14ac:dyDescent="0.35">
      <c r="H9550" t="s">
        <v>26</v>
      </c>
    </row>
    <row r="9551" spans="8:8" x14ac:dyDescent="0.35">
      <c r="H9551" t="s">
        <v>26</v>
      </c>
    </row>
    <row r="9552" spans="8:8" x14ac:dyDescent="0.35">
      <c r="H9552" t="s">
        <v>26</v>
      </c>
    </row>
    <row r="9553" spans="8:8" x14ac:dyDescent="0.35">
      <c r="H9553" t="s">
        <v>26</v>
      </c>
    </row>
    <row r="9554" spans="8:8" x14ac:dyDescent="0.35">
      <c r="H9554" t="s">
        <v>26</v>
      </c>
    </row>
    <row r="9555" spans="8:8" x14ac:dyDescent="0.35">
      <c r="H9555" t="s">
        <v>26</v>
      </c>
    </row>
    <row r="9556" spans="8:8" x14ac:dyDescent="0.35">
      <c r="H9556" t="s">
        <v>26</v>
      </c>
    </row>
    <row r="9557" spans="8:8" x14ac:dyDescent="0.35">
      <c r="H9557" t="s">
        <v>26</v>
      </c>
    </row>
    <row r="9558" spans="8:8" x14ac:dyDescent="0.35">
      <c r="H9558" t="s">
        <v>26</v>
      </c>
    </row>
    <row r="9559" spans="8:8" x14ac:dyDescent="0.35">
      <c r="H9559" t="s">
        <v>26</v>
      </c>
    </row>
    <row r="9560" spans="8:8" x14ac:dyDescent="0.35">
      <c r="H9560" t="s">
        <v>26</v>
      </c>
    </row>
    <row r="9561" spans="8:8" x14ac:dyDescent="0.35">
      <c r="H9561" t="s">
        <v>26</v>
      </c>
    </row>
    <row r="9562" spans="8:8" x14ac:dyDescent="0.35">
      <c r="H9562" t="s">
        <v>26</v>
      </c>
    </row>
    <row r="9563" spans="8:8" x14ac:dyDescent="0.35">
      <c r="H9563" t="s">
        <v>26</v>
      </c>
    </row>
    <row r="9564" spans="8:8" x14ac:dyDescent="0.35">
      <c r="H9564" t="s">
        <v>26</v>
      </c>
    </row>
    <row r="9565" spans="8:8" x14ac:dyDescent="0.35">
      <c r="H9565" t="s">
        <v>26</v>
      </c>
    </row>
    <row r="9566" spans="8:8" x14ac:dyDescent="0.35">
      <c r="H9566" t="s">
        <v>26</v>
      </c>
    </row>
    <row r="9567" spans="8:8" x14ac:dyDescent="0.35">
      <c r="H9567" t="s">
        <v>26</v>
      </c>
    </row>
    <row r="9568" spans="8:8" x14ac:dyDescent="0.35">
      <c r="H9568" t="s">
        <v>26</v>
      </c>
    </row>
    <row r="9569" spans="8:8" x14ac:dyDescent="0.35">
      <c r="H9569" t="s">
        <v>26</v>
      </c>
    </row>
    <row r="9570" spans="8:8" x14ac:dyDescent="0.35">
      <c r="H9570" t="s">
        <v>26</v>
      </c>
    </row>
    <row r="9571" spans="8:8" x14ac:dyDescent="0.35">
      <c r="H9571" t="s">
        <v>26</v>
      </c>
    </row>
    <row r="9572" spans="8:8" x14ac:dyDescent="0.35">
      <c r="H9572" t="s">
        <v>26</v>
      </c>
    </row>
    <row r="9573" spans="8:8" x14ac:dyDescent="0.35">
      <c r="H9573" t="s">
        <v>26</v>
      </c>
    </row>
    <row r="9574" spans="8:8" x14ac:dyDescent="0.35">
      <c r="H9574" t="s">
        <v>26</v>
      </c>
    </row>
    <row r="9575" spans="8:8" x14ac:dyDescent="0.35">
      <c r="H9575" t="s">
        <v>26</v>
      </c>
    </row>
    <row r="9576" spans="8:8" x14ac:dyDescent="0.35">
      <c r="H9576" t="s">
        <v>26</v>
      </c>
    </row>
    <row r="9577" spans="8:8" x14ac:dyDescent="0.35">
      <c r="H9577" t="s">
        <v>26</v>
      </c>
    </row>
    <row r="9578" spans="8:8" x14ac:dyDescent="0.35">
      <c r="H9578" t="s">
        <v>26</v>
      </c>
    </row>
    <row r="9579" spans="8:8" x14ac:dyDescent="0.35">
      <c r="H9579" t="s">
        <v>26</v>
      </c>
    </row>
    <row r="9580" spans="8:8" x14ac:dyDescent="0.35">
      <c r="H9580" t="s">
        <v>26</v>
      </c>
    </row>
    <row r="9581" spans="8:8" x14ac:dyDescent="0.35">
      <c r="H9581" t="s">
        <v>26</v>
      </c>
    </row>
    <row r="9582" spans="8:8" x14ac:dyDescent="0.35">
      <c r="H9582" t="s">
        <v>26</v>
      </c>
    </row>
    <row r="9583" spans="8:8" x14ac:dyDescent="0.35">
      <c r="H9583" t="s">
        <v>26</v>
      </c>
    </row>
    <row r="9584" spans="8:8" x14ac:dyDescent="0.35">
      <c r="H9584" t="s">
        <v>26</v>
      </c>
    </row>
    <row r="9585" spans="8:8" x14ac:dyDescent="0.35">
      <c r="H9585" t="s">
        <v>26</v>
      </c>
    </row>
    <row r="9586" spans="8:8" x14ac:dyDescent="0.35">
      <c r="H9586" t="s">
        <v>26</v>
      </c>
    </row>
    <row r="9587" spans="8:8" x14ac:dyDescent="0.35">
      <c r="H9587" t="s">
        <v>26</v>
      </c>
    </row>
    <row r="9588" spans="8:8" x14ac:dyDescent="0.35">
      <c r="H9588" t="s">
        <v>26</v>
      </c>
    </row>
    <row r="9589" spans="8:8" x14ac:dyDescent="0.35">
      <c r="H9589" t="s">
        <v>26</v>
      </c>
    </row>
    <row r="9590" spans="8:8" x14ac:dyDescent="0.35">
      <c r="H9590" t="s">
        <v>26</v>
      </c>
    </row>
    <row r="9591" spans="8:8" x14ac:dyDescent="0.35">
      <c r="H9591" t="s">
        <v>26</v>
      </c>
    </row>
    <row r="9592" spans="8:8" x14ac:dyDescent="0.35">
      <c r="H9592" t="s">
        <v>26</v>
      </c>
    </row>
    <row r="9593" spans="8:8" x14ac:dyDescent="0.35">
      <c r="H9593" t="s">
        <v>26</v>
      </c>
    </row>
    <row r="9594" spans="8:8" x14ac:dyDescent="0.35">
      <c r="H9594" t="s">
        <v>26</v>
      </c>
    </row>
    <row r="9595" spans="8:8" x14ac:dyDescent="0.35">
      <c r="H9595" t="s">
        <v>26</v>
      </c>
    </row>
    <row r="9596" spans="8:8" x14ac:dyDescent="0.35">
      <c r="H9596" t="s">
        <v>26</v>
      </c>
    </row>
    <row r="9597" spans="8:8" x14ac:dyDescent="0.35">
      <c r="H9597" t="s">
        <v>26</v>
      </c>
    </row>
    <row r="9598" spans="8:8" x14ac:dyDescent="0.35">
      <c r="H9598" t="s">
        <v>26</v>
      </c>
    </row>
    <row r="9599" spans="8:8" x14ac:dyDescent="0.35">
      <c r="H9599" t="s">
        <v>26</v>
      </c>
    </row>
    <row r="9600" spans="8:8" x14ac:dyDescent="0.35">
      <c r="H9600" t="s">
        <v>26</v>
      </c>
    </row>
    <row r="9601" spans="8:8" x14ac:dyDescent="0.35">
      <c r="H9601" t="s">
        <v>26</v>
      </c>
    </row>
    <row r="9602" spans="8:8" x14ac:dyDescent="0.35">
      <c r="H9602" t="s">
        <v>26</v>
      </c>
    </row>
    <row r="9603" spans="8:8" x14ac:dyDescent="0.35">
      <c r="H9603" t="s">
        <v>26</v>
      </c>
    </row>
    <row r="9604" spans="8:8" x14ac:dyDescent="0.35">
      <c r="H9604" t="s">
        <v>26</v>
      </c>
    </row>
    <row r="9605" spans="8:8" x14ac:dyDescent="0.35">
      <c r="H9605" t="s">
        <v>26</v>
      </c>
    </row>
    <row r="9606" spans="8:8" x14ac:dyDescent="0.35">
      <c r="H9606" t="s">
        <v>26</v>
      </c>
    </row>
    <row r="9607" spans="8:8" x14ac:dyDescent="0.35">
      <c r="H9607" t="s">
        <v>26</v>
      </c>
    </row>
    <row r="9608" spans="8:8" x14ac:dyDescent="0.35">
      <c r="H9608" t="s">
        <v>26</v>
      </c>
    </row>
    <row r="9609" spans="8:8" x14ac:dyDescent="0.35">
      <c r="H9609" t="s">
        <v>26</v>
      </c>
    </row>
    <row r="9610" spans="8:8" x14ac:dyDescent="0.35">
      <c r="H9610" t="s">
        <v>26</v>
      </c>
    </row>
    <row r="9611" spans="8:8" x14ac:dyDescent="0.35">
      <c r="H9611" t="s">
        <v>26</v>
      </c>
    </row>
    <row r="9612" spans="8:8" x14ac:dyDescent="0.35">
      <c r="H9612" t="s">
        <v>26</v>
      </c>
    </row>
    <row r="9613" spans="8:8" x14ac:dyDescent="0.35">
      <c r="H9613" t="s">
        <v>26</v>
      </c>
    </row>
    <row r="9614" spans="8:8" x14ac:dyDescent="0.35">
      <c r="H9614" t="s">
        <v>26</v>
      </c>
    </row>
    <row r="9615" spans="8:8" x14ac:dyDescent="0.35">
      <c r="H9615" t="s">
        <v>26</v>
      </c>
    </row>
    <row r="9616" spans="8:8" x14ac:dyDescent="0.35">
      <c r="H9616" t="s">
        <v>26</v>
      </c>
    </row>
    <row r="9617" spans="8:8" x14ac:dyDescent="0.35">
      <c r="H9617" t="s">
        <v>26</v>
      </c>
    </row>
    <row r="9618" spans="8:8" x14ac:dyDescent="0.35">
      <c r="H9618" t="s">
        <v>26</v>
      </c>
    </row>
    <row r="9619" spans="8:8" x14ac:dyDescent="0.35">
      <c r="H9619" t="s">
        <v>26</v>
      </c>
    </row>
    <row r="9620" spans="8:8" x14ac:dyDescent="0.35">
      <c r="H9620" t="s">
        <v>26</v>
      </c>
    </row>
    <row r="9621" spans="8:8" x14ac:dyDescent="0.35">
      <c r="H9621" t="s">
        <v>26</v>
      </c>
    </row>
    <row r="9622" spans="8:8" x14ac:dyDescent="0.35">
      <c r="H9622" t="s">
        <v>26</v>
      </c>
    </row>
    <row r="9623" spans="8:8" x14ac:dyDescent="0.35">
      <c r="H9623" t="s">
        <v>26</v>
      </c>
    </row>
    <row r="9624" spans="8:8" x14ac:dyDescent="0.35">
      <c r="H9624" t="s">
        <v>26</v>
      </c>
    </row>
    <row r="9625" spans="8:8" x14ac:dyDescent="0.35">
      <c r="H9625" t="s">
        <v>26</v>
      </c>
    </row>
    <row r="9626" spans="8:8" x14ac:dyDescent="0.35">
      <c r="H9626" t="s">
        <v>26</v>
      </c>
    </row>
    <row r="9627" spans="8:8" x14ac:dyDescent="0.35">
      <c r="H9627" t="s">
        <v>26</v>
      </c>
    </row>
    <row r="9628" spans="8:8" x14ac:dyDescent="0.35">
      <c r="H9628" t="s">
        <v>26</v>
      </c>
    </row>
    <row r="9629" spans="8:8" x14ac:dyDescent="0.35">
      <c r="H9629" t="s">
        <v>26</v>
      </c>
    </row>
    <row r="9630" spans="8:8" x14ac:dyDescent="0.35">
      <c r="H9630" t="s">
        <v>26</v>
      </c>
    </row>
    <row r="9631" spans="8:8" x14ac:dyDescent="0.35">
      <c r="H9631" t="s">
        <v>26</v>
      </c>
    </row>
    <row r="9632" spans="8:8" x14ac:dyDescent="0.35">
      <c r="H9632" t="s">
        <v>26</v>
      </c>
    </row>
    <row r="9633" spans="8:8" x14ac:dyDescent="0.35">
      <c r="H9633" t="s">
        <v>26</v>
      </c>
    </row>
    <row r="9634" spans="8:8" x14ac:dyDescent="0.35">
      <c r="H9634" t="s">
        <v>26</v>
      </c>
    </row>
    <row r="9635" spans="8:8" x14ac:dyDescent="0.35">
      <c r="H9635" t="s">
        <v>26</v>
      </c>
    </row>
    <row r="9636" spans="8:8" x14ac:dyDescent="0.35">
      <c r="H9636" t="s">
        <v>26</v>
      </c>
    </row>
    <row r="9637" spans="8:8" x14ac:dyDescent="0.35">
      <c r="H9637" t="s">
        <v>26</v>
      </c>
    </row>
    <row r="9638" spans="8:8" x14ac:dyDescent="0.35">
      <c r="H9638" t="s">
        <v>26</v>
      </c>
    </row>
    <row r="9639" spans="8:8" x14ac:dyDescent="0.35">
      <c r="H9639" t="s">
        <v>26</v>
      </c>
    </row>
    <row r="9640" spans="8:8" x14ac:dyDescent="0.35">
      <c r="H9640" t="s">
        <v>26</v>
      </c>
    </row>
    <row r="9641" spans="8:8" x14ac:dyDescent="0.35">
      <c r="H9641" t="s">
        <v>26</v>
      </c>
    </row>
    <row r="9642" spans="8:8" x14ac:dyDescent="0.35">
      <c r="H9642" t="s">
        <v>26</v>
      </c>
    </row>
    <row r="9643" spans="8:8" x14ac:dyDescent="0.35">
      <c r="H9643" t="s">
        <v>26</v>
      </c>
    </row>
    <row r="9644" spans="8:8" x14ac:dyDescent="0.35">
      <c r="H9644" t="s">
        <v>26</v>
      </c>
    </row>
    <row r="9645" spans="8:8" x14ac:dyDescent="0.35">
      <c r="H9645" t="s">
        <v>26</v>
      </c>
    </row>
    <row r="9646" spans="8:8" x14ac:dyDescent="0.35">
      <c r="H9646" t="s">
        <v>26</v>
      </c>
    </row>
    <row r="9647" spans="8:8" x14ac:dyDescent="0.35">
      <c r="H9647" t="s">
        <v>26</v>
      </c>
    </row>
    <row r="9648" spans="8:8" x14ac:dyDescent="0.35">
      <c r="H9648" t="s">
        <v>26</v>
      </c>
    </row>
    <row r="9649" spans="8:8" x14ac:dyDescent="0.35">
      <c r="H9649" t="s">
        <v>26</v>
      </c>
    </row>
    <row r="9650" spans="8:8" x14ac:dyDescent="0.35">
      <c r="H9650" t="s">
        <v>26</v>
      </c>
    </row>
    <row r="9651" spans="8:8" x14ac:dyDescent="0.35">
      <c r="H9651" t="s">
        <v>26</v>
      </c>
    </row>
    <row r="9652" spans="8:8" x14ac:dyDescent="0.35">
      <c r="H9652" t="s">
        <v>26</v>
      </c>
    </row>
    <row r="9653" spans="8:8" x14ac:dyDescent="0.35">
      <c r="H9653" t="s">
        <v>26</v>
      </c>
    </row>
    <row r="9654" spans="8:8" x14ac:dyDescent="0.35">
      <c r="H9654" t="s">
        <v>26</v>
      </c>
    </row>
    <row r="9655" spans="8:8" x14ac:dyDescent="0.35">
      <c r="H9655" t="s">
        <v>26</v>
      </c>
    </row>
    <row r="9656" spans="8:8" x14ac:dyDescent="0.35">
      <c r="H9656" t="s">
        <v>26</v>
      </c>
    </row>
    <row r="9657" spans="8:8" x14ac:dyDescent="0.35">
      <c r="H9657" t="s">
        <v>26</v>
      </c>
    </row>
    <row r="9658" spans="8:8" x14ac:dyDescent="0.35">
      <c r="H9658" t="s">
        <v>26</v>
      </c>
    </row>
    <row r="9659" spans="8:8" x14ac:dyDescent="0.35">
      <c r="H9659" t="s">
        <v>26</v>
      </c>
    </row>
    <row r="9660" spans="8:8" x14ac:dyDescent="0.35">
      <c r="H9660" t="s">
        <v>26</v>
      </c>
    </row>
    <row r="9661" spans="8:8" x14ac:dyDescent="0.35">
      <c r="H9661" t="s">
        <v>26</v>
      </c>
    </row>
    <row r="9662" spans="8:8" x14ac:dyDescent="0.35">
      <c r="H9662" t="s">
        <v>26</v>
      </c>
    </row>
    <row r="9663" spans="8:8" x14ac:dyDescent="0.35">
      <c r="H9663" t="s">
        <v>26</v>
      </c>
    </row>
    <row r="9664" spans="8:8" x14ac:dyDescent="0.35">
      <c r="H9664" t="s">
        <v>26</v>
      </c>
    </row>
    <row r="9665" spans="8:8" x14ac:dyDescent="0.35">
      <c r="H9665" t="s">
        <v>26</v>
      </c>
    </row>
    <row r="9666" spans="8:8" x14ac:dyDescent="0.35">
      <c r="H9666" t="s">
        <v>26</v>
      </c>
    </row>
    <row r="9667" spans="8:8" x14ac:dyDescent="0.35">
      <c r="H9667" t="s">
        <v>26</v>
      </c>
    </row>
    <row r="9668" spans="8:8" x14ac:dyDescent="0.35">
      <c r="H9668" t="s">
        <v>26</v>
      </c>
    </row>
    <row r="9669" spans="8:8" x14ac:dyDescent="0.35">
      <c r="H9669" t="s">
        <v>26</v>
      </c>
    </row>
    <row r="9670" spans="8:8" x14ac:dyDescent="0.35">
      <c r="H9670" t="s">
        <v>26</v>
      </c>
    </row>
    <row r="9671" spans="8:8" x14ac:dyDescent="0.35">
      <c r="H9671" t="s">
        <v>26</v>
      </c>
    </row>
    <row r="9672" spans="8:8" x14ac:dyDescent="0.35">
      <c r="H9672" t="s">
        <v>26</v>
      </c>
    </row>
    <row r="9673" spans="8:8" x14ac:dyDescent="0.35">
      <c r="H9673" t="s">
        <v>26</v>
      </c>
    </row>
    <row r="9674" spans="8:8" x14ac:dyDescent="0.35">
      <c r="H9674" t="s">
        <v>26</v>
      </c>
    </row>
    <row r="9675" spans="8:8" x14ac:dyDescent="0.35">
      <c r="H9675" t="s">
        <v>26</v>
      </c>
    </row>
    <row r="9676" spans="8:8" x14ac:dyDescent="0.35">
      <c r="H9676" t="s">
        <v>26</v>
      </c>
    </row>
    <row r="9677" spans="8:8" x14ac:dyDescent="0.35">
      <c r="H9677" t="s">
        <v>26</v>
      </c>
    </row>
    <row r="9678" spans="8:8" x14ac:dyDescent="0.35">
      <c r="H9678" t="s">
        <v>26</v>
      </c>
    </row>
    <row r="9679" spans="8:8" x14ac:dyDescent="0.35">
      <c r="H9679" t="s">
        <v>26</v>
      </c>
    </row>
    <row r="9680" spans="8:8" x14ac:dyDescent="0.35">
      <c r="H9680" t="s">
        <v>26</v>
      </c>
    </row>
    <row r="9681" spans="8:9" x14ac:dyDescent="0.35">
      <c r="H9681" t="s">
        <v>26</v>
      </c>
    </row>
    <row r="9682" spans="8:9" x14ac:dyDescent="0.35">
      <c r="H9682" t="s">
        <v>26</v>
      </c>
    </row>
    <row r="9683" spans="8:9" x14ac:dyDescent="0.35">
      <c r="H9683" t="s">
        <v>26</v>
      </c>
    </row>
    <row r="9684" spans="8:9" x14ac:dyDescent="0.35">
      <c r="H9684" t="s">
        <v>26</v>
      </c>
    </row>
    <row r="9685" spans="8:9" x14ac:dyDescent="0.35">
      <c r="H9685" t="s">
        <v>26</v>
      </c>
    </row>
    <row r="9686" spans="8:9" x14ac:dyDescent="0.35">
      <c r="H9686" t="s">
        <v>26</v>
      </c>
    </row>
    <row r="9687" spans="8:9" x14ac:dyDescent="0.35">
      <c r="H9687" t="s">
        <v>26</v>
      </c>
    </row>
    <row r="9688" spans="8:9" x14ac:dyDescent="0.35">
      <c r="H9688" t="s">
        <v>26</v>
      </c>
    </row>
    <row r="9689" spans="8:9" x14ac:dyDescent="0.35">
      <c r="H9689" t="s">
        <v>78</v>
      </c>
      <c r="I9689" s="57">
        <v>0</v>
      </c>
    </row>
    <row r="9690" spans="8:9" x14ac:dyDescent="0.35">
      <c r="H9690" t="s">
        <v>78</v>
      </c>
      <c r="I9690" s="57">
        <v>0</v>
      </c>
    </row>
    <row r="9691" spans="8:9" x14ac:dyDescent="0.35">
      <c r="H9691" t="s">
        <v>78</v>
      </c>
      <c r="I9691" s="57">
        <v>0</v>
      </c>
    </row>
    <row r="9692" spans="8:9" x14ac:dyDescent="0.35">
      <c r="H9692" t="s">
        <v>26</v>
      </c>
    </row>
    <row r="9693" spans="8:9" x14ac:dyDescent="0.35">
      <c r="H9693" t="s">
        <v>26</v>
      </c>
    </row>
    <row r="9694" spans="8:9" x14ac:dyDescent="0.35">
      <c r="H9694" t="s">
        <v>26</v>
      </c>
    </row>
    <row r="9695" spans="8:9" x14ac:dyDescent="0.35">
      <c r="H9695" t="s">
        <v>26</v>
      </c>
    </row>
    <row r="9696" spans="8:9" x14ac:dyDescent="0.35">
      <c r="H9696" t="s">
        <v>26</v>
      </c>
    </row>
    <row r="9697" spans="8:8" x14ac:dyDescent="0.35">
      <c r="H9697" t="s">
        <v>26</v>
      </c>
    </row>
    <row r="9698" spans="8:8" x14ac:dyDescent="0.35">
      <c r="H9698" t="s">
        <v>26</v>
      </c>
    </row>
    <row r="9699" spans="8:8" x14ac:dyDescent="0.35">
      <c r="H9699" t="s">
        <v>26</v>
      </c>
    </row>
    <row r="9700" spans="8:8" x14ac:dyDescent="0.35">
      <c r="H9700" t="s">
        <v>26</v>
      </c>
    </row>
    <row r="9701" spans="8:8" x14ac:dyDescent="0.35">
      <c r="H9701" t="s">
        <v>26</v>
      </c>
    </row>
    <row r="9702" spans="8:8" x14ac:dyDescent="0.35">
      <c r="H9702" t="s">
        <v>26</v>
      </c>
    </row>
    <row r="9703" spans="8:8" x14ac:dyDescent="0.35">
      <c r="H9703" t="s">
        <v>26</v>
      </c>
    </row>
    <row r="9704" spans="8:8" x14ac:dyDescent="0.35">
      <c r="H9704" t="s">
        <v>26</v>
      </c>
    </row>
    <row r="9705" spans="8:8" x14ac:dyDescent="0.35">
      <c r="H9705" t="s">
        <v>26</v>
      </c>
    </row>
    <row r="9706" spans="8:8" x14ac:dyDescent="0.35">
      <c r="H9706" t="s">
        <v>26</v>
      </c>
    </row>
    <row r="9707" spans="8:8" x14ac:dyDescent="0.35">
      <c r="H9707" t="s">
        <v>26</v>
      </c>
    </row>
    <row r="9708" spans="8:8" x14ac:dyDescent="0.35">
      <c r="H9708" t="s">
        <v>26</v>
      </c>
    </row>
    <row r="9709" spans="8:8" x14ac:dyDescent="0.35">
      <c r="H9709" t="s">
        <v>26</v>
      </c>
    </row>
    <row r="9710" spans="8:8" x14ac:dyDescent="0.35">
      <c r="H9710" t="s">
        <v>26</v>
      </c>
    </row>
    <row r="9711" spans="8:8" x14ac:dyDescent="0.35">
      <c r="H9711" t="s">
        <v>26</v>
      </c>
    </row>
    <row r="9712" spans="8:8" x14ac:dyDescent="0.35">
      <c r="H9712" t="s">
        <v>26</v>
      </c>
    </row>
    <row r="9713" spans="8:8" x14ac:dyDescent="0.35">
      <c r="H9713" t="s">
        <v>26</v>
      </c>
    </row>
    <row r="9714" spans="8:8" x14ac:dyDescent="0.35">
      <c r="H9714" t="s">
        <v>26</v>
      </c>
    </row>
    <row r="9715" spans="8:8" x14ac:dyDescent="0.35">
      <c r="H9715" t="s">
        <v>26</v>
      </c>
    </row>
    <row r="9716" spans="8:8" x14ac:dyDescent="0.35">
      <c r="H9716" t="s">
        <v>26</v>
      </c>
    </row>
    <row r="9717" spans="8:8" x14ac:dyDescent="0.35">
      <c r="H9717" t="s">
        <v>26</v>
      </c>
    </row>
    <row r="9718" spans="8:8" x14ac:dyDescent="0.35">
      <c r="H9718" t="s">
        <v>26</v>
      </c>
    </row>
    <row r="9719" spans="8:8" x14ac:dyDescent="0.35">
      <c r="H9719" t="s">
        <v>26</v>
      </c>
    </row>
    <row r="9720" spans="8:8" x14ac:dyDescent="0.35">
      <c r="H9720" t="s">
        <v>26</v>
      </c>
    </row>
    <row r="9721" spans="8:8" x14ac:dyDescent="0.35">
      <c r="H9721" t="s">
        <v>26</v>
      </c>
    </row>
    <row r="9722" spans="8:8" x14ac:dyDescent="0.35">
      <c r="H9722" t="s">
        <v>26</v>
      </c>
    </row>
    <row r="9723" spans="8:8" x14ac:dyDescent="0.35">
      <c r="H9723" t="s">
        <v>26</v>
      </c>
    </row>
    <row r="9724" spans="8:8" x14ac:dyDescent="0.35">
      <c r="H9724" t="s">
        <v>26</v>
      </c>
    </row>
    <row r="9725" spans="8:8" x14ac:dyDescent="0.35">
      <c r="H9725" t="s">
        <v>26</v>
      </c>
    </row>
    <row r="9726" spans="8:8" x14ac:dyDescent="0.35">
      <c r="H9726" t="s">
        <v>26</v>
      </c>
    </row>
    <row r="9727" spans="8:8" x14ac:dyDescent="0.35">
      <c r="H9727" t="s">
        <v>26</v>
      </c>
    </row>
    <row r="9728" spans="8:8" x14ac:dyDescent="0.35">
      <c r="H9728" t="s">
        <v>26</v>
      </c>
    </row>
    <row r="9729" spans="8:8" x14ac:dyDescent="0.35">
      <c r="H9729" t="s">
        <v>26</v>
      </c>
    </row>
    <row r="9730" spans="8:8" x14ac:dyDescent="0.35">
      <c r="H9730" t="s">
        <v>26</v>
      </c>
    </row>
    <row r="9731" spans="8:8" x14ac:dyDescent="0.35">
      <c r="H9731" t="s">
        <v>26</v>
      </c>
    </row>
    <row r="9732" spans="8:8" x14ac:dyDescent="0.35">
      <c r="H9732" t="s">
        <v>26</v>
      </c>
    </row>
    <row r="9733" spans="8:8" x14ac:dyDescent="0.35">
      <c r="H9733" t="s">
        <v>26</v>
      </c>
    </row>
    <row r="9734" spans="8:8" x14ac:dyDescent="0.35">
      <c r="H9734" t="s">
        <v>26</v>
      </c>
    </row>
    <row r="9735" spans="8:8" x14ac:dyDescent="0.35">
      <c r="H9735" t="s">
        <v>26</v>
      </c>
    </row>
    <row r="9736" spans="8:8" x14ac:dyDescent="0.35">
      <c r="H9736" t="s">
        <v>26</v>
      </c>
    </row>
    <row r="9737" spans="8:8" x14ac:dyDescent="0.35">
      <c r="H9737" t="s">
        <v>26</v>
      </c>
    </row>
    <row r="9738" spans="8:8" x14ac:dyDescent="0.35">
      <c r="H9738" t="s">
        <v>26</v>
      </c>
    </row>
    <row r="9739" spans="8:8" x14ac:dyDescent="0.35">
      <c r="H9739" t="s">
        <v>26</v>
      </c>
    </row>
    <row r="9740" spans="8:8" x14ac:dyDescent="0.35">
      <c r="H9740" t="s">
        <v>26</v>
      </c>
    </row>
    <row r="9741" spans="8:8" x14ac:dyDescent="0.35">
      <c r="H9741" t="s">
        <v>26</v>
      </c>
    </row>
    <row r="9742" spans="8:8" x14ac:dyDescent="0.35">
      <c r="H9742" t="s">
        <v>26</v>
      </c>
    </row>
    <row r="9743" spans="8:8" x14ac:dyDescent="0.35">
      <c r="H9743" t="s">
        <v>26</v>
      </c>
    </row>
    <row r="9744" spans="8:8" x14ac:dyDescent="0.35">
      <c r="H9744" t="s">
        <v>26</v>
      </c>
    </row>
    <row r="9745" spans="8:8" x14ac:dyDescent="0.35">
      <c r="H9745" t="s">
        <v>26</v>
      </c>
    </row>
    <row r="9746" spans="8:8" x14ac:dyDescent="0.35">
      <c r="H9746" t="s">
        <v>26</v>
      </c>
    </row>
    <row r="9747" spans="8:8" x14ac:dyDescent="0.35">
      <c r="H9747" t="s">
        <v>26</v>
      </c>
    </row>
    <row r="9748" spans="8:8" x14ac:dyDescent="0.35">
      <c r="H9748" t="s">
        <v>26</v>
      </c>
    </row>
    <row r="9749" spans="8:8" x14ac:dyDescent="0.35">
      <c r="H9749" t="s">
        <v>26</v>
      </c>
    </row>
    <row r="9750" spans="8:8" x14ac:dyDescent="0.35">
      <c r="H9750" t="s">
        <v>26</v>
      </c>
    </row>
    <row r="9751" spans="8:8" x14ac:dyDescent="0.35">
      <c r="H9751" t="s">
        <v>26</v>
      </c>
    </row>
    <row r="9752" spans="8:8" x14ac:dyDescent="0.35">
      <c r="H9752" t="s">
        <v>26</v>
      </c>
    </row>
    <row r="9753" spans="8:8" x14ac:dyDescent="0.35">
      <c r="H9753" t="s">
        <v>26</v>
      </c>
    </row>
    <row r="9754" spans="8:8" x14ac:dyDescent="0.35">
      <c r="H9754" t="s">
        <v>26</v>
      </c>
    </row>
    <row r="9755" spans="8:8" x14ac:dyDescent="0.35">
      <c r="H9755" t="s">
        <v>26</v>
      </c>
    </row>
    <row r="9756" spans="8:8" x14ac:dyDescent="0.35">
      <c r="H9756" t="s">
        <v>26</v>
      </c>
    </row>
    <row r="9757" spans="8:8" x14ac:dyDescent="0.35">
      <c r="H9757" t="s">
        <v>26</v>
      </c>
    </row>
    <row r="9758" spans="8:8" x14ac:dyDescent="0.35">
      <c r="H9758" t="s">
        <v>26</v>
      </c>
    </row>
    <row r="9759" spans="8:8" x14ac:dyDescent="0.35">
      <c r="H9759" t="s">
        <v>26</v>
      </c>
    </row>
    <row r="9760" spans="8:8" x14ac:dyDescent="0.35">
      <c r="H9760" t="s">
        <v>26</v>
      </c>
    </row>
    <row r="9761" spans="8:8" x14ac:dyDescent="0.35">
      <c r="H9761" t="s">
        <v>26</v>
      </c>
    </row>
    <row r="9762" spans="8:8" x14ac:dyDescent="0.35">
      <c r="H9762" t="s">
        <v>26</v>
      </c>
    </row>
    <row r="9763" spans="8:8" x14ac:dyDescent="0.35">
      <c r="H9763" t="s">
        <v>26</v>
      </c>
    </row>
    <row r="9764" spans="8:8" x14ac:dyDescent="0.35">
      <c r="H9764" t="s">
        <v>26</v>
      </c>
    </row>
    <row r="9765" spans="8:8" x14ac:dyDescent="0.35">
      <c r="H9765" t="s">
        <v>26</v>
      </c>
    </row>
    <row r="9766" spans="8:8" x14ac:dyDescent="0.35">
      <c r="H9766" t="s">
        <v>26</v>
      </c>
    </row>
    <row r="9767" spans="8:8" x14ac:dyDescent="0.35">
      <c r="H9767" t="s">
        <v>26</v>
      </c>
    </row>
    <row r="9768" spans="8:8" x14ac:dyDescent="0.35">
      <c r="H9768" t="s">
        <v>26</v>
      </c>
    </row>
    <row r="9769" spans="8:8" x14ac:dyDescent="0.35">
      <c r="H9769" t="s">
        <v>26</v>
      </c>
    </row>
    <row r="9770" spans="8:8" x14ac:dyDescent="0.35">
      <c r="H9770" t="s">
        <v>26</v>
      </c>
    </row>
    <row r="9771" spans="8:8" x14ac:dyDescent="0.35">
      <c r="H9771" t="s">
        <v>26</v>
      </c>
    </row>
    <row r="9772" spans="8:8" x14ac:dyDescent="0.35">
      <c r="H9772" t="s">
        <v>26</v>
      </c>
    </row>
    <row r="9773" spans="8:8" x14ac:dyDescent="0.35">
      <c r="H9773" t="s">
        <v>26</v>
      </c>
    </row>
    <row r="9774" spans="8:8" x14ac:dyDescent="0.35">
      <c r="H9774" t="s">
        <v>26</v>
      </c>
    </row>
    <row r="9775" spans="8:8" x14ac:dyDescent="0.35">
      <c r="H9775" t="s">
        <v>26</v>
      </c>
    </row>
    <row r="9776" spans="8:8" x14ac:dyDescent="0.35">
      <c r="H9776" t="s">
        <v>26</v>
      </c>
    </row>
    <row r="9777" spans="8:8" x14ac:dyDescent="0.35">
      <c r="H9777" t="s">
        <v>26</v>
      </c>
    </row>
    <row r="9778" spans="8:8" x14ac:dyDescent="0.35">
      <c r="H9778" t="s">
        <v>26</v>
      </c>
    </row>
    <row r="9779" spans="8:8" x14ac:dyDescent="0.35">
      <c r="H9779" t="s">
        <v>26</v>
      </c>
    </row>
    <row r="9780" spans="8:8" x14ac:dyDescent="0.35">
      <c r="H9780" t="s">
        <v>26</v>
      </c>
    </row>
    <row r="9781" spans="8:8" x14ac:dyDescent="0.35">
      <c r="H9781" t="s">
        <v>26</v>
      </c>
    </row>
    <row r="9782" spans="8:8" x14ac:dyDescent="0.35">
      <c r="H9782" t="s">
        <v>26</v>
      </c>
    </row>
    <row r="9783" spans="8:8" x14ac:dyDescent="0.35">
      <c r="H9783" t="s">
        <v>26</v>
      </c>
    </row>
    <row r="9784" spans="8:8" x14ac:dyDescent="0.35">
      <c r="H9784" t="s">
        <v>26</v>
      </c>
    </row>
    <row r="9785" spans="8:8" x14ac:dyDescent="0.35">
      <c r="H9785" t="s">
        <v>26</v>
      </c>
    </row>
    <row r="9786" spans="8:8" x14ac:dyDescent="0.35">
      <c r="H9786" t="s">
        <v>26</v>
      </c>
    </row>
    <row r="9787" spans="8:8" x14ac:dyDescent="0.35">
      <c r="H9787" t="s">
        <v>26</v>
      </c>
    </row>
    <row r="9788" spans="8:8" x14ac:dyDescent="0.35">
      <c r="H9788" t="s">
        <v>26</v>
      </c>
    </row>
    <row r="9789" spans="8:8" x14ac:dyDescent="0.35">
      <c r="H9789" t="s">
        <v>26</v>
      </c>
    </row>
    <row r="9790" spans="8:8" x14ac:dyDescent="0.35">
      <c r="H9790" t="s">
        <v>26</v>
      </c>
    </row>
    <row r="9791" spans="8:8" x14ac:dyDescent="0.35">
      <c r="H9791" t="s">
        <v>26</v>
      </c>
    </row>
    <row r="9792" spans="8:8" x14ac:dyDescent="0.35">
      <c r="H9792" t="s">
        <v>26</v>
      </c>
    </row>
    <row r="9793" spans="8:8" x14ac:dyDescent="0.35">
      <c r="H9793" t="s">
        <v>26</v>
      </c>
    </row>
    <row r="9794" spans="8:8" x14ac:dyDescent="0.35">
      <c r="H9794" t="s">
        <v>26</v>
      </c>
    </row>
    <row r="9795" spans="8:8" x14ac:dyDescent="0.35">
      <c r="H9795" t="s">
        <v>26</v>
      </c>
    </row>
    <row r="9796" spans="8:8" x14ac:dyDescent="0.35">
      <c r="H9796" t="s">
        <v>26</v>
      </c>
    </row>
    <row r="9797" spans="8:8" x14ac:dyDescent="0.35">
      <c r="H9797" t="s">
        <v>26</v>
      </c>
    </row>
    <row r="9798" spans="8:8" x14ac:dyDescent="0.35">
      <c r="H9798" t="s">
        <v>26</v>
      </c>
    </row>
    <row r="9799" spans="8:8" x14ac:dyDescent="0.35">
      <c r="H9799" t="s">
        <v>26</v>
      </c>
    </row>
    <row r="9800" spans="8:8" x14ac:dyDescent="0.35">
      <c r="H9800" t="s">
        <v>26</v>
      </c>
    </row>
    <row r="9801" spans="8:8" x14ac:dyDescent="0.35">
      <c r="H9801" t="s">
        <v>26</v>
      </c>
    </row>
    <row r="9802" spans="8:8" x14ac:dyDescent="0.35">
      <c r="H9802" t="s">
        <v>26</v>
      </c>
    </row>
    <row r="9803" spans="8:8" x14ac:dyDescent="0.35">
      <c r="H9803" t="s">
        <v>26</v>
      </c>
    </row>
    <row r="9804" spans="8:8" x14ac:dyDescent="0.35">
      <c r="H9804" t="s">
        <v>26</v>
      </c>
    </row>
    <row r="9805" spans="8:8" x14ac:dyDescent="0.35">
      <c r="H9805" t="s">
        <v>26</v>
      </c>
    </row>
    <row r="9806" spans="8:8" x14ac:dyDescent="0.35">
      <c r="H9806" t="s">
        <v>26</v>
      </c>
    </row>
    <row r="9807" spans="8:8" x14ac:dyDescent="0.35">
      <c r="H9807" t="s">
        <v>26</v>
      </c>
    </row>
    <row r="9808" spans="8:8" x14ac:dyDescent="0.35">
      <c r="H9808" t="s">
        <v>26</v>
      </c>
    </row>
    <row r="9809" spans="8:8" x14ac:dyDescent="0.35">
      <c r="H9809" t="s">
        <v>26</v>
      </c>
    </row>
    <row r="9810" spans="8:8" x14ac:dyDescent="0.35">
      <c r="H9810" t="s">
        <v>26</v>
      </c>
    </row>
    <row r="9811" spans="8:8" x14ac:dyDescent="0.35">
      <c r="H9811" t="s">
        <v>26</v>
      </c>
    </row>
    <row r="9812" spans="8:8" x14ac:dyDescent="0.35">
      <c r="H9812" t="s">
        <v>26</v>
      </c>
    </row>
    <row r="9813" spans="8:8" x14ac:dyDescent="0.35">
      <c r="H9813" t="s">
        <v>26</v>
      </c>
    </row>
    <row r="9814" spans="8:8" x14ac:dyDescent="0.35">
      <c r="H9814" t="s">
        <v>26</v>
      </c>
    </row>
    <row r="9815" spans="8:8" x14ac:dyDescent="0.35">
      <c r="H9815" t="s">
        <v>26</v>
      </c>
    </row>
    <row r="9816" spans="8:8" x14ac:dyDescent="0.35">
      <c r="H9816" t="s">
        <v>26</v>
      </c>
    </row>
    <row r="9817" spans="8:8" x14ac:dyDescent="0.35">
      <c r="H9817" t="s">
        <v>26</v>
      </c>
    </row>
    <row r="9818" spans="8:8" x14ac:dyDescent="0.35">
      <c r="H9818" t="s">
        <v>26</v>
      </c>
    </row>
    <row r="9819" spans="8:8" x14ac:dyDescent="0.35">
      <c r="H9819" t="s">
        <v>26</v>
      </c>
    </row>
    <row r="9820" spans="8:8" x14ac:dyDescent="0.35">
      <c r="H9820" t="s">
        <v>26</v>
      </c>
    </row>
    <row r="9821" spans="8:8" x14ac:dyDescent="0.35">
      <c r="H9821" t="s">
        <v>26</v>
      </c>
    </row>
    <row r="9822" spans="8:8" x14ac:dyDescent="0.35">
      <c r="H9822" t="s">
        <v>26</v>
      </c>
    </row>
    <row r="9823" spans="8:8" x14ac:dyDescent="0.35">
      <c r="H9823" t="s">
        <v>26</v>
      </c>
    </row>
    <row r="9824" spans="8:8" x14ac:dyDescent="0.35">
      <c r="H9824" t="s">
        <v>26</v>
      </c>
    </row>
    <row r="9825" spans="8:8" x14ac:dyDescent="0.35">
      <c r="H9825" t="s">
        <v>26</v>
      </c>
    </row>
    <row r="9826" spans="8:8" x14ac:dyDescent="0.35">
      <c r="H9826" t="s">
        <v>26</v>
      </c>
    </row>
    <row r="9827" spans="8:8" x14ac:dyDescent="0.35">
      <c r="H9827" t="s">
        <v>26</v>
      </c>
    </row>
    <row r="9828" spans="8:8" x14ac:dyDescent="0.35">
      <c r="H9828" t="s">
        <v>26</v>
      </c>
    </row>
    <row r="9829" spans="8:8" x14ac:dyDescent="0.35">
      <c r="H9829" t="s">
        <v>26</v>
      </c>
    </row>
    <row r="9830" spans="8:8" x14ac:dyDescent="0.35">
      <c r="H9830" t="s">
        <v>26</v>
      </c>
    </row>
    <row r="9831" spans="8:8" x14ac:dyDescent="0.35">
      <c r="H9831" t="s">
        <v>26</v>
      </c>
    </row>
    <row r="9832" spans="8:8" x14ac:dyDescent="0.35">
      <c r="H9832" t="s">
        <v>26</v>
      </c>
    </row>
    <row r="9833" spans="8:8" x14ac:dyDescent="0.35">
      <c r="H9833" t="s">
        <v>26</v>
      </c>
    </row>
    <row r="9834" spans="8:8" x14ac:dyDescent="0.35">
      <c r="H9834" t="s">
        <v>26</v>
      </c>
    </row>
    <row r="9835" spans="8:8" x14ac:dyDescent="0.35">
      <c r="H9835" t="s">
        <v>26</v>
      </c>
    </row>
    <row r="9836" spans="8:8" x14ac:dyDescent="0.35">
      <c r="H9836" t="s">
        <v>26</v>
      </c>
    </row>
    <row r="9837" spans="8:8" x14ac:dyDescent="0.35">
      <c r="H9837" t="s">
        <v>26</v>
      </c>
    </row>
    <row r="9838" spans="8:8" x14ac:dyDescent="0.35">
      <c r="H9838" t="s">
        <v>26</v>
      </c>
    </row>
    <row r="9839" spans="8:8" x14ac:dyDescent="0.35">
      <c r="H9839" t="s">
        <v>26</v>
      </c>
    </row>
    <row r="9840" spans="8:8" x14ac:dyDescent="0.35">
      <c r="H9840" t="s">
        <v>26</v>
      </c>
    </row>
    <row r="9841" spans="8:8" x14ac:dyDescent="0.35">
      <c r="H9841" t="s">
        <v>26</v>
      </c>
    </row>
    <row r="9842" spans="8:8" x14ac:dyDescent="0.35">
      <c r="H9842" t="s">
        <v>26</v>
      </c>
    </row>
    <row r="9843" spans="8:8" x14ac:dyDescent="0.35">
      <c r="H9843" t="s">
        <v>26</v>
      </c>
    </row>
    <row r="9844" spans="8:8" x14ac:dyDescent="0.35">
      <c r="H9844" t="s">
        <v>26</v>
      </c>
    </row>
    <row r="9845" spans="8:8" x14ac:dyDescent="0.35">
      <c r="H9845" t="s">
        <v>26</v>
      </c>
    </row>
    <row r="9846" spans="8:8" x14ac:dyDescent="0.35">
      <c r="H9846" t="s">
        <v>26</v>
      </c>
    </row>
    <row r="9847" spans="8:8" x14ac:dyDescent="0.35">
      <c r="H9847" t="s">
        <v>26</v>
      </c>
    </row>
    <row r="9848" spans="8:8" x14ac:dyDescent="0.35">
      <c r="H9848" t="s">
        <v>26</v>
      </c>
    </row>
    <row r="9849" spans="8:8" x14ac:dyDescent="0.35">
      <c r="H9849" t="s">
        <v>26</v>
      </c>
    </row>
    <row r="9850" spans="8:8" x14ac:dyDescent="0.35">
      <c r="H9850" t="s">
        <v>26</v>
      </c>
    </row>
    <row r="9851" spans="8:8" x14ac:dyDescent="0.35">
      <c r="H9851" t="s">
        <v>26</v>
      </c>
    </row>
    <row r="9852" spans="8:8" x14ac:dyDescent="0.35">
      <c r="H9852" t="s">
        <v>26</v>
      </c>
    </row>
    <row r="9853" spans="8:8" x14ac:dyDescent="0.35">
      <c r="H9853" t="s">
        <v>26</v>
      </c>
    </row>
    <row r="9854" spans="8:8" x14ac:dyDescent="0.35">
      <c r="H9854" t="s">
        <v>26</v>
      </c>
    </row>
    <row r="9855" spans="8:8" x14ac:dyDescent="0.35">
      <c r="H9855" t="s">
        <v>26</v>
      </c>
    </row>
    <row r="9856" spans="8:8" x14ac:dyDescent="0.35">
      <c r="H9856" t="s">
        <v>26</v>
      </c>
    </row>
    <row r="9857" spans="8:8" x14ac:dyDescent="0.35">
      <c r="H9857" t="s">
        <v>26</v>
      </c>
    </row>
    <row r="9858" spans="8:8" x14ac:dyDescent="0.35">
      <c r="H9858" t="s">
        <v>26</v>
      </c>
    </row>
    <row r="9859" spans="8:8" x14ac:dyDescent="0.35">
      <c r="H9859" t="s">
        <v>26</v>
      </c>
    </row>
    <row r="9860" spans="8:8" x14ac:dyDescent="0.35">
      <c r="H9860" t="s">
        <v>26</v>
      </c>
    </row>
    <row r="9861" spans="8:8" x14ac:dyDescent="0.35">
      <c r="H9861" t="s">
        <v>26</v>
      </c>
    </row>
    <row r="9862" spans="8:8" x14ac:dyDescent="0.35">
      <c r="H9862" t="s">
        <v>26</v>
      </c>
    </row>
    <row r="9863" spans="8:8" x14ac:dyDescent="0.35">
      <c r="H9863" t="s">
        <v>26</v>
      </c>
    </row>
    <row r="9864" spans="8:8" x14ac:dyDescent="0.35">
      <c r="H9864" t="s">
        <v>26</v>
      </c>
    </row>
    <row r="9865" spans="8:8" x14ac:dyDescent="0.35">
      <c r="H9865" t="s">
        <v>26</v>
      </c>
    </row>
    <row r="9866" spans="8:8" x14ac:dyDescent="0.35">
      <c r="H9866" t="s">
        <v>26</v>
      </c>
    </row>
    <row r="9867" spans="8:8" x14ac:dyDescent="0.35">
      <c r="H9867" t="s">
        <v>26</v>
      </c>
    </row>
    <row r="9868" spans="8:8" x14ac:dyDescent="0.35">
      <c r="H9868" t="s">
        <v>26</v>
      </c>
    </row>
    <row r="9869" spans="8:8" x14ac:dyDescent="0.35">
      <c r="H9869" t="s">
        <v>26</v>
      </c>
    </row>
    <row r="9870" spans="8:8" x14ac:dyDescent="0.35">
      <c r="H9870" t="s">
        <v>26</v>
      </c>
    </row>
    <row r="9871" spans="8:8" x14ac:dyDescent="0.35">
      <c r="H9871" t="s">
        <v>26</v>
      </c>
    </row>
    <row r="9872" spans="8:8" x14ac:dyDescent="0.35">
      <c r="H9872" t="s">
        <v>26</v>
      </c>
    </row>
    <row r="9873" spans="8:8" x14ac:dyDescent="0.35">
      <c r="H9873" t="s">
        <v>26</v>
      </c>
    </row>
    <row r="9874" spans="8:8" x14ac:dyDescent="0.35">
      <c r="H9874" t="s">
        <v>26</v>
      </c>
    </row>
    <row r="9875" spans="8:8" x14ac:dyDescent="0.35">
      <c r="H9875" t="s">
        <v>26</v>
      </c>
    </row>
    <row r="9876" spans="8:8" x14ac:dyDescent="0.35">
      <c r="H9876" t="s">
        <v>26</v>
      </c>
    </row>
    <row r="9877" spans="8:8" x14ac:dyDescent="0.35">
      <c r="H9877" t="s">
        <v>26</v>
      </c>
    </row>
    <row r="9878" spans="8:8" x14ac:dyDescent="0.35">
      <c r="H9878" t="s">
        <v>26</v>
      </c>
    </row>
    <row r="9879" spans="8:8" x14ac:dyDescent="0.35">
      <c r="H9879" t="s">
        <v>26</v>
      </c>
    </row>
    <row r="9880" spans="8:8" x14ac:dyDescent="0.35">
      <c r="H9880" t="s">
        <v>26</v>
      </c>
    </row>
    <row r="9881" spans="8:8" x14ac:dyDescent="0.35">
      <c r="H9881" t="s">
        <v>26</v>
      </c>
    </row>
    <row r="9882" spans="8:8" x14ac:dyDescent="0.35">
      <c r="H9882" t="s">
        <v>26</v>
      </c>
    </row>
    <row r="9883" spans="8:8" x14ac:dyDescent="0.35">
      <c r="H9883" t="s">
        <v>26</v>
      </c>
    </row>
    <row r="9884" spans="8:8" x14ac:dyDescent="0.35">
      <c r="H9884" t="s">
        <v>26</v>
      </c>
    </row>
    <row r="9885" spans="8:8" x14ac:dyDescent="0.35">
      <c r="H9885" t="s">
        <v>26</v>
      </c>
    </row>
    <row r="9886" spans="8:8" x14ac:dyDescent="0.35">
      <c r="H9886" t="s">
        <v>26</v>
      </c>
    </row>
    <row r="9887" spans="8:8" x14ac:dyDescent="0.35">
      <c r="H9887" t="s">
        <v>26</v>
      </c>
    </row>
    <row r="9888" spans="8:8" x14ac:dyDescent="0.35">
      <c r="H9888" t="s">
        <v>26</v>
      </c>
    </row>
    <row r="9889" spans="8:8" x14ac:dyDescent="0.35">
      <c r="H9889" t="s">
        <v>26</v>
      </c>
    </row>
    <row r="9890" spans="8:8" x14ac:dyDescent="0.35">
      <c r="H9890" t="s">
        <v>26</v>
      </c>
    </row>
    <row r="9891" spans="8:8" x14ac:dyDescent="0.35">
      <c r="H9891" t="s">
        <v>26</v>
      </c>
    </row>
    <row r="9892" spans="8:8" x14ac:dyDescent="0.35">
      <c r="H9892" t="s">
        <v>26</v>
      </c>
    </row>
    <row r="9893" spans="8:8" x14ac:dyDescent="0.35">
      <c r="H9893" t="s">
        <v>26</v>
      </c>
    </row>
    <row r="9894" spans="8:8" x14ac:dyDescent="0.35">
      <c r="H9894" t="s">
        <v>26</v>
      </c>
    </row>
    <row r="9895" spans="8:8" x14ac:dyDescent="0.35">
      <c r="H9895" t="s">
        <v>26</v>
      </c>
    </row>
    <row r="9896" spans="8:8" x14ac:dyDescent="0.35">
      <c r="H9896" t="s">
        <v>26</v>
      </c>
    </row>
    <row r="9897" spans="8:8" x14ac:dyDescent="0.35">
      <c r="H9897" t="s">
        <v>26</v>
      </c>
    </row>
    <row r="9898" spans="8:8" x14ac:dyDescent="0.35">
      <c r="H9898" t="s">
        <v>26</v>
      </c>
    </row>
    <row r="9899" spans="8:8" x14ac:dyDescent="0.35">
      <c r="H9899" t="s">
        <v>26</v>
      </c>
    </row>
    <row r="9900" spans="8:8" x14ac:dyDescent="0.35">
      <c r="H9900" t="s">
        <v>26</v>
      </c>
    </row>
    <row r="9901" spans="8:8" x14ac:dyDescent="0.35">
      <c r="H9901" t="s">
        <v>26</v>
      </c>
    </row>
    <row r="9902" spans="8:8" x14ac:dyDescent="0.35">
      <c r="H9902" t="s">
        <v>26</v>
      </c>
    </row>
    <row r="9903" spans="8:8" x14ac:dyDescent="0.35">
      <c r="H9903" t="s">
        <v>26</v>
      </c>
    </row>
    <row r="9904" spans="8:8" x14ac:dyDescent="0.35">
      <c r="H9904" t="s">
        <v>26</v>
      </c>
    </row>
    <row r="9905" spans="8:8" x14ac:dyDescent="0.35">
      <c r="H9905" t="s">
        <v>26</v>
      </c>
    </row>
    <row r="9906" spans="8:8" x14ac:dyDescent="0.35">
      <c r="H9906" t="s">
        <v>26</v>
      </c>
    </row>
    <row r="9907" spans="8:8" x14ac:dyDescent="0.35">
      <c r="H9907" t="s">
        <v>26</v>
      </c>
    </row>
    <row r="9908" spans="8:8" x14ac:dyDescent="0.35">
      <c r="H9908" t="s">
        <v>26</v>
      </c>
    </row>
    <row r="9909" spans="8:8" x14ac:dyDescent="0.35">
      <c r="H9909" t="s">
        <v>26</v>
      </c>
    </row>
    <row r="9910" spans="8:8" x14ac:dyDescent="0.35">
      <c r="H9910" t="s">
        <v>26</v>
      </c>
    </row>
    <row r="9911" spans="8:8" x14ac:dyDescent="0.35">
      <c r="H9911" t="s">
        <v>26</v>
      </c>
    </row>
    <row r="9912" spans="8:8" x14ac:dyDescent="0.35">
      <c r="H9912" t="s">
        <v>26</v>
      </c>
    </row>
    <row r="9913" spans="8:8" x14ac:dyDescent="0.35">
      <c r="H9913" t="s">
        <v>26</v>
      </c>
    </row>
    <row r="9914" spans="8:8" x14ac:dyDescent="0.35">
      <c r="H9914" t="s">
        <v>26</v>
      </c>
    </row>
    <row r="9915" spans="8:8" x14ac:dyDescent="0.35">
      <c r="H9915" t="s">
        <v>26</v>
      </c>
    </row>
    <row r="9916" spans="8:8" x14ac:dyDescent="0.35">
      <c r="H9916" t="s">
        <v>26</v>
      </c>
    </row>
    <row r="9917" spans="8:8" x14ac:dyDescent="0.35">
      <c r="H9917" t="s">
        <v>26</v>
      </c>
    </row>
    <row r="9918" spans="8:8" x14ac:dyDescent="0.35">
      <c r="H9918" t="s">
        <v>26</v>
      </c>
    </row>
    <row r="9919" spans="8:8" x14ac:dyDescent="0.35">
      <c r="H9919" t="s">
        <v>26</v>
      </c>
    </row>
    <row r="9920" spans="8:8" x14ac:dyDescent="0.35">
      <c r="H9920" t="s">
        <v>26</v>
      </c>
    </row>
    <row r="9921" spans="8:8" x14ac:dyDescent="0.35">
      <c r="H9921" t="s">
        <v>26</v>
      </c>
    </row>
    <row r="9922" spans="8:8" x14ac:dyDescent="0.35">
      <c r="H9922" t="s">
        <v>26</v>
      </c>
    </row>
    <row r="9923" spans="8:8" x14ac:dyDescent="0.35">
      <c r="H9923" t="s">
        <v>26</v>
      </c>
    </row>
    <row r="9924" spans="8:8" x14ac:dyDescent="0.35">
      <c r="H9924" t="s">
        <v>26</v>
      </c>
    </row>
    <row r="9925" spans="8:8" x14ac:dyDescent="0.35">
      <c r="H9925" t="s">
        <v>26</v>
      </c>
    </row>
    <row r="9926" spans="8:8" x14ac:dyDescent="0.35">
      <c r="H9926" t="s">
        <v>26</v>
      </c>
    </row>
    <row r="9927" spans="8:8" x14ac:dyDescent="0.35">
      <c r="H9927" t="s">
        <v>26</v>
      </c>
    </row>
    <row r="9928" spans="8:8" x14ac:dyDescent="0.35">
      <c r="H9928" t="s">
        <v>26</v>
      </c>
    </row>
    <row r="9929" spans="8:8" x14ac:dyDescent="0.35">
      <c r="H9929" t="s">
        <v>26</v>
      </c>
    </row>
    <row r="9930" spans="8:8" x14ac:dyDescent="0.35">
      <c r="H9930" t="s">
        <v>26</v>
      </c>
    </row>
    <row r="9931" spans="8:8" x14ac:dyDescent="0.35">
      <c r="H9931" t="s">
        <v>26</v>
      </c>
    </row>
    <row r="9932" spans="8:8" x14ac:dyDescent="0.35">
      <c r="H9932" t="s">
        <v>26</v>
      </c>
    </row>
    <row r="9933" spans="8:8" x14ac:dyDescent="0.35">
      <c r="H9933" t="s">
        <v>26</v>
      </c>
    </row>
    <row r="9934" spans="8:8" x14ac:dyDescent="0.35">
      <c r="H9934" t="s">
        <v>26</v>
      </c>
    </row>
    <row r="9935" spans="8:8" x14ac:dyDescent="0.35">
      <c r="H9935" t="s">
        <v>26</v>
      </c>
    </row>
    <row r="9936" spans="8:8" x14ac:dyDescent="0.35">
      <c r="H9936" t="s">
        <v>26</v>
      </c>
    </row>
    <row r="9937" spans="8:8" x14ac:dyDescent="0.35">
      <c r="H9937" t="s">
        <v>26</v>
      </c>
    </row>
    <row r="9938" spans="8:8" x14ac:dyDescent="0.35">
      <c r="H9938" t="s">
        <v>26</v>
      </c>
    </row>
    <row r="9939" spans="8:8" x14ac:dyDescent="0.35">
      <c r="H9939" t="s">
        <v>26</v>
      </c>
    </row>
    <row r="9940" spans="8:8" x14ac:dyDescent="0.35">
      <c r="H9940" t="s">
        <v>26</v>
      </c>
    </row>
    <row r="9941" spans="8:8" x14ac:dyDescent="0.35">
      <c r="H9941" t="s">
        <v>26</v>
      </c>
    </row>
    <row r="9942" spans="8:8" x14ac:dyDescent="0.35">
      <c r="H9942" t="s">
        <v>26</v>
      </c>
    </row>
    <row r="9943" spans="8:8" x14ac:dyDescent="0.35">
      <c r="H9943" t="s">
        <v>26</v>
      </c>
    </row>
    <row r="9944" spans="8:8" x14ac:dyDescent="0.35">
      <c r="H9944" t="s">
        <v>26</v>
      </c>
    </row>
    <row r="9945" spans="8:8" x14ac:dyDescent="0.35">
      <c r="H9945" t="s">
        <v>26</v>
      </c>
    </row>
    <row r="9946" spans="8:8" x14ac:dyDescent="0.35">
      <c r="H9946" t="s">
        <v>26</v>
      </c>
    </row>
    <row r="9947" spans="8:8" x14ac:dyDescent="0.35">
      <c r="H9947" t="s">
        <v>26</v>
      </c>
    </row>
    <row r="9948" spans="8:8" x14ac:dyDescent="0.35">
      <c r="H9948" t="s">
        <v>26</v>
      </c>
    </row>
    <row r="9949" spans="8:8" x14ac:dyDescent="0.35">
      <c r="H9949" t="s">
        <v>26</v>
      </c>
    </row>
    <row r="9950" spans="8:8" x14ac:dyDescent="0.35">
      <c r="H9950" t="s">
        <v>26</v>
      </c>
    </row>
    <row r="9951" spans="8:8" x14ac:dyDescent="0.35">
      <c r="H9951" t="s">
        <v>26</v>
      </c>
    </row>
    <row r="9952" spans="8:8" x14ac:dyDescent="0.35">
      <c r="H9952" t="s">
        <v>26</v>
      </c>
    </row>
    <row r="9953" spans="8:8" x14ac:dyDescent="0.35">
      <c r="H9953" t="s">
        <v>26</v>
      </c>
    </row>
    <row r="9954" spans="8:8" x14ac:dyDescent="0.35">
      <c r="H9954" t="s">
        <v>26</v>
      </c>
    </row>
    <row r="9955" spans="8:8" x14ac:dyDescent="0.35">
      <c r="H9955" t="s">
        <v>26</v>
      </c>
    </row>
    <row r="9956" spans="8:8" x14ac:dyDescent="0.35">
      <c r="H9956" t="s">
        <v>26</v>
      </c>
    </row>
    <row r="9957" spans="8:8" x14ac:dyDescent="0.35">
      <c r="H9957" t="s">
        <v>26</v>
      </c>
    </row>
    <row r="9958" spans="8:8" x14ac:dyDescent="0.35">
      <c r="H9958" t="s">
        <v>26</v>
      </c>
    </row>
    <row r="9959" spans="8:8" x14ac:dyDescent="0.35">
      <c r="H9959" t="s">
        <v>26</v>
      </c>
    </row>
    <row r="9960" spans="8:8" x14ac:dyDescent="0.35">
      <c r="H9960" t="s">
        <v>26</v>
      </c>
    </row>
    <row r="9961" spans="8:8" x14ac:dyDescent="0.35">
      <c r="H9961" t="s">
        <v>26</v>
      </c>
    </row>
    <row r="9962" spans="8:8" x14ac:dyDescent="0.35">
      <c r="H9962" t="s">
        <v>26</v>
      </c>
    </row>
    <row r="9963" spans="8:8" x14ac:dyDescent="0.35">
      <c r="H9963" t="s">
        <v>26</v>
      </c>
    </row>
    <row r="9964" spans="8:8" x14ac:dyDescent="0.35">
      <c r="H9964" t="s">
        <v>26</v>
      </c>
    </row>
    <row r="9965" spans="8:8" x14ac:dyDescent="0.35">
      <c r="H9965" t="s">
        <v>26</v>
      </c>
    </row>
    <row r="9966" spans="8:8" x14ac:dyDescent="0.35">
      <c r="H9966" t="s">
        <v>26</v>
      </c>
    </row>
    <row r="9967" spans="8:8" x14ac:dyDescent="0.35">
      <c r="H9967" t="s">
        <v>26</v>
      </c>
    </row>
    <row r="9968" spans="8:8" x14ac:dyDescent="0.35">
      <c r="H9968" t="s">
        <v>26</v>
      </c>
    </row>
    <row r="9969" spans="8:8" x14ac:dyDescent="0.35">
      <c r="H9969" t="s">
        <v>26</v>
      </c>
    </row>
    <row r="9970" spans="8:8" x14ac:dyDescent="0.35">
      <c r="H9970" t="s">
        <v>26</v>
      </c>
    </row>
    <row r="9971" spans="8:8" x14ac:dyDescent="0.35">
      <c r="H9971" t="s">
        <v>26</v>
      </c>
    </row>
    <row r="9972" spans="8:8" x14ac:dyDescent="0.35">
      <c r="H9972" t="s">
        <v>26</v>
      </c>
    </row>
    <row r="9973" spans="8:8" x14ac:dyDescent="0.35">
      <c r="H9973" t="s">
        <v>26</v>
      </c>
    </row>
    <row r="9974" spans="8:8" x14ac:dyDescent="0.35">
      <c r="H9974" t="s">
        <v>26</v>
      </c>
    </row>
    <row r="9975" spans="8:8" x14ac:dyDescent="0.35">
      <c r="H9975" t="s">
        <v>26</v>
      </c>
    </row>
    <row r="9976" spans="8:8" x14ac:dyDescent="0.35">
      <c r="H9976" t="s">
        <v>26</v>
      </c>
    </row>
    <row r="9977" spans="8:8" x14ac:dyDescent="0.35">
      <c r="H9977" t="s">
        <v>26</v>
      </c>
    </row>
    <row r="9978" spans="8:8" x14ac:dyDescent="0.35">
      <c r="H9978" t="s">
        <v>26</v>
      </c>
    </row>
    <row r="9979" spans="8:8" x14ac:dyDescent="0.35">
      <c r="H9979" t="s">
        <v>26</v>
      </c>
    </row>
    <row r="9980" spans="8:8" x14ac:dyDescent="0.35">
      <c r="H9980" t="s">
        <v>26</v>
      </c>
    </row>
    <row r="9981" spans="8:8" x14ac:dyDescent="0.35">
      <c r="H9981" t="s">
        <v>26</v>
      </c>
    </row>
    <row r="9982" spans="8:8" x14ac:dyDescent="0.35">
      <c r="H9982" t="s">
        <v>26</v>
      </c>
    </row>
    <row r="9983" spans="8:8" x14ac:dyDescent="0.35">
      <c r="H9983" t="s">
        <v>26</v>
      </c>
    </row>
    <row r="9984" spans="8:8" x14ac:dyDescent="0.35">
      <c r="H9984" t="s">
        <v>26</v>
      </c>
    </row>
    <row r="9985" spans="8:8" x14ac:dyDescent="0.35">
      <c r="H9985" t="s">
        <v>26</v>
      </c>
    </row>
    <row r="9986" spans="8:8" x14ac:dyDescent="0.35">
      <c r="H9986" t="s">
        <v>26</v>
      </c>
    </row>
    <row r="9987" spans="8:8" x14ac:dyDescent="0.35">
      <c r="H9987" t="s">
        <v>26</v>
      </c>
    </row>
    <row r="9988" spans="8:8" x14ac:dyDescent="0.35">
      <c r="H9988" t="s">
        <v>26</v>
      </c>
    </row>
    <row r="9989" spans="8:8" x14ac:dyDescent="0.35">
      <c r="H9989" t="s">
        <v>26</v>
      </c>
    </row>
    <row r="9990" spans="8:8" x14ac:dyDescent="0.35">
      <c r="H9990" t="s">
        <v>26</v>
      </c>
    </row>
    <row r="9991" spans="8:8" x14ac:dyDescent="0.35">
      <c r="H9991" t="s">
        <v>26</v>
      </c>
    </row>
    <row r="9992" spans="8:8" x14ac:dyDescent="0.35">
      <c r="H9992" t="s">
        <v>26</v>
      </c>
    </row>
    <row r="9993" spans="8:8" x14ac:dyDescent="0.35">
      <c r="H9993" t="s">
        <v>26</v>
      </c>
    </row>
    <row r="9994" spans="8:8" x14ac:dyDescent="0.35">
      <c r="H9994" t="s">
        <v>26</v>
      </c>
    </row>
    <row r="9995" spans="8:8" x14ac:dyDescent="0.35">
      <c r="H9995" t="s">
        <v>26</v>
      </c>
    </row>
    <row r="9996" spans="8:8" x14ac:dyDescent="0.35">
      <c r="H9996" t="s">
        <v>26</v>
      </c>
    </row>
    <row r="9997" spans="8:8" x14ac:dyDescent="0.35">
      <c r="H9997" t="s">
        <v>26</v>
      </c>
    </row>
    <row r="9998" spans="8:8" x14ac:dyDescent="0.35">
      <c r="H9998" t="s">
        <v>26</v>
      </c>
    </row>
    <row r="9999" spans="8:8" x14ac:dyDescent="0.35">
      <c r="H9999" t="s">
        <v>26</v>
      </c>
    </row>
    <row r="10000" spans="8:8" x14ac:dyDescent="0.35">
      <c r="H10000" t="s">
        <v>26</v>
      </c>
    </row>
    <row r="10001" spans="8:8" x14ac:dyDescent="0.35">
      <c r="H10001" t="s">
        <v>26</v>
      </c>
    </row>
    <row r="10002" spans="8:8" x14ac:dyDescent="0.35">
      <c r="H10002" t="s">
        <v>26</v>
      </c>
    </row>
    <row r="10003" spans="8:8" x14ac:dyDescent="0.35">
      <c r="H10003" t="s">
        <v>26</v>
      </c>
    </row>
    <row r="10004" spans="8:8" x14ac:dyDescent="0.35">
      <c r="H10004" t="s">
        <v>26</v>
      </c>
    </row>
    <row r="10005" spans="8:8" x14ac:dyDescent="0.35">
      <c r="H10005" t="s">
        <v>26</v>
      </c>
    </row>
    <row r="10006" spans="8:8" x14ac:dyDescent="0.35">
      <c r="H10006" t="s">
        <v>26</v>
      </c>
    </row>
    <row r="10007" spans="8:8" x14ac:dyDescent="0.35">
      <c r="H10007" t="s">
        <v>26</v>
      </c>
    </row>
    <row r="10008" spans="8:8" x14ac:dyDescent="0.35">
      <c r="H10008" t="s">
        <v>26</v>
      </c>
    </row>
    <row r="10009" spans="8:8" x14ac:dyDescent="0.35">
      <c r="H10009" t="s">
        <v>26</v>
      </c>
    </row>
    <row r="10010" spans="8:8" x14ac:dyDescent="0.35">
      <c r="H10010" t="s">
        <v>26</v>
      </c>
    </row>
    <row r="10011" spans="8:8" x14ac:dyDescent="0.35">
      <c r="H10011" t="s">
        <v>26</v>
      </c>
    </row>
    <row r="10012" spans="8:8" x14ac:dyDescent="0.35">
      <c r="H10012" t="s">
        <v>26</v>
      </c>
    </row>
    <row r="10013" spans="8:8" x14ac:dyDescent="0.35">
      <c r="H10013" t="s">
        <v>26</v>
      </c>
    </row>
    <row r="10014" spans="8:8" x14ac:dyDescent="0.35">
      <c r="H10014" t="s">
        <v>26</v>
      </c>
    </row>
    <row r="10015" spans="8:8" x14ac:dyDescent="0.35">
      <c r="H10015" t="s">
        <v>26</v>
      </c>
    </row>
    <row r="10016" spans="8:8" x14ac:dyDescent="0.35">
      <c r="H10016" t="s">
        <v>26</v>
      </c>
    </row>
    <row r="10017" spans="8:8" x14ac:dyDescent="0.35">
      <c r="H10017" t="s">
        <v>26</v>
      </c>
    </row>
    <row r="10018" spans="8:8" x14ac:dyDescent="0.35">
      <c r="H10018" t="s">
        <v>26</v>
      </c>
    </row>
    <row r="10019" spans="8:8" x14ac:dyDescent="0.35">
      <c r="H10019" t="s">
        <v>26</v>
      </c>
    </row>
    <row r="10020" spans="8:8" x14ac:dyDescent="0.35">
      <c r="H10020" t="s">
        <v>26</v>
      </c>
    </row>
    <row r="10021" spans="8:8" x14ac:dyDescent="0.35">
      <c r="H10021" t="s">
        <v>26</v>
      </c>
    </row>
    <row r="10022" spans="8:8" x14ac:dyDescent="0.35">
      <c r="H10022" t="s">
        <v>26</v>
      </c>
    </row>
    <row r="10023" spans="8:8" x14ac:dyDescent="0.35">
      <c r="H10023" t="s">
        <v>26</v>
      </c>
    </row>
    <row r="10024" spans="8:8" x14ac:dyDescent="0.35">
      <c r="H10024" t="s">
        <v>26</v>
      </c>
    </row>
    <row r="10025" spans="8:8" x14ac:dyDescent="0.35">
      <c r="H10025" t="s">
        <v>26</v>
      </c>
    </row>
    <row r="10026" spans="8:8" x14ac:dyDescent="0.35">
      <c r="H10026" t="s">
        <v>26</v>
      </c>
    </row>
    <row r="10027" spans="8:8" x14ac:dyDescent="0.35">
      <c r="H10027" t="s">
        <v>26</v>
      </c>
    </row>
    <row r="10028" spans="8:8" x14ac:dyDescent="0.35">
      <c r="H10028" t="s">
        <v>26</v>
      </c>
    </row>
    <row r="10029" spans="8:8" x14ac:dyDescent="0.35">
      <c r="H10029" t="s">
        <v>26</v>
      </c>
    </row>
    <row r="10030" spans="8:8" x14ac:dyDescent="0.35">
      <c r="H10030" t="s">
        <v>26</v>
      </c>
    </row>
    <row r="10031" spans="8:8" x14ac:dyDescent="0.35">
      <c r="H10031" t="s">
        <v>26</v>
      </c>
    </row>
    <row r="10032" spans="8:8" x14ac:dyDescent="0.35">
      <c r="H10032" t="s">
        <v>26</v>
      </c>
    </row>
    <row r="10033" spans="8:8" x14ac:dyDescent="0.35">
      <c r="H10033" t="s">
        <v>26</v>
      </c>
    </row>
    <row r="10034" spans="8:8" x14ac:dyDescent="0.35">
      <c r="H10034" t="s">
        <v>26</v>
      </c>
    </row>
    <row r="10035" spans="8:8" x14ac:dyDescent="0.35">
      <c r="H10035" t="s">
        <v>26</v>
      </c>
    </row>
    <row r="10036" spans="8:8" x14ac:dyDescent="0.35">
      <c r="H10036" t="s">
        <v>26</v>
      </c>
    </row>
    <row r="10037" spans="8:8" x14ac:dyDescent="0.35">
      <c r="H10037" t="s">
        <v>26</v>
      </c>
    </row>
    <row r="10038" spans="8:8" x14ac:dyDescent="0.35">
      <c r="H10038" t="s">
        <v>26</v>
      </c>
    </row>
    <row r="10039" spans="8:8" x14ac:dyDescent="0.35">
      <c r="H10039" t="s">
        <v>26</v>
      </c>
    </row>
    <row r="10040" spans="8:8" x14ac:dyDescent="0.35">
      <c r="H10040" t="s">
        <v>26</v>
      </c>
    </row>
    <row r="10041" spans="8:8" x14ac:dyDescent="0.35">
      <c r="H10041" t="s">
        <v>26</v>
      </c>
    </row>
    <row r="10042" spans="8:8" x14ac:dyDescent="0.35">
      <c r="H10042" t="s">
        <v>26</v>
      </c>
    </row>
    <row r="10043" spans="8:8" x14ac:dyDescent="0.35">
      <c r="H10043" t="s">
        <v>26</v>
      </c>
    </row>
    <row r="10044" spans="8:8" x14ac:dyDescent="0.35">
      <c r="H10044" t="s">
        <v>26</v>
      </c>
    </row>
    <row r="10045" spans="8:8" x14ac:dyDescent="0.35">
      <c r="H10045" t="s">
        <v>26</v>
      </c>
    </row>
    <row r="10046" spans="8:8" x14ac:dyDescent="0.35">
      <c r="H10046" t="s">
        <v>26</v>
      </c>
    </row>
    <row r="10047" spans="8:8" x14ac:dyDescent="0.35">
      <c r="H10047" t="s">
        <v>26</v>
      </c>
    </row>
    <row r="10048" spans="8:8" x14ac:dyDescent="0.35">
      <c r="H10048" t="s">
        <v>26</v>
      </c>
    </row>
    <row r="10049" spans="8:8" x14ac:dyDescent="0.35">
      <c r="H10049" t="s">
        <v>26</v>
      </c>
    </row>
    <row r="10050" spans="8:8" x14ac:dyDescent="0.35">
      <c r="H10050" t="s">
        <v>26</v>
      </c>
    </row>
    <row r="10051" spans="8:8" x14ac:dyDescent="0.35">
      <c r="H10051" t="s">
        <v>26</v>
      </c>
    </row>
    <row r="10052" spans="8:8" x14ac:dyDescent="0.35">
      <c r="H10052" t="s">
        <v>26</v>
      </c>
    </row>
    <row r="10053" spans="8:8" x14ac:dyDescent="0.35">
      <c r="H10053" t="s">
        <v>26</v>
      </c>
    </row>
    <row r="10054" spans="8:8" x14ac:dyDescent="0.35">
      <c r="H10054" t="s">
        <v>26</v>
      </c>
    </row>
    <row r="10055" spans="8:8" x14ac:dyDescent="0.35">
      <c r="H10055" t="s">
        <v>26</v>
      </c>
    </row>
    <row r="10056" spans="8:8" x14ac:dyDescent="0.35">
      <c r="H10056" t="s">
        <v>26</v>
      </c>
    </row>
    <row r="10057" spans="8:8" x14ac:dyDescent="0.35">
      <c r="H10057" t="s">
        <v>26</v>
      </c>
    </row>
    <row r="10058" spans="8:8" x14ac:dyDescent="0.35">
      <c r="H10058" t="s">
        <v>26</v>
      </c>
    </row>
    <row r="10059" spans="8:8" x14ac:dyDescent="0.35">
      <c r="H10059" t="s">
        <v>26</v>
      </c>
    </row>
    <row r="10060" spans="8:8" x14ac:dyDescent="0.35">
      <c r="H10060" t="s">
        <v>26</v>
      </c>
    </row>
    <row r="10061" spans="8:8" x14ac:dyDescent="0.35">
      <c r="H10061" t="s">
        <v>26</v>
      </c>
    </row>
    <row r="10062" spans="8:8" x14ac:dyDescent="0.35">
      <c r="H10062" t="s">
        <v>26</v>
      </c>
    </row>
    <row r="10063" spans="8:8" x14ac:dyDescent="0.35">
      <c r="H10063" t="s">
        <v>26</v>
      </c>
    </row>
    <row r="10064" spans="8:8" x14ac:dyDescent="0.35">
      <c r="H10064" t="s">
        <v>26</v>
      </c>
    </row>
    <row r="10065" spans="8:8" x14ac:dyDescent="0.35">
      <c r="H10065" t="s">
        <v>26</v>
      </c>
    </row>
    <row r="10066" spans="8:8" x14ac:dyDescent="0.35">
      <c r="H10066" t="s">
        <v>26</v>
      </c>
    </row>
    <row r="10067" spans="8:8" x14ac:dyDescent="0.35">
      <c r="H10067" t="s">
        <v>26</v>
      </c>
    </row>
    <row r="10068" spans="8:8" x14ac:dyDescent="0.35">
      <c r="H10068" t="s">
        <v>26</v>
      </c>
    </row>
    <row r="10069" spans="8:8" x14ac:dyDescent="0.35">
      <c r="H10069" t="s">
        <v>26</v>
      </c>
    </row>
    <row r="10070" spans="8:8" x14ac:dyDescent="0.35">
      <c r="H10070" t="s">
        <v>26</v>
      </c>
    </row>
    <row r="10071" spans="8:8" x14ac:dyDescent="0.35">
      <c r="H10071" t="s">
        <v>26</v>
      </c>
    </row>
    <row r="10072" spans="8:8" x14ac:dyDescent="0.35">
      <c r="H10072" t="s">
        <v>26</v>
      </c>
    </row>
    <row r="10073" spans="8:8" x14ac:dyDescent="0.35">
      <c r="H10073" t="s">
        <v>26</v>
      </c>
    </row>
    <row r="10074" spans="8:8" x14ac:dyDescent="0.35">
      <c r="H10074" t="s">
        <v>26</v>
      </c>
    </row>
    <row r="10075" spans="8:8" x14ac:dyDescent="0.35">
      <c r="H10075" t="s">
        <v>26</v>
      </c>
    </row>
    <row r="10076" spans="8:8" x14ac:dyDescent="0.35">
      <c r="H10076" t="s">
        <v>26</v>
      </c>
    </row>
    <row r="10077" spans="8:8" x14ac:dyDescent="0.35">
      <c r="H10077" t="s">
        <v>26</v>
      </c>
    </row>
    <row r="10078" spans="8:8" x14ac:dyDescent="0.35">
      <c r="H10078" t="s">
        <v>26</v>
      </c>
    </row>
    <row r="10079" spans="8:8" x14ac:dyDescent="0.35">
      <c r="H10079" t="s">
        <v>26</v>
      </c>
    </row>
    <row r="10080" spans="8:8" x14ac:dyDescent="0.35">
      <c r="H10080" t="s">
        <v>26</v>
      </c>
    </row>
    <row r="10081" spans="8:8" x14ac:dyDescent="0.35">
      <c r="H10081" t="s">
        <v>26</v>
      </c>
    </row>
    <row r="10082" spans="8:8" x14ac:dyDescent="0.35">
      <c r="H10082" t="s">
        <v>26</v>
      </c>
    </row>
    <row r="10083" spans="8:8" x14ac:dyDescent="0.35">
      <c r="H10083" t="s">
        <v>26</v>
      </c>
    </row>
    <row r="10084" spans="8:8" x14ac:dyDescent="0.35">
      <c r="H10084" t="s">
        <v>26</v>
      </c>
    </row>
    <row r="10085" spans="8:8" x14ac:dyDescent="0.35">
      <c r="H10085" t="s">
        <v>26</v>
      </c>
    </row>
    <row r="10086" spans="8:8" x14ac:dyDescent="0.35">
      <c r="H10086" t="s">
        <v>26</v>
      </c>
    </row>
    <row r="10087" spans="8:8" x14ac:dyDescent="0.35">
      <c r="H10087" t="s">
        <v>26</v>
      </c>
    </row>
    <row r="10088" spans="8:8" x14ac:dyDescent="0.35">
      <c r="H10088" t="s">
        <v>26</v>
      </c>
    </row>
    <row r="10089" spans="8:8" x14ac:dyDescent="0.35">
      <c r="H10089" t="s">
        <v>26</v>
      </c>
    </row>
    <row r="10090" spans="8:8" x14ac:dyDescent="0.35">
      <c r="H10090" t="s">
        <v>26</v>
      </c>
    </row>
    <row r="10091" spans="8:8" x14ac:dyDescent="0.35">
      <c r="H10091" t="s">
        <v>26</v>
      </c>
    </row>
    <row r="10092" spans="8:8" x14ac:dyDescent="0.35">
      <c r="H10092" t="s">
        <v>26</v>
      </c>
    </row>
    <row r="10093" spans="8:8" x14ac:dyDescent="0.35">
      <c r="H10093" t="s">
        <v>26</v>
      </c>
    </row>
    <row r="10094" spans="8:8" x14ac:dyDescent="0.35">
      <c r="H10094" t="s">
        <v>26</v>
      </c>
    </row>
    <row r="10095" spans="8:8" x14ac:dyDescent="0.35">
      <c r="H10095" t="s">
        <v>26</v>
      </c>
    </row>
    <row r="10096" spans="8:8" x14ac:dyDescent="0.35">
      <c r="H10096" t="s">
        <v>26</v>
      </c>
    </row>
    <row r="10097" spans="8:8" x14ac:dyDescent="0.35">
      <c r="H10097" t="s">
        <v>26</v>
      </c>
    </row>
    <row r="10098" spans="8:8" x14ac:dyDescent="0.35">
      <c r="H10098" t="s">
        <v>26</v>
      </c>
    </row>
    <row r="10099" spans="8:8" x14ac:dyDescent="0.35">
      <c r="H10099" t="s">
        <v>26</v>
      </c>
    </row>
    <row r="10100" spans="8:8" x14ac:dyDescent="0.35">
      <c r="H10100" t="s">
        <v>26</v>
      </c>
    </row>
    <row r="10101" spans="8:8" x14ac:dyDescent="0.35">
      <c r="H10101" t="s">
        <v>26</v>
      </c>
    </row>
    <row r="10102" spans="8:8" x14ac:dyDescent="0.35">
      <c r="H10102" t="s">
        <v>26</v>
      </c>
    </row>
    <row r="10103" spans="8:8" x14ac:dyDescent="0.35">
      <c r="H10103" t="s">
        <v>26</v>
      </c>
    </row>
    <row r="10104" spans="8:8" x14ac:dyDescent="0.35">
      <c r="H10104" t="s">
        <v>26</v>
      </c>
    </row>
    <row r="10105" spans="8:8" x14ac:dyDescent="0.35">
      <c r="H10105" t="s">
        <v>26</v>
      </c>
    </row>
    <row r="10106" spans="8:8" x14ac:dyDescent="0.35">
      <c r="H10106" t="s">
        <v>26</v>
      </c>
    </row>
    <row r="10107" spans="8:8" x14ac:dyDescent="0.35">
      <c r="H10107" t="s">
        <v>26</v>
      </c>
    </row>
    <row r="10108" spans="8:8" x14ac:dyDescent="0.35">
      <c r="H10108" t="s">
        <v>26</v>
      </c>
    </row>
    <row r="10109" spans="8:8" x14ac:dyDescent="0.35">
      <c r="H10109" t="s">
        <v>26</v>
      </c>
    </row>
    <row r="10110" spans="8:8" x14ac:dyDescent="0.35">
      <c r="H10110" t="s">
        <v>26</v>
      </c>
    </row>
    <row r="10111" spans="8:8" x14ac:dyDescent="0.35">
      <c r="H10111" t="s">
        <v>26</v>
      </c>
    </row>
    <row r="10112" spans="8:8" x14ac:dyDescent="0.35">
      <c r="H10112" t="s">
        <v>26</v>
      </c>
    </row>
    <row r="10113" spans="8:8" x14ac:dyDescent="0.35">
      <c r="H10113" t="s">
        <v>26</v>
      </c>
    </row>
    <row r="10114" spans="8:8" x14ac:dyDescent="0.35">
      <c r="H10114" t="s">
        <v>26</v>
      </c>
    </row>
    <row r="10115" spans="8:8" x14ac:dyDescent="0.35">
      <c r="H10115" t="s">
        <v>26</v>
      </c>
    </row>
    <row r="10116" spans="8:8" x14ac:dyDescent="0.35">
      <c r="H10116" t="s">
        <v>26</v>
      </c>
    </row>
    <row r="10117" spans="8:8" x14ac:dyDescent="0.35">
      <c r="H10117" t="s">
        <v>26</v>
      </c>
    </row>
    <row r="10118" spans="8:8" x14ac:dyDescent="0.35">
      <c r="H10118" t="s">
        <v>26</v>
      </c>
    </row>
    <row r="10119" spans="8:8" x14ac:dyDescent="0.35">
      <c r="H10119" t="s">
        <v>26</v>
      </c>
    </row>
    <row r="10120" spans="8:8" x14ac:dyDescent="0.35">
      <c r="H10120" t="s">
        <v>26</v>
      </c>
    </row>
    <row r="10121" spans="8:8" x14ac:dyDescent="0.35">
      <c r="H10121" t="s">
        <v>26</v>
      </c>
    </row>
    <row r="10122" spans="8:8" x14ac:dyDescent="0.35">
      <c r="H10122" t="s">
        <v>26</v>
      </c>
    </row>
    <row r="10123" spans="8:8" x14ac:dyDescent="0.35">
      <c r="H10123" t="s">
        <v>26</v>
      </c>
    </row>
    <row r="10124" spans="8:8" x14ac:dyDescent="0.35">
      <c r="H10124" t="s">
        <v>26</v>
      </c>
    </row>
    <row r="10125" spans="8:8" x14ac:dyDescent="0.35">
      <c r="H10125" t="s">
        <v>26</v>
      </c>
    </row>
    <row r="10126" spans="8:8" x14ac:dyDescent="0.35">
      <c r="H10126" t="s">
        <v>26</v>
      </c>
    </row>
    <row r="10127" spans="8:8" x14ac:dyDescent="0.35">
      <c r="H10127" t="s">
        <v>26</v>
      </c>
    </row>
    <row r="10128" spans="8:8" x14ac:dyDescent="0.35">
      <c r="H10128" t="s">
        <v>26</v>
      </c>
    </row>
    <row r="10129" spans="8:8" x14ac:dyDescent="0.35">
      <c r="H10129" t="s">
        <v>26</v>
      </c>
    </row>
    <row r="10130" spans="8:8" x14ac:dyDescent="0.35">
      <c r="H10130" t="s">
        <v>26</v>
      </c>
    </row>
    <row r="10131" spans="8:8" x14ac:dyDescent="0.35">
      <c r="H10131" t="s">
        <v>26</v>
      </c>
    </row>
    <row r="10132" spans="8:8" x14ac:dyDescent="0.35">
      <c r="H10132" t="s">
        <v>26</v>
      </c>
    </row>
    <row r="10133" spans="8:8" x14ac:dyDescent="0.35">
      <c r="H10133" t="s">
        <v>26</v>
      </c>
    </row>
    <row r="10134" spans="8:8" x14ac:dyDescent="0.35">
      <c r="H10134" t="s">
        <v>26</v>
      </c>
    </row>
    <row r="10135" spans="8:8" x14ac:dyDescent="0.35">
      <c r="H10135" t="s">
        <v>26</v>
      </c>
    </row>
    <row r="10136" spans="8:8" x14ac:dyDescent="0.35">
      <c r="H10136" t="s">
        <v>26</v>
      </c>
    </row>
    <row r="10137" spans="8:8" x14ac:dyDescent="0.35">
      <c r="H10137" t="s">
        <v>26</v>
      </c>
    </row>
    <row r="10138" spans="8:8" x14ac:dyDescent="0.35">
      <c r="H10138" t="s">
        <v>26</v>
      </c>
    </row>
    <row r="10139" spans="8:8" x14ac:dyDescent="0.35">
      <c r="H10139" t="s">
        <v>26</v>
      </c>
    </row>
    <row r="10140" spans="8:8" x14ac:dyDescent="0.35">
      <c r="H10140" t="s">
        <v>26</v>
      </c>
    </row>
    <row r="10141" spans="8:8" x14ac:dyDescent="0.35">
      <c r="H10141" t="s">
        <v>26</v>
      </c>
    </row>
    <row r="10142" spans="8:8" x14ac:dyDescent="0.35">
      <c r="H10142" t="s">
        <v>26</v>
      </c>
    </row>
    <row r="10143" spans="8:8" x14ac:dyDescent="0.35">
      <c r="H10143" t="s">
        <v>26</v>
      </c>
    </row>
    <row r="10144" spans="8:8" x14ac:dyDescent="0.35">
      <c r="H10144" t="s">
        <v>26</v>
      </c>
    </row>
    <row r="10145" spans="8:9" x14ac:dyDescent="0.35">
      <c r="H10145" t="s">
        <v>26</v>
      </c>
    </row>
    <row r="10146" spans="8:9" x14ac:dyDescent="0.35">
      <c r="H10146" t="s">
        <v>26</v>
      </c>
    </row>
    <row r="10147" spans="8:9" x14ac:dyDescent="0.35">
      <c r="H10147" t="s">
        <v>26</v>
      </c>
    </row>
    <row r="10148" spans="8:9" x14ac:dyDescent="0.35">
      <c r="H10148" t="s">
        <v>26</v>
      </c>
    </row>
    <row r="10149" spans="8:9" x14ac:dyDescent="0.35">
      <c r="H10149" t="s">
        <v>26</v>
      </c>
    </row>
    <row r="10150" spans="8:9" x14ac:dyDescent="0.35">
      <c r="H10150" t="s">
        <v>26</v>
      </c>
    </row>
    <row r="10151" spans="8:9" x14ac:dyDescent="0.35">
      <c r="H10151" t="s">
        <v>26</v>
      </c>
    </row>
    <row r="10152" spans="8:9" x14ac:dyDescent="0.35">
      <c r="H10152" t="s">
        <v>26</v>
      </c>
    </row>
    <row r="10153" spans="8:9" x14ac:dyDescent="0.35">
      <c r="H10153" t="s">
        <v>26</v>
      </c>
    </row>
    <row r="10154" spans="8:9" x14ac:dyDescent="0.35">
      <c r="H10154" t="s">
        <v>26</v>
      </c>
    </row>
    <row r="10155" spans="8:9" x14ac:dyDescent="0.35">
      <c r="H10155" t="s">
        <v>26</v>
      </c>
    </row>
    <row r="10156" spans="8:9" x14ac:dyDescent="0.35">
      <c r="H10156" t="s">
        <v>26</v>
      </c>
    </row>
    <row r="10157" spans="8:9" x14ac:dyDescent="0.35">
      <c r="H10157" t="s">
        <v>26</v>
      </c>
    </row>
    <row r="10158" spans="8:9" x14ac:dyDescent="0.35">
      <c r="H10158" t="s">
        <v>78</v>
      </c>
      <c r="I10158" s="57">
        <v>0</v>
      </c>
    </row>
    <row r="10159" spans="8:9" x14ac:dyDescent="0.35">
      <c r="H10159" t="s">
        <v>78</v>
      </c>
      <c r="I10159" s="57">
        <v>0</v>
      </c>
    </row>
    <row r="10160" spans="8:9" x14ac:dyDescent="0.35">
      <c r="H10160" t="s">
        <v>78</v>
      </c>
      <c r="I10160" s="57">
        <v>0</v>
      </c>
    </row>
    <row r="10161" spans="8:9" x14ac:dyDescent="0.35">
      <c r="H10161" t="s">
        <v>78</v>
      </c>
      <c r="I10161" s="57">
        <v>0</v>
      </c>
    </row>
    <row r="10162" spans="8:9" x14ac:dyDescent="0.35">
      <c r="H10162" t="s">
        <v>78</v>
      </c>
      <c r="I10162" s="57">
        <v>0</v>
      </c>
    </row>
    <row r="10163" spans="8:9" x14ac:dyDescent="0.35">
      <c r="H10163" t="s">
        <v>78</v>
      </c>
      <c r="I10163" s="57">
        <v>0</v>
      </c>
    </row>
    <row r="10164" spans="8:9" x14ac:dyDescent="0.35">
      <c r="H10164" t="s">
        <v>78</v>
      </c>
      <c r="I10164" s="57">
        <v>0</v>
      </c>
    </row>
  </sheetData>
  <conditionalFormatting sqref="R4:U984">
    <cfRule type="containsText" dxfId="7" priority="1" operator="containsText" text="1">
      <formula>NOT(ISERROR(SEARCH("1",R4)))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DB871-8A60-4E16-8D5C-EEF1E4CEBD14}">
  <sheetPr codeName="Sheet3"/>
  <dimension ref="A1:Z2768"/>
  <sheetViews>
    <sheetView topLeftCell="F1" zoomScale="70" zoomScaleNormal="70" workbookViewId="0">
      <pane ySplit="3" topLeftCell="A4" activePane="bottomLeft" state="frozen"/>
      <selection pane="bottomLeft" activeCell="F18" sqref="F18"/>
    </sheetView>
  </sheetViews>
  <sheetFormatPr defaultRowHeight="14.5" x14ac:dyDescent="0.35"/>
  <cols>
    <col min="1" max="5" width="0" hidden="1" customWidth="1"/>
    <col min="6" max="6" width="22" customWidth="1"/>
    <col min="9" max="9" width="3.81640625" style="18" customWidth="1"/>
    <col min="10" max="10" width="3.81640625" style="16" customWidth="1"/>
    <col min="11" max="11" width="3.81640625" style="17" customWidth="1"/>
    <col min="12" max="12" width="3.81640625" style="16" customWidth="1"/>
    <col min="13" max="14" width="4" style="30" bestFit="1" customWidth="1"/>
    <col min="15" max="15" width="4" style="50" bestFit="1" customWidth="1"/>
    <col min="16" max="16" width="3.1796875" style="55" customWidth="1"/>
    <col min="17" max="17" width="3.1796875" style="20" customWidth="1"/>
    <col min="18" max="18" width="3.1796875" style="21" customWidth="1"/>
    <col min="19" max="19" width="3.1796875" style="41" customWidth="1"/>
    <col min="20" max="20" width="3.1796875" style="36" customWidth="1"/>
    <col min="21" max="21" width="3.1796875" style="37" customWidth="1"/>
    <col min="22" max="22" width="3.54296875" style="44" customWidth="1"/>
  </cols>
  <sheetData>
    <row r="1" spans="1:26" x14ac:dyDescent="0.35">
      <c r="I1" s="51" t="s">
        <v>0</v>
      </c>
      <c r="J1" s="10" t="s">
        <v>32</v>
      </c>
      <c r="K1" s="11"/>
      <c r="L1" s="12"/>
      <c r="M1" s="13"/>
      <c r="N1" s="14"/>
      <c r="O1" s="47"/>
      <c r="P1" s="54" t="s">
        <v>33</v>
      </c>
      <c r="Q1" s="15"/>
      <c r="R1" s="15"/>
      <c r="S1" s="40"/>
      <c r="T1" s="34"/>
      <c r="U1" s="35"/>
      <c r="V1" s="43"/>
      <c r="Y1" t="s">
        <v>34</v>
      </c>
    </row>
    <row r="2" spans="1:26" x14ac:dyDescent="0.35">
      <c r="I2" s="52" t="s">
        <v>2</v>
      </c>
      <c r="M2" s="18"/>
      <c r="N2" s="19"/>
      <c r="O2" s="48"/>
      <c r="Q2" s="21"/>
      <c r="Y2" s="57"/>
      <c r="Z2" t="s">
        <v>31</v>
      </c>
    </row>
    <row r="3" spans="1:26" ht="144.5" x14ac:dyDescent="0.35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3" t="s">
        <v>35</v>
      </c>
      <c r="J3" s="22" t="s">
        <v>36</v>
      </c>
      <c r="K3" s="23" t="s">
        <v>37</v>
      </c>
      <c r="L3" s="22" t="s">
        <v>38</v>
      </c>
      <c r="M3" s="25" t="s">
        <v>39</v>
      </c>
      <c r="N3" s="26" t="s">
        <v>40</v>
      </c>
      <c r="O3" s="49" t="s">
        <v>41</v>
      </c>
      <c r="P3" s="56" t="s">
        <v>42</v>
      </c>
      <c r="Q3" s="27" t="s">
        <v>43</v>
      </c>
      <c r="R3" s="27" t="s">
        <v>44</v>
      </c>
      <c r="S3" s="42" t="s">
        <v>45</v>
      </c>
      <c r="T3" s="38" t="s">
        <v>46</v>
      </c>
      <c r="U3" s="39" t="s">
        <v>47</v>
      </c>
      <c r="V3" s="45" t="s">
        <v>48</v>
      </c>
      <c r="W3" t="s">
        <v>24</v>
      </c>
      <c r="Y3" t="s">
        <v>49</v>
      </c>
    </row>
    <row r="4" spans="1:26" x14ac:dyDescent="0.35">
      <c r="A4">
        <v>4</v>
      </c>
      <c r="B4">
        <v>5</v>
      </c>
      <c r="C4">
        <v>146.83135385599999</v>
      </c>
      <c r="D4">
        <v>-19.178080644000001</v>
      </c>
      <c r="E4">
        <v>50</v>
      </c>
      <c r="I4" s="52"/>
      <c r="J4" s="28"/>
      <c r="K4" s="29"/>
      <c r="L4" s="28"/>
      <c r="M4" s="19"/>
      <c r="N4" s="19"/>
      <c r="O4" s="48"/>
      <c r="Q4" s="21"/>
      <c r="S4" s="21"/>
      <c r="V4" s="46"/>
      <c r="Y4">
        <v>1</v>
      </c>
      <c r="Z4" t="s">
        <v>50</v>
      </c>
    </row>
    <row r="5" spans="1:26" x14ac:dyDescent="0.35">
      <c r="A5">
        <v>9</v>
      </c>
      <c r="B5">
        <v>10</v>
      </c>
      <c r="C5">
        <v>146.831281676</v>
      </c>
      <c r="D5">
        <v>-19.177662816999899</v>
      </c>
      <c r="E5">
        <v>50</v>
      </c>
      <c r="I5" s="52"/>
      <c r="J5" s="28"/>
      <c r="K5" s="29"/>
      <c r="L5" s="28"/>
      <c r="M5" s="19"/>
      <c r="N5" s="19"/>
      <c r="O5" s="48"/>
      <c r="Q5" s="21"/>
      <c r="S5" s="21"/>
      <c r="V5" s="46"/>
      <c r="Y5">
        <v>2</v>
      </c>
      <c r="Z5" t="s">
        <v>51</v>
      </c>
    </row>
    <row r="6" spans="1:26" x14ac:dyDescent="0.35">
      <c r="A6">
        <v>14</v>
      </c>
      <c r="B6">
        <v>15</v>
      </c>
      <c r="C6">
        <v>146.83130780100001</v>
      </c>
      <c r="D6">
        <v>-19.177244039000001</v>
      </c>
      <c r="E6">
        <v>50</v>
      </c>
      <c r="I6" s="52"/>
      <c r="J6" s="28"/>
      <c r="K6" s="29"/>
      <c r="L6" s="28"/>
      <c r="M6" s="19"/>
      <c r="N6" s="19"/>
      <c r="O6" s="48"/>
      <c r="Q6" s="21"/>
      <c r="S6" s="21"/>
      <c r="V6" s="46"/>
      <c r="Y6">
        <v>3</v>
      </c>
      <c r="Z6" t="s">
        <v>52</v>
      </c>
    </row>
    <row r="7" spans="1:26" x14ac:dyDescent="0.35">
      <c r="A7">
        <v>19</v>
      </c>
      <c r="B7">
        <v>20</v>
      </c>
      <c r="C7">
        <v>146.83138349999999</v>
      </c>
      <c r="D7">
        <v>-19.176837540999902</v>
      </c>
      <c r="E7">
        <v>50</v>
      </c>
      <c r="I7" s="52"/>
      <c r="J7" s="28"/>
      <c r="K7" s="29"/>
      <c r="L7" s="28"/>
      <c r="M7" s="19"/>
      <c r="N7" s="19"/>
      <c r="O7" s="48"/>
      <c r="Q7" s="21"/>
      <c r="S7" s="21"/>
      <c r="V7" s="46"/>
      <c r="Y7">
        <v>4</v>
      </c>
      <c r="Z7" t="s">
        <v>53</v>
      </c>
    </row>
    <row r="8" spans="1:26" x14ac:dyDescent="0.35">
      <c r="A8">
        <v>24</v>
      </c>
      <c r="B8">
        <v>25</v>
      </c>
      <c r="C8">
        <v>146.83124648500001</v>
      </c>
      <c r="D8">
        <v>-19.17643687</v>
      </c>
      <c r="E8">
        <v>50</v>
      </c>
      <c r="I8" s="52"/>
      <c r="J8" s="28"/>
      <c r="K8" s="29"/>
      <c r="L8" s="28"/>
      <c r="M8" s="19"/>
      <c r="N8" s="19"/>
      <c r="O8" s="48"/>
      <c r="Q8" s="21"/>
      <c r="S8" s="21"/>
      <c r="V8" s="46"/>
    </row>
    <row r="9" spans="1:26" x14ac:dyDescent="0.35">
      <c r="A9">
        <v>29</v>
      </c>
      <c r="B9">
        <v>30</v>
      </c>
      <c r="C9">
        <v>146.83097987100001</v>
      </c>
      <c r="D9">
        <v>-19.176180443</v>
      </c>
      <c r="E9">
        <v>50</v>
      </c>
      <c r="I9" s="52"/>
      <c r="J9" s="28"/>
      <c r="K9" s="29"/>
      <c r="L9" s="28"/>
      <c r="M9" s="19"/>
      <c r="N9" s="19"/>
      <c r="O9" s="48"/>
      <c r="Q9" s="21"/>
      <c r="S9" s="21"/>
      <c r="V9" s="46"/>
    </row>
    <row r="10" spans="1:26" x14ac:dyDescent="0.35">
      <c r="A10">
        <v>34</v>
      </c>
      <c r="B10">
        <v>35</v>
      </c>
      <c r="C10">
        <v>146.83062179500001</v>
      </c>
      <c r="D10">
        <v>-19.176308864999999</v>
      </c>
      <c r="E10">
        <v>50</v>
      </c>
      <c r="I10" s="52"/>
      <c r="J10" s="28"/>
      <c r="K10" s="29"/>
      <c r="L10" s="28"/>
      <c r="M10" s="19"/>
      <c r="N10" s="19"/>
      <c r="O10" s="48"/>
      <c r="Q10" s="21"/>
      <c r="S10" s="21"/>
      <c r="V10" s="46"/>
    </row>
    <row r="11" spans="1:26" x14ac:dyDescent="0.35">
      <c r="A11">
        <v>39</v>
      </c>
      <c r="B11">
        <v>40</v>
      </c>
      <c r="C11">
        <v>146.83041827400001</v>
      </c>
      <c r="D11">
        <v>-19.176572443999898</v>
      </c>
      <c r="E11">
        <v>50</v>
      </c>
      <c r="I11" s="52"/>
      <c r="J11" s="28"/>
      <c r="K11" s="29"/>
      <c r="L11" s="28"/>
      <c r="M11" s="19"/>
      <c r="N11" s="19"/>
      <c r="O11" s="48"/>
      <c r="Q11" s="21"/>
      <c r="S11" s="21"/>
      <c r="V11" s="46"/>
      <c r="Y11" t="s">
        <v>46</v>
      </c>
    </row>
    <row r="12" spans="1:26" x14ac:dyDescent="0.35">
      <c r="A12">
        <v>44</v>
      </c>
      <c r="B12">
        <v>45</v>
      </c>
      <c r="C12">
        <v>146.830290015</v>
      </c>
      <c r="D12">
        <v>-19.17682701</v>
      </c>
      <c r="E12">
        <v>50</v>
      </c>
      <c r="I12" s="52"/>
      <c r="J12" s="28"/>
      <c r="K12" s="29"/>
      <c r="L12" s="28"/>
      <c r="M12" s="19"/>
      <c r="N12" s="19"/>
      <c r="O12" s="48"/>
      <c r="Q12" s="21"/>
      <c r="S12" s="21"/>
      <c r="V12" s="46"/>
      <c r="Y12">
        <v>1</v>
      </c>
      <c r="Z12" t="s">
        <v>54</v>
      </c>
    </row>
    <row r="13" spans="1:26" x14ac:dyDescent="0.35">
      <c r="A13">
        <v>49</v>
      </c>
      <c r="B13">
        <v>50</v>
      </c>
      <c r="C13">
        <v>146.83006439600001</v>
      </c>
      <c r="D13">
        <v>-19.176498177999999</v>
      </c>
      <c r="E13">
        <v>50</v>
      </c>
      <c r="I13" s="52"/>
      <c r="J13" s="28"/>
      <c r="K13" s="29"/>
      <c r="L13" s="28"/>
      <c r="M13" s="19"/>
      <c r="N13" s="19"/>
      <c r="O13" s="48"/>
      <c r="Q13" s="21"/>
      <c r="S13" s="21"/>
      <c r="V13" s="46"/>
      <c r="W13" t="s">
        <v>55</v>
      </c>
      <c r="Y13">
        <v>2</v>
      </c>
      <c r="Z13" t="s">
        <v>56</v>
      </c>
    </row>
    <row r="14" spans="1:26" x14ac:dyDescent="0.35">
      <c r="A14">
        <v>54</v>
      </c>
      <c r="B14">
        <v>55</v>
      </c>
      <c r="C14">
        <v>146.82983534900001</v>
      </c>
      <c r="D14">
        <v>-19.176181948</v>
      </c>
      <c r="E14">
        <v>50</v>
      </c>
      <c r="I14" s="52"/>
      <c r="J14" s="28"/>
      <c r="K14" s="29"/>
      <c r="L14" s="28"/>
      <c r="M14" s="19"/>
      <c r="N14" s="19"/>
      <c r="O14" s="48"/>
      <c r="Q14" s="21"/>
      <c r="S14" s="21"/>
      <c r="V14" s="46"/>
      <c r="Y14">
        <v>3</v>
      </c>
      <c r="Z14" t="s">
        <v>57</v>
      </c>
    </row>
    <row r="15" spans="1:26" x14ac:dyDescent="0.35">
      <c r="A15">
        <v>59</v>
      </c>
      <c r="B15">
        <v>60</v>
      </c>
      <c r="C15">
        <v>146.82965798199999</v>
      </c>
      <c r="D15">
        <v>-19.175832827000001</v>
      </c>
      <c r="E15">
        <v>50</v>
      </c>
      <c r="I15" s="52"/>
      <c r="J15" s="28"/>
      <c r="K15" s="29"/>
      <c r="L15" s="28"/>
      <c r="M15" s="19"/>
      <c r="N15" s="19"/>
      <c r="O15" s="48"/>
      <c r="Q15" s="21"/>
      <c r="S15" s="21"/>
      <c r="V15" s="46"/>
    </row>
    <row r="16" spans="1:26" x14ac:dyDescent="0.35">
      <c r="A16">
        <v>64</v>
      </c>
      <c r="B16">
        <v>65</v>
      </c>
      <c r="C16">
        <v>146.82943428999999</v>
      </c>
      <c r="D16">
        <v>-19.175487051999902</v>
      </c>
      <c r="E16">
        <v>50</v>
      </c>
      <c r="I16" s="52"/>
      <c r="J16" s="28"/>
      <c r="K16" s="29"/>
      <c r="L16" s="28"/>
      <c r="M16" s="19"/>
      <c r="N16" s="19"/>
      <c r="O16" s="48"/>
      <c r="Q16" s="21"/>
      <c r="S16" s="21"/>
      <c r="V16" s="46"/>
      <c r="Y16" t="s">
        <v>58</v>
      </c>
    </row>
    <row r="17" spans="1:26" x14ac:dyDescent="0.35">
      <c r="A17">
        <v>69</v>
      </c>
      <c r="B17">
        <v>70</v>
      </c>
      <c r="C17">
        <v>146.829039997</v>
      </c>
      <c r="D17">
        <v>-19.175292082999899</v>
      </c>
      <c r="E17">
        <v>50</v>
      </c>
      <c r="I17" s="52"/>
      <c r="J17" s="28"/>
      <c r="K17" s="29"/>
      <c r="L17" s="28"/>
      <c r="M17" s="19"/>
      <c r="N17" s="19"/>
      <c r="O17" s="48"/>
      <c r="Q17" s="21"/>
      <c r="S17" s="21"/>
      <c r="V17" s="46"/>
      <c r="Y17">
        <v>1</v>
      </c>
      <c r="Z17" t="s">
        <v>59</v>
      </c>
    </row>
    <row r="18" spans="1:26" x14ac:dyDescent="0.35">
      <c r="A18">
        <v>74</v>
      </c>
      <c r="B18">
        <v>75</v>
      </c>
      <c r="C18">
        <v>146.828660316</v>
      </c>
      <c r="D18">
        <v>-19.175096968999998</v>
      </c>
      <c r="E18">
        <v>50</v>
      </c>
      <c r="I18" s="52"/>
      <c r="J18" s="28"/>
      <c r="K18" s="29"/>
      <c r="L18" s="28"/>
      <c r="M18" s="19"/>
      <c r="N18" s="19"/>
      <c r="O18" s="48"/>
      <c r="Q18" s="21"/>
      <c r="S18" s="21"/>
      <c r="V18" s="46"/>
      <c r="Y18">
        <v>2</v>
      </c>
      <c r="Z18" t="s">
        <v>60</v>
      </c>
    </row>
    <row r="19" spans="1:26" x14ac:dyDescent="0.35">
      <c r="A19">
        <v>79</v>
      </c>
      <c r="B19">
        <v>80</v>
      </c>
      <c r="C19">
        <v>146.82831158799999</v>
      </c>
      <c r="D19">
        <v>-19.174829598999999</v>
      </c>
      <c r="E19">
        <v>50</v>
      </c>
      <c r="I19" s="52"/>
      <c r="J19" s="28"/>
      <c r="K19" s="29"/>
      <c r="L19" s="28"/>
      <c r="M19" s="19"/>
      <c r="N19" s="19"/>
      <c r="O19" s="48"/>
      <c r="Q19" s="21"/>
      <c r="S19" s="21"/>
      <c r="V19" s="46"/>
      <c r="Y19">
        <v>3</v>
      </c>
      <c r="Z19" t="s">
        <v>61</v>
      </c>
    </row>
    <row r="20" spans="1:26" x14ac:dyDescent="0.35">
      <c r="A20">
        <v>84</v>
      </c>
      <c r="B20">
        <v>85</v>
      </c>
      <c r="C20">
        <v>146.82795825900001</v>
      </c>
      <c r="D20">
        <v>-19.174568531999999</v>
      </c>
      <c r="E20">
        <v>50</v>
      </c>
      <c r="I20" s="52"/>
      <c r="J20" s="28"/>
      <c r="K20" s="29"/>
      <c r="L20" s="28"/>
      <c r="M20" s="19"/>
      <c r="N20" s="19"/>
      <c r="O20" s="48"/>
      <c r="Q20" s="21"/>
      <c r="S20" s="21"/>
      <c r="V20" s="46"/>
    </row>
    <row r="21" spans="1:26" x14ac:dyDescent="0.35">
      <c r="A21">
        <v>89</v>
      </c>
      <c r="B21">
        <v>90</v>
      </c>
      <c r="C21">
        <v>146.827624786</v>
      </c>
      <c r="D21">
        <v>-19.174293142</v>
      </c>
      <c r="E21">
        <v>50</v>
      </c>
      <c r="I21" s="52"/>
      <c r="J21" s="28"/>
      <c r="K21" s="29"/>
      <c r="L21" s="28"/>
      <c r="M21" s="19"/>
      <c r="N21" s="19"/>
      <c r="O21" s="48"/>
      <c r="Q21" s="21"/>
      <c r="S21" s="21"/>
      <c r="V21" s="46"/>
    </row>
    <row r="22" spans="1:26" x14ac:dyDescent="0.35">
      <c r="A22">
        <v>94</v>
      </c>
      <c r="B22">
        <v>95</v>
      </c>
      <c r="C22">
        <v>146.827351292</v>
      </c>
      <c r="D22">
        <v>-19.174027624000001</v>
      </c>
      <c r="E22">
        <v>50</v>
      </c>
      <c r="I22" s="52"/>
      <c r="J22" s="28"/>
      <c r="K22" s="29"/>
      <c r="L22" s="28"/>
      <c r="M22" s="19"/>
      <c r="N22" s="19"/>
      <c r="O22" s="48"/>
      <c r="Q22" s="21"/>
      <c r="S22" s="21"/>
      <c r="V22" s="46"/>
      <c r="Y22" t="s">
        <v>62</v>
      </c>
    </row>
    <row r="23" spans="1:26" x14ac:dyDescent="0.35">
      <c r="A23">
        <v>99</v>
      </c>
      <c r="B23">
        <v>100</v>
      </c>
      <c r="C23">
        <v>146.826959499</v>
      </c>
      <c r="D23">
        <v>-19.173881983999902</v>
      </c>
      <c r="E23">
        <v>50</v>
      </c>
      <c r="I23" s="52"/>
      <c r="J23" s="28"/>
      <c r="K23" s="29"/>
      <c r="L23" s="28"/>
      <c r="M23" s="19"/>
      <c r="N23" s="19"/>
      <c r="O23" s="48"/>
      <c r="Q23" s="21"/>
      <c r="S23" s="21"/>
      <c r="V23" s="46"/>
      <c r="Y23">
        <v>1</v>
      </c>
      <c r="Z23" t="s">
        <v>59</v>
      </c>
    </row>
    <row r="24" spans="1:26" x14ac:dyDescent="0.35">
      <c r="A24">
        <v>104</v>
      </c>
      <c r="B24">
        <v>105</v>
      </c>
      <c r="C24">
        <v>146.826581358</v>
      </c>
      <c r="D24">
        <v>-19.173676733000001</v>
      </c>
      <c r="E24">
        <v>50</v>
      </c>
      <c r="I24" s="52"/>
      <c r="J24" s="28"/>
      <c r="K24" s="29"/>
      <c r="L24" s="28"/>
      <c r="M24" s="19"/>
      <c r="N24" s="19"/>
      <c r="O24" s="48"/>
      <c r="Q24" s="21"/>
      <c r="S24" s="21"/>
      <c r="V24" s="46"/>
      <c r="Y24">
        <v>2</v>
      </c>
      <c r="Z24" t="s">
        <v>60</v>
      </c>
    </row>
    <row r="25" spans="1:26" x14ac:dyDescent="0.35">
      <c r="A25">
        <v>109</v>
      </c>
      <c r="B25">
        <v>110</v>
      </c>
      <c r="C25">
        <v>146.82627507800001</v>
      </c>
      <c r="D25">
        <v>-19.173382091000001</v>
      </c>
      <c r="E25">
        <v>50</v>
      </c>
      <c r="I25" s="52"/>
      <c r="J25" s="28"/>
      <c r="K25" s="29"/>
      <c r="L25" s="28"/>
      <c r="M25" s="19"/>
      <c r="N25" s="19"/>
      <c r="O25" s="48"/>
      <c r="Q25" s="21"/>
      <c r="S25" s="21"/>
      <c r="V25" s="46"/>
      <c r="Y25">
        <v>3</v>
      </c>
      <c r="Z25" t="s">
        <v>61</v>
      </c>
    </row>
    <row r="26" spans="1:26" x14ac:dyDescent="0.35">
      <c r="A26">
        <v>114</v>
      </c>
      <c r="B26">
        <v>115</v>
      </c>
      <c r="C26">
        <v>146.82595698099999</v>
      </c>
      <c r="D26">
        <v>-19.173086289</v>
      </c>
      <c r="E26">
        <v>50</v>
      </c>
      <c r="I26" s="52"/>
      <c r="J26" s="28"/>
      <c r="K26" s="29"/>
      <c r="L26" s="28"/>
      <c r="M26" s="19"/>
      <c r="N26" s="19"/>
      <c r="O26" s="48"/>
      <c r="Q26" s="21"/>
      <c r="S26" s="21"/>
      <c r="V26" s="46"/>
    </row>
    <row r="27" spans="1:26" x14ac:dyDescent="0.35">
      <c r="A27">
        <v>119</v>
      </c>
      <c r="B27">
        <v>120</v>
      </c>
      <c r="C27">
        <v>146.825651507</v>
      </c>
      <c r="D27">
        <v>-19.172775269999899</v>
      </c>
      <c r="E27">
        <v>50</v>
      </c>
      <c r="I27" s="52"/>
      <c r="J27" s="28"/>
      <c r="K27" s="29"/>
      <c r="L27" s="28"/>
      <c r="M27" s="19"/>
      <c r="N27" s="19"/>
      <c r="O27" s="48"/>
      <c r="Q27" s="21"/>
      <c r="S27" s="21"/>
      <c r="V27" s="46"/>
    </row>
    <row r="28" spans="1:26" x14ac:dyDescent="0.35">
      <c r="A28">
        <v>124</v>
      </c>
      <c r="B28">
        <v>125</v>
      </c>
      <c r="C28">
        <v>146.825300129</v>
      </c>
      <c r="D28">
        <v>-19.172549404999899</v>
      </c>
      <c r="E28">
        <v>50</v>
      </c>
      <c r="I28" s="52"/>
      <c r="J28" s="28"/>
      <c r="K28" s="29"/>
      <c r="L28" s="28"/>
      <c r="M28" s="19"/>
      <c r="N28" s="19"/>
      <c r="O28" s="48"/>
      <c r="Q28" s="21"/>
      <c r="S28" s="21"/>
      <c r="V28" s="46"/>
    </row>
    <row r="29" spans="1:26" x14ac:dyDescent="0.35">
      <c r="A29">
        <v>129</v>
      </c>
      <c r="B29">
        <v>130</v>
      </c>
      <c r="C29">
        <v>146.825019693</v>
      </c>
      <c r="D29">
        <v>-19.172218011999998</v>
      </c>
      <c r="E29">
        <v>50</v>
      </c>
      <c r="I29" s="52"/>
      <c r="J29" s="28"/>
      <c r="K29" s="29"/>
      <c r="L29" s="28"/>
      <c r="M29" s="19"/>
      <c r="N29" s="19"/>
      <c r="O29" s="48"/>
      <c r="Q29" s="21"/>
      <c r="S29" s="21"/>
      <c r="V29" s="46"/>
    </row>
    <row r="30" spans="1:26" x14ac:dyDescent="0.35">
      <c r="A30">
        <v>134</v>
      </c>
      <c r="B30">
        <v>135</v>
      </c>
      <c r="C30">
        <v>146.82472145200001</v>
      </c>
      <c r="D30">
        <v>-19.171950624000001</v>
      </c>
      <c r="E30">
        <v>50</v>
      </c>
      <c r="I30" s="52"/>
      <c r="J30" s="28"/>
      <c r="K30" s="29"/>
      <c r="L30" s="28"/>
      <c r="M30" s="19"/>
      <c r="N30" s="19"/>
      <c r="O30" s="48"/>
      <c r="Q30" s="21"/>
      <c r="S30" s="21"/>
      <c r="V30" s="46"/>
    </row>
    <row r="31" spans="1:26" x14ac:dyDescent="0.35">
      <c r="A31">
        <v>139</v>
      </c>
      <c r="B31">
        <v>140</v>
      </c>
      <c r="C31">
        <v>146.82447277</v>
      </c>
      <c r="D31">
        <v>-19.1716822449999</v>
      </c>
      <c r="E31">
        <v>50</v>
      </c>
      <c r="I31" s="52"/>
      <c r="J31" s="28"/>
      <c r="K31" s="29"/>
      <c r="L31" s="28"/>
      <c r="M31" s="19"/>
      <c r="N31" s="19"/>
      <c r="O31" s="48"/>
      <c r="Q31" s="21"/>
      <c r="S31" s="21"/>
      <c r="V31" s="46"/>
    </row>
    <row r="32" spans="1:26" x14ac:dyDescent="0.35">
      <c r="A32">
        <v>144</v>
      </c>
      <c r="B32">
        <v>145</v>
      </c>
      <c r="C32">
        <v>146.82417218099999</v>
      </c>
      <c r="D32">
        <v>-19.171374140000001</v>
      </c>
      <c r="E32">
        <v>50</v>
      </c>
      <c r="I32" s="52"/>
      <c r="J32" s="28"/>
      <c r="K32" s="29"/>
      <c r="L32" s="28"/>
      <c r="M32" s="19"/>
      <c r="N32" s="19"/>
      <c r="O32" s="48"/>
      <c r="Q32" s="21"/>
      <c r="S32" s="21"/>
      <c r="V32" s="46"/>
    </row>
    <row r="33" spans="1:22" x14ac:dyDescent="0.35">
      <c r="A33">
        <v>149</v>
      </c>
      <c r="B33">
        <v>150</v>
      </c>
      <c r="C33">
        <v>146.82387107100001</v>
      </c>
      <c r="D33">
        <v>-19.171106371999901</v>
      </c>
      <c r="E33">
        <v>50</v>
      </c>
      <c r="I33" s="52"/>
      <c r="J33" s="28"/>
      <c r="K33" s="29"/>
      <c r="L33" s="28"/>
      <c r="M33" s="19"/>
      <c r="N33" s="19"/>
      <c r="O33" s="48"/>
      <c r="Q33" s="21"/>
      <c r="S33" s="21"/>
      <c r="V33" s="46"/>
    </row>
    <row r="34" spans="1:22" x14ac:dyDescent="0.35">
      <c r="A34">
        <v>154</v>
      </c>
      <c r="B34">
        <v>155</v>
      </c>
      <c r="C34">
        <v>146.82350841600001</v>
      </c>
      <c r="D34">
        <v>-19.170884112</v>
      </c>
      <c r="E34">
        <v>50</v>
      </c>
      <c r="I34" s="52"/>
      <c r="J34" s="28"/>
      <c r="K34" s="29"/>
      <c r="L34" s="28"/>
      <c r="M34" s="19"/>
      <c r="N34" s="19"/>
      <c r="O34" s="48"/>
      <c r="Q34" s="21"/>
      <c r="S34" s="21"/>
      <c r="V34" s="46"/>
    </row>
    <row r="35" spans="1:22" x14ac:dyDescent="0.35">
      <c r="A35">
        <v>159</v>
      </c>
      <c r="B35">
        <v>160</v>
      </c>
      <c r="C35">
        <v>146.823210848</v>
      </c>
      <c r="D35">
        <v>-19.170614778999902</v>
      </c>
      <c r="E35">
        <v>50</v>
      </c>
      <c r="I35" s="52"/>
      <c r="J35" s="28"/>
      <c r="K35" s="29"/>
      <c r="L35" s="28"/>
      <c r="M35" s="19"/>
      <c r="N35" s="19"/>
      <c r="O35" s="48"/>
      <c r="Q35" s="21"/>
      <c r="S35" s="21"/>
      <c r="V35" s="46"/>
    </row>
    <row r="36" spans="1:22" x14ac:dyDescent="0.35">
      <c r="A36">
        <v>164</v>
      </c>
      <c r="B36">
        <v>165</v>
      </c>
      <c r="C36">
        <v>146.82283925499999</v>
      </c>
      <c r="D36">
        <v>-19.170424789999998</v>
      </c>
      <c r="E36">
        <v>50</v>
      </c>
      <c r="I36" s="52"/>
      <c r="J36" s="28"/>
      <c r="K36" s="29"/>
      <c r="L36" s="28"/>
      <c r="M36" s="19"/>
      <c r="N36" s="19"/>
      <c r="O36" s="48"/>
      <c r="Q36" s="21"/>
      <c r="S36" s="21"/>
      <c r="V36" s="46"/>
    </row>
    <row r="37" spans="1:22" x14ac:dyDescent="0.35">
      <c r="A37">
        <v>169</v>
      </c>
      <c r="B37">
        <v>170</v>
      </c>
      <c r="C37">
        <v>146.82246583099999</v>
      </c>
      <c r="D37">
        <v>-19.170189036</v>
      </c>
      <c r="E37">
        <v>50</v>
      </c>
      <c r="I37" s="52"/>
      <c r="J37" s="28"/>
      <c r="K37" s="29"/>
      <c r="L37" s="28"/>
      <c r="M37" s="19"/>
      <c r="N37" s="19"/>
      <c r="O37" s="48"/>
      <c r="Q37" s="21"/>
      <c r="S37" s="21"/>
      <c r="V37" s="46"/>
    </row>
    <row r="38" spans="1:22" x14ac:dyDescent="0.35">
      <c r="A38">
        <v>174</v>
      </c>
      <c r="B38">
        <v>175</v>
      </c>
      <c r="C38">
        <v>146.82203730500001</v>
      </c>
      <c r="D38">
        <v>-19.170063523</v>
      </c>
      <c r="E38">
        <v>50</v>
      </c>
      <c r="I38" s="52"/>
      <c r="J38" s="28"/>
      <c r="K38" s="29"/>
      <c r="L38" s="28"/>
      <c r="M38" s="19"/>
      <c r="N38" s="19"/>
      <c r="O38" s="48"/>
      <c r="Q38" s="21"/>
      <c r="S38" s="21"/>
      <c r="V38" s="46"/>
    </row>
    <row r="39" spans="1:22" x14ac:dyDescent="0.35">
      <c r="A39">
        <v>179</v>
      </c>
      <c r="B39">
        <v>180</v>
      </c>
      <c r="C39">
        <v>146.82160632700001</v>
      </c>
      <c r="D39">
        <v>-19.169944045000001</v>
      </c>
      <c r="E39">
        <v>50</v>
      </c>
      <c r="I39" s="52"/>
      <c r="J39" s="28"/>
      <c r="K39" s="29"/>
      <c r="L39" s="28"/>
      <c r="M39" s="19"/>
      <c r="N39" s="19"/>
      <c r="O39" s="48"/>
      <c r="Q39" s="21"/>
      <c r="S39" s="21"/>
      <c r="V39" s="46"/>
    </row>
    <row r="40" spans="1:22" x14ac:dyDescent="0.35">
      <c r="A40">
        <v>184</v>
      </c>
      <c r="B40">
        <v>185</v>
      </c>
      <c r="C40">
        <v>146.82120432400001</v>
      </c>
      <c r="D40">
        <v>-19.169759702</v>
      </c>
      <c r="E40">
        <v>50</v>
      </c>
      <c r="I40" s="52"/>
      <c r="J40" s="28"/>
      <c r="K40" s="29"/>
      <c r="L40" s="28"/>
      <c r="M40" s="19"/>
      <c r="N40" s="19"/>
      <c r="O40" s="48"/>
      <c r="Q40" s="21"/>
      <c r="S40" s="21"/>
      <c r="V40" s="46"/>
    </row>
    <row r="41" spans="1:22" x14ac:dyDescent="0.35">
      <c r="A41">
        <v>189</v>
      </c>
      <c r="B41">
        <v>190</v>
      </c>
      <c r="C41">
        <v>146.820810728</v>
      </c>
      <c r="D41">
        <v>-19.169555402999901</v>
      </c>
      <c r="E41">
        <v>50</v>
      </c>
      <c r="I41" s="52"/>
      <c r="J41" s="28"/>
      <c r="K41" s="29"/>
      <c r="L41" s="28"/>
      <c r="M41" s="19"/>
      <c r="N41" s="19"/>
      <c r="O41" s="48"/>
      <c r="Q41" s="21"/>
      <c r="S41" s="21"/>
      <c r="V41" s="46"/>
    </row>
    <row r="42" spans="1:22" x14ac:dyDescent="0.35">
      <c r="A42">
        <v>194</v>
      </c>
      <c r="B42">
        <v>195</v>
      </c>
      <c r="C42">
        <v>146.82041275099999</v>
      </c>
      <c r="D42">
        <v>-19.169358725999899</v>
      </c>
      <c r="E42">
        <v>50</v>
      </c>
      <c r="I42" s="52"/>
      <c r="J42" s="28"/>
      <c r="K42" s="29"/>
      <c r="L42" s="28"/>
      <c r="M42" s="19"/>
      <c r="N42" s="19"/>
      <c r="O42" s="48"/>
      <c r="Q42" s="21"/>
      <c r="S42" s="21"/>
      <c r="V42" s="46"/>
    </row>
    <row r="43" spans="1:22" x14ac:dyDescent="0.35">
      <c r="A43">
        <v>199</v>
      </c>
      <c r="B43">
        <v>200</v>
      </c>
      <c r="C43">
        <v>146.82002005800001</v>
      </c>
      <c r="D43">
        <v>-19.169152796999999</v>
      </c>
      <c r="E43">
        <v>50</v>
      </c>
      <c r="I43" s="52"/>
      <c r="J43" s="28"/>
      <c r="K43" s="29"/>
      <c r="L43" s="28"/>
      <c r="M43" s="19"/>
      <c r="N43" s="19"/>
      <c r="O43" s="48"/>
      <c r="Q43" s="21"/>
      <c r="S43" s="21"/>
      <c r="V43" s="46"/>
    </row>
    <row r="44" spans="1:22" x14ac:dyDescent="0.35">
      <c r="A44">
        <v>204</v>
      </c>
      <c r="B44">
        <v>205</v>
      </c>
      <c r="C44">
        <v>146.81962779</v>
      </c>
      <c r="D44">
        <v>-19.168946141999999</v>
      </c>
      <c r="E44">
        <v>50</v>
      </c>
      <c r="I44" s="52"/>
      <c r="J44" s="28"/>
      <c r="K44" s="29"/>
      <c r="L44" s="28"/>
      <c r="M44" s="19"/>
      <c r="N44" s="19"/>
      <c r="O44" s="48"/>
      <c r="Q44" s="21"/>
      <c r="S44" s="21"/>
      <c r="V44" s="46"/>
    </row>
    <row r="45" spans="1:22" x14ac:dyDescent="0.35">
      <c r="A45">
        <v>209</v>
      </c>
      <c r="B45">
        <v>210</v>
      </c>
      <c r="C45">
        <v>146.81922746399999</v>
      </c>
      <c r="D45">
        <v>-19.168755099999899</v>
      </c>
      <c r="E45">
        <v>50</v>
      </c>
      <c r="I45" s="52"/>
      <c r="J45" s="28"/>
      <c r="K45" s="29"/>
      <c r="L45" s="28"/>
      <c r="M45" s="19"/>
      <c r="N45" s="19"/>
      <c r="O45" s="48"/>
      <c r="Q45" s="21"/>
      <c r="S45" s="21"/>
      <c r="V45" s="46"/>
    </row>
    <row r="46" spans="1:22" x14ac:dyDescent="0.35">
      <c r="A46">
        <v>214</v>
      </c>
      <c r="B46">
        <v>215</v>
      </c>
      <c r="C46">
        <v>146.81881372000001</v>
      </c>
      <c r="D46">
        <v>-19.168590025999901</v>
      </c>
      <c r="E46">
        <v>50</v>
      </c>
      <c r="I46" s="52"/>
      <c r="J46" s="28"/>
      <c r="K46" s="29"/>
      <c r="L46" s="28"/>
      <c r="M46" s="19"/>
      <c r="N46" s="19"/>
      <c r="O46" s="48"/>
      <c r="Q46" s="21"/>
      <c r="S46" s="21"/>
      <c r="V46" s="46"/>
    </row>
    <row r="47" spans="1:22" x14ac:dyDescent="0.35">
      <c r="A47">
        <v>219</v>
      </c>
      <c r="B47">
        <v>220</v>
      </c>
      <c r="C47">
        <v>146.818393235</v>
      </c>
      <c r="D47">
        <v>-19.168440873000002</v>
      </c>
      <c r="E47">
        <v>50</v>
      </c>
      <c r="I47" s="52"/>
      <c r="J47" s="28"/>
      <c r="K47" s="29"/>
      <c r="L47" s="28"/>
      <c r="M47" s="19"/>
      <c r="N47" s="19"/>
      <c r="O47" s="48"/>
      <c r="Q47" s="21"/>
      <c r="S47" s="21"/>
      <c r="V47" s="46"/>
    </row>
    <row r="48" spans="1:22" x14ac:dyDescent="0.35">
      <c r="A48">
        <v>224</v>
      </c>
      <c r="B48">
        <v>225</v>
      </c>
      <c r="C48">
        <v>146.81795802100001</v>
      </c>
      <c r="D48">
        <v>-19.168338380000002</v>
      </c>
      <c r="E48">
        <v>50</v>
      </c>
      <c r="I48" s="52"/>
      <c r="J48" s="28"/>
      <c r="K48" s="29"/>
      <c r="L48" s="28"/>
      <c r="M48" s="19"/>
      <c r="N48" s="19"/>
      <c r="O48" s="48"/>
      <c r="Q48" s="21"/>
      <c r="S48" s="21"/>
      <c r="V48" s="46"/>
    </row>
    <row r="49" spans="1:22" x14ac:dyDescent="0.35">
      <c r="A49">
        <v>229</v>
      </c>
      <c r="B49">
        <v>230</v>
      </c>
      <c r="C49">
        <v>146.81752893000001</v>
      </c>
      <c r="D49">
        <v>-19.168214378999899</v>
      </c>
      <c r="E49">
        <v>50</v>
      </c>
      <c r="I49" s="52"/>
      <c r="J49" s="28"/>
      <c r="K49" s="29"/>
      <c r="L49" s="28"/>
      <c r="M49" s="19"/>
      <c r="N49" s="19"/>
      <c r="O49" s="48"/>
      <c r="Q49" s="21"/>
      <c r="S49" s="21"/>
      <c r="V49" s="46"/>
    </row>
    <row r="50" spans="1:22" x14ac:dyDescent="0.35">
      <c r="A50">
        <v>234</v>
      </c>
      <c r="B50">
        <v>235</v>
      </c>
      <c r="C50">
        <v>146.817111764</v>
      </c>
      <c r="D50">
        <v>-19.168058548000001</v>
      </c>
      <c r="E50">
        <v>50</v>
      </c>
      <c r="I50" s="52"/>
      <c r="J50" s="28"/>
      <c r="K50" s="29"/>
      <c r="L50" s="28"/>
      <c r="M50" s="19"/>
      <c r="N50" s="19"/>
      <c r="O50" s="48"/>
      <c r="Q50" s="21"/>
      <c r="S50" s="21"/>
      <c r="V50" s="46"/>
    </row>
    <row r="51" spans="1:22" x14ac:dyDescent="0.35">
      <c r="A51">
        <v>239</v>
      </c>
      <c r="B51">
        <v>240</v>
      </c>
      <c r="C51">
        <v>146.81669754699999</v>
      </c>
      <c r="D51">
        <v>-19.167898733999898</v>
      </c>
      <c r="E51">
        <v>50</v>
      </c>
      <c r="I51" s="52"/>
      <c r="J51" s="28"/>
      <c r="K51" s="29"/>
      <c r="L51" s="28"/>
      <c r="M51" s="19"/>
      <c r="N51" s="19"/>
      <c r="O51" s="48"/>
      <c r="Q51" s="21"/>
      <c r="S51" s="21"/>
      <c r="V51" s="46"/>
    </row>
    <row r="52" spans="1:22" x14ac:dyDescent="0.35">
      <c r="A52">
        <v>244</v>
      </c>
      <c r="B52">
        <v>245</v>
      </c>
      <c r="C52">
        <v>146.816305164</v>
      </c>
      <c r="D52">
        <v>-19.167766069999999</v>
      </c>
      <c r="E52">
        <v>50</v>
      </c>
      <c r="I52" s="52"/>
      <c r="J52" s="28"/>
      <c r="K52" s="29"/>
      <c r="L52" s="28"/>
      <c r="M52" s="19"/>
      <c r="N52" s="19"/>
      <c r="O52" s="48"/>
      <c r="Q52" s="21"/>
      <c r="S52" s="21"/>
      <c r="V52" s="46"/>
    </row>
    <row r="53" spans="1:22" x14ac:dyDescent="0.35">
      <c r="A53">
        <v>249</v>
      </c>
      <c r="B53">
        <v>250</v>
      </c>
      <c r="C53">
        <v>146.815926486</v>
      </c>
      <c r="D53">
        <v>-19.1675895549999</v>
      </c>
      <c r="E53">
        <v>50</v>
      </c>
      <c r="I53" s="52"/>
      <c r="J53" s="28"/>
      <c r="K53" s="29"/>
      <c r="L53" s="28"/>
      <c r="M53" s="19"/>
      <c r="N53" s="19"/>
      <c r="O53" s="48"/>
      <c r="Q53" s="21"/>
      <c r="S53" s="21"/>
      <c r="V53" s="46"/>
    </row>
    <row r="54" spans="1:22" x14ac:dyDescent="0.35">
      <c r="A54">
        <v>254</v>
      </c>
      <c r="B54">
        <v>255</v>
      </c>
      <c r="C54">
        <v>146.81554901000001</v>
      </c>
      <c r="D54">
        <v>-19.167435386000001</v>
      </c>
      <c r="E54">
        <v>50</v>
      </c>
      <c r="I54" s="52"/>
      <c r="J54" s="28"/>
      <c r="K54" s="29"/>
      <c r="L54" s="28"/>
      <c r="M54" s="19"/>
      <c r="N54" s="19"/>
      <c r="O54" s="48"/>
      <c r="Q54" s="21"/>
      <c r="S54" s="21"/>
      <c r="V54" s="46"/>
    </row>
    <row r="55" spans="1:22" x14ac:dyDescent="0.35">
      <c r="A55">
        <v>259</v>
      </c>
      <c r="B55">
        <v>260</v>
      </c>
      <c r="C55">
        <v>146.81512883100001</v>
      </c>
      <c r="D55">
        <v>-19.167303224000001</v>
      </c>
      <c r="E55">
        <v>50</v>
      </c>
      <c r="I55" s="52"/>
      <c r="J55" s="28"/>
      <c r="K55" s="29"/>
      <c r="L55" s="28"/>
      <c r="M55" s="19"/>
      <c r="N55" s="19"/>
      <c r="O55" s="48"/>
      <c r="Q55" s="21"/>
      <c r="S55" s="21"/>
      <c r="V55" s="46"/>
    </row>
    <row r="56" spans="1:22" x14ac:dyDescent="0.35">
      <c r="A56">
        <v>264</v>
      </c>
      <c r="B56">
        <v>265</v>
      </c>
      <c r="C56">
        <v>146.81476608899999</v>
      </c>
      <c r="D56">
        <v>-19.167071898</v>
      </c>
      <c r="E56">
        <v>50</v>
      </c>
      <c r="I56" s="52"/>
      <c r="J56" s="28"/>
      <c r="K56" s="29"/>
      <c r="L56" s="28"/>
      <c r="M56" s="19"/>
      <c r="N56" s="19"/>
      <c r="O56" s="48"/>
      <c r="Q56" s="21"/>
      <c r="S56" s="21"/>
      <c r="V56" s="46"/>
    </row>
    <row r="57" spans="1:22" x14ac:dyDescent="0.35">
      <c r="A57">
        <v>269</v>
      </c>
      <c r="B57">
        <v>270</v>
      </c>
      <c r="C57">
        <v>146.81441253700001</v>
      </c>
      <c r="D57">
        <v>-19.166840787999899</v>
      </c>
      <c r="E57">
        <v>50</v>
      </c>
      <c r="I57" s="52"/>
      <c r="J57" s="28"/>
      <c r="K57" s="29"/>
      <c r="L57" s="28"/>
      <c r="M57" s="19"/>
      <c r="N57" s="19"/>
      <c r="O57" s="48"/>
      <c r="Q57" s="21"/>
      <c r="S57" s="21"/>
      <c r="V57" s="46"/>
    </row>
    <row r="58" spans="1:22" x14ac:dyDescent="0.35">
      <c r="A58">
        <v>274</v>
      </c>
      <c r="B58">
        <v>275</v>
      </c>
      <c r="C58">
        <v>146.81404942899999</v>
      </c>
      <c r="D58">
        <v>-19.1665912469999</v>
      </c>
      <c r="E58">
        <v>50</v>
      </c>
      <c r="I58" s="52"/>
      <c r="J58" s="28"/>
      <c r="K58" s="29"/>
      <c r="L58" s="28"/>
      <c r="M58" s="19"/>
      <c r="N58" s="19"/>
      <c r="O58" s="48"/>
      <c r="Q58" s="21"/>
      <c r="S58" s="21"/>
      <c r="V58" s="46"/>
    </row>
    <row r="59" spans="1:22" x14ac:dyDescent="0.35">
      <c r="A59">
        <v>279</v>
      </c>
      <c r="B59">
        <v>280</v>
      </c>
      <c r="C59">
        <v>146.813680371</v>
      </c>
      <c r="D59">
        <v>-19.166349881999999</v>
      </c>
      <c r="E59">
        <v>50</v>
      </c>
      <c r="I59" s="52"/>
      <c r="J59" s="28"/>
      <c r="K59" s="29"/>
      <c r="L59" s="28"/>
      <c r="M59" s="19"/>
      <c r="N59" s="19"/>
      <c r="O59" s="48"/>
      <c r="Q59" s="21"/>
      <c r="S59" s="21"/>
      <c r="V59" s="46"/>
    </row>
    <row r="60" spans="1:22" x14ac:dyDescent="0.35">
      <c r="A60">
        <v>284</v>
      </c>
      <c r="B60">
        <v>285</v>
      </c>
      <c r="C60">
        <v>146.813302037</v>
      </c>
      <c r="D60">
        <v>-19.166121215</v>
      </c>
      <c r="E60">
        <v>50</v>
      </c>
      <c r="I60" s="52"/>
      <c r="J60" s="28"/>
      <c r="K60" s="29"/>
      <c r="L60" s="28"/>
      <c r="M60" s="19"/>
      <c r="N60" s="19"/>
      <c r="O60" s="48"/>
      <c r="Q60" s="21"/>
      <c r="S60" s="21"/>
      <c r="V60" s="46"/>
    </row>
    <row r="61" spans="1:22" x14ac:dyDescent="0.35">
      <c r="A61">
        <v>289</v>
      </c>
      <c r="B61">
        <v>290</v>
      </c>
      <c r="C61">
        <v>146.81292769999999</v>
      </c>
      <c r="D61">
        <v>-19.165886759999999</v>
      </c>
      <c r="E61">
        <v>50</v>
      </c>
      <c r="I61" s="52"/>
      <c r="J61" s="28"/>
      <c r="K61" s="29"/>
      <c r="L61" s="28"/>
      <c r="M61" s="19"/>
      <c r="N61" s="19"/>
      <c r="O61" s="48"/>
      <c r="Q61" s="21"/>
      <c r="S61" s="21"/>
      <c r="V61" s="46"/>
    </row>
    <row r="62" spans="1:22" x14ac:dyDescent="0.35">
      <c r="A62">
        <v>294</v>
      </c>
      <c r="B62">
        <v>295</v>
      </c>
      <c r="C62">
        <v>146.81256202899999</v>
      </c>
      <c r="D62">
        <v>-19.165640924999899</v>
      </c>
      <c r="E62">
        <v>50</v>
      </c>
      <c r="I62" s="52"/>
      <c r="J62" s="28"/>
      <c r="K62" s="29"/>
      <c r="L62" s="28"/>
      <c r="M62" s="19"/>
      <c r="N62" s="19"/>
      <c r="O62" s="48"/>
      <c r="Q62" s="21"/>
      <c r="S62" s="21"/>
      <c r="V62" s="46"/>
    </row>
    <row r="63" spans="1:22" x14ac:dyDescent="0.35">
      <c r="A63">
        <v>299</v>
      </c>
      <c r="B63">
        <v>300</v>
      </c>
      <c r="C63">
        <v>146.81220842499999</v>
      </c>
      <c r="D63">
        <v>-19.1653793159999</v>
      </c>
      <c r="E63">
        <v>50</v>
      </c>
      <c r="I63" s="52"/>
      <c r="J63" s="28"/>
      <c r="K63" s="29"/>
      <c r="L63" s="28"/>
      <c r="M63" s="19"/>
      <c r="N63" s="19"/>
      <c r="O63" s="48"/>
      <c r="Q63" s="21"/>
      <c r="S63" s="21"/>
      <c r="V63" s="46"/>
    </row>
    <row r="64" spans="1:22" x14ac:dyDescent="0.35">
      <c r="A64">
        <v>304</v>
      </c>
      <c r="B64">
        <v>305</v>
      </c>
      <c r="C64">
        <v>146.81183656900001</v>
      </c>
      <c r="D64">
        <v>-19.1651417859999</v>
      </c>
      <c r="E64">
        <v>50</v>
      </c>
      <c r="I64" s="52"/>
      <c r="J64" s="28"/>
      <c r="K64" s="29"/>
      <c r="L64" s="28"/>
      <c r="M64" s="19"/>
      <c r="N64" s="19"/>
      <c r="O64" s="48"/>
      <c r="Q64" s="21"/>
      <c r="S64" s="21"/>
      <c r="V64" s="46"/>
    </row>
    <row r="65" spans="1:22" x14ac:dyDescent="0.35">
      <c r="A65">
        <v>309</v>
      </c>
      <c r="B65">
        <v>310</v>
      </c>
      <c r="C65">
        <v>146.81145880400001</v>
      </c>
      <c r="D65">
        <v>-19.164912521000002</v>
      </c>
      <c r="E65">
        <v>50</v>
      </c>
      <c r="I65" s="52"/>
      <c r="J65" s="28"/>
      <c r="K65" s="29"/>
      <c r="L65" s="28"/>
      <c r="M65" s="19"/>
      <c r="N65" s="19"/>
      <c r="O65" s="48"/>
      <c r="Q65" s="21"/>
      <c r="S65" s="21"/>
      <c r="V65" s="46"/>
    </row>
    <row r="66" spans="1:22" x14ac:dyDescent="0.35">
      <c r="A66">
        <v>314</v>
      </c>
      <c r="B66">
        <v>315</v>
      </c>
      <c r="C66">
        <v>146.81106529799999</v>
      </c>
      <c r="D66">
        <v>-19.164710243999899</v>
      </c>
      <c r="E66">
        <v>50</v>
      </c>
      <c r="I66" s="52"/>
      <c r="J66" s="28"/>
      <c r="K66" s="29"/>
      <c r="L66" s="28"/>
      <c r="M66" s="19"/>
      <c r="N66" s="19"/>
      <c r="O66" s="48"/>
      <c r="Q66" s="21"/>
      <c r="S66" s="21"/>
      <c r="V66" s="46"/>
    </row>
    <row r="67" spans="1:22" x14ac:dyDescent="0.35">
      <c r="A67">
        <v>319</v>
      </c>
      <c r="B67">
        <v>320</v>
      </c>
      <c r="C67">
        <v>146.81066126900001</v>
      </c>
      <c r="D67">
        <v>-19.1645281629999</v>
      </c>
      <c r="E67">
        <v>50</v>
      </c>
      <c r="I67" s="52"/>
      <c r="J67" s="28"/>
      <c r="K67" s="29"/>
      <c r="L67" s="28"/>
      <c r="M67" s="19"/>
      <c r="N67" s="19"/>
      <c r="O67" s="48"/>
      <c r="Q67" s="21"/>
      <c r="S67" s="21"/>
      <c r="V67" s="46"/>
    </row>
    <row r="68" spans="1:22" x14ac:dyDescent="0.35">
      <c r="A68">
        <v>324</v>
      </c>
      <c r="B68">
        <v>325</v>
      </c>
      <c r="C68">
        <v>146.810282817</v>
      </c>
      <c r="D68">
        <v>-19.164300566000001</v>
      </c>
      <c r="E68">
        <v>50</v>
      </c>
      <c r="I68" s="52"/>
      <c r="J68" s="28"/>
      <c r="K68" s="29"/>
      <c r="L68" s="28"/>
      <c r="M68" s="19"/>
      <c r="N68" s="19"/>
      <c r="O68" s="48"/>
      <c r="Q68" s="21"/>
      <c r="S68" s="21"/>
      <c r="V68" s="46"/>
    </row>
    <row r="69" spans="1:22" x14ac:dyDescent="0.35">
      <c r="A69">
        <v>329</v>
      </c>
      <c r="B69">
        <v>330</v>
      </c>
      <c r="C69">
        <v>146.80987428700001</v>
      </c>
      <c r="D69">
        <v>-19.164129997</v>
      </c>
      <c r="E69">
        <v>50</v>
      </c>
      <c r="I69" s="52"/>
      <c r="J69" s="28"/>
      <c r="K69" s="29"/>
      <c r="L69" s="28"/>
      <c r="M69" s="19"/>
      <c r="N69" s="19"/>
      <c r="O69" s="48"/>
      <c r="Q69" s="21"/>
      <c r="S69" s="21"/>
      <c r="V69" s="46"/>
    </row>
    <row r="70" spans="1:22" x14ac:dyDescent="0.35">
      <c r="A70">
        <v>334</v>
      </c>
      <c r="B70">
        <v>335</v>
      </c>
      <c r="C70">
        <v>146.809504715</v>
      </c>
      <c r="D70">
        <v>-19.163889716</v>
      </c>
      <c r="E70">
        <v>50</v>
      </c>
      <c r="I70" s="52"/>
      <c r="J70" s="28"/>
      <c r="K70" s="29"/>
      <c r="L70" s="28"/>
      <c r="M70" s="19"/>
      <c r="N70" s="19"/>
      <c r="O70" s="48"/>
      <c r="Q70" s="21"/>
      <c r="S70" s="21"/>
      <c r="V70" s="46"/>
    </row>
    <row r="71" spans="1:22" x14ac:dyDescent="0.35">
      <c r="A71">
        <v>339</v>
      </c>
      <c r="B71">
        <v>340</v>
      </c>
      <c r="C71">
        <v>146.809118781</v>
      </c>
      <c r="D71">
        <v>-19.163673288999998</v>
      </c>
      <c r="E71">
        <v>50</v>
      </c>
      <c r="I71" s="52"/>
      <c r="J71" s="28"/>
      <c r="K71" s="29"/>
      <c r="L71" s="28"/>
      <c r="M71" s="19"/>
      <c r="N71" s="19"/>
      <c r="O71" s="48"/>
      <c r="Q71" s="21"/>
      <c r="S71" s="21"/>
      <c r="V71" s="46"/>
    </row>
    <row r="72" spans="1:22" x14ac:dyDescent="0.35">
      <c r="A72">
        <v>344</v>
      </c>
      <c r="B72">
        <v>345</v>
      </c>
      <c r="C72">
        <v>146.80873597799999</v>
      </c>
      <c r="D72">
        <v>-19.16345158</v>
      </c>
      <c r="E72">
        <v>50</v>
      </c>
      <c r="I72" s="52"/>
      <c r="J72" s="28"/>
      <c r="K72" s="29"/>
      <c r="L72" s="28"/>
      <c r="M72" s="19"/>
      <c r="N72" s="19"/>
      <c r="O72" s="48"/>
      <c r="Q72" s="21"/>
      <c r="S72" s="21"/>
      <c r="V72" s="46"/>
    </row>
    <row r="73" spans="1:22" x14ac:dyDescent="0.35">
      <c r="A73">
        <v>349</v>
      </c>
      <c r="B73">
        <v>350</v>
      </c>
      <c r="C73">
        <v>146.80838311400001</v>
      </c>
      <c r="D73">
        <v>-19.163490200999899</v>
      </c>
      <c r="E73">
        <v>50</v>
      </c>
      <c r="I73" s="52"/>
      <c r="J73" s="28"/>
      <c r="K73" s="29"/>
      <c r="L73" s="28"/>
      <c r="M73" s="19"/>
      <c r="N73" s="19"/>
      <c r="O73" s="48"/>
      <c r="Q73" s="21"/>
      <c r="S73" s="21"/>
      <c r="V73" s="46"/>
    </row>
    <row r="74" spans="1:22" x14ac:dyDescent="0.35">
      <c r="A74">
        <v>354</v>
      </c>
      <c r="B74">
        <v>355</v>
      </c>
      <c r="C74">
        <v>146.80808460099999</v>
      </c>
      <c r="D74">
        <v>-19.163806900999901</v>
      </c>
      <c r="E74">
        <v>50</v>
      </c>
      <c r="I74" s="52"/>
      <c r="J74" s="28"/>
      <c r="K74" s="29"/>
      <c r="L74" s="28"/>
      <c r="M74" s="19"/>
      <c r="N74" s="19"/>
      <c r="O74" s="48"/>
      <c r="Q74" s="21"/>
      <c r="S74" s="21"/>
      <c r="V74" s="46"/>
    </row>
    <row r="75" spans="1:22" x14ac:dyDescent="0.35">
      <c r="A75">
        <v>359</v>
      </c>
      <c r="B75">
        <v>360</v>
      </c>
      <c r="C75">
        <v>146.807820822</v>
      </c>
      <c r="D75">
        <v>-19.163847689000001</v>
      </c>
      <c r="E75">
        <v>50</v>
      </c>
      <c r="I75" s="52"/>
      <c r="J75" s="28"/>
      <c r="K75" s="29"/>
      <c r="L75" s="28"/>
      <c r="M75" s="19"/>
      <c r="N75" s="19"/>
      <c r="O75" s="48"/>
      <c r="Q75" s="21"/>
      <c r="S75" s="21"/>
      <c r="V75" s="46"/>
    </row>
    <row r="76" spans="1:22" x14ac:dyDescent="0.35">
      <c r="A76">
        <v>364</v>
      </c>
      <c r="B76">
        <v>365</v>
      </c>
      <c r="C76">
        <v>146.80809080700001</v>
      </c>
      <c r="D76">
        <v>-19.163543989999901</v>
      </c>
      <c r="E76">
        <v>50</v>
      </c>
      <c r="I76" s="52"/>
      <c r="J76" s="28"/>
      <c r="K76" s="29"/>
      <c r="L76" s="28"/>
      <c r="M76" s="19"/>
      <c r="N76" s="19"/>
      <c r="O76" s="48"/>
      <c r="Q76" s="21"/>
      <c r="S76" s="21"/>
      <c r="V76" s="46"/>
    </row>
    <row r="77" spans="1:22" x14ac:dyDescent="0.35">
      <c r="A77">
        <v>369</v>
      </c>
      <c r="B77">
        <v>370</v>
      </c>
      <c r="C77">
        <v>146.80776351700001</v>
      </c>
      <c r="D77">
        <v>-19.1633301419999</v>
      </c>
      <c r="E77">
        <v>50</v>
      </c>
      <c r="I77" s="52"/>
      <c r="J77" s="28"/>
      <c r="K77" s="29"/>
      <c r="L77" s="28"/>
      <c r="M77" s="19"/>
      <c r="N77" s="19"/>
      <c r="O77" s="48"/>
      <c r="Q77" s="21"/>
      <c r="S77" s="21"/>
      <c r="V77" s="46"/>
    </row>
    <row r="78" spans="1:22" x14ac:dyDescent="0.35">
      <c r="A78">
        <v>374</v>
      </c>
      <c r="B78">
        <v>375</v>
      </c>
      <c r="C78">
        <v>146.807818271</v>
      </c>
      <c r="D78">
        <v>-19.163010996000001</v>
      </c>
      <c r="E78">
        <v>50</v>
      </c>
      <c r="I78" s="52"/>
      <c r="J78" s="28"/>
      <c r="K78" s="29"/>
      <c r="L78" s="28"/>
      <c r="M78" s="19"/>
      <c r="N78" s="19"/>
      <c r="O78" s="48"/>
      <c r="Q78" s="21"/>
      <c r="S78" s="21"/>
      <c r="V78" s="46"/>
    </row>
    <row r="79" spans="1:22" x14ac:dyDescent="0.35">
      <c r="A79">
        <v>379</v>
      </c>
      <c r="B79">
        <v>380</v>
      </c>
      <c r="C79">
        <v>146.80742160400001</v>
      </c>
      <c r="D79">
        <v>-19.1628146649999</v>
      </c>
      <c r="E79">
        <v>50</v>
      </c>
      <c r="I79" s="52"/>
      <c r="J79" s="28"/>
      <c r="K79" s="29"/>
      <c r="L79" s="28"/>
      <c r="M79" s="19"/>
      <c r="N79" s="19"/>
      <c r="O79" s="48"/>
      <c r="Q79" s="21"/>
      <c r="S79" s="21"/>
      <c r="V79" s="46"/>
    </row>
    <row r="80" spans="1:22" x14ac:dyDescent="0.35">
      <c r="A80">
        <v>384</v>
      </c>
      <c r="B80">
        <v>385</v>
      </c>
      <c r="C80">
        <v>146.80702406200001</v>
      </c>
      <c r="D80">
        <v>-19.162618032999902</v>
      </c>
      <c r="E80">
        <v>50</v>
      </c>
      <c r="I80" s="52"/>
      <c r="J80" s="28"/>
      <c r="K80" s="29"/>
      <c r="L80" s="28"/>
      <c r="M80" s="19"/>
      <c r="N80" s="19"/>
      <c r="O80" s="48"/>
      <c r="Q80" s="21"/>
      <c r="S80" s="21"/>
      <c r="V80" s="46"/>
    </row>
    <row r="81" spans="1:22" x14ac:dyDescent="0.35">
      <c r="A81">
        <v>389</v>
      </c>
      <c r="B81">
        <v>390</v>
      </c>
      <c r="C81">
        <v>146.80663282899999</v>
      </c>
      <c r="D81">
        <v>-19.162410300000001</v>
      </c>
      <c r="E81">
        <v>50</v>
      </c>
      <c r="I81" s="52"/>
      <c r="J81" s="28"/>
      <c r="K81" s="29"/>
      <c r="L81" s="28"/>
      <c r="M81" s="19"/>
      <c r="N81" s="19"/>
      <c r="O81" s="48"/>
      <c r="Q81" s="21"/>
      <c r="S81" s="21"/>
      <c r="V81" s="46"/>
    </row>
    <row r="82" spans="1:22" x14ac:dyDescent="0.35">
      <c r="A82">
        <v>394</v>
      </c>
      <c r="B82">
        <v>395</v>
      </c>
      <c r="C82">
        <v>146.80621786099999</v>
      </c>
      <c r="D82">
        <v>-19.162249738</v>
      </c>
      <c r="E82">
        <v>50</v>
      </c>
      <c r="I82" s="52"/>
      <c r="J82" s="28"/>
      <c r="K82" s="29"/>
      <c r="L82" s="28"/>
      <c r="M82" s="19"/>
      <c r="N82" s="19"/>
      <c r="O82" s="48"/>
      <c r="Q82" s="21"/>
      <c r="S82" s="21"/>
      <c r="V82" s="46"/>
    </row>
    <row r="83" spans="1:22" x14ac:dyDescent="0.35">
      <c r="A83">
        <v>399</v>
      </c>
      <c r="B83">
        <v>400</v>
      </c>
      <c r="C83">
        <v>146.80579600999999</v>
      </c>
      <c r="D83">
        <v>-19.162132223999901</v>
      </c>
      <c r="E83">
        <v>50</v>
      </c>
      <c r="I83" s="52"/>
      <c r="J83" s="28"/>
      <c r="K83" s="29"/>
      <c r="L83" s="28"/>
      <c r="M83" s="19"/>
      <c r="N83" s="19"/>
      <c r="O83" s="48"/>
      <c r="Q83" s="21"/>
      <c r="S83" s="21"/>
      <c r="V83" s="46"/>
    </row>
    <row r="84" spans="1:22" x14ac:dyDescent="0.35">
      <c r="A84">
        <v>404</v>
      </c>
      <c r="B84">
        <v>405</v>
      </c>
      <c r="C84">
        <v>146.80535113600001</v>
      </c>
      <c r="D84">
        <v>-19.162092736999998</v>
      </c>
      <c r="E84">
        <v>50</v>
      </c>
      <c r="I84" s="52"/>
      <c r="J84" s="28"/>
      <c r="K84" s="29"/>
      <c r="L84" s="28"/>
      <c r="M84" s="19"/>
      <c r="N84" s="19"/>
      <c r="O84" s="48"/>
      <c r="Q84" s="21"/>
      <c r="S84" s="21"/>
      <c r="V84" s="46"/>
    </row>
    <row r="85" spans="1:22" x14ac:dyDescent="0.35">
      <c r="A85">
        <v>409</v>
      </c>
      <c r="B85">
        <v>410</v>
      </c>
      <c r="C85">
        <v>146.80492736599999</v>
      </c>
      <c r="D85">
        <v>-19.161957905999898</v>
      </c>
      <c r="E85">
        <v>50</v>
      </c>
      <c r="I85" s="52"/>
      <c r="J85" s="28"/>
      <c r="K85" s="29"/>
      <c r="L85" s="28"/>
      <c r="M85" s="19"/>
      <c r="N85" s="19"/>
      <c r="O85" s="48"/>
      <c r="Q85" s="21"/>
      <c r="S85" s="21"/>
      <c r="V85" s="46"/>
    </row>
    <row r="86" spans="1:22" x14ac:dyDescent="0.35">
      <c r="A86">
        <v>414</v>
      </c>
      <c r="B86">
        <v>415</v>
      </c>
      <c r="C86">
        <v>146.80452806400001</v>
      </c>
      <c r="D86">
        <v>-19.161764085000002</v>
      </c>
      <c r="E86">
        <v>50</v>
      </c>
      <c r="I86" s="52"/>
      <c r="J86" s="28"/>
      <c r="K86" s="29"/>
      <c r="L86" s="28"/>
      <c r="M86" s="19"/>
      <c r="N86" s="19"/>
      <c r="O86" s="48"/>
      <c r="Q86" s="21"/>
      <c r="S86" s="21"/>
      <c r="V86" s="46"/>
    </row>
    <row r="87" spans="1:22" x14ac:dyDescent="0.35">
      <c r="A87">
        <v>419</v>
      </c>
      <c r="B87">
        <v>420</v>
      </c>
      <c r="C87">
        <v>146.80415858500001</v>
      </c>
      <c r="D87">
        <v>-19.1615228379999</v>
      </c>
      <c r="E87">
        <v>50</v>
      </c>
      <c r="I87" s="52"/>
      <c r="J87" s="28"/>
      <c r="K87" s="29"/>
      <c r="L87" s="28"/>
      <c r="M87" s="19"/>
      <c r="N87" s="19"/>
      <c r="O87" s="48"/>
      <c r="Q87" s="21"/>
      <c r="S87" s="21"/>
      <c r="V87" s="46"/>
    </row>
    <row r="88" spans="1:22" x14ac:dyDescent="0.35">
      <c r="A88">
        <v>424</v>
      </c>
      <c r="B88">
        <v>425</v>
      </c>
      <c r="C88">
        <v>146.803781515</v>
      </c>
      <c r="D88">
        <v>-19.161292666999898</v>
      </c>
      <c r="E88">
        <v>50</v>
      </c>
      <c r="I88" s="52"/>
      <c r="J88" s="28"/>
      <c r="K88" s="29"/>
      <c r="L88" s="28"/>
      <c r="M88" s="19"/>
      <c r="N88" s="19"/>
      <c r="O88" s="48"/>
      <c r="Q88" s="21"/>
      <c r="S88" s="21"/>
      <c r="V88" s="46"/>
    </row>
    <row r="89" spans="1:22" x14ac:dyDescent="0.35">
      <c r="A89">
        <v>429</v>
      </c>
      <c r="B89">
        <v>430</v>
      </c>
      <c r="C89">
        <v>146.80340367400001</v>
      </c>
      <c r="D89">
        <v>-19.161063591000001</v>
      </c>
      <c r="E89">
        <v>50</v>
      </c>
      <c r="I89" s="52"/>
      <c r="J89" s="28"/>
      <c r="K89" s="29"/>
      <c r="L89" s="28"/>
      <c r="M89" s="19"/>
      <c r="N89" s="19"/>
      <c r="O89" s="48"/>
      <c r="Q89" s="21"/>
      <c r="S89" s="21"/>
      <c r="V89" s="46"/>
    </row>
    <row r="90" spans="1:22" x14ac:dyDescent="0.35">
      <c r="A90">
        <v>434</v>
      </c>
      <c r="B90">
        <v>435</v>
      </c>
      <c r="C90">
        <v>146.803033465</v>
      </c>
      <c r="D90">
        <v>-19.160823342999901</v>
      </c>
      <c r="E90">
        <v>50</v>
      </c>
      <c r="I90" s="52"/>
      <c r="J90" s="28"/>
      <c r="K90" s="29"/>
      <c r="L90" s="28"/>
      <c r="M90" s="19"/>
      <c r="N90" s="19"/>
      <c r="O90" s="48"/>
      <c r="Q90" s="21"/>
      <c r="S90" s="21"/>
      <c r="V90" s="46"/>
    </row>
    <row r="91" spans="1:22" x14ac:dyDescent="0.35">
      <c r="A91">
        <v>439</v>
      </c>
      <c r="B91">
        <v>440</v>
      </c>
      <c r="C91">
        <v>146.80276861799999</v>
      </c>
      <c r="D91">
        <v>-19.160481054999899</v>
      </c>
      <c r="E91">
        <v>50</v>
      </c>
      <c r="I91" s="52"/>
      <c r="J91" s="28"/>
      <c r="K91" s="29"/>
      <c r="L91" s="28"/>
      <c r="M91" s="19"/>
      <c r="N91" s="19"/>
      <c r="O91" s="48"/>
      <c r="Q91" s="21"/>
      <c r="S91" s="21"/>
      <c r="V91" s="46"/>
    </row>
    <row r="92" spans="1:22" x14ac:dyDescent="0.35">
      <c r="A92">
        <v>444</v>
      </c>
      <c r="B92">
        <v>445</v>
      </c>
      <c r="C92">
        <v>146.80252156700001</v>
      </c>
      <c r="D92">
        <v>-19.160130744999901</v>
      </c>
      <c r="E92">
        <v>50</v>
      </c>
      <c r="I92" s="52"/>
      <c r="J92" s="28"/>
      <c r="K92" s="29"/>
      <c r="L92" s="28"/>
      <c r="M92" s="19"/>
      <c r="N92" s="19"/>
      <c r="O92" s="48"/>
      <c r="Q92" s="21"/>
      <c r="S92" s="21"/>
      <c r="V92" s="46"/>
    </row>
    <row r="93" spans="1:22" x14ac:dyDescent="0.35">
      <c r="A93">
        <v>449</v>
      </c>
      <c r="B93">
        <v>450</v>
      </c>
      <c r="C93">
        <v>146.80228077500001</v>
      </c>
      <c r="D93">
        <v>-19.159774841999901</v>
      </c>
      <c r="E93">
        <v>50</v>
      </c>
      <c r="I93" s="52"/>
      <c r="J93" s="28"/>
      <c r="K93" s="29"/>
      <c r="L93" s="28"/>
      <c r="M93" s="19"/>
      <c r="N93" s="19"/>
      <c r="O93" s="48"/>
      <c r="Q93" s="21"/>
      <c r="S93" s="21"/>
      <c r="V93" s="46"/>
    </row>
    <row r="94" spans="1:22" x14ac:dyDescent="0.35">
      <c r="A94">
        <v>454</v>
      </c>
      <c r="B94">
        <v>455</v>
      </c>
      <c r="C94">
        <v>146.80223250399999</v>
      </c>
      <c r="D94">
        <v>-19.159357606999901</v>
      </c>
      <c r="E94">
        <v>50</v>
      </c>
      <c r="I94" s="52"/>
      <c r="J94" s="28"/>
      <c r="K94" s="29"/>
      <c r="L94" s="28"/>
      <c r="M94" s="19"/>
      <c r="N94" s="19"/>
      <c r="O94" s="48"/>
      <c r="Q94" s="21"/>
      <c r="S94" s="21"/>
      <c r="V94" s="46"/>
    </row>
    <row r="95" spans="1:22" x14ac:dyDescent="0.35">
      <c r="A95">
        <v>459</v>
      </c>
      <c r="B95">
        <v>460</v>
      </c>
      <c r="C95">
        <v>146.80244350999999</v>
      </c>
      <c r="D95">
        <v>-19.158993482</v>
      </c>
      <c r="E95">
        <v>50</v>
      </c>
      <c r="I95" s="52"/>
      <c r="J95" s="28"/>
      <c r="K95" s="29"/>
      <c r="L95" s="28"/>
      <c r="M95" s="19"/>
      <c r="N95" s="19"/>
      <c r="O95" s="48"/>
      <c r="Q95" s="21"/>
      <c r="S95" s="21"/>
      <c r="V95" s="46"/>
    </row>
    <row r="96" spans="1:22" x14ac:dyDescent="0.35">
      <c r="A96">
        <v>464</v>
      </c>
      <c r="B96">
        <v>465</v>
      </c>
      <c r="C96">
        <v>146.80277365200001</v>
      </c>
      <c r="D96">
        <v>-19.1587350779999</v>
      </c>
      <c r="E96">
        <v>50</v>
      </c>
      <c r="I96" s="52"/>
      <c r="J96" s="28"/>
      <c r="K96" s="29"/>
      <c r="L96" s="28"/>
      <c r="M96" s="19"/>
      <c r="N96" s="19"/>
      <c r="O96" s="48"/>
      <c r="Q96" s="21"/>
      <c r="S96" s="21"/>
      <c r="V96" s="46"/>
    </row>
    <row r="97" spans="1:22" x14ac:dyDescent="0.35">
      <c r="A97">
        <v>469</v>
      </c>
      <c r="B97">
        <v>470</v>
      </c>
      <c r="C97">
        <v>146.80262469499999</v>
      </c>
      <c r="D97">
        <v>-19.158457335000001</v>
      </c>
      <c r="E97">
        <v>50</v>
      </c>
      <c r="I97" s="52"/>
      <c r="J97" s="28"/>
      <c r="K97" s="29"/>
      <c r="L97" s="28"/>
      <c r="M97" s="19"/>
      <c r="N97" s="19"/>
      <c r="O97" s="48"/>
      <c r="Q97" s="21"/>
      <c r="S97" s="21"/>
      <c r="V97" s="46"/>
    </row>
    <row r="98" spans="1:22" x14ac:dyDescent="0.35">
      <c r="A98">
        <v>474</v>
      </c>
      <c r="B98">
        <v>475</v>
      </c>
      <c r="C98">
        <v>146.802517123</v>
      </c>
      <c r="D98">
        <v>-19.158094402</v>
      </c>
      <c r="E98">
        <v>50</v>
      </c>
      <c r="I98" s="52"/>
      <c r="J98" s="28"/>
      <c r="K98" s="29"/>
      <c r="L98" s="28"/>
      <c r="M98" s="19"/>
      <c r="N98" s="19"/>
      <c r="O98" s="48"/>
      <c r="Q98" s="21"/>
      <c r="S98" s="21"/>
      <c r="V98" s="46"/>
    </row>
    <row r="99" spans="1:22" x14ac:dyDescent="0.35">
      <c r="A99">
        <v>479</v>
      </c>
      <c r="B99">
        <v>480</v>
      </c>
      <c r="C99">
        <v>146.802478339</v>
      </c>
      <c r="D99">
        <v>-19.157680136</v>
      </c>
      <c r="E99">
        <v>50</v>
      </c>
      <c r="I99" s="52"/>
      <c r="J99" s="28"/>
      <c r="K99" s="29"/>
      <c r="L99" s="28"/>
      <c r="M99" s="19"/>
      <c r="N99" s="19"/>
      <c r="O99" s="48"/>
      <c r="Q99" s="21"/>
      <c r="S99" s="21"/>
      <c r="V99" s="46"/>
    </row>
    <row r="100" spans="1:22" x14ac:dyDescent="0.35">
      <c r="A100">
        <v>484</v>
      </c>
      <c r="B100">
        <v>485</v>
      </c>
      <c r="C100">
        <v>146.80239350100001</v>
      </c>
      <c r="D100">
        <v>-19.1572687459999</v>
      </c>
      <c r="E100">
        <v>50</v>
      </c>
      <c r="I100" s="52"/>
      <c r="J100" s="28"/>
      <c r="K100" s="29"/>
      <c r="L100" s="28"/>
      <c r="M100" s="19"/>
      <c r="N100" s="19"/>
      <c r="O100" s="48"/>
      <c r="Q100" s="21"/>
      <c r="S100" s="21"/>
      <c r="V100" s="46"/>
    </row>
    <row r="101" spans="1:22" x14ac:dyDescent="0.35">
      <c r="A101">
        <v>489</v>
      </c>
      <c r="B101">
        <v>490</v>
      </c>
      <c r="C101">
        <v>146.80238902400001</v>
      </c>
      <c r="D101">
        <v>-19.156863697999899</v>
      </c>
      <c r="E101">
        <v>50</v>
      </c>
      <c r="I101" s="52"/>
      <c r="J101" s="28"/>
      <c r="K101" s="29"/>
      <c r="L101" s="28"/>
      <c r="M101" s="19"/>
      <c r="N101" s="19"/>
      <c r="O101" s="48"/>
      <c r="Q101" s="21"/>
      <c r="S101" s="21"/>
      <c r="V101" s="46"/>
    </row>
    <row r="102" spans="1:22" x14ac:dyDescent="0.35">
      <c r="A102">
        <v>494</v>
      </c>
      <c r="B102">
        <v>495</v>
      </c>
      <c r="C102">
        <v>146.802112948</v>
      </c>
      <c r="D102">
        <v>-19.156541397999899</v>
      </c>
      <c r="E102">
        <v>50</v>
      </c>
      <c r="I102" s="52"/>
      <c r="J102" s="28"/>
      <c r="K102" s="29"/>
      <c r="L102" s="28"/>
      <c r="M102" s="19"/>
      <c r="N102" s="19"/>
      <c r="O102" s="48"/>
      <c r="Q102" s="21"/>
      <c r="S102" s="21"/>
      <c r="V102" s="46"/>
    </row>
    <row r="103" spans="1:22" x14ac:dyDescent="0.35">
      <c r="A103">
        <v>499</v>
      </c>
      <c r="B103">
        <v>500</v>
      </c>
      <c r="C103">
        <v>146.80189397300001</v>
      </c>
      <c r="D103">
        <v>-19.156176788</v>
      </c>
      <c r="E103">
        <v>50</v>
      </c>
      <c r="I103" s="52"/>
      <c r="J103" s="28"/>
      <c r="K103" s="29"/>
      <c r="L103" s="28"/>
      <c r="M103" s="19"/>
      <c r="N103" s="19"/>
      <c r="O103" s="48"/>
      <c r="Q103" s="21"/>
      <c r="S103" s="21"/>
      <c r="V103" s="46"/>
    </row>
    <row r="104" spans="1:22" x14ac:dyDescent="0.35">
      <c r="A104">
        <v>504</v>
      </c>
      <c r="B104">
        <v>505</v>
      </c>
      <c r="C104">
        <v>146.80182377899999</v>
      </c>
      <c r="D104">
        <v>-19.1557626929999</v>
      </c>
      <c r="E104">
        <v>50</v>
      </c>
      <c r="I104" s="52"/>
      <c r="J104" s="28"/>
      <c r="K104" s="29"/>
      <c r="L104" s="28"/>
      <c r="M104" s="19"/>
      <c r="N104" s="19"/>
      <c r="O104" s="48"/>
      <c r="Q104" s="21"/>
      <c r="S104" s="21"/>
      <c r="V104" s="46"/>
    </row>
    <row r="105" spans="1:22" x14ac:dyDescent="0.35">
      <c r="A105">
        <v>509</v>
      </c>
      <c r="B105">
        <v>510</v>
      </c>
      <c r="C105">
        <v>146.801772675</v>
      </c>
      <c r="D105">
        <v>-19.155341192000002</v>
      </c>
      <c r="E105">
        <v>50</v>
      </c>
      <c r="I105" s="52"/>
      <c r="J105" s="28"/>
      <c r="K105" s="29"/>
      <c r="L105" s="28"/>
      <c r="M105" s="19"/>
      <c r="N105" s="19"/>
      <c r="O105" s="48"/>
      <c r="Q105" s="21"/>
      <c r="S105" s="21"/>
      <c r="V105" s="46"/>
    </row>
    <row r="106" spans="1:22" x14ac:dyDescent="0.35">
      <c r="A106">
        <v>514</v>
      </c>
      <c r="B106">
        <v>515</v>
      </c>
      <c r="C106">
        <v>146.80164143499999</v>
      </c>
      <c r="D106">
        <v>-19.154942629999901</v>
      </c>
      <c r="E106">
        <v>50</v>
      </c>
      <c r="I106" s="52"/>
      <c r="J106" s="28"/>
      <c r="K106" s="29"/>
      <c r="L106" s="28"/>
      <c r="M106" s="19"/>
      <c r="N106" s="19"/>
      <c r="O106" s="48"/>
      <c r="Q106" s="21"/>
      <c r="S106" s="21"/>
      <c r="V106" s="46"/>
    </row>
    <row r="107" spans="1:22" x14ac:dyDescent="0.35">
      <c r="A107">
        <v>519</v>
      </c>
      <c r="B107">
        <v>520</v>
      </c>
      <c r="C107">
        <v>146.80141202900001</v>
      </c>
      <c r="D107">
        <v>-19.154578505</v>
      </c>
      <c r="E107">
        <v>50</v>
      </c>
      <c r="I107" s="52"/>
      <c r="J107" s="28"/>
      <c r="K107" s="29"/>
      <c r="L107" s="28"/>
      <c r="M107" s="19"/>
      <c r="N107" s="19"/>
      <c r="O107" s="48"/>
      <c r="Q107" s="21"/>
      <c r="S107" s="21"/>
      <c r="V107" s="46"/>
    </row>
    <row r="108" spans="1:22" x14ac:dyDescent="0.35">
      <c r="A108">
        <v>524</v>
      </c>
      <c r="B108">
        <v>525</v>
      </c>
      <c r="C108">
        <v>146.801174919</v>
      </c>
      <c r="D108">
        <v>-19.154218330999999</v>
      </c>
      <c r="E108">
        <v>50</v>
      </c>
      <c r="I108" s="52"/>
      <c r="J108" s="28"/>
      <c r="K108" s="29"/>
      <c r="L108" s="28"/>
      <c r="M108" s="19"/>
      <c r="N108" s="19"/>
      <c r="O108" s="48"/>
      <c r="Q108" s="21"/>
      <c r="S108" s="21"/>
      <c r="V108" s="46"/>
    </row>
    <row r="109" spans="1:22" x14ac:dyDescent="0.35">
      <c r="A109">
        <v>529</v>
      </c>
      <c r="B109">
        <v>530</v>
      </c>
      <c r="C109">
        <v>146.800951489</v>
      </c>
      <c r="D109">
        <v>-19.153850257999999</v>
      </c>
      <c r="E109">
        <v>50</v>
      </c>
      <c r="I109" s="52"/>
      <c r="J109" s="28"/>
      <c r="K109" s="29"/>
      <c r="L109" s="28"/>
      <c r="M109" s="19"/>
      <c r="N109" s="19"/>
      <c r="O109" s="48"/>
      <c r="Q109" s="21"/>
      <c r="S109" s="21"/>
      <c r="V109" s="46"/>
    </row>
    <row r="110" spans="1:22" x14ac:dyDescent="0.35">
      <c r="A110">
        <v>534</v>
      </c>
      <c r="B110">
        <v>535</v>
      </c>
      <c r="C110">
        <v>146.800728703</v>
      </c>
      <c r="D110">
        <v>-19.153481837000001</v>
      </c>
      <c r="E110">
        <v>50</v>
      </c>
      <c r="I110" s="52"/>
      <c r="J110" s="28"/>
      <c r="K110" s="29"/>
      <c r="L110" s="28"/>
      <c r="M110" s="19"/>
      <c r="N110" s="19"/>
      <c r="O110" s="48"/>
      <c r="Q110" s="21"/>
      <c r="S110" s="21"/>
      <c r="V110" s="46"/>
    </row>
    <row r="111" spans="1:22" x14ac:dyDescent="0.35">
      <c r="A111">
        <v>539</v>
      </c>
      <c r="B111">
        <v>540</v>
      </c>
      <c r="C111">
        <v>146.80053782799999</v>
      </c>
      <c r="D111">
        <v>-19.1530981229999</v>
      </c>
      <c r="E111">
        <v>50</v>
      </c>
      <c r="I111" s="52"/>
      <c r="J111" s="28"/>
      <c r="K111" s="29"/>
      <c r="L111" s="28"/>
      <c r="M111" s="19"/>
      <c r="N111" s="19"/>
      <c r="O111" s="48"/>
      <c r="Q111" s="21"/>
      <c r="S111" s="21"/>
      <c r="V111" s="46"/>
    </row>
    <row r="112" spans="1:22" x14ac:dyDescent="0.35">
      <c r="A112">
        <v>544</v>
      </c>
      <c r="B112">
        <v>545</v>
      </c>
      <c r="C112">
        <v>146.80030762499999</v>
      </c>
      <c r="D112">
        <v>-19.152735999999901</v>
      </c>
      <c r="E112">
        <v>50</v>
      </c>
      <c r="I112" s="52"/>
      <c r="J112" s="28"/>
      <c r="K112" s="29"/>
      <c r="L112" s="28"/>
      <c r="M112" s="19"/>
      <c r="N112" s="19"/>
      <c r="O112" s="48"/>
      <c r="Q112" s="21"/>
      <c r="S112" s="21"/>
      <c r="V112" s="46"/>
    </row>
    <row r="113" spans="1:22" x14ac:dyDescent="0.35">
      <c r="A113">
        <v>549</v>
      </c>
      <c r="B113">
        <v>550</v>
      </c>
      <c r="C113">
        <v>146.79994683800001</v>
      </c>
      <c r="D113">
        <v>-19.152534574999901</v>
      </c>
      <c r="E113">
        <v>50</v>
      </c>
      <c r="I113" s="52"/>
      <c r="J113" s="28"/>
      <c r="K113" s="29"/>
      <c r="L113" s="28"/>
      <c r="M113" s="19"/>
      <c r="N113" s="19"/>
      <c r="O113" s="48"/>
      <c r="Q113" s="21"/>
      <c r="S113" s="21"/>
      <c r="V113" s="46"/>
    </row>
    <row r="114" spans="1:22" x14ac:dyDescent="0.35">
      <c r="A114">
        <v>554</v>
      </c>
      <c r="B114">
        <v>555</v>
      </c>
      <c r="C114">
        <v>146.80010707700001</v>
      </c>
      <c r="D114">
        <v>-19.152227927999899</v>
      </c>
      <c r="E114">
        <v>50</v>
      </c>
      <c r="I114" s="52"/>
      <c r="J114" s="28"/>
      <c r="K114" s="29"/>
      <c r="L114" s="28"/>
      <c r="M114" s="19"/>
      <c r="N114" s="19"/>
      <c r="O114" s="48"/>
      <c r="Q114" s="21"/>
      <c r="S114" s="21"/>
      <c r="V114" s="46"/>
    </row>
    <row r="115" spans="1:22" x14ac:dyDescent="0.35">
      <c r="A115">
        <v>559</v>
      </c>
      <c r="B115">
        <v>560</v>
      </c>
      <c r="C115">
        <v>146.79985303000001</v>
      </c>
      <c r="D115">
        <v>-19.151891952</v>
      </c>
      <c r="E115">
        <v>50</v>
      </c>
      <c r="I115" s="52"/>
      <c r="J115" s="28"/>
      <c r="K115" s="29"/>
      <c r="L115" s="28"/>
      <c r="M115" s="19"/>
      <c r="N115" s="19"/>
      <c r="O115" s="48"/>
      <c r="Q115" s="21"/>
      <c r="S115" s="21"/>
      <c r="V115" s="46"/>
    </row>
    <row r="116" spans="1:22" x14ac:dyDescent="0.35">
      <c r="A116">
        <v>564</v>
      </c>
      <c r="B116">
        <v>565</v>
      </c>
      <c r="C116">
        <v>146.799509524</v>
      </c>
      <c r="D116">
        <v>-19.151619624999999</v>
      </c>
      <c r="E116">
        <v>50</v>
      </c>
      <c r="I116" s="52"/>
      <c r="J116" s="28"/>
      <c r="K116" s="29"/>
      <c r="L116" s="28"/>
      <c r="M116" s="19"/>
      <c r="N116" s="19"/>
      <c r="O116" s="48"/>
      <c r="Q116" s="21"/>
      <c r="S116" s="21"/>
      <c r="V116" s="46"/>
    </row>
    <row r="117" spans="1:22" x14ac:dyDescent="0.35">
      <c r="A117">
        <v>569</v>
      </c>
      <c r="B117">
        <v>570</v>
      </c>
      <c r="C117">
        <v>146.79916743300001</v>
      </c>
      <c r="D117">
        <v>-19.151344691999999</v>
      </c>
      <c r="E117">
        <v>50</v>
      </c>
      <c r="I117" s="52"/>
      <c r="J117" s="28"/>
      <c r="K117" s="29"/>
      <c r="L117" s="28"/>
      <c r="M117" s="19"/>
      <c r="N117" s="19"/>
      <c r="O117" s="48"/>
      <c r="Q117" s="21"/>
      <c r="S117" s="21"/>
      <c r="V117" s="46"/>
    </row>
    <row r="118" spans="1:22" x14ac:dyDescent="0.35">
      <c r="A118">
        <v>574</v>
      </c>
      <c r="B118">
        <v>575</v>
      </c>
      <c r="C118">
        <v>146.79881827</v>
      </c>
      <c r="D118">
        <v>-19.151077789999899</v>
      </c>
      <c r="E118">
        <v>50</v>
      </c>
      <c r="I118" s="52"/>
      <c r="J118" s="28"/>
      <c r="K118" s="29"/>
      <c r="L118" s="28"/>
      <c r="M118" s="19"/>
      <c r="N118" s="19"/>
      <c r="O118" s="48"/>
      <c r="Q118" s="21"/>
      <c r="S118" s="21"/>
      <c r="V118" s="46"/>
    </row>
    <row r="119" spans="1:22" x14ac:dyDescent="0.35">
      <c r="A119">
        <v>579</v>
      </c>
      <c r="B119">
        <v>580</v>
      </c>
      <c r="C119">
        <v>146.79848620199999</v>
      </c>
      <c r="D119">
        <v>-19.150792419999998</v>
      </c>
      <c r="E119">
        <v>50</v>
      </c>
      <c r="I119" s="52"/>
      <c r="J119" s="28"/>
      <c r="K119" s="29"/>
      <c r="L119" s="28"/>
      <c r="M119" s="19"/>
      <c r="N119" s="19"/>
      <c r="O119" s="48"/>
      <c r="Q119" s="21"/>
      <c r="S119" s="21"/>
      <c r="V119" s="46"/>
    </row>
    <row r="120" spans="1:22" x14ac:dyDescent="0.35">
      <c r="A120">
        <v>584</v>
      </c>
      <c r="B120">
        <v>585</v>
      </c>
      <c r="C120">
        <v>146.79815267800001</v>
      </c>
      <c r="D120">
        <v>-19.150508764999898</v>
      </c>
      <c r="E120">
        <v>50</v>
      </c>
      <c r="I120" s="52"/>
      <c r="J120" s="28"/>
      <c r="K120" s="29"/>
      <c r="L120" s="28"/>
      <c r="M120" s="19"/>
      <c r="N120" s="19"/>
      <c r="O120" s="48"/>
      <c r="Q120" s="21"/>
      <c r="S120" s="21"/>
      <c r="V120" s="46"/>
    </row>
    <row r="121" spans="1:22" x14ac:dyDescent="0.35">
      <c r="A121">
        <v>589</v>
      </c>
      <c r="B121">
        <v>590</v>
      </c>
      <c r="C121">
        <v>146.797798379</v>
      </c>
      <c r="D121">
        <v>-19.150247971999899</v>
      </c>
      <c r="E121">
        <v>50</v>
      </c>
      <c r="I121" s="52"/>
      <c r="J121" s="28"/>
      <c r="K121" s="29"/>
      <c r="L121" s="28"/>
      <c r="M121" s="19"/>
      <c r="N121" s="19"/>
      <c r="O121" s="48"/>
      <c r="Q121" s="21"/>
      <c r="S121" s="21"/>
      <c r="V121" s="46"/>
    </row>
    <row r="122" spans="1:22" x14ac:dyDescent="0.35">
      <c r="A122">
        <v>594</v>
      </c>
      <c r="B122">
        <v>595</v>
      </c>
      <c r="C122">
        <v>146.797428758</v>
      </c>
      <c r="D122">
        <v>-19.150007545999902</v>
      </c>
      <c r="E122">
        <v>50</v>
      </c>
      <c r="I122" s="52"/>
      <c r="J122" s="28"/>
      <c r="K122" s="29"/>
      <c r="L122" s="28"/>
      <c r="M122" s="19"/>
      <c r="N122" s="19"/>
      <c r="O122" s="48"/>
      <c r="Q122" s="21"/>
      <c r="S122" s="21"/>
      <c r="V122" s="46"/>
    </row>
    <row r="123" spans="1:22" x14ac:dyDescent="0.35">
      <c r="A123">
        <v>599</v>
      </c>
      <c r="B123">
        <v>600</v>
      </c>
      <c r="C123">
        <v>146.79707251400001</v>
      </c>
      <c r="D123">
        <v>-19.1497525529999</v>
      </c>
      <c r="E123">
        <v>50</v>
      </c>
      <c r="I123" s="52"/>
      <c r="J123" s="28"/>
      <c r="K123" s="29"/>
      <c r="L123" s="28"/>
      <c r="M123" s="19"/>
      <c r="N123" s="19"/>
      <c r="O123" s="48"/>
      <c r="Q123" s="21"/>
      <c r="S123" s="21"/>
      <c r="V123" s="46"/>
    </row>
    <row r="124" spans="1:22" x14ac:dyDescent="0.35">
      <c r="A124">
        <v>604</v>
      </c>
      <c r="B124">
        <v>605</v>
      </c>
      <c r="C124">
        <v>146.796703503</v>
      </c>
      <c r="D124">
        <v>-19.149511518999901</v>
      </c>
      <c r="E124">
        <v>50</v>
      </c>
      <c r="I124" s="52"/>
      <c r="J124" s="28"/>
      <c r="K124" s="29"/>
      <c r="L124" s="28"/>
      <c r="M124" s="19"/>
      <c r="N124" s="19"/>
      <c r="O124" s="48"/>
      <c r="Q124" s="21"/>
      <c r="S124" s="21"/>
      <c r="V124" s="46"/>
    </row>
    <row r="125" spans="1:22" x14ac:dyDescent="0.35">
      <c r="A125">
        <v>609</v>
      </c>
      <c r="B125">
        <v>610</v>
      </c>
      <c r="C125">
        <v>146.79634243000001</v>
      </c>
      <c r="D125">
        <v>-19.149260325999901</v>
      </c>
      <c r="E125">
        <v>50</v>
      </c>
      <c r="I125" s="52"/>
      <c r="J125" s="28"/>
      <c r="K125" s="29"/>
      <c r="L125" s="28"/>
      <c r="M125" s="19"/>
      <c r="N125" s="19"/>
      <c r="O125" s="48"/>
      <c r="Q125" s="21"/>
      <c r="S125" s="21"/>
      <c r="V125" s="46"/>
    </row>
    <row r="126" spans="1:22" x14ac:dyDescent="0.35">
      <c r="A126">
        <v>614</v>
      </c>
      <c r="B126">
        <v>615</v>
      </c>
      <c r="C126">
        <v>146.79611163000001</v>
      </c>
      <c r="D126">
        <v>-19.148904493</v>
      </c>
      <c r="E126">
        <v>50</v>
      </c>
      <c r="I126" s="52"/>
      <c r="J126" s="28"/>
      <c r="K126" s="29"/>
      <c r="L126" s="28"/>
      <c r="M126" s="19"/>
      <c r="N126" s="19"/>
      <c r="O126" s="48"/>
      <c r="Q126" s="21"/>
      <c r="S126" s="21"/>
      <c r="V126" s="46"/>
    </row>
    <row r="127" spans="1:22" x14ac:dyDescent="0.35">
      <c r="A127">
        <v>619</v>
      </c>
      <c r="B127">
        <v>620</v>
      </c>
      <c r="C127">
        <v>146.7959358</v>
      </c>
      <c r="D127">
        <v>-19.149262087999901</v>
      </c>
      <c r="E127">
        <v>50</v>
      </c>
      <c r="I127" s="52"/>
      <c r="J127" s="28"/>
      <c r="K127" s="29"/>
      <c r="L127" s="28"/>
      <c r="M127" s="19"/>
      <c r="N127" s="19"/>
      <c r="O127" s="48"/>
      <c r="Q127" s="21"/>
      <c r="S127" s="21"/>
      <c r="V127" s="46"/>
    </row>
    <row r="128" spans="1:22" x14ac:dyDescent="0.35">
      <c r="A128">
        <v>624</v>
      </c>
      <c r="B128">
        <v>625</v>
      </c>
      <c r="C128">
        <v>146.795753601</v>
      </c>
      <c r="D128">
        <v>-19.149644123000002</v>
      </c>
      <c r="E128">
        <v>50</v>
      </c>
      <c r="I128" s="52"/>
      <c r="J128" s="28"/>
      <c r="K128" s="29"/>
      <c r="L128" s="28"/>
      <c r="M128" s="19"/>
      <c r="N128" s="19"/>
      <c r="O128" s="48"/>
      <c r="Q128" s="21"/>
      <c r="S128" s="21"/>
      <c r="V128" s="46"/>
    </row>
    <row r="129" spans="1:22" x14ac:dyDescent="0.35">
      <c r="A129">
        <v>629</v>
      </c>
      <c r="B129">
        <v>630</v>
      </c>
      <c r="C129">
        <v>146.795597227</v>
      </c>
      <c r="D129">
        <v>-19.149399359</v>
      </c>
      <c r="E129">
        <v>50</v>
      </c>
      <c r="I129" s="52"/>
      <c r="J129" s="28"/>
      <c r="K129" s="29"/>
      <c r="L129" s="28"/>
      <c r="M129" s="19"/>
      <c r="N129" s="19"/>
      <c r="O129" s="48"/>
      <c r="Q129" s="21"/>
      <c r="S129" s="21"/>
      <c r="V129" s="46"/>
    </row>
    <row r="130" spans="1:22" x14ac:dyDescent="0.35">
      <c r="A130">
        <v>634</v>
      </c>
      <c r="B130">
        <v>635</v>
      </c>
      <c r="C130">
        <v>146.795736925</v>
      </c>
      <c r="D130">
        <v>-19.149004071</v>
      </c>
      <c r="E130">
        <v>50</v>
      </c>
      <c r="I130" s="52"/>
      <c r="J130" s="28"/>
      <c r="K130" s="29"/>
      <c r="L130" s="28"/>
      <c r="M130" s="19"/>
      <c r="N130" s="19"/>
      <c r="O130" s="48"/>
      <c r="Q130" s="21"/>
      <c r="S130" s="21"/>
      <c r="V130" s="46"/>
    </row>
    <row r="131" spans="1:22" x14ac:dyDescent="0.35">
      <c r="A131">
        <v>639</v>
      </c>
      <c r="B131">
        <v>640</v>
      </c>
      <c r="C131">
        <v>146.79587684200001</v>
      </c>
      <c r="D131">
        <v>-19.148601304</v>
      </c>
      <c r="E131">
        <v>50</v>
      </c>
      <c r="I131" s="52"/>
      <c r="J131" s="28"/>
      <c r="K131" s="29"/>
      <c r="L131" s="28"/>
      <c r="M131" s="19"/>
      <c r="N131" s="19"/>
      <c r="O131" s="48"/>
      <c r="Q131" s="21"/>
      <c r="S131" s="21"/>
      <c r="V131" s="46"/>
    </row>
    <row r="132" spans="1:22" x14ac:dyDescent="0.35">
      <c r="A132">
        <v>644</v>
      </c>
      <c r="B132">
        <v>645</v>
      </c>
      <c r="C132">
        <v>146.79603803500001</v>
      </c>
      <c r="D132">
        <v>-19.148206425000001</v>
      </c>
      <c r="E132">
        <v>50</v>
      </c>
      <c r="I132" s="52"/>
      <c r="J132" s="28"/>
      <c r="K132" s="29"/>
      <c r="L132" s="28"/>
      <c r="M132" s="19"/>
      <c r="N132" s="19"/>
      <c r="O132" s="48"/>
      <c r="Q132" s="21"/>
      <c r="S132" s="21"/>
      <c r="V132" s="46"/>
    </row>
    <row r="133" spans="1:22" x14ac:dyDescent="0.35">
      <c r="A133">
        <v>649</v>
      </c>
      <c r="B133">
        <v>650</v>
      </c>
      <c r="C133">
        <v>146.796117979</v>
      </c>
      <c r="D133">
        <v>-19.147792234000001</v>
      </c>
      <c r="E133">
        <v>50</v>
      </c>
      <c r="I133" s="52"/>
      <c r="J133" s="28"/>
      <c r="K133" s="29"/>
      <c r="L133" s="28"/>
      <c r="M133" s="19"/>
      <c r="N133" s="19"/>
      <c r="O133" s="48"/>
      <c r="Q133" s="21"/>
      <c r="S133" s="21"/>
      <c r="V133" s="46"/>
    </row>
    <row r="134" spans="1:22" x14ac:dyDescent="0.35">
      <c r="A134">
        <v>654</v>
      </c>
      <c r="B134">
        <v>655</v>
      </c>
      <c r="C134">
        <v>146.79622532299999</v>
      </c>
      <c r="D134">
        <v>-19.147386056999899</v>
      </c>
      <c r="E134">
        <v>50</v>
      </c>
      <c r="I134" s="52"/>
      <c r="J134" s="28"/>
      <c r="K134" s="29"/>
      <c r="L134" s="28"/>
      <c r="M134" s="19"/>
      <c r="N134" s="19"/>
      <c r="O134" s="48"/>
      <c r="Q134" s="21"/>
      <c r="S134" s="21"/>
      <c r="V134" s="46"/>
    </row>
    <row r="135" spans="1:22" x14ac:dyDescent="0.35">
      <c r="A135">
        <v>659</v>
      </c>
      <c r="B135">
        <v>660</v>
      </c>
      <c r="C135">
        <v>146.79644672200001</v>
      </c>
      <c r="D135">
        <v>-19.147049678999998</v>
      </c>
      <c r="E135">
        <v>50</v>
      </c>
      <c r="I135" s="52"/>
      <c r="J135" s="28"/>
      <c r="K135" s="29"/>
      <c r="L135" s="28"/>
      <c r="M135" s="19"/>
      <c r="N135" s="19"/>
      <c r="O135" s="48"/>
      <c r="Q135" s="21"/>
      <c r="S135" s="21"/>
      <c r="V135" s="46"/>
    </row>
    <row r="136" spans="1:22" x14ac:dyDescent="0.35">
      <c r="A136">
        <v>664</v>
      </c>
      <c r="B136">
        <v>665</v>
      </c>
      <c r="C136">
        <v>146.79659306600001</v>
      </c>
      <c r="D136">
        <v>-19.1467147779999</v>
      </c>
      <c r="E136">
        <v>50</v>
      </c>
      <c r="I136" s="52"/>
      <c r="J136" s="28"/>
      <c r="K136" s="29"/>
      <c r="L136" s="28"/>
      <c r="M136" s="19"/>
      <c r="N136" s="19"/>
      <c r="O136" s="48"/>
      <c r="Q136" s="21"/>
      <c r="S136" s="21"/>
      <c r="V136" s="46"/>
    </row>
    <row r="137" spans="1:22" x14ac:dyDescent="0.35">
      <c r="A137">
        <v>669</v>
      </c>
      <c r="B137">
        <v>670</v>
      </c>
      <c r="C137">
        <v>146.79647955199999</v>
      </c>
      <c r="D137">
        <v>-19.146306938999899</v>
      </c>
      <c r="E137">
        <v>50</v>
      </c>
      <c r="I137" s="52"/>
      <c r="J137" s="28"/>
      <c r="K137" s="29"/>
      <c r="L137" s="28"/>
      <c r="M137" s="19"/>
      <c r="N137" s="19"/>
      <c r="O137" s="48"/>
      <c r="Q137" s="21"/>
      <c r="S137" s="21"/>
      <c r="V137" s="46"/>
    </row>
    <row r="138" spans="1:22" x14ac:dyDescent="0.35">
      <c r="A138">
        <v>674</v>
      </c>
      <c r="B138">
        <v>675</v>
      </c>
      <c r="C138">
        <v>146.79631117</v>
      </c>
      <c r="D138">
        <v>-19.145915344999899</v>
      </c>
      <c r="E138">
        <v>50</v>
      </c>
      <c r="I138" s="52"/>
      <c r="J138" s="28"/>
      <c r="K138" s="29"/>
      <c r="L138" s="28"/>
      <c r="M138" s="19"/>
      <c r="N138" s="19"/>
      <c r="O138" s="48"/>
      <c r="Q138" s="21"/>
      <c r="S138" s="21"/>
      <c r="V138" s="46"/>
    </row>
    <row r="139" spans="1:22" x14ac:dyDescent="0.35">
      <c r="A139">
        <v>679</v>
      </c>
      <c r="B139">
        <v>680</v>
      </c>
      <c r="C139">
        <v>146.79607419000001</v>
      </c>
      <c r="D139">
        <v>-19.145554896</v>
      </c>
      <c r="E139">
        <v>50</v>
      </c>
      <c r="I139" s="52"/>
      <c r="J139" s="28"/>
      <c r="K139" s="29"/>
      <c r="L139" s="28"/>
      <c r="M139" s="19"/>
      <c r="N139" s="19"/>
      <c r="O139" s="48"/>
      <c r="Q139" s="21"/>
      <c r="S139" s="21"/>
      <c r="V139" s="46"/>
    </row>
    <row r="140" spans="1:22" x14ac:dyDescent="0.35">
      <c r="A140">
        <v>684</v>
      </c>
      <c r="B140">
        <v>685</v>
      </c>
      <c r="C140">
        <v>146.79581609900001</v>
      </c>
      <c r="D140">
        <v>-19.145207974000002</v>
      </c>
      <c r="E140">
        <v>50</v>
      </c>
      <c r="I140" s="52"/>
      <c r="J140" s="28"/>
      <c r="K140" s="29"/>
      <c r="L140" s="28"/>
      <c r="M140" s="19"/>
      <c r="N140" s="19"/>
      <c r="O140" s="48"/>
      <c r="Q140" s="21"/>
      <c r="S140" s="21"/>
      <c r="V140" s="46"/>
    </row>
    <row r="141" spans="1:22" x14ac:dyDescent="0.35">
      <c r="A141">
        <v>689</v>
      </c>
      <c r="B141">
        <v>690</v>
      </c>
      <c r="C141">
        <v>146.795550883</v>
      </c>
      <c r="D141">
        <v>-19.144865536999902</v>
      </c>
      <c r="E141">
        <v>50</v>
      </c>
      <c r="I141" s="52"/>
      <c r="J141" s="28"/>
      <c r="K141" s="29"/>
      <c r="L141" s="28"/>
      <c r="M141" s="19"/>
      <c r="N141" s="19"/>
      <c r="O141" s="48"/>
      <c r="Q141" s="21"/>
      <c r="S141" s="21"/>
      <c r="V141" s="46"/>
    </row>
    <row r="142" spans="1:22" x14ac:dyDescent="0.35">
      <c r="A142">
        <v>694</v>
      </c>
      <c r="B142">
        <v>695</v>
      </c>
      <c r="C142">
        <v>146.79536183799999</v>
      </c>
      <c r="D142">
        <v>-19.144488418000002</v>
      </c>
      <c r="E142">
        <v>50</v>
      </c>
      <c r="I142" s="52"/>
      <c r="J142" s="28"/>
      <c r="K142" s="29"/>
      <c r="L142" s="28"/>
      <c r="M142" s="19"/>
      <c r="N142" s="19"/>
      <c r="O142" s="48"/>
      <c r="Q142" s="21"/>
      <c r="S142" s="21"/>
      <c r="V142" s="46"/>
    </row>
    <row r="143" spans="1:22" x14ac:dyDescent="0.35">
      <c r="A143">
        <v>699</v>
      </c>
      <c r="B143">
        <v>700</v>
      </c>
      <c r="C143">
        <v>146.795213096</v>
      </c>
      <c r="D143">
        <v>-19.144088932999999</v>
      </c>
      <c r="E143">
        <v>50</v>
      </c>
      <c r="I143" s="52"/>
      <c r="J143" s="28"/>
      <c r="K143" s="29"/>
      <c r="L143" s="28"/>
      <c r="M143" s="19"/>
      <c r="N143" s="19"/>
      <c r="O143" s="48"/>
      <c r="Q143" s="21"/>
      <c r="S143" s="21"/>
      <c r="V143" s="46"/>
    </row>
    <row r="144" spans="1:22" x14ac:dyDescent="0.35">
      <c r="A144">
        <v>704</v>
      </c>
      <c r="B144">
        <v>705</v>
      </c>
      <c r="C144">
        <v>146.79489993999999</v>
      </c>
      <c r="D144">
        <v>-19.143811926999899</v>
      </c>
      <c r="E144">
        <v>50</v>
      </c>
      <c r="I144" s="52"/>
      <c r="J144" s="28"/>
      <c r="K144" s="29"/>
      <c r="L144" s="28"/>
      <c r="M144" s="19"/>
      <c r="N144" s="19"/>
      <c r="O144" s="48"/>
      <c r="Q144" s="21"/>
      <c r="S144" s="21"/>
      <c r="V144" s="46"/>
    </row>
    <row r="145" spans="1:22" x14ac:dyDescent="0.35">
      <c r="A145">
        <v>709</v>
      </c>
      <c r="B145">
        <v>710</v>
      </c>
      <c r="C145">
        <v>146.79447559100001</v>
      </c>
      <c r="D145">
        <v>-19.143672939999899</v>
      </c>
      <c r="E145">
        <v>50</v>
      </c>
      <c r="I145" s="52"/>
      <c r="J145" s="28"/>
      <c r="K145" s="29"/>
      <c r="L145" s="28"/>
      <c r="M145" s="19"/>
      <c r="N145" s="19"/>
      <c r="O145" s="48"/>
      <c r="Q145" s="21"/>
      <c r="S145" s="21"/>
      <c r="V145" s="46"/>
    </row>
    <row r="146" spans="1:22" x14ac:dyDescent="0.35">
      <c r="A146">
        <v>714</v>
      </c>
      <c r="B146">
        <v>715</v>
      </c>
      <c r="C146">
        <v>146.79409989199999</v>
      </c>
      <c r="D146">
        <v>-19.143472408000001</v>
      </c>
      <c r="E146">
        <v>50</v>
      </c>
      <c r="I146" s="52"/>
      <c r="J146" s="28"/>
      <c r="K146" s="29"/>
      <c r="L146" s="28"/>
      <c r="M146" s="19"/>
      <c r="N146" s="19"/>
      <c r="O146" s="48"/>
      <c r="Q146" s="21"/>
      <c r="S146" s="21"/>
      <c r="V146" s="46"/>
    </row>
    <row r="147" spans="1:22" x14ac:dyDescent="0.35">
      <c r="A147">
        <v>719</v>
      </c>
      <c r="B147">
        <v>720</v>
      </c>
      <c r="C147">
        <v>146.79395921599999</v>
      </c>
      <c r="D147">
        <v>-19.143085420999999</v>
      </c>
      <c r="E147">
        <v>50</v>
      </c>
      <c r="I147" s="52"/>
      <c r="J147" s="28"/>
      <c r="K147" s="29"/>
      <c r="L147" s="28"/>
      <c r="M147" s="19"/>
      <c r="N147" s="19"/>
      <c r="O147" s="48"/>
      <c r="Q147" s="21"/>
      <c r="S147" s="21"/>
      <c r="V147" s="46"/>
    </row>
    <row r="148" spans="1:22" x14ac:dyDescent="0.35">
      <c r="A148">
        <v>724</v>
      </c>
      <c r="B148">
        <v>725</v>
      </c>
      <c r="C148">
        <v>146.79389427199999</v>
      </c>
      <c r="D148">
        <v>-19.142665861999902</v>
      </c>
      <c r="E148">
        <v>50</v>
      </c>
      <c r="I148" s="52"/>
      <c r="J148" s="28"/>
      <c r="K148" s="29"/>
      <c r="L148" s="28"/>
      <c r="M148" s="19"/>
      <c r="N148" s="19"/>
      <c r="O148" s="48"/>
      <c r="Q148" s="21"/>
      <c r="S148" s="21"/>
      <c r="V148" s="46"/>
    </row>
    <row r="149" spans="1:22" x14ac:dyDescent="0.35">
      <c r="A149">
        <v>729</v>
      </c>
      <c r="B149">
        <v>730</v>
      </c>
      <c r="C149">
        <v>146.79384989900001</v>
      </c>
      <c r="D149">
        <v>-19.1422470169999</v>
      </c>
      <c r="E149">
        <v>50</v>
      </c>
      <c r="I149" s="52"/>
      <c r="J149" s="28"/>
      <c r="K149" s="29"/>
      <c r="L149" s="28"/>
      <c r="M149" s="19"/>
      <c r="N149" s="19"/>
      <c r="O149" s="48"/>
      <c r="Q149" s="21"/>
      <c r="S149" s="21"/>
      <c r="V149" s="46"/>
    </row>
    <row r="150" spans="1:22" x14ac:dyDescent="0.35">
      <c r="A150">
        <v>734</v>
      </c>
      <c r="B150">
        <v>735</v>
      </c>
      <c r="C150">
        <v>146.79378198000001</v>
      </c>
      <c r="D150">
        <v>-19.141831787999902</v>
      </c>
      <c r="E150">
        <v>50</v>
      </c>
      <c r="I150" s="52"/>
      <c r="J150" s="28"/>
      <c r="K150" s="29"/>
      <c r="L150" s="28"/>
      <c r="M150" s="19"/>
      <c r="N150" s="19"/>
      <c r="O150" s="48"/>
      <c r="Q150" s="21"/>
      <c r="S150" s="21"/>
      <c r="V150" s="46"/>
    </row>
    <row r="151" spans="1:22" x14ac:dyDescent="0.35">
      <c r="A151">
        <v>739</v>
      </c>
      <c r="B151">
        <v>740</v>
      </c>
      <c r="C151">
        <v>146.79373799199999</v>
      </c>
      <c r="D151">
        <v>-19.141412285999898</v>
      </c>
      <c r="E151">
        <v>50</v>
      </c>
      <c r="I151" s="52"/>
      <c r="J151" s="28"/>
      <c r="K151" s="29"/>
      <c r="L151" s="28"/>
      <c r="M151" s="19"/>
      <c r="N151" s="19"/>
      <c r="O151" s="48"/>
      <c r="Q151" s="21"/>
      <c r="S151" s="21"/>
      <c r="V151" s="46"/>
    </row>
    <row r="152" spans="1:22" x14ac:dyDescent="0.35">
      <c r="A152">
        <v>744</v>
      </c>
      <c r="B152">
        <v>745</v>
      </c>
      <c r="C152">
        <v>146.793581794</v>
      </c>
      <c r="D152">
        <v>-19.141015617999901</v>
      </c>
      <c r="E152">
        <v>50</v>
      </c>
      <c r="I152" s="52"/>
      <c r="J152" s="28"/>
      <c r="K152" s="29"/>
      <c r="L152" s="28"/>
      <c r="M152" s="19"/>
      <c r="N152" s="19"/>
      <c r="O152" s="48"/>
      <c r="Q152" s="21"/>
      <c r="S152" s="21"/>
      <c r="V152" s="46"/>
    </row>
    <row r="153" spans="1:22" x14ac:dyDescent="0.35">
      <c r="A153">
        <v>749</v>
      </c>
      <c r="B153">
        <v>750</v>
      </c>
      <c r="C153">
        <v>146.79350226700001</v>
      </c>
      <c r="D153">
        <v>-19.140600764999899</v>
      </c>
      <c r="E153">
        <v>50</v>
      </c>
      <c r="I153" s="52"/>
      <c r="J153" s="28"/>
      <c r="K153" s="29"/>
      <c r="L153" s="28"/>
      <c r="M153" s="19"/>
      <c r="N153" s="19"/>
      <c r="O153" s="48"/>
      <c r="Q153" s="21"/>
      <c r="S153" s="21"/>
      <c r="V153" s="46"/>
    </row>
    <row r="154" spans="1:22" x14ac:dyDescent="0.35">
      <c r="A154">
        <v>754</v>
      </c>
      <c r="B154">
        <v>755</v>
      </c>
      <c r="C154">
        <v>146.793357152</v>
      </c>
      <c r="D154">
        <v>-19.140199818999999</v>
      </c>
      <c r="E154">
        <v>50</v>
      </c>
      <c r="I154" s="52"/>
      <c r="J154" s="28"/>
      <c r="K154" s="29"/>
      <c r="L154" s="28"/>
      <c r="M154" s="19"/>
      <c r="N154" s="19"/>
      <c r="O154" s="48"/>
      <c r="Q154" s="21"/>
      <c r="S154" s="21"/>
      <c r="V154" s="46"/>
    </row>
    <row r="155" spans="1:22" x14ac:dyDescent="0.35">
      <c r="A155">
        <v>759</v>
      </c>
      <c r="B155">
        <v>760</v>
      </c>
      <c r="C155">
        <v>146.793174523</v>
      </c>
      <c r="D155">
        <v>-19.139812449000001</v>
      </c>
      <c r="E155">
        <v>50</v>
      </c>
      <c r="I155" s="52"/>
      <c r="J155" s="28"/>
      <c r="K155" s="29"/>
      <c r="L155" s="28"/>
      <c r="M155" s="19"/>
      <c r="N155" s="19"/>
      <c r="O155" s="48"/>
      <c r="Q155" s="21"/>
      <c r="S155" s="21"/>
      <c r="V155" s="46"/>
    </row>
    <row r="156" spans="1:22" x14ac:dyDescent="0.35">
      <c r="A156">
        <v>764</v>
      </c>
      <c r="B156">
        <v>765</v>
      </c>
      <c r="C156">
        <v>146.792971435</v>
      </c>
      <c r="D156">
        <v>-19.1394340209999</v>
      </c>
      <c r="E156">
        <v>50</v>
      </c>
      <c r="I156" s="52"/>
      <c r="J156" s="28"/>
      <c r="K156" s="29"/>
      <c r="L156" s="28"/>
      <c r="M156" s="19"/>
      <c r="N156" s="19"/>
      <c r="O156" s="48"/>
      <c r="Q156" s="21"/>
      <c r="S156" s="21"/>
      <c r="V156" s="46"/>
    </row>
    <row r="157" spans="1:22" x14ac:dyDescent="0.35">
      <c r="A157">
        <v>769</v>
      </c>
      <c r="B157">
        <v>770</v>
      </c>
      <c r="C157">
        <v>146.79276129799999</v>
      </c>
      <c r="D157">
        <v>-19.1390590409999</v>
      </c>
      <c r="E157">
        <v>50</v>
      </c>
      <c r="I157" s="52"/>
      <c r="J157" s="28"/>
      <c r="K157" s="29"/>
      <c r="L157" s="28"/>
      <c r="M157" s="19"/>
      <c r="N157" s="19"/>
      <c r="O157" s="48"/>
      <c r="Q157" s="21"/>
      <c r="S157" s="21"/>
      <c r="V157" s="46"/>
    </row>
    <row r="158" spans="1:22" x14ac:dyDescent="0.35">
      <c r="A158">
        <v>774</v>
      </c>
      <c r="B158">
        <v>775</v>
      </c>
      <c r="C158">
        <v>146.79253148199999</v>
      </c>
      <c r="D158">
        <v>-19.138695995999999</v>
      </c>
      <c r="E158">
        <v>50</v>
      </c>
      <c r="I158" s="52"/>
      <c r="J158" s="28"/>
      <c r="K158" s="29"/>
      <c r="L158" s="28"/>
      <c r="M158" s="19"/>
      <c r="N158" s="19"/>
      <c r="O158" s="48"/>
      <c r="Q158" s="21"/>
      <c r="S158" s="21"/>
      <c r="V158" s="46"/>
    </row>
    <row r="159" spans="1:22" x14ac:dyDescent="0.35">
      <c r="A159">
        <v>779</v>
      </c>
      <c r="B159">
        <v>780</v>
      </c>
      <c r="C159">
        <v>146.79226970600001</v>
      </c>
      <c r="D159">
        <v>-19.138351182000001</v>
      </c>
      <c r="E159">
        <v>50</v>
      </c>
      <c r="I159" s="52"/>
      <c r="J159" s="28"/>
      <c r="K159" s="29"/>
      <c r="L159" s="28"/>
      <c r="M159" s="19"/>
      <c r="N159" s="19"/>
      <c r="O159" s="48"/>
      <c r="Q159" s="21"/>
      <c r="S159" s="21"/>
      <c r="V159" s="46"/>
    </row>
    <row r="160" spans="1:22" x14ac:dyDescent="0.35">
      <c r="A160">
        <v>784</v>
      </c>
      <c r="B160">
        <v>785</v>
      </c>
      <c r="C160">
        <v>146.791971539</v>
      </c>
      <c r="D160">
        <v>-19.1380343619999</v>
      </c>
      <c r="E160">
        <v>50</v>
      </c>
      <c r="I160" s="52"/>
      <c r="J160" s="28"/>
      <c r="K160" s="29"/>
      <c r="L160" s="28"/>
      <c r="M160" s="19"/>
      <c r="N160" s="19"/>
      <c r="O160" s="48"/>
      <c r="Q160" s="21"/>
      <c r="S160" s="21"/>
      <c r="V160" s="46"/>
    </row>
    <row r="161" spans="1:22" x14ac:dyDescent="0.35">
      <c r="A161">
        <v>789</v>
      </c>
      <c r="B161">
        <v>790</v>
      </c>
      <c r="C161">
        <v>146.79167649199999</v>
      </c>
      <c r="D161">
        <v>-19.137714463999899</v>
      </c>
      <c r="E161">
        <v>50</v>
      </c>
      <c r="I161" s="52"/>
      <c r="J161" s="28"/>
      <c r="K161" s="29"/>
      <c r="L161" s="28"/>
      <c r="M161" s="19"/>
      <c r="N161" s="19"/>
      <c r="O161" s="48"/>
      <c r="Q161" s="21"/>
      <c r="S161" s="21"/>
      <c r="V161" s="46"/>
    </row>
    <row r="162" spans="1:22" x14ac:dyDescent="0.35">
      <c r="A162">
        <v>794</v>
      </c>
      <c r="B162">
        <v>795</v>
      </c>
      <c r="C162">
        <v>146.791383271</v>
      </c>
      <c r="D162">
        <v>-19.137393029999899</v>
      </c>
      <c r="E162">
        <v>50</v>
      </c>
      <c r="I162" s="52"/>
      <c r="J162" s="28"/>
      <c r="K162" s="29"/>
      <c r="L162" s="28"/>
      <c r="M162" s="19"/>
      <c r="N162" s="19"/>
      <c r="O162" s="48"/>
      <c r="Q162" s="21"/>
      <c r="S162" s="21"/>
      <c r="V162" s="46"/>
    </row>
    <row r="163" spans="1:22" x14ac:dyDescent="0.35">
      <c r="A163">
        <v>799</v>
      </c>
      <c r="B163">
        <v>800</v>
      </c>
      <c r="C163">
        <v>146.791055019</v>
      </c>
      <c r="D163">
        <v>-19.137103389999901</v>
      </c>
      <c r="E163">
        <v>50</v>
      </c>
      <c r="I163" s="52"/>
      <c r="J163" s="28"/>
      <c r="K163" s="29"/>
      <c r="L163" s="28"/>
      <c r="M163" s="19"/>
      <c r="N163" s="19"/>
      <c r="O163" s="48"/>
      <c r="Q163" s="21"/>
      <c r="S163" s="21"/>
      <c r="V163" s="46"/>
    </row>
    <row r="164" spans="1:22" x14ac:dyDescent="0.35">
      <c r="A164">
        <v>804</v>
      </c>
      <c r="B164">
        <v>805</v>
      </c>
      <c r="C164">
        <v>146.790748299</v>
      </c>
      <c r="D164">
        <v>-19.136794819999999</v>
      </c>
      <c r="E164">
        <v>50</v>
      </c>
      <c r="I164" s="52"/>
      <c r="J164" s="28"/>
      <c r="K164" s="29"/>
      <c r="L164" s="28"/>
      <c r="M164" s="19"/>
      <c r="N164" s="19"/>
      <c r="O164" s="48"/>
      <c r="Q164" s="21"/>
      <c r="S164" s="21"/>
      <c r="V164" s="46"/>
    </row>
    <row r="165" spans="1:22" x14ac:dyDescent="0.35">
      <c r="A165">
        <v>809</v>
      </c>
      <c r="B165">
        <v>810</v>
      </c>
      <c r="C165">
        <v>146.79055848300001</v>
      </c>
      <c r="D165">
        <v>-19.136416298</v>
      </c>
      <c r="E165">
        <v>50</v>
      </c>
      <c r="I165" s="52"/>
      <c r="J165" s="28"/>
      <c r="K165" s="29"/>
      <c r="L165" s="28"/>
      <c r="M165" s="19"/>
      <c r="N165" s="19"/>
      <c r="O165" s="48"/>
      <c r="Q165" s="21"/>
      <c r="S165" s="21"/>
      <c r="V165" s="46"/>
    </row>
    <row r="166" spans="1:22" x14ac:dyDescent="0.35">
      <c r="A166">
        <v>814</v>
      </c>
      <c r="B166">
        <v>815</v>
      </c>
      <c r="C166">
        <v>146.79034368999999</v>
      </c>
      <c r="D166">
        <v>-19.1360584449999</v>
      </c>
      <c r="E166">
        <v>50</v>
      </c>
      <c r="I166" s="52"/>
      <c r="J166" s="28"/>
      <c r="K166" s="29"/>
      <c r="L166" s="28"/>
      <c r="M166" s="19"/>
      <c r="N166" s="19"/>
      <c r="O166" s="48"/>
      <c r="Q166" s="21"/>
      <c r="S166" s="21"/>
      <c r="V166" s="46"/>
    </row>
    <row r="167" spans="1:22" x14ac:dyDescent="0.35">
      <c r="A167">
        <v>819</v>
      </c>
      <c r="B167">
        <v>820</v>
      </c>
      <c r="C167">
        <v>146.789931948</v>
      </c>
      <c r="D167">
        <v>-19.1358931729999</v>
      </c>
      <c r="E167">
        <v>50</v>
      </c>
      <c r="I167" s="52"/>
      <c r="J167" s="28"/>
      <c r="K167" s="29"/>
      <c r="L167" s="28"/>
      <c r="M167" s="19"/>
      <c r="N167" s="19"/>
      <c r="O167" s="48"/>
      <c r="Q167" s="21"/>
      <c r="S167" s="21"/>
      <c r="V167" s="46"/>
    </row>
    <row r="168" spans="1:22" x14ac:dyDescent="0.35">
      <c r="A168">
        <v>824</v>
      </c>
      <c r="B168">
        <v>825</v>
      </c>
      <c r="C168">
        <v>146.789511538</v>
      </c>
      <c r="D168">
        <v>-19.135743800999901</v>
      </c>
      <c r="E168">
        <v>50</v>
      </c>
      <c r="I168" s="52"/>
      <c r="J168" s="28"/>
      <c r="K168" s="29"/>
      <c r="L168" s="28"/>
      <c r="M168" s="19"/>
      <c r="N168" s="19"/>
      <c r="O168" s="48"/>
      <c r="Q168" s="21"/>
      <c r="S168" s="21"/>
      <c r="V168" s="46"/>
    </row>
    <row r="169" spans="1:22" x14ac:dyDescent="0.35">
      <c r="A169">
        <v>829</v>
      </c>
      <c r="B169">
        <v>830</v>
      </c>
      <c r="C169">
        <v>146.789078155</v>
      </c>
      <c r="D169">
        <v>-19.135634450999898</v>
      </c>
      <c r="E169">
        <v>50</v>
      </c>
      <c r="I169" s="52"/>
      <c r="J169" s="28"/>
      <c r="K169" s="29"/>
      <c r="L169" s="28"/>
      <c r="M169" s="19"/>
      <c r="N169" s="19"/>
      <c r="O169" s="48"/>
      <c r="Q169" s="21"/>
      <c r="S169" s="21"/>
      <c r="V169" s="46"/>
    </row>
    <row r="170" spans="1:22" x14ac:dyDescent="0.35">
      <c r="A170">
        <v>834</v>
      </c>
      <c r="B170">
        <v>835</v>
      </c>
      <c r="C170">
        <v>146.78864130700001</v>
      </c>
      <c r="D170">
        <v>-19.135535784000002</v>
      </c>
      <c r="E170">
        <v>50</v>
      </c>
      <c r="I170" s="52"/>
      <c r="J170" s="28"/>
      <c r="K170" s="29"/>
      <c r="L170" s="28"/>
      <c r="M170" s="19"/>
      <c r="N170" s="19"/>
      <c r="O170" s="48"/>
      <c r="Q170" s="21"/>
      <c r="S170" s="21"/>
      <c r="V170" s="46"/>
    </row>
    <row r="171" spans="1:22" x14ac:dyDescent="0.35">
      <c r="A171">
        <v>839</v>
      </c>
      <c r="B171">
        <v>840</v>
      </c>
      <c r="C171">
        <v>146.78820365199999</v>
      </c>
      <c r="D171">
        <v>-19.1354403879999</v>
      </c>
      <c r="E171">
        <v>50</v>
      </c>
      <c r="I171" s="52"/>
      <c r="J171" s="28"/>
      <c r="K171" s="29"/>
      <c r="L171" s="28"/>
      <c r="M171" s="19"/>
      <c r="N171" s="19"/>
      <c r="O171" s="48"/>
      <c r="Q171" s="21"/>
      <c r="S171" s="21"/>
      <c r="V171" s="46"/>
    </row>
    <row r="172" spans="1:22" x14ac:dyDescent="0.35">
      <c r="A172">
        <v>844</v>
      </c>
      <c r="B172">
        <v>845</v>
      </c>
      <c r="C172">
        <v>146.78776574400001</v>
      </c>
      <c r="D172">
        <v>-19.135346010999999</v>
      </c>
      <c r="E172">
        <v>50</v>
      </c>
      <c r="I172" s="52"/>
      <c r="J172" s="28"/>
      <c r="K172" s="29"/>
      <c r="L172" s="28"/>
      <c r="M172" s="19"/>
      <c r="N172" s="19"/>
      <c r="O172" s="48"/>
      <c r="Q172" s="21"/>
      <c r="S172" s="21"/>
      <c r="V172" s="46"/>
    </row>
    <row r="173" spans="1:22" x14ac:dyDescent="0.35">
      <c r="A173">
        <v>849</v>
      </c>
      <c r="B173">
        <v>850</v>
      </c>
      <c r="C173">
        <v>146.787325944</v>
      </c>
      <c r="D173">
        <v>-19.135260085999999</v>
      </c>
      <c r="E173">
        <v>50</v>
      </c>
      <c r="I173" s="52"/>
      <c r="J173" s="28"/>
      <c r="K173" s="29"/>
      <c r="L173" s="28"/>
      <c r="M173" s="19"/>
      <c r="N173" s="19"/>
      <c r="O173" s="48"/>
      <c r="Q173" s="21"/>
      <c r="S173" s="21"/>
      <c r="V173" s="46"/>
    </row>
    <row r="174" spans="1:22" x14ac:dyDescent="0.35">
      <c r="A174">
        <v>854</v>
      </c>
      <c r="B174">
        <v>855</v>
      </c>
      <c r="C174">
        <v>146.786885093</v>
      </c>
      <c r="D174">
        <v>-19.135178851999999</v>
      </c>
      <c r="E174">
        <v>50</v>
      </c>
      <c r="I174" s="52"/>
      <c r="J174" s="28"/>
      <c r="K174" s="29"/>
      <c r="L174" s="28"/>
      <c r="M174" s="19"/>
      <c r="N174" s="19"/>
      <c r="O174" s="48"/>
      <c r="Q174" s="21"/>
      <c r="S174" s="21"/>
      <c r="V174" s="46"/>
    </row>
    <row r="175" spans="1:22" x14ac:dyDescent="0.35">
      <c r="A175">
        <v>859</v>
      </c>
      <c r="B175">
        <v>860</v>
      </c>
      <c r="C175">
        <v>146.786445034</v>
      </c>
      <c r="D175">
        <v>-19.135093943999902</v>
      </c>
      <c r="E175">
        <v>50</v>
      </c>
      <c r="I175" s="52"/>
      <c r="J175" s="28"/>
      <c r="K175" s="29"/>
      <c r="L175" s="28"/>
      <c r="M175" s="19"/>
      <c r="N175" s="19"/>
      <c r="O175" s="48"/>
      <c r="Q175" s="21"/>
      <c r="S175" s="21"/>
      <c r="V175" s="46"/>
    </row>
    <row r="176" spans="1:22" x14ac:dyDescent="0.35">
      <c r="A176">
        <v>864</v>
      </c>
      <c r="B176">
        <v>865</v>
      </c>
      <c r="C176">
        <v>146.786005655</v>
      </c>
      <c r="D176">
        <v>-19.135005884000002</v>
      </c>
      <c r="E176">
        <v>50</v>
      </c>
      <c r="I176" s="52"/>
      <c r="J176" s="28"/>
      <c r="K176" s="29"/>
      <c r="L176" s="28"/>
      <c r="M176" s="19"/>
      <c r="N176" s="19"/>
      <c r="O176" s="48"/>
      <c r="Q176" s="21"/>
      <c r="S176" s="21"/>
      <c r="V176" s="46"/>
    </row>
    <row r="177" spans="1:22" x14ac:dyDescent="0.35">
      <c r="A177">
        <v>869</v>
      </c>
      <c r="B177">
        <v>870</v>
      </c>
      <c r="C177">
        <v>146.78556554100001</v>
      </c>
      <c r="D177">
        <v>-19.1349250919999</v>
      </c>
      <c r="E177">
        <v>50</v>
      </c>
      <c r="I177" s="52"/>
      <c r="J177" s="28"/>
      <c r="K177" s="29"/>
      <c r="L177" s="28"/>
      <c r="M177" s="19"/>
      <c r="N177" s="19"/>
      <c r="O177" s="48"/>
      <c r="Q177" s="21"/>
      <c r="S177" s="21"/>
      <c r="V177" s="46"/>
    </row>
    <row r="178" spans="1:22" x14ac:dyDescent="0.35">
      <c r="A178">
        <v>874</v>
      </c>
      <c r="B178">
        <v>875</v>
      </c>
      <c r="C178">
        <v>146.78521574999999</v>
      </c>
      <c r="D178">
        <v>-19.1346751089999</v>
      </c>
      <c r="E178">
        <v>50</v>
      </c>
      <c r="I178" s="52"/>
      <c r="J178" s="28"/>
      <c r="K178" s="29"/>
      <c r="L178" s="28"/>
      <c r="M178" s="19"/>
      <c r="N178" s="19"/>
      <c r="O178" s="48"/>
      <c r="Q178" s="21"/>
      <c r="S178" s="21"/>
      <c r="V178" s="46"/>
    </row>
    <row r="179" spans="1:22" x14ac:dyDescent="0.35">
      <c r="A179">
        <v>879</v>
      </c>
      <c r="B179">
        <v>880</v>
      </c>
      <c r="C179">
        <v>146.78480362100001</v>
      </c>
      <c r="D179">
        <v>-19.134512530999899</v>
      </c>
      <c r="E179">
        <v>50</v>
      </c>
      <c r="I179" s="52"/>
      <c r="J179" s="28"/>
      <c r="K179" s="29"/>
      <c r="L179" s="28"/>
      <c r="M179" s="19"/>
      <c r="N179" s="19"/>
      <c r="O179" s="48"/>
      <c r="Q179" s="21"/>
      <c r="S179" s="21"/>
      <c r="V179" s="46"/>
    </row>
    <row r="180" spans="1:22" x14ac:dyDescent="0.35">
      <c r="A180">
        <v>884</v>
      </c>
      <c r="B180">
        <v>885</v>
      </c>
      <c r="C180">
        <v>146.78436972099999</v>
      </c>
      <c r="D180">
        <v>-19.134403615999901</v>
      </c>
      <c r="E180">
        <v>50</v>
      </c>
      <c r="I180" s="52"/>
      <c r="J180" s="28"/>
      <c r="K180" s="29"/>
      <c r="L180" s="28"/>
      <c r="M180" s="19"/>
      <c r="N180" s="19"/>
      <c r="O180" s="48"/>
      <c r="Q180" s="21"/>
      <c r="S180" s="21"/>
      <c r="V180" s="46"/>
    </row>
    <row r="181" spans="1:22" x14ac:dyDescent="0.35">
      <c r="A181">
        <v>889</v>
      </c>
      <c r="B181">
        <v>890</v>
      </c>
      <c r="C181">
        <v>146.78392877900001</v>
      </c>
      <c r="D181">
        <v>-19.1343232729999</v>
      </c>
      <c r="E181">
        <v>50</v>
      </c>
      <c r="I181" s="52"/>
      <c r="J181" s="28"/>
      <c r="K181" s="29"/>
      <c r="L181" s="28"/>
      <c r="M181" s="19"/>
      <c r="N181" s="19"/>
      <c r="O181" s="48"/>
      <c r="Q181" s="21"/>
      <c r="S181" s="21"/>
      <c r="V181" s="46"/>
    </row>
    <row r="182" spans="1:22" x14ac:dyDescent="0.35">
      <c r="A182">
        <v>894</v>
      </c>
      <c r="B182">
        <v>895</v>
      </c>
      <c r="C182">
        <v>146.78349487</v>
      </c>
      <c r="D182">
        <v>-19.134214941</v>
      </c>
      <c r="E182">
        <v>50</v>
      </c>
      <c r="I182" s="52"/>
      <c r="J182" s="28"/>
      <c r="K182" s="29"/>
      <c r="L182" s="28"/>
      <c r="M182" s="19"/>
      <c r="N182" s="19"/>
      <c r="O182" s="48"/>
      <c r="Q182" s="21"/>
      <c r="S182" s="21"/>
      <c r="V182" s="46"/>
    </row>
    <row r="183" spans="1:22" x14ac:dyDescent="0.35">
      <c r="A183">
        <v>899</v>
      </c>
      <c r="B183">
        <v>900</v>
      </c>
      <c r="C183">
        <v>146.783209296</v>
      </c>
      <c r="D183">
        <v>-19.133918848</v>
      </c>
      <c r="E183">
        <v>50</v>
      </c>
      <c r="I183" s="52"/>
      <c r="J183" s="28"/>
      <c r="K183" s="29"/>
      <c r="L183" s="28"/>
      <c r="M183" s="19"/>
      <c r="N183" s="19"/>
      <c r="O183" s="48"/>
      <c r="Q183" s="21"/>
      <c r="S183" s="21"/>
      <c r="V183" s="46"/>
    </row>
    <row r="184" spans="1:22" x14ac:dyDescent="0.35">
      <c r="A184">
        <v>904</v>
      </c>
      <c r="B184">
        <v>905</v>
      </c>
      <c r="C184">
        <v>146.78277678800001</v>
      </c>
      <c r="D184">
        <v>-19.133951071999899</v>
      </c>
      <c r="E184">
        <v>50</v>
      </c>
      <c r="I184" s="52"/>
      <c r="J184" s="28"/>
      <c r="K184" s="29"/>
      <c r="L184" s="28"/>
      <c r="M184" s="19"/>
      <c r="N184" s="19"/>
      <c r="O184" s="48"/>
      <c r="Q184" s="21"/>
      <c r="S184" s="21"/>
      <c r="V184" s="46"/>
    </row>
    <row r="185" spans="1:22" x14ac:dyDescent="0.35">
      <c r="A185">
        <v>909</v>
      </c>
      <c r="B185">
        <v>910</v>
      </c>
      <c r="C185">
        <v>146.78234481999999</v>
      </c>
      <c r="D185">
        <v>-19.133953505000001</v>
      </c>
      <c r="E185">
        <v>50</v>
      </c>
      <c r="I185" s="52"/>
      <c r="J185" s="28"/>
      <c r="K185" s="29"/>
      <c r="L185" s="28"/>
      <c r="M185" s="19"/>
      <c r="N185" s="19"/>
      <c r="O185" s="48"/>
      <c r="Q185" s="21"/>
      <c r="S185" s="21"/>
      <c r="V185" s="46"/>
    </row>
    <row r="186" spans="1:22" x14ac:dyDescent="0.35">
      <c r="A186">
        <v>914</v>
      </c>
      <c r="B186">
        <v>915</v>
      </c>
      <c r="C186">
        <v>146.78208013599999</v>
      </c>
      <c r="D186">
        <v>-19.133647018000001</v>
      </c>
      <c r="E186">
        <v>50</v>
      </c>
      <c r="I186" s="52"/>
      <c r="J186" s="28"/>
      <c r="K186" s="29"/>
      <c r="L186" s="28"/>
      <c r="M186" s="19"/>
      <c r="N186" s="19"/>
      <c r="O186" s="48"/>
      <c r="Q186" s="21"/>
      <c r="S186" s="21"/>
      <c r="V186" s="46"/>
    </row>
    <row r="187" spans="1:22" x14ac:dyDescent="0.35">
      <c r="A187">
        <v>919</v>
      </c>
      <c r="B187">
        <v>920</v>
      </c>
      <c r="C187">
        <v>146.78203559299999</v>
      </c>
      <c r="D187">
        <v>-19.133227136999899</v>
      </c>
      <c r="E187">
        <v>50</v>
      </c>
      <c r="I187" s="52"/>
      <c r="J187" s="28"/>
      <c r="K187" s="29"/>
      <c r="L187" s="28"/>
      <c r="M187" s="19"/>
      <c r="N187" s="19"/>
      <c r="O187" s="48"/>
      <c r="Q187" s="21"/>
      <c r="S187" s="21"/>
      <c r="V187" s="46"/>
    </row>
    <row r="188" spans="1:22" x14ac:dyDescent="0.35">
      <c r="A188">
        <v>924</v>
      </c>
      <c r="B188">
        <v>925</v>
      </c>
      <c r="C188">
        <v>146.78206216500001</v>
      </c>
      <c r="D188">
        <v>-19.132803533999901</v>
      </c>
      <c r="E188">
        <v>50</v>
      </c>
      <c r="I188" s="52"/>
      <c r="J188" s="28"/>
      <c r="K188" s="29"/>
      <c r="L188" s="28"/>
      <c r="M188" s="19"/>
      <c r="N188" s="19"/>
      <c r="O188" s="48"/>
      <c r="Q188" s="21"/>
      <c r="S188" s="21"/>
      <c r="V188" s="46"/>
    </row>
    <row r="189" spans="1:22" x14ac:dyDescent="0.35">
      <c r="A189">
        <v>929</v>
      </c>
      <c r="B189">
        <v>930</v>
      </c>
      <c r="C189">
        <v>146.781965652</v>
      </c>
      <c r="D189">
        <v>-19.132396726</v>
      </c>
      <c r="E189">
        <v>50</v>
      </c>
      <c r="I189" s="52"/>
      <c r="J189" s="28"/>
      <c r="K189" s="29"/>
      <c r="L189" s="28"/>
      <c r="M189" s="19"/>
      <c r="N189" s="19"/>
      <c r="O189" s="48"/>
      <c r="Q189" s="21"/>
      <c r="S189" s="21"/>
      <c r="V189" s="46"/>
    </row>
    <row r="190" spans="1:22" x14ac:dyDescent="0.35">
      <c r="A190">
        <v>934</v>
      </c>
      <c r="B190">
        <v>935</v>
      </c>
      <c r="C190">
        <v>146.78161747199999</v>
      </c>
      <c r="D190">
        <v>-19.132135884</v>
      </c>
      <c r="E190">
        <v>50</v>
      </c>
      <c r="I190" s="52"/>
      <c r="J190" s="28"/>
      <c r="K190" s="29"/>
      <c r="L190" s="28"/>
      <c r="M190" s="19"/>
      <c r="N190" s="19"/>
      <c r="O190" s="48"/>
      <c r="Q190" s="21"/>
      <c r="S190" s="21"/>
      <c r="V190" s="46"/>
    </row>
    <row r="191" spans="1:22" x14ac:dyDescent="0.35">
      <c r="A191">
        <v>939</v>
      </c>
      <c r="B191">
        <v>940</v>
      </c>
      <c r="C191">
        <v>146.78124380400001</v>
      </c>
      <c r="D191">
        <v>-19.131900421999902</v>
      </c>
      <c r="E191">
        <v>50</v>
      </c>
      <c r="I191" s="52"/>
      <c r="J191" s="28"/>
      <c r="K191" s="29"/>
      <c r="L191" s="28"/>
      <c r="M191" s="19"/>
      <c r="N191" s="19"/>
      <c r="O191" s="48"/>
      <c r="Q191" s="21"/>
      <c r="S191" s="21"/>
      <c r="V191" s="46"/>
    </row>
    <row r="192" spans="1:22" x14ac:dyDescent="0.35">
      <c r="A192">
        <v>944</v>
      </c>
      <c r="B192">
        <v>945</v>
      </c>
      <c r="C192">
        <v>146.78091536900001</v>
      </c>
      <c r="D192">
        <v>-19.131616357999999</v>
      </c>
      <c r="E192">
        <v>50</v>
      </c>
      <c r="I192" s="52"/>
      <c r="J192" s="28"/>
      <c r="K192" s="29"/>
      <c r="L192" s="28"/>
      <c r="M192" s="19"/>
      <c r="N192" s="19"/>
      <c r="O192" s="48"/>
      <c r="Q192" s="21"/>
      <c r="S192" s="21"/>
      <c r="V192" s="46"/>
    </row>
    <row r="193" spans="1:22" x14ac:dyDescent="0.35">
      <c r="A193">
        <v>949</v>
      </c>
      <c r="B193">
        <v>950</v>
      </c>
      <c r="C193">
        <v>146.780808622</v>
      </c>
      <c r="D193">
        <v>-19.131211021999899</v>
      </c>
      <c r="E193">
        <v>50</v>
      </c>
      <c r="I193" s="52"/>
      <c r="J193" s="28"/>
      <c r="K193" s="29"/>
      <c r="L193" s="28"/>
      <c r="M193" s="19"/>
      <c r="N193" s="19"/>
      <c r="O193" s="48"/>
      <c r="Q193" s="21"/>
      <c r="S193" s="21"/>
      <c r="V193" s="46"/>
    </row>
    <row r="194" spans="1:22" x14ac:dyDescent="0.35">
      <c r="A194">
        <v>954</v>
      </c>
      <c r="B194">
        <v>955</v>
      </c>
      <c r="C194">
        <v>146.780532561</v>
      </c>
      <c r="D194">
        <v>-19.130876987000001</v>
      </c>
      <c r="E194">
        <v>50</v>
      </c>
      <c r="I194" s="52"/>
      <c r="J194" s="28"/>
      <c r="K194" s="29"/>
      <c r="L194" s="28"/>
      <c r="M194" s="19"/>
      <c r="N194" s="19"/>
      <c r="O194" s="48"/>
      <c r="Q194" s="21"/>
      <c r="S194" s="21"/>
      <c r="V194" s="46"/>
    </row>
    <row r="195" spans="1:22" x14ac:dyDescent="0.35">
      <c r="A195">
        <v>959</v>
      </c>
      <c r="B195">
        <v>960</v>
      </c>
      <c r="C195">
        <v>146.780208888</v>
      </c>
      <c r="D195">
        <v>-19.130582827000001</v>
      </c>
      <c r="E195">
        <v>50</v>
      </c>
      <c r="I195" s="52"/>
      <c r="J195" s="28"/>
      <c r="K195" s="29"/>
      <c r="L195" s="28"/>
      <c r="M195" s="19"/>
      <c r="N195" s="19"/>
      <c r="O195" s="48"/>
      <c r="Q195" s="21"/>
      <c r="S195" s="21"/>
      <c r="V195" s="46"/>
    </row>
    <row r="196" spans="1:22" x14ac:dyDescent="0.35">
      <c r="A196">
        <v>964</v>
      </c>
      <c r="B196">
        <v>965</v>
      </c>
      <c r="C196">
        <v>146.77991540599999</v>
      </c>
      <c r="D196">
        <v>-19.130263319999901</v>
      </c>
      <c r="E196">
        <v>50</v>
      </c>
      <c r="I196" s="52"/>
      <c r="J196" s="28"/>
      <c r="K196" s="29"/>
      <c r="L196" s="28"/>
      <c r="M196" s="19"/>
      <c r="N196" s="19"/>
      <c r="O196" s="48"/>
      <c r="Q196" s="21"/>
      <c r="S196" s="21"/>
      <c r="V196" s="46"/>
    </row>
    <row r="197" spans="1:22" x14ac:dyDescent="0.35">
      <c r="A197">
        <v>969</v>
      </c>
      <c r="B197">
        <v>970</v>
      </c>
      <c r="C197">
        <v>146.77965522400001</v>
      </c>
      <c r="D197">
        <v>-19.129917892999998</v>
      </c>
      <c r="E197">
        <v>50</v>
      </c>
      <c r="I197" s="52"/>
      <c r="J197" s="28"/>
      <c r="K197" s="29"/>
      <c r="L197" s="28"/>
      <c r="M197" s="19"/>
      <c r="N197" s="19"/>
      <c r="O197" s="48"/>
      <c r="Q197" s="21"/>
      <c r="S197" s="21"/>
      <c r="V197" s="46"/>
    </row>
    <row r="198" spans="1:22" x14ac:dyDescent="0.35">
      <c r="A198">
        <v>974</v>
      </c>
      <c r="B198">
        <v>975</v>
      </c>
      <c r="C198">
        <v>146.77942708699999</v>
      </c>
      <c r="D198">
        <v>-19.129552920999998</v>
      </c>
      <c r="E198">
        <v>50</v>
      </c>
      <c r="I198" s="52"/>
      <c r="J198" s="28"/>
      <c r="K198" s="29"/>
      <c r="L198" s="28"/>
      <c r="M198" s="19"/>
      <c r="N198" s="19"/>
      <c r="O198" s="48"/>
      <c r="Q198" s="21"/>
      <c r="S198" s="21"/>
      <c r="V198" s="46"/>
    </row>
    <row r="199" spans="1:22" x14ac:dyDescent="0.35">
      <c r="A199">
        <v>979</v>
      </c>
      <c r="B199">
        <v>980</v>
      </c>
      <c r="C199">
        <v>146.779286458</v>
      </c>
      <c r="D199">
        <v>-19.129157228999901</v>
      </c>
      <c r="E199">
        <v>50</v>
      </c>
      <c r="I199" s="52"/>
      <c r="J199" s="28"/>
      <c r="K199" s="29"/>
      <c r="L199" s="28"/>
      <c r="M199" s="19"/>
      <c r="N199" s="19"/>
      <c r="O199" s="48"/>
      <c r="Q199" s="21"/>
      <c r="S199" s="21"/>
      <c r="V199" s="46"/>
    </row>
    <row r="200" spans="1:22" x14ac:dyDescent="0.35">
      <c r="I200" s="52"/>
      <c r="J200" s="28"/>
      <c r="K200" s="29"/>
      <c r="L200" s="28"/>
      <c r="M200" s="19"/>
      <c r="N200" s="19"/>
      <c r="O200" s="48"/>
      <c r="Q200" s="21"/>
      <c r="S200" s="21"/>
      <c r="V200" s="46"/>
    </row>
    <row r="201" spans="1:22" x14ac:dyDescent="0.35">
      <c r="I201" s="52"/>
      <c r="J201" s="28"/>
      <c r="K201" s="29"/>
      <c r="L201" s="28"/>
      <c r="M201" s="19"/>
      <c r="N201" s="19"/>
      <c r="O201" s="48"/>
      <c r="Q201" s="21"/>
      <c r="S201" s="21"/>
      <c r="V201" s="46"/>
    </row>
    <row r="202" spans="1:22" x14ac:dyDescent="0.35">
      <c r="I202" s="52"/>
      <c r="J202" s="28"/>
      <c r="K202" s="29"/>
      <c r="L202" s="28"/>
      <c r="M202" s="19"/>
      <c r="N202" s="19"/>
      <c r="O202" s="48"/>
      <c r="Q202" s="21"/>
      <c r="S202" s="21"/>
      <c r="V202" s="46"/>
    </row>
    <row r="203" spans="1:22" x14ac:dyDescent="0.35">
      <c r="I203" s="52"/>
      <c r="J203" s="28"/>
      <c r="K203" s="29"/>
      <c r="L203" s="28"/>
      <c r="M203" s="19"/>
      <c r="N203" s="19"/>
      <c r="O203" s="48"/>
      <c r="Q203" s="21"/>
      <c r="S203" s="21"/>
      <c r="V203" s="46"/>
    </row>
    <row r="204" spans="1:22" x14ac:dyDescent="0.35">
      <c r="I204" s="52"/>
      <c r="J204" s="28"/>
      <c r="K204" s="29"/>
      <c r="L204" s="28"/>
      <c r="M204" s="19"/>
      <c r="N204" s="19"/>
      <c r="O204" s="48"/>
      <c r="Q204" s="21"/>
      <c r="S204" s="21"/>
      <c r="V204" s="46"/>
    </row>
    <row r="205" spans="1:22" x14ac:dyDescent="0.35">
      <c r="I205" s="52"/>
      <c r="J205" s="28"/>
      <c r="K205" s="29"/>
      <c r="L205" s="28"/>
      <c r="M205" s="19"/>
      <c r="N205" s="19"/>
      <c r="O205" s="48"/>
      <c r="Q205" s="21"/>
      <c r="S205" s="21"/>
      <c r="V205" s="46"/>
    </row>
    <row r="206" spans="1:22" x14ac:dyDescent="0.35">
      <c r="I206" s="52"/>
      <c r="J206" s="28"/>
      <c r="K206" s="29"/>
      <c r="L206" s="28"/>
      <c r="M206" s="19"/>
      <c r="N206" s="19"/>
      <c r="O206" s="48"/>
      <c r="Q206" s="21"/>
      <c r="S206" s="21"/>
      <c r="V206" s="46"/>
    </row>
    <row r="207" spans="1:22" x14ac:dyDescent="0.35">
      <c r="I207" s="52"/>
      <c r="J207" s="28"/>
      <c r="K207" s="29"/>
      <c r="L207" s="28"/>
      <c r="M207" s="19"/>
      <c r="N207" s="19"/>
      <c r="O207" s="48"/>
      <c r="Q207" s="21"/>
      <c r="S207" s="21"/>
      <c r="V207" s="46"/>
    </row>
    <row r="208" spans="1:22" x14ac:dyDescent="0.35">
      <c r="I208" s="52"/>
      <c r="J208" s="28"/>
      <c r="K208" s="29"/>
      <c r="L208" s="28"/>
      <c r="M208" s="19"/>
      <c r="N208" s="19"/>
      <c r="O208" s="48"/>
      <c r="Q208" s="21"/>
      <c r="S208" s="21"/>
      <c r="V208" s="46"/>
    </row>
    <row r="209" spans="9:22" x14ac:dyDescent="0.35">
      <c r="I209" s="52"/>
      <c r="J209" s="28"/>
      <c r="K209" s="29"/>
      <c r="L209" s="28"/>
      <c r="M209" s="19"/>
      <c r="N209" s="19"/>
      <c r="O209" s="48"/>
      <c r="Q209" s="21"/>
      <c r="S209" s="21"/>
      <c r="V209" s="46"/>
    </row>
    <row r="210" spans="9:22" x14ac:dyDescent="0.35">
      <c r="I210" s="52"/>
      <c r="J210" s="28"/>
      <c r="K210" s="29"/>
      <c r="L210" s="28"/>
      <c r="M210" s="19"/>
      <c r="N210" s="19"/>
      <c r="O210" s="48"/>
      <c r="Q210" s="21"/>
      <c r="S210" s="21"/>
      <c r="V210" s="46"/>
    </row>
    <row r="211" spans="9:22" x14ac:dyDescent="0.35">
      <c r="I211" s="52"/>
      <c r="J211" s="28"/>
      <c r="K211" s="29"/>
      <c r="L211" s="28"/>
      <c r="M211" s="19"/>
      <c r="N211" s="19"/>
      <c r="O211" s="48"/>
      <c r="Q211" s="21"/>
      <c r="S211" s="21"/>
      <c r="V211" s="46"/>
    </row>
    <row r="212" spans="9:22" x14ac:dyDescent="0.35">
      <c r="I212" s="52"/>
      <c r="J212" s="28"/>
      <c r="K212" s="29"/>
      <c r="L212" s="28"/>
      <c r="M212" s="19"/>
      <c r="N212" s="19"/>
      <c r="O212" s="48"/>
      <c r="Q212" s="21"/>
      <c r="S212" s="21"/>
      <c r="V212" s="46"/>
    </row>
    <row r="213" spans="9:22" x14ac:dyDescent="0.35">
      <c r="I213" s="52"/>
      <c r="J213" s="28"/>
      <c r="K213" s="29"/>
      <c r="L213" s="28"/>
      <c r="M213" s="19"/>
      <c r="N213" s="19"/>
      <c r="O213" s="48"/>
      <c r="Q213" s="21"/>
      <c r="S213" s="21"/>
      <c r="V213" s="46"/>
    </row>
    <row r="214" spans="9:22" x14ac:dyDescent="0.35">
      <c r="I214" s="52"/>
      <c r="J214" s="28"/>
      <c r="K214" s="29"/>
      <c r="L214" s="28"/>
      <c r="M214" s="19"/>
      <c r="N214" s="19"/>
      <c r="O214" s="48"/>
      <c r="Q214" s="21"/>
      <c r="S214" s="21"/>
      <c r="V214" s="46"/>
    </row>
    <row r="215" spans="9:22" x14ac:dyDescent="0.35">
      <c r="I215" s="52"/>
      <c r="J215" s="28"/>
      <c r="K215" s="29"/>
      <c r="L215" s="28"/>
      <c r="M215" s="19"/>
      <c r="N215" s="19"/>
      <c r="O215" s="48"/>
      <c r="Q215" s="21"/>
      <c r="S215" s="21"/>
      <c r="V215" s="46"/>
    </row>
    <row r="216" spans="9:22" x14ac:dyDescent="0.35">
      <c r="I216" s="52"/>
      <c r="J216" s="28"/>
      <c r="K216" s="29"/>
      <c r="L216" s="28"/>
      <c r="M216" s="19"/>
      <c r="N216" s="19"/>
      <c r="O216" s="48"/>
      <c r="Q216" s="21"/>
      <c r="S216" s="21"/>
      <c r="V216" s="46"/>
    </row>
    <row r="217" spans="9:22" x14ac:dyDescent="0.35">
      <c r="I217" s="52"/>
      <c r="J217" s="28"/>
      <c r="K217" s="29"/>
      <c r="L217" s="28"/>
      <c r="M217" s="19"/>
      <c r="N217" s="19"/>
      <c r="O217" s="48"/>
      <c r="Q217" s="21"/>
      <c r="S217" s="21"/>
      <c r="V217" s="46"/>
    </row>
    <row r="218" spans="9:22" x14ac:dyDescent="0.35">
      <c r="I218" s="52"/>
      <c r="J218" s="28"/>
      <c r="K218" s="29"/>
      <c r="L218" s="28"/>
      <c r="M218" s="19"/>
      <c r="N218" s="19"/>
      <c r="O218" s="48"/>
      <c r="Q218" s="21"/>
      <c r="S218" s="21"/>
      <c r="V218" s="46"/>
    </row>
    <row r="219" spans="9:22" x14ac:dyDescent="0.35">
      <c r="I219" s="52"/>
      <c r="J219" s="28"/>
      <c r="K219" s="29"/>
      <c r="L219" s="28"/>
      <c r="M219" s="19"/>
      <c r="N219" s="19"/>
      <c r="O219" s="48"/>
      <c r="Q219" s="21"/>
      <c r="S219" s="21"/>
      <c r="V219" s="46"/>
    </row>
    <row r="220" spans="9:22" x14ac:dyDescent="0.35">
      <c r="I220" s="52"/>
      <c r="J220" s="28"/>
      <c r="K220" s="29"/>
      <c r="L220" s="28"/>
      <c r="M220" s="19"/>
      <c r="N220" s="19"/>
      <c r="O220" s="48"/>
      <c r="Q220" s="21"/>
      <c r="S220" s="21"/>
      <c r="V220" s="46"/>
    </row>
    <row r="221" spans="9:22" x14ac:dyDescent="0.35">
      <c r="I221" s="52"/>
      <c r="J221" s="28"/>
      <c r="K221" s="29"/>
      <c r="L221" s="28"/>
      <c r="M221" s="19"/>
      <c r="N221" s="19"/>
      <c r="O221" s="48"/>
      <c r="Q221" s="21"/>
      <c r="S221" s="21"/>
      <c r="V221" s="46"/>
    </row>
    <row r="222" spans="9:22" x14ac:dyDescent="0.35">
      <c r="I222" s="52"/>
      <c r="J222" s="28"/>
      <c r="K222" s="29"/>
      <c r="L222" s="28"/>
      <c r="M222" s="19"/>
      <c r="N222" s="19"/>
      <c r="O222" s="48"/>
      <c r="Q222" s="21"/>
      <c r="S222" s="21"/>
      <c r="V222" s="46"/>
    </row>
    <row r="223" spans="9:22" x14ac:dyDescent="0.35">
      <c r="I223" s="52"/>
      <c r="J223" s="28"/>
      <c r="K223" s="29"/>
      <c r="L223" s="28"/>
      <c r="M223" s="19"/>
      <c r="N223" s="19"/>
      <c r="O223" s="48"/>
      <c r="Q223" s="21"/>
      <c r="S223" s="21"/>
      <c r="V223" s="46"/>
    </row>
    <row r="224" spans="9:22" x14ac:dyDescent="0.35">
      <c r="I224" s="52"/>
      <c r="J224" s="28"/>
      <c r="K224" s="29"/>
      <c r="L224" s="28"/>
      <c r="M224" s="19"/>
      <c r="N224" s="19"/>
      <c r="O224" s="48"/>
      <c r="Q224" s="21"/>
      <c r="S224" s="21"/>
      <c r="V224" s="46"/>
    </row>
    <row r="225" spans="9:22" x14ac:dyDescent="0.35">
      <c r="I225" s="52"/>
      <c r="J225" s="28"/>
      <c r="K225" s="29"/>
      <c r="L225" s="28"/>
      <c r="M225" s="19"/>
      <c r="N225" s="19"/>
      <c r="O225" s="48"/>
      <c r="Q225" s="21"/>
      <c r="S225" s="21"/>
      <c r="V225" s="46"/>
    </row>
    <row r="226" spans="9:22" x14ac:dyDescent="0.35">
      <c r="I226" s="52"/>
      <c r="J226" s="28"/>
      <c r="K226" s="29"/>
      <c r="L226" s="28"/>
      <c r="M226" s="19"/>
      <c r="N226" s="19"/>
      <c r="O226" s="48"/>
      <c r="Q226" s="21"/>
      <c r="S226" s="21"/>
      <c r="V226" s="46"/>
    </row>
    <row r="227" spans="9:22" x14ac:dyDescent="0.35">
      <c r="I227" s="52"/>
      <c r="J227" s="28"/>
      <c r="K227" s="29"/>
      <c r="L227" s="28"/>
      <c r="M227" s="19"/>
      <c r="N227" s="19"/>
      <c r="O227" s="48"/>
      <c r="Q227" s="21"/>
      <c r="S227" s="21"/>
      <c r="V227" s="46"/>
    </row>
    <row r="228" spans="9:22" x14ac:dyDescent="0.35">
      <c r="I228" s="52"/>
      <c r="J228" s="28"/>
      <c r="K228" s="29"/>
      <c r="L228" s="28"/>
      <c r="M228" s="19"/>
      <c r="N228" s="19"/>
      <c r="O228" s="48"/>
      <c r="Q228" s="21"/>
      <c r="S228" s="21"/>
      <c r="V228" s="46"/>
    </row>
    <row r="229" spans="9:22" x14ac:dyDescent="0.35">
      <c r="I229" s="52"/>
      <c r="J229" s="28"/>
      <c r="K229" s="29"/>
      <c r="L229" s="28"/>
      <c r="M229" s="19"/>
      <c r="N229" s="19"/>
      <c r="O229" s="48"/>
      <c r="Q229" s="21"/>
      <c r="S229" s="21"/>
      <c r="V229" s="46"/>
    </row>
    <row r="230" spans="9:22" x14ac:dyDescent="0.35">
      <c r="I230" s="52"/>
      <c r="J230" s="28"/>
      <c r="K230" s="29"/>
      <c r="L230" s="28"/>
      <c r="M230" s="19"/>
      <c r="N230" s="19"/>
      <c r="O230" s="48"/>
      <c r="Q230" s="21"/>
      <c r="S230" s="21"/>
      <c r="V230" s="46"/>
    </row>
    <row r="231" spans="9:22" x14ac:dyDescent="0.35">
      <c r="I231" s="52"/>
      <c r="J231" s="28"/>
      <c r="K231" s="29"/>
      <c r="L231" s="28"/>
      <c r="M231" s="19"/>
      <c r="N231" s="19"/>
      <c r="O231" s="48"/>
      <c r="Q231" s="21"/>
      <c r="S231" s="21"/>
      <c r="V231" s="46"/>
    </row>
    <row r="232" spans="9:22" x14ac:dyDescent="0.35">
      <c r="I232" s="52"/>
      <c r="J232" s="28"/>
      <c r="K232" s="29"/>
      <c r="L232" s="28"/>
      <c r="M232" s="19"/>
      <c r="N232" s="19"/>
      <c r="O232" s="48"/>
      <c r="Q232" s="21"/>
      <c r="S232" s="21"/>
      <c r="V232" s="46"/>
    </row>
    <row r="233" spans="9:22" x14ac:dyDescent="0.35">
      <c r="I233" s="52"/>
      <c r="J233" s="28"/>
      <c r="K233" s="29"/>
      <c r="L233" s="28"/>
      <c r="M233" s="19"/>
      <c r="N233" s="19"/>
      <c r="O233" s="48"/>
      <c r="Q233" s="21"/>
      <c r="S233" s="21"/>
      <c r="V233" s="46"/>
    </row>
    <row r="234" spans="9:22" x14ac:dyDescent="0.35">
      <c r="I234" s="52"/>
      <c r="J234" s="28"/>
      <c r="K234" s="29"/>
      <c r="L234" s="28"/>
      <c r="M234" s="19"/>
      <c r="N234" s="19"/>
      <c r="O234" s="48"/>
      <c r="Q234" s="21"/>
      <c r="S234" s="21"/>
      <c r="V234" s="46"/>
    </row>
    <row r="235" spans="9:22" x14ac:dyDescent="0.35">
      <c r="I235" s="52"/>
      <c r="J235" s="28"/>
      <c r="K235" s="29"/>
      <c r="L235" s="28"/>
      <c r="M235" s="19"/>
      <c r="N235" s="19"/>
      <c r="O235" s="48"/>
      <c r="Q235" s="21"/>
      <c r="S235" s="21"/>
      <c r="V235" s="46"/>
    </row>
    <row r="236" spans="9:22" x14ac:dyDescent="0.35">
      <c r="I236" s="52"/>
      <c r="J236" s="28"/>
      <c r="K236" s="29"/>
      <c r="L236" s="28"/>
      <c r="M236" s="19"/>
      <c r="N236" s="19"/>
      <c r="O236" s="48"/>
      <c r="Q236" s="21"/>
      <c r="S236" s="21"/>
      <c r="V236" s="46"/>
    </row>
    <row r="237" spans="9:22" x14ac:dyDescent="0.35">
      <c r="I237" s="52"/>
      <c r="J237" s="28"/>
      <c r="K237" s="29"/>
      <c r="L237" s="28"/>
      <c r="M237" s="19"/>
      <c r="N237" s="19"/>
      <c r="O237" s="48"/>
      <c r="Q237" s="21"/>
      <c r="S237" s="21"/>
      <c r="V237" s="46"/>
    </row>
    <row r="238" spans="9:22" x14ac:dyDescent="0.35">
      <c r="I238" s="52"/>
      <c r="J238" s="28"/>
      <c r="K238" s="29"/>
      <c r="L238" s="28"/>
      <c r="M238" s="19"/>
      <c r="N238" s="19"/>
      <c r="O238" s="48"/>
      <c r="Q238" s="21"/>
      <c r="S238" s="21"/>
      <c r="V238" s="46"/>
    </row>
    <row r="239" spans="9:22" x14ac:dyDescent="0.35">
      <c r="I239" s="52"/>
      <c r="J239" s="28"/>
      <c r="K239" s="29"/>
      <c r="L239" s="28"/>
      <c r="M239" s="19"/>
      <c r="N239" s="19"/>
      <c r="O239" s="48"/>
      <c r="Q239" s="21"/>
      <c r="S239" s="21"/>
      <c r="V239" s="46"/>
    </row>
    <row r="240" spans="9:22" x14ac:dyDescent="0.35">
      <c r="I240" s="52"/>
      <c r="J240" s="28"/>
      <c r="K240" s="29"/>
      <c r="L240" s="28"/>
      <c r="M240" s="19"/>
      <c r="N240" s="19"/>
      <c r="O240" s="48"/>
      <c r="Q240" s="21"/>
      <c r="S240" s="21"/>
      <c r="V240" s="46"/>
    </row>
    <row r="241" spans="9:22" x14ac:dyDescent="0.35">
      <c r="I241" s="52"/>
      <c r="J241" s="28"/>
      <c r="K241" s="29"/>
      <c r="L241" s="28"/>
      <c r="M241" s="19"/>
      <c r="N241" s="19"/>
      <c r="O241" s="48"/>
      <c r="Q241" s="21"/>
      <c r="S241" s="21"/>
      <c r="V241" s="46"/>
    </row>
    <row r="242" spans="9:22" x14ac:dyDescent="0.35">
      <c r="I242" s="52"/>
      <c r="J242" s="28"/>
      <c r="K242" s="29"/>
      <c r="L242" s="28"/>
      <c r="M242" s="19"/>
      <c r="N242" s="19"/>
      <c r="O242" s="48"/>
      <c r="Q242" s="21"/>
      <c r="S242" s="21"/>
      <c r="V242" s="46"/>
    </row>
    <row r="243" spans="9:22" x14ac:dyDescent="0.35">
      <c r="I243" s="52"/>
      <c r="J243" s="28"/>
      <c r="K243" s="29"/>
      <c r="L243" s="28"/>
      <c r="M243" s="19"/>
      <c r="N243" s="19"/>
      <c r="O243" s="48"/>
      <c r="Q243" s="21"/>
      <c r="S243" s="21"/>
      <c r="V243" s="46"/>
    </row>
    <row r="244" spans="9:22" x14ac:dyDescent="0.35">
      <c r="I244" s="52"/>
      <c r="J244" s="28"/>
      <c r="K244" s="29"/>
      <c r="L244" s="28"/>
      <c r="M244" s="19"/>
      <c r="N244" s="19"/>
      <c r="O244" s="48"/>
      <c r="Q244" s="21"/>
      <c r="S244" s="21"/>
      <c r="V244" s="46"/>
    </row>
    <row r="245" spans="9:22" x14ac:dyDescent="0.35">
      <c r="I245" s="52"/>
      <c r="J245" s="28"/>
      <c r="K245" s="29"/>
      <c r="L245" s="28"/>
      <c r="M245" s="19"/>
      <c r="N245" s="19"/>
      <c r="O245" s="48"/>
      <c r="Q245" s="21"/>
      <c r="S245" s="21"/>
      <c r="V245" s="46"/>
    </row>
    <row r="246" spans="9:22" x14ac:dyDescent="0.35">
      <c r="I246" s="52"/>
      <c r="J246" s="28"/>
      <c r="K246" s="29"/>
      <c r="L246" s="28"/>
      <c r="M246" s="19"/>
      <c r="N246" s="19"/>
      <c r="O246" s="48"/>
      <c r="Q246" s="21"/>
      <c r="S246" s="21"/>
      <c r="V246" s="46"/>
    </row>
    <row r="247" spans="9:22" x14ac:dyDescent="0.35">
      <c r="I247" s="52"/>
      <c r="J247" s="28"/>
      <c r="K247" s="29"/>
      <c r="L247" s="28"/>
      <c r="M247" s="19"/>
      <c r="N247" s="19"/>
      <c r="O247" s="48"/>
      <c r="Q247" s="21"/>
      <c r="S247" s="21"/>
      <c r="V247" s="46"/>
    </row>
    <row r="248" spans="9:22" x14ac:dyDescent="0.35">
      <c r="I248" s="52"/>
      <c r="J248" s="28"/>
      <c r="K248" s="29"/>
      <c r="L248" s="28"/>
      <c r="M248" s="19"/>
      <c r="N248" s="19"/>
      <c r="O248" s="48"/>
      <c r="Q248" s="21"/>
      <c r="S248" s="21"/>
      <c r="V248" s="46"/>
    </row>
    <row r="249" spans="9:22" x14ac:dyDescent="0.35">
      <c r="I249" s="52"/>
      <c r="J249" s="28"/>
      <c r="K249" s="29"/>
      <c r="L249" s="28"/>
      <c r="M249" s="19"/>
      <c r="N249" s="19"/>
      <c r="O249" s="48"/>
      <c r="Q249" s="21"/>
      <c r="S249" s="21"/>
      <c r="V249" s="46"/>
    </row>
    <row r="250" spans="9:22" x14ac:dyDescent="0.35">
      <c r="I250" s="52"/>
      <c r="J250" s="28"/>
      <c r="K250" s="29"/>
      <c r="L250" s="28"/>
      <c r="M250" s="19"/>
      <c r="N250" s="19"/>
      <c r="O250" s="48"/>
      <c r="Q250" s="21"/>
      <c r="S250" s="21"/>
      <c r="V250" s="46"/>
    </row>
    <row r="251" spans="9:22" x14ac:dyDescent="0.35">
      <c r="I251" s="52"/>
      <c r="J251" s="28"/>
      <c r="K251" s="29"/>
      <c r="L251" s="28"/>
      <c r="M251" s="19"/>
      <c r="N251" s="19"/>
      <c r="O251" s="48"/>
      <c r="Q251" s="21"/>
      <c r="S251" s="21"/>
      <c r="V251" s="46"/>
    </row>
    <row r="252" spans="9:22" x14ac:dyDescent="0.35">
      <c r="I252" s="52"/>
      <c r="J252" s="28"/>
      <c r="K252" s="29"/>
      <c r="L252" s="28"/>
      <c r="M252" s="19"/>
      <c r="N252" s="19"/>
      <c r="O252" s="48"/>
      <c r="Q252" s="21"/>
      <c r="S252" s="21"/>
      <c r="V252" s="46"/>
    </row>
    <row r="253" spans="9:22" x14ac:dyDescent="0.35">
      <c r="I253" s="52"/>
      <c r="J253" s="28"/>
      <c r="K253" s="29"/>
      <c r="L253" s="28"/>
      <c r="M253" s="19"/>
      <c r="N253" s="19"/>
      <c r="O253" s="48"/>
      <c r="Q253" s="21"/>
      <c r="S253" s="21"/>
      <c r="V253" s="46"/>
    </row>
    <row r="254" spans="9:22" x14ac:dyDescent="0.35">
      <c r="I254" s="52"/>
      <c r="J254" s="28"/>
      <c r="K254" s="29"/>
      <c r="L254" s="28"/>
      <c r="M254" s="19"/>
      <c r="N254" s="19"/>
      <c r="O254" s="48"/>
      <c r="Q254" s="21"/>
      <c r="S254" s="21"/>
      <c r="V254" s="46"/>
    </row>
    <row r="255" spans="9:22" x14ac:dyDescent="0.35">
      <c r="I255" s="52"/>
      <c r="J255" s="28"/>
      <c r="K255" s="29"/>
      <c r="L255" s="28"/>
      <c r="M255" s="19"/>
      <c r="N255" s="19"/>
      <c r="O255" s="48"/>
      <c r="Q255" s="21"/>
      <c r="S255" s="21"/>
      <c r="V255" s="46"/>
    </row>
    <row r="256" spans="9:22" x14ac:dyDescent="0.35">
      <c r="I256" s="52"/>
      <c r="J256" s="28"/>
      <c r="K256" s="29"/>
      <c r="L256" s="28"/>
      <c r="M256" s="19"/>
      <c r="N256" s="19"/>
      <c r="O256" s="48"/>
      <c r="Q256" s="21"/>
      <c r="S256" s="21"/>
      <c r="V256" s="46"/>
    </row>
    <row r="257" spans="9:22" x14ac:dyDescent="0.35">
      <c r="I257" s="52"/>
      <c r="J257" s="28"/>
      <c r="K257" s="29"/>
      <c r="L257" s="28"/>
      <c r="M257" s="19"/>
      <c r="N257" s="19"/>
      <c r="O257" s="48"/>
      <c r="Q257" s="21"/>
      <c r="S257" s="21"/>
      <c r="V257" s="46"/>
    </row>
    <row r="258" spans="9:22" x14ac:dyDescent="0.35">
      <c r="I258" s="52"/>
      <c r="J258" s="28"/>
      <c r="K258" s="29"/>
      <c r="L258" s="28"/>
      <c r="M258" s="19"/>
      <c r="N258" s="19"/>
      <c r="O258" s="48"/>
      <c r="Q258" s="21"/>
      <c r="S258" s="21"/>
      <c r="V258" s="46"/>
    </row>
    <row r="259" spans="9:22" x14ac:dyDescent="0.35">
      <c r="I259" s="52"/>
      <c r="J259" s="28"/>
      <c r="K259" s="29"/>
      <c r="L259" s="28"/>
      <c r="M259" s="19"/>
      <c r="N259" s="19"/>
      <c r="O259" s="48"/>
      <c r="Q259" s="21"/>
      <c r="S259" s="21"/>
      <c r="V259" s="46"/>
    </row>
    <row r="260" spans="9:22" x14ac:dyDescent="0.35">
      <c r="I260" s="52"/>
      <c r="J260" s="28"/>
      <c r="K260" s="29"/>
      <c r="L260" s="28"/>
      <c r="M260" s="19"/>
      <c r="N260" s="19"/>
      <c r="O260" s="48"/>
      <c r="Q260" s="21"/>
      <c r="S260" s="21"/>
      <c r="V260" s="46"/>
    </row>
    <row r="261" spans="9:22" x14ac:dyDescent="0.35">
      <c r="I261" s="52"/>
      <c r="J261" s="28"/>
      <c r="K261" s="29"/>
      <c r="L261" s="28"/>
      <c r="M261" s="19"/>
      <c r="N261" s="19"/>
      <c r="O261" s="48"/>
      <c r="Q261" s="21"/>
      <c r="S261" s="21"/>
      <c r="V261" s="46"/>
    </row>
    <row r="262" spans="9:22" x14ac:dyDescent="0.35">
      <c r="I262" s="52"/>
      <c r="J262" s="28"/>
      <c r="K262" s="29"/>
      <c r="L262" s="28"/>
      <c r="M262" s="19"/>
      <c r="N262" s="19"/>
      <c r="O262" s="48"/>
      <c r="Q262" s="21"/>
      <c r="S262" s="21"/>
      <c r="V262" s="46"/>
    </row>
    <row r="263" spans="9:22" x14ac:dyDescent="0.35">
      <c r="I263" s="52"/>
      <c r="J263" s="28"/>
      <c r="K263" s="29"/>
      <c r="L263" s="28"/>
      <c r="M263" s="19"/>
      <c r="N263" s="19"/>
      <c r="O263" s="48"/>
      <c r="Q263" s="21"/>
      <c r="S263" s="21"/>
      <c r="V263" s="46"/>
    </row>
    <row r="264" spans="9:22" x14ac:dyDescent="0.35">
      <c r="I264" s="52"/>
      <c r="J264" s="28"/>
      <c r="K264" s="29"/>
      <c r="L264" s="28"/>
      <c r="M264" s="19"/>
      <c r="N264" s="19"/>
      <c r="O264" s="48"/>
      <c r="Q264" s="21"/>
      <c r="S264" s="21"/>
      <c r="V264" s="46"/>
    </row>
    <row r="265" spans="9:22" x14ac:dyDescent="0.35">
      <c r="I265" s="52"/>
      <c r="J265" s="28"/>
      <c r="K265" s="29"/>
      <c r="L265" s="28"/>
      <c r="M265" s="19"/>
      <c r="N265" s="19"/>
      <c r="O265" s="48"/>
      <c r="Q265" s="21"/>
      <c r="S265" s="21"/>
      <c r="V265" s="46"/>
    </row>
    <row r="266" spans="9:22" x14ac:dyDescent="0.35">
      <c r="I266" s="52"/>
      <c r="J266" s="28"/>
      <c r="K266" s="29"/>
      <c r="L266" s="28"/>
      <c r="M266" s="19"/>
      <c r="N266" s="19"/>
      <c r="O266" s="48"/>
      <c r="Q266" s="21"/>
      <c r="S266" s="21"/>
      <c r="V266" s="46"/>
    </row>
    <row r="267" spans="9:22" x14ac:dyDescent="0.35">
      <c r="I267" s="52"/>
      <c r="J267" s="28"/>
      <c r="K267" s="29"/>
      <c r="L267" s="28"/>
      <c r="M267" s="19"/>
      <c r="N267" s="19"/>
      <c r="O267" s="48"/>
      <c r="Q267" s="21"/>
      <c r="S267" s="21"/>
      <c r="V267" s="46"/>
    </row>
    <row r="268" spans="9:22" x14ac:dyDescent="0.35">
      <c r="I268" s="52"/>
      <c r="J268" s="28"/>
      <c r="K268" s="29"/>
      <c r="L268" s="28"/>
      <c r="M268" s="19"/>
      <c r="N268" s="19"/>
      <c r="O268" s="48"/>
      <c r="Q268" s="21"/>
      <c r="S268" s="21"/>
      <c r="V268" s="46"/>
    </row>
    <row r="269" spans="9:22" x14ac:dyDescent="0.35">
      <c r="I269" s="52"/>
      <c r="J269" s="28"/>
      <c r="K269" s="29"/>
      <c r="L269" s="28"/>
      <c r="M269" s="19"/>
      <c r="N269" s="19"/>
      <c r="O269" s="48"/>
      <c r="Q269" s="21"/>
      <c r="S269" s="21"/>
      <c r="V269" s="46"/>
    </row>
    <row r="270" spans="9:22" x14ac:dyDescent="0.35">
      <c r="I270" s="52"/>
      <c r="J270" s="28"/>
      <c r="K270" s="29"/>
      <c r="L270" s="28"/>
      <c r="M270" s="19"/>
      <c r="N270" s="19"/>
      <c r="O270" s="48"/>
      <c r="Q270" s="21"/>
      <c r="S270" s="21"/>
      <c r="V270" s="46"/>
    </row>
    <row r="271" spans="9:22" x14ac:dyDescent="0.35">
      <c r="I271" s="52"/>
      <c r="J271" s="28"/>
      <c r="K271" s="29"/>
      <c r="L271" s="28"/>
      <c r="M271" s="19"/>
      <c r="N271" s="19"/>
      <c r="O271" s="48"/>
      <c r="Q271" s="21"/>
      <c r="S271" s="21"/>
      <c r="V271" s="46"/>
    </row>
    <row r="272" spans="9:22" x14ac:dyDescent="0.35">
      <c r="I272" s="52"/>
      <c r="J272" s="28"/>
      <c r="K272" s="29"/>
      <c r="L272" s="28"/>
      <c r="M272" s="19"/>
      <c r="N272" s="19"/>
      <c r="O272" s="48"/>
      <c r="Q272" s="21"/>
      <c r="S272" s="21"/>
      <c r="V272" s="46"/>
    </row>
    <row r="273" spans="9:22" x14ac:dyDescent="0.35">
      <c r="I273" s="52"/>
      <c r="J273" s="28"/>
      <c r="K273" s="29"/>
      <c r="L273" s="28"/>
      <c r="M273" s="19"/>
      <c r="N273" s="19"/>
      <c r="O273" s="48"/>
      <c r="Q273" s="21"/>
      <c r="S273" s="21"/>
      <c r="V273" s="46"/>
    </row>
    <row r="274" spans="9:22" x14ac:dyDescent="0.35">
      <c r="I274" s="52"/>
      <c r="J274" s="28"/>
      <c r="K274" s="29"/>
      <c r="L274" s="28"/>
      <c r="M274" s="19"/>
      <c r="N274" s="19"/>
      <c r="O274" s="48"/>
      <c r="Q274" s="21"/>
      <c r="S274" s="21"/>
      <c r="V274" s="46"/>
    </row>
    <row r="275" spans="9:22" x14ac:dyDescent="0.35">
      <c r="I275" s="52"/>
      <c r="J275" s="28"/>
      <c r="K275" s="29"/>
      <c r="L275" s="28"/>
      <c r="M275" s="19"/>
      <c r="N275" s="19"/>
      <c r="O275" s="48"/>
      <c r="Q275" s="21"/>
      <c r="S275" s="21"/>
      <c r="V275" s="46"/>
    </row>
    <row r="276" spans="9:22" x14ac:dyDescent="0.35">
      <c r="I276" s="52"/>
      <c r="J276" s="28"/>
      <c r="K276" s="29"/>
      <c r="L276" s="28"/>
      <c r="M276" s="19"/>
      <c r="N276" s="19"/>
      <c r="O276" s="48"/>
      <c r="Q276" s="21"/>
      <c r="S276" s="21"/>
      <c r="V276" s="46"/>
    </row>
    <row r="277" spans="9:22" x14ac:dyDescent="0.35">
      <c r="I277" s="52"/>
      <c r="J277" s="28"/>
      <c r="K277" s="29"/>
      <c r="L277" s="28"/>
      <c r="M277" s="19"/>
      <c r="N277" s="19"/>
      <c r="O277" s="48"/>
      <c r="Q277" s="21"/>
      <c r="S277" s="21"/>
      <c r="V277" s="46"/>
    </row>
    <row r="278" spans="9:22" x14ac:dyDescent="0.35">
      <c r="I278" s="52"/>
      <c r="J278" s="28"/>
      <c r="K278" s="29"/>
      <c r="L278" s="28"/>
      <c r="M278" s="19"/>
      <c r="N278" s="19"/>
      <c r="O278" s="48"/>
      <c r="Q278" s="21"/>
      <c r="S278" s="21"/>
      <c r="V278" s="46"/>
    </row>
    <row r="279" spans="9:22" x14ac:dyDescent="0.35">
      <c r="I279" s="52"/>
      <c r="J279" s="28"/>
      <c r="K279" s="29"/>
      <c r="L279" s="28"/>
      <c r="M279" s="19"/>
      <c r="N279" s="19"/>
      <c r="O279" s="48"/>
      <c r="Q279" s="21"/>
      <c r="S279" s="21"/>
      <c r="V279" s="46"/>
    </row>
    <row r="280" spans="9:22" x14ac:dyDescent="0.35">
      <c r="I280" s="52"/>
      <c r="J280" s="28"/>
      <c r="K280" s="29"/>
      <c r="L280" s="28"/>
      <c r="M280" s="19"/>
      <c r="N280" s="19"/>
      <c r="O280" s="48"/>
      <c r="Q280" s="21"/>
      <c r="S280" s="21"/>
      <c r="V280" s="46"/>
    </row>
    <row r="281" spans="9:22" x14ac:dyDescent="0.35">
      <c r="I281" s="52"/>
      <c r="J281" s="28"/>
      <c r="K281" s="29"/>
      <c r="L281" s="28"/>
      <c r="M281" s="19"/>
      <c r="N281" s="19"/>
      <c r="O281" s="48"/>
      <c r="Q281" s="21"/>
      <c r="S281" s="21"/>
      <c r="V281" s="46"/>
    </row>
    <row r="282" spans="9:22" x14ac:dyDescent="0.35">
      <c r="I282" s="52"/>
      <c r="J282" s="28"/>
      <c r="K282" s="29"/>
      <c r="L282" s="28"/>
      <c r="M282" s="19"/>
      <c r="N282" s="19"/>
      <c r="O282" s="48"/>
      <c r="Q282" s="21"/>
      <c r="S282" s="21"/>
      <c r="V282" s="46"/>
    </row>
    <row r="283" spans="9:22" x14ac:dyDescent="0.35">
      <c r="I283" s="52"/>
      <c r="J283" s="28"/>
      <c r="K283" s="29"/>
      <c r="L283" s="28"/>
      <c r="M283" s="19"/>
      <c r="N283" s="19"/>
      <c r="O283" s="48"/>
      <c r="Q283" s="21"/>
      <c r="S283" s="21"/>
      <c r="V283" s="46"/>
    </row>
    <row r="284" spans="9:22" x14ac:dyDescent="0.35">
      <c r="I284" s="52"/>
      <c r="J284" s="28"/>
      <c r="K284" s="29"/>
      <c r="L284" s="28"/>
      <c r="M284" s="19"/>
      <c r="N284" s="19"/>
      <c r="O284" s="48"/>
      <c r="Q284" s="21"/>
      <c r="S284" s="21"/>
      <c r="V284" s="46"/>
    </row>
    <row r="285" spans="9:22" x14ac:dyDescent="0.35">
      <c r="I285" s="52"/>
      <c r="J285" s="28"/>
      <c r="K285" s="29"/>
      <c r="L285" s="28"/>
      <c r="M285" s="19"/>
      <c r="N285" s="19"/>
      <c r="O285" s="48"/>
      <c r="Q285" s="21"/>
      <c r="S285" s="21"/>
      <c r="V285" s="46"/>
    </row>
    <row r="286" spans="9:22" x14ac:dyDescent="0.35">
      <c r="I286" s="52"/>
      <c r="J286" s="28"/>
      <c r="K286" s="29"/>
      <c r="L286" s="28"/>
      <c r="M286" s="19"/>
      <c r="N286" s="19"/>
      <c r="O286" s="48"/>
      <c r="Q286" s="21"/>
      <c r="S286" s="21"/>
      <c r="V286" s="46"/>
    </row>
    <row r="287" spans="9:22" x14ac:dyDescent="0.35">
      <c r="I287" s="52"/>
      <c r="J287" s="28"/>
      <c r="K287" s="29"/>
      <c r="L287" s="28"/>
      <c r="M287" s="19"/>
      <c r="N287" s="19"/>
      <c r="O287" s="48"/>
      <c r="Q287" s="21"/>
      <c r="S287" s="21"/>
      <c r="V287" s="46"/>
    </row>
    <row r="288" spans="9:22" x14ac:dyDescent="0.35">
      <c r="I288" s="52"/>
      <c r="J288" s="28"/>
      <c r="K288" s="29"/>
      <c r="L288" s="28"/>
      <c r="M288" s="19"/>
      <c r="N288" s="19"/>
      <c r="O288" s="48"/>
      <c r="Q288" s="21"/>
      <c r="S288" s="21"/>
      <c r="V288" s="46"/>
    </row>
    <row r="289" spans="9:22" x14ac:dyDescent="0.35">
      <c r="I289" s="52"/>
      <c r="J289" s="28"/>
      <c r="K289" s="29"/>
      <c r="L289" s="28"/>
      <c r="M289" s="19"/>
      <c r="N289" s="19"/>
      <c r="O289" s="48"/>
      <c r="Q289" s="21"/>
      <c r="S289" s="21"/>
      <c r="V289" s="46"/>
    </row>
    <row r="290" spans="9:22" x14ac:dyDescent="0.35">
      <c r="I290" s="52"/>
      <c r="J290" s="28"/>
      <c r="K290" s="29"/>
      <c r="L290" s="28"/>
      <c r="M290" s="19"/>
      <c r="N290" s="19"/>
      <c r="O290" s="48"/>
      <c r="Q290" s="21"/>
      <c r="S290" s="21"/>
      <c r="V290" s="46"/>
    </row>
    <row r="291" spans="9:22" x14ac:dyDescent="0.35">
      <c r="I291" s="52"/>
      <c r="J291" s="28"/>
      <c r="K291" s="29"/>
      <c r="L291" s="28"/>
      <c r="M291" s="19"/>
      <c r="N291" s="19"/>
      <c r="O291" s="48"/>
      <c r="Q291" s="21"/>
      <c r="S291" s="21"/>
      <c r="V291" s="46"/>
    </row>
    <row r="292" spans="9:22" x14ac:dyDescent="0.35">
      <c r="I292" s="52"/>
      <c r="J292" s="28"/>
      <c r="K292" s="29"/>
      <c r="L292" s="28"/>
      <c r="M292" s="19"/>
      <c r="N292" s="19"/>
      <c r="O292" s="48"/>
      <c r="Q292" s="21"/>
      <c r="S292" s="21"/>
      <c r="V292" s="46"/>
    </row>
    <row r="293" spans="9:22" x14ac:dyDescent="0.35">
      <c r="I293" s="52"/>
      <c r="J293" s="28"/>
      <c r="K293" s="29"/>
      <c r="L293" s="28"/>
      <c r="M293" s="19"/>
      <c r="N293" s="19"/>
      <c r="O293" s="48"/>
      <c r="Q293" s="21"/>
      <c r="S293" s="21"/>
      <c r="V293" s="46"/>
    </row>
    <row r="294" spans="9:22" x14ac:dyDescent="0.35">
      <c r="I294" s="52"/>
      <c r="J294" s="28"/>
      <c r="K294" s="29"/>
      <c r="L294" s="28"/>
      <c r="M294" s="19"/>
      <c r="N294" s="19"/>
      <c r="O294" s="48"/>
      <c r="Q294" s="21"/>
      <c r="S294" s="21"/>
      <c r="V294" s="46"/>
    </row>
    <row r="295" spans="9:22" x14ac:dyDescent="0.35">
      <c r="I295" s="52"/>
      <c r="J295" s="28"/>
      <c r="K295" s="29"/>
      <c r="L295" s="28"/>
      <c r="M295" s="19"/>
      <c r="N295" s="19"/>
      <c r="O295" s="48"/>
      <c r="Q295" s="21"/>
      <c r="S295" s="21"/>
      <c r="V295" s="46"/>
    </row>
    <row r="296" spans="9:22" x14ac:dyDescent="0.35">
      <c r="I296" s="52"/>
      <c r="J296" s="28"/>
      <c r="K296" s="29"/>
      <c r="L296" s="28"/>
      <c r="M296" s="19"/>
      <c r="N296" s="19"/>
      <c r="O296" s="48"/>
      <c r="Q296" s="21"/>
      <c r="S296" s="21"/>
      <c r="V296" s="46"/>
    </row>
    <row r="297" spans="9:22" x14ac:dyDescent="0.35">
      <c r="I297" s="52"/>
      <c r="J297" s="28"/>
      <c r="K297" s="29"/>
      <c r="L297" s="28"/>
      <c r="M297" s="19"/>
      <c r="N297" s="19"/>
      <c r="O297" s="48"/>
      <c r="Q297" s="21"/>
      <c r="S297" s="21"/>
      <c r="V297" s="46"/>
    </row>
    <row r="298" spans="9:22" x14ac:dyDescent="0.35">
      <c r="I298" s="52"/>
      <c r="J298" s="28"/>
      <c r="K298" s="29"/>
      <c r="L298" s="28"/>
      <c r="M298" s="19"/>
      <c r="N298" s="19"/>
      <c r="O298" s="48"/>
      <c r="Q298" s="21"/>
      <c r="S298" s="21"/>
      <c r="V298" s="46"/>
    </row>
    <row r="299" spans="9:22" x14ac:dyDescent="0.35">
      <c r="I299" s="52"/>
      <c r="J299" s="28"/>
      <c r="K299" s="29"/>
      <c r="L299" s="28"/>
      <c r="M299" s="19"/>
      <c r="N299" s="19"/>
      <c r="O299" s="48"/>
      <c r="Q299" s="21"/>
      <c r="S299" s="21"/>
      <c r="V299" s="46"/>
    </row>
    <row r="300" spans="9:22" x14ac:dyDescent="0.35">
      <c r="I300" s="52"/>
      <c r="J300" s="28"/>
      <c r="K300" s="29"/>
      <c r="L300" s="28"/>
      <c r="M300" s="19"/>
      <c r="N300" s="19"/>
      <c r="O300" s="48"/>
      <c r="Q300" s="21"/>
      <c r="S300" s="21"/>
      <c r="V300" s="46"/>
    </row>
    <row r="301" spans="9:22" x14ac:dyDescent="0.35">
      <c r="I301" s="52"/>
      <c r="J301" s="28"/>
      <c r="K301" s="29"/>
      <c r="L301" s="28"/>
      <c r="M301" s="19"/>
      <c r="N301" s="19"/>
      <c r="O301" s="48"/>
      <c r="Q301" s="21"/>
      <c r="S301" s="21"/>
      <c r="V301" s="46"/>
    </row>
    <row r="302" spans="9:22" x14ac:dyDescent="0.35">
      <c r="I302" s="52"/>
      <c r="J302" s="28"/>
      <c r="K302" s="29"/>
      <c r="L302" s="28"/>
      <c r="M302" s="19"/>
      <c r="N302" s="19"/>
      <c r="O302" s="48"/>
      <c r="Q302" s="21"/>
      <c r="S302" s="21"/>
      <c r="V302" s="46"/>
    </row>
    <row r="303" spans="9:22" x14ac:dyDescent="0.35">
      <c r="I303" s="52"/>
      <c r="J303" s="28"/>
      <c r="K303" s="29"/>
      <c r="L303" s="28"/>
      <c r="M303" s="19"/>
      <c r="N303" s="19"/>
      <c r="O303" s="48"/>
      <c r="Q303" s="21"/>
      <c r="S303" s="21"/>
      <c r="V303" s="46"/>
    </row>
    <row r="304" spans="9:22" x14ac:dyDescent="0.35">
      <c r="I304" s="52"/>
      <c r="J304" s="28"/>
      <c r="K304" s="29"/>
      <c r="L304" s="28"/>
      <c r="M304" s="19"/>
      <c r="N304" s="19"/>
      <c r="O304" s="48"/>
      <c r="Q304" s="21"/>
      <c r="S304" s="21"/>
      <c r="V304" s="46"/>
    </row>
    <row r="305" spans="9:22" x14ac:dyDescent="0.35">
      <c r="I305" s="52"/>
      <c r="J305" s="28"/>
      <c r="K305" s="29"/>
      <c r="L305" s="28"/>
      <c r="M305" s="19"/>
      <c r="N305" s="19"/>
      <c r="O305" s="48"/>
      <c r="Q305" s="21"/>
      <c r="S305" s="21"/>
      <c r="V305" s="46"/>
    </row>
    <row r="306" spans="9:22" x14ac:dyDescent="0.35">
      <c r="I306" s="52"/>
      <c r="J306" s="28"/>
      <c r="K306" s="29"/>
      <c r="L306" s="28"/>
      <c r="M306" s="19"/>
      <c r="N306" s="19"/>
      <c r="O306" s="48"/>
      <c r="Q306" s="21"/>
      <c r="S306" s="21"/>
      <c r="V306" s="46"/>
    </row>
    <row r="307" spans="9:22" x14ac:dyDescent="0.35">
      <c r="I307" s="52"/>
      <c r="J307" s="28"/>
      <c r="K307" s="29"/>
      <c r="L307" s="28"/>
      <c r="M307" s="19"/>
      <c r="N307" s="19"/>
      <c r="O307" s="48"/>
      <c r="Q307" s="21"/>
      <c r="S307" s="21"/>
      <c r="V307" s="46"/>
    </row>
    <row r="308" spans="9:22" x14ac:dyDescent="0.35">
      <c r="I308" s="52"/>
      <c r="J308" s="28"/>
      <c r="K308" s="29"/>
      <c r="L308" s="28"/>
      <c r="M308" s="19"/>
      <c r="N308" s="19"/>
      <c r="O308" s="48"/>
      <c r="Q308" s="21"/>
      <c r="S308" s="21"/>
      <c r="V308" s="46"/>
    </row>
    <row r="309" spans="9:22" x14ac:dyDescent="0.35">
      <c r="I309" s="52"/>
      <c r="J309" s="28"/>
      <c r="K309" s="29"/>
      <c r="L309" s="28"/>
      <c r="M309" s="19"/>
      <c r="N309" s="19"/>
      <c r="O309" s="48"/>
      <c r="Q309" s="21"/>
      <c r="S309" s="21"/>
      <c r="V309" s="46"/>
    </row>
    <row r="310" spans="9:22" x14ac:dyDescent="0.35">
      <c r="I310" s="52"/>
      <c r="J310" s="28"/>
      <c r="K310" s="29"/>
      <c r="L310" s="28"/>
      <c r="M310" s="19"/>
      <c r="N310" s="19"/>
      <c r="O310" s="48"/>
      <c r="Q310" s="21"/>
      <c r="S310" s="21"/>
      <c r="V310" s="46"/>
    </row>
    <row r="311" spans="9:22" x14ac:dyDescent="0.35">
      <c r="I311" s="52"/>
      <c r="J311" s="28"/>
      <c r="K311" s="29"/>
      <c r="L311" s="28"/>
      <c r="M311" s="19"/>
      <c r="N311" s="19"/>
      <c r="O311" s="48"/>
      <c r="Q311" s="21"/>
      <c r="S311" s="21"/>
      <c r="V311" s="46"/>
    </row>
    <row r="312" spans="9:22" x14ac:dyDescent="0.35">
      <c r="I312" s="52"/>
      <c r="J312" s="28"/>
      <c r="K312" s="29"/>
      <c r="L312" s="28"/>
      <c r="M312" s="19"/>
      <c r="N312" s="19"/>
      <c r="O312" s="48"/>
      <c r="Q312" s="21"/>
      <c r="S312" s="21"/>
      <c r="V312" s="46"/>
    </row>
    <row r="313" spans="9:22" x14ac:dyDescent="0.35">
      <c r="I313" s="52"/>
      <c r="J313" s="28"/>
      <c r="K313" s="29"/>
      <c r="L313" s="28"/>
      <c r="M313" s="19"/>
      <c r="N313" s="19"/>
      <c r="O313" s="48"/>
      <c r="Q313" s="21"/>
      <c r="S313" s="21"/>
      <c r="V313" s="46"/>
    </row>
    <row r="314" spans="9:22" x14ac:dyDescent="0.35">
      <c r="I314" s="52"/>
      <c r="J314" s="28"/>
      <c r="K314" s="29"/>
      <c r="L314" s="28"/>
      <c r="M314" s="19"/>
      <c r="N314" s="19"/>
      <c r="O314" s="48"/>
      <c r="Q314" s="21"/>
      <c r="S314" s="21"/>
      <c r="V314" s="46"/>
    </row>
    <row r="315" spans="9:22" x14ac:dyDescent="0.35">
      <c r="I315" s="52"/>
      <c r="J315" s="28"/>
      <c r="K315" s="29"/>
      <c r="L315" s="28"/>
      <c r="M315" s="19"/>
      <c r="N315" s="19"/>
      <c r="O315" s="48"/>
      <c r="Q315" s="21"/>
      <c r="S315" s="21"/>
      <c r="V315" s="46"/>
    </row>
    <row r="316" spans="9:22" x14ac:dyDescent="0.35">
      <c r="I316" s="52"/>
      <c r="J316" s="28"/>
      <c r="K316" s="29"/>
      <c r="L316" s="28"/>
      <c r="M316" s="19"/>
      <c r="N316" s="19"/>
      <c r="O316" s="48"/>
      <c r="Q316" s="21"/>
      <c r="S316" s="21"/>
      <c r="V316" s="46"/>
    </row>
    <row r="317" spans="9:22" x14ac:dyDescent="0.35">
      <c r="I317" s="52"/>
      <c r="J317" s="28"/>
      <c r="K317" s="29"/>
      <c r="L317" s="28"/>
      <c r="M317" s="19"/>
      <c r="N317" s="19"/>
      <c r="O317" s="48"/>
      <c r="Q317" s="21"/>
      <c r="S317" s="21"/>
      <c r="V317" s="46"/>
    </row>
    <row r="318" spans="9:22" x14ac:dyDescent="0.35">
      <c r="I318" s="52"/>
      <c r="J318" s="28"/>
      <c r="K318" s="29"/>
      <c r="L318" s="28"/>
      <c r="M318" s="19"/>
      <c r="N318" s="19"/>
      <c r="O318" s="48"/>
      <c r="Q318" s="21"/>
      <c r="S318" s="21"/>
      <c r="V318" s="46"/>
    </row>
    <row r="319" spans="9:22" x14ac:dyDescent="0.35">
      <c r="I319" s="52"/>
      <c r="J319" s="28"/>
      <c r="K319" s="29"/>
      <c r="L319" s="28"/>
      <c r="M319" s="19"/>
      <c r="N319" s="19"/>
      <c r="O319" s="48"/>
      <c r="Q319" s="21"/>
      <c r="S319" s="21"/>
      <c r="V319" s="46"/>
    </row>
    <row r="320" spans="9:22" x14ac:dyDescent="0.35">
      <c r="I320" s="52"/>
      <c r="J320" s="28"/>
      <c r="K320" s="29"/>
      <c r="L320" s="28"/>
      <c r="M320" s="19"/>
      <c r="N320" s="19"/>
      <c r="O320" s="48"/>
      <c r="Q320" s="21"/>
      <c r="S320" s="21"/>
      <c r="V320" s="46"/>
    </row>
    <row r="321" spans="9:22" x14ac:dyDescent="0.35">
      <c r="I321" s="52"/>
      <c r="J321" s="28"/>
      <c r="K321" s="29"/>
      <c r="L321" s="28"/>
      <c r="M321" s="19"/>
      <c r="N321" s="19"/>
      <c r="O321" s="48"/>
      <c r="Q321" s="21"/>
      <c r="S321" s="21"/>
      <c r="V321" s="46"/>
    </row>
    <row r="322" spans="9:22" x14ac:dyDescent="0.35">
      <c r="I322" s="52"/>
      <c r="J322" s="28"/>
      <c r="K322" s="29"/>
      <c r="L322" s="28"/>
      <c r="M322" s="19"/>
      <c r="N322" s="19"/>
      <c r="O322" s="48"/>
      <c r="Q322" s="21"/>
      <c r="S322" s="21"/>
      <c r="V322" s="46"/>
    </row>
    <row r="323" spans="9:22" x14ac:dyDescent="0.35">
      <c r="I323" s="52"/>
      <c r="J323" s="28"/>
      <c r="K323" s="29"/>
      <c r="L323" s="28"/>
      <c r="M323" s="19"/>
      <c r="N323" s="19"/>
      <c r="O323" s="48"/>
      <c r="Q323" s="21"/>
      <c r="S323" s="21"/>
      <c r="V323" s="46"/>
    </row>
    <row r="324" spans="9:22" x14ac:dyDescent="0.35">
      <c r="I324" s="52"/>
      <c r="J324" s="28"/>
      <c r="K324" s="29"/>
      <c r="L324" s="28"/>
      <c r="M324" s="19"/>
      <c r="N324" s="19"/>
      <c r="O324" s="48"/>
      <c r="Q324" s="21"/>
      <c r="S324" s="21"/>
      <c r="V324" s="46"/>
    </row>
    <row r="325" spans="9:22" x14ac:dyDescent="0.35">
      <c r="I325" s="52"/>
      <c r="J325" s="28"/>
      <c r="K325" s="29"/>
      <c r="L325" s="28"/>
      <c r="M325" s="19"/>
      <c r="N325" s="19"/>
      <c r="O325" s="48"/>
      <c r="Q325" s="21"/>
      <c r="S325" s="21"/>
      <c r="V325" s="46"/>
    </row>
    <row r="326" spans="9:22" x14ac:dyDescent="0.35">
      <c r="I326" s="52"/>
      <c r="J326" s="28"/>
      <c r="K326" s="29"/>
      <c r="L326" s="28"/>
      <c r="M326" s="19"/>
      <c r="N326" s="19"/>
      <c r="O326" s="48"/>
      <c r="Q326" s="21"/>
      <c r="S326" s="21"/>
      <c r="V326" s="46"/>
    </row>
    <row r="327" spans="9:22" x14ac:dyDescent="0.35">
      <c r="I327" s="52"/>
      <c r="J327" s="28"/>
      <c r="K327" s="29"/>
      <c r="L327" s="28"/>
      <c r="M327" s="19"/>
      <c r="N327" s="19"/>
      <c r="O327" s="48"/>
      <c r="Q327" s="21"/>
      <c r="S327" s="21"/>
      <c r="V327" s="46"/>
    </row>
    <row r="328" spans="9:22" x14ac:dyDescent="0.35">
      <c r="I328" s="52"/>
      <c r="J328" s="28"/>
      <c r="K328" s="29"/>
      <c r="L328" s="28"/>
      <c r="M328" s="19"/>
      <c r="N328" s="19"/>
      <c r="O328" s="48"/>
      <c r="Q328" s="21"/>
      <c r="S328" s="21"/>
      <c r="V328" s="46"/>
    </row>
    <row r="329" spans="9:22" x14ac:dyDescent="0.35">
      <c r="I329" s="52"/>
      <c r="J329" s="28"/>
      <c r="K329" s="29"/>
      <c r="L329" s="28"/>
      <c r="M329" s="19"/>
      <c r="N329" s="19"/>
      <c r="O329" s="48"/>
      <c r="Q329" s="21"/>
      <c r="S329" s="21"/>
      <c r="V329" s="46"/>
    </row>
    <row r="330" spans="9:22" x14ac:dyDescent="0.35">
      <c r="I330" s="52"/>
      <c r="J330" s="28"/>
      <c r="K330" s="29"/>
      <c r="L330" s="28"/>
      <c r="M330" s="19"/>
      <c r="N330" s="19"/>
      <c r="O330" s="48"/>
      <c r="Q330" s="21"/>
      <c r="S330" s="21"/>
      <c r="V330" s="46"/>
    </row>
    <row r="331" spans="9:22" x14ac:dyDescent="0.35">
      <c r="I331" s="52"/>
      <c r="J331" s="28"/>
      <c r="K331" s="29"/>
      <c r="L331" s="28"/>
      <c r="M331" s="19"/>
      <c r="N331" s="19"/>
      <c r="O331" s="48"/>
      <c r="Q331" s="21"/>
      <c r="S331" s="21"/>
      <c r="V331" s="46"/>
    </row>
    <row r="332" spans="9:22" x14ac:dyDescent="0.35">
      <c r="I332" s="52"/>
      <c r="J332" s="28"/>
      <c r="K332" s="29"/>
      <c r="L332" s="28"/>
      <c r="M332" s="19"/>
      <c r="N332" s="19"/>
      <c r="O332" s="48"/>
      <c r="Q332" s="21"/>
      <c r="S332" s="21"/>
      <c r="V332" s="46"/>
    </row>
    <row r="333" spans="9:22" x14ac:dyDescent="0.35">
      <c r="I333" s="52"/>
      <c r="J333" s="28"/>
      <c r="K333" s="29"/>
      <c r="L333" s="28"/>
      <c r="M333" s="19"/>
      <c r="N333" s="19"/>
      <c r="O333" s="48"/>
      <c r="Q333" s="21"/>
      <c r="S333" s="21"/>
      <c r="V333" s="46"/>
    </row>
    <row r="334" spans="9:22" x14ac:dyDescent="0.35">
      <c r="I334" s="52"/>
      <c r="J334" s="28"/>
      <c r="K334" s="29"/>
      <c r="L334" s="28"/>
      <c r="M334" s="19"/>
      <c r="N334" s="19"/>
      <c r="O334" s="48"/>
      <c r="Q334" s="21"/>
      <c r="S334" s="21"/>
      <c r="V334" s="46"/>
    </row>
    <row r="335" spans="9:22" x14ac:dyDescent="0.35">
      <c r="I335" s="52"/>
      <c r="J335" s="28"/>
      <c r="K335" s="29"/>
      <c r="L335" s="28"/>
      <c r="M335" s="19"/>
      <c r="N335" s="19"/>
      <c r="O335" s="48"/>
      <c r="Q335" s="21"/>
      <c r="S335" s="21"/>
      <c r="V335" s="46"/>
    </row>
    <row r="336" spans="9:22" x14ac:dyDescent="0.35">
      <c r="I336" s="52"/>
      <c r="J336" s="28"/>
      <c r="K336" s="29"/>
      <c r="L336" s="28"/>
      <c r="M336" s="19"/>
      <c r="N336" s="19"/>
      <c r="O336" s="48"/>
      <c r="Q336" s="21"/>
      <c r="S336" s="21"/>
      <c r="V336" s="46"/>
    </row>
    <row r="337" spans="9:22" x14ac:dyDescent="0.35">
      <c r="I337" s="52"/>
      <c r="J337" s="28"/>
      <c r="K337" s="29"/>
      <c r="L337" s="28"/>
      <c r="M337" s="19"/>
      <c r="N337" s="19"/>
      <c r="O337" s="48"/>
      <c r="Q337" s="21"/>
      <c r="S337" s="21"/>
      <c r="V337" s="46"/>
    </row>
    <row r="338" spans="9:22" x14ac:dyDescent="0.35">
      <c r="I338" s="52"/>
      <c r="J338" s="28"/>
      <c r="K338" s="29"/>
      <c r="L338" s="28"/>
      <c r="M338" s="19"/>
      <c r="N338" s="19"/>
      <c r="O338" s="48"/>
      <c r="Q338" s="21"/>
      <c r="S338" s="21"/>
      <c r="V338" s="46"/>
    </row>
    <row r="339" spans="9:22" x14ac:dyDescent="0.35">
      <c r="I339" s="52"/>
      <c r="J339" s="28"/>
      <c r="K339" s="29"/>
      <c r="L339" s="28"/>
      <c r="M339" s="19"/>
      <c r="N339" s="19"/>
      <c r="O339" s="48"/>
      <c r="Q339" s="21"/>
      <c r="S339" s="21"/>
      <c r="V339" s="46"/>
    </row>
    <row r="340" spans="9:22" x14ac:dyDescent="0.35">
      <c r="I340" s="52"/>
      <c r="J340" s="28"/>
      <c r="K340" s="29"/>
      <c r="L340" s="28"/>
      <c r="M340" s="19"/>
      <c r="N340" s="19"/>
      <c r="O340" s="48"/>
      <c r="Q340" s="21"/>
      <c r="S340" s="21"/>
      <c r="V340" s="46"/>
    </row>
    <row r="341" spans="9:22" x14ac:dyDescent="0.35">
      <c r="I341" s="52"/>
      <c r="J341" s="28"/>
      <c r="K341" s="29"/>
      <c r="L341" s="28"/>
      <c r="M341" s="19"/>
      <c r="N341" s="19"/>
      <c r="O341" s="48"/>
      <c r="Q341" s="21"/>
      <c r="S341" s="21"/>
      <c r="V341" s="46"/>
    </row>
    <row r="342" spans="9:22" x14ac:dyDescent="0.35">
      <c r="I342" s="52"/>
      <c r="J342" s="28"/>
      <c r="K342" s="29"/>
      <c r="L342" s="28"/>
      <c r="M342" s="19"/>
      <c r="N342" s="19"/>
      <c r="O342" s="48"/>
      <c r="Q342" s="21"/>
      <c r="S342" s="21"/>
      <c r="V342" s="46"/>
    </row>
    <row r="343" spans="9:22" x14ac:dyDescent="0.35">
      <c r="I343" s="52"/>
      <c r="J343" s="28"/>
      <c r="K343" s="29"/>
      <c r="L343" s="28"/>
      <c r="M343" s="19"/>
      <c r="N343" s="19"/>
      <c r="O343" s="48"/>
      <c r="Q343" s="21"/>
      <c r="S343" s="21"/>
      <c r="V343" s="46"/>
    </row>
    <row r="344" spans="9:22" x14ac:dyDescent="0.35">
      <c r="I344" s="52"/>
      <c r="J344" s="28"/>
      <c r="K344" s="29"/>
      <c r="L344" s="28"/>
      <c r="M344" s="19"/>
      <c r="N344" s="19"/>
      <c r="O344" s="48"/>
      <c r="Q344" s="21"/>
      <c r="S344" s="21"/>
      <c r="V344" s="46"/>
    </row>
    <row r="345" spans="9:22" x14ac:dyDescent="0.35">
      <c r="I345" s="52"/>
      <c r="J345" s="28"/>
      <c r="K345" s="29"/>
      <c r="L345" s="28"/>
      <c r="M345" s="19"/>
      <c r="N345" s="19"/>
      <c r="O345" s="48"/>
      <c r="Q345" s="21"/>
      <c r="S345" s="21"/>
      <c r="V345" s="46"/>
    </row>
    <row r="346" spans="9:22" x14ac:dyDescent="0.35">
      <c r="I346" s="52"/>
      <c r="J346" s="28"/>
      <c r="K346" s="29"/>
      <c r="L346" s="28"/>
      <c r="M346" s="19"/>
      <c r="N346" s="19"/>
      <c r="O346" s="48"/>
      <c r="Q346" s="21"/>
      <c r="S346" s="21"/>
      <c r="V346" s="46"/>
    </row>
    <row r="347" spans="9:22" x14ac:dyDescent="0.35">
      <c r="I347" s="52"/>
      <c r="J347" s="28"/>
      <c r="K347" s="29"/>
      <c r="L347" s="28"/>
      <c r="M347" s="19"/>
      <c r="N347" s="19"/>
      <c r="O347" s="48"/>
      <c r="Q347" s="21"/>
      <c r="S347" s="21"/>
      <c r="V347" s="46"/>
    </row>
    <row r="348" spans="9:22" x14ac:dyDescent="0.35">
      <c r="I348" s="52"/>
      <c r="J348" s="28"/>
      <c r="K348" s="29"/>
      <c r="L348" s="28"/>
      <c r="M348" s="19"/>
      <c r="N348" s="19"/>
      <c r="O348" s="48"/>
      <c r="Q348" s="21"/>
      <c r="S348" s="21"/>
      <c r="V348" s="46"/>
    </row>
    <row r="349" spans="9:22" x14ac:dyDescent="0.35">
      <c r="I349" s="52"/>
      <c r="J349" s="28"/>
      <c r="K349" s="29"/>
      <c r="L349" s="28"/>
      <c r="M349" s="19"/>
      <c r="N349" s="19"/>
      <c r="O349" s="48"/>
      <c r="Q349" s="21"/>
      <c r="S349" s="21"/>
      <c r="V349" s="46"/>
    </row>
    <row r="350" spans="9:22" x14ac:dyDescent="0.35">
      <c r="I350" s="52"/>
      <c r="J350" s="28"/>
      <c r="K350" s="29"/>
      <c r="L350" s="28"/>
      <c r="M350" s="19"/>
      <c r="N350" s="19"/>
      <c r="O350" s="48"/>
      <c r="Q350" s="21"/>
      <c r="S350" s="21"/>
      <c r="V350" s="46"/>
    </row>
    <row r="351" spans="9:22" x14ac:dyDescent="0.35">
      <c r="I351" s="52"/>
      <c r="J351" s="28"/>
      <c r="K351" s="29"/>
      <c r="L351" s="28"/>
      <c r="M351" s="19"/>
      <c r="N351" s="19"/>
      <c r="O351" s="48"/>
      <c r="Q351" s="21"/>
      <c r="S351" s="21"/>
      <c r="V351" s="46"/>
    </row>
    <row r="352" spans="9:22" x14ac:dyDescent="0.35">
      <c r="I352" s="52"/>
      <c r="J352" s="28"/>
      <c r="K352" s="29"/>
      <c r="L352" s="28"/>
      <c r="M352" s="19"/>
      <c r="N352" s="19"/>
      <c r="O352" s="48"/>
      <c r="Q352" s="21"/>
      <c r="S352" s="21"/>
      <c r="V352" s="46"/>
    </row>
    <row r="353" spans="9:22" x14ac:dyDescent="0.35">
      <c r="I353" s="52"/>
      <c r="J353" s="28"/>
      <c r="K353" s="29"/>
      <c r="L353" s="28"/>
      <c r="M353" s="19"/>
      <c r="N353" s="19"/>
      <c r="O353" s="48"/>
      <c r="Q353" s="21"/>
      <c r="S353" s="21"/>
      <c r="V353" s="46"/>
    </row>
    <row r="354" spans="9:22" x14ac:dyDescent="0.35">
      <c r="I354" s="52"/>
      <c r="J354" s="28"/>
      <c r="K354" s="29"/>
      <c r="L354" s="28"/>
      <c r="M354" s="19"/>
      <c r="N354" s="19"/>
      <c r="O354" s="48"/>
      <c r="Q354" s="21"/>
      <c r="S354" s="21"/>
      <c r="V354" s="46"/>
    </row>
    <row r="355" spans="9:22" x14ac:dyDescent="0.35">
      <c r="I355" s="52"/>
      <c r="J355" s="28"/>
      <c r="K355" s="29"/>
      <c r="L355" s="28"/>
      <c r="M355" s="19"/>
      <c r="N355" s="19"/>
      <c r="O355" s="48"/>
      <c r="Q355" s="21"/>
      <c r="S355" s="21"/>
      <c r="V355" s="46"/>
    </row>
    <row r="356" spans="9:22" x14ac:dyDescent="0.35">
      <c r="I356" s="52"/>
      <c r="J356" s="28"/>
      <c r="K356" s="29"/>
      <c r="L356" s="28"/>
      <c r="M356" s="19"/>
      <c r="N356" s="19"/>
      <c r="O356" s="48"/>
      <c r="Q356" s="21"/>
      <c r="S356" s="21"/>
      <c r="V356" s="46"/>
    </row>
    <row r="357" spans="9:22" x14ac:dyDescent="0.35">
      <c r="I357" s="52"/>
      <c r="J357" s="28"/>
      <c r="K357" s="29"/>
      <c r="L357" s="28"/>
      <c r="M357" s="19"/>
      <c r="N357" s="19"/>
      <c r="O357" s="48"/>
      <c r="Q357" s="21"/>
      <c r="S357" s="21"/>
      <c r="V357" s="46"/>
    </row>
    <row r="358" spans="9:22" x14ac:dyDescent="0.35">
      <c r="I358" s="52"/>
      <c r="J358" s="28"/>
      <c r="K358" s="29"/>
      <c r="L358" s="28"/>
      <c r="M358" s="19"/>
      <c r="N358" s="19"/>
      <c r="O358" s="48"/>
      <c r="Q358" s="21"/>
      <c r="S358" s="21"/>
      <c r="V358" s="46"/>
    </row>
    <row r="359" spans="9:22" x14ac:dyDescent="0.35">
      <c r="I359" s="52"/>
      <c r="J359" s="28"/>
      <c r="K359" s="29"/>
      <c r="L359" s="28"/>
      <c r="M359" s="19"/>
      <c r="N359" s="19"/>
      <c r="O359" s="48"/>
      <c r="Q359" s="21"/>
      <c r="S359" s="21"/>
      <c r="V359" s="46"/>
    </row>
    <row r="360" spans="9:22" x14ac:dyDescent="0.35">
      <c r="I360" s="52"/>
      <c r="J360" s="28"/>
      <c r="K360" s="29"/>
      <c r="L360" s="28"/>
      <c r="M360" s="19"/>
      <c r="N360" s="19"/>
      <c r="O360" s="48"/>
      <c r="Q360" s="21"/>
      <c r="S360" s="21"/>
      <c r="V360" s="46"/>
    </row>
    <row r="361" spans="9:22" x14ac:dyDescent="0.35">
      <c r="I361" s="52"/>
      <c r="J361" s="28"/>
      <c r="K361" s="29"/>
      <c r="L361" s="28"/>
      <c r="M361" s="19"/>
      <c r="N361" s="19"/>
      <c r="O361" s="48"/>
      <c r="Q361" s="21"/>
      <c r="S361" s="21"/>
      <c r="V361" s="46"/>
    </row>
    <row r="362" spans="9:22" x14ac:dyDescent="0.35">
      <c r="I362" s="52"/>
      <c r="J362" s="28"/>
      <c r="K362" s="29"/>
      <c r="L362" s="28"/>
      <c r="M362" s="19"/>
      <c r="N362" s="19"/>
      <c r="O362" s="48"/>
      <c r="Q362" s="21"/>
      <c r="S362" s="21"/>
      <c r="V362" s="46"/>
    </row>
    <row r="363" spans="9:22" x14ac:dyDescent="0.35">
      <c r="I363" s="52"/>
      <c r="J363" s="28"/>
      <c r="K363" s="29"/>
      <c r="L363" s="28"/>
      <c r="M363" s="19"/>
      <c r="N363" s="19"/>
      <c r="O363" s="48"/>
      <c r="Q363" s="21"/>
      <c r="S363" s="21"/>
      <c r="V363" s="46"/>
    </row>
    <row r="364" spans="9:22" x14ac:dyDescent="0.35">
      <c r="I364" s="52"/>
      <c r="J364" s="28"/>
      <c r="K364" s="29"/>
      <c r="L364" s="28"/>
      <c r="M364" s="19"/>
      <c r="N364" s="19"/>
      <c r="O364" s="48"/>
      <c r="Q364" s="21"/>
      <c r="S364" s="21"/>
      <c r="V364" s="46"/>
    </row>
    <row r="365" spans="9:22" x14ac:dyDescent="0.35">
      <c r="I365" s="52"/>
      <c r="J365" s="28"/>
      <c r="K365" s="29"/>
      <c r="L365" s="28"/>
      <c r="M365" s="19"/>
      <c r="N365" s="19"/>
      <c r="O365" s="48"/>
      <c r="Q365" s="21"/>
      <c r="S365" s="21"/>
      <c r="V365" s="46"/>
    </row>
    <row r="366" spans="9:22" x14ac:dyDescent="0.35">
      <c r="I366" s="52"/>
      <c r="J366" s="28"/>
      <c r="K366" s="29"/>
      <c r="L366" s="28"/>
      <c r="M366" s="19"/>
      <c r="N366" s="19"/>
      <c r="O366" s="48"/>
      <c r="Q366" s="21"/>
      <c r="S366" s="21"/>
      <c r="V366" s="46"/>
    </row>
    <row r="367" spans="9:22" x14ac:dyDescent="0.35">
      <c r="I367" s="52"/>
      <c r="J367" s="28"/>
      <c r="K367" s="29"/>
      <c r="L367" s="28"/>
      <c r="M367" s="19"/>
      <c r="N367" s="19"/>
      <c r="O367" s="48"/>
      <c r="Q367" s="21"/>
      <c r="S367" s="21"/>
      <c r="V367" s="46"/>
    </row>
    <row r="368" spans="9:22" x14ac:dyDescent="0.35">
      <c r="I368" s="52"/>
      <c r="J368" s="28"/>
      <c r="K368" s="29"/>
      <c r="L368" s="28"/>
      <c r="M368" s="19"/>
      <c r="N368" s="19"/>
      <c r="O368" s="48"/>
      <c r="Q368" s="21"/>
      <c r="S368" s="21"/>
      <c r="V368" s="46"/>
    </row>
    <row r="369" spans="9:22" x14ac:dyDescent="0.35">
      <c r="I369" s="52"/>
      <c r="J369" s="28"/>
      <c r="K369" s="29"/>
      <c r="L369" s="28"/>
      <c r="M369" s="19"/>
      <c r="N369" s="19"/>
      <c r="O369" s="48"/>
      <c r="Q369" s="21"/>
      <c r="S369" s="21"/>
      <c r="V369" s="46"/>
    </row>
    <row r="370" spans="9:22" x14ac:dyDescent="0.35">
      <c r="I370" s="52"/>
      <c r="J370" s="28"/>
      <c r="K370" s="29"/>
      <c r="L370" s="28"/>
      <c r="M370" s="19"/>
      <c r="N370" s="19"/>
      <c r="O370" s="48"/>
      <c r="Q370" s="21"/>
      <c r="S370" s="21"/>
      <c r="V370" s="46"/>
    </row>
    <row r="371" spans="9:22" x14ac:dyDescent="0.35">
      <c r="I371" s="52"/>
      <c r="J371" s="28"/>
      <c r="K371" s="29"/>
      <c r="L371" s="28"/>
      <c r="M371" s="19"/>
      <c r="N371" s="19"/>
      <c r="O371" s="48"/>
      <c r="Q371" s="21"/>
      <c r="S371" s="21"/>
      <c r="V371" s="46"/>
    </row>
    <row r="372" spans="9:22" x14ac:dyDescent="0.35">
      <c r="I372" s="52"/>
      <c r="J372" s="28"/>
      <c r="K372" s="29"/>
      <c r="L372" s="28"/>
      <c r="M372" s="19"/>
      <c r="N372" s="19"/>
      <c r="O372" s="48"/>
      <c r="Q372" s="21"/>
      <c r="S372" s="21"/>
      <c r="V372" s="46"/>
    </row>
    <row r="373" spans="9:22" x14ac:dyDescent="0.35">
      <c r="I373" s="52"/>
      <c r="J373" s="28"/>
      <c r="K373" s="29"/>
      <c r="L373" s="28"/>
      <c r="M373" s="19"/>
      <c r="N373" s="19"/>
      <c r="O373" s="48"/>
      <c r="Q373" s="21"/>
      <c r="S373" s="21"/>
      <c r="V373" s="46"/>
    </row>
    <row r="374" spans="9:22" x14ac:dyDescent="0.35">
      <c r="I374" s="52"/>
      <c r="J374" s="28"/>
      <c r="K374" s="29"/>
      <c r="L374" s="28"/>
      <c r="M374" s="19"/>
      <c r="N374" s="19"/>
      <c r="O374" s="48"/>
      <c r="Q374" s="21"/>
      <c r="S374" s="21"/>
      <c r="V374" s="46"/>
    </row>
    <row r="375" spans="9:22" x14ac:dyDescent="0.35">
      <c r="I375" s="52"/>
      <c r="J375" s="28"/>
      <c r="K375" s="29"/>
      <c r="L375" s="28"/>
      <c r="M375" s="19"/>
      <c r="N375" s="19"/>
      <c r="O375" s="48"/>
      <c r="Q375" s="21"/>
      <c r="S375" s="21"/>
      <c r="V375" s="46"/>
    </row>
    <row r="376" spans="9:22" x14ac:dyDescent="0.35">
      <c r="I376" s="52"/>
      <c r="J376" s="28"/>
      <c r="K376" s="29"/>
      <c r="L376" s="28"/>
      <c r="M376" s="19"/>
      <c r="N376" s="19"/>
      <c r="O376" s="48"/>
      <c r="Q376" s="21"/>
      <c r="S376" s="21"/>
      <c r="V376" s="46"/>
    </row>
    <row r="377" spans="9:22" x14ac:dyDescent="0.35">
      <c r="I377" s="52"/>
      <c r="J377" s="28"/>
      <c r="K377" s="29"/>
      <c r="L377" s="28"/>
      <c r="M377" s="19"/>
      <c r="N377" s="19"/>
      <c r="O377" s="48"/>
      <c r="Q377" s="21"/>
      <c r="S377" s="21"/>
      <c r="V377" s="46"/>
    </row>
    <row r="378" spans="9:22" x14ac:dyDescent="0.35">
      <c r="I378" s="52"/>
      <c r="J378" s="28"/>
      <c r="K378" s="29"/>
      <c r="L378" s="28"/>
      <c r="M378" s="19"/>
      <c r="N378" s="19"/>
      <c r="O378" s="48"/>
      <c r="Q378" s="21"/>
      <c r="S378" s="21"/>
      <c r="V378" s="46"/>
    </row>
    <row r="379" spans="9:22" x14ac:dyDescent="0.35">
      <c r="I379" s="52"/>
      <c r="J379" s="28"/>
      <c r="K379" s="29"/>
      <c r="L379" s="28"/>
      <c r="M379" s="19"/>
      <c r="N379" s="19"/>
      <c r="O379" s="48"/>
      <c r="Q379" s="21"/>
      <c r="S379" s="21"/>
      <c r="V379" s="46"/>
    </row>
    <row r="380" spans="9:22" x14ac:dyDescent="0.35">
      <c r="I380" s="52"/>
      <c r="J380" s="28"/>
      <c r="K380" s="29"/>
      <c r="L380" s="28"/>
      <c r="M380" s="19"/>
      <c r="N380" s="19"/>
      <c r="O380" s="48"/>
      <c r="Q380" s="21"/>
      <c r="S380" s="21"/>
      <c r="V380" s="46"/>
    </row>
    <row r="381" spans="9:22" x14ac:dyDescent="0.35">
      <c r="I381" s="52"/>
      <c r="J381" s="28"/>
      <c r="K381" s="29"/>
      <c r="L381" s="28"/>
      <c r="M381" s="19"/>
      <c r="N381" s="19"/>
      <c r="O381" s="48"/>
      <c r="Q381" s="21"/>
      <c r="S381" s="21"/>
      <c r="V381" s="46"/>
    </row>
    <row r="382" spans="9:22" x14ac:dyDescent="0.35">
      <c r="I382" s="52"/>
      <c r="J382" s="28"/>
      <c r="K382" s="29"/>
      <c r="L382" s="28"/>
      <c r="M382" s="19"/>
      <c r="N382" s="19"/>
      <c r="O382" s="48"/>
      <c r="Q382" s="21"/>
      <c r="S382" s="21"/>
      <c r="V382" s="46"/>
    </row>
    <row r="383" spans="9:22" x14ac:dyDescent="0.35">
      <c r="I383" s="52"/>
      <c r="J383" s="28"/>
      <c r="K383" s="29"/>
      <c r="L383" s="28"/>
      <c r="M383" s="19"/>
      <c r="N383" s="19"/>
      <c r="O383" s="48"/>
      <c r="Q383" s="21"/>
      <c r="S383" s="21"/>
      <c r="V383" s="46"/>
    </row>
    <row r="384" spans="9:22" x14ac:dyDescent="0.35">
      <c r="I384" s="52"/>
      <c r="J384" s="28"/>
      <c r="K384" s="29"/>
      <c r="L384" s="28"/>
      <c r="M384" s="19"/>
      <c r="N384" s="19"/>
      <c r="O384" s="48"/>
      <c r="Q384" s="21"/>
      <c r="S384" s="21"/>
      <c r="V384" s="46"/>
    </row>
    <row r="385" spans="9:22" x14ac:dyDescent="0.35">
      <c r="I385" s="52"/>
      <c r="J385" s="28"/>
      <c r="K385" s="29"/>
      <c r="L385" s="28"/>
      <c r="M385" s="19"/>
      <c r="N385" s="19"/>
      <c r="O385" s="48"/>
      <c r="Q385" s="21"/>
      <c r="S385" s="21"/>
      <c r="V385" s="46"/>
    </row>
    <row r="386" spans="9:22" x14ac:dyDescent="0.35">
      <c r="I386" s="52"/>
      <c r="J386" s="28"/>
      <c r="K386" s="29"/>
      <c r="L386" s="28"/>
      <c r="M386" s="19"/>
      <c r="N386" s="19"/>
      <c r="O386" s="48"/>
      <c r="Q386" s="21"/>
      <c r="S386" s="21"/>
      <c r="V386" s="46"/>
    </row>
    <row r="387" spans="9:22" x14ac:dyDescent="0.35">
      <c r="I387" s="52"/>
      <c r="J387" s="28"/>
      <c r="K387" s="29"/>
      <c r="L387" s="28"/>
      <c r="M387" s="19"/>
      <c r="N387" s="19"/>
      <c r="O387" s="48"/>
      <c r="Q387" s="21"/>
      <c r="S387" s="21"/>
      <c r="V387" s="46"/>
    </row>
    <row r="388" spans="9:22" x14ac:dyDescent="0.35">
      <c r="I388" s="52"/>
      <c r="J388" s="28"/>
      <c r="K388" s="29"/>
      <c r="L388" s="28"/>
      <c r="M388" s="19"/>
      <c r="N388" s="19"/>
      <c r="O388" s="48"/>
      <c r="Q388" s="21"/>
      <c r="S388" s="21"/>
      <c r="V388" s="46"/>
    </row>
    <row r="389" spans="9:22" x14ac:dyDescent="0.35">
      <c r="I389" s="52"/>
      <c r="J389" s="28"/>
      <c r="K389" s="29"/>
      <c r="L389" s="28"/>
      <c r="M389" s="19"/>
      <c r="N389" s="19"/>
      <c r="O389" s="48"/>
      <c r="Q389" s="21"/>
      <c r="S389" s="21"/>
      <c r="V389" s="46"/>
    </row>
    <row r="390" spans="9:22" x14ac:dyDescent="0.35">
      <c r="I390" s="52"/>
      <c r="J390" s="28"/>
      <c r="K390" s="29"/>
      <c r="L390" s="28"/>
      <c r="M390" s="19"/>
      <c r="N390" s="19"/>
      <c r="O390" s="48"/>
      <c r="Q390" s="21"/>
      <c r="S390" s="21"/>
      <c r="V390" s="46"/>
    </row>
    <row r="391" spans="9:22" x14ac:dyDescent="0.35">
      <c r="I391" s="52"/>
      <c r="J391" s="28"/>
      <c r="K391" s="29"/>
      <c r="L391" s="28"/>
      <c r="M391" s="19"/>
      <c r="N391" s="19"/>
      <c r="O391" s="48"/>
      <c r="Q391" s="21"/>
      <c r="S391" s="21"/>
      <c r="V391" s="46"/>
    </row>
    <row r="392" spans="9:22" x14ac:dyDescent="0.35">
      <c r="I392" s="52"/>
      <c r="J392" s="28"/>
      <c r="K392" s="29"/>
      <c r="L392" s="28"/>
      <c r="M392" s="19"/>
      <c r="N392" s="19"/>
      <c r="O392" s="48"/>
      <c r="Q392" s="21"/>
      <c r="S392" s="21"/>
      <c r="V392" s="46"/>
    </row>
    <row r="393" spans="9:22" x14ac:dyDescent="0.35">
      <c r="I393" s="52"/>
      <c r="J393" s="28"/>
      <c r="K393" s="29"/>
      <c r="L393" s="28"/>
      <c r="M393" s="19"/>
      <c r="N393" s="19"/>
      <c r="O393" s="48"/>
      <c r="Q393" s="21"/>
      <c r="S393" s="21"/>
      <c r="V393" s="46"/>
    </row>
    <row r="394" spans="9:22" x14ac:dyDescent="0.35">
      <c r="I394" s="52"/>
      <c r="J394" s="28"/>
      <c r="K394" s="29"/>
      <c r="L394" s="28"/>
      <c r="M394" s="19"/>
      <c r="N394" s="19"/>
      <c r="O394" s="48"/>
      <c r="Q394" s="21"/>
      <c r="S394" s="21"/>
      <c r="V394" s="46"/>
    </row>
    <row r="395" spans="9:22" x14ac:dyDescent="0.35">
      <c r="I395" s="52"/>
      <c r="J395" s="28"/>
      <c r="K395" s="29"/>
      <c r="L395" s="28"/>
      <c r="M395" s="19"/>
      <c r="N395" s="19"/>
      <c r="O395" s="48"/>
      <c r="Q395" s="21"/>
      <c r="S395" s="21"/>
      <c r="V395" s="46"/>
    </row>
    <row r="396" spans="9:22" x14ac:dyDescent="0.35">
      <c r="I396" s="52"/>
      <c r="J396" s="28"/>
      <c r="K396" s="29"/>
      <c r="L396" s="28"/>
      <c r="M396" s="19"/>
      <c r="N396" s="19"/>
      <c r="O396" s="48"/>
      <c r="Q396" s="21"/>
      <c r="S396" s="21"/>
      <c r="V396" s="46"/>
    </row>
    <row r="397" spans="9:22" x14ac:dyDescent="0.35">
      <c r="I397" s="52"/>
      <c r="J397" s="28"/>
      <c r="K397" s="29"/>
      <c r="L397" s="28"/>
      <c r="M397" s="19"/>
      <c r="N397" s="19"/>
      <c r="O397" s="48"/>
      <c r="Q397" s="21"/>
      <c r="S397" s="21"/>
      <c r="V397" s="46"/>
    </row>
    <row r="398" spans="9:22" x14ac:dyDescent="0.35">
      <c r="I398" s="52"/>
      <c r="J398" s="28"/>
      <c r="K398" s="29"/>
      <c r="L398" s="28"/>
      <c r="M398" s="19"/>
      <c r="N398" s="19"/>
      <c r="O398" s="48"/>
      <c r="Q398" s="21"/>
      <c r="S398" s="21"/>
      <c r="V398" s="46"/>
    </row>
    <row r="399" spans="9:22" x14ac:dyDescent="0.35">
      <c r="I399" s="52"/>
      <c r="J399" s="28"/>
      <c r="K399" s="29"/>
      <c r="L399" s="28"/>
      <c r="M399" s="19"/>
      <c r="N399" s="19"/>
      <c r="O399" s="48"/>
      <c r="Q399" s="21"/>
      <c r="S399" s="21"/>
      <c r="V399" s="46"/>
    </row>
    <row r="400" spans="9:22" x14ac:dyDescent="0.35">
      <c r="I400" s="52"/>
      <c r="J400" s="28"/>
      <c r="K400" s="29"/>
      <c r="L400" s="28"/>
      <c r="M400" s="19"/>
      <c r="N400" s="19"/>
      <c r="O400" s="48"/>
      <c r="Q400" s="21"/>
      <c r="S400" s="21"/>
      <c r="V400" s="46"/>
    </row>
    <row r="401" spans="9:22" x14ac:dyDescent="0.35">
      <c r="I401" s="52"/>
      <c r="J401" s="28"/>
      <c r="K401" s="29"/>
      <c r="L401" s="28"/>
      <c r="M401" s="19"/>
      <c r="N401" s="19"/>
      <c r="O401" s="48"/>
      <c r="Q401" s="21"/>
      <c r="S401" s="21"/>
      <c r="V401" s="46"/>
    </row>
    <row r="402" spans="9:22" x14ac:dyDescent="0.35">
      <c r="I402" s="52"/>
      <c r="J402" s="28"/>
      <c r="K402" s="29"/>
      <c r="L402" s="28"/>
      <c r="M402" s="19"/>
      <c r="N402" s="19"/>
      <c r="O402" s="48"/>
      <c r="Q402" s="21"/>
      <c r="S402" s="21"/>
      <c r="V402" s="46"/>
    </row>
    <row r="403" spans="9:22" x14ac:dyDescent="0.35">
      <c r="I403" s="52"/>
      <c r="J403" s="28"/>
      <c r="K403" s="29"/>
      <c r="L403" s="28"/>
      <c r="M403" s="19"/>
      <c r="N403" s="19"/>
      <c r="O403" s="48"/>
      <c r="Q403" s="21"/>
      <c r="S403" s="21"/>
      <c r="V403" s="46"/>
    </row>
    <row r="404" spans="9:22" x14ac:dyDescent="0.35">
      <c r="I404" s="52"/>
      <c r="J404" s="28"/>
      <c r="K404" s="29"/>
      <c r="L404" s="28"/>
      <c r="M404" s="19"/>
      <c r="N404" s="19"/>
      <c r="O404" s="48"/>
      <c r="Q404" s="21"/>
      <c r="S404" s="21"/>
      <c r="V404" s="46"/>
    </row>
    <row r="405" spans="9:22" x14ac:dyDescent="0.35">
      <c r="I405" s="52"/>
      <c r="J405" s="28"/>
      <c r="K405" s="29"/>
      <c r="L405" s="28"/>
      <c r="M405" s="19"/>
      <c r="N405" s="19"/>
      <c r="O405" s="48"/>
      <c r="Q405" s="21"/>
      <c r="S405" s="21"/>
      <c r="V405" s="46"/>
    </row>
    <row r="406" spans="9:22" x14ac:dyDescent="0.35">
      <c r="I406" s="52"/>
      <c r="J406" s="28"/>
      <c r="K406" s="29"/>
      <c r="L406" s="28"/>
      <c r="M406" s="19"/>
      <c r="N406" s="19"/>
      <c r="O406" s="48"/>
      <c r="Q406" s="21"/>
      <c r="S406" s="21"/>
      <c r="V406" s="46"/>
    </row>
    <row r="407" spans="9:22" x14ac:dyDescent="0.35">
      <c r="I407" s="52"/>
      <c r="J407" s="28"/>
      <c r="K407" s="29"/>
      <c r="L407" s="28"/>
      <c r="M407" s="19"/>
      <c r="N407" s="19"/>
      <c r="O407" s="48"/>
      <c r="Q407" s="21"/>
      <c r="S407" s="21"/>
      <c r="V407" s="46"/>
    </row>
    <row r="408" spans="9:22" x14ac:dyDescent="0.35">
      <c r="I408" s="52"/>
      <c r="J408" s="28"/>
      <c r="K408" s="29"/>
      <c r="L408" s="28"/>
      <c r="M408" s="19"/>
      <c r="N408" s="19"/>
      <c r="O408" s="48"/>
      <c r="Q408" s="21"/>
      <c r="S408" s="21"/>
      <c r="V408" s="46"/>
    </row>
    <row r="409" spans="9:22" x14ac:dyDescent="0.35">
      <c r="I409" s="52"/>
      <c r="J409" s="28"/>
      <c r="K409" s="29"/>
      <c r="L409" s="28"/>
      <c r="M409" s="19"/>
      <c r="N409" s="19"/>
      <c r="O409" s="48"/>
      <c r="Q409" s="21"/>
      <c r="S409" s="21"/>
      <c r="V409" s="46"/>
    </row>
    <row r="410" spans="9:22" x14ac:dyDescent="0.35">
      <c r="I410" s="52"/>
      <c r="J410" s="28"/>
      <c r="K410" s="29"/>
      <c r="L410" s="28"/>
      <c r="M410" s="19"/>
      <c r="N410" s="19"/>
      <c r="O410" s="48"/>
      <c r="Q410" s="21"/>
      <c r="S410" s="21"/>
      <c r="V410" s="46"/>
    </row>
    <row r="411" spans="9:22" x14ac:dyDescent="0.35">
      <c r="I411" s="52"/>
      <c r="J411" s="28"/>
      <c r="K411" s="29"/>
      <c r="L411" s="28"/>
      <c r="M411" s="19"/>
      <c r="N411" s="19"/>
      <c r="O411" s="48"/>
      <c r="Q411" s="21"/>
      <c r="S411" s="21"/>
      <c r="V411" s="46"/>
    </row>
    <row r="412" spans="9:22" x14ac:dyDescent="0.35">
      <c r="I412" s="52"/>
      <c r="J412" s="28"/>
      <c r="K412" s="29"/>
      <c r="L412" s="28"/>
      <c r="M412" s="19"/>
      <c r="N412" s="19"/>
      <c r="O412" s="48"/>
      <c r="Q412" s="21"/>
      <c r="S412" s="21"/>
      <c r="V412" s="46"/>
    </row>
    <row r="413" spans="9:22" x14ac:dyDescent="0.35">
      <c r="I413" s="52"/>
      <c r="J413" s="28"/>
      <c r="K413" s="29"/>
      <c r="L413" s="28"/>
      <c r="M413" s="19"/>
      <c r="N413" s="19"/>
      <c r="O413" s="48"/>
      <c r="Q413" s="21"/>
      <c r="S413" s="21"/>
      <c r="V413" s="46"/>
    </row>
    <row r="414" spans="9:22" x14ac:dyDescent="0.35">
      <c r="I414" s="52"/>
      <c r="J414" s="28"/>
      <c r="K414" s="29"/>
      <c r="L414" s="28"/>
      <c r="M414" s="19"/>
      <c r="N414" s="19"/>
      <c r="O414" s="48"/>
      <c r="Q414" s="21"/>
      <c r="S414" s="21"/>
      <c r="V414" s="46"/>
    </row>
    <row r="415" spans="9:22" x14ac:dyDescent="0.35">
      <c r="I415" s="52"/>
      <c r="J415" s="28"/>
      <c r="K415" s="29"/>
      <c r="L415" s="28"/>
      <c r="M415" s="19"/>
      <c r="N415" s="19"/>
      <c r="O415" s="48"/>
      <c r="Q415" s="21"/>
      <c r="S415" s="21"/>
      <c r="V415" s="46"/>
    </row>
    <row r="416" spans="9:22" x14ac:dyDescent="0.35">
      <c r="I416" s="52"/>
      <c r="J416" s="28"/>
      <c r="K416" s="29"/>
      <c r="L416" s="28"/>
      <c r="M416" s="19"/>
      <c r="N416" s="19"/>
      <c r="O416" s="48"/>
      <c r="Q416" s="21"/>
      <c r="S416" s="21"/>
      <c r="V416" s="46"/>
    </row>
    <row r="417" spans="9:22" x14ac:dyDescent="0.35">
      <c r="I417" s="52"/>
      <c r="J417" s="28"/>
      <c r="K417" s="29"/>
      <c r="L417" s="28"/>
      <c r="M417" s="19"/>
      <c r="N417" s="19"/>
      <c r="O417" s="48"/>
      <c r="Q417" s="21"/>
      <c r="S417" s="21"/>
      <c r="V417" s="46"/>
    </row>
    <row r="418" spans="9:22" x14ac:dyDescent="0.35">
      <c r="I418" s="52"/>
      <c r="J418" s="28"/>
      <c r="K418" s="29"/>
      <c r="L418" s="28"/>
      <c r="M418" s="19"/>
      <c r="N418" s="19"/>
      <c r="O418" s="48"/>
      <c r="Q418" s="21"/>
      <c r="S418" s="21"/>
      <c r="V418" s="46"/>
    </row>
    <row r="419" spans="9:22" x14ac:dyDescent="0.35">
      <c r="I419" s="52"/>
      <c r="J419" s="28"/>
      <c r="K419" s="29"/>
      <c r="L419" s="28"/>
      <c r="M419" s="19"/>
      <c r="N419" s="19"/>
      <c r="O419" s="48"/>
      <c r="Q419" s="21"/>
      <c r="S419" s="21"/>
      <c r="V419" s="46"/>
    </row>
    <row r="420" spans="9:22" x14ac:dyDescent="0.35">
      <c r="I420" s="52"/>
      <c r="J420" s="28"/>
      <c r="K420" s="29"/>
      <c r="L420" s="28"/>
      <c r="M420" s="19"/>
      <c r="N420" s="19"/>
      <c r="O420" s="48"/>
      <c r="Q420" s="21"/>
      <c r="S420" s="21"/>
      <c r="V420" s="46"/>
    </row>
    <row r="421" spans="9:22" x14ac:dyDescent="0.35">
      <c r="I421" s="52"/>
      <c r="J421" s="28"/>
      <c r="K421" s="29"/>
      <c r="L421" s="28"/>
      <c r="M421" s="19"/>
      <c r="N421" s="19"/>
      <c r="O421" s="48"/>
      <c r="Q421" s="21"/>
      <c r="S421" s="21"/>
      <c r="V421" s="46"/>
    </row>
    <row r="422" spans="9:22" x14ac:dyDescent="0.35">
      <c r="I422" s="52"/>
      <c r="J422" s="28"/>
      <c r="K422" s="29"/>
      <c r="L422" s="28"/>
      <c r="M422" s="19"/>
      <c r="N422" s="19"/>
      <c r="O422" s="48"/>
      <c r="Q422" s="21"/>
      <c r="S422" s="21"/>
      <c r="V422" s="46"/>
    </row>
    <row r="423" spans="9:22" x14ac:dyDescent="0.35">
      <c r="I423" s="52"/>
      <c r="J423" s="28"/>
      <c r="K423" s="29"/>
      <c r="L423" s="28"/>
      <c r="M423" s="19"/>
      <c r="N423" s="19"/>
      <c r="O423" s="48"/>
      <c r="Q423" s="21"/>
      <c r="S423" s="21"/>
      <c r="V423" s="46"/>
    </row>
    <row r="424" spans="9:22" x14ac:dyDescent="0.35">
      <c r="I424" s="52"/>
      <c r="J424" s="28"/>
      <c r="K424" s="29"/>
      <c r="L424" s="28"/>
      <c r="M424" s="19"/>
      <c r="N424" s="19"/>
      <c r="O424" s="48"/>
      <c r="Q424" s="21"/>
      <c r="S424" s="21"/>
      <c r="V424" s="46"/>
    </row>
    <row r="425" spans="9:22" x14ac:dyDescent="0.35">
      <c r="I425" s="52"/>
      <c r="J425" s="28"/>
      <c r="K425" s="29"/>
      <c r="L425" s="28"/>
      <c r="M425" s="19"/>
      <c r="N425" s="19"/>
      <c r="O425" s="48"/>
      <c r="Q425" s="21"/>
      <c r="S425" s="21"/>
      <c r="V425" s="46"/>
    </row>
    <row r="426" spans="9:22" x14ac:dyDescent="0.35">
      <c r="I426" s="52"/>
      <c r="J426" s="28"/>
      <c r="K426" s="29"/>
      <c r="L426" s="28"/>
      <c r="M426" s="19"/>
      <c r="N426" s="19"/>
      <c r="O426" s="48"/>
      <c r="Q426" s="21"/>
      <c r="S426" s="21"/>
      <c r="V426" s="46"/>
    </row>
    <row r="427" spans="9:22" x14ac:dyDescent="0.35">
      <c r="I427" s="52"/>
      <c r="J427" s="28"/>
      <c r="K427" s="29"/>
      <c r="L427" s="28"/>
      <c r="M427" s="19"/>
      <c r="N427" s="19"/>
      <c r="O427" s="48"/>
      <c r="Q427" s="21"/>
      <c r="S427" s="21"/>
      <c r="V427" s="46"/>
    </row>
    <row r="428" spans="9:22" x14ac:dyDescent="0.35">
      <c r="I428" s="52"/>
      <c r="J428" s="28"/>
      <c r="K428" s="29"/>
      <c r="L428" s="28"/>
      <c r="M428" s="19"/>
      <c r="N428" s="19"/>
      <c r="O428" s="48"/>
      <c r="Q428" s="21"/>
      <c r="S428" s="21"/>
      <c r="V428" s="46"/>
    </row>
    <row r="429" spans="9:22" x14ac:dyDescent="0.35">
      <c r="I429" s="52"/>
      <c r="J429" s="28"/>
      <c r="K429" s="29"/>
      <c r="L429" s="28"/>
      <c r="M429" s="19"/>
      <c r="N429" s="19"/>
      <c r="O429" s="48"/>
      <c r="Q429" s="21"/>
      <c r="S429" s="21"/>
      <c r="V429" s="46"/>
    </row>
    <row r="430" spans="9:22" x14ac:dyDescent="0.35">
      <c r="I430" s="52"/>
      <c r="J430" s="28"/>
      <c r="K430" s="29"/>
      <c r="L430" s="28"/>
      <c r="M430" s="19"/>
      <c r="N430" s="19"/>
      <c r="O430" s="48"/>
      <c r="Q430" s="21"/>
      <c r="S430" s="21"/>
      <c r="V430" s="46"/>
    </row>
    <row r="431" spans="9:22" x14ac:dyDescent="0.35">
      <c r="I431" s="52"/>
      <c r="J431" s="28"/>
      <c r="K431" s="29"/>
      <c r="L431" s="28"/>
      <c r="M431" s="19"/>
      <c r="N431" s="19"/>
      <c r="O431" s="48"/>
      <c r="Q431" s="21"/>
      <c r="S431" s="21"/>
      <c r="V431" s="46"/>
    </row>
    <row r="432" spans="9:22" x14ac:dyDescent="0.35">
      <c r="I432" s="52"/>
      <c r="J432" s="28"/>
      <c r="K432" s="29"/>
      <c r="L432" s="28"/>
      <c r="M432" s="19"/>
      <c r="N432" s="19"/>
      <c r="O432" s="48"/>
      <c r="Q432" s="21"/>
      <c r="S432" s="21"/>
      <c r="V432" s="46"/>
    </row>
    <row r="433" spans="9:22" x14ac:dyDescent="0.35">
      <c r="I433" s="52"/>
      <c r="J433" s="28"/>
      <c r="K433" s="29"/>
      <c r="L433" s="28"/>
      <c r="M433" s="19"/>
      <c r="N433" s="19"/>
      <c r="O433" s="48"/>
      <c r="Q433" s="21"/>
      <c r="S433" s="21"/>
      <c r="V433" s="46"/>
    </row>
    <row r="434" spans="9:22" x14ac:dyDescent="0.35">
      <c r="I434" s="52"/>
      <c r="J434" s="28"/>
      <c r="K434" s="29"/>
      <c r="L434" s="28"/>
      <c r="M434" s="19"/>
      <c r="N434" s="19"/>
      <c r="O434" s="48"/>
      <c r="Q434" s="21"/>
      <c r="S434" s="21"/>
      <c r="V434" s="46"/>
    </row>
    <row r="435" spans="9:22" x14ac:dyDescent="0.35">
      <c r="I435" s="52"/>
      <c r="J435" s="28"/>
      <c r="K435" s="29"/>
      <c r="L435" s="28"/>
      <c r="M435" s="19"/>
      <c r="N435" s="19"/>
      <c r="O435" s="48"/>
      <c r="Q435" s="21"/>
      <c r="S435" s="21"/>
      <c r="V435" s="46"/>
    </row>
    <row r="436" spans="9:22" x14ac:dyDescent="0.35">
      <c r="I436" s="52"/>
      <c r="J436" s="28"/>
      <c r="K436" s="29"/>
      <c r="L436" s="28"/>
      <c r="M436" s="19"/>
      <c r="N436" s="19"/>
      <c r="O436" s="48"/>
      <c r="Q436" s="21"/>
      <c r="S436" s="21"/>
      <c r="V436" s="46"/>
    </row>
    <row r="437" spans="9:22" x14ac:dyDescent="0.35">
      <c r="I437" s="52"/>
      <c r="J437" s="28"/>
      <c r="K437" s="29"/>
      <c r="L437" s="28"/>
      <c r="M437" s="19"/>
      <c r="N437" s="19"/>
      <c r="O437" s="48"/>
      <c r="Q437" s="21"/>
      <c r="S437" s="21"/>
      <c r="V437" s="46"/>
    </row>
    <row r="438" spans="9:22" x14ac:dyDescent="0.35">
      <c r="I438" s="52"/>
      <c r="J438" s="28"/>
      <c r="K438" s="29"/>
      <c r="L438" s="28"/>
      <c r="M438" s="19"/>
      <c r="N438" s="19"/>
      <c r="O438" s="48"/>
      <c r="Q438" s="21"/>
      <c r="S438" s="21"/>
      <c r="V438" s="46"/>
    </row>
    <row r="439" spans="9:22" x14ac:dyDescent="0.35">
      <c r="I439" s="52"/>
      <c r="J439" s="28"/>
      <c r="K439" s="29"/>
      <c r="L439" s="28"/>
      <c r="M439" s="19"/>
      <c r="N439" s="19"/>
      <c r="O439" s="48"/>
      <c r="Q439" s="21"/>
      <c r="S439" s="21"/>
      <c r="V439" s="46"/>
    </row>
    <row r="440" spans="9:22" x14ac:dyDescent="0.35">
      <c r="I440" s="52"/>
      <c r="J440" s="28"/>
      <c r="K440" s="29"/>
      <c r="L440" s="28"/>
      <c r="M440" s="19"/>
      <c r="N440" s="19"/>
      <c r="O440" s="48"/>
      <c r="Q440" s="21"/>
      <c r="S440" s="21"/>
      <c r="V440" s="46"/>
    </row>
    <row r="441" spans="9:22" x14ac:dyDescent="0.35">
      <c r="I441" s="52"/>
      <c r="J441" s="28"/>
      <c r="K441" s="29"/>
      <c r="L441" s="28"/>
      <c r="M441" s="19"/>
      <c r="N441" s="19"/>
      <c r="O441" s="48"/>
      <c r="Q441" s="21"/>
      <c r="S441" s="21"/>
      <c r="V441" s="46"/>
    </row>
    <row r="442" spans="9:22" x14ac:dyDescent="0.35">
      <c r="I442" s="52"/>
      <c r="J442" s="28"/>
      <c r="K442" s="29"/>
      <c r="L442" s="28"/>
      <c r="M442" s="19"/>
      <c r="N442" s="19"/>
      <c r="O442" s="48"/>
      <c r="Q442" s="21"/>
      <c r="S442" s="21"/>
      <c r="V442" s="46"/>
    </row>
    <row r="443" spans="9:22" x14ac:dyDescent="0.35">
      <c r="I443" s="52"/>
      <c r="J443" s="28"/>
      <c r="K443" s="29"/>
      <c r="L443" s="28"/>
      <c r="M443" s="19"/>
      <c r="N443" s="19"/>
      <c r="O443" s="48"/>
      <c r="Q443" s="21"/>
      <c r="S443" s="21"/>
      <c r="V443" s="46"/>
    </row>
    <row r="444" spans="9:22" x14ac:dyDescent="0.35">
      <c r="I444" s="52"/>
      <c r="J444" s="28"/>
      <c r="K444" s="29"/>
      <c r="L444" s="28"/>
      <c r="M444" s="19"/>
      <c r="N444" s="19"/>
      <c r="O444" s="48"/>
      <c r="Q444" s="21"/>
      <c r="S444" s="21"/>
      <c r="V444" s="46"/>
    </row>
    <row r="445" spans="9:22" x14ac:dyDescent="0.35">
      <c r="I445" s="52"/>
      <c r="J445" s="28"/>
      <c r="K445" s="29"/>
      <c r="L445" s="28"/>
      <c r="M445" s="19"/>
      <c r="N445" s="19"/>
      <c r="O445" s="48"/>
      <c r="Q445" s="21"/>
      <c r="S445" s="21"/>
      <c r="V445" s="46"/>
    </row>
    <row r="446" spans="9:22" x14ac:dyDescent="0.35">
      <c r="I446" s="52"/>
      <c r="J446" s="28"/>
      <c r="K446" s="29"/>
      <c r="L446" s="28"/>
      <c r="M446" s="19"/>
      <c r="N446" s="19"/>
      <c r="O446" s="48"/>
      <c r="Q446" s="21"/>
      <c r="S446" s="21"/>
      <c r="V446" s="46"/>
    </row>
    <row r="447" spans="9:22" x14ac:dyDescent="0.35">
      <c r="I447" s="52"/>
      <c r="J447" s="28"/>
      <c r="K447" s="29"/>
      <c r="L447" s="28"/>
      <c r="M447" s="19"/>
      <c r="N447" s="19"/>
      <c r="O447" s="48"/>
      <c r="Q447" s="21"/>
      <c r="S447" s="21"/>
      <c r="V447" s="46"/>
    </row>
    <row r="448" spans="9:22" x14ac:dyDescent="0.35">
      <c r="I448" s="52"/>
      <c r="J448" s="28"/>
      <c r="K448" s="29"/>
      <c r="L448" s="28"/>
      <c r="M448" s="19"/>
      <c r="N448" s="19"/>
      <c r="O448" s="48"/>
      <c r="Q448" s="21"/>
      <c r="S448" s="21"/>
      <c r="V448" s="46"/>
    </row>
    <row r="449" spans="9:22" x14ac:dyDescent="0.35">
      <c r="I449" s="52"/>
      <c r="J449" s="28"/>
      <c r="K449" s="29"/>
      <c r="L449" s="28"/>
      <c r="M449" s="19"/>
      <c r="N449" s="19"/>
      <c r="O449" s="48"/>
      <c r="Q449" s="21"/>
      <c r="S449" s="21"/>
      <c r="V449" s="46"/>
    </row>
    <row r="450" spans="9:22" x14ac:dyDescent="0.35">
      <c r="I450" s="52"/>
      <c r="J450" s="28"/>
      <c r="K450" s="29"/>
      <c r="L450" s="28"/>
      <c r="M450" s="19"/>
      <c r="N450" s="19"/>
      <c r="O450" s="48"/>
      <c r="Q450" s="21"/>
      <c r="S450" s="21"/>
      <c r="V450" s="46"/>
    </row>
    <row r="451" spans="9:22" x14ac:dyDescent="0.35">
      <c r="I451" s="52"/>
      <c r="J451" s="28"/>
      <c r="K451" s="29"/>
      <c r="L451" s="28"/>
      <c r="M451" s="19"/>
      <c r="N451" s="19"/>
      <c r="O451" s="48"/>
      <c r="Q451" s="21"/>
      <c r="S451" s="21"/>
      <c r="V451" s="46"/>
    </row>
    <row r="452" spans="9:22" x14ac:dyDescent="0.35">
      <c r="I452" s="52"/>
      <c r="J452" s="28"/>
      <c r="K452" s="29"/>
      <c r="L452" s="28"/>
      <c r="M452" s="19"/>
      <c r="N452" s="19"/>
      <c r="O452" s="48"/>
      <c r="Q452" s="21"/>
      <c r="S452" s="21"/>
      <c r="V452" s="46"/>
    </row>
    <row r="453" spans="9:22" x14ac:dyDescent="0.35">
      <c r="I453" s="52"/>
      <c r="J453" s="28"/>
      <c r="K453" s="29"/>
      <c r="L453" s="28"/>
      <c r="M453" s="19"/>
      <c r="N453" s="19"/>
      <c r="O453" s="48"/>
      <c r="Q453" s="21"/>
      <c r="S453" s="21"/>
      <c r="V453" s="46"/>
    </row>
    <row r="454" spans="9:22" x14ac:dyDescent="0.35">
      <c r="I454" s="52"/>
      <c r="J454" s="28"/>
      <c r="K454" s="29"/>
      <c r="L454" s="28"/>
      <c r="M454" s="19"/>
      <c r="N454" s="19"/>
      <c r="O454" s="48"/>
      <c r="Q454" s="21"/>
      <c r="S454" s="21"/>
      <c r="V454" s="46"/>
    </row>
    <row r="455" spans="9:22" x14ac:dyDescent="0.35">
      <c r="I455" s="52"/>
      <c r="J455" s="28"/>
      <c r="K455" s="29"/>
      <c r="L455" s="28"/>
      <c r="M455" s="19"/>
      <c r="N455" s="19"/>
      <c r="O455" s="48"/>
      <c r="Q455" s="21"/>
      <c r="S455" s="21"/>
      <c r="V455" s="46"/>
    </row>
    <row r="456" spans="9:22" x14ac:dyDescent="0.35">
      <c r="I456" s="52"/>
      <c r="J456" s="28"/>
      <c r="K456" s="29"/>
      <c r="L456" s="28"/>
      <c r="M456" s="19"/>
      <c r="N456" s="19"/>
      <c r="O456" s="48"/>
      <c r="Q456" s="21"/>
      <c r="S456" s="21"/>
      <c r="V456" s="46"/>
    </row>
    <row r="457" spans="9:22" x14ac:dyDescent="0.35">
      <c r="I457" s="52"/>
      <c r="J457" s="28"/>
      <c r="K457" s="29"/>
      <c r="L457" s="28"/>
      <c r="M457" s="19"/>
      <c r="N457" s="19"/>
      <c r="O457" s="48"/>
      <c r="Q457" s="21"/>
      <c r="S457" s="21"/>
      <c r="V457" s="46"/>
    </row>
    <row r="458" spans="9:22" x14ac:dyDescent="0.35">
      <c r="I458" s="52"/>
      <c r="J458" s="28"/>
      <c r="K458" s="29"/>
      <c r="L458" s="28"/>
      <c r="M458" s="19"/>
      <c r="N458" s="19"/>
      <c r="O458" s="48"/>
      <c r="Q458" s="21"/>
      <c r="S458" s="21"/>
      <c r="V458" s="46"/>
    </row>
    <row r="459" spans="9:22" x14ac:dyDescent="0.35">
      <c r="I459" s="52"/>
      <c r="J459" s="28"/>
      <c r="K459" s="29"/>
      <c r="L459" s="28"/>
      <c r="M459" s="19"/>
      <c r="N459" s="19"/>
      <c r="O459" s="48"/>
      <c r="Q459" s="21"/>
      <c r="S459" s="21"/>
      <c r="V459" s="46"/>
    </row>
    <row r="460" spans="9:22" x14ac:dyDescent="0.35">
      <c r="I460" s="52"/>
      <c r="J460" s="28"/>
      <c r="K460" s="29"/>
      <c r="L460" s="28"/>
      <c r="M460" s="19"/>
      <c r="N460" s="19"/>
      <c r="O460" s="48"/>
      <c r="Q460" s="21"/>
      <c r="S460" s="21"/>
      <c r="V460" s="46"/>
    </row>
    <row r="461" spans="9:22" x14ac:dyDescent="0.35">
      <c r="I461" s="52"/>
      <c r="J461" s="28"/>
      <c r="K461" s="29"/>
      <c r="L461" s="28"/>
      <c r="M461" s="19"/>
      <c r="N461" s="19"/>
      <c r="O461" s="48"/>
      <c r="Q461" s="21"/>
      <c r="S461" s="21"/>
      <c r="V461" s="46"/>
    </row>
    <row r="462" spans="9:22" x14ac:dyDescent="0.35">
      <c r="I462" s="52"/>
      <c r="J462" s="28"/>
      <c r="K462" s="29"/>
      <c r="L462" s="28"/>
      <c r="M462" s="19"/>
      <c r="N462" s="19"/>
      <c r="O462" s="48"/>
      <c r="Q462" s="21"/>
      <c r="S462" s="21"/>
      <c r="V462" s="46"/>
    </row>
    <row r="463" spans="9:22" x14ac:dyDescent="0.35">
      <c r="I463" s="52"/>
      <c r="J463" s="28"/>
      <c r="K463" s="29"/>
      <c r="L463" s="28"/>
      <c r="M463" s="19"/>
      <c r="N463" s="19"/>
      <c r="O463" s="48"/>
      <c r="Q463" s="21"/>
      <c r="S463" s="21"/>
      <c r="V463" s="46"/>
    </row>
    <row r="464" spans="9:22" x14ac:dyDescent="0.35">
      <c r="I464" s="52"/>
      <c r="J464" s="28"/>
      <c r="K464" s="29"/>
      <c r="L464" s="28"/>
      <c r="M464" s="19"/>
      <c r="N464" s="19"/>
      <c r="O464" s="48"/>
      <c r="Q464" s="21"/>
      <c r="S464" s="21"/>
      <c r="V464" s="46"/>
    </row>
    <row r="465" spans="9:22" x14ac:dyDescent="0.35">
      <c r="I465" s="52"/>
      <c r="J465" s="28"/>
      <c r="K465" s="29"/>
      <c r="L465" s="28"/>
      <c r="M465" s="19"/>
      <c r="N465" s="19"/>
      <c r="O465" s="48"/>
      <c r="Q465" s="21"/>
      <c r="S465" s="21"/>
      <c r="V465" s="46"/>
    </row>
    <row r="466" spans="9:22" x14ac:dyDescent="0.35">
      <c r="I466" s="52"/>
      <c r="J466" s="28"/>
      <c r="K466" s="29"/>
      <c r="L466" s="28"/>
      <c r="M466" s="19"/>
      <c r="N466" s="19"/>
      <c r="O466" s="48"/>
      <c r="Q466" s="21"/>
      <c r="S466" s="21"/>
      <c r="V466" s="46"/>
    </row>
    <row r="467" spans="9:22" x14ac:dyDescent="0.35">
      <c r="I467" s="52"/>
      <c r="J467" s="28"/>
      <c r="K467" s="29"/>
      <c r="L467" s="28"/>
      <c r="M467" s="19"/>
      <c r="N467" s="19"/>
      <c r="O467" s="48"/>
      <c r="Q467" s="21"/>
      <c r="S467" s="21"/>
      <c r="V467" s="46"/>
    </row>
    <row r="468" spans="9:22" x14ac:dyDescent="0.35">
      <c r="I468" s="52"/>
      <c r="J468" s="28"/>
      <c r="K468" s="29"/>
      <c r="L468" s="28"/>
      <c r="M468" s="19"/>
      <c r="N468" s="19"/>
      <c r="O468" s="48"/>
      <c r="Q468" s="21"/>
      <c r="S468" s="21"/>
      <c r="V468" s="46"/>
    </row>
    <row r="469" spans="9:22" x14ac:dyDescent="0.35">
      <c r="I469" s="52"/>
      <c r="J469" s="28"/>
      <c r="K469" s="29"/>
      <c r="L469" s="28"/>
      <c r="M469" s="19"/>
      <c r="N469" s="19"/>
      <c r="O469" s="48"/>
      <c r="Q469" s="21"/>
      <c r="S469" s="21"/>
      <c r="V469" s="46"/>
    </row>
    <row r="470" spans="9:22" x14ac:dyDescent="0.35">
      <c r="I470" s="52"/>
      <c r="J470" s="28"/>
      <c r="K470" s="29"/>
      <c r="L470" s="28"/>
      <c r="M470" s="19"/>
      <c r="N470" s="19"/>
      <c r="O470" s="48"/>
      <c r="Q470" s="21"/>
      <c r="S470" s="21"/>
      <c r="V470" s="46"/>
    </row>
    <row r="471" spans="9:22" x14ac:dyDescent="0.35">
      <c r="I471" s="52"/>
      <c r="J471" s="28"/>
      <c r="K471" s="29"/>
      <c r="L471" s="28"/>
      <c r="M471" s="19"/>
      <c r="N471" s="19"/>
      <c r="O471" s="48"/>
      <c r="Q471" s="21"/>
      <c r="S471" s="21"/>
      <c r="V471" s="46"/>
    </row>
    <row r="472" spans="9:22" x14ac:dyDescent="0.35">
      <c r="I472" s="52"/>
      <c r="J472" s="28"/>
      <c r="K472" s="29"/>
      <c r="L472" s="28"/>
      <c r="M472" s="19"/>
      <c r="N472" s="19"/>
      <c r="O472" s="48"/>
      <c r="Q472" s="21"/>
      <c r="S472" s="21"/>
      <c r="V472" s="46"/>
    </row>
    <row r="473" spans="9:22" x14ac:dyDescent="0.35">
      <c r="I473" s="52"/>
      <c r="J473" s="28"/>
      <c r="K473" s="29"/>
      <c r="L473" s="28"/>
      <c r="M473" s="19"/>
      <c r="N473" s="19"/>
      <c r="O473" s="48"/>
      <c r="Q473" s="21"/>
      <c r="S473" s="21"/>
      <c r="V473" s="46"/>
    </row>
    <row r="474" spans="9:22" x14ac:dyDescent="0.35">
      <c r="I474" s="52"/>
      <c r="J474" s="28"/>
      <c r="K474" s="29"/>
      <c r="L474" s="28"/>
      <c r="M474" s="19"/>
      <c r="N474" s="19"/>
      <c r="O474" s="48"/>
      <c r="Q474" s="21"/>
      <c r="S474" s="21"/>
      <c r="V474" s="46"/>
    </row>
    <row r="475" spans="9:22" x14ac:dyDescent="0.35">
      <c r="I475" s="52"/>
      <c r="J475" s="28"/>
      <c r="K475" s="29"/>
      <c r="L475" s="28"/>
      <c r="M475" s="19"/>
      <c r="N475" s="19"/>
      <c r="O475" s="48"/>
      <c r="Q475" s="21"/>
      <c r="S475" s="21"/>
      <c r="V475" s="46"/>
    </row>
    <row r="476" spans="9:22" x14ac:dyDescent="0.35">
      <c r="I476" s="52"/>
      <c r="J476" s="28"/>
      <c r="K476" s="29"/>
      <c r="L476" s="28"/>
      <c r="M476" s="19"/>
      <c r="N476" s="19"/>
      <c r="O476" s="48"/>
      <c r="Q476" s="21"/>
      <c r="S476" s="21"/>
      <c r="V476" s="46"/>
    </row>
    <row r="477" spans="9:22" x14ac:dyDescent="0.35">
      <c r="I477" s="52"/>
      <c r="J477" s="28"/>
      <c r="K477" s="29"/>
      <c r="L477" s="28"/>
      <c r="M477" s="19"/>
      <c r="N477" s="19"/>
      <c r="O477" s="48"/>
      <c r="Q477" s="21"/>
      <c r="S477" s="21"/>
      <c r="V477" s="46"/>
    </row>
    <row r="478" spans="9:22" x14ac:dyDescent="0.35">
      <c r="I478" s="52"/>
      <c r="J478" s="28"/>
      <c r="K478" s="29"/>
      <c r="L478" s="28"/>
      <c r="M478" s="19"/>
      <c r="N478" s="19"/>
      <c r="O478" s="48"/>
      <c r="Q478" s="21"/>
      <c r="S478" s="21"/>
      <c r="V478" s="46"/>
    </row>
    <row r="479" spans="9:22" x14ac:dyDescent="0.35">
      <c r="I479" s="52"/>
      <c r="J479" s="28"/>
      <c r="K479" s="29"/>
      <c r="L479" s="28"/>
      <c r="M479" s="19"/>
      <c r="N479" s="19"/>
      <c r="O479" s="48"/>
      <c r="Q479" s="21"/>
      <c r="S479" s="21"/>
      <c r="V479" s="46"/>
    </row>
    <row r="480" spans="9:22" x14ac:dyDescent="0.35">
      <c r="I480" s="52"/>
      <c r="J480" s="28"/>
      <c r="K480" s="29"/>
      <c r="L480" s="28"/>
      <c r="M480" s="19"/>
      <c r="N480" s="19"/>
      <c r="O480" s="48"/>
      <c r="Q480" s="21"/>
      <c r="S480" s="21"/>
      <c r="V480" s="46"/>
    </row>
    <row r="481" spans="9:22" x14ac:dyDescent="0.35">
      <c r="I481" s="52"/>
      <c r="J481" s="28"/>
      <c r="K481" s="29"/>
      <c r="L481" s="28"/>
      <c r="M481" s="19"/>
      <c r="N481" s="19"/>
      <c r="O481" s="48"/>
      <c r="Q481" s="21"/>
      <c r="S481" s="21"/>
      <c r="V481" s="46"/>
    </row>
    <row r="482" spans="9:22" x14ac:dyDescent="0.35">
      <c r="I482" s="52"/>
      <c r="J482" s="28"/>
      <c r="K482" s="29"/>
      <c r="L482" s="28"/>
      <c r="M482" s="19"/>
      <c r="N482" s="19"/>
      <c r="O482" s="48"/>
      <c r="Q482" s="21"/>
      <c r="S482" s="21"/>
      <c r="V482" s="46"/>
    </row>
    <row r="483" spans="9:22" x14ac:dyDescent="0.35">
      <c r="I483" s="52"/>
      <c r="J483" s="28"/>
      <c r="K483" s="29"/>
      <c r="L483" s="28"/>
      <c r="M483" s="19"/>
      <c r="N483" s="19"/>
      <c r="O483" s="48"/>
      <c r="Q483" s="21"/>
      <c r="S483" s="21"/>
      <c r="V483" s="46"/>
    </row>
    <row r="484" spans="9:22" x14ac:dyDescent="0.35">
      <c r="I484" s="52"/>
      <c r="J484" s="28"/>
      <c r="K484" s="29"/>
      <c r="L484" s="28"/>
      <c r="M484" s="19"/>
      <c r="N484" s="19"/>
      <c r="O484" s="48"/>
      <c r="Q484" s="21"/>
      <c r="S484" s="21"/>
      <c r="V484" s="46"/>
    </row>
    <row r="485" spans="9:22" x14ac:dyDescent="0.35">
      <c r="I485" s="52"/>
      <c r="J485" s="28"/>
      <c r="K485" s="29"/>
      <c r="L485" s="28"/>
      <c r="M485" s="19"/>
      <c r="N485" s="19"/>
      <c r="O485" s="48"/>
      <c r="Q485" s="21"/>
      <c r="S485" s="21"/>
      <c r="V485" s="46"/>
    </row>
    <row r="486" spans="9:22" x14ac:dyDescent="0.35">
      <c r="I486" s="52"/>
      <c r="J486" s="28"/>
      <c r="K486" s="29"/>
      <c r="L486" s="28"/>
      <c r="M486" s="19"/>
      <c r="N486" s="19"/>
      <c r="O486" s="48"/>
      <c r="Q486" s="21"/>
      <c r="S486" s="21"/>
      <c r="V486" s="46"/>
    </row>
    <row r="487" spans="9:22" x14ac:dyDescent="0.35">
      <c r="I487" s="52"/>
      <c r="J487" s="28"/>
      <c r="K487" s="29"/>
      <c r="L487" s="28"/>
      <c r="M487" s="19"/>
      <c r="N487" s="19"/>
      <c r="O487" s="48"/>
      <c r="Q487" s="21"/>
      <c r="S487" s="21"/>
      <c r="V487" s="46"/>
    </row>
    <row r="488" spans="9:22" x14ac:dyDescent="0.35">
      <c r="I488" s="52"/>
      <c r="J488" s="28"/>
      <c r="K488" s="29"/>
      <c r="L488" s="28"/>
      <c r="M488" s="19"/>
      <c r="N488" s="19"/>
      <c r="O488" s="48"/>
      <c r="Q488" s="21"/>
      <c r="S488" s="21"/>
      <c r="V488" s="46"/>
    </row>
    <row r="489" spans="9:22" x14ac:dyDescent="0.35">
      <c r="I489" s="52"/>
      <c r="J489" s="28"/>
      <c r="K489" s="29"/>
      <c r="L489" s="28"/>
      <c r="M489" s="19"/>
      <c r="N489" s="19"/>
      <c r="O489" s="48"/>
      <c r="Q489" s="21"/>
      <c r="S489" s="21"/>
      <c r="V489" s="46"/>
    </row>
    <row r="490" spans="9:22" x14ac:dyDescent="0.35">
      <c r="I490" s="52"/>
      <c r="J490" s="28"/>
      <c r="K490" s="29"/>
      <c r="L490" s="28"/>
      <c r="M490" s="19"/>
      <c r="N490" s="19"/>
      <c r="O490" s="48"/>
      <c r="Q490" s="21"/>
      <c r="S490" s="21"/>
      <c r="V490" s="46"/>
    </row>
    <row r="491" spans="9:22" x14ac:dyDescent="0.35">
      <c r="I491" s="52"/>
      <c r="J491" s="28"/>
      <c r="K491" s="29"/>
      <c r="L491" s="28"/>
      <c r="M491" s="19"/>
      <c r="N491" s="19"/>
      <c r="O491" s="48"/>
      <c r="Q491" s="21"/>
      <c r="S491" s="21"/>
      <c r="V491" s="46"/>
    </row>
    <row r="492" spans="9:22" x14ac:dyDescent="0.35">
      <c r="I492" s="52"/>
      <c r="J492" s="28"/>
      <c r="K492" s="29"/>
      <c r="L492" s="28"/>
      <c r="M492" s="19"/>
      <c r="N492" s="19"/>
      <c r="O492" s="48"/>
      <c r="Q492" s="21"/>
      <c r="S492" s="21"/>
      <c r="V492" s="46"/>
    </row>
    <row r="493" spans="9:22" x14ac:dyDescent="0.35">
      <c r="I493" s="52"/>
      <c r="J493" s="28"/>
      <c r="K493" s="29"/>
      <c r="L493" s="28"/>
      <c r="M493" s="19"/>
      <c r="N493" s="19"/>
      <c r="O493" s="48"/>
      <c r="Q493" s="21"/>
      <c r="S493" s="21"/>
      <c r="V493" s="46"/>
    </row>
    <row r="494" spans="9:22" x14ac:dyDescent="0.35">
      <c r="I494" s="52"/>
      <c r="J494" s="28"/>
      <c r="K494" s="29"/>
      <c r="L494" s="28"/>
      <c r="M494" s="19"/>
      <c r="N494" s="19"/>
      <c r="O494" s="48"/>
      <c r="Q494" s="21"/>
      <c r="S494" s="21"/>
      <c r="V494" s="46"/>
    </row>
    <row r="495" spans="9:22" x14ac:dyDescent="0.35">
      <c r="I495" s="52"/>
      <c r="J495" s="28"/>
      <c r="K495" s="29"/>
      <c r="L495" s="28"/>
      <c r="M495" s="19"/>
      <c r="N495" s="19"/>
      <c r="O495" s="48"/>
      <c r="Q495" s="21"/>
      <c r="S495" s="21"/>
      <c r="V495" s="46"/>
    </row>
    <row r="496" spans="9:22" x14ac:dyDescent="0.35">
      <c r="I496" s="52"/>
      <c r="J496" s="28"/>
      <c r="K496" s="29"/>
      <c r="L496" s="28"/>
      <c r="M496" s="19"/>
      <c r="N496" s="19"/>
      <c r="O496" s="48"/>
      <c r="Q496" s="21"/>
      <c r="S496" s="21"/>
      <c r="V496" s="46"/>
    </row>
    <row r="497" spans="9:22" x14ac:dyDescent="0.35">
      <c r="I497" s="52"/>
      <c r="J497" s="28"/>
      <c r="K497" s="29"/>
      <c r="L497" s="28"/>
      <c r="M497" s="19"/>
      <c r="N497" s="19"/>
      <c r="O497" s="48"/>
      <c r="Q497" s="21"/>
      <c r="S497" s="21"/>
      <c r="V497" s="46"/>
    </row>
    <row r="498" spans="9:22" x14ac:dyDescent="0.35">
      <c r="I498" s="52"/>
      <c r="J498" s="28"/>
      <c r="K498" s="29"/>
      <c r="L498" s="28"/>
      <c r="M498" s="19"/>
      <c r="N498" s="19"/>
      <c r="O498" s="48"/>
      <c r="Q498" s="21"/>
      <c r="S498" s="21"/>
      <c r="V498" s="46"/>
    </row>
    <row r="499" spans="9:22" x14ac:dyDescent="0.35">
      <c r="I499" s="52"/>
      <c r="J499" s="28"/>
      <c r="K499" s="29"/>
      <c r="L499" s="28"/>
      <c r="M499" s="19"/>
      <c r="N499" s="19"/>
      <c r="O499" s="48"/>
      <c r="Q499" s="21"/>
      <c r="S499" s="21"/>
      <c r="V499" s="46"/>
    </row>
    <row r="500" spans="9:22" x14ac:dyDescent="0.35">
      <c r="I500" s="52"/>
      <c r="J500" s="28"/>
      <c r="K500" s="29"/>
      <c r="L500" s="28"/>
      <c r="M500" s="19"/>
      <c r="N500" s="19"/>
      <c r="O500" s="48"/>
      <c r="Q500" s="21"/>
      <c r="S500" s="21"/>
      <c r="V500" s="46"/>
    </row>
    <row r="501" spans="9:22" x14ac:dyDescent="0.35">
      <c r="I501" s="52"/>
      <c r="J501" s="28"/>
      <c r="K501" s="29"/>
      <c r="L501" s="28"/>
      <c r="M501" s="19"/>
      <c r="N501" s="19"/>
      <c r="O501" s="48"/>
      <c r="Q501" s="21"/>
      <c r="S501" s="21"/>
      <c r="V501" s="46"/>
    </row>
    <row r="502" spans="9:22" x14ac:dyDescent="0.35">
      <c r="I502" s="52"/>
      <c r="J502" s="28"/>
      <c r="K502" s="29"/>
      <c r="L502" s="28"/>
      <c r="M502" s="19"/>
      <c r="N502" s="19"/>
      <c r="O502" s="48"/>
      <c r="Q502" s="21"/>
      <c r="S502" s="21"/>
      <c r="V502" s="46"/>
    </row>
    <row r="503" spans="9:22" x14ac:dyDescent="0.35">
      <c r="I503" s="52"/>
      <c r="J503" s="28"/>
      <c r="K503" s="29"/>
      <c r="L503" s="28"/>
      <c r="M503" s="19"/>
      <c r="N503" s="19"/>
      <c r="O503" s="48"/>
      <c r="Q503" s="21"/>
      <c r="S503" s="21"/>
      <c r="V503" s="46"/>
    </row>
    <row r="504" spans="9:22" x14ac:dyDescent="0.35">
      <c r="I504" s="52"/>
      <c r="J504" s="28"/>
      <c r="K504" s="29"/>
      <c r="L504" s="28"/>
      <c r="M504" s="19"/>
      <c r="N504" s="19"/>
      <c r="O504" s="48"/>
      <c r="Q504" s="21"/>
      <c r="S504" s="21"/>
      <c r="V504" s="46"/>
    </row>
    <row r="505" spans="9:22" x14ac:dyDescent="0.35">
      <c r="I505" s="52"/>
      <c r="J505" s="28"/>
      <c r="K505" s="29"/>
      <c r="L505" s="28"/>
      <c r="M505" s="19"/>
      <c r="N505" s="19"/>
      <c r="O505" s="48"/>
      <c r="Q505" s="21"/>
      <c r="S505" s="21"/>
      <c r="V505" s="46"/>
    </row>
    <row r="506" spans="9:22" x14ac:dyDescent="0.35">
      <c r="I506" s="52"/>
      <c r="J506" s="28"/>
      <c r="K506" s="29"/>
      <c r="L506" s="28"/>
      <c r="M506" s="19"/>
      <c r="N506" s="19"/>
      <c r="O506" s="48"/>
      <c r="Q506" s="21"/>
      <c r="S506" s="21"/>
      <c r="V506" s="46"/>
    </row>
    <row r="507" spans="9:22" x14ac:dyDescent="0.35">
      <c r="I507" s="52"/>
      <c r="J507" s="28"/>
      <c r="K507" s="29"/>
      <c r="L507" s="28"/>
      <c r="M507" s="19"/>
      <c r="N507" s="19"/>
      <c r="O507" s="48"/>
      <c r="Q507" s="21"/>
      <c r="S507" s="21"/>
      <c r="V507" s="46"/>
    </row>
    <row r="508" spans="9:22" x14ac:dyDescent="0.35">
      <c r="I508" s="52"/>
      <c r="J508" s="28"/>
      <c r="K508" s="29"/>
      <c r="L508" s="28"/>
      <c r="M508" s="19"/>
      <c r="N508" s="19"/>
      <c r="O508" s="48"/>
      <c r="Q508" s="21"/>
      <c r="S508" s="21"/>
      <c r="V508" s="46"/>
    </row>
    <row r="509" spans="9:22" x14ac:dyDescent="0.35">
      <c r="I509" s="52"/>
      <c r="J509" s="28"/>
      <c r="K509" s="29"/>
      <c r="L509" s="28"/>
      <c r="M509" s="19"/>
      <c r="N509" s="19"/>
      <c r="O509" s="48"/>
      <c r="Q509" s="21"/>
      <c r="S509" s="21"/>
      <c r="V509" s="46"/>
    </row>
    <row r="510" spans="9:22" x14ac:dyDescent="0.35">
      <c r="I510" s="52"/>
      <c r="J510" s="28"/>
      <c r="K510" s="29"/>
      <c r="L510" s="28"/>
      <c r="M510" s="19"/>
      <c r="N510" s="19"/>
      <c r="O510" s="48"/>
      <c r="Q510" s="21"/>
      <c r="S510" s="21"/>
      <c r="V510" s="46"/>
    </row>
    <row r="511" spans="9:22" x14ac:dyDescent="0.35">
      <c r="I511" s="52"/>
      <c r="J511" s="28"/>
      <c r="K511" s="29"/>
      <c r="L511" s="28"/>
      <c r="M511" s="19"/>
      <c r="N511" s="19"/>
      <c r="O511" s="48"/>
      <c r="Q511" s="21"/>
      <c r="S511" s="21"/>
      <c r="V511" s="46"/>
    </row>
    <row r="512" spans="9:22" x14ac:dyDescent="0.35">
      <c r="I512" s="52"/>
      <c r="J512" s="28"/>
      <c r="K512" s="29"/>
      <c r="L512" s="28"/>
      <c r="M512" s="19"/>
      <c r="N512" s="19"/>
      <c r="O512" s="48"/>
      <c r="Q512" s="21"/>
      <c r="S512" s="21"/>
      <c r="V512" s="46"/>
    </row>
    <row r="513" spans="9:22" x14ac:dyDescent="0.35">
      <c r="I513" s="52"/>
      <c r="J513" s="28"/>
      <c r="K513" s="29"/>
      <c r="L513" s="28"/>
      <c r="M513" s="19"/>
      <c r="N513" s="19"/>
      <c r="O513" s="48"/>
      <c r="Q513" s="21"/>
      <c r="S513" s="21"/>
      <c r="V513" s="46"/>
    </row>
    <row r="514" spans="9:22" x14ac:dyDescent="0.35">
      <c r="I514" s="52"/>
      <c r="J514" s="28"/>
      <c r="K514" s="29"/>
      <c r="L514" s="28"/>
      <c r="M514" s="19"/>
      <c r="N514" s="19"/>
      <c r="O514" s="48"/>
      <c r="Q514" s="21"/>
      <c r="S514" s="21"/>
      <c r="V514" s="46"/>
    </row>
    <row r="515" spans="9:22" x14ac:dyDescent="0.35">
      <c r="I515" s="52"/>
      <c r="J515" s="28"/>
      <c r="K515" s="29"/>
      <c r="L515" s="28"/>
      <c r="M515" s="19"/>
      <c r="N515" s="19"/>
      <c r="O515" s="48"/>
      <c r="Q515" s="21"/>
      <c r="S515" s="21"/>
      <c r="V515" s="46"/>
    </row>
    <row r="516" spans="9:22" x14ac:dyDescent="0.35">
      <c r="I516" s="52"/>
      <c r="J516" s="28"/>
      <c r="K516" s="29"/>
      <c r="L516" s="28"/>
      <c r="M516" s="19"/>
      <c r="N516" s="19"/>
      <c r="O516" s="48"/>
      <c r="Q516" s="21"/>
      <c r="S516" s="21"/>
      <c r="V516" s="46"/>
    </row>
    <row r="517" spans="9:22" x14ac:dyDescent="0.35">
      <c r="I517" s="52"/>
      <c r="J517" s="28"/>
      <c r="K517" s="29"/>
      <c r="L517" s="28"/>
      <c r="M517" s="19"/>
      <c r="N517" s="19"/>
      <c r="O517" s="48"/>
      <c r="Q517" s="21"/>
      <c r="S517" s="21"/>
      <c r="V517" s="46"/>
    </row>
    <row r="518" spans="9:22" x14ac:dyDescent="0.35">
      <c r="I518" s="52"/>
      <c r="J518" s="28"/>
      <c r="K518" s="29"/>
      <c r="L518" s="28"/>
      <c r="M518" s="19"/>
      <c r="N518" s="19"/>
      <c r="O518" s="48"/>
      <c r="Q518" s="21"/>
      <c r="S518" s="21"/>
      <c r="V518" s="46"/>
    </row>
    <row r="519" spans="9:22" x14ac:dyDescent="0.35">
      <c r="I519" s="52"/>
      <c r="J519" s="28"/>
      <c r="K519" s="29"/>
      <c r="L519" s="28"/>
      <c r="M519" s="19"/>
      <c r="N519" s="19"/>
      <c r="O519" s="48"/>
      <c r="Q519" s="21"/>
      <c r="S519" s="21"/>
      <c r="V519" s="46"/>
    </row>
    <row r="520" spans="9:22" x14ac:dyDescent="0.35">
      <c r="I520" s="52"/>
      <c r="J520" s="28"/>
      <c r="K520" s="29"/>
      <c r="L520" s="28"/>
      <c r="M520" s="19"/>
      <c r="N520" s="19"/>
      <c r="O520" s="48"/>
      <c r="Q520" s="21"/>
      <c r="S520" s="21"/>
      <c r="V520" s="46"/>
    </row>
    <row r="521" spans="9:22" x14ac:dyDescent="0.35">
      <c r="I521" s="52"/>
      <c r="J521" s="28"/>
      <c r="K521" s="29"/>
      <c r="L521" s="28"/>
      <c r="M521" s="19"/>
      <c r="N521" s="19"/>
      <c r="O521" s="48"/>
      <c r="Q521" s="21"/>
      <c r="S521" s="21"/>
      <c r="V521" s="46"/>
    </row>
    <row r="522" spans="9:22" x14ac:dyDescent="0.35">
      <c r="I522" s="52"/>
      <c r="J522" s="28"/>
      <c r="K522" s="29"/>
      <c r="L522" s="28"/>
      <c r="M522" s="19"/>
      <c r="N522" s="19"/>
      <c r="O522" s="48"/>
      <c r="Q522" s="21"/>
      <c r="S522" s="21"/>
      <c r="V522" s="46"/>
    </row>
    <row r="523" spans="9:22" x14ac:dyDescent="0.35">
      <c r="I523" s="52"/>
      <c r="J523" s="28"/>
      <c r="K523" s="29"/>
      <c r="L523" s="28"/>
      <c r="M523" s="19"/>
      <c r="N523" s="19"/>
      <c r="O523" s="48"/>
      <c r="Q523" s="21"/>
      <c r="S523" s="21"/>
      <c r="V523" s="46"/>
    </row>
    <row r="524" spans="9:22" x14ac:dyDescent="0.35">
      <c r="I524" s="52"/>
      <c r="J524" s="28"/>
      <c r="K524" s="29"/>
      <c r="L524" s="28"/>
      <c r="M524" s="19"/>
      <c r="N524" s="19"/>
      <c r="O524" s="48"/>
      <c r="Q524" s="21"/>
      <c r="S524" s="21"/>
      <c r="V524" s="46"/>
    </row>
    <row r="525" spans="9:22" x14ac:dyDescent="0.35">
      <c r="I525" s="52"/>
      <c r="J525" s="28"/>
      <c r="K525" s="29"/>
      <c r="L525" s="28"/>
      <c r="M525" s="19"/>
      <c r="N525" s="19"/>
      <c r="O525" s="48"/>
      <c r="Q525" s="21"/>
      <c r="S525" s="21"/>
      <c r="V525" s="46"/>
    </row>
    <row r="526" spans="9:22" x14ac:dyDescent="0.35">
      <c r="I526" s="52"/>
      <c r="J526" s="28"/>
      <c r="K526" s="29"/>
      <c r="L526" s="28"/>
      <c r="M526" s="19"/>
      <c r="N526" s="19"/>
      <c r="O526" s="48"/>
      <c r="Q526" s="21"/>
      <c r="S526" s="21"/>
      <c r="V526" s="46"/>
    </row>
    <row r="527" spans="9:22" x14ac:dyDescent="0.35">
      <c r="I527" s="52"/>
      <c r="J527" s="28"/>
      <c r="K527" s="29"/>
      <c r="L527" s="28"/>
      <c r="M527" s="19"/>
      <c r="N527" s="19"/>
      <c r="O527" s="48"/>
      <c r="Q527" s="21"/>
      <c r="S527" s="21"/>
      <c r="V527" s="46"/>
    </row>
    <row r="528" spans="9:22" x14ac:dyDescent="0.35">
      <c r="I528" s="52"/>
      <c r="J528" s="28"/>
      <c r="K528" s="29"/>
      <c r="L528" s="28"/>
      <c r="M528" s="19"/>
      <c r="N528" s="19"/>
      <c r="O528" s="48"/>
      <c r="Q528" s="21"/>
      <c r="S528" s="21"/>
      <c r="V528" s="46"/>
    </row>
    <row r="529" spans="9:22" x14ac:dyDescent="0.35">
      <c r="I529" s="52"/>
      <c r="J529" s="28"/>
      <c r="K529" s="29"/>
      <c r="L529" s="28"/>
      <c r="M529" s="19"/>
      <c r="N529" s="19"/>
      <c r="O529" s="48"/>
      <c r="Q529" s="21"/>
      <c r="S529" s="21"/>
      <c r="V529" s="46"/>
    </row>
    <row r="530" spans="9:22" x14ac:dyDescent="0.35">
      <c r="I530" s="52"/>
      <c r="J530" s="28"/>
      <c r="K530" s="29"/>
      <c r="L530" s="28"/>
      <c r="M530" s="19"/>
      <c r="N530" s="19"/>
      <c r="O530" s="48"/>
      <c r="Q530" s="21"/>
      <c r="S530" s="21"/>
      <c r="V530" s="46"/>
    </row>
    <row r="531" spans="9:22" x14ac:dyDescent="0.35">
      <c r="I531" s="52"/>
      <c r="J531" s="28"/>
      <c r="K531" s="29"/>
      <c r="L531" s="28"/>
      <c r="M531" s="19"/>
      <c r="N531" s="19"/>
      <c r="O531" s="48"/>
      <c r="Q531" s="21"/>
      <c r="S531" s="21"/>
      <c r="V531" s="46"/>
    </row>
    <row r="532" spans="9:22" x14ac:dyDescent="0.35">
      <c r="I532" s="52"/>
      <c r="J532" s="28"/>
      <c r="K532" s="29"/>
      <c r="L532" s="28"/>
      <c r="M532" s="19"/>
      <c r="N532" s="19"/>
      <c r="O532" s="48"/>
      <c r="Q532" s="21"/>
      <c r="S532" s="21"/>
      <c r="V532" s="46"/>
    </row>
    <row r="533" spans="9:22" x14ac:dyDescent="0.35">
      <c r="I533" s="52"/>
      <c r="J533" s="28"/>
      <c r="K533" s="29"/>
      <c r="L533" s="28"/>
      <c r="M533" s="19"/>
      <c r="N533" s="19"/>
      <c r="O533" s="48"/>
      <c r="Q533" s="21"/>
      <c r="S533" s="21"/>
      <c r="V533" s="46"/>
    </row>
    <row r="534" spans="9:22" x14ac:dyDescent="0.35">
      <c r="I534" s="52"/>
      <c r="J534" s="28"/>
      <c r="K534" s="29"/>
      <c r="L534" s="28"/>
      <c r="M534" s="19"/>
      <c r="N534" s="19"/>
      <c r="O534" s="48"/>
      <c r="Q534" s="21"/>
      <c r="S534" s="21"/>
      <c r="V534" s="46"/>
    </row>
    <row r="535" spans="9:22" x14ac:dyDescent="0.35">
      <c r="I535" s="52"/>
      <c r="J535" s="28"/>
      <c r="K535" s="29"/>
      <c r="L535" s="28"/>
      <c r="M535" s="19"/>
      <c r="N535" s="19"/>
      <c r="O535" s="48"/>
      <c r="Q535" s="21"/>
      <c r="S535" s="21"/>
      <c r="V535" s="46"/>
    </row>
    <row r="536" spans="9:22" x14ac:dyDescent="0.35">
      <c r="I536" s="52"/>
      <c r="J536" s="28"/>
      <c r="K536" s="29"/>
      <c r="L536" s="28"/>
      <c r="M536" s="19"/>
      <c r="N536" s="19"/>
      <c r="O536" s="48"/>
      <c r="Q536" s="21"/>
      <c r="S536" s="21"/>
      <c r="V536" s="46"/>
    </row>
    <row r="537" spans="9:22" x14ac:dyDescent="0.35">
      <c r="I537" s="52"/>
      <c r="J537" s="28"/>
      <c r="K537" s="29"/>
      <c r="L537" s="28"/>
      <c r="M537" s="19"/>
      <c r="N537" s="19"/>
      <c r="O537" s="48"/>
      <c r="Q537" s="21"/>
      <c r="S537" s="21"/>
      <c r="V537" s="46"/>
    </row>
    <row r="538" spans="9:22" x14ac:dyDescent="0.35">
      <c r="I538" s="52"/>
      <c r="J538" s="28"/>
      <c r="K538" s="29"/>
      <c r="L538" s="28"/>
      <c r="M538" s="19"/>
      <c r="N538" s="19"/>
      <c r="O538" s="48"/>
      <c r="Q538" s="21"/>
      <c r="S538" s="21"/>
      <c r="V538" s="46"/>
    </row>
    <row r="539" spans="9:22" x14ac:dyDescent="0.35">
      <c r="I539" s="52"/>
      <c r="J539" s="28"/>
      <c r="K539" s="29"/>
      <c r="L539" s="28"/>
      <c r="M539" s="19"/>
      <c r="N539" s="19"/>
      <c r="O539" s="48"/>
      <c r="Q539" s="21"/>
      <c r="S539" s="21"/>
      <c r="V539" s="46"/>
    </row>
    <row r="540" spans="9:22" x14ac:dyDescent="0.35">
      <c r="I540" s="52"/>
      <c r="J540" s="28"/>
      <c r="K540" s="29"/>
      <c r="L540" s="28"/>
      <c r="M540" s="19"/>
      <c r="N540" s="19"/>
      <c r="O540" s="48"/>
      <c r="Q540" s="21"/>
      <c r="S540" s="21"/>
      <c r="V540" s="46"/>
    </row>
    <row r="541" spans="9:22" x14ac:dyDescent="0.35">
      <c r="I541" s="52"/>
      <c r="J541" s="28"/>
      <c r="K541" s="29"/>
      <c r="L541" s="28"/>
      <c r="M541" s="19"/>
      <c r="N541" s="19"/>
      <c r="O541" s="48"/>
      <c r="Q541" s="21"/>
      <c r="S541" s="21"/>
      <c r="V541" s="46"/>
    </row>
    <row r="542" spans="9:22" x14ac:dyDescent="0.35">
      <c r="I542" s="52"/>
      <c r="J542" s="28"/>
      <c r="K542" s="29"/>
      <c r="L542" s="28"/>
      <c r="M542" s="19"/>
      <c r="N542" s="19"/>
      <c r="O542" s="48"/>
      <c r="Q542" s="21"/>
      <c r="S542" s="21"/>
      <c r="V542" s="46"/>
    </row>
    <row r="543" spans="9:22" x14ac:dyDescent="0.35">
      <c r="I543" s="52"/>
      <c r="J543" s="28"/>
      <c r="K543" s="29"/>
      <c r="L543" s="28"/>
      <c r="M543" s="19"/>
      <c r="N543" s="19"/>
      <c r="O543" s="48"/>
      <c r="Q543" s="21"/>
      <c r="S543" s="21"/>
      <c r="V543" s="46"/>
    </row>
    <row r="544" spans="9:22" x14ac:dyDescent="0.35">
      <c r="I544" s="52"/>
      <c r="J544" s="28"/>
      <c r="K544" s="29"/>
      <c r="L544" s="28"/>
      <c r="M544" s="19"/>
      <c r="N544" s="19"/>
      <c r="O544" s="48"/>
      <c r="Q544" s="21"/>
      <c r="S544" s="21"/>
      <c r="V544" s="46"/>
    </row>
    <row r="545" spans="9:22" x14ac:dyDescent="0.35">
      <c r="I545" s="52"/>
      <c r="J545" s="28"/>
      <c r="K545" s="29"/>
      <c r="L545" s="28"/>
      <c r="M545" s="19"/>
      <c r="N545" s="19"/>
      <c r="O545" s="48"/>
      <c r="Q545" s="21"/>
      <c r="S545" s="21"/>
      <c r="V545" s="46"/>
    </row>
    <row r="546" spans="9:22" x14ac:dyDescent="0.35">
      <c r="I546" s="52"/>
      <c r="J546" s="28"/>
      <c r="K546" s="29"/>
      <c r="L546" s="28"/>
      <c r="M546" s="19"/>
      <c r="N546" s="19"/>
      <c r="O546" s="48"/>
      <c r="Q546" s="21"/>
      <c r="S546" s="21"/>
      <c r="V546" s="46"/>
    </row>
    <row r="547" spans="9:22" x14ac:dyDescent="0.35">
      <c r="I547" s="52"/>
      <c r="J547" s="28"/>
      <c r="K547" s="29"/>
      <c r="L547" s="28"/>
      <c r="M547" s="19"/>
      <c r="N547" s="19"/>
      <c r="O547" s="48"/>
      <c r="Q547" s="21"/>
      <c r="S547" s="21"/>
      <c r="V547" s="46"/>
    </row>
    <row r="548" spans="9:22" x14ac:dyDescent="0.35">
      <c r="I548" s="52"/>
      <c r="J548" s="28"/>
      <c r="K548" s="29"/>
      <c r="L548" s="28"/>
      <c r="M548" s="19"/>
      <c r="N548" s="19"/>
      <c r="O548" s="48"/>
      <c r="Q548" s="21"/>
      <c r="S548" s="21"/>
      <c r="V548" s="46"/>
    </row>
    <row r="549" spans="9:22" x14ac:dyDescent="0.35">
      <c r="I549" s="52"/>
      <c r="J549" s="28"/>
      <c r="K549" s="29"/>
      <c r="L549" s="28"/>
      <c r="M549" s="19"/>
      <c r="N549" s="19"/>
      <c r="O549" s="48"/>
      <c r="Q549" s="21"/>
      <c r="S549" s="21"/>
      <c r="V549" s="46"/>
    </row>
    <row r="550" spans="9:22" x14ac:dyDescent="0.35">
      <c r="I550" s="52"/>
      <c r="J550" s="28"/>
      <c r="K550" s="29"/>
      <c r="L550" s="28"/>
      <c r="M550" s="19"/>
      <c r="N550" s="19"/>
      <c r="O550" s="48"/>
      <c r="Q550" s="21"/>
      <c r="S550" s="21"/>
      <c r="V550" s="46"/>
    </row>
    <row r="551" spans="9:22" x14ac:dyDescent="0.35">
      <c r="I551" s="52"/>
      <c r="J551" s="28"/>
      <c r="K551" s="29"/>
      <c r="L551" s="28"/>
      <c r="M551" s="19"/>
      <c r="N551" s="19"/>
      <c r="O551" s="48"/>
      <c r="Q551" s="21"/>
      <c r="S551" s="21"/>
      <c r="V551" s="46"/>
    </row>
    <row r="552" spans="9:22" x14ac:dyDescent="0.35">
      <c r="I552" s="52"/>
      <c r="J552" s="28"/>
      <c r="K552" s="29"/>
      <c r="L552" s="28"/>
      <c r="M552" s="19"/>
      <c r="N552" s="19"/>
      <c r="O552" s="48"/>
      <c r="Q552" s="21"/>
      <c r="S552" s="21"/>
      <c r="V552" s="46"/>
    </row>
    <row r="553" spans="9:22" x14ac:dyDescent="0.35">
      <c r="I553" s="52"/>
      <c r="J553" s="28"/>
      <c r="K553" s="29"/>
      <c r="L553" s="28"/>
      <c r="M553" s="19"/>
      <c r="N553" s="19"/>
      <c r="O553" s="48"/>
      <c r="Q553" s="21"/>
      <c r="S553" s="21"/>
      <c r="V553" s="46"/>
    </row>
    <row r="554" spans="9:22" x14ac:dyDescent="0.35">
      <c r="I554" s="52"/>
      <c r="J554" s="28"/>
      <c r="K554" s="29"/>
      <c r="L554" s="28"/>
      <c r="M554" s="19"/>
      <c r="N554" s="19"/>
      <c r="O554" s="48"/>
      <c r="Q554" s="21"/>
      <c r="S554" s="21"/>
      <c r="V554" s="46"/>
    </row>
    <row r="555" spans="9:22" x14ac:dyDescent="0.35">
      <c r="I555" s="52"/>
      <c r="J555" s="28"/>
      <c r="K555" s="29"/>
      <c r="L555" s="28"/>
      <c r="M555" s="19"/>
      <c r="N555" s="19"/>
      <c r="O555" s="48"/>
      <c r="Q555" s="21"/>
      <c r="S555" s="21"/>
      <c r="V555" s="46"/>
    </row>
    <row r="556" spans="9:22" x14ac:dyDescent="0.35">
      <c r="I556" s="52"/>
      <c r="J556" s="28"/>
      <c r="K556" s="29"/>
      <c r="L556" s="28"/>
      <c r="M556" s="19"/>
      <c r="N556" s="19"/>
      <c r="O556" s="48"/>
      <c r="Q556" s="21"/>
      <c r="S556" s="21"/>
      <c r="V556" s="46"/>
    </row>
    <row r="557" spans="9:22" x14ac:dyDescent="0.35">
      <c r="I557" s="52"/>
      <c r="J557" s="28"/>
      <c r="K557" s="29"/>
      <c r="L557" s="28"/>
      <c r="M557" s="19"/>
      <c r="N557" s="19"/>
      <c r="O557" s="48"/>
      <c r="Q557" s="21"/>
      <c r="S557" s="21"/>
      <c r="V557" s="46"/>
    </row>
    <row r="558" spans="9:22" x14ac:dyDescent="0.35">
      <c r="I558" s="52"/>
      <c r="J558" s="28"/>
      <c r="K558" s="29"/>
      <c r="L558" s="28"/>
      <c r="M558" s="19"/>
      <c r="N558" s="19"/>
      <c r="O558" s="48"/>
      <c r="Q558" s="21"/>
      <c r="S558" s="21"/>
      <c r="V558" s="46"/>
    </row>
    <row r="559" spans="9:22" x14ac:dyDescent="0.35">
      <c r="I559" s="52"/>
      <c r="J559" s="28"/>
      <c r="K559" s="29"/>
      <c r="L559" s="28"/>
      <c r="M559" s="19"/>
      <c r="N559" s="19"/>
      <c r="O559" s="48"/>
      <c r="Q559" s="21"/>
      <c r="S559" s="21"/>
      <c r="V559" s="46"/>
    </row>
    <row r="560" spans="9:22" x14ac:dyDescent="0.35">
      <c r="I560" s="52"/>
      <c r="J560" s="28"/>
      <c r="K560" s="29"/>
      <c r="L560" s="28"/>
      <c r="M560" s="19"/>
      <c r="N560" s="19"/>
      <c r="O560" s="48"/>
      <c r="Q560" s="21"/>
      <c r="S560" s="21"/>
      <c r="V560" s="46"/>
    </row>
    <row r="561" spans="9:22" x14ac:dyDescent="0.35">
      <c r="I561" s="52"/>
      <c r="J561" s="28"/>
      <c r="K561" s="29"/>
      <c r="L561" s="28"/>
      <c r="M561" s="19"/>
      <c r="N561" s="19"/>
      <c r="O561" s="48"/>
      <c r="Q561" s="21"/>
      <c r="S561" s="21"/>
      <c r="V561" s="46"/>
    </row>
    <row r="562" spans="9:22" x14ac:dyDescent="0.35">
      <c r="I562" s="52"/>
      <c r="J562" s="28"/>
      <c r="K562" s="29"/>
      <c r="L562" s="28"/>
      <c r="M562" s="19"/>
      <c r="N562" s="19"/>
      <c r="O562" s="48"/>
      <c r="Q562" s="21"/>
      <c r="S562" s="21"/>
      <c r="V562" s="46"/>
    </row>
    <row r="563" spans="9:22" x14ac:dyDescent="0.35">
      <c r="I563" s="52"/>
      <c r="J563" s="28"/>
      <c r="K563" s="29"/>
      <c r="L563" s="28"/>
      <c r="M563" s="19"/>
      <c r="N563" s="19"/>
      <c r="O563" s="48"/>
      <c r="Q563" s="21"/>
      <c r="S563" s="21"/>
      <c r="V563" s="46"/>
    </row>
    <row r="564" spans="9:22" x14ac:dyDescent="0.35">
      <c r="I564" s="52"/>
      <c r="J564" s="28"/>
      <c r="K564" s="29"/>
      <c r="L564" s="28"/>
      <c r="M564" s="19"/>
      <c r="N564" s="19"/>
      <c r="O564" s="48"/>
      <c r="Q564" s="21"/>
      <c r="S564" s="21"/>
      <c r="V564" s="46"/>
    </row>
    <row r="565" spans="9:22" x14ac:dyDescent="0.35">
      <c r="I565" s="52"/>
      <c r="J565" s="28"/>
      <c r="K565" s="29"/>
      <c r="L565" s="28"/>
      <c r="M565" s="19"/>
      <c r="N565" s="19"/>
      <c r="O565" s="48"/>
      <c r="Q565" s="21"/>
      <c r="S565" s="21"/>
      <c r="V565" s="46"/>
    </row>
    <row r="566" spans="9:22" x14ac:dyDescent="0.35">
      <c r="I566" s="52"/>
      <c r="J566" s="28"/>
      <c r="K566" s="29"/>
      <c r="L566" s="28"/>
      <c r="M566" s="19"/>
      <c r="N566" s="19"/>
      <c r="O566" s="48"/>
      <c r="Q566" s="21"/>
      <c r="S566" s="21"/>
      <c r="V566" s="46"/>
    </row>
    <row r="567" spans="9:22" x14ac:dyDescent="0.35">
      <c r="I567" s="52"/>
      <c r="J567" s="28"/>
      <c r="K567" s="29"/>
      <c r="L567" s="28"/>
      <c r="M567" s="19"/>
      <c r="N567" s="19"/>
      <c r="O567" s="48"/>
      <c r="Q567" s="21"/>
      <c r="S567" s="21"/>
      <c r="V567" s="46"/>
    </row>
    <row r="568" spans="9:22" x14ac:dyDescent="0.35">
      <c r="I568" s="52"/>
      <c r="J568" s="28"/>
      <c r="K568" s="29"/>
      <c r="L568" s="28"/>
      <c r="M568" s="19"/>
      <c r="N568" s="19"/>
      <c r="O568" s="48"/>
      <c r="Q568" s="21"/>
      <c r="S568" s="21"/>
      <c r="V568" s="46"/>
    </row>
    <row r="569" spans="9:22" x14ac:dyDescent="0.35">
      <c r="I569" s="52"/>
      <c r="J569" s="28"/>
      <c r="K569" s="29"/>
      <c r="L569" s="28"/>
      <c r="M569" s="19"/>
      <c r="N569" s="19"/>
      <c r="O569" s="48"/>
      <c r="Q569" s="21"/>
      <c r="S569" s="21"/>
      <c r="V569" s="46"/>
    </row>
    <row r="570" spans="9:22" x14ac:dyDescent="0.35">
      <c r="I570" s="52"/>
      <c r="J570" s="28"/>
      <c r="K570" s="29"/>
      <c r="L570" s="28"/>
      <c r="M570" s="19"/>
      <c r="N570" s="19"/>
      <c r="O570" s="48"/>
      <c r="Q570" s="21"/>
      <c r="S570" s="21"/>
      <c r="V570" s="46"/>
    </row>
    <row r="571" spans="9:22" x14ac:dyDescent="0.35">
      <c r="I571" s="52"/>
      <c r="J571" s="28"/>
      <c r="K571" s="29"/>
      <c r="L571" s="28"/>
      <c r="M571" s="19"/>
      <c r="N571" s="19"/>
      <c r="O571" s="48"/>
      <c r="Q571" s="21"/>
      <c r="S571" s="21"/>
      <c r="V571" s="46"/>
    </row>
    <row r="572" spans="9:22" x14ac:dyDescent="0.35">
      <c r="I572" s="52"/>
      <c r="J572" s="28"/>
      <c r="K572" s="29"/>
      <c r="L572" s="28"/>
      <c r="M572" s="19"/>
      <c r="N572" s="19"/>
      <c r="O572" s="48"/>
      <c r="Q572" s="21"/>
      <c r="S572" s="21"/>
      <c r="V572" s="46"/>
    </row>
    <row r="573" spans="9:22" x14ac:dyDescent="0.35">
      <c r="I573" s="52"/>
      <c r="J573" s="28"/>
      <c r="K573" s="29"/>
      <c r="L573" s="28"/>
      <c r="M573" s="19"/>
      <c r="N573" s="19"/>
      <c r="O573" s="48"/>
      <c r="Q573" s="21"/>
      <c r="S573" s="21"/>
      <c r="V573" s="46"/>
    </row>
    <row r="574" spans="9:22" x14ac:dyDescent="0.35">
      <c r="I574" s="52"/>
      <c r="J574" s="28"/>
      <c r="K574" s="29"/>
      <c r="L574" s="28"/>
      <c r="M574" s="19"/>
      <c r="N574" s="19"/>
      <c r="O574" s="48"/>
      <c r="Q574" s="21"/>
      <c r="S574" s="21"/>
      <c r="V574" s="46"/>
    </row>
    <row r="575" spans="9:22" x14ac:dyDescent="0.35">
      <c r="I575" s="52"/>
      <c r="J575" s="28"/>
      <c r="K575" s="29"/>
      <c r="L575" s="28"/>
      <c r="M575" s="19"/>
      <c r="N575" s="19"/>
      <c r="O575" s="48"/>
      <c r="Q575" s="21"/>
      <c r="S575" s="21"/>
      <c r="V575" s="46"/>
    </row>
    <row r="576" spans="9:22" x14ac:dyDescent="0.35">
      <c r="I576" s="52"/>
      <c r="J576" s="28"/>
      <c r="K576" s="29"/>
      <c r="L576" s="28"/>
      <c r="M576" s="19"/>
      <c r="N576" s="19"/>
      <c r="O576" s="48"/>
      <c r="Q576" s="21"/>
      <c r="S576" s="21"/>
      <c r="V576" s="46"/>
    </row>
    <row r="577" spans="9:22" x14ac:dyDescent="0.35">
      <c r="I577" s="52"/>
      <c r="J577" s="28"/>
      <c r="K577" s="29"/>
      <c r="L577" s="28"/>
      <c r="M577" s="19"/>
      <c r="N577" s="19"/>
      <c r="O577" s="48"/>
      <c r="Q577" s="21"/>
      <c r="S577" s="21"/>
      <c r="V577" s="46"/>
    </row>
    <row r="578" spans="9:22" x14ac:dyDescent="0.35">
      <c r="I578" s="52"/>
      <c r="J578" s="28"/>
      <c r="K578" s="29"/>
      <c r="L578" s="28"/>
      <c r="M578" s="19"/>
      <c r="N578" s="19"/>
      <c r="O578" s="48"/>
      <c r="Q578" s="21"/>
      <c r="S578" s="21"/>
      <c r="V578" s="46"/>
    </row>
    <row r="579" spans="9:22" x14ac:dyDescent="0.35">
      <c r="I579" s="52"/>
      <c r="J579" s="28"/>
      <c r="K579" s="29"/>
      <c r="L579" s="28"/>
      <c r="M579" s="19"/>
      <c r="N579" s="19"/>
      <c r="O579" s="48"/>
      <c r="Q579" s="21"/>
      <c r="S579" s="21"/>
      <c r="V579" s="46"/>
    </row>
    <row r="580" spans="9:22" x14ac:dyDescent="0.35">
      <c r="I580" s="52"/>
      <c r="J580" s="28"/>
      <c r="K580" s="29"/>
      <c r="L580" s="28"/>
      <c r="M580" s="19"/>
      <c r="N580" s="19"/>
      <c r="O580" s="48"/>
      <c r="Q580" s="21"/>
      <c r="S580" s="21"/>
      <c r="V580" s="46"/>
    </row>
    <row r="581" spans="9:22" x14ac:dyDescent="0.35">
      <c r="I581" s="52"/>
      <c r="J581" s="28"/>
      <c r="K581" s="29"/>
      <c r="L581" s="28"/>
      <c r="M581" s="19"/>
      <c r="N581" s="19"/>
      <c r="O581" s="48"/>
      <c r="Q581" s="21"/>
      <c r="S581" s="21"/>
      <c r="V581" s="46"/>
    </row>
    <row r="582" spans="9:22" x14ac:dyDescent="0.35">
      <c r="I582" s="52"/>
      <c r="J582" s="28"/>
      <c r="K582" s="29"/>
      <c r="L582" s="28"/>
      <c r="M582" s="19"/>
      <c r="N582" s="19"/>
      <c r="O582" s="48"/>
      <c r="Q582" s="21"/>
      <c r="S582" s="21"/>
      <c r="V582" s="46"/>
    </row>
    <row r="583" spans="9:22" x14ac:dyDescent="0.35">
      <c r="I583" s="52"/>
      <c r="J583" s="28"/>
      <c r="K583" s="29"/>
      <c r="L583" s="28"/>
      <c r="M583" s="19"/>
      <c r="N583" s="19"/>
      <c r="O583" s="48"/>
      <c r="Q583" s="21"/>
      <c r="S583" s="21"/>
      <c r="V583" s="46"/>
    </row>
    <row r="584" spans="9:22" x14ac:dyDescent="0.35">
      <c r="I584" s="52"/>
      <c r="J584" s="28"/>
      <c r="K584" s="29"/>
      <c r="L584" s="28"/>
      <c r="M584" s="19"/>
      <c r="N584" s="19"/>
      <c r="O584" s="48"/>
      <c r="Q584" s="21"/>
      <c r="S584" s="21"/>
      <c r="V584" s="46"/>
    </row>
    <row r="585" spans="9:22" x14ac:dyDescent="0.35">
      <c r="I585" s="52"/>
      <c r="J585" s="28"/>
      <c r="K585" s="29"/>
      <c r="L585" s="28"/>
      <c r="M585" s="19"/>
      <c r="N585" s="19"/>
      <c r="O585" s="48"/>
      <c r="Q585" s="21"/>
      <c r="S585" s="21"/>
      <c r="V585" s="46"/>
    </row>
    <row r="586" spans="9:22" x14ac:dyDescent="0.35">
      <c r="I586" s="52"/>
      <c r="J586" s="28"/>
      <c r="K586" s="29"/>
      <c r="L586" s="28"/>
      <c r="M586" s="19"/>
      <c r="N586" s="19"/>
      <c r="O586" s="48"/>
      <c r="Q586" s="21"/>
      <c r="S586" s="21"/>
      <c r="V586" s="46"/>
    </row>
    <row r="587" spans="9:22" x14ac:dyDescent="0.35">
      <c r="I587" s="52"/>
      <c r="J587" s="28"/>
      <c r="K587" s="29"/>
      <c r="L587" s="28"/>
      <c r="M587" s="19"/>
      <c r="N587" s="19"/>
      <c r="O587" s="48"/>
      <c r="Q587" s="21"/>
      <c r="S587" s="21"/>
      <c r="V587" s="46"/>
    </row>
    <row r="588" spans="9:22" x14ac:dyDescent="0.35">
      <c r="I588" s="52"/>
      <c r="J588" s="28"/>
      <c r="K588" s="29"/>
      <c r="L588" s="28"/>
      <c r="M588" s="19"/>
      <c r="N588" s="19"/>
      <c r="O588" s="48"/>
      <c r="Q588" s="21"/>
      <c r="S588" s="21"/>
      <c r="V588" s="46"/>
    </row>
    <row r="589" spans="9:22" x14ac:dyDescent="0.35">
      <c r="I589" s="52"/>
      <c r="J589" s="28"/>
      <c r="K589" s="29"/>
      <c r="L589" s="28"/>
      <c r="M589" s="19"/>
      <c r="N589" s="19"/>
      <c r="O589" s="48"/>
      <c r="Q589" s="21"/>
      <c r="S589" s="21"/>
      <c r="V589" s="46"/>
    </row>
    <row r="590" spans="9:22" x14ac:dyDescent="0.35">
      <c r="I590" s="52"/>
      <c r="J590" s="28"/>
      <c r="K590" s="29"/>
      <c r="L590" s="28"/>
      <c r="M590" s="19"/>
      <c r="N590" s="19"/>
      <c r="O590" s="48"/>
      <c r="Q590" s="21"/>
      <c r="S590" s="21"/>
      <c r="V590" s="46"/>
    </row>
    <row r="591" spans="9:22" x14ac:dyDescent="0.35">
      <c r="I591" s="52"/>
      <c r="J591" s="28"/>
      <c r="K591" s="29"/>
      <c r="L591" s="28"/>
      <c r="M591" s="19"/>
      <c r="N591" s="19"/>
      <c r="O591" s="48"/>
      <c r="Q591" s="21"/>
      <c r="S591" s="21"/>
      <c r="V591" s="46"/>
    </row>
    <row r="592" spans="9:22" x14ac:dyDescent="0.35">
      <c r="I592" s="52"/>
      <c r="J592" s="28"/>
      <c r="K592" s="29"/>
      <c r="L592" s="28"/>
      <c r="M592" s="19"/>
      <c r="N592" s="19"/>
      <c r="O592" s="48"/>
      <c r="Q592" s="21"/>
      <c r="S592" s="21"/>
      <c r="V592" s="46"/>
    </row>
    <row r="593" spans="9:22" x14ac:dyDescent="0.35">
      <c r="I593" s="52"/>
      <c r="J593" s="28"/>
      <c r="K593" s="29"/>
      <c r="L593" s="28"/>
      <c r="M593" s="19"/>
      <c r="N593" s="19"/>
      <c r="O593" s="48"/>
      <c r="Q593" s="21"/>
      <c r="S593" s="21"/>
      <c r="V593" s="46"/>
    </row>
    <row r="594" spans="9:22" x14ac:dyDescent="0.35">
      <c r="I594" s="52"/>
      <c r="J594" s="28"/>
      <c r="K594" s="29"/>
      <c r="L594" s="28"/>
      <c r="M594" s="19"/>
      <c r="N594" s="19"/>
      <c r="O594" s="48"/>
      <c r="Q594" s="21"/>
      <c r="S594" s="21"/>
      <c r="V594" s="46"/>
    </row>
    <row r="595" spans="9:22" x14ac:dyDescent="0.35">
      <c r="I595" s="52"/>
      <c r="J595" s="28"/>
      <c r="K595" s="29"/>
      <c r="L595" s="28"/>
      <c r="M595" s="19"/>
      <c r="N595" s="19"/>
      <c r="O595" s="48"/>
      <c r="Q595" s="21"/>
      <c r="S595" s="21"/>
      <c r="V595" s="46"/>
    </row>
    <row r="596" spans="9:22" x14ac:dyDescent="0.35">
      <c r="I596" s="52"/>
      <c r="J596" s="28"/>
      <c r="K596" s="29"/>
      <c r="L596" s="28"/>
      <c r="M596" s="19"/>
      <c r="N596" s="19"/>
      <c r="O596" s="48"/>
      <c r="Q596" s="21"/>
      <c r="S596" s="21"/>
      <c r="V596" s="46"/>
    </row>
    <row r="597" spans="9:22" x14ac:dyDescent="0.35">
      <c r="I597" s="52"/>
      <c r="J597" s="28"/>
      <c r="K597" s="29"/>
      <c r="L597" s="28"/>
      <c r="M597" s="19"/>
      <c r="N597" s="19"/>
      <c r="O597" s="48"/>
      <c r="Q597" s="21"/>
      <c r="S597" s="21"/>
      <c r="V597" s="46"/>
    </row>
    <row r="598" spans="9:22" x14ac:dyDescent="0.35">
      <c r="I598" s="52"/>
      <c r="J598" s="28"/>
      <c r="K598" s="29"/>
      <c r="L598" s="28"/>
      <c r="M598" s="19"/>
      <c r="N598" s="19"/>
      <c r="O598" s="48"/>
      <c r="Q598" s="21"/>
      <c r="S598" s="21"/>
      <c r="V598" s="46"/>
    </row>
    <row r="599" spans="9:22" x14ac:dyDescent="0.35">
      <c r="I599" s="52"/>
      <c r="J599" s="28"/>
      <c r="K599" s="29"/>
      <c r="L599" s="28"/>
      <c r="M599" s="19"/>
      <c r="N599" s="19"/>
      <c r="O599" s="48"/>
      <c r="Q599" s="21"/>
      <c r="S599" s="21"/>
      <c r="V599" s="46"/>
    </row>
    <row r="600" spans="9:22" x14ac:dyDescent="0.35">
      <c r="I600" s="52"/>
      <c r="J600" s="28"/>
      <c r="K600" s="29"/>
      <c r="L600" s="28"/>
      <c r="M600" s="19"/>
      <c r="N600" s="19"/>
      <c r="O600" s="48"/>
      <c r="Q600" s="21"/>
      <c r="S600" s="21"/>
      <c r="V600" s="46"/>
    </row>
    <row r="601" spans="9:22" x14ac:dyDescent="0.35">
      <c r="I601" s="52"/>
      <c r="J601" s="28"/>
      <c r="K601" s="29"/>
      <c r="L601" s="28"/>
      <c r="M601" s="19"/>
      <c r="N601" s="19"/>
      <c r="O601" s="48"/>
      <c r="Q601" s="21"/>
      <c r="S601" s="21"/>
      <c r="V601" s="46"/>
    </row>
    <row r="602" spans="9:22" x14ac:dyDescent="0.35">
      <c r="I602" s="52"/>
      <c r="J602" s="28"/>
      <c r="K602" s="29"/>
      <c r="L602" s="28"/>
      <c r="M602" s="19"/>
      <c r="N602" s="19"/>
      <c r="O602" s="48"/>
      <c r="Q602" s="21"/>
      <c r="S602" s="21"/>
      <c r="V602" s="46"/>
    </row>
    <row r="603" spans="9:22" x14ac:dyDescent="0.35">
      <c r="I603" s="52"/>
      <c r="J603" s="28"/>
      <c r="K603" s="29"/>
      <c r="L603" s="28"/>
      <c r="M603" s="19"/>
      <c r="N603" s="19"/>
      <c r="O603" s="48"/>
      <c r="Q603" s="21"/>
      <c r="S603" s="21"/>
      <c r="V603" s="46"/>
    </row>
    <row r="604" spans="9:22" x14ac:dyDescent="0.35">
      <c r="I604" s="52"/>
      <c r="J604" s="28"/>
      <c r="K604" s="29"/>
      <c r="L604" s="28"/>
      <c r="M604" s="19"/>
      <c r="N604" s="19"/>
      <c r="O604" s="48"/>
      <c r="Q604" s="21"/>
      <c r="S604" s="21"/>
      <c r="V604" s="46"/>
    </row>
    <row r="605" spans="9:22" x14ac:dyDescent="0.35">
      <c r="I605" s="52"/>
      <c r="J605" s="28"/>
      <c r="K605" s="29"/>
      <c r="L605" s="28"/>
      <c r="M605" s="19"/>
      <c r="N605" s="19"/>
      <c r="O605" s="48"/>
      <c r="Q605" s="21"/>
      <c r="S605" s="21"/>
      <c r="V605" s="46"/>
    </row>
    <row r="606" spans="9:22" x14ac:dyDescent="0.35">
      <c r="I606" s="52"/>
      <c r="J606" s="28"/>
      <c r="K606" s="29"/>
      <c r="L606" s="28"/>
      <c r="M606" s="19"/>
      <c r="N606" s="19"/>
      <c r="O606" s="48"/>
      <c r="Q606" s="21"/>
      <c r="S606" s="21"/>
      <c r="V606" s="46"/>
    </row>
    <row r="607" spans="9:22" x14ac:dyDescent="0.35">
      <c r="I607" s="52"/>
      <c r="J607" s="28"/>
      <c r="K607" s="29"/>
      <c r="L607" s="28"/>
      <c r="M607" s="19"/>
      <c r="N607" s="19"/>
      <c r="O607" s="48"/>
      <c r="Q607" s="21"/>
      <c r="S607" s="21"/>
      <c r="V607" s="46"/>
    </row>
    <row r="608" spans="9:22" x14ac:dyDescent="0.35">
      <c r="I608" s="52"/>
      <c r="J608" s="28"/>
      <c r="K608" s="29"/>
      <c r="L608" s="28"/>
      <c r="M608" s="19"/>
      <c r="N608" s="19"/>
      <c r="O608" s="48"/>
      <c r="Q608" s="21"/>
      <c r="S608" s="21"/>
      <c r="V608" s="46"/>
    </row>
    <row r="609" spans="9:22" x14ac:dyDescent="0.35">
      <c r="I609" s="52"/>
      <c r="J609" s="28"/>
      <c r="K609" s="29"/>
      <c r="L609" s="28"/>
      <c r="M609" s="19"/>
      <c r="N609" s="19"/>
      <c r="O609" s="48"/>
      <c r="Q609" s="21"/>
      <c r="S609" s="21"/>
      <c r="V609" s="46"/>
    </row>
    <row r="610" spans="9:22" x14ac:dyDescent="0.35">
      <c r="I610" s="52"/>
      <c r="J610" s="28"/>
      <c r="K610" s="29"/>
      <c r="L610" s="28"/>
      <c r="M610" s="19"/>
      <c r="N610" s="19"/>
      <c r="O610" s="48"/>
      <c r="Q610" s="21"/>
      <c r="S610" s="21"/>
      <c r="V610" s="46"/>
    </row>
    <row r="611" spans="9:22" x14ac:dyDescent="0.35">
      <c r="I611" s="52"/>
      <c r="J611" s="28"/>
      <c r="K611" s="29"/>
      <c r="L611" s="28"/>
      <c r="M611" s="19"/>
      <c r="N611" s="19"/>
      <c r="O611" s="48"/>
      <c r="Q611" s="21"/>
      <c r="S611" s="21"/>
      <c r="V611" s="46"/>
    </row>
    <row r="612" spans="9:22" x14ac:dyDescent="0.35">
      <c r="I612" s="52"/>
      <c r="J612" s="28"/>
      <c r="K612" s="29"/>
      <c r="L612" s="28"/>
      <c r="M612" s="19"/>
      <c r="N612" s="19"/>
      <c r="O612" s="48"/>
      <c r="Q612" s="21"/>
      <c r="S612" s="21"/>
      <c r="V612" s="46"/>
    </row>
    <row r="613" spans="9:22" x14ac:dyDescent="0.35">
      <c r="I613" s="52"/>
      <c r="J613" s="28"/>
      <c r="K613" s="29"/>
      <c r="L613" s="28"/>
      <c r="M613" s="19"/>
      <c r="N613" s="19"/>
      <c r="O613" s="48"/>
      <c r="Q613" s="21"/>
      <c r="S613" s="21"/>
      <c r="V613" s="46"/>
    </row>
    <row r="614" spans="9:22" x14ac:dyDescent="0.35">
      <c r="I614" s="52"/>
      <c r="J614" s="28"/>
      <c r="K614" s="29"/>
      <c r="L614" s="28"/>
      <c r="M614" s="19"/>
      <c r="N614" s="19"/>
      <c r="O614" s="48"/>
      <c r="Q614" s="21"/>
      <c r="S614" s="21"/>
      <c r="V614" s="46"/>
    </row>
    <row r="615" spans="9:22" x14ac:dyDescent="0.35">
      <c r="I615" s="52"/>
      <c r="J615" s="28"/>
      <c r="K615" s="29"/>
      <c r="L615" s="28"/>
      <c r="M615" s="19"/>
      <c r="N615" s="19"/>
      <c r="O615" s="48"/>
      <c r="Q615" s="21"/>
      <c r="S615" s="21"/>
      <c r="V615" s="46"/>
    </row>
    <row r="616" spans="9:22" x14ac:dyDescent="0.35">
      <c r="I616" s="52"/>
      <c r="J616" s="28"/>
      <c r="K616" s="29"/>
      <c r="L616" s="28"/>
      <c r="M616" s="19"/>
      <c r="N616" s="19"/>
      <c r="O616" s="48"/>
      <c r="Q616" s="21"/>
      <c r="S616" s="21"/>
      <c r="V616" s="46"/>
    </row>
    <row r="617" spans="9:22" x14ac:dyDescent="0.35">
      <c r="I617" s="52"/>
      <c r="J617" s="28"/>
      <c r="K617" s="29"/>
      <c r="L617" s="28"/>
      <c r="M617" s="19"/>
      <c r="N617" s="19"/>
      <c r="O617" s="48"/>
      <c r="Q617" s="21"/>
      <c r="S617" s="21"/>
      <c r="V617" s="46"/>
    </row>
    <row r="618" spans="9:22" x14ac:dyDescent="0.35">
      <c r="I618" s="52"/>
      <c r="J618" s="28"/>
      <c r="K618" s="29"/>
      <c r="L618" s="28"/>
      <c r="M618" s="19"/>
      <c r="N618" s="19"/>
      <c r="O618" s="48"/>
      <c r="Q618" s="21"/>
      <c r="S618" s="21"/>
      <c r="V618" s="46"/>
    </row>
    <row r="619" spans="9:22" x14ac:dyDescent="0.35">
      <c r="I619" s="52"/>
      <c r="J619" s="28"/>
      <c r="K619" s="29"/>
      <c r="L619" s="28"/>
      <c r="M619" s="19"/>
      <c r="N619" s="19"/>
      <c r="O619" s="48"/>
      <c r="Q619" s="21"/>
      <c r="S619" s="21"/>
      <c r="V619" s="46"/>
    </row>
    <row r="620" spans="9:22" x14ac:dyDescent="0.35">
      <c r="I620" s="52"/>
      <c r="J620" s="28"/>
      <c r="K620" s="29"/>
      <c r="L620" s="28"/>
      <c r="M620" s="19"/>
      <c r="N620" s="19"/>
      <c r="O620" s="48"/>
      <c r="Q620" s="21"/>
      <c r="S620" s="21"/>
      <c r="V620" s="46"/>
    </row>
    <row r="621" spans="9:22" x14ac:dyDescent="0.35">
      <c r="I621" s="52"/>
      <c r="J621" s="28"/>
      <c r="K621" s="29"/>
      <c r="L621" s="28"/>
      <c r="M621" s="19"/>
      <c r="N621" s="19"/>
      <c r="O621" s="48"/>
      <c r="Q621" s="21"/>
      <c r="S621" s="21"/>
      <c r="V621" s="46"/>
    </row>
    <row r="622" spans="9:22" x14ac:dyDescent="0.35">
      <c r="I622" s="52"/>
      <c r="J622" s="28"/>
      <c r="K622" s="29"/>
      <c r="L622" s="28"/>
      <c r="M622" s="19"/>
      <c r="N622" s="19"/>
      <c r="O622" s="48"/>
      <c r="Q622" s="21"/>
      <c r="S622" s="21"/>
      <c r="V622" s="46"/>
    </row>
    <row r="623" spans="9:22" x14ac:dyDescent="0.35">
      <c r="I623" s="52"/>
      <c r="J623" s="28"/>
      <c r="K623" s="29"/>
      <c r="L623" s="28"/>
      <c r="M623" s="19"/>
      <c r="N623" s="19"/>
      <c r="O623" s="48"/>
      <c r="Q623" s="21"/>
      <c r="S623" s="21"/>
      <c r="V623" s="46"/>
    </row>
    <row r="624" spans="9:22" x14ac:dyDescent="0.35">
      <c r="I624" s="52"/>
      <c r="J624" s="28"/>
      <c r="K624" s="29"/>
      <c r="L624" s="28"/>
      <c r="M624" s="19"/>
      <c r="N624" s="19"/>
      <c r="O624" s="48"/>
      <c r="Q624" s="21"/>
      <c r="S624" s="21"/>
      <c r="V624" s="46"/>
    </row>
    <row r="625" spans="9:22" x14ac:dyDescent="0.35">
      <c r="I625" s="52"/>
      <c r="J625" s="28"/>
      <c r="K625" s="29"/>
      <c r="L625" s="28"/>
      <c r="M625" s="19"/>
      <c r="N625" s="19"/>
      <c r="O625" s="48"/>
      <c r="Q625" s="21"/>
      <c r="S625" s="21"/>
      <c r="V625" s="46"/>
    </row>
    <row r="626" spans="9:22" x14ac:dyDescent="0.35">
      <c r="I626" s="52"/>
      <c r="J626" s="28"/>
      <c r="K626" s="29"/>
      <c r="L626" s="28"/>
      <c r="M626" s="19"/>
      <c r="N626" s="19"/>
      <c r="O626" s="48"/>
      <c r="Q626" s="21"/>
      <c r="S626" s="21"/>
      <c r="V626" s="46"/>
    </row>
    <row r="627" spans="9:22" x14ac:dyDescent="0.35">
      <c r="I627" s="52"/>
      <c r="J627" s="28"/>
      <c r="K627" s="29"/>
      <c r="L627" s="28"/>
      <c r="M627" s="19"/>
      <c r="N627" s="19"/>
      <c r="O627" s="48"/>
      <c r="Q627" s="21"/>
      <c r="S627" s="21"/>
      <c r="V627" s="46"/>
    </row>
    <row r="628" spans="9:22" x14ac:dyDescent="0.35">
      <c r="I628" s="52"/>
      <c r="J628" s="28"/>
      <c r="K628" s="29"/>
      <c r="L628" s="28"/>
      <c r="M628" s="19"/>
      <c r="N628" s="19"/>
      <c r="O628" s="48"/>
      <c r="Q628" s="21"/>
      <c r="S628" s="21"/>
      <c r="V628" s="46"/>
    </row>
    <row r="629" spans="9:22" x14ac:dyDescent="0.35">
      <c r="I629" s="52"/>
      <c r="J629" s="28"/>
      <c r="K629" s="29"/>
      <c r="L629" s="28"/>
      <c r="M629" s="19"/>
      <c r="N629" s="19"/>
      <c r="O629" s="48"/>
      <c r="Q629" s="21"/>
      <c r="S629" s="21"/>
      <c r="V629" s="46"/>
    </row>
    <row r="630" spans="9:22" x14ac:dyDescent="0.35">
      <c r="I630" s="52"/>
      <c r="J630" s="28"/>
      <c r="K630" s="29"/>
      <c r="L630" s="28"/>
      <c r="M630" s="19"/>
      <c r="N630" s="19"/>
      <c r="O630" s="48"/>
      <c r="Q630" s="21"/>
      <c r="S630" s="21"/>
      <c r="V630" s="46"/>
    </row>
    <row r="631" spans="9:22" x14ac:dyDescent="0.35">
      <c r="I631" s="52"/>
      <c r="J631" s="28"/>
      <c r="K631" s="29"/>
      <c r="L631" s="28"/>
      <c r="M631" s="19"/>
      <c r="N631" s="19"/>
      <c r="O631" s="48"/>
      <c r="Q631" s="21"/>
      <c r="S631" s="21"/>
      <c r="V631" s="46"/>
    </row>
    <row r="632" spans="9:22" x14ac:dyDescent="0.35">
      <c r="I632" s="52"/>
      <c r="J632" s="28"/>
      <c r="K632" s="29"/>
      <c r="L632" s="28"/>
      <c r="M632" s="19"/>
      <c r="N632" s="19"/>
      <c r="O632" s="48"/>
      <c r="Q632" s="21"/>
      <c r="S632" s="21"/>
      <c r="V632" s="46"/>
    </row>
    <row r="633" spans="9:22" x14ac:dyDescent="0.35">
      <c r="I633" s="52"/>
      <c r="J633" s="28"/>
      <c r="K633" s="29"/>
      <c r="L633" s="28"/>
      <c r="M633" s="19"/>
      <c r="N633" s="19"/>
      <c r="O633" s="48"/>
      <c r="Q633" s="21"/>
      <c r="S633" s="21"/>
      <c r="V633" s="46"/>
    </row>
    <row r="634" spans="9:22" x14ac:dyDescent="0.35">
      <c r="I634" s="52"/>
      <c r="J634" s="28"/>
      <c r="K634" s="29"/>
      <c r="L634" s="28"/>
      <c r="M634" s="19"/>
      <c r="N634" s="19"/>
      <c r="O634" s="48"/>
      <c r="Q634" s="21"/>
      <c r="S634" s="21"/>
      <c r="V634" s="46"/>
    </row>
    <row r="635" spans="9:22" x14ac:dyDescent="0.35">
      <c r="I635" s="52"/>
      <c r="J635" s="28"/>
      <c r="K635" s="29"/>
      <c r="L635" s="28"/>
      <c r="M635" s="19"/>
      <c r="N635" s="19"/>
      <c r="O635" s="48"/>
      <c r="Q635" s="21"/>
      <c r="S635" s="21"/>
      <c r="V635" s="46"/>
    </row>
    <row r="636" spans="9:22" x14ac:dyDescent="0.35">
      <c r="I636" s="52"/>
      <c r="J636" s="28"/>
      <c r="K636" s="29"/>
      <c r="L636" s="28"/>
      <c r="M636" s="19"/>
      <c r="N636" s="19"/>
      <c r="O636" s="48"/>
      <c r="Q636" s="21"/>
      <c r="S636" s="21"/>
      <c r="V636" s="46"/>
    </row>
    <row r="637" spans="9:22" x14ac:dyDescent="0.35">
      <c r="I637" s="52"/>
      <c r="J637" s="28"/>
      <c r="K637" s="29"/>
      <c r="L637" s="28"/>
      <c r="M637" s="19"/>
      <c r="N637" s="19"/>
      <c r="O637" s="48"/>
      <c r="Q637" s="21"/>
      <c r="S637" s="21"/>
      <c r="V637" s="46"/>
    </row>
    <row r="638" spans="9:22" x14ac:dyDescent="0.35">
      <c r="I638" s="52"/>
      <c r="J638" s="28"/>
      <c r="K638" s="29"/>
      <c r="L638" s="28"/>
      <c r="M638" s="19"/>
      <c r="N638" s="19"/>
      <c r="O638" s="48"/>
      <c r="Q638" s="21"/>
      <c r="S638" s="21"/>
      <c r="V638" s="46"/>
    </row>
    <row r="639" spans="9:22" x14ac:dyDescent="0.35">
      <c r="I639" s="52"/>
      <c r="J639" s="28"/>
      <c r="K639" s="29"/>
      <c r="L639" s="28"/>
      <c r="M639" s="19"/>
      <c r="N639" s="19"/>
      <c r="O639" s="48"/>
      <c r="Q639" s="21"/>
      <c r="S639" s="21"/>
      <c r="V639" s="46"/>
    </row>
    <row r="640" spans="9:22" x14ac:dyDescent="0.35">
      <c r="I640" s="52"/>
      <c r="J640" s="28"/>
      <c r="K640" s="29"/>
      <c r="L640" s="28"/>
      <c r="M640" s="19"/>
      <c r="N640" s="19"/>
      <c r="O640" s="48"/>
      <c r="Q640" s="21"/>
      <c r="S640" s="21"/>
      <c r="V640" s="46"/>
    </row>
    <row r="641" spans="9:22" x14ac:dyDescent="0.35">
      <c r="I641" s="52"/>
      <c r="J641" s="28"/>
      <c r="K641" s="29"/>
      <c r="L641" s="28"/>
      <c r="M641" s="19"/>
      <c r="N641" s="19"/>
      <c r="O641" s="48"/>
      <c r="Q641" s="21"/>
      <c r="S641" s="21"/>
      <c r="V641" s="46"/>
    </row>
    <row r="642" spans="9:22" x14ac:dyDescent="0.35">
      <c r="I642" s="52"/>
      <c r="J642" s="28"/>
      <c r="K642" s="29"/>
      <c r="L642" s="28"/>
      <c r="M642" s="19"/>
      <c r="N642" s="19"/>
      <c r="O642" s="48"/>
      <c r="Q642" s="21"/>
      <c r="S642" s="21"/>
      <c r="V642" s="46"/>
    </row>
    <row r="643" spans="9:22" x14ac:dyDescent="0.35">
      <c r="I643" s="52"/>
      <c r="J643" s="28"/>
      <c r="K643" s="29"/>
      <c r="L643" s="28"/>
      <c r="M643" s="19"/>
      <c r="N643" s="19"/>
      <c r="O643" s="48"/>
      <c r="Q643" s="21"/>
      <c r="S643" s="21"/>
      <c r="V643" s="46"/>
    </row>
    <row r="644" spans="9:22" x14ac:dyDescent="0.35">
      <c r="I644" s="52"/>
      <c r="J644" s="28"/>
      <c r="K644" s="29"/>
      <c r="L644" s="28"/>
      <c r="M644" s="19"/>
      <c r="N644" s="19"/>
      <c r="O644" s="48"/>
      <c r="Q644" s="21"/>
      <c r="S644" s="21"/>
      <c r="V644" s="46"/>
    </row>
    <row r="645" spans="9:22" x14ac:dyDescent="0.35">
      <c r="I645" s="52"/>
      <c r="J645" s="28"/>
      <c r="K645" s="29"/>
      <c r="L645" s="28"/>
      <c r="M645" s="19"/>
      <c r="N645" s="19"/>
      <c r="O645" s="48"/>
      <c r="Q645" s="21"/>
      <c r="S645" s="21"/>
      <c r="V645" s="46"/>
    </row>
    <row r="646" spans="9:22" x14ac:dyDescent="0.35">
      <c r="I646" s="52"/>
      <c r="J646" s="28"/>
      <c r="K646" s="29"/>
      <c r="L646" s="28"/>
      <c r="M646" s="19"/>
      <c r="N646" s="19"/>
      <c r="O646" s="48"/>
      <c r="Q646" s="21"/>
      <c r="S646" s="21"/>
      <c r="V646" s="46"/>
    </row>
    <row r="647" spans="9:22" x14ac:dyDescent="0.35">
      <c r="I647" s="52"/>
      <c r="J647" s="28"/>
      <c r="K647" s="29"/>
      <c r="L647" s="28"/>
      <c r="M647" s="19"/>
      <c r="N647" s="19"/>
      <c r="O647" s="48"/>
      <c r="Q647" s="21"/>
      <c r="S647" s="21"/>
      <c r="V647" s="46"/>
    </row>
    <row r="648" spans="9:22" x14ac:dyDescent="0.35">
      <c r="I648" s="52"/>
      <c r="J648" s="28"/>
      <c r="K648" s="29"/>
      <c r="L648" s="28"/>
      <c r="M648" s="19"/>
      <c r="N648" s="19"/>
      <c r="O648" s="48"/>
      <c r="Q648" s="21"/>
      <c r="S648" s="21"/>
      <c r="V648" s="46"/>
    </row>
    <row r="649" spans="9:22" x14ac:dyDescent="0.35">
      <c r="I649" s="52"/>
      <c r="J649" s="28"/>
      <c r="K649" s="29"/>
      <c r="L649" s="28"/>
      <c r="M649" s="19"/>
      <c r="N649" s="19"/>
      <c r="O649" s="48"/>
      <c r="Q649" s="21"/>
      <c r="S649" s="21"/>
      <c r="V649" s="46"/>
    </row>
    <row r="650" spans="9:22" x14ac:dyDescent="0.35">
      <c r="I650" s="52"/>
      <c r="J650" s="28"/>
      <c r="K650" s="29"/>
      <c r="L650" s="28"/>
      <c r="M650" s="19"/>
      <c r="N650" s="19"/>
      <c r="O650" s="48"/>
      <c r="Q650" s="21"/>
      <c r="S650" s="21"/>
      <c r="V650" s="46"/>
    </row>
    <row r="651" spans="9:22" x14ac:dyDescent="0.35">
      <c r="I651" s="52"/>
      <c r="J651" s="28"/>
      <c r="K651" s="29"/>
      <c r="L651" s="28"/>
      <c r="M651" s="19"/>
      <c r="N651" s="19"/>
      <c r="O651" s="48"/>
      <c r="Q651" s="21"/>
      <c r="S651" s="21"/>
      <c r="V651" s="46"/>
    </row>
    <row r="652" spans="9:22" x14ac:dyDescent="0.35">
      <c r="I652" s="52"/>
      <c r="J652" s="28"/>
      <c r="K652" s="29"/>
      <c r="L652" s="28"/>
      <c r="M652" s="19"/>
      <c r="N652" s="19"/>
      <c r="O652" s="48"/>
      <c r="Q652" s="21"/>
      <c r="S652" s="21"/>
      <c r="V652" s="46"/>
    </row>
    <row r="653" spans="9:22" x14ac:dyDescent="0.35">
      <c r="I653" s="52"/>
      <c r="J653" s="28"/>
      <c r="K653" s="29"/>
      <c r="L653" s="28"/>
      <c r="M653" s="19"/>
      <c r="N653" s="19"/>
      <c r="O653" s="48"/>
      <c r="Q653" s="21"/>
      <c r="S653" s="21"/>
      <c r="V653" s="46"/>
    </row>
    <row r="654" spans="9:22" x14ac:dyDescent="0.35">
      <c r="I654" s="52"/>
      <c r="J654" s="28"/>
      <c r="K654" s="29"/>
      <c r="L654" s="28"/>
      <c r="M654" s="19"/>
      <c r="N654" s="19"/>
      <c r="O654" s="48"/>
      <c r="Q654" s="21"/>
      <c r="S654" s="21"/>
      <c r="V654" s="46"/>
    </row>
    <row r="655" spans="9:22" x14ac:dyDescent="0.35">
      <c r="I655" s="52"/>
      <c r="J655" s="28"/>
      <c r="K655" s="29"/>
      <c r="L655" s="28"/>
      <c r="M655" s="19"/>
      <c r="N655" s="19"/>
      <c r="O655" s="48"/>
      <c r="Q655" s="21"/>
      <c r="S655" s="21"/>
      <c r="V655" s="46"/>
    </row>
    <row r="656" spans="9:22" x14ac:dyDescent="0.35">
      <c r="I656" s="52"/>
      <c r="J656" s="28"/>
      <c r="K656" s="29"/>
      <c r="L656" s="28"/>
      <c r="M656" s="19"/>
      <c r="N656" s="19"/>
      <c r="O656" s="48"/>
      <c r="Q656" s="21"/>
      <c r="S656" s="21"/>
      <c r="V656" s="46"/>
    </row>
    <row r="657" spans="9:22" x14ac:dyDescent="0.35">
      <c r="I657" s="52"/>
      <c r="J657" s="28"/>
      <c r="K657" s="29"/>
      <c r="L657" s="28"/>
      <c r="M657" s="19"/>
      <c r="N657" s="19"/>
      <c r="O657" s="48"/>
      <c r="Q657" s="21"/>
      <c r="S657" s="21"/>
      <c r="V657" s="46"/>
    </row>
    <row r="658" spans="9:22" x14ac:dyDescent="0.35">
      <c r="I658" s="52"/>
      <c r="J658" s="28"/>
      <c r="K658" s="29"/>
      <c r="L658" s="28"/>
      <c r="M658" s="19"/>
      <c r="N658" s="19"/>
      <c r="O658" s="48"/>
      <c r="Q658" s="21"/>
      <c r="S658" s="21"/>
      <c r="V658" s="46"/>
    </row>
    <row r="659" spans="9:22" x14ac:dyDescent="0.35">
      <c r="I659" s="52"/>
      <c r="J659" s="28"/>
      <c r="K659" s="29"/>
      <c r="L659" s="28"/>
      <c r="M659" s="19"/>
      <c r="N659" s="19"/>
      <c r="O659" s="48"/>
      <c r="Q659" s="21"/>
      <c r="S659" s="21"/>
      <c r="V659" s="46"/>
    </row>
    <row r="660" spans="9:22" x14ac:dyDescent="0.35">
      <c r="I660" s="52"/>
      <c r="J660" s="28"/>
      <c r="K660" s="29"/>
      <c r="L660" s="28"/>
      <c r="M660" s="19"/>
      <c r="N660" s="19"/>
      <c r="O660" s="48"/>
      <c r="Q660" s="21"/>
      <c r="S660" s="21"/>
      <c r="V660" s="46"/>
    </row>
    <row r="661" spans="9:22" x14ac:dyDescent="0.35">
      <c r="I661" s="52"/>
      <c r="J661" s="28"/>
      <c r="K661" s="29"/>
      <c r="L661" s="28"/>
      <c r="M661" s="19"/>
      <c r="N661" s="19"/>
      <c r="O661" s="48"/>
      <c r="Q661" s="21"/>
      <c r="S661" s="21"/>
      <c r="V661" s="46"/>
    </row>
    <row r="662" spans="9:22" x14ac:dyDescent="0.35">
      <c r="I662" s="52"/>
      <c r="J662" s="28"/>
      <c r="K662" s="29"/>
      <c r="L662" s="28"/>
      <c r="M662" s="19"/>
      <c r="N662" s="19"/>
      <c r="O662" s="48"/>
      <c r="Q662" s="21"/>
      <c r="S662" s="21"/>
      <c r="V662" s="46"/>
    </row>
    <row r="663" spans="9:22" x14ac:dyDescent="0.35">
      <c r="I663" s="52"/>
      <c r="J663" s="28"/>
      <c r="K663" s="29"/>
      <c r="L663" s="28"/>
      <c r="M663" s="19"/>
      <c r="N663" s="19"/>
      <c r="O663" s="48"/>
      <c r="Q663" s="21"/>
      <c r="S663" s="21"/>
      <c r="V663" s="46"/>
    </row>
    <row r="664" spans="9:22" x14ac:dyDescent="0.35">
      <c r="I664" s="52"/>
      <c r="J664" s="28"/>
      <c r="K664" s="29"/>
      <c r="L664" s="28"/>
      <c r="M664" s="19"/>
      <c r="N664" s="19"/>
      <c r="O664" s="48"/>
      <c r="Q664" s="21"/>
      <c r="S664" s="21"/>
      <c r="V664" s="46"/>
    </row>
    <row r="665" spans="9:22" x14ac:dyDescent="0.35">
      <c r="I665" s="52"/>
      <c r="J665" s="28"/>
      <c r="K665" s="29"/>
      <c r="L665" s="28"/>
      <c r="M665" s="19"/>
      <c r="N665" s="19"/>
      <c r="O665" s="48"/>
      <c r="Q665" s="21"/>
      <c r="S665" s="21"/>
      <c r="V665" s="46"/>
    </row>
    <row r="666" spans="9:22" x14ac:dyDescent="0.35">
      <c r="I666" s="52"/>
      <c r="J666" s="28"/>
      <c r="K666" s="29"/>
      <c r="L666" s="28"/>
      <c r="M666" s="19"/>
      <c r="N666" s="19"/>
      <c r="O666" s="48"/>
      <c r="Q666" s="21"/>
      <c r="S666" s="21"/>
      <c r="V666" s="46"/>
    </row>
    <row r="667" spans="9:22" x14ac:dyDescent="0.35">
      <c r="I667" s="52"/>
      <c r="J667" s="28"/>
      <c r="K667" s="29"/>
      <c r="L667" s="28"/>
      <c r="M667" s="19"/>
      <c r="N667" s="19"/>
      <c r="O667" s="48"/>
      <c r="Q667" s="21"/>
      <c r="S667" s="21"/>
      <c r="V667" s="46"/>
    </row>
    <row r="668" spans="9:22" x14ac:dyDescent="0.35">
      <c r="I668" s="52"/>
      <c r="J668" s="28"/>
      <c r="K668" s="29"/>
      <c r="L668" s="28"/>
      <c r="M668" s="19"/>
      <c r="N668" s="19"/>
      <c r="O668" s="48"/>
      <c r="Q668" s="21"/>
      <c r="S668" s="21"/>
      <c r="V668" s="46"/>
    </row>
    <row r="669" spans="9:22" x14ac:dyDescent="0.35">
      <c r="I669" s="52"/>
      <c r="J669" s="28"/>
      <c r="K669" s="29"/>
      <c r="L669" s="28"/>
      <c r="M669" s="19"/>
      <c r="N669" s="19"/>
      <c r="O669" s="48"/>
      <c r="Q669" s="21"/>
      <c r="S669" s="21"/>
      <c r="V669" s="46"/>
    </row>
    <row r="670" spans="9:22" x14ac:dyDescent="0.35">
      <c r="I670" s="52"/>
      <c r="J670" s="28"/>
      <c r="K670" s="29"/>
      <c r="L670" s="28"/>
      <c r="M670" s="19"/>
      <c r="N670" s="19"/>
      <c r="O670" s="48"/>
      <c r="Q670" s="21"/>
      <c r="S670" s="21"/>
      <c r="V670" s="46"/>
    </row>
    <row r="671" spans="9:22" x14ac:dyDescent="0.35">
      <c r="I671" s="52"/>
      <c r="J671" s="28"/>
      <c r="K671" s="29"/>
      <c r="L671" s="28"/>
      <c r="M671" s="19"/>
      <c r="N671" s="19"/>
      <c r="O671" s="48"/>
    </row>
    <row r="672" spans="9:22" x14ac:dyDescent="0.35">
      <c r="I672" s="52"/>
      <c r="J672" s="28"/>
      <c r="K672" s="29"/>
      <c r="L672" s="28"/>
      <c r="M672" s="19"/>
      <c r="N672" s="19"/>
      <c r="O672" s="48"/>
    </row>
    <row r="673" spans="9:15" x14ac:dyDescent="0.35">
      <c r="I673" s="52"/>
      <c r="J673" s="28"/>
      <c r="K673" s="29"/>
      <c r="L673" s="28"/>
      <c r="M673" s="19"/>
      <c r="N673" s="19"/>
      <c r="O673" s="48"/>
    </row>
    <row r="674" spans="9:15" x14ac:dyDescent="0.35">
      <c r="I674" s="52"/>
      <c r="J674" s="28"/>
      <c r="K674" s="29"/>
      <c r="L674" s="28"/>
      <c r="M674" s="19"/>
      <c r="N674" s="19"/>
      <c r="O674" s="48"/>
    </row>
    <row r="675" spans="9:15" x14ac:dyDescent="0.35">
      <c r="I675" s="52"/>
      <c r="J675" s="28"/>
      <c r="K675" s="29"/>
      <c r="L675" s="28"/>
      <c r="M675" s="19"/>
      <c r="N675" s="19"/>
      <c r="O675" s="48"/>
    </row>
    <row r="676" spans="9:15" x14ac:dyDescent="0.35">
      <c r="I676" s="52"/>
      <c r="J676" s="28"/>
      <c r="K676" s="29"/>
      <c r="L676" s="28"/>
      <c r="M676" s="19"/>
      <c r="N676" s="19"/>
      <c r="O676" s="48"/>
    </row>
    <row r="677" spans="9:15" x14ac:dyDescent="0.35">
      <c r="I677" s="52"/>
      <c r="J677" s="28"/>
      <c r="K677" s="29"/>
      <c r="L677" s="28"/>
      <c r="M677" s="19"/>
      <c r="N677" s="19"/>
      <c r="O677" s="48"/>
    </row>
    <row r="678" spans="9:15" x14ac:dyDescent="0.35">
      <c r="I678" s="52"/>
      <c r="J678" s="28"/>
      <c r="K678" s="29"/>
      <c r="L678" s="28"/>
      <c r="M678" s="19"/>
      <c r="N678" s="19"/>
      <c r="O678" s="48"/>
    </row>
    <row r="679" spans="9:15" x14ac:dyDescent="0.35">
      <c r="I679" s="52"/>
      <c r="J679" s="28"/>
      <c r="K679" s="29"/>
      <c r="L679" s="28"/>
      <c r="M679" s="19"/>
      <c r="N679" s="19"/>
      <c r="O679" s="48"/>
    </row>
    <row r="680" spans="9:15" x14ac:dyDescent="0.35">
      <c r="I680" s="52"/>
      <c r="J680" s="28"/>
      <c r="K680" s="29"/>
      <c r="L680" s="28"/>
      <c r="M680" s="19"/>
      <c r="N680" s="19"/>
      <c r="O680" s="48"/>
    </row>
    <row r="681" spans="9:15" x14ac:dyDescent="0.35">
      <c r="I681" s="52"/>
      <c r="J681" s="28"/>
      <c r="K681" s="29"/>
      <c r="L681" s="28"/>
      <c r="M681" s="19"/>
      <c r="N681" s="19"/>
      <c r="O681" s="48"/>
    </row>
    <row r="682" spans="9:15" x14ac:dyDescent="0.35">
      <c r="I682" s="52"/>
      <c r="J682" s="28"/>
      <c r="K682" s="29"/>
      <c r="L682" s="28"/>
      <c r="M682" s="19"/>
      <c r="N682" s="19"/>
      <c r="O682" s="48"/>
    </row>
    <row r="683" spans="9:15" x14ac:dyDescent="0.35">
      <c r="I683" s="52"/>
      <c r="J683" s="28"/>
      <c r="K683" s="29"/>
      <c r="L683" s="28"/>
      <c r="M683" s="19"/>
      <c r="N683" s="19"/>
      <c r="O683" s="48"/>
    </row>
    <row r="684" spans="9:15" x14ac:dyDescent="0.35">
      <c r="I684" s="52"/>
      <c r="J684" s="28"/>
      <c r="K684" s="29"/>
      <c r="L684" s="28"/>
      <c r="M684" s="19"/>
      <c r="N684" s="19"/>
      <c r="O684" s="48"/>
    </row>
    <row r="685" spans="9:15" x14ac:dyDescent="0.35">
      <c r="I685" s="52"/>
      <c r="J685" s="28"/>
      <c r="K685" s="29"/>
      <c r="L685" s="28"/>
      <c r="M685" s="19"/>
      <c r="N685" s="19"/>
      <c r="O685" s="48"/>
    </row>
    <row r="686" spans="9:15" x14ac:dyDescent="0.35">
      <c r="I686" s="52"/>
      <c r="J686" s="28"/>
      <c r="K686" s="29"/>
      <c r="L686" s="28"/>
      <c r="M686" s="19"/>
      <c r="N686" s="19"/>
      <c r="O686" s="48"/>
    </row>
    <row r="687" spans="9:15" x14ac:dyDescent="0.35">
      <c r="I687" s="52"/>
      <c r="J687" s="28"/>
      <c r="K687" s="29"/>
      <c r="L687" s="28"/>
      <c r="M687" s="19"/>
      <c r="N687" s="19"/>
      <c r="O687" s="48"/>
    </row>
    <row r="688" spans="9:15" x14ac:dyDescent="0.35">
      <c r="I688" s="52"/>
      <c r="J688" s="28"/>
      <c r="K688" s="29"/>
      <c r="L688" s="28"/>
      <c r="M688" s="19"/>
      <c r="N688" s="19"/>
      <c r="O688" s="48"/>
    </row>
    <row r="689" spans="9:15" x14ac:dyDescent="0.35">
      <c r="I689" s="52"/>
      <c r="J689" s="28"/>
      <c r="K689" s="29"/>
      <c r="L689" s="28"/>
      <c r="M689" s="19"/>
      <c r="N689" s="19"/>
      <c r="O689" s="48"/>
    </row>
    <row r="690" spans="9:15" x14ac:dyDescent="0.35">
      <c r="I690" s="52"/>
      <c r="J690" s="28"/>
      <c r="K690" s="29"/>
      <c r="L690" s="28"/>
      <c r="M690" s="19"/>
      <c r="N690" s="19"/>
      <c r="O690" s="48"/>
    </row>
    <row r="691" spans="9:15" x14ac:dyDescent="0.35">
      <c r="I691" s="52"/>
      <c r="J691" s="28"/>
      <c r="K691" s="29"/>
      <c r="L691" s="28"/>
      <c r="M691" s="19"/>
      <c r="N691" s="19"/>
      <c r="O691" s="48"/>
    </row>
    <row r="692" spans="9:15" x14ac:dyDescent="0.35">
      <c r="I692" s="52"/>
      <c r="J692" s="28"/>
      <c r="K692" s="29"/>
      <c r="L692" s="28"/>
      <c r="M692" s="19"/>
      <c r="N692" s="19"/>
      <c r="O692" s="48"/>
    </row>
    <row r="693" spans="9:15" x14ac:dyDescent="0.35">
      <c r="I693" s="52"/>
      <c r="J693" s="28"/>
      <c r="K693" s="29"/>
      <c r="L693" s="28"/>
      <c r="M693" s="19"/>
      <c r="N693" s="19"/>
      <c r="O693" s="48"/>
    </row>
    <row r="694" spans="9:15" x14ac:dyDescent="0.35">
      <c r="I694" s="52"/>
      <c r="J694" s="28"/>
      <c r="K694" s="29"/>
      <c r="L694" s="28"/>
      <c r="M694" s="19"/>
      <c r="N694" s="19"/>
      <c r="O694" s="48"/>
    </row>
    <row r="695" spans="9:15" x14ac:dyDescent="0.35">
      <c r="I695" s="52"/>
      <c r="J695" s="28"/>
      <c r="K695" s="29"/>
      <c r="L695" s="28"/>
      <c r="M695" s="19"/>
      <c r="N695" s="19"/>
      <c r="O695" s="48"/>
    </row>
    <row r="696" spans="9:15" x14ac:dyDescent="0.35">
      <c r="I696" s="52"/>
      <c r="J696" s="28"/>
      <c r="K696" s="29"/>
      <c r="L696" s="28"/>
      <c r="M696" s="19"/>
      <c r="N696" s="19"/>
      <c r="O696" s="48"/>
    </row>
    <row r="697" spans="9:15" x14ac:dyDescent="0.35">
      <c r="I697" s="52"/>
      <c r="J697" s="28"/>
      <c r="K697" s="29"/>
      <c r="L697" s="28"/>
      <c r="M697" s="19"/>
      <c r="N697" s="19"/>
      <c r="O697" s="48"/>
    </row>
    <row r="698" spans="9:15" x14ac:dyDescent="0.35">
      <c r="I698" s="52"/>
      <c r="J698" s="28"/>
      <c r="K698" s="29"/>
      <c r="L698" s="28"/>
      <c r="M698" s="19"/>
      <c r="N698" s="19"/>
      <c r="O698" s="48"/>
    </row>
    <row r="699" spans="9:15" x14ac:dyDescent="0.35">
      <c r="I699" s="52"/>
      <c r="J699" s="28"/>
      <c r="K699" s="29"/>
      <c r="L699" s="28"/>
      <c r="M699" s="19"/>
      <c r="N699" s="19"/>
      <c r="O699" s="48"/>
    </row>
    <row r="700" spans="9:15" x14ac:dyDescent="0.35">
      <c r="I700" s="52"/>
      <c r="J700" s="28"/>
      <c r="K700" s="29"/>
      <c r="L700" s="28"/>
      <c r="M700" s="19"/>
      <c r="N700" s="19"/>
      <c r="O700" s="48"/>
    </row>
    <row r="701" spans="9:15" x14ac:dyDescent="0.35">
      <c r="I701" s="52"/>
      <c r="J701" s="28"/>
      <c r="K701" s="29"/>
      <c r="L701" s="28"/>
      <c r="M701" s="19"/>
      <c r="N701" s="19"/>
      <c r="O701" s="48"/>
    </row>
    <row r="702" spans="9:15" x14ac:dyDescent="0.35">
      <c r="I702" s="52"/>
      <c r="J702" s="28"/>
      <c r="K702" s="29"/>
      <c r="L702" s="28"/>
      <c r="M702" s="19"/>
      <c r="N702" s="19"/>
      <c r="O702" s="48"/>
    </row>
    <row r="703" spans="9:15" x14ac:dyDescent="0.35">
      <c r="I703" s="52"/>
      <c r="J703" s="28"/>
      <c r="K703" s="29"/>
      <c r="L703" s="28"/>
      <c r="M703" s="19"/>
      <c r="N703" s="19"/>
      <c r="O703" s="48"/>
    </row>
    <row r="704" spans="9:15" x14ac:dyDescent="0.35">
      <c r="I704" s="52"/>
      <c r="J704" s="28"/>
      <c r="K704" s="29"/>
      <c r="L704" s="28"/>
      <c r="M704" s="19"/>
      <c r="N704" s="19"/>
      <c r="O704" s="48"/>
    </row>
    <row r="705" spans="9:15" x14ac:dyDescent="0.35">
      <c r="I705" s="52"/>
      <c r="J705" s="28"/>
      <c r="K705" s="29"/>
      <c r="L705" s="28"/>
      <c r="M705" s="19"/>
      <c r="N705" s="19"/>
      <c r="O705" s="48"/>
    </row>
    <row r="706" spans="9:15" x14ac:dyDescent="0.35">
      <c r="I706" s="52"/>
      <c r="J706" s="28"/>
      <c r="K706" s="29"/>
      <c r="L706" s="28"/>
      <c r="M706" s="19"/>
      <c r="N706" s="19"/>
      <c r="O706" s="48"/>
    </row>
    <row r="707" spans="9:15" x14ac:dyDescent="0.35">
      <c r="I707" s="52"/>
      <c r="J707" s="28"/>
      <c r="K707" s="29"/>
      <c r="L707" s="28"/>
      <c r="M707" s="19"/>
      <c r="N707" s="19"/>
      <c r="O707" s="48"/>
    </row>
    <row r="708" spans="9:15" x14ac:dyDescent="0.35">
      <c r="I708" s="52"/>
      <c r="J708" s="28"/>
      <c r="K708" s="29"/>
      <c r="L708" s="28"/>
      <c r="M708" s="19"/>
      <c r="N708" s="19"/>
      <c r="O708" s="48"/>
    </row>
    <row r="709" spans="9:15" x14ac:dyDescent="0.35">
      <c r="I709" s="52"/>
      <c r="J709" s="28"/>
      <c r="K709" s="29"/>
      <c r="L709" s="28"/>
      <c r="M709" s="19"/>
      <c r="N709" s="19"/>
      <c r="O709" s="48"/>
    </row>
    <row r="710" spans="9:15" x14ac:dyDescent="0.35">
      <c r="I710" s="52"/>
      <c r="J710" s="28"/>
      <c r="K710" s="29"/>
      <c r="L710" s="28"/>
      <c r="M710" s="19"/>
      <c r="N710" s="19"/>
      <c r="O710" s="48"/>
    </row>
    <row r="711" spans="9:15" x14ac:dyDescent="0.35">
      <c r="I711" s="52"/>
      <c r="J711" s="28"/>
      <c r="K711" s="29"/>
      <c r="L711" s="28"/>
      <c r="M711" s="19"/>
      <c r="N711" s="19"/>
      <c r="O711" s="48"/>
    </row>
    <row r="712" spans="9:15" x14ac:dyDescent="0.35">
      <c r="I712" s="52"/>
      <c r="J712" s="28"/>
      <c r="K712" s="29"/>
      <c r="L712" s="28"/>
      <c r="M712" s="19"/>
      <c r="N712" s="19"/>
      <c r="O712" s="48"/>
    </row>
    <row r="713" spans="9:15" x14ac:dyDescent="0.35">
      <c r="I713" s="52"/>
      <c r="J713" s="28"/>
      <c r="K713" s="29"/>
      <c r="L713" s="28"/>
      <c r="M713" s="19"/>
      <c r="N713" s="19"/>
      <c r="O713" s="48"/>
    </row>
    <row r="714" spans="9:15" x14ac:dyDescent="0.35">
      <c r="I714" s="52"/>
      <c r="J714" s="28"/>
      <c r="K714" s="29"/>
      <c r="L714" s="28"/>
      <c r="M714" s="19"/>
      <c r="N714" s="19"/>
      <c r="O714" s="48"/>
    </row>
    <row r="715" spans="9:15" x14ac:dyDescent="0.35">
      <c r="I715" s="52"/>
      <c r="J715" s="28"/>
      <c r="K715" s="29"/>
      <c r="L715" s="28"/>
      <c r="M715" s="19"/>
      <c r="N715" s="19"/>
      <c r="O715" s="48"/>
    </row>
    <row r="716" spans="9:15" x14ac:dyDescent="0.35">
      <c r="I716" s="52"/>
      <c r="J716" s="28"/>
      <c r="K716" s="29"/>
      <c r="L716" s="28"/>
      <c r="M716" s="19"/>
      <c r="N716" s="19"/>
      <c r="O716" s="48"/>
    </row>
    <row r="717" spans="9:15" x14ac:dyDescent="0.35">
      <c r="I717" s="52"/>
      <c r="J717" s="28"/>
      <c r="K717" s="29"/>
      <c r="L717" s="28"/>
      <c r="M717" s="19"/>
      <c r="N717" s="19"/>
      <c r="O717" s="48"/>
    </row>
    <row r="718" spans="9:15" x14ac:dyDescent="0.35">
      <c r="I718" s="52"/>
      <c r="J718" s="28"/>
      <c r="K718" s="29"/>
      <c r="L718" s="28"/>
      <c r="M718" s="19"/>
      <c r="N718" s="19"/>
      <c r="O718" s="48"/>
    </row>
    <row r="719" spans="9:15" x14ac:dyDescent="0.35">
      <c r="I719" s="52"/>
      <c r="J719" s="28"/>
      <c r="K719" s="29"/>
      <c r="L719" s="28"/>
      <c r="M719" s="19"/>
      <c r="N719" s="19"/>
      <c r="O719" s="48"/>
    </row>
    <row r="720" spans="9:15" x14ac:dyDescent="0.35">
      <c r="I720" s="52"/>
      <c r="J720" s="28"/>
      <c r="K720" s="29"/>
      <c r="L720" s="28"/>
      <c r="M720" s="19"/>
      <c r="N720" s="19"/>
      <c r="O720" s="48"/>
    </row>
    <row r="721" spans="9:15" x14ac:dyDescent="0.35">
      <c r="I721" s="52"/>
      <c r="J721" s="28"/>
      <c r="K721" s="29"/>
      <c r="L721" s="28"/>
      <c r="M721" s="19"/>
      <c r="N721" s="19"/>
      <c r="O721" s="48"/>
    </row>
    <row r="722" spans="9:15" x14ac:dyDescent="0.35">
      <c r="I722" s="52"/>
      <c r="J722" s="28"/>
      <c r="K722" s="29"/>
      <c r="L722" s="28"/>
      <c r="M722" s="19"/>
      <c r="N722" s="19"/>
      <c r="O722" s="48"/>
    </row>
    <row r="723" spans="9:15" x14ac:dyDescent="0.35">
      <c r="I723" s="52"/>
      <c r="J723" s="28"/>
      <c r="K723" s="29"/>
      <c r="L723" s="28"/>
      <c r="M723" s="19"/>
      <c r="N723" s="19"/>
      <c r="O723" s="48"/>
    </row>
    <row r="724" spans="9:15" x14ac:dyDescent="0.35">
      <c r="I724" s="52"/>
      <c r="J724" s="28"/>
      <c r="K724" s="29"/>
      <c r="L724" s="28"/>
      <c r="M724" s="19"/>
      <c r="N724" s="19"/>
      <c r="O724" s="48"/>
    </row>
    <row r="725" spans="9:15" x14ac:dyDescent="0.35">
      <c r="I725" s="52"/>
      <c r="J725" s="28"/>
      <c r="K725" s="29"/>
      <c r="L725" s="28"/>
      <c r="M725" s="19"/>
      <c r="N725" s="19"/>
      <c r="O725" s="48"/>
    </row>
    <row r="726" spans="9:15" x14ac:dyDescent="0.35">
      <c r="I726" s="52"/>
      <c r="J726" s="28"/>
      <c r="K726" s="29"/>
      <c r="L726" s="28"/>
      <c r="M726" s="19"/>
      <c r="N726" s="19"/>
      <c r="O726" s="48"/>
    </row>
    <row r="727" spans="9:15" x14ac:dyDescent="0.35">
      <c r="I727" s="52"/>
      <c r="J727" s="28"/>
      <c r="K727" s="29"/>
      <c r="L727" s="28"/>
      <c r="M727" s="19"/>
      <c r="N727" s="19"/>
      <c r="O727" s="48"/>
    </row>
    <row r="728" spans="9:15" x14ac:dyDescent="0.35">
      <c r="I728" s="52"/>
      <c r="J728" s="28"/>
      <c r="K728" s="29"/>
      <c r="L728" s="28"/>
      <c r="M728" s="19"/>
      <c r="N728" s="19"/>
      <c r="O728" s="48"/>
    </row>
    <row r="729" spans="9:15" x14ac:dyDescent="0.35">
      <c r="I729" s="52"/>
      <c r="J729" s="28"/>
      <c r="K729" s="29"/>
      <c r="L729" s="28"/>
      <c r="M729" s="19"/>
      <c r="N729" s="19"/>
      <c r="O729" s="48"/>
    </row>
    <row r="730" spans="9:15" x14ac:dyDescent="0.35">
      <c r="I730" s="52"/>
      <c r="J730" s="28"/>
      <c r="K730" s="29"/>
      <c r="L730" s="28"/>
      <c r="M730" s="19"/>
      <c r="N730" s="19"/>
      <c r="O730" s="48"/>
    </row>
    <row r="731" spans="9:15" x14ac:dyDescent="0.35">
      <c r="I731" s="52"/>
      <c r="J731" s="28"/>
      <c r="K731" s="29"/>
      <c r="L731" s="28"/>
      <c r="M731" s="19"/>
      <c r="N731" s="19"/>
      <c r="O731" s="48"/>
    </row>
    <row r="732" spans="9:15" x14ac:dyDescent="0.35">
      <c r="I732" s="52"/>
      <c r="J732" s="28"/>
      <c r="K732" s="29"/>
      <c r="L732" s="28"/>
      <c r="M732" s="19"/>
      <c r="N732" s="19"/>
      <c r="O732" s="48"/>
    </row>
    <row r="733" spans="9:15" x14ac:dyDescent="0.35">
      <c r="I733" s="52"/>
      <c r="J733" s="28"/>
      <c r="K733" s="29"/>
      <c r="L733" s="28"/>
      <c r="M733" s="19"/>
      <c r="N733" s="19"/>
      <c r="O733" s="48"/>
    </row>
    <row r="734" spans="9:15" x14ac:dyDescent="0.35">
      <c r="I734" s="52"/>
      <c r="J734" s="28"/>
      <c r="K734" s="29"/>
      <c r="L734" s="28"/>
      <c r="M734" s="19"/>
      <c r="N734" s="19"/>
      <c r="O734" s="48"/>
    </row>
    <row r="735" spans="9:15" x14ac:dyDescent="0.35">
      <c r="I735" s="52"/>
      <c r="J735" s="28"/>
      <c r="K735" s="29"/>
      <c r="L735" s="28"/>
      <c r="M735" s="19"/>
      <c r="N735" s="19"/>
      <c r="O735" s="48"/>
    </row>
    <row r="736" spans="9:15" x14ac:dyDescent="0.35">
      <c r="I736" s="52"/>
      <c r="J736" s="28"/>
      <c r="K736" s="29"/>
      <c r="L736" s="28"/>
      <c r="M736" s="19"/>
      <c r="N736" s="19"/>
      <c r="O736" s="48"/>
    </row>
    <row r="737" spans="9:15" x14ac:dyDescent="0.35">
      <c r="I737" s="52"/>
      <c r="J737" s="28"/>
      <c r="K737" s="29"/>
      <c r="L737" s="28"/>
      <c r="M737" s="19"/>
      <c r="N737" s="19"/>
      <c r="O737" s="48"/>
    </row>
    <row r="738" spans="9:15" x14ac:dyDescent="0.35">
      <c r="I738" s="52"/>
      <c r="J738" s="28"/>
      <c r="K738" s="29"/>
      <c r="L738" s="28"/>
      <c r="M738" s="19"/>
      <c r="N738" s="19"/>
      <c r="O738" s="48"/>
    </row>
    <row r="739" spans="9:15" x14ac:dyDescent="0.35">
      <c r="I739" s="52"/>
      <c r="J739" s="28"/>
      <c r="K739" s="29"/>
      <c r="L739" s="28"/>
      <c r="M739" s="19"/>
      <c r="N739" s="19"/>
      <c r="O739" s="48"/>
    </row>
    <row r="740" spans="9:15" x14ac:dyDescent="0.35">
      <c r="I740" s="52"/>
      <c r="J740" s="28"/>
      <c r="K740" s="29"/>
      <c r="L740" s="28"/>
      <c r="M740" s="19"/>
      <c r="N740" s="19"/>
      <c r="O740" s="48"/>
    </row>
    <row r="741" spans="9:15" x14ac:dyDescent="0.35">
      <c r="I741" s="52"/>
      <c r="J741" s="28"/>
      <c r="K741" s="29"/>
      <c r="L741" s="28"/>
      <c r="M741" s="19"/>
      <c r="N741" s="19"/>
      <c r="O741" s="48"/>
    </row>
    <row r="742" spans="9:15" x14ac:dyDescent="0.35">
      <c r="I742" s="52"/>
      <c r="J742" s="28"/>
      <c r="K742" s="29"/>
      <c r="L742" s="28"/>
      <c r="M742" s="19"/>
      <c r="N742" s="19"/>
      <c r="O742" s="48"/>
    </row>
    <row r="743" spans="9:15" x14ac:dyDescent="0.35">
      <c r="I743" s="52"/>
      <c r="J743" s="28"/>
      <c r="K743" s="29"/>
      <c r="L743" s="28"/>
      <c r="M743" s="19"/>
      <c r="N743" s="19"/>
      <c r="O743" s="48"/>
    </row>
    <row r="744" spans="9:15" x14ac:dyDescent="0.35">
      <c r="I744" s="52"/>
      <c r="J744" s="28"/>
      <c r="K744" s="29"/>
      <c r="L744" s="28"/>
      <c r="M744" s="19"/>
      <c r="N744" s="19"/>
      <c r="O744" s="48"/>
    </row>
    <row r="745" spans="9:15" x14ac:dyDescent="0.35">
      <c r="I745" s="52"/>
      <c r="J745" s="28"/>
      <c r="K745" s="29"/>
      <c r="L745" s="28"/>
      <c r="M745" s="19"/>
      <c r="N745" s="19"/>
      <c r="O745" s="48"/>
    </row>
    <row r="746" spans="9:15" x14ac:dyDescent="0.35">
      <c r="I746" s="52"/>
      <c r="J746" s="28"/>
      <c r="K746" s="29"/>
      <c r="L746" s="28"/>
      <c r="M746" s="19"/>
      <c r="N746" s="19"/>
      <c r="O746" s="48"/>
    </row>
    <row r="747" spans="9:15" x14ac:dyDescent="0.35">
      <c r="I747" s="52"/>
      <c r="J747" s="28"/>
      <c r="K747" s="29"/>
      <c r="L747" s="28"/>
      <c r="M747" s="19"/>
      <c r="N747" s="19"/>
      <c r="O747" s="48"/>
    </row>
    <row r="748" spans="9:15" x14ac:dyDescent="0.35">
      <c r="I748" s="52"/>
      <c r="J748" s="28"/>
      <c r="K748" s="29"/>
      <c r="L748" s="28"/>
      <c r="M748" s="19"/>
      <c r="N748" s="19"/>
      <c r="O748" s="48"/>
    </row>
    <row r="749" spans="9:15" x14ac:dyDescent="0.35">
      <c r="I749" s="52"/>
      <c r="J749" s="28"/>
      <c r="K749" s="29"/>
      <c r="L749" s="28"/>
      <c r="M749" s="19"/>
      <c r="N749" s="19"/>
      <c r="O749" s="48"/>
    </row>
    <row r="750" spans="9:15" x14ac:dyDescent="0.35">
      <c r="I750" s="52"/>
      <c r="J750" s="28"/>
      <c r="K750" s="29"/>
      <c r="L750" s="28"/>
      <c r="M750" s="19"/>
      <c r="N750" s="19"/>
      <c r="O750" s="48"/>
    </row>
    <row r="751" spans="9:15" x14ac:dyDescent="0.35">
      <c r="I751" s="52"/>
      <c r="J751" s="28"/>
      <c r="K751" s="29"/>
      <c r="L751" s="28"/>
      <c r="M751" s="19"/>
      <c r="N751" s="19"/>
      <c r="O751" s="48"/>
    </row>
    <row r="752" spans="9:15" x14ac:dyDescent="0.35">
      <c r="I752" s="52"/>
      <c r="J752" s="28"/>
      <c r="K752" s="29"/>
      <c r="L752" s="28"/>
      <c r="M752" s="19"/>
      <c r="N752" s="19"/>
      <c r="O752" s="48"/>
    </row>
    <row r="753" spans="9:15" x14ac:dyDescent="0.35">
      <c r="I753" s="52"/>
      <c r="J753" s="28"/>
      <c r="K753" s="29"/>
      <c r="L753" s="28"/>
      <c r="M753" s="19"/>
      <c r="N753" s="19"/>
      <c r="O753" s="48"/>
    </row>
    <row r="754" spans="9:15" x14ac:dyDescent="0.35">
      <c r="I754" s="52"/>
      <c r="J754" s="28"/>
      <c r="K754" s="29"/>
      <c r="L754" s="28"/>
      <c r="M754" s="19"/>
      <c r="N754" s="19"/>
      <c r="O754" s="48"/>
    </row>
    <row r="755" spans="9:15" x14ac:dyDescent="0.35">
      <c r="I755" s="52"/>
      <c r="J755" s="28"/>
      <c r="K755" s="29"/>
      <c r="L755" s="28"/>
      <c r="M755" s="19"/>
      <c r="N755" s="19"/>
      <c r="O755" s="48"/>
    </row>
    <row r="756" spans="9:15" x14ac:dyDescent="0.35">
      <c r="I756" s="52"/>
      <c r="J756" s="28"/>
      <c r="K756" s="29"/>
      <c r="L756" s="28"/>
      <c r="M756" s="19"/>
      <c r="N756" s="19"/>
      <c r="O756" s="48"/>
    </row>
    <row r="757" spans="9:15" x14ac:dyDescent="0.35">
      <c r="I757" s="52"/>
      <c r="J757" s="28"/>
      <c r="K757" s="29"/>
      <c r="L757" s="28"/>
      <c r="M757" s="19"/>
      <c r="N757" s="19"/>
      <c r="O757" s="48"/>
    </row>
    <row r="758" spans="9:15" x14ac:dyDescent="0.35">
      <c r="I758" s="52"/>
      <c r="J758" s="28"/>
      <c r="K758" s="29"/>
      <c r="L758" s="28"/>
      <c r="M758" s="19"/>
      <c r="N758" s="19"/>
      <c r="O758" s="48"/>
    </row>
    <row r="759" spans="9:15" x14ac:dyDescent="0.35">
      <c r="I759" s="52"/>
      <c r="J759" s="28"/>
      <c r="K759" s="29"/>
      <c r="L759" s="28"/>
      <c r="M759" s="19"/>
      <c r="N759" s="19"/>
      <c r="O759" s="48"/>
    </row>
    <row r="760" spans="9:15" x14ac:dyDescent="0.35">
      <c r="I760" s="52"/>
      <c r="J760" s="28"/>
      <c r="K760" s="29"/>
      <c r="L760" s="28"/>
      <c r="M760" s="19"/>
      <c r="N760" s="19"/>
      <c r="O760" s="48"/>
    </row>
    <row r="761" spans="9:15" x14ac:dyDescent="0.35">
      <c r="I761" s="52"/>
      <c r="J761" s="28"/>
      <c r="K761" s="29"/>
      <c r="L761" s="28"/>
      <c r="M761" s="19"/>
      <c r="N761" s="19"/>
      <c r="O761" s="48"/>
    </row>
    <row r="762" spans="9:15" x14ac:dyDescent="0.35">
      <c r="I762" s="52"/>
      <c r="J762" s="28"/>
      <c r="K762" s="29"/>
      <c r="L762" s="28"/>
      <c r="M762" s="19"/>
      <c r="N762" s="19"/>
      <c r="O762" s="48"/>
    </row>
    <row r="763" spans="9:15" x14ac:dyDescent="0.35">
      <c r="I763" s="52"/>
      <c r="J763" s="28"/>
      <c r="K763" s="29"/>
      <c r="L763" s="28"/>
      <c r="M763" s="19"/>
      <c r="N763" s="19"/>
      <c r="O763" s="48"/>
    </row>
    <row r="764" spans="9:15" x14ac:dyDescent="0.35">
      <c r="I764" s="52"/>
      <c r="J764" s="28"/>
      <c r="K764" s="29"/>
      <c r="L764" s="28"/>
      <c r="M764" s="19"/>
      <c r="N764" s="19"/>
      <c r="O764" s="48"/>
    </row>
    <row r="765" spans="9:15" x14ac:dyDescent="0.35">
      <c r="I765" s="52"/>
      <c r="J765" s="28"/>
      <c r="K765" s="29"/>
      <c r="L765" s="28"/>
      <c r="M765" s="19"/>
      <c r="N765" s="19"/>
      <c r="O765" s="48"/>
    </row>
    <row r="766" spans="9:15" x14ac:dyDescent="0.35">
      <c r="I766" s="52"/>
      <c r="J766" s="28"/>
      <c r="K766" s="29"/>
      <c r="L766" s="28"/>
      <c r="M766" s="19"/>
      <c r="N766" s="19"/>
      <c r="O766" s="48"/>
    </row>
    <row r="767" spans="9:15" x14ac:dyDescent="0.35">
      <c r="I767" s="52"/>
      <c r="J767" s="28"/>
      <c r="K767" s="29"/>
      <c r="L767" s="28"/>
      <c r="M767" s="19"/>
      <c r="N767" s="19"/>
      <c r="O767" s="48"/>
    </row>
    <row r="768" spans="9:15" x14ac:dyDescent="0.35">
      <c r="I768" s="52"/>
      <c r="J768" s="28"/>
      <c r="K768" s="29"/>
      <c r="L768" s="28"/>
      <c r="M768" s="19"/>
      <c r="N768" s="19"/>
      <c r="O768" s="48"/>
    </row>
    <row r="769" spans="9:15" x14ac:dyDescent="0.35">
      <c r="I769" s="52"/>
      <c r="J769" s="28"/>
      <c r="K769" s="29"/>
      <c r="L769" s="28"/>
      <c r="M769" s="19"/>
      <c r="N769" s="19"/>
      <c r="O769" s="48"/>
    </row>
    <row r="770" spans="9:15" x14ac:dyDescent="0.35">
      <c r="I770" s="52"/>
      <c r="J770" s="28"/>
      <c r="K770" s="29"/>
      <c r="L770" s="28"/>
      <c r="M770" s="19"/>
      <c r="N770" s="19"/>
      <c r="O770" s="48"/>
    </row>
    <row r="771" spans="9:15" x14ac:dyDescent="0.35">
      <c r="I771" s="52"/>
      <c r="J771" s="28"/>
      <c r="K771" s="29"/>
      <c r="L771" s="28"/>
      <c r="M771" s="19"/>
      <c r="N771" s="19"/>
      <c r="O771" s="48"/>
    </row>
    <row r="772" spans="9:15" x14ac:dyDescent="0.35">
      <c r="I772" s="52"/>
      <c r="J772" s="28"/>
      <c r="K772" s="29"/>
      <c r="L772" s="28"/>
      <c r="M772" s="19"/>
      <c r="N772" s="19"/>
      <c r="O772" s="48"/>
    </row>
    <row r="773" spans="9:15" x14ac:dyDescent="0.35">
      <c r="I773" s="52"/>
      <c r="J773" s="28"/>
      <c r="K773" s="29"/>
      <c r="L773" s="28"/>
      <c r="M773" s="19"/>
      <c r="N773" s="19"/>
      <c r="O773" s="48"/>
    </row>
    <row r="774" spans="9:15" x14ac:dyDescent="0.35">
      <c r="I774" s="52"/>
      <c r="J774" s="28"/>
      <c r="K774" s="29"/>
      <c r="L774" s="28"/>
      <c r="M774" s="19"/>
      <c r="N774" s="19"/>
      <c r="O774" s="48"/>
    </row>
    <row r="775" spans="9:15" x14ac:dyDescent="0.35">
      <c r="I775" s="52"/>
      <c r="J775" s="28"/>
      <c r="K775" s="29"/>
      <c r="L775" s="28"/>
      <c r="M775" s="19"/>
      <c r="N775" s="19"/>
      <c r="O775" s="48"/>
    </row>
    <row r="776" spans="9:15" x14ac:dyDescent="0.35">
      <c r="I776" s="52"/>
      <c r="J776" s="28"/>
      <c r="K776" s="29"/>
      <c r="L776" s="28"/>
      <c r="M776" s="19"/>
      <c r="N776" s="19"/>
      <c r="O776" s="48"/>
    </row>
    <row r="777" spans="9:15" x14ac:dyDescent="0.35">
      <c r="I777" s="52"/>
      <c r="J777" s="28"/>
      <c r="K777" s="29"/>
      <c r="L777" s="28"/>
      <c r="M777" s="19"/>
      <c r="N777" s="19"/>
      <c r="O777" s="48"/>
    </row>
    <row r="778" spans="9:15" x14ac:dyDescent="0.35">
      <c r="I778" s="52"/>
      <c r="J778" s="28"/>
      <c r="K778" s="29"/>
      <c r="L778" s="28"/>
      <c r="M778" s="19"/>
      <c r="N778" s="19"/>
      <c r="O778" s="48"/>
    </row>
    <row r="779" spans="9:15" x14ac:dyDescent="0.35">
      <c r="I779" s="52"/>
      <c r="J779" s="28"/>
      <c r="K779" s="29"/>
      <c r="L779" s="28"/>
      <c r="M779" s="19"/>
      <c r="N779" s="19"/>
      <c r="O779" s="48"/>
    </row>
    <row r="780" spans="9:15" x14ac:dyDescent="0.35">
      <c r="I780" s="52"/>
      <c r="J780" s="28"/>
      <c r="K780" s="29"/>
      <c r="L780" s="28"/>
      <c r="M780" s="19"/>
      <c r="N780" s="19"/>
      <c r="O780" s="48"/>
    </row>
    <row r="781" spans="9:15" x14ac:dyDescent="0.35">
      <c r="I781" s="52"/>
      <c r="J781" s="28"/>
      <c r="K781" s="29"/>
      <c r="L781" s="28"/>
      <c r="M781" s="19"/>
      <c r="N781" s="19"/>
      <c r="O781" s="48"/>
    </row>
    <row r="782" spans="9:15" x14ac:dyDescent="0.35">
      <c r="I782" s="52"/>
      <c r="J782" s="28"/>
      <c r="K782" s="29"/>
      <c r="L782" s="28"/>
      <c r="M782" s="19"/>
      <c r="N782" s="19"/>
      <c r="O782" s="48"/>
    </row>
    <row r="783" spans="9:15" x14ac:dyDescent="0.35">
      <c r="I783" s="52"/>
      <c r="J783" s="28"/>
      <c r="K783" s="29"/>
      <c r="L783" s="28"/>
      <c r="M783" s="19"/>
      <c r="N783" s="19"/>
      <c r="O783" s="48"/>
    </row>
    <row r="784" spans="9:15" x14ac:dyDescent="0.35">
      <c r="I784" s="52"/>
      <c r="J784" s="28"/>
      <c r="K784" s="29"/>
      <c r="L784" s="28"/>
      <c r="M784" s="19"/>
      <c r="N784" s="19"/>
      <c r="O784" s="48"/>
    </row>
    <row r="785" spans="9:15" x14ac:dyDescent="0.35">
      <c r="I785" s="52"/>
      <c r="J785" s="28"/>
      <c r="K785" s="29"/>
      <c r="L785" s="28"/>
      <c r="M785" s="19"/>
      <c r="N785" s="19"/>
      <c r="O785" s="48"/>
    </row>
    <row r="786" spans="9:15" x14ac:dyDescent="0.35">
      <c r="I786" s="52"/>
      <c r="J786" s="28"/>
      <c r="K786" s="29"/>
      <c r="L786" s="28"/>
      <c r="M786" s="19"/>
      <c r="N786" s="19"/>
      <c r="O786" s="48"/>
    </row>
    <row r="787" spans="9:15" x14ac:dyDescent="0.35">
      <c r="I787" s="52"/>
      <c r="J787" s="28"/>
      <c r="K787" s="29"/>
      <c r="L787" s="28"/>
      <c r="M787" s="19"/>
      <c r="N787" s="19"/>
      <c r="O787" s="48"/>
    </row>
    <row r="788" spans="9:15" x14ac:dyDescent="0.35">
      <c r="I788" s="52"/>
      <c r="J788" s="28"/>
      <c r="K788" s="29"/>
      <c r="L788" s="28"/>
      <c r="M788" s="19"/>
      <c r="N788" s="19"/>
      <c r="O788" s="48"/>
    </row>
    <row r="789" spans="9:15" x14ac:dyDescent="0.35">
      <c r="I789" s="52"/>
      <c r="J789" s="28"/>
      <c r="K789" s="29"/>
      <c r="L789" s="28"/>
      <c r="M789" s="19"/>
      <c r="N789" s="19"/>
      <c r="O789" s="48"/>
    </row>
    <row r="790" spans="9:15" x14ac:dyDescent="0.35">
      <c r="I790" s="52"/>
      <c r="J790" s="28"/>
      <c r="K790" s="29"/>
      <c r="L790" s="28"/>
      <c r="M790" s="19"/>
      <c r="N790" s="19"/>
      <c r="O790" s="48"/>
    </row>
    <row r="791" spans="9:15" x14ac:dyDescent="0.35">
      <c r="I791" s="52"/>
      <c r="J791" s="28"/>
      <c r="K791" s="29"/>
      <c r="L791" s="28"/>
      <c r="M791" s="19"/>
      <c r="N791" s="19"/>
      <c r="O791" s="48"/>
    </row>
    <row r="792" spans="9:15" x14ac:dyDescent="0.35">
      <c r="I792" s="52"/>
      <c r="J792" s="28"/>
      <c r="K792" s="29"/>
      <c r="L792" s="28"/>
      <c r="M792" s="19"/>
      <c r="N792" s="19"/>
      <c r="O792" s="48"/>
    </row>
    <row r="793" spans="9:15" x14ac:dyDescent="0.35">
      <c r="I793" s="52"/>
      <c r="J793" s="28"/>
      <c r="K793" s="29"/>
      <c r="L793" s="28"/>
      <c r="M793" s="19"/>
      <c r="N793" s="19"/>
      <c r="O793" s="48"/>
    </row>
    <row r="794" spans="9:15" x14ac:dyDescent="0.35">
      <c r="I794" s="52"/>
      <c r="J794" s="28"/>
      <c r="K794" s="29"/>
      <c r="L794" s="28"/>
      <c r="M794" s="19"/>
      <c r="N794" s="19"/>
      <c r="O794" s="48"/>
    </row>
    <row r="795" spans="9:15" x14ac:dyDescent="0.35">
      <c r="I795" s="52"/>
      <c r="J795" s="28"/>
      <c r="K795" s="29"/>
      <c r="L795" s="28"/>
      <c r="M795" s="19"/>
      <c r="N795" s="19"/>
      <c r="O795" s="48"/>
    </row>
    <row r="796" spans="9:15" x14ac:dyDescent="0.35">
      <c r="I796" s="52"/>
      <c r="J796" s="28"/>
      <c r="K796" s="29"/>
      <c r="L796" s="28"/>
      <c r="M796" s="19"/>
      <c r="N796" s="19"/>
      <c r="O796" s="48"/>
    </row>
    <row r="797" spans="9:15" x14ac:dyDescent="0.35">
      <c r="I797" s="52"/>
      <c r="J797" s="28"/>
      <c r="K797" s="29"/>
      <c r="L797" s="28"/>
      <c r="M797" s="19"/>
      <c r="N797" s="19"/>
      <c r="O797" s="48"/>
    </row>
    <row r="798" spans="9:15" x14ac:dyDescent="0.35">
      <c r="I798" s="52"/>
      <c r="J798" s="28"/>
      <c r="K798" s="29"/>
      <c r="L798" s="28"/>
      <c r="M798" s="19"/>
      <c r="N798" s="19"/>
      <c r="O798" s="48"/>
    </row>
    <row r="799" spans="9:15" x14ac:dyDescent="0.35">
      <c r="I799" s="52"/>
      <c r="J799" s="28"/>
      <c r="K799" s="29"/>
      <c r="L799" s="28"/>
      <c r="M799" s="19"/>
      <c r="N799" s="19"/>
      <c r="O799" s="48"/>
    </row>
    <row r="800" spans="9:15" x14ac:dyDescent="0.35">
      <c r="I800" s="52"/>
      <c r="J800" s="28"/>
      <c r="K800" s="29"/>
      <c r="L800" s="28"/>
      <c r="M800" s="19"/>
      <c r="N800" s="19"/>
      <c r="O800" s="48"/>
    </row>
    <row r="801" spans="9:15" x14ac:dyDescent="0.35">
      <c r="I801" s="52"/>
      <c r="J801" s="28"/>
      <c r="K801" s="29"/>
      <c r="L801" s="28"/>
      <c r="M801" s="19"/>
      <c r="N801" s="19"/>
      <c r="O801" s="48"/>
    </row>
    <row r="802" spans="9:15" x14ac:dyDescent="0.35">
      <c r="I802" s="52"/>
      <c r="J802" s="28"/>
      <c r="K802" s="29"/>
      <c r="L802" s="28"/>
      <c r="M802" s="19"/>
      <c r="N802" s="19"/>
      <c r="O802" s="48"/>
    </row>
    <row r="803" spans="9:15" x14ac:dyDescent="0.35">
      <c r="I803" s="52"/>
      <c r="J803" s="28"/>
      <c r="K803" s="29"/>
      <c r="L803" s="28"/>
      <c r="M803" s="19"/>
      <c r="N803" s="19"/>
      <c r="O803" s="48"/>
    </row>
    <row r="804" spans="9:15" x14ac:dyDescent="0.35">
      <c r="I804" s="52"/>
      <c r="J804" s="28"/>
      <c r="K804" s="29"/>
      <c r="L804" s="28"/>
      <c r="M804" s="19"/>
      <c r="N804" s="19"/>
      <c r="O804" s="48"/>
    </row>
    <row r="805" spans="9:15" x14ac:dyDescent="0.35">
      <c r="I805" s="52"/>
      <c r="J805" s="28"/>
      <c r="K805" s="29"/>
      <c r="L805" s="28"/>
      <c r="M805" s="19"/>
      <c r="N805" s="19"/>
      <c r="O805" s="48"/>
    </row>
    <row r="806" spans="9:15" x14ac:dyDescent="0.35">
      <c r="I806" s="52"/>
      <c r="J806" s="28"/>
      <c r="K806" s="29"/>
      <c r="L806" s="28"/>
      <c r="M806" s="19"/>
      <c r="N806" s="19"/>
      <c r="O806" s="48"/>
    </row>
    <row r="807" spans="9:15" x14ac:dyDescent="0.35">
      <c r="I807" s="52"/>
      <c r="J807" s="28"/>
      <c r="K807" s="29"/>
      <c r="L807" s="28"/>
      <c r="M807" s="19"/>
      <c r="N807" s="19"/>
      <c r="O807" s="48"/>
    </row>
    <row r="808" spans="9:15" x14ac:dyDescent="0.35">
      <c r="I808" s="52"/>
      <c r="J808" s="28"/>
      <c r="K808" s="29"/>
      <c r="L808" s="28"/>
      <c r="M808" s="19"/>
      <c r="N808" s="19"/>
      <c r="O808" s="48"/>
    </row>
    <row r="809" spans="9:15" x14ac:dyDescent="0.35">
      <c r="I809" s="52"/>
      <c r="J809" s="28"/>
      <c r="K809" s="29"/>
      <c r="L809" s="28"/>
      <c r="M809" s="19"/>
      <c r="N809" s="19"/>
      <c r="O809" s="48"/>
    </row>
    <row r="810" spans="9:15" x14ac:dyDescent="0.35">
      <c r="I810" s="52"/>
      <c r="J810" s="28"/>
      <c r="K810" s="29"/>
      <c r="L810" s="28"/>
      <c r="M810" s="19"/>
      <c r="N810" s="19"/>
      <c r="O810" s="48"/>
    </row>
    <row r="811" spans="9:15" x14ac:dyDescent="0.35">
      <c r="I811" s="52"/>
      <c r="J811" s="28"/>
      <c r="K811" s="29"/>
      <c r="L811" s="28"/>
      <c r="M811" s="19"/>
      <c r="N811" s="19"/>
      <c r="O811" s="48"/>
    </row>
    <row r="812" spans="9:15" x14ac:dyDescent="0.35">
      <c r="I812" s="52"/>
      <c r="J812" s="28"/>
      <c r="K812" s="29"/>
      <c r="L812" s="28"/>
      <c r="M812" s="19"/>
      <c r="N812" s="19"/>
      <c r="O812" s="48"/>
    </row>
    <row r="813" spans="9:15" x14ac:dyDescent="0.35">
      <c r="I813" s="52"/>
      <c r="J813" s="28"/>
      <c r="K813" s="29"/>
      <c r="L813" s="28"/>
      <c r="M813" s="19"/>
      <c r="N813" s="19"/>
      <c r="O813" s="48"/>
    </row>
    <row r="814" spans="9:15" x14ac:dyDescent="0.35">
      <c r="I814" s="52"/>
      <c r="J814" s="28"/>
      <c r="K814" s="29"/>
      <c r="L814" s="28"/>
      <c r="M814" s="19"/>
      <c r="N814" s="19"/>
      <c r="O814" s="48"/>
    </row>
    <row r="815" spans="9:15" x14ac:dyDescent="0.35">
      <c r="I815" s="52"/>
      <c r="J815" s="28"/>
      <c r="K815" s="29"/>
      <c r="L815" s="28"/>
      <c r="M815" s="19"/>
      <c r="N815" s="19"/>
      <c r="O815" s="48"/>
    </row>
    <row r="816" spans="9:15" x14ac:dyDescent="0.35">
      <c r="I816" s="52"/>
      <c r="J816" s="28"/>
      <c r="K816" s="29"/>
      <c r="L816" s="28"/>
      <c r="M816" s="19"/>
      <c r="N816" s="19"/>
      <c r="O816" s="48"/>
    </row>
    <row r="817" spans="9:15" x14ac:dyDescent="0.35">
      <c r="I817" s="52"/>
      <c r="J817" s="28"/>
      <c r="K817" s="29"/>
      <c r="L817" s="28"/>
      <c r="M817" s="19"/>
      <c r="N817" s="19"/>
      <c r="O817" s="48"/>
    </row>
    <row r="818" spans="9:15" x14ac:dyDescent="0.35">
      <c r="I818" s="52"/>
      <c r="J818" s="28"/>
      <c r="K818" s="29"/>
      <c r="L818" s="28"/>
      <c r="M818" s="19"/>
      <c r="N818" s="19"/>
      <c r="O818" s="48"/>
    </row>
    <row r="819" spans="9:15" x14ac:dyDescent="0.35">
      <c r="I819" s="52"/>
      <c r="J819" s="28"/>
      <c r="K819" s="29"/>
      <c r="L819" s="28"/>
      <c r="M819" s="19"/>
      <c r="N819" s="19"/>
      <c r="O819" s="48"/>
    </row>
    <row r="820" spans="9:15" x14ac:dyDescent="0.35">
      <c r="I820" s="52"/>
      <c r="J820" s="28"/>
      <c r="K820" s="29"/>
      <c r="L820" s="28"/>
      <c r="M820" s="19"/>
      <c r="N820" s="19"/>
      <c r="O820" s="48"/>
    </row>
    <row r="821" spans="9:15" x14ac:dyDescent="0.35">
      <c r="I821" s="52"/>
      <c r="J821" s="28"/>
      <c r="K821" s="29"/>
      <c r="L821" s="28"/>
      <c r="M821" s="19"/>
      <c r="N821" s="19"/>
      <c r="O821" s="48"/>
    </row>
    <row r="822" spans="9:15" x14ac:dyDescent="0.35">
      <c r="I822" s="52"/>
      <c r="J822" s="28"/>
      <c r="K822" s="29"/>
      <c r="L822" s="28"/>
      <c r="M822" s="19"/>
      <c r="N822" s="19"/>
      <c r="O822" s="48"/>
    </row>
    <row r="823" spans="9:15" x14ac:dyDescent="0.35">
      <c r="I823" s="52"/>
      <c r="J823" s="28"/>
      <c r="K823" s="29"/>
      <c r="L823" s="28"/>
      <c r="M823" s="19"/>
      <c r="N823" s="19"/>
      <c r="O823" s="48"/>
    </row>
    <row r="824" spans="9:15" x14ac:dyDescent="0.35">
      <c r="I824" s="52"/>
      <c r="J824" s="28"/>
      <c r="K824" s="29"/>
      <c r="L824" s="28"/>
      <c r="M824" s="19"/>
      <c r="N824" s="19"/>
      <c r="O824" s="48"/>
    </row>
    <row r="825" spans="9:15" x14ac:dyDescent="0.35">
      <c r="I825" s="52"/>
      <c r="J825" s="28"/>
      <c r="K825" s="29"/>
      <c r="L825" s="28"/>
      <c r="M825" s="19"/>
      <c r="N825" s="19"/>
      <c r="O825" s="48"/>
    </row>
    <row r="826" spans="9:15" x14ac:dyDescent="0.35">
      <c r="I826" s="52"/>
      <c r="J826" s="28"/>
      <c r="K826" s="29"/>
      <c r="L826" s="28"/>
      <c r="M826" s="19"/>
      <c r="N826" s="19"/>
      <c r="O826" s="48"/>
    </row>
    <row r="827" spans="9:15" x14ac:dyDescent="0.35">
      <c r="I827" s="52"/>
      <c r="J827" s="28"/>
      <c r="K827" s="29"/>
      <c r="L827" s="28"/>
      <c r="M827" s="19"/>
      <c r="N827" s="19"/>
      <c r="O827" s="48"/>
    </row>
    <row r="828" spans="9:15" x14ac:dyDescent="0.35">
      <c r="I828" s="52"/>
      <c r="J828" s="28"/>
      <c r="K828" s="29"/>
      <c r="L828" s="28"/>
      <c r="M828" s="19"/>
      <c r="N828" s="19"/>
      <c r="O828" s="48"/>
    </row>
    <row r="829" spans="9:15" x14ac:dyDescent="0.35">
      <c r="I829" s="52"/>
      <c r="J829" s="28"/>
      <c r="K829" s="29"/>
      <c r="L829" s="28"/>
      <c r="M829" s="19"/>
      <c r="N829" s="19"/>
      <c r="O829" s="48"/>
    </row>
    <row r="830" spans="9:15" x14ac:dyDescent="0.35">
      <c r="I830" s="52"/>
      <c r="J830" s="28"/>
      <c r="K830" s="29"/>
      <c r="L830" s="28"/>
      <c r="M830" s="19"/>
      <c r="N830" s="19"/>
      <c r="O830" s="48"/>
    </row>
    <row r="831" spans="9:15" x14ac:dyDescent="0.35">
      <c r="I831" s="52"/>
      <c r="J831" s="28"/>
      <c r="K831" s="29"/>
      <c r="L831" s="28"/>
      <c r="M831" s="19"/>
      <c r="N831" s="19"/>
      <c r="O831" s="48"/>
    </row>
    <row r="832" spans="9:15" x14ac:dyDescent="0.35">
      <c r="I832" s="52"/>
      <c r="J832" s="28"/>
      <c r="K832" s="29"/>
      <c r="L832" s="28"/>
      <c r="M832" s="19"/>
      <c r="N832" s="19"/>
      <c r="O832" s="48"/>
    </row>
    <row r="833" spans="9:15" x14ac:dyDescent="0.35">
      <c r="I833" s="52"/>
      <c r="J833" s="28"/>
      <c r="K833" s="29"/>
      <c r="L833" s="28"/>
      <c r="M833" s="19"/>
      <c r="N833" s="19"/>
      <c r="O833" s="48"/>
    </row>
    <row r="834" spans="9:15" x14ac:dyDescent="0.35">
      <c r="I834" s="52"/>
      <c r="J834" s="28"/>
      <c r="K834" s="29"/>
      <c r="L834" s="28"/>
      <c r="M834" s="19"/>
      <c r="N834" s="19"/>
      <c r="O834" s="48"/>
    </row>
    <row r="835" spans="9:15" x14ac:dyDescent="0.35">
      <c r="I835" s="52"/>
      <c r="J835" s="28"/>
      <c r="K835" s="29"/>
      <c r="L835" s="28"/>
      <c r="M835" s="19"/>
      <c r="N835" s="19"/>
      <c r="O835" s="48"/>
    </row>
    <row r="836" spans="9:15" x14ac:dyDescent="0.35">
      <c r="I836" s="52"/>
      <c r="J836" s="28"/>
      <c r="K836" s="29"/>
      <c r="L836" s="28"/>
      <c r="M836" s="19"/>
      <c r="N836" s="19"/>
      <c r="O836" s="48"/>
    </row>
    <row r="837" spans="9:15" x14ac:dyDescent="0.35">
      <c r="I837" s="52"/>
      <c r="J837" s="28"/>
      <c r="K837" s="29"/>
      <c r="L837" s="28"/>
      <c r="M837" s="19"/>
      <c r="N837" s="19"/>
      <c r="O837" s="48"/>
    </row>
    <row r="838" spans="9:15" x14ac:dyDescent="0.35">
      <c r="I838" s="52"/>
      <c r="J838" s="28"/>
      <c r="K838" s="29"/>
      <c r="L838" s="28"/>
      <c r="M838" s="19"/>
      <c r="N838" s="19"/>
      <c r="O838" s="48"/>
    </row>
    <row r="839" spans="9:15" x14ac:dyDescent="0.35">
      <c r="I839" s="52"/>
      <c r="J839" s="28"/>
      <c r="K839" s="29"/>
      <c r="L839" s="28"/>
      <c r="M839" s="19"/>
      <c r="N839" s="19"/>
      <c r="O839" s="48"/>
    </row>
    <row r="840" spans="9:15" x14ac:dyDescent="0.35">
      <c r="I840" s="52"/>
      <c r="J840" s="28"/>
      <c r="K840" s="29"/>
      <c r="L840" s="28"/>
      <c r="M840" s="19"/>
      <c r="N840" s="19"/>
      <c r="O840" s="48"/>
    </row>
    <row r="841" spans="9:15" x14ac:dyDescent="0.35">
      <c r="I841" s="52"/>
      <c r="J841" s="28"/>
      <c r="K841" s="29"/>
      <c r="L841" s="28"/>
      <c r="M841" s="19"/>
      <c r="N841" s="19"/>
      <c r="O841" s="48"/>
    </row>
    <row r="842" spans="9:15" x14ac:dyDescent="0.35">
      <c r="I842" s="52"/>
      <c r="J842" s="28"/>
      <c r="K842" s="29"/>
      <c r="L842" s="28"/>
      <c r="M842" s="19"/>
      <c r="N842" s="19"/>
      <c r="O842" s="48"/>
    </row>
    <row r="843" spans="9:15" x14ac:dyDescent="0.35">
      <c r="I843" s="52"/>
      <c r="J843" s="28"/>
      <c r="K843" s="29"/>
      <c r="L843" s="28"/>
      <c r="M843" s="19"/>
      <c r="N843" s="19"/>
      <c r="O843" s="48"/>
    </row>
    <row r="844" spans="9:15" x14ac:dyDescent="0.35">
      <c r="I844" s="52"/>
      <c r="J844" s="28"/>
      <c r="K844" s="29"/>
      <c r="L844" s="28"/>
      <c r="M844" s="19"/>
      <c r="N844" s="19"/>
      <c r="O844" s="48"/>
    </row>
    <row r="845" spans="9:15" x14ac:dyDescent="0.35">
      <c r="I845" s="52"/>
      <c r="J845" s="28"/>
      <c r="K845" s="29"/>
      <c r="L845" s="28"/>
      <c r="M845" s="19"/>
      <c r="N845" s="19"/>
      <c r="O845" s="48"/>
    </row>
    <row r="846" spans="9:15" x14ac:dyDescent="0.35">
      <c r="I846" s="52"/>
      <c r="J846" s="28"/>
      <c r="K846" s="29"/>
      <c r="L846" s="28"/>
      <c r="M846" s="19"/>
      <c r="N846" s="19"/>
      <c r="O846" s="48"/>
    </row>
    <row r="847" spans="9:15" x14ac:dyDescent="0.35">
      <c r="I847" s="52"/>
      <c r="J847" s="28"/>
      <c r="K847" s="29"/>
      <c r="L847" s="28"/>
      <c r="M847" s="19"/>
      <c r="N847" s="19"/>
      <c r="O847" s="48"/>
    </row>
    <row r="848" spans="9:15" x14ac:dyDescent="0.35">
      <c r="I848" s="52"/>
      <c r="J848" s="28"/>
      <c r="K848" s="29"/>
      <c r="L848" s="28"/>
      <c r="M848" s="19"/>
      <c r="N848" s="19"/>
      <c r="O848" s="48"/>
    </row>
    <row r="849" spans="9:15" x14ac:dyDescent="0.35">
      <c r="I849" s="52"/>
      <c r="J849" s="28"/>
      <c r="K849" s="29"/>
      <c r="L849" s="28"/>
      <c r="M849" s="19"/>
      <c r="N849" s="19"/>
      <c r="O849" s="48"/>
    </row>
    <row r="850" spans="9:15" x14ac:dyDescent="0.35">
      <c r="I850" s="52"/>
      <c r="J850" s="28"/>
      <c r="K850" s="29"/>
      <c r="L850" s="28"/>
      <c r="M850" s="19"/>
      <c r="N850" s="19"/>
      <c r="O850" s="48"/>
    </row>
    <row r="851" spans="9:15" x14ac:dyDescent="0.35">
      <c r="I851" s="52"/>
      <c r="J851" s="28"/>
      <c r="K851" s="29"/>
      <c r="L851" s="28"/>
      <c r="M851" s="19"/>
      <c r="N851" s="19"/>
      <c r="O851" s="48"/>
    </row>
    <row r="852" spans="9:15" x14ac:dyDescent="0.35">
      <c r="I852" s="52"/>
      <c r="J852" s="28"/>
      <c r="K852" s="29"/>
      <c r="L852" s="28"/>
      <c r="M852" s="19"/>
      <c r="N852" s="19"/>
      <c r="O852" s="48"/>
    </row>
    <row r="853" spans="9:15" x14ac:dyDescent="0.35">
      <c r="I853" s="52"/>
      <c r="J853" s="28"/>
      <c r="K853" s="29"/>
      <c r="L853" s="28"/>
      <c r="M853" s="19"/>
      <c r="N853" s="19"/>
      <c r="O853" s="48"/>
    </row>
    <row r="854" spans="9:15" x14ac:dyDescent="0.35">
      <c r="I854" s="52"/>
      <c r="J854" s="28"/>
      <c r="K854" s="29"/>
      <c r="L854" s="28"/>
      <c r="M854" s="19"/>
      <c r="N854" s="19"/>
      <c r="O854" s="48"/>
    </row>
    <row r="855" spans="9:15" x14ac:dyDescent="0.35">
      <c r="I855" s="52"/>
      <c r="J855" s="28"/>
      <c r="K855" s="29"/>
      <c r="L855" s="28"/>
      <c r="M855" s="19"/>
      <c r="N855" s="19"/>
      <c r="O855" s="48"/>
    </row>
    <row r="856" spans="9:15" x14ac:dyDescent="0.35">
      <c r="I856" s="52"/>
      <c r="J856" s="28"/>
      <c r="K856" s="29"/>
      <c r="L856" s="28"/>
      <c r="M856" s="19"/>
      <c r="N856" s="19"/>
      <c r="O856" s="48"/>
    </row>
    <row r="857" spans="9:15" x14ac:dyDescent="0.35">
      <c r="I857" s="52"/>
      <c r="J857" s="28"/>
      <c r="K857" s="29"/>
      <c r="L857" s="28"/>
      <c r="M857" s="19"/>
      <c r="N857" s="19"/>
      <c r="O857" s="48"/>
    </row>
    <row r="858" spans="9:15" x14ac:dyDescent="0.35">
      <c r="I858" s="52"/>
      <c r="J858" s="28"/>
      <c r="K858" s="29"/>
      <c r="L858" s="28"/>
      <c r="M858" s="19"/>
      <c r="N858" s="19"/>
      <c r="O858" s="48"/>
    </row>
    <row r="859" spans="9:15" x14ac:dyDescent="0.35">
      <c r="I859" s="52"/>
      <c r="J859" s="28"/>
      <c r="K859" s="29"/>
      <c r="L859" s="28"/>
      <c r="M859" s="19"/>
      <c r="N859" s="19"/>
      <c r="O859" s="48"/>
    </row>
    <row r="860" spans="9:15" x14ac:dyDescent="0.35">
      <c r="I860" s="52"/>
      <c r="J860" s="28"/>
      <c r="K860" s="29"/>
      <c r="L860" s="28"/>
      <c r="M860" s="19"/>
      <c r="N860" s="19"/>
      <c r="O860" s="48"/>
    </row>
    <row r="861" spans="9:15" x14ac:dyDescent="0.35">
      <c r="I861" s="52"/>
      <c r="J861" s="28"/>
      <c r="K861" s="29"/>
      <c r="L861" s="28"/>
      <c r="M861" s="19"/>
      <c r="N861" s="19"/>
      <c r="O861" s="48"/>
    </row>
    <row r="862" spans="9:15" x14ac:dyDescent="0.35">
      <c r="I862" s="52"/>
      <c r="J862" s="28"/>
      <c r="K862" s="29"/>
      <c r="L862" s="28"/>
      <c r="M862" s="19"/>
      <c r="N862" s="19"/>
      <c r="O862" s="48"/>
    </row>
    <row r="863" spans="9:15" x14ac:dyDescent="0.35">
      <c r="I863" s="52"/>
      <c r="J863" s="28"/>
      <c r="K863" s="29"/>
      <c r="L863" s="28"/>
      <c r="M863" s="19"/>
      <c r="N863" s="19"/>
      <c r="O863" s="48"/>
    </row>
    <row r="864" spans="9:15" x14ac:dyDescent="0.35">
      <c r="I864" s="52"/>
      <c r="J864" s="28"/>
      <c r="K864" s="29"/>
      <c r="L864" s="28"/>
      <c r="M864" s="19"/>
      <c r="N864" s="19"/>
      <c r="O864" s="48"/>
    </row>
    <row r="865" spans="9:15" x14ac:dyDescent="0.35">
      <c r="I865" s="52"/>
      <c r="J865" s="28"/>
      <c r="K865" s="29"/>
      <c r="L865" s="28"/>
      <c r="M865" s="19"/>
      <c r="N865" s="19"/>
      <c r="O865" s="48"/>
    </row>
    <row r="866" spans="9:15" x14ac:dyDescent="0.35">
      <c r="I866" s="52"/>
      <c r="J866" s="28"/>
      <c r="K866" s="29"/>
      <c r="L866" s="28"/>
      <c r="M866" s="19"/>
      <c r="N866" s="19"/>
      <c r="O866" s="48"/>
    </row>
    <row r="867" spans="9:15" x14ac:dyDescent="0.35">
      <c r="I867" s="52"/>
      <c r="J867" s="28"/>
      <c r="K867" s="29"/>
      <c r="L867" s="28"/>
      <c r="M867" s="19"/>
      <c r="N867" s="19"/>
      <c r="O867" s="48"/>
    </row>
    <row r="868" spans="9:15" x14ac:dyDescent="0.35">
      <c r="I868" s="52"/>
      <c r="J868" s="28"/>
      <c r="K868" s="29"/>
      <c r="L868" s="28"/>
      <c r="M868" s="19"/>
      <c r="N868" s="19"/>
      <c r="O868" s="48"/>
    </row>
    <row r="869" spans="9:15" x14ac:dyDescent="0.35">
      <c r="I869" s="52"/>
      <c r="J869" s="28"/>
      <c r="K869" s="29"/>
      <c r="L869" s="28"/>
      <c r="M869" s="19"/>
      <c r="N869" s="19"/>
      <c r="O869" s="48"/>
    </row>
    <row r="870" spans="9:15" x14ac:dyDescent="0.35">
      <c r="I870" s="52"/>
      <c r="J870" s="28"/>
      <c r="K870" s="29"/>
      <c r="L870" s="28"/>
      <c r="M870" s="19"/>
      <c r="N870" s="19"/>
      <c r="O870" s="48"/>
    </row>
    <row r="871" spans="9:15" x14ac:dyDescent="0.35">
      <c r="I871" s="52"/>
      <c r="J871" s="28"/>
      <c r="K871" s="29"/>
      <c r="L871" s="28"/>
      <c r="M871" s="19"/>
      <c r="N871" s="19"/>
      <c r="O871" s="48"/>
    </row>
    <row r="872" spans="9:15" x14ac:dyDescent="0.35">
      <c r="I872" s="52"/>
      <c r="J872" s="28"/>
      <c r="K872" s="29"/>
      <c r="L872" s="28"/>
      <c r="M872" s="19"/>
      <c r="N872" s="19"/>
      <c r="O872" s="48"/>
    </row>
    <row r="873" spans="9:15" x14ac:dyDescent="0.35">
      <c r="I873" s="52"/>
      <c r="J873" s="28"/>
      <c r="K873" s="29"/>
      <c r="L873" s="28"/>
      <c r="M873" s="19"/>
      <c r="N873" s="19"/>
      <c r="O873" s="48"/>
    </row>
    <row r="874" spans="9:15" x14ac:dyDescent="0.35">
      <c r="I874" s="52"/>
      <c r="J874" s="28"/>
      <c r="K874" s="29"/>
      <c r="L874" s="28"/>
      <c r="M874" s="19"/>
      <c r="N874" s="19"/>
      <c r="O874" s="48"/>
    </row>
    <row r="875" spans="9:15" x14ac:dyDescent="0.35">
      <c r="I875" s="52"/>
      <c r="J875" s="28"/>
      <c r="K875" s="29"/>
      <c r="L875" s="28"/>
      <c r="M875" s="19"/>
      <c r="N875" s="19"/>
      <c r="O875" s="48"/>
    </row>
    <row r="876" spans="9:15" x14ac:dyDescent="0.35">
      <c r="I876" s="52"/>
      <c r="J876" s="28"/>
      <c r="K876" s="29"/>
      <c r="L876" s="28"/>
      <c r="M876" s="19"/>
      <c r="N876" s="19"/>
      <c r="O876" s="48"/>
    </row>
    <row r="877" spans="9:15" x14ac:dyDescent="0.35">
      <c r="I877" s="52"/>
      <c r="J877" s="28"/>
      <c r="K877" s="29"/>
      <c r="L877" s="28"/>
      <c r="M877" s="19"/>
      <c r="N877" s="19"/>
      <c r="O877" s="48"/>
    </row>
    <row r="878" spans="9:15" x14ac:dyDescent="0.35">
      <c r="I878" s="52"/>
      <c r="J878" s="28"/>
      <c r="K878" s="29"/>
      <c r="L878" s="28"/>
      <c r="M878" s="19"/>
      <c r="N878" s="19"/>
      <c r="O878" s="48"/>
    </row>
    <row r="879" spans="9:15" x14ac:dyDescent="0.35">
      <c r="I879" s="52"/>
      <c r="J879" s="28"/>
      <c r="K879" s="29"/>
      <c r="L879" s="28"/>
      <c r="M879" s="19"/>
      <c r="N879" s="19"/>
      <c r="O879" s="48"/>
    </row>
    <row r="880" spans="9:15" x14ac:dyDescent="0.35">
      <c r="I880" s="52"/>
      <c r="J880" s="28"/>
      <c r="K880" s="29"/>
      <c r="L880" s="28"/>
      <c r="M880" s="19"/>
      <c r="N880" s="19"/>
      <c r="O880" s="48"/>
    </row>
    <row r="881" spans="9:15" x14ac:dyDescent="0.35">
      <c r="I881" s="52"/>
      <c r="J881" s="28"/>
      <c r="K881" s="29"/>
      <c r="L881" s="28"/>
      <c r="M881" s="19"/>
      <c r="N881" s="19"/>
      <c r="O881" s="48"/>
    </row>
    <row r="882" spans="9:15" x14ac:dyDescent="0.35">
      <c r="I882" s="52"/>
      <c r="J882" s="28"/>
      <c r="K882" s="29"/>
      <c r="L882" s="28"/>
      <c r="M882" s="19"/>
      <c r="N882" s="19"/>
      <c r="O882" s="48"/>
    </row>
    <row r="883" spans="9:15" x14ac:dyDescent="0.35">
      <c r="I883" s="52"/>
      <c r="J883" s="28"/>
      <c r="K883" s="29"/>
      <c r="L883" s="28"/>
      <c r="M883" s="19"/>
      <c r="N883" s="19"/>
      <c r="O883" s="48"/>
    </row>
    <row r="884" spans="9:15" x14ac:dyDescent="0.35">
      <c r="I884" s="52"/>
      <c r="J884" s="28"/>
      <c r="K884" s="29"/>
      <c r="L884" s="28"/>
      <c r="M884" s="19"/>
      <c r="N884" s="19"/>
      <c r="O884" s="48"/>
    </row>
    <row r="885" spans="9:15" x14ac:dyDescent="0.35">
      <c r="I885" s="52"/>
      <c r="J885" s="28"/>
      <c r="K885" s="29"/>
      <c r="L885" s="28"/>
      <c r="M885" s="19"/>
      <c r="N885" s="19"/>
      <c r="O885" s="48"/>
    </row>
    <row r="886" spans="9:15" x14ac:dyDescent="0.35">
      <c r="I886" s="52"/>
      <c r="J886" s="28"/>
      <c r="K886" s="29"/>
      <c r="L886" s="28"/>
      <c r="M886" s="19"/>
      <c r="N886" s="19"/>
      <c r="O886" s="48"/>
    </row>
    <row r="887" spans="9:15" x14ac:dyDescent="0.35">
      <c r="I887" s="52"/>
      <c r="J887" s="28"/>
      <c r="K887" s="29"/>
      <c r="L887" s="28"/>
      <c r="M887" s="19"/>
      <c r="N887" s="19"/>
      <c r="O887" s="48"/>
    </row>
    <row r="888" spans="9:15" x14ac:dyDescent="0.35">
      <c r="I888" s="52"/>
      <c r="J888" s="28"/>
      <c r="K888" s="29"/>
      <c r="L888" s="28"/>
      <c r="M888" s="19"/>
      <c r="N888" s="19"/>
      <c r="O888" s="48"/>
    </row>
    <row r="889" spans="9:15" x14ac:dyDescent="0.35">
      <c r="I889" s="52"/>
      <c r="J889" s="28"/>
      <c r="K889" s="29"/>
      <c r="L889" s="28"/>
      <c r="M889" s="19"/>
      <c r="N889" s="19"/>
      <c r="O889" s="48"/>
    </row>
    <row r="890" spans="9:15" x14ac:dyDescent="0.35">
      <c r="I890" s="52"/>
      <c r="J890" s="28"/>
      <c r="K890" s="29"/>
      <c r="L890" s="28"/>
      <c r="M890" s="19"/>
      <c r="N890" s="19"/>
      <c r="O890" s="48"/>
    </row>
    <row r="891" spans="9:15" x14ac:dyDescent="0.35">
      <c r="I891" s="52"/>
      <c r="J891" s="28"/>
      <c r="K891" s="29"/>
      <c r="L891" s="28"/>
      <c r="M891" s="19"/>
      <c r="N891" s="19"/>
      <c r="O891" s="48"/>
    </row>
    <row r="892" spans="9:15" x14ac:dyDescent="0.35">
      <c r="I892" s="52"/>
      <c r="J892" s="28"/>
      <c r="K892" s="29"/>
      <c r="L892" s="28"/>
      <c r="M892" s="19"/>
      <c r="N892" s="19"/>
      <c r="O892" s="48"/>
    </row>
    <row r="893" spans="9:15" x14ac:dyDescent="0.35">
      <c r="I893" s="52"/>
      <c r="J893" s="28"/>
      <c r="K893" s="29"/>
      <c r="L893" s="28"/>
      <c r="M893" s="19"/>
      <c r="N893" s="19"/>
      <c r="O893" s="48"/>
    </row>
    <row r="894" spans="9:15" x14ac:dyDescent="0.35">
      <c r="I894" s="52"/>
      <c r="J894" s="28"/>
      <c r="K894" s="29"/>
      <c r="L894" s="28"/>
      <c r="M894" s="19"/>
      <c r="N894" s="19"/>
      <c r="O894" s="48"/>
    </row>
    <row r="895" spans="9:15" x14ac:dyDescent="0.35">
      <c r="I895" s="52"/>
      <c r="J895" s="28"/>
      <c r="K895" s="29"/>
      <c r="L895" s="28"/>
      <c r="M895" s="19"/>
      <c r="N895" s="19"/>
      <c r="O895" s="48"/>
    </row>
    <row r="896" spans="9:15" x14ac:dyDescent="0.35">
      <c r="I896" s="52"/>
      <c r="J896" s="28"/>
      <c r="K896" s="29"/>
      <c r="L896" s="28"/>
      <c r="M896" s="19"/>
      <c r="N896" s="19"/>
      <c r="O896" s="48"/>
    </row>
    <row r="897" spans="9:15" x14ac:dyDescent="0.35">
      <c r="I897" s="52"/>
      <c r="J897" s="28"/>
      <c r="K897" s="29"/>
      <c r="L897" s="28"/>
      <c r="M897" s="19"/>
      <c r="N897" s="19"/>
      <c r="O897" s="48"/>
    </row>
    <row r="898" spans="9:15" x14ac:dyDescent="0.35">
      <c r="I898" s="52"/>
      <c r="J898" s="28"/>
      <c r="K898" s="29"/>
      <c r="L898" s="28"/>
      <c r="M898" s="19"/>
      <c r="N898" s="19"/>
      <c r="O898" s="48"/>
    </row>
    <row r="899" spans="9:15" x14ac:dyDescent="0.35">
      <c r="I899" s="52"/>
      <c r="J899" s="28"/>
      <c r="K899" s="29"/>
      <c r="L899" s="28"/>
      <c r="M899" s="19"/>
      <c r="N899" s="19"/>
      <c r="O899" s="48"/>
    </row>
    <row r="900" spans="9:15" x14ac:dyDescent="0.35">
      <c r="I900" s="52"/>
      <c r="J900" s="28"/>
      <c r="K900" s="29"/>
      <c r="L900" s="28"/>
      <c r="M900" s="19"/>
      <c r="N900" s="19"/>
      <c r="O900" s="48"/>
    </row>
    <row r="901" spans="9:15" x14ac:dyDescent="0.35">
      <c r="I901" s="52"/>
      <c r="J901" s="28"/>
      <c r="K901" s="29"/>
      <c r="L901" s="28"/>
      <c r="M901" s="19"/>
      <c r="N901" s="19"/>
      <c r="O901" s="48"/>
    </row>
    <row r="902" spans="9:15" x14ac:dyDescent="0.35">
      <c r="I902" s="52"/>
      <c r="J902" s="28"/>
      <c r="K902" s="29"/>
      <c r="L902" s="28"/>
      <c r="M902" s="19"/>
      <c r="N902" s="19"/>
      <c r="O902" s="48"/>
    </row>
    <row r="903" spans="9:15" x14ac:dyDescent="0.35">
      <c r="I903" s="52"/>
      <c r="J903" s="28"/>
      <c r="K903" s="29"/>
      <c r="L903" s="28"/>
      <c r="M903" s="19"/>
      <c r="N903" s="19"/>
      <c r="O903" s="48"/>
    </row>
    <row r="904" spans="9:15" x14ac:dyDescent="0.35">
      <c r="I904" s="52"/>
      <c r="J904" s="28"/>
      <c r="K904" s="29"/>
      <c r="L904" s="28"/>
      <c r="M904" s="19"/>
      <c r="N904" s="19"/>
      <c r="O904" s="48"/>
    </row>
    <row r="905" spans="9:15" x14ac:dyDescent="0.35">
      <c r="I905" s="52"/>
      <c r="J905" s="28"/>
      <c r="K905" s="29"/>
      <c r="L905" s="28"/>
      <c r="M905" s="19"/>
      <c r="N905" s="19"/>
      <c r="O905" s="48"/>
    </row>
    <row r="906" spans="9:15" x14ac:dyDescent="0.35">
      <c r="I906" s="52"/>
      <c r="J906" s="28"/>
      <c r="K906" s="29"/>
      <c r="L906" s="28"/>
      <c r="M906" s="19"/>
      <c r="N906" s="19"/>
      <c r="O906" s="48"/>
    </row>
    <row r="907" spans="9:15" x14ac:dyDescent="0.35">
      <c r="I907" s="52"/>
      <c r="J907" s="28"/>
      <c r="K907" s="29"/>
      <c r="L907" s="28"/>
      <c r="M907" s="19"/>
      <c r="N907" s="19"/>
      <c r="O907" s="48"/>
    </row>
    <row r="908" spans="9:15" x14ac:dyDescent="0.35">
      <c r="I908" s="52"/>
      <c r="J908" s="28"/>
      <c r="K908" s="29"/>
      <c r="L908" s="28"/>
      <c r="M908" s="19"/>
      <c r="N908" s="19"/>
      <c r="O908" s="48"/>
    </row>
    <row r="909" spans="9:15" x14ac:dyDescent="0.35">
      <c r="I909" s="52"/>
      <c r="J909" s="28"/>
      <c r="K909" s="29"/>
      <c r="L909" s="28"/>
      <c r="M909" s="19"/>
      <c r="N909" s="19"/>
      <c r="O909" s="48"/>
    </row>
    <row r="910" spans="9:15" x14ac:dyDescent="0.35">
      <c r="I910" s="52"/>
      <c r="J910" s="28"/>
      <c r="K910" s="29"/>
      <c r="L910" s="28"/>
      <c r="M910" s="19"/>
      <c r="N910" s="19"/>
      <c r="O910" s="48"/>
    </row>
    <row r="911" spans="9:15" x14ac:dyDescent="0.35">
      <c r="I911" s="52"/>
      <c r="J911" s="28"/>
      <c r="K911" s="29"/>
      <c r="L911" s="28"/>
      <c r="M911" s="19"/>
      <c r="N911" s="19"/>
      <c r="O911" s="48"/>
    </row>
    <row r="912" spans="9:15" x14ac:dyDescent="0.35">
      <c r="I912" s="52"/>
      <c r="J912" s="28"/>
      <c r="K912" s="29"/>
      <c r="L912" s="28"/>
      <c r="M912" s="19"/>
      <c r="N912" s="19"/>
      <c r="O912" s="48"/>
    </row>
    <row r="913" spans="9:15" x14ac:dyDescent="0.35">
      <c r="I913" s="52"/>
      <c r="J913" s="28"/>
      <c r="K913" s="29"/>
      <c r="L913" s="28"/>
      <c r="M913" s="19"/>
      <c r="N913" s="19"/>
      <c r="O913" s="48"/>
    </row>
    <row r="914" spans="9:15" x14ac:dyDescent="0.35">
      <c r="I914" s="52"/>
      <c r="J914" s="28"/>
      <c r="K914" s="29"/>
      <c r="L914" s="28"/>
      <c r="M914" s="19"/>
      <c r="N914" s="19"/>
      <c r="O914" s="48"/>
    </row>
    <row r="915" spans="9:15" x14ac:dyDescent="0.35">
      <c r="I915" s="52"/>
      <c r="J915" s="28"/>
      <c r="K915" s="29"/>
      <c r="L915" s="28"/>
      <c r="M915" s="19"/>
      <c r="N915" s="19"/>
      <c r="O915" s="48"/>
    </row>
    <row r="916" spans="9:15" x14ac:dyDescent="0.35">
      <c r="I916" s="52"/>
      <c r="J916" s="28"/>
      <c r="K916" s="29"/>
      <c r="L916" s="28"/>
      <c r="M916" s="19"/>
      <c r="N916" s="19"/>
      <c r="O916" s="48"/>
    </row>
    <row r="917" spans="9:15" x14ac:dyDescent="0.35">
      <c r="I917" s="52"/>
      <c r="J917" s="28"/>
      <c r="K917" s="29"/>
      <c r="L917" s="28"/>
      <c r="M917" s="19"/>
      <c r="N917" s="19"/>
      <c r="O917" s="48"/>
    </row>
    <row r="918" spans="9:15" x14ac:dyDescent="0.35">
      <c r="I918" s="52"/>
      <c r="J918" s="28"/>
      <c r="K918" s="29"/>
      <c r="L918" s="28"/>
      <c r="M918" s="19"/>
      <c r="N918" s="19"/>
      <c r="O918" s="48"/>
    </row>
    <row r="919" spans="9:15" x14ac:dyDescent="0.35">
      <c r="I919" s="52"/>
      <c r="J919" s="28"/>
      <c r="K919" s="29"/>
      <c r="L919" s="28"/>
      <c r="M919" s="19"/>
      <c r="N919" s="19"/>
      <c r="O919" s="48"/>
    </row>
    <row r="920" spans="9:15" x14ac:dyDescent="0.35">
      <c r="I920" s="52"/>
      <c r="J920" s="28"/>
      <c r="K920" s="29"/>
      <c r="L920" s="28"/>
      <c r="M920" s="19"/>
      <c r="N920" s="19"/>
      <c r="O920" s="48"/>
    </row>
    <row r="921" spans="9:15" x14ac:dyDescent="0.35">
      <c r="I921" s="52"/>
      <c r="J921" s="28"/>
      <c r="K921" s="29"/>
      <c r="L921" s="28"/>
      <c r="M921" s="19"/>
      <c r="N921" s="19"/>
      <c r="O921" s="48"/>
    </row>
    <row r="922" spans="9:15" x14ac:dyDescent="0.35">
      <c r="I922" s="52"/>
      <c r="J922" s="28"/>
      <c r="K922" s="29"/>
      <c r="L922" s="28"/>
      <c r="M922" s="19"/>
      <c r="N922" s="19"/>
      <c r="O922" s="48"/>
    </row>
    <row r="923" spans="9:15" x14ac:dyDescent="0.35">
      <c r="I923" s="52"/>
      <c r="J923" s="28"/>
      <c r="K923" s="29"/>
      <c r="L923" s="28"/>
      <c r="M923" s="19"/>
      <c r="N923" s="19"/>
      <c r="O923" s="48"/>
    </row>
    <row r="924" spans="9:15" x14ac:dyDescent="0.35">
      <c r="I924" s="52"/>
      <c r="J924" s="28"/>
      <c r="K924" s="29"/>
      <c r="L924" s="28"/>
      <c r="M924" s="19"/>
      <c r="N924" s="19"/>
      <c r="O924" s="48"/>
    </row>
    <row r="925" spans="9:15" x14ac:dyDescent="0.35">
      <c r="I925" s="52"/>
      <c r="J925" s="28"/>
      <c r="K925" s="29"/>
      <c r="L925" s="28"/>
      <c r="M925" s="19"/>
      <c r="N925" s="19"/>
      <c r="O925" s="48"/>
    </row>
    <row r="926" spans="9:15" x14ac:dyDescent="0.35">
      <c r="I926" s="52"/>
      <c r="J926" s="28"/>
      <c r="K926" s="29"/>
      <c r="L926" s="28"/>
      <c r="M926" s="19"/>
      <c r="N926" s="19"/>
      <c r="O926" s="48"/>
    </row>
    <row r="927" spans="9:15" x14ac:dyDescent="0.35">
      <c r="I927" s="52"/>
      <c r="J927" s="28"/>
      <c r="K927" s="29"/>
      <c r="L927" s="28"/>
      <c r="M927" s="19"/>
      <c r="N927" s="19"/>
      <c r="O927" s="48"/>
    </row>
    <row r="928" spans="9:15" x14ac:dyDescent="0.35">
      <c r="I928" s="52"/>
      <c r="J928" s="28"/>
      <c r="K928" s="29"/>
      <c r="L928" s="28"/>
      <c r="M928" s="19"/>
      <c r="N928" s="19"/>
      <c r="O928" s="48"/>
    </row>
    <row r="929" spans="9:15" x14ac:dyDescent="0.35">
      <c r="I929" s="52"/>
      <c r="J929" s="28"/>
      <c r="K929" s="29"/>
      <c r="L929" s="28"/>
      <c r="M929" s="19"/>
      <c r="N929" s="19"/>
      <c r="O929" s="48"/>
    </row>
    <row r="930" spans="9:15" x14ac:dyDescent="0.35">
      <c r="I930" s="52"/>
      <c r="J930" s="28"/>
      <c r="K930" s="29"/>
      <c r="L930" s="28"/>
      <c r="M930" s="19"/>
      <c r="N930" s="19"/>
      <c r="O930" s="48"/>
    </row>
    <row r="931" spans="9:15" x14ac:dyDescent="0.35">
      <c r="I931" s="52"/>
      <c r="J931" s="28"/>
      <c r="K931" s="29"/>
      <c r="L931" s="28"/>
      <c r="M931" s="19"/>
      <c r="N931" s="19"/>
      <c r="O931" s="48"/>
    </row>
    <row r="932" spans="9:15" x14ac:dyDescent="0.35">
      <c r="I932" s="52"/>
      <c r="J932" s="28"/>
      <c r="K932" s="29"/>
      <c r="L932" s="28"/>
      <c r="M932" s="19"/>
      <c r="N932" s="19"/>
      <c r="O932" s="48"/>
    </row>
    <row r="933" spans="9:15" x14ac:dyDescent="0.35">
      <c r="I933" s="52"/>
      <c r="J933" s="28"/>
      <c r="K933" s="29"/>
      <c r="L933" s="28"/>
      <c r="M933" s="19"/>
      <c r="N933" s="19"/>
      <c r="O933" s="48"/>
    </row>
    <row r="934" spans="9:15" x14ac:dyDescent="0.35">
      <c r="I934" s="52"/>
      <c r="J934" s="28"/>
      <c r="K934" s="29"/>
      <c r="L934" s="28"/>
      <c r="M934" s="19"/>
      <c r="N934" s="19"/>
      <c r="O934" s="48"/>
    </row>
    <row r="935" spans="9:15" x14ac:dyDescent="0.35">
      <c r="I935" s="52"/>
      <c r="J935" s="28"/>
      <c r="K935" s="29"/>
      <c r="L935" s="28"/>
      <c r="M935" s="19"/>
      <c r="N935" s="19"/>
      <c r="O935" s="48"/>
    </row>
    <row r="936" spans="9:15" x14ac:dyDescent="0.35">
      <c r="I936" s="52"/>
      <c r="J936" s="28"/>
      <c r="K936" s="29"/>
      <c r="L936" s="28"/>
      <c r="M936" s="19"/>
      <c r="N936" s="19"/>
      <c r="O936" s="48"/>
    </row>
    <row r="937" spans="9:15" x14ac:dyDescent="0.35">
      <c r="I937" s="52"/>
      <c r="J937" s="28"/>
      <c r="K937" s="29"/>
      <c r="L937" s="28"/>
      <c r="M937" s="19"/>
      <c r="N937" s="19"/>
      <c r="O937" s="48"/>
    </row>
    <row r="938" spans="9:15" x14ac:dyDescent="0.35">
      <c r="I938" s="52"/>
      <c r="J938" s="28"/>
      <c r="K938" s="29"/>
      <c r="L938" s="28"/>
      <c r="M938" s="19"/>
      <c r="N938" s="19"/>
      <c r="O938" s="48"/>
    </row>
    <row r="939" spans="9:15" x14ac:dyDescent="0.35">
      <c r="I939" s="52"/>
      <c r="J939" s="28"/>
      <c r="K939" s="29"/>
      <c r="L939" s="28"/>
      <c r="M939" s="19"/>
      <c r="N939" s="19"/>
      <c r="O939" s="48"/>
    </row>
    <row r="940" spans="9:15" x14ac:dyDescent="0.35">
      <c r="I940" s="52"/>
      <c r="J940" s="28"/>
      <c r="K940" s="29"/>
      <c r="L940" s="28"/>
      <c r="M940" s="19"/>
      <c r="N940" s="19"/>
      <c r="O940" s="48"/>
    </row>
    <row r="941" spans="9:15" x14ac:dyDescent="0.35">
      <c r="I941" s="52"/>
      <c r="J941" s="28"/>
      <c r="K941" s="29"/>
      <c r="L941" s="28"/>
      <c r="M941" s="19"/>
      <c r="N941" s="19"/>
      <c r="O941" s="48"/>
    </row>
    <row r="942" spans="9:15" x14ac:dyDescent="0.35">
      <c r="I942" s="52"/>
      <c r="J942" s="28"/>
      <c r="K942" s="29"/>
      <c r="L942" s="28"/>
      <c r="M942" s="19"/>
      <c r="N942" s="19"/>
      <c r="O942" s="48"/>
    </row>
    <row r="943" spans="9:15" x14ac:dyDescent="0.35">
      <c r="I943" s="52"/>
      <c r="J943" s="28"/>
      <c r="K943" s="29"/>
      <c r="L943" s="28"/>
      <c r="M943" s="19"/>
      <c r="N943" s="19"/>
      <c r="O943" s="48"/>
    </row>
    <row r="944" spans="9:15" x14ac:dyDescent="0.35">
      <c r="I944" s="52"/>
      <c r="J944" s="28"/>
      <c r="K944" s="29"/>
      <c r="L944" s="28"/>
      <c r="M944" s="19"/>
      <c r="N944" s="19"/>
      <c r="O944" s="48"/>
    </row>
    <row r="945" spans="9:15" x14ac:dyDescent="0.35">
      <c r="I945" s="52"/>
      <c r="J945" s="28"/>
      <c r="K945" s="29"/>
      <c r="L945" s="28"/>
      <c r="M945" s="19"/>
      <c r="N945" s="19"/>
      <c r="O945" s="48"/>
    </row>
    <row r="946" spans="9:15" x14ac:dyDescent="0.35">
      <c r="I946" s="52"/>
      <c r="J946" s="28"/>
      <c r="K946" s="29"/>
      <c r="L946" s="28"/>
      <c r="M946" s="19"/>
      <c r="N946" s="19"/>
      <c r="O946" s="48"/>
    </row>
    <row r="947" spans="9:15" x14ac:dyDescent="0.35">
      <c r="I947" s="52"/>
      <c r="J947" s="28"/>
      <c r="K947" s="29"/>
      <c r="L947" s="28"/>
      <c r="M947" s="19"/>
      <c r="N947" s="19"/>
      <c r="O947" s="48"/>
    </row>
    <row r="948" spans="9:15" x14ac:dyDescent="0.35">
      <c r="I948" s="52"/>
      <c r="J948" s="28"/>
      <c r="K948" s="29"/>
      <c r="L948" s="28"/>
      <c r="M948" s="19"/>
      <c r="N948" s="19"/>
      <c r="O948" s="48"/>
    </row>
    <row r="949" spans="9:15" x14ac:dyDescent="0.35">
      <c r="I949" s="52"/>
      <c r="J949" s="28"/>
      <c r="K949" s="29"/>
      <c r="L949" s="28"/>
      <c r="M949" s="19"/>
      <c r="N949" s="19"/>
      <c r="O949" s="48"/>
    </row>
    <row r="950" spans="9:15" x14ac:dyDescent="0.35">
      <c r="I950" s="52"/>
      <c r="J950" s="28"/>
      <c r="K950" s="29"/>
      <c r="L950" s="28"/>
      <c r="M950" s="19"/>
      <c r="N950" s="19"/>
      <c r="O950" s="48"/>
    </row>
    <row r="951" spans="9:15" x14ac:dyDescent="0.35">
      <c r="I951" s="52"/>
      <c r="J951" s="28"/>
      <c r="K951" s="29"/>
      <c r="L951" s="28"/>
      <c r="M951" s="19"/>
      <c r="N951" s="19"/>
      <c r="O951" s="48"/>
    </row>
    <row r="952" spans="9:15" x14ac:dyDescent="0.35">
      <c r="I952" s="52"/>
      <c r="J952" s="28"/>
      <c r="K952" s="29"/>
      <c r="L952" s="28"/>
      <c r="M952" s="19"/>
      <c r="N952" s="19"/>
      <c r="O952" s="48"/>
    </row>
    <row r="953" spans="9:15" x14ac:dyDescent="0.35">
      <c r="I953" s="52"/>
      <c r="J953" s="28"/>
      <c r="K953" s="29"/>
      <c r="L953" s="28"/>
      <c r="M953" s="19"/>
      <c r="N953" s="19"/>
      <c r="O953" s="48"/>
    </row>
    <row r="954" spans="9:15" x14ac:dyDescent="0.35">
      <c r="I954" s="52"/>
      <c r="J954" s="28"/>
      <c r="K954" s="29"/>
      <c r="L954" s="28"/>
      <c r="M954" s="19"/>
      <c r="N954" s="19"/>
      <c r="O954" s="48"/>
    </row>
    <row r="955" spans="9:15" x14ac:dyDescent="0.35">
      <c r="I955" s="52"/>
      <c r="J955" s="28"/>
      <c r="K955" s="29"/>
      <c r="L955" s="28"/>
      <c r="M955" s="19"/>
      <c r="N955" s="19"/>
      <c r="O955" s="48"/>
    </row>
    <row r="956" spans="9:15" x14ac:dyDescent="0.35">
      <c r="I956" s="52"/>
      <c r="J956" s="28"/>
      <c r="K956" s="29"/>
      <c r="L956" s="28"/>
      <c r="M956" s="19"/>
      <c r="N956" s="19"/>
      <c r="O956" s="48"/>
    </row>
    <row r="957" spans="9:15" x14ac:dyDescent="0.35">
      <c r="I957" s="52"/>
      <c r="J957" s="28"/>
      <c r="K957" s="29"/>
      <c r="L957" s="28"/>
      <c r="M957" s="19"/>
      <c r="N957" s="19"/>
      <c r="O957" s="48"/>
    </row>
    <row r="958" spans="9:15" x14ac:dyDescent="0.35">
      <c r="I958" s="52"/>
      <c r="J958" s="28"/>
      <c r="K958" s="29"/>
      <c r="L958" s="28"/>
      <c r="M958" s="19"/>
      <c r="N958" s="19"/>
      <c r="O958" s="48"/>
    </row>
    <row r="959" spans="9:15" x14ac:dyDescent="0.35">
      <c r="I959" s="52"/>
      <c r="J959" s="28"/>
      <c r="K959" s="29"/>
      <c r="L959" s="28"/>
      <c r="M959" s="19"/>
      <c r="N959" s="19"/>
      <c r="O959" s="48"/>
    </row>
    <row r="960" spans="9:15" x14ac:dyDescent="0.35">
      <c r="I960" s="52"/>
      <c r="J960" s="28"/>
      <c r="K960" s="29"/>
      <c r="L960" s="28"/>
      <c r="M960" s="19"/>
      <c r="N960" s="19"/>
      <c r="O960" s="48"/>
    </row>
    <row r="961" spans="9:15" x14ac:dyDescent="0.35">
      <c r="I961" s="52"/>
      <c r="J961" s="28"/>
      <c r="K961" s="29"/>
      <c r="L961" s="28"/>
      <c r="M961" s="19"/>
      <c r="N961" s="19"/>
      <c r="O961" s="48"/>
    </row>
    <row r="962" spans="9:15" x14ac:dyDescent="0.35">
      <c r="I962" s="52"/>
      <c r="J962" s="28"/>
      <c r="K962" s="29"/>
      <c r="L962" s="28"/>
      <c r="M962" s="19"/>
      <c r="N962" s="19"/>
      <c r="O962" s="48"/>
    </row>
    <row r="963" spans="9:15" x14ac:dyDescent="0.35">
      <c r="I963" s="52"/>
      <c r="J963" s="28"/>
      <c r="K963" s="29"/>
      <c r="L963" s="28"/>
      <c r="M963" s="19"/>
      <c r="N963" s="19"/>
      <c r="O963" s="48"/>
    </row>
    <row r="964" spans="9:15" x14ac:dyDescent="0.35">
      <c r="I964" s="52"/>
      <c r="J964" s="28"/>
      <c r="K964" s="29"/>
      <c r="L964" s="28"/>
      <c r="M964" s="19"/>
      <c r="N964" s="19"/>
      <c r="O964" s="48"/>
    </row>
    <row r="965" spans="9:15" x14ac:dyDescent="0.35">
      <c r="I965" s="52"/>
      <c r="J965" s="28"/>
      <c r="K965" s="29"/>
      <c r="L965" s="28"/>
      <c r="M965" s="19"/>
      <c r="N965" s="19"/>
      <c r="O965" s="48"/>
    </row>
    <row r="966" spans="9:15" x14ac:dyDescent="0.35">
      <c r="I966" s="52"/>
      <c r="J966" s="28"/>
      <c r="K966" s="29"/>
      <c r="L966" s="28"/>
      <c r="M966" s="19"/>
      <c r="N966" s="19"/>
      <c r="O966" s="48"/>
    </row>
    <row r="967" spans="9:15" x14ac:dyDescent="0.35">
      <c r="I967" s="52"/>
      <c r="J967" s="28"/>
      <c r="K967" s="29"/>
      <c r="L967" s="28"/>
      <c r="M967" s="19"/>
      <c r="N967" s="19"/>
      <c r="O967" s="48"/>
    </row>
    <row r="968" spans="9:15" x14ac:dyDescent="0.35">
      <c r="I968" s="52"/>
      <c r="J968" s="28"/>
      <c r="K968" s="29"/>
      <c r="L968" s="28"/>
      <c r="M968" s="19"/>
      <c r="N968" s="19"/>
      <c r="O968" s="48"/>
    </row>
    <row r="969" spans="9:15" x14ac:dyDescent="0.35">
      <c r="I969" s="52"/>
      <c r="J969" s="28"/>
      <c r="K969" s="29"/>
      <c r="L969" s="28"/>
      <c r="M969" s="19"/>
      <c r="N969" s="19"/>
      <c r="O969" s="48"/>
    </row>
    <row r="970" spans="9:15" x14ac:dyDescent="0.35">
      <c r="I970" s="52"/>
      <c r="J970" s="28"/>
      <c r="K970" s="29"/>
      <c r="L970" s="28"/>
      <c r="M970" s="19"/>
      <c r="N970" s="19"/>
      <c r="O970" s="48"/>
    </row>
    <row r="971" spans="9:15" x14ac:dyDescent="0.35">
      <c r="I971" s="52"/>
      <c r="J971" s="28"/>
      <c r="K971" s="29"/>
      <c r="L971" s="28"/>
      <c r="M971" s="19"/>
      <c r="N971" s="19"/>
      <c r="O971" s="48"/>
    </row>
    <row r="972" spans="9:15" x14ac:dyDescent="0.35">
      <c r="I972" s="52"/>
      <c r="J972" s="28"/>
      <c r="K972" s="29"/>
      <c r="L972" s="28"/>
      <c r="M972" s="19"/>
      <c r="N972" s="19"/>
      <c r="O972" s="48"/>
    </row>
    <row r="973" spans="9:15" x14ac:dyDescent="0.35">
      <c r="I973" s="52"/>
      <c r="J973" s="28"/>
      <c r="K973" s="29"/>
      <c r="L973" s="28"/>
      <c r="M973" s="19"/>
      <c r="N973" s="19"/>
      <c r="O973" s="48"/>
    </row>
    <row r="974" spans="9:15" x14ac:dyDescent="0.35">
      <c r="I974" s="52"/>
      <c r="J974" s="28"/>
      <c r="K974" s="29"/>
      <c r="L974" s="28"/>
      <c r="M974" s="19"/>
      <c r="N974" s="19"/>
      <c r="O974" s="48"/>
    </row>
    <row r="975" spans="9:15" x14ac:dyDescent="0.35">
      <c r="I975" s="52"/>
      <c r="J975" s="28"/>
      <c r="K975" s="29"/>
      <c r="L975" s="28"/>
      <c r="M975" s="19"/>
      <c r="N975" s="19"/>
      <c r="O975" s="48"/>
    </row>
    <row r="976" spans="9:15" x14ac:dyDescent="0.35">
      <c r="I976" s="52"/>
      <c r="J976" s="28"/>
      <c r="K976" s="29"/>
      <c r="L976" s="28"/>
      <c r="M976" s="19"/>
      <c r="N976" s="19"/>
      <c r="O976" s="48"/>
    </row>
    <row r="977" spans="9:15" x14ac:dyDescent="0.35">
      <c r="I977" s="52"/>
      <c r="J977" s="28"/>
      <c r="K977" s="29"/>
      <c r="L977" s="28"/>
      <c r="M977" s="19"/>
      <c r="N977" s="19"/>
      <c r="O977" s="48"/>
    </row>
    <row r="978" spans="9:15" x14ac:dyDescent="0.35">
      <c r="I978" s="52"/>
      <c r="J978" s="28"/>
      <c r="K978" s="29"/>
      <c r="L978" s="28"/>
      <c r="M978" s="19"/>
      <c r="N978" s="19"/>
      <c r="O978" s="48"/>
    </row>
    <row r="979" spans="9:15" x14ac:dyDescent="0.35">
      <c r="I979" s="52"/>
      <c r="J979" s="28"/>
      <c r="K979" s="29"/>
      <c r="L979" s="28"/>
      <c r="M979" s="19"/>
      <c r="N979" s="19"/>
      <c r="O979" s="48"/>
    </row>
    <row r="980" spans="9:15" x14ac:dyDescent="0.35">
      <c r="I980" s="52"/>
      <c r="J980" s="28"/>
      <c r="K980" s="29"/>
      <c r="L980" s="28"/>
      <c r="M980" s="19"/>
      <c r="N980" s="19"/>
      <c r="O980" s="48"/>
    </row>
    <row r="981" spans="9:15" x14ac:dyDescent="0.35">
      <c r="I981" s="52"/>
      <c r="J981" s="28"/>
      <c r="K981" s="29"/>
      <c r="L981" s="28"/>
      <c r="M981" s="19"/>
      <c r="N981" s="19"/>
      <c r="O981" s="48"/>
    </row>
    <row r="982" spans="9:15" x14ac:dyDescent="0.35">
      <c r="I982" s="52"/>
      <c r="J982" s="28"/>
      <c r="K982" s="29"/>
      <c r="L982" s="28"/>
      <c r="M982" s="19"/>
      <c r="N982" s="19"/>
      <c r="O982" s="48"/>
    </row>
    <row r="983" spans="9:15" x14ac:dyDescent="0.35">
      <c r="I983" s="52"/>
      <c r="J983" s="28"/>
      <c r="K983" s="29"/>
      <c r="L983" s="28"/>
      <c r="M983" s="19"/>
      <c r="N983" s="19"/>
      <c r="O983" s="48"/>
    </row>
    <row r="984" spans="9:15" x14ac:dyDescent="0.35">
      <c r="I984" s="52"/>
      <c r="J984" s="28"/>
      <c r="K984" s="29"/>
      <c r="L984" s="28"/>
      <c r="M984" s="19"/>
      <c r="N984" s="19"/>
      <c r="O984" s="48"/>
    </row>
    <row r="985" spans="9:15" x14ac:dyDescent="0.35">
      <c r="I985" s="52"/>
      <c r="J985" s="28"/>
      <c r="K985" s="29"/>
      <c r="L985" s="28"/>
      <c r="M985" s="19"/>
      <c r="N985" s="19"/>
      <c r="O985" s="48"/>
    </row>
    <row r="986" spans="9:15" x14ac:dyDescent="0.35">
      <c r="I986" s="52"/>
      <c r="J986" s="28"/>
      <c r="K986" s="29"/>
      <c r="L986" s="28"/>
      <c r="M986" s="19"/>
      <c r="N986" s="19"/>
      <c r="O986" s="48"/>
    </row>
    <row r="987" spans="9:15" x14ac:dyDescent="0.35">
      <c r="I987" s="52"/>
      <c r="J987" s="28"/>
      <c r="K987" s="29"/>
      <c r="L987" s="28"/>
      <c r="M987" s="19"/>
      <c r="N987" s="19"/>
      <c r="O987" s="48"/>
    </row>
    <row r="988" spans="9:15" x14ac:dyDescent="0.35">
      <c r="I988" s="52"/>
      <c r="J988" s="28"/>
      <c r="K988" s="29"/>
      <c r="L988" s="28"/>
      <c r="M988" s="19"/>
      <c r="N988" s="19"/>
      <c r="O988" s="48"/>
    </row>
    <row r="989" spans="9:15" x14ac:dyDescent="0.35">
      <c r="I989" s="52"/>
      <c r="J989" s="28"/>
      <c r="K989" s="29"/>
      <c r="L989" s="28"/>
      <c r="M989" s="19"/>
      <c r="N989" s="19"/>
      <c r="O989" s="48"/>
    </row>
    <row r="990" spans="9:15" x14ac:dyDescent="0.35">
      <c r="I990" s="52"/>
      <c r="J990" s="28"/>
      <c r="K990" s="29"/>
      <c r="L990" s="28"/>
      <c r="M990" s="19"/>
      <c r="N990" s="19"/>
      <c r="O990" s="48"/>
    </row>
    <row r="991" spans="9:15" x14ac:dyDescent="0.35">
      <c r="I991" s="52"/>
      <c r="J991" s="28"/>
      <c r="K991" s="29"/>
      <c r="L991" s="28"/>
      <c r="M991" s="19"/>
      <c r="N991" s="19"/>
      <c r="O991" s="48"/>
    </row>
    <row r="992" spans="9:15" x14ac:dyDescent="0.35">
      <c r="I992" s="52"/>
      <c r="J992" s="28"/>
      <c r="K992" s="29"/>
      <c r="L992" s="28"/>
      <c r="M992" s="19"/>
      <c r="N992" s="19"/>
      <c r="O992" s="48"/>
    </row>
    <row r="993" spans="9:15" x14ac:dyDescent="0.35">
      <c r="I993" s="52"/>
      <c r="J993" s="28"/>
      <c r="K993" s="29"/>
      <c r="L993" s="28"/>
      <c r="M993" s="19"/>
      <c r="N993" s="19"/>
      <c r="O993" s="48"/>
    </row>
    <row r="994" spans="9:15" x14ac:dyDescent="0.35">
      <c r="I994" s="52"/>
      <c r="J994" s="28"/>
      <c r="K994" s="29"/>
      <c r="L994" s="28"/>
      <c r="M994" s="19"/>
      <c r="N994" s="19"/>
      <c r="O994" s="48"/>
    </row>
    <row r="995" spans="9:15" x14ac:dyDescent="0.35">
      <c r="I995" s="52"/>
      <c r="J995" s="28"/>
      <c r="K995" s="29"/>
      <c r="L995" s="28"/>
      <c r="M995" s="19"/>
      <c r="N995" s="19"/>
      <c r="O995" s="48"/>
    </row>
    <row r="996" spans="9:15" x14ac:dyDescent="0.35">
      <c r="I996" s="52"/>
      <c r="J996" s="28"/>
      <c r="K996" s="29"/>
      <c r="L996" s="28"/>
      <c r="M996" s="19"/>
      <c r="N996" s="19"/>
      <c r="O996" s="48"/>
    </row>
    <row r="997" spans="9:15" x14ac:dyDescent="0.35">
      <c r="I997" s="52"/>
      <c r="J997" s="28"/>
      <c r="K997" s="29"/>
      <c r="L997" s="28"/>
      <c r="M997" s="19"/>
      <c r="N997" s="19"/>
      <c r="O997" s="48"/>
    </row>
    <row r="998" spans="9:15" x14ac:dyDescent="0.35">
      <c r="I998" s="52"/>
      <c r="J998" s="28"/>
      <c r="K998" s="29"/>
      <c r="L998" s="28"/>
      <c r="M998" s="19"/>
      <c r="N998" s="19"/>
      <c r="O998" s="48"/>
    </row>
    <row r="999" spans="9:15" x14ac:dyDescent="0.35">
      <c r="I999" s="52"/>
      <c r="J999" s="28"/>
      <c r="K999" s="29"/>
      <c r="L999" s="28"/>
      <c r="M999" s="19"/>
      <c r="N999" s="19"/>
      <c r="O999" s="48"/>
    </row>
    <row r="1000" spans="9:15" x14ac:dyDescent="0.35">
      <c r="I1000" s="52"/>
      <c r="J1000" s="28"/>
      <c r="K1000" s="29"/>
      <c r="L1000" s="28"/>
      <c r="M1000" s="19"/>
      <c r="N1000" s="19"/>
      <c r="O1000" s="48"/>
    </row>
    <row r="1001" spans="9:15" x14ac:dyDescent="0.35">
      <c r="I1001" s="52"/>
      <c r="J1001" s="28"/>
      <c r="K1001" s="29"/>
      <c r="L1001" s="28"/>
      <c r="M1001" s="19"/>
      <c r="N1001" s="19"/>
      <c r="O1001" s="48"/>
    </row>
    <row r="1002" spans="9:15" x14ac:dyDescent="0.35">
      <c r="I1002" s="52"/>
      <c r="J1002" s="28"/>
      <c r="K1002" s="29"/>
      <c r="L1002" s="28"/>
      <c r="M1002" s="19"/>
      <c r="N1002" s="19"/>
      <c r="O1002" s="48"/>
    </row>
    <row r="1003" spans="9:15" x14ac:dyDescent="0.35">
      <c r="I1003" s="52"/>
      <c r="J1003" s="28"/>
      <c r="K1003" s="29"/>
      <c r="L1003" s="28"/>
      <c r="M1003" s="19"/>
      <c r="N1003" s="19"/>
      <c r="O1003" s="48"/>
    </row>
    <row r="1004" spans="9:15" x14ac:dyDescent="0.35">
      <c r="I1004" s="52"/>
      <c r="J1004" s="28"/>
      <c r="K1004" s="29"/>
      <c r="L1004" s="28"/>
      <c r="M1004" s="19"/>
      <c r="N1004" s="19"/>
      <c r="O1004" s="48"/>
    </row>
    <row r="1005" spans="9:15" x14ac:dyDescent="0.35">
      <c r="I1005" s="52"/>
      <c r="J1005" s="28"/>
      <c r="K1005" s="29"/>
      <c r="L1005" s="28"/>
      <c r="M1005" s="19"/>
      <c r="N1005" s="19"/>
      <c r="O1005" s="48"/>
    </row>
    <row r="1006" spans="9:15" x14ac:dyDescent="0.35">
      <c r="I1006" s="52"/>
      <c r="J1006" s="28"/>
      <c r="K1006" s="29"/>
      <c r="L1006" s="28"/>
      <c r="M1006" s="19"/>
      <c r="N1006" s="19"/>
      <c r="O1006" s="48"/>
    </row>
    <row r="1007" spans="9:15" x14ac:dyDescent="0.35">
      <c r="I1007" s="52"/>
      <c r="J1007" s="28"/>
      <c r="K1007" s="29"/>
      <c r="L1007" s="28"/>
      <c r="M1007" s="19"/>
      <c r="N1007" s="19"/>
      <c r="O1007" s="48"/>
    </row>
    <row r="1008" spans="9:15" x14ac:dyDescent="0.35">
      <c r="I1008" s="52"/>
      <c r="J1008" s="28"/>
      <c r="K1008" s="29"/>
      <c r="L1008" s="28"/>
      <c r="M1008" s="19"/>
      <c r="N1008" s="19"/>
      <c r="O1008" s="48"/>
    </row>
    <row r="1009" spans="9:15" x14ac:dyDescent="0.35">
      <c r="I1009" s="52"/>
      <c r="J1009" s="28"/>
      <c r="K1009" s="29"/>
      <c r="L1009" s="28"/>
      <c r="M1009" s="19"/>
      <c r="N1009" s="19"/>
      <c r="O1009" s="48"/>
    </row>
    <row r="1010" spans="9:15" x14ac:dyDescent="0.35">
      <c r="I1010" s="52"/>
      <c r="J1010" s="28"/>
      <c r="K1010" s="29"/>
      <c r="L1010" s="28"/>
      <c r="M1010" s="19"/>
      <c r="N1010" s="19"/>
      <c r="O1010" s="48"/>
    </row>
    <row r="1011" spans="9:15" x14ac:dyDescent="0.35">
      <c r="I1011" s="52"/>
      <c r="J1011" s="28"/>
      <c r="K1011" s="29"/>
      <c r="L1011" s="28"/>
      <c r="M1011" s="19"/>
      <c r="N1011" s="19"/>
      <c r="O1011" s="48"/>
    </row>
    <row r="1012" spans="9:15" x14ac:dyDescent="0.35">
      <c r="I1012" s="52"/>
      <c r="J1012" s="28"/>
      <c r="K1012" s="29"/>
      <c r="L1012" s="28"/>
      <c r="M1012" s="19"/>
      <c r="N1012" s="19"/>
      <c r="O1012" s="48"/>
    </row>
    <row r="1013" spans="9:15" x14ac:dyDescent="0.35">
      <c r="I1013" s="52"/>
      <c r="J1013" s="28"/>
      <c r="K1013" s="29"/>
      <c r="L1013" s="28"/>
      <c r="M1013" s="19"/>
      <c r="N1013" s="19"/>
      <c r="O1013" s="48"/>
    </row>
    <row r="1014" spans="9:15" x14ac:dyDescent="0.35">
      <c r="I1014" s="52"/>
      <c r="J1014" s="28"/>
      <c r="K1014" s="29"/>
      <c r="L1014" s="28"/>
      <c r="M1014" s="19"/>
      <c r="N1014" s="19"/>
      <c r="O1014" s="48"/>
    </row>
    <row r="1015" spans="9:15" x14ac:dyDescent="0.35">
      <c r="I1015" s="52"/>
      <c r="J1015" s="28"/>
      <c r="K1015" s="29"/>
      <c r="L1015" s="28"/>
      <c r="M1015" s="19"/>
      <c r="N1015" s="19"/>
      <c r="O1015" s="48"/>
    </row>
    <row r="1016" spans="9:15" x14ac:dyDescent="0.35">
      <c r="I1016" s="52"/>
      <c r="J1016" s="28"/>
      <c r="K1016" s="29"/>
      <c r="L1016" s="28"/>
      <c r="M1016" s="19"/>
      <c r="N1016" s="19"/>
      <c r="O1016" s="48"/>
    </row>
    <row r="1017" spans="9:15" x14ac:dyDescent="0.35">
      <c r="I1017" s="52"/>
      <c r="J1017" s="28"/>
      <c r="K1017" s="29"/>
      <c r="L1017" s="28"/>
      <c r="M1017" s="19"/>
      <c r="N1017" s="19"/>
      <c r="O1017" s="48"/>
    </row>
    <row r="1018" spans="9:15" x14ac:dyDescent="0.35">
      <c r="I1018" s="52"/>
      <c r="J1018" s="28"/>
      <c r="K1018" s="29"/>
      <c r="L1018" s="28"/>
      <c r="M1018" s="19"/>
      <c r="N1018" s="19"/>
      <c r="O1018" s="48"/>
    </row>
    <row r="1019" spans="9:15" x14ac:dyDescent="0.35">
      <c r="I1019" s="52"/>
      <c r="J1019" s="28"/>
      <c r="K1019" s="29"/>
      <c r="L1019" s="28"/>
      <c r="M1019" s="19"/>
      <c r="N1019" s="19"/>
      <c r="O1019" s="48"/>
    </row>
    <row r="1020" spans="9:15" x14ac:dyDescent="0.35">
      <c r="I1020" s="52"/>
      <c r="J1020" s="28"/>
      <c r="K1020" s="29"/>
      <c r="L1020" s="28"/>
      <c r="M1020" s="19"/>
      <c r="N1020" s="19"/>
      <c r="O1020" s="48"/>
    </row>
    <row r="1021" spans="9:15" x14ac:dyDescent="0.35">
      <c r="I1021" s="52"/>
      <c r="J1021" s="28"/>
      <c r="K1021" s="29"/>
      <c r="L1021" s="28"/>
      <c r="M1021" s="19"/>
      <c r="N1021" s="19"/>
      <c r="O1021" s="48"/>
    </row>
    <row r="1022" spans="9:15" x14ac:dyDescent="0.35">
      <c r="I1022" s="52"/>
      <c r="J1022" s="28"/>
      <c r="K1022" s="29"/>
      <c r="L1022" s="28"/>
      <c r="M1022" s="19"/>
      <c r="N1022" s="19"/>
      <c r="O1022" s="48"/>
    </row>
    <row r="1023" spans="9:15" x14ac:dyDescent="0.35">
      <c r="I1023" s="52"/>
      <c r="J1023" s="28"/>
      <c r="K1023" s="29"/>
      <c r="L1023" s="28"/>
      <c r="M1023" s="19"/>
      <c r="N1023" s="19"/>
      <c r="O1023" s="48"/>
    </row>
    <row r="1024" spans="9:15" x14ac:dyDescent="0.35">
      <c r="I1024" s="52"/>
      <c r="J1024" s="28"/>
      <c r="K1024" s="29"/>
      <c r="L1024" s="28"/>
      <c r="M1024" s="19"/>
      <c r="N1024" s="19"/>
      <c r="O1024" s="48"/>
    </row>
    <row r="1025" spans="9:15" x14ac:dyDescent="0.35">
      <c r="I1025" s="52"/>
      <c r="J1025" s="28"/>
      <c r="K1025" s="29"/>
      <c r="L1025" s="28"/>
      <c r="M1025" s="19"/>
      <c r="N1025" s="19"/>
      <c r="O1025" s="48"/>
    </row>
    <row r="1026" spans="9:15" x14ac:dyDescent="0.35">
      <c r="I1026" s="52"/>
      <c r="J1026" s="28"/>
      <c r="K1026" s="29"/>
      <c r="L1026" s="28"/>
      <c r="M1026" s="19"/>
      <c r="N1026" s="19"/>
      <c r="O1026" s="48"/>
    </row>
    <row r="1027" spans="9:15" x14ac:dyDescent="0.35">
      <c r="I1027" s="52"/>
      <c r="J1027" s="28"/>
      <c r="K1027" s="29"/>
      <c r="L1027" s="28"/>
      <c r="M1027" s="19"/>
      <c r="N1027" s="19"/>
      <c r="O1027" s="48"/>
    </row>
    <row r="1028" spans="9:15" x14ac:dyDescent="0.35">
      <c r="I1028" s="52"/>
      <c r="J1028" s="28"/>
      <c r="K1028" s="29"/>
      <c r="L1028" s="28"/>
      <c r="M1028" s="19"/>
      <c r="N1028" s="19"/>
      <c r="O1028" s="48"/>
    </row>
    <row r="1029" spans="9:15" x14ac:dyDescent="0.35">
      <c r="I1029" s="52"/>
      <c r="J1029" s="28"/>
      <c r="K1029" s="29"/>
      <c r="L1029" s="28"/>
      <c r="M1029" s="19"/>
      <c r="N1029" s="19"/>
      <c r="O1029" s="48"/>
    </row>
    <row r="1030" spans="9:15" x14ac:dyDescent="0.35">
      <c r="I1030" s="52"/>
      <c r="J1030" s="28"/>
      <c r="K1030" s="29"/>
      <c r="L1030" s="28"/>
      <c r="M1030" s="19"/>
      <c r="N1030" s="19"/>
      <c r="O1030" s="48"/>
    </row>
    <row r="1031" spans="9:15" x14ac:dyDescent="0.35">
      <c r="I1031" s="52"/>
      <c r="J1031" s="28"/>
      <c r="K1031" s="29"/>
      <c r="L1031" s="28"/>
      <c r="M1031" s="19"/>
      <c r="N1031" s="19"/>
      <c r="O1031" s="48"/>
    </row>
    <row r="1032" spans="9:15" x14ac:dyDescent="0.35">
      <c r="I1032" s="52"/>
      <c r="J1032" s="28"/>
      <c r="K1032" s="29"/>
      <c r="L1032" s="28"/>
      <c r="M1032" s="19"/>
      <c r="N1032" s="19"/>
      <c r="O1032" s="48"/>
    </row>
    <row r="1033" spans="9:15" x14ac:dyDescent="0.35">
      <c r="I1033" s="52"/>
      <c r="J1033" s="28"/>
      <c r="K1033" s="29"/>
      <c r="L1033" s="28"/>
      <c r="M1033" s="19"/>
      <c r="N1033" s="19"/>
      <c r="O1033" s="48"/>
    </row>
    <row r="1034" spans="9:15" x14ac:dyDescent="0.35">
      <c r="I1034" s="52"/>
      <c r="J1034" s="28"/>
      <c r="K1034" s="29"/>
      <c r="L1034" s="28"/>
      <c r="M1034" s="19"/>
      <c r="N1034" s="19"/>
      <c r="O1034" s="48"/>
    </row>
    <row r="1035" spans="9:15" x14ac:dyDescent="0.35">
      <c r="I1035" s="52"/>
      <c r="J1035" s="28"/>
      <c r="K1035" s="29"/>
      <c r="L1035" s="28"/>
      <c r="M1035" s="19"/>
      <c r="N1035" s="19"/>
      <c r="O1035" s="48"/>
    </row>
    <row r="1036" spans="9:15" x14ac:dyDescent="0.35">
      <c r="I1036" s="52"/>
      <c r="J1036" s="28"/>
      <c r="K1036" s="29"/>
      <c r="L1036" s="28"/>
      <c r="M1036" s="19"/>
      <c r="N1036" s="19"/>
      <c r="O1036" s="48"/>
    </row>
    <row r="1037" spans="9:15" x14ac:dyDescent="0.35">
      <c r="I1037" s="52"/>
      <c r="J1037" s="28"/>
      <c r="K1037" s="29"/>
      <c r="L1037" s="28"/>
      <c r="M1037" s="19"/>
      <c r="N1037" s="19"/>
      <c r="O1037" s="48"/>
    </row>
    <row r="1038" spans="9:15" x14ac:dyDescent="0.35">
      <c r="I1038" s="52"/>
      <c r="J1038" s="28"/>
      <c r="K1038" s="29"/>
      <c r="L1038" s="28"/>
      <c r="M1038" s="19"/>
      <c r="N1038" s="19"/>
      <c r="O1038" s="48"/>
    </row>
    <row r="1039" spans="9:15" x14ac:dyDescent="0.35">
      <c r="I1039" s="52"/>
      <c r="J1039" s="28"/>
      <c r="K1039" s="29"/>
      <c r="L1039" s="28"/>
      <c r="M1039" s="19"/>
      <c r="N1039" s="19"/>
      <c r="O1039" s="48"/>
    </row>
    <row r="1040" spans="9:15" x14ac:dyDescent="0.35">
      <c r="I1040" s="52"/>
      <c r="J1040" s="28"/>
      <c r="K1040" s="29"/>
      <c r="L1040" s="28"/>
      <c r="M1040" s="19"/>
      <c r="N1040" s="19"/>
      <c r="O1040" s="48"/>
    </row>
    <row r="1041" spans="9:15" x14ac:dyDescent="0.35">
      <c r="I1041" s="52"/>
      <c r="J1041" s="28"/>
      <c r="K1041" s="29"/>
      <c r="L1041" s="28"/>
      <c r="M1041" s="19"/>
      <c r="N1041" s="19"/>
      <c r="O1041" s="48"/>
    </row>
    <row r="1042" spans="9:15" x14ac:dyDescent="0.35">
      <c r="I1042" s="52"/>
      <c r="J1042" s="28"/>
      <c r="K1042" s="29"/>
      <c r="L1042" s="28"/>
      <c r="M1042" s="19"/>
      <c r="N1042" s="19"/>
      <c r="O1042" s="48"/>
    </row>
    <row r="1043" spans="9:15" x14ac:dyDescent="0.35">
      <c r="I1043" s="52"/>
      <c r="J1043" s="28"/>
      <c r="K1043" s="29"/>
      <c r="L1043" s="28"/>
      <c r="M1043" s="19"/>
      <c r="N1043" s="19"/>
      <c r="O1043" s="48"/>
    </row>
    <row r="1044" spans="9:15" x14ac:dyDescent="0.35">
      <c r="I1044" s="52"/>
      <c r="J1044" s="28"/>
      <c r="K1044" s="29"/>
      <c r="L1044" s="28"/>
      <c r="M1044" s="19"/>
      <c r="N1044" s="19"/>
      <c r="O1044" s="48"/>
    </row>
    <row r="1045" spans="9:15" x14ac:dyDescent="0.35">
      <c r="I1045" s="52"/>
      <c r="J1045" s="28"/>
      <c r="K1045" s="29"/>
      <c r="L1045" s="28"/>
      <c r="M1045" s="19"/>
      <c r="N1045" s="19"/>
      <c r="O1045" s="48"/>
    </row>
    <row r="1046" spans="9:15" x14ac:dyDescent="0.35">
      <c r="I1046" s="52"/>
      <c r="J1046" s="28"/>
      <c r="K1046" s="29"/>
      <c r="L1046" s="28"/>
      <c r="M1046" s="19"/>
      <c r="N1046" s="19"/>
      <c r="O1046" s="48"/>
    </row>
    <row r="1047" spans="9:15" x14ac:dyDescent="0.35">
      <c r="I1047" s="52"/>
      <c r="J1047" s="28"/>
      <c r="K1047" s="29"/>
      <c r="L1047" s="28"/>
      <c r="M1047" s="19"/>
      <c r="N1047" s="19"/>
      <c r="O1047" s="48"/>
    </row>
    <row r="1048" spans="9:15" x14ac:dyDescent="0.35">
      <c r="I1048" s="52"/>
      <c r="J1048" s="28"/>
      <c r="K1048" s="29"/>
      <c r="L1048" s="28"/>
      <c r="M1048" s="19"/>
      <c r="N1048" s="19"/>
      <c r="O1048" s="48"/>
    </row>
    <row r="1049" spans="9:15" x14ac:dyDescent="0.35">
      <c r="I1049" s="52"/>
      <c r="J1049" s="28"/>
      <c r="K1049" s="29"/>
      <c r="L1049" s="28"/>
      <c r="M1049" s="19"/>
      <c r="N1049" s="19"/>
      <c r="O1049" s="48"/>
    </row>
    <row r="1050" spans="9:15" x14ac:dyDescent="0.35">
      <c r="I1050" s="52"/>
      <c r="J1050" s="28"/>
      <c r="K1050" s="29"/>
      <c r="L1050" s="28"/>
      <c r="M1050" s="19"/>
      <c r="N1050" s="19"/>
      <c r="O1050" s="48"/>
    </row>
    <row r="1051" spans="9:15" x14ac:dyDescent="0.35">
      <c r="I1051" s="52"/>
      <c r="J1051" s="28"/>
      <c r="K1051" s="29"/>
      <c r="L1051" s="28"/>
      <c r="M1051" s="19"/>
      <c r="N1051" s="19"/>
      <c r="O1051" s="48"/>
    </row>
    <row r="1052" spans="9:15" x14ac:dyDescent="0.35">
      <c r="I1052" s="52"/>
      <c r="J1052" s="28"/>
      <c r="K1052" s="29"/>
      <c r="L1052" s="28"/>
      <c r="M1052" s="19"/>
      <c r="N1052" s="19"/>
      <c r="O1052" s="48"/>
    </row>
    <row r="1053" spans="9:15" x14ac:dyDescent="0.35">
      <c r="I1053" s="52"/>
      <c r="J1053" s="28"/>
      <c r="K1053" s="29"/>
      <c r="L1053" s="28"/>
      <c r="M1053" s="19"/>
      <c r="N1053" s="19"/>
      <c r="O1053" s="48"/>
    </row>
    <row r="1054" spans="9:15" x14ac:dyDescent="0.35">
      <c r="I1054" s="52"/>
      <c r="J1054" s="28"/>
      <c r="K1054" s="29"/>
      <c r="L1054" s="28"/>
      <c r="M1054" s="19"/>
      <c r="N1054" s="19"/>
      <c r="O1054" s="48"/>
    </row>
    <row r="1055" spans="9:15" x14ac:dyDescent="0.35">
      <c r="I1055" s="52"/>
      <c r="J1055" s="28"/>
      <c r="K1055" s="29"/>
      <c r="L1055" s="28"/>
      <c r="M1055" s="19"/>
      <c r="N1055" s="19"/>
      <c r="O1055" s="48"/>
    </row>
    <row r="1056" spans="9:15" x14ac:dyDescent="0.35">
      <c r="I1056" s="52"/>
      <c r="J1056" s="28"/>
      <c r="K1056" s="29"/>
      <c r="L1056" s="28"/>
      <c r="M1056" s="19"/>
      <c r="N1056" s="19"/>
      <c r="O1056" s="48"/>
    </row>
    <row r="1057" spans="9:15" x14ac:dyDescent="0.35">
      <c r="I1057" s="52"/>
      <c r="J1057" s="28"/>
      <c r="K1057" s="29"/>
      <c r="L1057" s="28"/>
      <c r="M1057" s="19"/>
      <c r="N1057" s="19"/>
      <c r="O1057" s="48"/>
    </row>
    <row r="1058" spans="9:15" x14ac:dyDescent="0.35">
      <c r="I1058" s="52"/>
      <c r="J1058" s="28"/>
      <c r="K1058" s="29"/>
      <c r="L1058" s="28"/>
      <c r="M1058" s="19"/>
      <c r="N1058" s="19"/>
      <c r="O1058" s="48"/>
    </row>
    <row r="1059" spans="9:15" x14ac:dyDescent="0.35">
      <c r="I1059" s="52"/>
      <c r="J1059" s="28"/>
      <c r="K1059" s="29"/>
      <c r="L1059" s="28"/>
      <c r="M1059" s="19"/>
      <c r="N1059" s="19"/>
      <c r="O1059" s="48"/>
    </row>
    <row r="1060" spans="9:15" x14ac:dyDescent="0.35">
      <c r="I1060" s="52"/>
      <c r="J1060" s="28"/>
      <c r="K1060" s="29"/>
      <c r="L1060" s="28"/>
      <c r="M1060" s="19"/>
      <c r="N1060" s="19"/>
      <c r="O1060" s="48"/>
    </row>
    <row r="1061" spans="9:15" x14ac:dyDescent="0.35">
      <c r="I1061" s="52"/>
      <c r="J1061" s="28"/>
      <c r="K1061" s="29"/>
      <c r="L1061" s="28"/>
      <c r="M1061" s="19"/>
      <c r="N1061" s="19"/>
      <c r="O1061" s="48"/>
    </row>
    <row r="1062" spans="9:15" x14ac:dyDescent="0.35">
      <c r="I1062" s="52"/>
      <c r="J1062" s="28"/>
      <c r="K1062" s="29"/>
      <c r="L1062" s="28"/>
      <c r="M1062" s="19"/>
      <c r="N1062" s="19"/>
      <c r="O1062" s="48"/>
    </row>
    <row r="1063" spans="9:15" x14ac:dyDescent="0.35">
      <c r="I1063" s="52"/>
      <c r="J1063" s="28"/>
      <c r="K1063" s="29"/>
      <c r="L1063" s="28"/>
      <c r="M1063" s="19"/>
      <c r="N1063" s="19"/>
      <c r="O1063" s="48"/>
    </row>
    <row r="1064" spans="9:15" x14ac:dyDescent="0.35">
      <c r="I1064" s="52"/>
      <c r="J1064" s="28"/>
      <c r="K1064" s="29"/>
      <c r="L1064" s="28"/>
      <c r="M1064" s="19"/>
      <c r="N1064" s="19"/>
      <c r="O1064" s="48"/>
    </row>
    <row r="1065" spans="9:15" x14ac:dyDescent="0.35">
      <c r="I1065" s="52"/>
      <c r="J1065" s="28"/>
      <c r="K1065" s="29"/>
      <c r="L1065" s="28"/>
      <c r="M1065" s="19"/>
      <c r="N1065" s="19"/>
      <c r="O1065" s="48"/>
    </row>
    <row r="1066" spans="9:15" x14ac:dyDescent="0.35">
      <c r="I1066" s="52"/>
      <c r="J1066" s="28"/>
      <c r="K1066" s="29"/>
      <c r="L1066" s="28"/>
      <c r="M1066" s="19"/>
      <c r="N1066" s="19"/>
      <c r="O1066" s="48"/>
    </row>
    <row r="1067" spans="9:15" x14ac:dyDescent="0.35">
      <c r="I1067" s="52"/>
      <c r="J1067" s="28"/>
      <c r="K1067" s="29"/>
      <c r="L1067" s="28"/>
      <c r="M1067" s="19"/>
      <c r="N1067" s="19"/>
      <c r="O1067" s="48"/>
    </row>
    <row r="1068" spans="9:15" x14ac:dyDescent="0.35">
      <c r="I1068" s="52"/>
      <c r="J1068" s="28"/>
      <c r="K1068" s="29"/>
      <c r="L1068" s="28"/>
      <c r="M1068" s="19"/>
      <c r="N1068" s="19"/>
      <c r="O1068" s="48"/>
    </row>
    <row r="1069" spans="9:15" x14ac:dyDescent="0.35">
      <c r="I1069" s="52"/>
      <c r="J1069" s="28"/>
      <c r="K1069" s="29"/>
      <c r="L1069" s="28"/>
      <c r="M1069" s="19"/>
      <c r="N1069" s="19"/>
      <c r="O1069" s="48"/>
    </row>
    <row r="1070" spans="9:15" x14ac:dyDescent="0.35">
      <c r="I1070" s="52"/>
      <c r="J1070" s="28"/>
      <c r="K1070" s="29"/>
      <c r="L1070" s="28"/>
      <c r="M1070" s="19"/>
      <c r="N1070" s="19"/>
      <c r="O1070" s="48"/>
    </row>
    <row r="1071" spans="9:15" x14ac:dyDescent="0.35">
      <c r="I1071" s="52"/>
      <c r="J1071" s="28"/>
      <c r="K1071" s="29"/>
      <c r="L1071" s="28"/>
      <c r="M1071" s="19"/>
      <c r="N1071" s="19"/>
      <c r="O1071" s="48"/>
    </row>
    <row r="1072" spans="9:15" x14ac:dyDescent="0.35">
      <c r="I1072" s="52"/>
      <c r="J1072" s="28"/>
      <c r="K1072" s="29"/>
      <c r="L1072" s="28"/>
      <c r="M1072" s="19"/>
      <c r="N1072" s="19"/>
      <c r="O1072" s="48"/>
    </row>
    <row r="1073" spans="9:15" x14ac:dyDescent="0.35">
      <c r="I1073" s="52"/>
      <c r="J1073" s="28"/>
      <c r="K1073" s="29"/>
      <c r="L1073" s="28"/>
      <c r="M1073" s="19"/>
      <c r="N1073" s="19"/>
      <c r="O1073" s="48"/>
    </row>
    <row r="1074" spans="9:15" x14ac:dyDescent="0.35">
      <c r="I1074" s="52"/>
      <c r="J1074" s="28"/>
      <c r="K1074" s="29"/>
      <c r="L1074" s="28"/>
      <c r="M1074" s="19"/>
      <c r="N1074" s="19"/>
      <c r="O1074" s="48"/>
    </row>
    <row r="1075" spans="9:15" x14ac:dyDescent="0.35">
      <c r="I1075" s="52"/>
      <c r="J1075" s="28"/>
      <c r="K1075" s="29"/>
      <c r="L1075" s="28"/>
      <c r="M1075" s="19"/>
      <c r="N1075" s="19"/>
      <c r="O1075" s="48"/>
    </row>
    <row r="1076" spans="9:15" x14ac:dyDescent="0.35">
      <c r="I1076" s="52"/>
      <c r="J1076" s="28"/>
      <c r="K1076" s="29"/>
      <c r="L1076" s="28"/>
      <c r="M1076" s="19"/>
      <c r="N1076" s="19"/>
      <c r="O1076" s="48"/>
    </row>
    <row r="1077" spans="9:15" x14ac:dyDescent="0.35">
      <c r="I1077" s="52"/>
      <c r="J1077" s="28"/>
      <c r="K1077" s="29"/>
      <c r="L1077" s="28"/>
      <c r="M1077" s="19"/>
      <c r="N1077" s="19"/>
      <c r="O1077" s="48"/>
    </row>
    <row r="1078" spans="9:15" x14ac:dyDescent="0.35">
      <c r="I1078" s="52"/>
      <c r="J1078" s="28"/>
      <c r="K1078" s="29"/>
      <c r="L1078" s="28"/>
      <c r="M1078" s="19"/>
      <c r="N1078" s="19"/>
      <c r="O1078" s="48"/>
    </row>
    <row r="1079" spans="9:15" x14ac:dyDescent="0.35">
      <c r="I1079" s="52"/>
      <c r="J1079" s="28"/>
      <c r="K1079" s="29"/>
      <c r="L1079" s="28"/>
      <c r="M1079" s="19"/>
      <c r="N1079" s="19"/>
      <c r="O1079" s="48"/>
    </row>
    <row r="1080" spans="9:15" x14ac:dyDescent="0.35">
      <c r="I1080" s="52"/>
      <c r="J1080" s="28"/>
      <c r="K1080" s="29"/>
      <c r="L1080" s="28"/>
      <c r="M1080" s="19"/>
      <c r="N1080" s="19"/>
      <c r="O1080" s="48"/>
    </row>
    <row r="1081" spans="9:15" x14ac:dyDescent="0.35">
      <c r="I1081" s="52"/>
      <c r="J1081" s="28"/>
      <c r="K1081" s="29"/>
      <c r="L1081" s="28"/>
      <c r="M1081" s="19"/>
      <c r="N1081" s="19"/>
      <c r="O1081" s="48"/>
    </row>
    <row r="1082" spans="9:15" x14ac:dyDescent="0.35">
      <c r="I1082" s="52"/>
      <c r="J1082" s="28"/>
      <c r="K1082" s="29"/>
      <c r="L1082" s="28"/>
      <c r="M1082" s="19"/>
      <c r="N1082" s="19"/>
      <c r="O1082" s="48"/>
    </row>
    <row r="1083" spans="9:15" x14ac:dyDescent="0.35">
      <c r="I1083" s="52"/>
      <c r="J1083" s="28"/>
      <c r="K1083" s="29"/>
      <c r="L1083" s="28"/>
      <c r="M1083" s="19"/>
      <c r="N1083" s="19"/>
      <c r="O1083" s="48"/>
    </row>
    <row r="1084" spans="9:15" x14ac:dyDescent="0.35">
      <c r="I1084" s="52"/>
      <c r="J1084" s="28"/>
      <c r="K1084" s="29"/>
      <c r="L1084" s="28"/>
      <c r="M1084" s="19"/>
      <c r="N1084" s="19"/>
      <c r="O1084" s="48"/>
    </row>
    <row r="1085" spans="9:15" x14ac:dyDescent="0.35">
      <c r="I1085" s="52"/>
      <c r="J1085" s="28"/>
      <c r="K1085" s="29"/>
      <c r="L1085" s="28"/>
      <c r="M1085" s="19"/>
      <c r="N1085" s="19"/>
      <c r="O1085" s="48"/>
    </row>
    <row r="1086" spans="9:15" x14ac:dyDescent="0.35">
      <c r="I1086" s="52"/>
      <c r="J1086" s="28"/>
      <c r="K1086" s="29"/>
      <c r="L1086" s="28"/>
      <c r="M1086" s="19"/>
      <c r="N1086" s="19"/>
      <c r="O1086" s="48"/>
    </row>
    <row r="1087" spans="9:15" x14ac:dyDescent="0.35">
      <c r="I1087" s="52"/>
      <c r="J1087" s="28"/>
      <c r="K1087" s="29"/>
      <c r="L1087" s="28"/>
      <c r="M1087" s="19"/>
      <c r="N1087" s="19"/>
      <c r="O1087" s="48"/>
    </row>
    <row r="1088" spans="9:15" x14ac:dyDescent="0.35">
      <c r="I1088" s="52"/>
      <c r="J1088" s="28"/>
      <c r="K1088" s="29"/>
      <c r="L1088" s="28"/>
      <c r="M1088" s="19"/>
      <c r="N1088" s="19"/>
      <c r="O1088" s="48"/>
    </row>
    <row r="1089" spans="9:15" x14ac:dyDescent="0.35">
      <c r="I1089" s="52"/>
      <c r="J1089" s="28"/>
      <c r="K1089" s="29"/>
      <c r="L1089" s="28"/>
      <c r="M1089" s="19"/>
      <c r="N1089" s="19"/>
      <c r="O1089" s="48"/>
    </row>
    <row r="1090" spans="9:15" x14ac:dyDescent="0.35">
      <c r="I1090" s="52"/>
      <c r="J1090" s="28"/>
      <c r="K1090" s="29"/>
      <c r="L1090" s="28"/>
      <c r="M1090" s="19"/>
      <c r="N1090" s="19"/>
      <c r="O1090" s="48"/>
    </row>
    <row r="1091" spans="9:15" x14ac:dyDescent="0.35">
      <c r="I1091" s="52"/>
      <c r="J1091" s="28"/>
      <c r="K1091" s="29"/>
      <c r="L1091" s="28"/>
      <c r="M1091" s="19"/>
      <c r="N1091" s="19"/>
      <c r="O1091" s="48"/>
    </row>
    <row r="1092" spans="9:15" x14ac:dyDescent="0.35">
      <c r="I1092" s="52"/>
      <c r="J1092" s="28"/>
      <c r="K1092" s="29"/>
      <c r="L1092" s="28"/>
      <c r="M1092" s="19"/>
      <c r="N1092" s="19"/>
      <c r="O1092" s="48"/>
    </row>
    <row r="1093" spans="9:15" x14ac:dyDescent="0.35">
      <c r="I1093" s="52"/>
      <c r="J1093" s="28"/>
      <c r="K1093" s="29"/>
      <c r="L1093" s="28"/>
      <c r="M1093" s="19"/>
      <c r="N1093" s="19"/>
      <c r="O1093" s="48"/>
    </row>
    <row r="1094" spans="9:15" x14ac:dyDescent="0.35">
      <c r="I1094" s="52"/>
      <c r="J1094" s="28"/>
      <c r="K1094" s="29"/>
      <c r="L1094" s="28"/>
      <c r="M1094" s="19"/>
      <c r="N1094" s="19"/>
      <c r="O1094" s="48"/>
    </row>
    <row r="1095" spans="9:15" x14ac:dyDescent="0.35">
      <c r="I1095" s="52"/>
      <c r="J1095" s="28"/>
      <c r="K1095" s="29"/>
      <c r="L1095" s="28"/>
      <c r="M1095" s="19"/>
      <c r="N1095" s="19"/>
      <c r="O1095" s="48"/>
    </row>
    <row r="1096" spans="9:15" x14ac:dyDescent="0.35">
      <c r="I1096" s="52"/>
      <c r="J1096" s="28"/>
      <c r="K1096" s="29"/>
      <c r="L1096" s="28"/>
      <c r="M1096" s="19"/>
      <c r="N1096" s="19"/>
      <c r="O1096" s="48"/>
    </row>
    <row r="1097" spans="9:15" x14ac:dyDescent="0.35">
      <c r="I1097" s="52"/>
      <c r="J1097" s="28"/>
      <c r="K1097" s="29"/>
      <c r="L1097" s="28"/>
      <c r="M1097" s="19"/>
      <c r="N1097" s="19"/>
      <c r="O1097" s="48"/>
    </row>
    <row r="1098" spans="9:15" x14ac:dyDescent="0.35">
      <c r="I1098" s="52"/>
      <c r="J1098" s="28"/>
      <c r="K1098" s="29"/>
      <c r="L1098" s="28"/>
      <c r="M1098" s="19"/>
      <c r="N1098" s="19"/>
      <c r="O1098" s="48"/>
    </row>
    <row r="1099" spans="9:15" x14ac:dyDescent="0.35">
      <c r="I1099" s="52"/>
      <c r="J1099" s="28"/>
      <c r="K1099" s="29"/>
      <c r="L1099" s="28"/>
      <c r="M1099" s="19"/>
      <c r="N1099" s="19"/>
      <c r="O1099" s="48"/>
    </row>
    <row r="1100" spans="9:15" x14ac:dyDescent="0.35">
      <c r="I1100" s="52"/>
      <c r="J1100" s="28"/>
      <c r="K1100" s="29"/>
      <c r="L1100" s="28"/>
      <c r="M1100" s="19"/>
      <c r="N1100" s="19"/>
      <c r="O1100" s="48"/>
    </row>
    <row r="1101" spans="9:15" x14ac:dyDescent="0.35">
      <c r="I1101" s="52"/>
      <c r="J1101" s="28"/>
      <c r="K1101" s="29"/>
      <c r="L1101" s="28"/>
      <c r="M1101" s="19"/>
      <c r="N1101" s="19"/>
      <c r="O1101" s="48"/>
    </row>
    <row r="1102" spans="9:15" x14ac:dyDescent="0.35">
      <c r="I1102" s="52"/>
      <c r="J1102" s="28"/>
      <c r="K1102" s="29"/>
      <c r="L1102" s="28"/>
      <c r="M1102" s="19"/>
      <c r="N1102" s="19"/>
      <c r="O1102" s="48"/>
    </row>
    <row r="1103" spans="9:15" x14ac:dyDescent="0.35">
      <c r="I1103" s="52"/>
      <c r="J1103" s="28"/>
      <c r="K1103" s="29"/>
      <c r="L1103" s="28"/>
      <c r="M1103" s="19"/>
      <c r="N1103" s="19"/>
      <c r="O1103" s="48"/>
    </row>
    <row r="1104" spans="9:15" x14ac:dyDescent="0.35">
      <c r="I1104" s="52"/>
      <c r="J1104" s="28"/>
      <c r="K1104" s="29"/>
      <c r="L1104" s="28"/>
      <c r="M1104" s="19"/>
      <c r="N1104" s="19"/>
      <c r="O1104" s="48"/>
    </row>
    <row r="1105" spans="9:15" x14ac:dyDescent="0.35">
      <c r="I1105" s="52"/>
      <c r="J1105" s="28"/>
      <c r="K1105" s="29"/>
      <c r="L1105" s="28"/>
      <c r="M1105" s="19"/>
      <c r="N1105" s="19"/>
      <c r="O1105" s="48"/>
    </row>
    <row r="1106" spans="9:15" x14ac:dyDescent="0.35">
      <c r="I1106" s="52"/>
      <c r="J1106" s="28"/>
      <c r="K1106" s="29"/>
      <c r="L1106" s="28"/>
      <c r="M1106" s="19"/>
      <c r="N1106" s="19"/>
      <c r="O1106" s="48"/>
    </row>
    <row r="1107" spans="9:15" x14ac:dyDescent="0.35">
      <c r="I1107" s="52"/>
      <c r="J1107" s="28"/>
      <c r="K1107" s="29"/>
      <c r="L1107" s="28"/>
      <c r="M1107" s="19"/>
      <c r="N1107" s="19"/>
      <c r="O1107" s="48"/>
    </row>
    <row r="1108" spans="9:15" x14ac:dyDescent="0.35">
      <c r="I1108" s="52"/>
      <c r="J1108" s="28"/>
      <c r="K1108" s="29"/>
      <c r="L1108" s="28"/>
      <c r="M1108" s="19"/>
      <c r="N1108" s="19"/>
      <c r="O1108" s="48"/>
    </row>
    <row r="1109" spans="9:15" x14ac:dyDescent="0.35">
      <c r="I1109" s="52"/>
      <c r="J1109" s="28"/>
      <c r="K1109" s="29"/>
      <c r="L1109" s="28"/>
      <c r="M1109" s="19"/>
      <c r="N1109" s="19"/>
      <c r="O1109" s="48"/>
    </row>
    <row r="1110" spans="9:15" x14ac:dyDescent="0.35">
      <c r="I1110" s="52"/>
      <c r="J1110" s="28"/>
      <c r="K1110" s="29"/>
      <c r="L1110" s="28"/>
      <c r="M1110" s="19"/>
      <c r="N1110" s="19"/>
      <c r="O1110" s="48"/>
    </row>
    <row r="1111" spans="9:15" x14ac:dyDescent="0.35">
      <c r="I1111" s="52"/>
      <c r="J1111" s="28"/>
      <c r="K1111" s="29"/>
      <c r="L1111" s="28"/>
      <c r="M1111" s="19"/>
      <c r="N1111" s="19"/>
      <c r="O1111" s="48"/>
    </row>
    <row r="1112" spans="9:15" x14ac:dyDescent="0.35">
      <c r="I1112" s="52"/>
      <c r="J1112" s="28"/>
      <c r="K1112" s="29"/>
      <c r="L1112" s="28"/>
      <c r="M1112" s="19"/>
      <c r="N1112" s="19"/>
      <c r="O1112" s="48"/>
    </row>
    <row r="1113" spans="9:15" x14ac:dyDescent="0.35">
      <c r="I1113" s="52"/>
      <c r="J1113" s="28"/>
      <c r="K1113" s="29"/>
      <c r="L1113" s="28"/>
      <c r="M1113" s="19"/>
      <c r="N1113" s="19"/>
      <c r="O1113" s="48"/>
    </row>
    <row r="1114" spans="9:15" x14ac:dyDescent="0.35">
      <c r="I1114" s="52"/>
      <c r="J1114" s="28"/>
      <c r="K1114" s="29"/>
      <c r="L1114" s="28"/>
      <c r="M1114" s="19"/>
      <c r="N1114" s="19"/>
      <c r="O1114" s="48"/>
    </row>
    <row r="1115" spans="9:15" x14ac:dyDescent="0.35">
      <c r="I1115" s="52"/>
      <c r="J1115" s="28"/>
      <c r="K1115" s="29"/>
      <c r="L1115" s="28"/>
      <c r="M1115" s="19"/>
      <c r="N1115" s="19"/>
      <c r="O1115" s="48"/>
    </row>
    <row r="1116" spans="9:15" x14ac:dyDescent="0.35">
      <c r="I1116" s="52"/>
      <c r="J1116" s="28"/>
      <c r="K1116" s="29"/>
      <c r="L1116" s="28"/>
      <c r="M1116" s="19"/>
      <c r="N1116" s="19"/>
      <c r="O1116" s="48"/>
    </row>
    <row r="1117" spans="9:15" x14ac:dyDescent="0.35">
      <c r="I1117" s="52"/>
      <c r="J1117" s="28"/>
      <c r="K1117" s="29"/>
      <c r="L1117" s="28"/>
      <c r="M1117" s="19"/>
      <c r="N1117" s="19"/>
      <c r="O1117" s="48"/>
    </row>
    <row r="1118" spans="9:15" x14ac:dyDescent="0.35">
      <c r="I1118" s="52"/>
      <c r="J1118" s="28"/>
      <c r="K1118" s="29"/>
      <c r="L1118" s="28"/>
      <c r="M1118" s="19"/>
      <c r="N1118" s="19"/>
      <c r="O1118" s="48"/>
    </row>
    <row r="1119" spans="9:15" x14ac:dyDescent="0.35">
      <c r="I1119" s="52"/>
      <c r="J1119" s="28"/>
      <c r="K1119" s="29"/>
      <c r="L1119" s="28"/>
      <c r="M1119" s="19"/>
      <c r="N1119" s="19"/>
      <c r="O1119" s="48"/>
    </row>
    <row r="1120" spans="9:15" x14ac:dyDescent="0.35">
      <c r="I1120" s="52"/>
      <c r="J1120" s="28"/>
      <c r="K1120" s="29"/>
      <c r="L1120" s="28"/>
      <c r="M1120" s="19"/>
      <c r="N1120" s="19"/>
      <c r="O1120" s="48"/>
    </row>
    <row r="1121" spans="9:15" x14ac:dyDescent="0.35">
      <c r="I1121" s="52"/>
      <c r="J1121" s="28"/>
      <c r="K1121" s="29"/>
      <c r="L1121" s="28"/>
      <c r="M1121" s="19"/>
      <c r="N1121" s="19"/>
      <c r="O1121" s="48"/>
    </row>
    <row r="1122" spans="9:15" x14ac:dyDescent="0.35">
      <c r="I1122" s="52"/>
      <c r="J1122" s="28"/>
      <c r="K1122" s="29"/>
      <c r="L1122" s="28"/>
      <c r="M1122" s="19"/>
      <c r="N1122" s="19"/>
      <c r="O1122" s="48"/>
    </row>
    <row r="1123" spans="9:15" x14ac:dyDescent="0.35">
      <c r="I1123" s="52"/>
      <c r="J1123" s="28"/>
      <c r="K1123" s="29"/>
      <c r="L1123" s="28"/>
      <c r="M1123" s="19"/>
      <c r="N1123" s="19"/>
      <c r="O1123" s="48"/>
    </row>
    <row r="1124" spans="9:15" x14ac:dyDescent="0.35">
      <c r="I1124" s="52"/>
      <c r="J1124" s="28"/>
      <c r="K1124" s="29"/>
      <c r="L1124" s="28"/>
      <c r="M1124" s="19"/>
      <c r="N1124" s="19"/>
      <c r="O1124" s="48"/>
    </row>
    <row r="1125" spans="9:15" x14ac:dyDescent="0.35">
      <c r="I1125" s="52"/>
      <c r="J1125" s="28"/>
      <c r="K1125" s="29"/>
      <c r="L1125" s="28"/>
      <c r="M1125" s="19"/>
      <c r="N1125" s="19"/>
      <c r="O1125" s="48"/>
    </row>
    <row r="1126" spans="9:15" x14ac:dyDescent="0.35">
      <c r="I1126" s="52"/>
      <c r="J1126" s="28"/>
      <c r="K1126" s="29"/>
      <c r="L1126" s="28"/>
      <c r="M1126" s="19"/>
      <c r="N1126" s="19"/>
      <c r="O1126" s="48"/>
    </row>
    <row r="1127" spans="9:15" x14ac:dyDescent="0.35">
      <c r="I1127" s="52"/>
      <c r="J1127" s="28"/>
      <c r="K1127" s="29"/>
      <c r="L1127" s="28"/>
      <c r="M1127" s="19"/>
      <c r="N1127" s="19"/>
      <c r="O1127" s="48"/>
    </row>
    <row r="1128" spans="9:15" x14ac:dyDescent="0.35">
      <c r="I1128" s="52"/>
      <c r="J1128" s="28"/>
      <c r="K1128" s="29"/>
      <c r="L1128" s="28"/>
      <c r="M1128" s="19"/>
      <c r="N1128" s="19"/>
      <c r="O1128" s="48"/>
    </row>
    <row r="1129" spans="9:15" x14ac:dyDescent="0.35">
      <c r="I1129" s="52"/>
      <c r="J1129" s="28"/>
      <c r="K1129" s="29"/>
      <c r="L1129" s="28"/>
      <c r="M1129" s="19"/>
      <c r="N1129" s="19"/>
      <c r="O1129" s="48"/>
    </row>
    <row r="1130" spans="9:15" x14ac:dyDescent="0.35">
      <c r="I1130" s="52"/>
      <c r="J1130" s="28"/>
      <c r="K1130" s="29"/>
      <c r="L1130" s="28"/>
      <c r="M1130" s="19"/>
      <c r="N1130" s="19"/>
      <c r="O1130" s="48"/>
    </row>
    <row r="1131" spans="9:15" x14ac:dyDescent="0.35">
      <c r="I1131" s="52"/>
      <c r="J1131" s="28"/>
      <c r="K1131" s="29"/>
      <c r="L1131" s="28"/>
      <c r="M1131" s="19"/>
      <c r="N1131" s="19"/>
      <c r="O1131" s="48"/>
    </row>
    <row r="1132" spans="9:15" x14ac:dyDescent="0.35">
      <c r="I1132" s="52"/>
      <c r="J1132" s="28"/>
      <c r="K1132" s="29"/>
      <c r="L1132" s="28"/>
      <c r="M1132" s="19"/>
      <c r="N1132" s="19"/>
      <c r="O1132" s="48"/>
    </row>
    <row r="1133" spans="9:15" x14ac:dyDescent="0.35">
      <c r="I1133" s="52"/>
      <c r="J1133" s="28"/>
      <c r="K1133" s="29"/>
      <c r="L1133" s="28"/>
      <c r="M1133" s="19"/>
      <c r="N1133" s="19"/>
      <c r="O1133" s="48"/>
    </row>
    <row r="1134" spans="9:15" x14ac:dyDescent="0.35">
      <c r="I1134" s="52"/>
      <c r="J1134" s="28"/>
      <c r="K1134" s="29"/>
      <c r="L1134" s="28"/>
      <c r="M1134" s="19"/>
      <c r="N1134" s="19"/>
      <c r="O1134" s="48"/>
    </row>
    <row r="1135" spans="9:15" x14ac:dyDescent="0.35">
      <c r="I1135" s="52"/>
      <c r="J1135" s="28"/>
      <c r="K1135" s="29"/>
      <c r="L1135" s="28"/>
      <c r="M1135" s="19"/>
      <c r="N1135" s="19"/>
      <c r="O1135" s="48"/>
    </row>
    <row r="1136" spans="9:15" x14ac:dyDescent="0.35">
      <c r="I1136" s="52"/>
      <c r="J1136" s="28"/>
      <c r="K1136" s="29"/>
      <c r="L1136" s="28"/>
      <c r="M1136" s="19"/>
      <c r="N1136" s="19"/>
      <c r="O1136" s="48"/>
    </row>
    <row r="1137" spans="9:15" x14ac:dyDescent="0.35">
      <c r="I1137" s="52"/>
      <c r="J1137" s="28"/>
      <c r="K1137" s="29"/>
      <c r="L1137" s="28"/>
      <c r="M1137" s="19"/>
      <c r="N1137" s="19"/>
      <c r="O1137" s="48"/>
    </row>
    <row r="1138" spans="9:15" x14ac:dyDescent="0.35">
      <c r="I1138" s="52"/>
      <c r="J1138" s="28"/>
      <c r="K1138" s="29"/>
      <c r="L1138" s="28"/>
      <c r="M1138" s="19"/>
      <c r="N1138" s="19"/>
      <c r="O1138" s="48"/>
    </row>
    <row r="1139" spans="9:15" x14ac:dyDescent="0.35">
      <c r="I1139" s="52"/>
      <c r="J1139" s="28"/>
      <c r="K1139" s="29"/>
      <c r="L1139" s="28"/>
      <c r="M1139" s="19"/>
      <c r="N1139" s="19"/>
      <c r="O1139" s="48"/>
    </row>
    <row r="1140" spans="9:15" x14ac:dyDescent="0.35">
      <c r="I1140" s="52"/>
      <c r="J1140" s="28"/>
      <c r="K1140" s="29"/>
      <c r="L1140" s="28"/>
      <c r="M1140" s="19"/>
      <c r="N1140" s="19"/>
      <c r="O1140" s="48"/>
    </row>
    <row r="1141" spans="9:15" x14ac:dyDescent="0.35">
      <c r="I1141" s="52"/>
      <c r="J1141" s="28"/>
      <c r="K1141" s="29"/>
      <c r="L1141" s="28"/>
      <c r="M1141" s="19"/>
      <c r="N1141" s="19"/>
      <c r="O1141" s="48"/>
    </row>
    <row r="1142" spans="9:15" x14ac:dyDescent="0.35">
      <c r="I1142" s="52"/>
      <c r="J1142" s="28"/>
      <c r="K1142" s="29"/>
      <c r="L1142" s="28"/>
      <c r="M1142" s="19"/>
      <c r="N1142" s="19"/>
      <c r="O1142" s="48"/>
    </row>
    <row r="1143" spans="9:15" x14ac:dyDescent="0.35">
      <c r="I1143" s="52"/>
      <c r="J1143" s="28"/>
      <c r="K1143" s="29"/>
      <c r="L1143" s="28"/>
      <c r="M1143" s="19"/>
      <c r="N1143" s="19"/>
      <c r="O1143" s="48"/>
    </row>
    <row r="1144" spans="9:15" x14ac:dyDescent="0.35">
      <c r="I1144" s="52"/>
      <c r="J1144" s="28"/>
      <c r="K1144" s="29"/>
      <c r="L1144" s="28"/>
      <c r="M1144" s="19"/>
      <c r="N1144" s="19"/>
      <c r="O1144" s="48"/>
    </row>
    <row r="1145" spans="9:15" x14ac:dyDescent="0.35">
      <c r="I1145" s="52"/>
      <c r="J1145" s="28"/>
      <c r="K1145" s="29"/>
      <c r="L1145" s="28"/>
      <c r="M1145" s="19"/>
      <c r="N1145" s="19"/>
      <c r="O1145" s="48"/>
    </row>
    <row r="1146" spans="9:15" x14ac:dyDescent="0.35">
      <c r="I1146" s="52"/>
      <c r="J1146" s="28"/>
      <c r="K1146" s="29"/>
      <c r="L1146" s="28"/>
      <c r="M1146" s="19"/>
      <c r="N1146" s="19"/>
      <c r="O1146" s="48"/>
    </row>
    <row r="1147" spans="9:15" x14ac:dyDescent="0.35">
      <c r="I1147" s="52"/>
      <c r="J1147" s="28"/>
      <c r="K1147" s="29"/>
      <c r="L1147" s="28"/>
      <c r="M1147" s="19"/>
      <c r="N1147" s="19"/>
      <c r="O1147" s="48"/>
    </row>
    <row r="1148" spans="9:15" x14ac:dyDescent="0.35">
      <c r="I1148" s="52"/>
      <c r="J1148" s="28"/>
      <c r="K1148" s="29"/>
      <c r="L1148" s="28"/>
      <c r="M1148" s="19"/>
      <c r="N1148" s="19"/>
      <c r="O1148" s="48"/>
    </row>
    <row r="1149" spans="9:15" x14ac:dyDescent="0.35">
      <c r="I1149" s="52"/>
      <c r="J1149" s="28"/>
      <c r="K1149" s="29"/>
      <c r="L1149" s="28"/>
      <c r="M1149" s="19"/>
      <c r="N1149" s="19"/>
      <c r="O1149" s="48"/>
    </row>
    <row r="1150" spans="9:15" x14ac:dyDescent="0.35">
      <c r="I1150" s="52"/>
      <c r="J1150" s="28"/>
      <c r="K1150" s="29"/>
      <c r="L1150" s="28"/>
      <c r="M1150" s="19"/>
      <c r="N1150" s="19"/>
      <c r="O1150" s="48"/>
    </row>
    <row r="1151" spans="9:15" x14ac:dyDescent="0.35">
      <c r="I1151" s="52"/>
      <c r="J1151" s="28"/>
      <c r="K1151" s="29"/>
      <c r="L1151" s="28"/>
      <c r="M1151" s="19"/>
      <c r="N1151" s="19"/>
      <c r="O1151" s="48"/>
    </row>
    <row r="1152" spans="9:15" x14ac:dyDescent="0.35">
      <c r="I1152" s="52"/>
      <c r="J1152" s="28"/>
      <c r="K1152" s="29"/>
      <c r="L1152" s="28"/>
      <c r="M1152" s="19"/>
      <c r="N1152" s="19"/>
      <c r="O1152" s="48"/>
    </row>
    <row r="1153" spans="9:15" x14ac:dyDescent="0.35">
      <c r="I1153" s="52"/>
      <c r="J1153" s="28"/>
      <c r="K1153" s="29"/>
      <c r="L1153" s="28"/>
      <c r="M1153" s="19"/>
      <c r="N1153" s="19"/>
      <c r="O1153" s="48"/>
    </row>
    <row r="1154" spans="9:15" x14ac:dyDescent="0.35">
      <c r="I1154" s="52"/>
      <c r="J1154" s="28"/>
      <c r="K1154" s="29"/>
      <c r="L1154" s="28"/>
      <c r="M1154" s="19"/>
      <c r="N1154" s="19"/>
      <c r="O1154" s="48"/>
    </row>
    <row r="1155" spans="9:15" x14ac:dyDescent="0.35">
      <c r="I1155" s="52"/>
      <c r="J1155" s="28"/>
      <c r="K1155" s="29"/>
      <c r="L1155" s="28"/>
      <c r="M1155" s="19"/>
      <c r="N1155" s="19"/>
      <c r="O1155" s="48"/>
    </row>
    <row r="1156" spans="9:15" x14ac:dyDescent="0.35">
      <c r="I1156" s="52"/>
      <c r="J1156" s="28"/>
      <c r="K1156" s="29"/>
      <c r="L1156" s="28"/>
      <c r="M1156" s="19"/>
      <c r="N1156" s="19"/>
      <c r="O1156" s="48"/>
    </row>
    <row r="1157" spans="9:15" x14ac:dyDescent="0.35">
      <c r="I1157" s="52"/>
      <c r="J1157" s="28"/>
      <c r="K1157" s="29"/>
      <c r="L1157" s="28"/>
      <c r="M1157" s="19"/>
      <c r="N1157" s="19"/>
      <c r="O1157" s="48"/>
    </row>
    <row r="1158" spans="9:15" x14ac:dyDescent="0.35">
      <c r="I1158" s="52"/>
      <c r="J1158" s="28"/>
      <c r="K1158" s="29"/>
      <c r="L1158" s="28"/>
      <c r="M1158" s="19"/>
      <c r="N1158" s="19"/>
      <c r="O1158" s="48"/>
    </row>
    <row r="1159" spans="9:15" x14ac:dyDescent="0.35">
      <c r="I1159" s="52"/>
      <c r="J1159" s="28"/>
      <c r="K1159" s="29"/>
      <c r="L1159" s="28"/>
      <c r="M1159" s="19"/>
      <c r="N1159" s="19"/>
      <c r="O1159" s="48"/>
    </row>
    <row r="1160" spans="9:15" x14ac:dyDescent="0.35">
      <c r="I1160" s="52"/>
      <c r="J1160" s="28"/>
      <c r="K1160" s="29"/>
      <c r="L1160" s="28"/>
      <c r="M1160" s="19"/>
      <c r="N1160" s="19"/>
      <c r="O1160" s="48"/>
    </row>
    <row r="1161" spans="9:15" x14ac:dyDescent="0.35">
      <c r="I1161" s="52"/>
      <c r="J1161" s="28"/>
      <c r="K1161" s="29"/>
      <c r="L1161" s="28"/>
      <c r="M1161" s="19"/>
      <c r="N1161" s="19"/>
      <c r="O1161" s="48"/>
    </row>
    <row r="1162" spans="9:15" x14ac:dyDescent="0.35">
      <c r="I1162" s="52"/>
      <c r="J1162" s="28"/>
      <c r="K1162" s="29"/>
      <c r="L1162" s="28"/>
      <c r="M1162" s="19"/>
      <c r="N1162" s="19"/>
      <c r="O1162" s="48"/>
    </row>
    <row r="1163" spans="9:15" x14ac:dyDescent="0.35">
      <c r="I1163" s="52"/>
      <c r="J1163" s="28"/>
      <c r="K1163" s="29"/>
      <c r="L1163" s="28"/>
      <c r="M1163" s="19"/>
      <c r="N1163" s="19"/>
      <c r="O1163" s="48"/>
    </row>
    <row r="1164" spans="9:15" x14ac:dyDescent="0.35">
      <c r="I1164" s="52"/>
      <c r="J1164" s="28"/>
      <c r="K1164" s="29"/>
      <c r="L1164" s="28"/>
      <c r="M1164" s="19"/>
      <c r="N1164" s="19"/>
      <c r="O1164" s="48"/>
    </row>
    <row r="1165" spans="9:15" x14ac:dyDescent="0.35">
      <c r="I1165" s="52"/>
      <c r="J1165" s="28"/>
      <c r="K1165" s="29"/>
      <c r="L1165" s="28"/>
      <c r="M1165" s="19"/>
      <c r="N1165" s="19"/>
      <c r="O1165" s="48"/>
    </row>
    <row r="1166" spans="9:15" x14ac:dyDescent="0.35">
      <c r="I1166" s="52"/>
      <c r="J1166" s="28"/>
      <c r="K1166" s="29"/>
      <c r="L1166" s="28"/>
      <c r="M1166" s="19"/>
      <c r="N1166" s="19"/>
      <c r="O1166" s="48"/>
    </row>
    <row r="1167" spans="9:15" x14ac:dyDescent="0.35">
      <c r="I1167" s="52"/>
      <c r="J1167" s="28"/>
      <c r="K1167" s="29"/>
      <c r="L1167" s="28"/>
      <c r="M1167" s="19"/>
      <c r="N1167" s="19"/>
      <c r="O1167" s="48"/>
    </row>
    <row r="1168" spans="9:15" x14ac:dyDescent="0.35">
      <c r="I1168" s="52"/>
      <c r="J1168" s="28"/>
      <c r="K1168" s="29"/>
      <c r="L1168" s="28"/>
      <c r="M1168" s="19"/>
      <c r="N1168" s="19"/>
      <c r="O1168" s="48"/>
    </row>
    <row r="1169" spans="9:15" x14ac:dyDescent="0.35">
      <c r="I1169" s="52"/>
      <c r="J1169" s="28"/>
      <c r="K1169" s="29"/>
      <c r="L1169" s="28"/>
      <c r="M1169" s="19"/>
      <c r="N1169" s="19"/>
      <c r="O1169" s="48"/>
    </row>
    <row r="1170" spans="9:15" x14ac:dyDescent="0.35">
      <c r="I1170" s="52"/>
      <c r="J1170" s="28"/>
      <c r="K1170" s="29"/>
      <c r="L1170" s="28"/>
      <c r="M1170" s="19"/>
      <c r="N1170" s="19"/>
      <c r="O1170" s="48"/>
    </row>
    <row r="1171" spans="9:15" x14ac:dyDescent="0.35">
      <c r="I1171" s="52"/>
      <c r="J1171" s="28"/>
      <c r="K1171" s="29"/>
      <c r="L1171" s="28"/>
      <c r="M1171" s="19"/>
      <c r="N1171" s="19"/>
      <c r="O1171" s="48"/>
    </row>
    <row r="1172" spans="9:15" x14ac:dyDescent="0.35">
      <c r="I1172" s="52"/>
      <c r="J1172" s="28"/>
      <c r="K1172" s="29"/>
      <c r="L1172" s="28"/>
      <c r="M1172" s="19"/>
      <c r="N1172" s="19"/>
      <c r="O1172" s="48"/>
    </row>
    <row r="1173" spans="9:15" x14ac:dyDescent="0.35">
      <c r="I1173" s="52"/>
      <c r="J1173" s="28"/>
      <c r="K1173" s="29"/>
      <c r="L1173" s="28"/>
      <c r="M1173" s="19"/>
      <c r="N1173" s="19"/>
      <c r="O1173" s="48"/>
    </row>
    <row r="1174" spans="9:15" x14ac:dyDescent="0.35">
      <c r="I1174" s="52"/>
      <c r="J1174" s="28"/>
      <c r="K1174" s="29"/>
      <c r="L1174" s="28"/>
      <c r="M1174" s="19"/>
      <c r="N1174" s="19"/>
      <c r="O1174" s="48"/>
    </row>
    <row r="1175" spans="9:15" x14ac:dyDescent="0.35">
      <c r="I1175" s="52"/>
      <c r="J1175" s="28"/>
      <c r="K1175" s="29"/>
      <c r="L1175" s="28"/>
      <c r="M1175" s="19"/>
      <c r="N1175" s="19"/>
      <c r="O1175" s="48"/>
    </row>
    <row r="1176" spans="9:15" x14ac:dyDescent="0.35">
      <c r="I1176" s="52"/>
      <c r="J1176" s="28"/>
      <c r="K1176" s="29"/>
      <c r="L1176" s="28"/>
      <c r="M1176" s="19"/>
      <c r="N1176" s="19"/>
      <c r="O1176" s="48"/>
    </row>
    <row r="1177" spans="9:15" x14ac:dyDescent="0.35">
      <c r="I1177" s="52"/>
      <c r="J1177" s="28"/>
      <c r="K1177" s="29"/>
      <c r="L1177" s="28"/>
      <c r="M1177" s="19"/>
      <c r="N1177" s="19"/>
      <c r="O1177" s="48"/>
    </row>
    <row r="1178" spans="9:15" x14ac:dyDescent="0.35">
      <c r="I1178" s="52"/>
      <c r="J1178" s="28"/>
      <c r="K1178" s="29"/>
      <c r="L1178" s="28"/>
      <c r="M1178" s="19"/>
      <c r="N1178" s="19"/>
      <c r="O1178" s="48"/>
    </row>
    <row r="1179" spans="9:15" x14ac:dyDescent="0.35">
      <c r="I1179" s="52"/>
      <c r="J1179" s="28"/>
      <c r="K1179" s="29"/>
      <c r="L1179" s="28"/>
      <c r="M1179" s="19"/>
      <c r="N1179" s="19"/>
      <c r="O1179" s="48"/>
    </row>
    <row r="1180" spans="9:15" x14ac:dyDescent="0.35">
      <c r="I1180" s="52"/>
      <c r="J1180" s="28"/>
      <c r="K1180" s="29"/>
      <c r="L1180" s="28"/>
      <c r="M1180" s="19"/>
      <c r="N1180" s="19"/>
      <c r="O1180" s="48"/>
    </row>
    <row r="1181" spans="9:15" x14ac:dyDescent="0.35">
      <c r="I1181" s="52"/>
      <c r="J1181" s="28"/>
      <c r="K1181" s="29"/>
      <c r="L1181" s="28"/>
      <c r="M1181" s="19"/>
      <c r="N1181" s="19"/>
      <c r="O1181" s="48"/>
    </row>
    <row r="1182" spans="9:15" x14ac:dyDescent="0.35">
      <c r="I1182" s="52"/>
      <c r="J1182" s="28"/>
      <c r="K1182" s="29"/>
      <c r="L1182" s="28"/>
      <c r="M1182" s="19"/>
      <c r="N1182" s="19"/>
      <c r="O1182" s="48"/>
    </row>
    <row r="1183" spans="9:15" x14ac:dyDescent="0.35">
      <c r="I1183" s="52"/>
      <c r="J1183" s="28"/>
      <c r="K1183" s="29"/>
      <c r="L1183" s="28"/>
      <c r="M1183" s="19"/>
      <c r="N1183" s="19"/>
      <c r="O1183" s="48"/>
    </row>
    <row r="1184" spans="9:15" x14ac:dyDescent="0.35">
      <c r="I1184" s="52"/>
      <c r="J1184" s="28"/>
      <c r="K1184" s="29"/>
      <c r="L1184" s="28"/>
      <c r="M1184" s="19"/>
      <c r="N1184" s="19"/>
      <c r="O1184" s="48"/>
    </row>
    <row r="1185" spans="9:15" x14ac:dyDescent="0.35">
      <c r="I1185" s="52"/>
      <c r="J1185" s="28"/>
      <c r="K1185" s="29"/>
      <c r="L1185" s="28"/>
      <c r="M1185" s="19"/>
      <c r="N1185" s="19"/>
      <c r="O1185" s="48"/>
    </row>
    <row r="1186" spans="9:15" x14ac:dyDescent="0.35">
      <c r="I1186" s="52"/>
      <c r="J1186" s="28"/>
      <c r="K1186" s="29"/>
      <c r="L1186" s="28"/>
      <c r="M1186" s="19"/>
      <c r="N1186" s="19"/>
      <c r="O1186" s="48"/>
    </row>
    <row r="1187" spans="9:15" x14ac:dyDescent="0.35">
      <c r="I1187" s="52"/>
      <c r="J1187" s="28"/>
      <c r="K1187" s="29"/>
      <c r="L1187" s="28"/>
      <c r="M1187" s="19"/>
      <c r="N1187" s="19"/>
      <c r="O1187" s="48"/>
    </row>
    <row r="1188" spans="9:15" x14ac:dyDescent="0.35">
      <c r="I1188" s="52"/>
      <c r="J1188" s="28"/>
      <c r="K1188" s="29"/>
      <c r="L1188" s="28"/>
      <c r="M1188" s="19"/>
      <c r="N1188" s="19"/>
      <c r="O1188" s="48"/>
    </row>
    <row r="1189" spans="9:15" x14ac:dyDescent="0.35">
      <c r="I1189" s="52"/>
      <c r="J1189" s="28"/>
      <c r="K1189" s="29"/>
      <c r="L1189" s="28"/>
      <c r="M1189" s="19"/>
      <c r="N1189" s="19"/>
      <c r="O1189" s="48"/>
    </row>
    <row r="1190" spans="9:15" x14ac:dyDescent="0.35">
      <c r="I1190" s="52"/>
      <c r="J1190" s="28"/>
      <c r="K1190" s="29"/>
      <c r="L1190" s="28"/>
      <c r="M1190" s="19"/>
      <c r="N1190" s="19"/>
      <c r="O1190" s="48"/>
    </row>
    <row r="1191" spans="9:15" x14ac:dyDescent="0.35">
      <c r="I1191" s="52"/>
      <c r="J1191" s="28"/>
      <c r="K1191" s="29"/>
      <c r="L1191" s="28"/>
      <c r="M1191" s="19"/>
      <c r="N1191" s="19"/>
      <c r="O1191" s="48"/>
    </row>
    <row r="1192" spans="9:15" x14ac:dyDescent="0.35">
      <c r="I1192" s="52"/>
      <c r="J1192" s="28"/>
      <c r="K1192" s="29"/>
      <c r="L1192" s="28"/>
      <c r="M1192" s="19"/>
      <c r="N1192" s="19"/>
      <c r="O1192" s="48"/>
    </row>
    <row r="1193" spans="9:15" x14ac:dyDescent="0.35">
      <c r="I1193" s="52"/>
      <c r="J1193" s="28"/>
      <c r="K1193" s="29"/>
      <c r="L1193" s="28"/>
      <c r="M1193" s="19"/>
      <c r="N1193" s="19"/>
      <c r="O1193" s="48"/>
    </row>
    <row r="1194" spans="9:15" x14ac:dyDescent="0.35">
      <c r="I1194" s="52"/>
      <c r="J1194" s="28"/>
      <c r="K1194" s="29"/>
      <c r="L1194" s="28"/>
      <c r="M1194" s="19"/>
      <c r="N1194" s="19"/>
      <c r="O1194" s="48"/>
    </row>
    <row r="1195" spans="9:15" x14ac:dyDescent="0.35">
      <c r="I1195" s="52"/>
      <c r="J1195" s="28"/>
      <c r="K1195" s="29"/>
      <c r="L1195" s="28"/>
      <c r="M1195" s="19"/>
      <c r="N1195" s="19"/>
      <c r="O1195" s="48"/>
    </row>
    <row r="1196" spans="9:15" x14ac:dyDescent="0.35">
      <c r="I1196" s="52"/>
      <c r="J1196" s="28"/>
      <c r="K1196" s="29"/>
      <c r="L1196" s="28"/>
      <c r="M1196" s="19"/>
      <c r="N1196" s="19"/>
      <c r="O1196" s="48"/>
    </row>
    <row r="1197" spans="9:15" x14ac:dyDescent="0.35">
      <c r="I1197" s="52"/>
      <c r="J1197" s="28"/>
      <c r="K1197" s="29"/>
      <c r="L1197" s="28"/>
      <c r="M1197" s="19"/>
      <c r="N1197" s="19"/>
      <c r="O1197" s="48"/>
    </row>
    <row r="1198" spans="9:15" x14ac:dyDescent="0.35">
      <c r="I1198" s="52"/>
      <c r="J1198" s="28"/>
      <c r="K1198" s="29"/>
      <c r="L1198" s="28"/>
      <c r="M1198" s="19"/>
      <c r="N1198" s="19"/>
      <c r="O1198" s="48"/>
    </row>
    <row r="1199" spans="9:15" x14ac:dyDescent="0.35">
      <c r="I1199" s="52"/>
      <c r="J1199" s="28"/>
      <c r="K1199" s="29"/>
      <c r="L1199" s="28"/>
      <c r="M1199" s="19"/>
      <c r="N1199" s="19"/>
      <c r="O1199" s="48"/>
    </row>
    <row r="1200" spans="9:15" x14ac:dyDescent="0.35">
      <c r="I1200" s="52"/>
      <c r="J1200" s="28"/>
      <c r="K1200" s="29"/>
      <c r="L1200" s="28"/>
      <c r="M1200" s="19"/>
      <c r="N1200" s="19"/>
      <c r="O1200" s="48"/>
    </row>
    <row r="1201" spans="9:15" x14ac:dyDescent="0.35">
      <c r="I1201" s="52"/>
      <c r="J1201" s="28"/>
      <c r="K1201" s="29"/>
      <c r="L1201" s="28"/>
      <c r="M1201" s="19"/>
      <c r="N1201" s="19"/>
      <c r="O1201" s="48"/>
    </row>
    <row r="1202" spans="9:15" x14ac:dyDescent="0.35">
      <c r="I1202" s="52"/>
      <c r="J1202" s="28"/>
      <c r="K1202" s="29"/>
      <c r="L1202" s="28"/>
      <c r="M1202" s="19"/>
      <c r="N1202" s="19"/>
      <c r="O1202" s="48"/>
    </row>
    <row r="1203" spans="9:15" x14ac:dyDescent="0.35">
      <c r="I1203" s="52"/>
      <c r="J1203" s="28"/>
      <c r="K1203" s="29"/>
      <c r="L1203" s="28"/>
      <c r="M1203" s="19"/>
      <c r="N1203" s="19"/>
      <c r="O1203" s="48"/>
    </row>
    <row r="1204" spans="9:15" x14ac:dyDescent="0.35">
      <c r="I1204" s="52"/>
      <c r="J1204" s="28"/>
      <c r="K1204" s="29"/>
      <c r="L1204" s="28"/>
      <c r="M1204" s="19"/>
      <c r="N1204" s="19"/>
      <c r="O1204" s="48"/>
    </row>
    <row r="1205" spans="9:15" x14ac:dyDescent="0.35">
      <c r="I1205" s="52"/>
      <c r="J1205" s="28"/>
      <c r="K1205" s="29"/>
      <c r="L1205" s="28"/>
      <c r="M1205" s="19"/>
      <c r="N1205" s="19"/>
      <c r="O1205" s="48"/>
    </row>
    <row r="1206" spans="9:15" x14ac:dyDescent="0.35">
      <c r="I1206" s="52"/>
      <c r="J1206" s="28"/>
      <c r="K1206" s="29"/>
      <c r="L1206" s="28"/>
      <c r="M1206" s="19"/>
      <c r="N1206" s="19"/>
      <c r="O1206" s="48"/>
    </row>
    <row r="1207" spans="9:15" x14ac:dyDescent="0.35">
      <c r="I1207" s="52"/>
      <c r="J1207" s="28"/>
      <c r="K1207" s="29"/>
      <c r="L1207" s="28"/>
      <c r="M1207" s="19"/>
      <c r="N1207" s="19"/>
      <c r="O1207" s="48"/>
    </row>
    <row r="1208" spans="9:15" x14ac:dyDescent="0.35">
      <c r="I1208" s="52"/>
      <c r="J1208" s="28"/>
      <c r="K1208" s="29"/>
      <c r="L1208" s="28"/>
      <c r="M1208" s="19"/>
      <c r="N1208" s="19"/>
      <c r="O1208" s="48"/>
    </row>
    <row r="1209" spans="9:15" x14ac:dyDescent="0.35">
      <c r="I1209" s="52"/>
      <c r="J1209" s="28"/>
      <c r="K1209" s="29"/>
      <c r="L1209" s="28"/>
      <c r="M1209" s="19"/>
      <c r="N1209" s="19"/>
      <c r="O1209" s="48"/>
    </row>
    <row r="1210" spans="9:15" x14ac:dyDescent="0.35">
      <c r="I1210" s="52"/>
      <c r="J1210" s="28"/>
      <c r="K1210" s="29"/>
      <c r="L1210" s="28"/>
      <c r="M1210" s="19"/>
      <c r="N1210" s="19"/>
      <c r="O1210" s="48"/>
    </row>
    <row r="1211" spans="9:15" x14ac:dyDescent="0.35">
      <c r="I1211" s="52"/>
      <c r="J1211" s="28"/>
      <c r="K1211" s="29"/>
      <c r="L1211" s="28"/>
      <c r="M1211" s="19"/>
      <c r="N1211" s="19"/>
      <c r="O1211" s="48"/>
    </row>
    <row r="1212" spans="9:15" x14ac:dyDescent="0.35">
      <c r="I1212" s="52"/>
      <c r="J1212" s="28"/>
      <c r="K1212" s="29"/>
      <c r="L1212" s="28"/>
      <c r="M1212" s="19"/>
      <c r="N1212" s="19"/>
      <c r="O1212" s="48"/>
    </row>
    <row r="1213" spans="9:15" x14ac:dyDescent="0.35">
      <c r="I1213" s="52"/>
      <c r="J1213" s="28"/>
      <c r="K1213" s="29"/>
      <c r="L1213" s="28"/>
      <c r="M1213" s="19"/>
      <c r="N1213" s="19"/>
      <c r="O1213" s="48"/>
    </row>
    <row r="1214" spans="9:15" x14ac:dyDescent="0.35">
      <c r="I1214" s="52"/>
      <c r="J1214" s="28"/>
      <c r="K1214" s="29"/>
      <c r="L1214" s="28"/>
      <c r="M1214" s="19"/>
      <c r="N1214" s="19"/>
      <c r="O1214" s="48"/>
    </row>
    <row r="1215" spans="9:15" x14ac:dyDescent="0.35">
      <c r="I1215" s="52"/>
      <c r="J1215" s="28"/>
      <c r="K1215" s="29"/>
      <c r="L1215" s="28"/>
      <c r="M1215" s="19"/>
      <c r="N1215" s="19"/>
      <c r="O1215" s="48"/>
    </row>
    <row r="1216" spans="9:15" x14ac:dyDescent="0.35">
      <c r="I1216" s="52"/>
      <c r="J1216" s="28"/>
      <c r="K1216" s="29"/>
      <c r="L1216" s="28"/>
      <c r="M1216" s="19"/>
      <c r="N1216" s="19"/>
      <c r="O1216" s="48"/>
    </row>
    <row r="1217" spans="9:15" x14ac:dyDescent="0.35">
      <c r="I1217" s="52"/>
      <c r="J1217" s="28"/>
      <c r="K1217" s="29"/>
      <c r="L1217" s="28"/>
      <c r="M1217" s="19"/>
      <c r="N1217" s="19"/>
      <c r="O1217" s="48"/>
    </row>
    <row r="1218" spans="9:15" x14ac:dyDescent="0.35">
      <c r="I1218" s="52"/>
      <c r="J1218" s="28"/>
      <c r="K1218" s="29"/>
      <c r="L1218" s="28"/>
      <c r="M1218" s="19"/>
      <c r="N1218" s="19"/>
      <c r="O1218" s="48"/>
    </row>
    <row r="1219" spans="9:15" x14ac:dyDescent="0.35">
      <c r="I1219" s="52"/>
      <c r="J1219" s="28"/>
      <c r="K1219" s="29"/>
      <c r="L1219" s="28"/>
      <c r="M1219" s="19"/>
      <c r="N1219" s="19"/>
      <c r="O1219" s="48"/>
    </row>
    <row r="1220" spans="9:15" x14ac:dyDescent="0.35">
      <c r="I1220" s="52"/>
      <c r="J1220" s="28"/>
      <c r="K1220" s="29"/>
      <c r="L1220" s="28"/>
      <c r="M1220" s="19"/>
      <c r="N1220" s="19"/>
      <c r="O1220" s="48"/>
    </row>
    <row r="1221" spans="9:15" x14ac:dyDescent="0.35">
      <c r="I1221" s="52"/>
      <c r="J1221" s="28"/>
      <c r="K1221" s="29"/>
      <c r="L1221" s="28"/>
      <c r="M1221" s="19"/>
      <c r="N1221" s="19"/>
      <c r="O1221" s="48"/>
    </row>
    <row r="1222" spans="9:15" x14ac:dyDescent="0.35">
      <c r="I1222" s="52"/>
      <c r="J1222" s="28"/>
      <c r="K1222" s="29"/>
      <c r="L1222" s="28"/>
      <c r="M1222" s="19"/>
      <c r="N1222" s="19"/>
      <c r="O1222" s="48"/>
    </row>
    <row r="1223" spans="9:15" x14ac:dyDescent="0.35">
      <c r="I1223" s="52"/>
      <c r="J1223" s="28"/>
      <c r="K1223" s="29"/>
      <c r="L1223" s="28"/>
      <c r="M1223" s="19"/>
      <c r="N1223" s="19"/>
      <c r="O1223" s="48"/>
    </row>
    <row r="1224" spans="9:15" x14ac:dyDescent="0.35">
      <c r="I1224" s="52"/>
      <c r="J1224" s="28"/>
      <c r="K1224" s="29"/>
      <c r="L1224" s="28"/>
      <c r="M1224" s="19"/>
      <c r="N1224" s="19"/>
      <c r="O1224" s="48"/>
    </row>
    <row r="1225" spans="9:15" x14ac:dyDescent="0.35">
      <c r="I1225" s="52"/>
      <c r="J1225" s="28"/>
      <c r="K1225" s="29"/>
      <c r="L1225" s="28"/>
      <c r="M1225" s="19"/>
      <c r="N1225" s="19"/>
      <c r="O1225" s="48"/>
    </row>
    <row r="1226" spans="9:15" x14ac:dyDescent="0.35">
      <c r="I1226" s="52"/>
      <c r="J1226" s="28"/>
      <c r="K1226" s="29"/>
      <c r="L1226" s="28"/>
      <c r="M1226" s="19"/>
      <c r="N1226" s="19"/>
      <c r="O1226" s="48"/>
    </row>
    <row r="1227" spans="9:15" x14ac:dyDescent="0.35">
      <c r="I1227" s="52"/>
      <c r="J1227" s="28"/>
      <c r="K1227" s="29"/>
      <c r="L1227" s="28"/>
      <c r="M1227" s="19"/>
      <c r="N1227" s="19"/>
      <c r="O1227" s="48"/>
    </row>
    <row r="1228" spans="9:15" x14ac:dyDescent="0.35">
      <c r="I1228" s="52"/>
      <c r="J1228" s="28"/>
      <c r="K1228" s="29"/>
      <c r="L1228" s="28"/>
      <c r="M1228" s="19"/>
      <c r="N1228" s="19"/>
      <c r="O1228" s="48"/>
    </row>
    <row r="1229" spans="9:15" x14ac:dyDescent="0.35">
      <c r="I1229" s="52"/>
      <c r="J1229" s="28"/>
      <c r="K1229" s="29"/>
      <c r="L1229" s="28"/>
      <c r="M1229" s="19"/>
      <c r="N1229" s="19"/>
      <c r="O1229" s="48"/>
    </row>
    <row r="1230" spans="9:15" x14ac:dyDescent="0.35">
      <c r="I1230" s="52"/>
      <c r="J1230" s="28"/>
      <c r="K1230" s="29"/>
      <c r="L1230" s="28"/>
      <c r="M1230" s="19"/>
      <c r="N1230" s="19"/>
      <c r="O1230" s="48"/>
    </row>
    <row r="1231" spans="9:15" x14ac:dyDescent="0.35">
      <c r="I1231" s="52"/>
      <c r="J1231" s="28"/>
      <c r="K1231" s="29"/>
      <c r="L1231" s="28"/>
      <c r="M1231" s="19"/>
      <c r="N1231" s="19"/>
      <c r="O1231" s="48"/>
    </row>
    <row r="1232" spans="9:15" x14ac:dyDescent="0.35">
      <c r="I1232" s="52"/>
      <c r="J1232" s="28"/>
      <c r="K1232" s="29"/>
      <c r="L1232" s="28"/>
      <c r="M1232" s="19"/>
      <c r="N1232" s="19"/>
      <c r="O1232" s="48"/>
    </row>
    <row r="1233" spans="9:15" x14ac:dyDescent="0.35">
      <c r="I1233" s="52"/>
      <c r="J1233" s="28"/>
      <c r="K1233" s="29"/>
      <c r="L1233" s="28"/>
      <c r="M1233" s="19"/>
      <c r="N1233" s="19"/>
      <c r="O1233" s="48"/>
    </row>
    <row r="1234" spans="9:15" x14ac:dyDescent="0.35">
      <c r="I1234" s="52"/>
      <c r="J1234" s="28"/>
      <c r="K1234" s="29"/>
      <c r="L1234" s="28"/>
      <c r="M1234" s="19"/>
      <c r="N1234" s="19"/>
      <c r="O1234" s="48"/>
    </row>
    <row r="1235" spans="9:15" x14ac:dyDescent="0.35">
      <c r="I1235" s="52"/>
      <c r="J1235" s="28"/>
      <c r="K1235" s="29"/>
      <c r="L1235" s="28"/>
      <c r="M1235" s="19"/>
      <c r="N1235" s="19"/>
      <c r="O1235" s="48"/>
    </row>
    <row r="1236" spans="9:15" x14ac:dyDescent="0.35">
      <c r="I1236" s="52"/>
      <c r="J1236" s="28"/>
      <c r="K1236" s="29"/>
      <c r="L1236" s="28"/>
      <c r="M1236" s="19"/>
      <c r="N1236" s="19"/>
      <c r="O1236" s="48"/>
    </row>
    <row r="1237" spans="9:15" x14ac:dyDescent="0.35">
      <c r="I1237" s="52"/>
      <c r="J1237" s="28"/>
      <c r="K1237" s="29"/>
      <c r="L1237" s="28"/>
      <c r="M1237" s="19"/>
      <c r="N1237" s="19"/>
      <c r="O1237" s="48"/>
    </row>
    <row r="1238" spans="9:15" x14ac:dyDescent="0.35">
      <c r="I1238" s="52"/>
      <c r="J1238" s="28"/>
      <c r="K1238" s="29"/>
      <c r="L1238" s="28"/>
      <c r="M1238" s="19"/>
      <c r="N1238" s="19"/>
      <c r="O1238" s="48"/>
    </row>
    <row r="1239" spans="9:15" x14ac:dyDescent="0.35">
      <c r="I1239" s="52"/>
      <c r="J1239" s="28"/>
      <c r="K1239" s="29"/>
      <c r="L1239" s="28"/>
      <c r="M1239" s="19"/>
      <c r="N1239" s="19"/>
      <c r="O1239" s="48"/>
    </row>
    <row r="1240" spans="9:15" x14ac:dyDescent="0.35">
      <c r="I1240" s="52"/>
      <c r="J1240" s="28"/>
      <c r="K1240" s="29"/>
      <c r="L1240" s="28"/>
      <c r="M1240" s="19"/>
      <c r="N1240" s="19"/>
      <c r="O1240" s="48"/>
    </row>
    <row r="1241" spans="9:15" x14ac:dyDescent="0.35">
      <c r="I1241" s="52"/>
      <c r="J1241" s="28"/>
      <c r="K1241" s="29"/>
      <c r="L1241" s="28"/>
      <c r="M1241" s="19"/>
      <c r="N1241" s="19"/>
      <c r="O1241" s="48"/>
    </row>
    <row r="1242" spans="9:15" x14ac:dyDescent="0.35">
      <c r="I1242" s="52"/>
      <c r="J1242" s="28"/>
      <c r="K1242" s="29"/>
      <c r="L1242" s="28"/>
      <c r="M1242" s="19"/>
      <c r="N1242" s="19"/>
      <c r="O1242" s="48"/>
    </row>
    <row r="1243" spans="9:15" x14ac:dyDescent="0.35">
      <c r="I1243" s="52"/>
      <c r="J1243" s="28"/>
      <c r="K1243" s="29"/>
      <c r="L1243" s="28"/>
      <c r="M1243" s="19"/>
      <c r="N1243" s="19"/>
      <c r="O1243" s="48"/>
    </row>
    <row r="1244" spans="9:15" x14ac:dyDescent="0.35">
      <c r="I1244" s="52"/>
      <c r="J1244" s="28"/>
      <c r="K1244" s="29"/>
      <c r="L1244" s="28"/>
      <c r="M1244" s="19"/>
      <c r="N1244" s="19"/>
      <c r="O1244" s="48"/>
    </row>
    <row r="1245" spans="9:15" x14ac:dyDescent="0.35">
      <c r="I1245" s="52"/>
      <c r="J1245" s="28"/>
      <c r="K1245" s="29"/>
      <c r="L1245" s="28"/>
      <c r="M1245" s="19"/>
      <c r="N1245" s="19"/>
      <c r="O1245" s="48"/>
    </row>
    <row r="1246" spans="9:15" x14ac:dyDescent="0.35">
      <c r="I1246" s="52"/>
      <c r="J1246" s="28"/>
      <c r="K1246" s="29"/>
      <c r="L1246" s="28"/>
      <c r="M1246" s="19"/>
      <c r="N1246" s="19"/>
      <c r="O1246" s="48"/>
    </row>
    <row r="1247" spans="9:15" x14ac:dyDescent="0.35">
      <c r="I1247" s="52"/>
      <c r="J1247" s="28"/>
      <c r="K1247" s="29"/>
      <c r="L1247" s="28"/>
      <c r="M1247" s="19"/>
      <c r="N1247" s="19"/>
      <c r="O1247" s="48"/>
    </row>
    <row r="1248" spans="9:15" x14ac:dyDescent="0.35">
      <c r="I1248" s="52"/>
      <c r="J1248" s="28"/>
      <c r="K1248" s="29"/>
      <c r="L1248" s="28"/>
      <c r="M1248" s="19"/>
      <c r="N1248" s="19"/>
      <c r="O1248" s="48"/>
    </row>
    <row r="1249" spans="9:15" x14ac:dyDescent="0.35">
      <c r="I1249" s="52"/>
      <c r="J1249" s="28"/>
      <c r="K1249" s="29"/>
      <c r="L1249" s="28"/>
      <c r="M1249" s="19"/>
      <c r="N1249" s="19"/>
      <c r="O1249" s="48"/>
    </row>
    <row r="1250" spans="9:15" x14ac:dyDescent="0.35">
      <c r="I1250" s="52"/>
      <c r="J1250" s="28"/>
      <c r="K1250" s="29"/>
      <c r="L1250" s="28"/>
      <c r="M1250" s="19"/>
      <c r="N1250" s="19"/>
      <c r="O1250" s="48"/>
    </row>
    <row r="1251" spans="9:15" x14ac:dyDescent="0.35">
      <c r="I1251" s="52"/>
      <c r="J1251" s="28"/>
      <c r="K1251" s="29"/>
      <c r="L1251" s="28"/>
      <c r="M1251" s="19"/>
      <c r="N1251" s="19"/>
      <c r="O1251" s="48"/>
    </row>
    <row r="1252" spans="9:15" x14ac:dyDescent="0.35">
      <c r="I1252" s="52"/>
      <c r="J1252" s="28"/>
      <c r="K1252" s="29"/>
      <c r="L1252" s="28"/>
      <c r="M1252" s="19"/>
      <c r="N1252" s="19"/>
      <c r="O1252" s="48"/>
    </row>
    <row r="1253" spans="9:15" x14ac:dyDescent="0.35">
      <c r="I1253" s="52"/>
      <c r="J1253" s="28"/>
      <c r="K1253" s="29"/>
      <c r="L1253" s="28"/>
      <c r="M1253" s="19"/>
      <c r="N1253" s="19"/>
      <c r="O1253" s="48"/>
    </row>
    <row r="1254" spans="9:15" x14ac:dyDescent="0.35">
      <c r="I1254" s="52"/>
      <c r="J1254" s="28"/>
      <c r="K1254" s="29"/>
      <c r="L1254" s="28"/>
      <c r="M1254" s="19"/>
      <c r="N1254" s="19"/>
      <c r="O1254" s="48"/>
    </row>
    <row r="1255" spans="9:15" x14ac:dyDescent="0.35">
      <c r="I1255" s="52"/>
      <c r="J1255" s="28"/>
      <c r="K1255" s="29"/>
      <c r="L1255" s="28"/>
      <c r="M1255" s="19"/>
      <c r="N1255" s="19"/>
      <c r="O1255" s="48"/>
    </row>
    <row r="1256" spans="9:15" x14ac:dyDescent="0.35">
      <c r="I1256" s="52"/>
      <c r="J1256" s="28"/>
      <c r="K1256" s="29"/>
      <c r="L1256" s="28"/>
      <c r="M1256" s="19"/>
      <c r="N1256" s="19"/>
      <c r="O1256" s="48"/>
    </row>
    <row r="1257" spans="9:15" x14ac:dyDescent="0.35">
      <c r="I1257" s="52"/>
      <c r="J1257" s="28"/>
      <c r="K1257" s="29"/>
      <c r="L1257" s="28"/>
      <c r="M1257" s="19"/>
      <c r="N1257" s="19"/>
      <c r="O1257" s="48"/>
    </row>
    <row r="1258" spans="9:15" x14ac:dyDescent="0.35">
      <c r="I1258" s="52"/>
      <c r="J1258" s="28"/>
      <c r="K1258" s="29"/>
      <c r="L1258" s="28"/>
      <c r="M1258" s="19"/>
      <c r="N1258" s="19"/>
      <c r="O1258" s="48"/>
    </row>
    <row r="1259" spans="9:15" x14ac:dyDescent="0.35">
      <c r="I1259" s="52"/>
      <c r="J1259" s="28"/>
      <c r="K1259" s="29"/>
      <c r="L1259" s="28"/>
      <c r="M1259" s="19"/>
      <c r="N1259" s="19"/>
      <c r="O1259" s="48"/>
    </row>
    <row r="1260" spans="9:15" x14ac:dyDescent="0.35">
      <c r="I1260" s="52"/>
      <c r="J1260" s="28"/>
      <c r="K1260" s="29"/>
      <c r="L1260" s="28"/>
      <c r="M1260" s="19"/>
      <c r="N1260" s="19"/>
      <c r="O1260" s="48"/>
    </row>
    <row r="1261" spans="9:15" x14ac:dyDescent="0.35">
      <c r="I1261" s="52"/>
      <c r="J1261" s="28"/>
      <c r="K1261" s="29"/>
      <c r="L1261" s="28"/>
      <c r="M1261" s="19"/>
      <c r="N1261" s="19"/>
      <c r="O1261" s="48"/>
    </row>
    <row r="1262" spans="9:15" x14ac:dyDescent="0.35">
      <c r="I1262" s="52"/>
      <c r="J1262" s="28"/>
      <c r="K1262" s="29"/>
      <c r="L1262" s="28"/>
      <c r="M1262" s="19"/>
      <c r="N1262" s="19"/>
      <c r="O1262" s="48"/>
    </row>
    <row r="1263" spans="9:15" x14ac:dyDescent="0.35">
      <c r="I1263" s="52"/>
      <c r="J1263" s="28"/>
      <c r="K1263" s="29"/>
      <c r="L1263" s="28"/>
      <c r="M1263" s="19"/>
      <c r="N1263" s="19"/>
      <c r="O1263" s="48"/>
    </row>
    <row r="1264" spans="9:15" x14ac:dyDescent="0.35">
      <c r="I1264" s="52"/>
      <c r="J1264" s="28"/>
      <c r="K1264" s="29"/>
      <c r="L1264" s="28"/>
      <c r="M1264" s="19"/>
      <c r="N1264" s="19"/>
      <c r="O1264" s="48"/>
    </row>
    <row r="1265" spans="9:15" x14ac:dyDescent="0.35">
      <c r="I1265" s="52"/>
      <c r="J1265" s="28"/>
      <c r="K1265" s="29"/>
      <c r="L1265" s="28"/>
      <c r="M1265" s="19"/>
      <c r="N1265" s="19"/>
      <c r="O1265" s="48"/>
    </row>
    <row r="1266" spans="9:15" x14ac:dyDescent="0.35">
      <c r="I1266" s="52"/>
      <c r="J1266" s="28"/>
      <c r="K1266" s="29"/>
      <c r="L1266" s="28"/>
      <c r="M1266" s="19"/>
      <c r="N1266" s="19"/>
      <c r="O1266" s="48"/>
    </row>
    <row r="1267" spans="9:15" x14ac:dyDescent="0.35">
      <c r="I1267" s="52"/>
      <c r="J1267" s="28"/>
      <c r="K1267" s="29"/>
      <c r="L1267" s="28"/>
      <c r="M1267" s="19"/>
      <c r="N1267" s="19"/>
      <c r="O1267" s="48"/>
    </row>
    <row r="1268" spans="9:15" x14ac:dyDescent="0.35">
      <c r="I1268" s="52"/>
      <c r="J1268" s="28"/>
      <c r="K1268" s="29"/>
      <c r="L1268" s="28"/>
      <c r="M1268" s="19"/>
      <c r="N1268" s="19"/>
      <c r="O1268" s="48"/>
    </row>
    <row r="1269" spans="9:15" x14ac:dyDescent="0.35">
      <c r="I1269" s="52"/>
      <c r="J1269" s="28"/>
      <c r="K1269" s="29"/>
      <c r="L1269" s="28"/>
      <c r="M1269" s="19"/>
      <c r="N1269" s="19"/>
      <c r="O1269" s="48"/>
    </row>
    <row r="1270" spans="9:15" x14ac:dyDescent="0.35">
      <c r="I1270" s="52"/>
      <c r="J1270" s="28"/>
      <c r="K1270" s="29"/>
      <c r="L1270" s="28"/>
      <c r="M1270" s="19"/>
      <c r="N1270" s="19"/>
      <c r="O1270" s="48"/>
    </row>
    <row r="1271" spans="9:15" x14ac:dyDescent="0.35">
      <c r="I1271" s="52"/>
      <c r="J1271" s="28"/>
      <c r="K1271" s="29"/>
      <c r="L1271" s="28"/>
      <c r="M1271" s="19"/>
      <c r="N1271" s="19"/>
      <c r="O1271" s="48"/>
    </row>
    <row r="1272" spans="9:15" x14ac:dyDescent="0.35">
      <c r="I1272" s="52"/>
      <c r="J1272" s="28"/>
      <c r="K1272" s="29"/>
      <c r="L1272" s="28"/>
      <c r="M1272" s="19"/>
      <c r="N1272" s="19"/>
      <c r="O1272" s="48"/>
    </row>
    <row r="1273" spans="9:15" x14ac:dyDescent="0.35">
      <c r="I1273" s="52"/>
      <c r="J1273" s="28"/>
      <c r="K1273" s="29"/>
      <c r="L1273" s="28"/>
      <c r="M1273" s="19"/>
      <c r="N1273" s="19"/>
      <c r="O1273" s="48"/>
    </row>
    <row r="1274" spans="9:15" x14ac:dyDescent="0.35">
      <c r="I1274" s="52"/>
      <c r="J1274" s="28"/>
      <c r="K1274" s="29"/>
      <c r="L1274" s="28"/>
      <c r="M1274" s="19"/>
      <c r="N1274" s="19"/>
      <c r="O1274" s="48"/>
    </row>
    <row r="1275" spans="9:15" x14ac:dyDescent="0.35">
      <c r="I1275" s="52"/>
      <c r="J1275" s="28"/>
      <c r="K1275" s="29"/>
      <c r="L1275" s="28"/>
      <c r="M1275" s="19"/>
      <c r="N1275" s="19"/>
      <c r="O1275" s="48"/>
    </row>
    <row r="1276" spans="9:15" x14ac:dyDescent="0.35">
      <c r="I1276" s="52"/>
      <c r="J1276" s="28"/>
      <c r="K1276" s="29"/>
      <c r="L1276" s="28"/>
      <c r="M1276" s="19"/>
      <c r="N1276" s="19"/>
      <c r="O1276" s="48"/>
    </row>
    <row r="1277" spans="9:15" x14ac:dyDescent="0.35">
      <c r="I1277" s="52"/>
      <c r="J1277" s="28"/>
      <c r="K1277" s="29"/>
      <c r="L1277" s="28"/>
      <c r="M1277" s="19"/>
      <c r="N1277" s="19"/>
      <c r="O1277" s="48"/>
    </row>
    <row r="1278" spans="9:15" x14ac:dyDescent="0.35">
      <c r="I1278" s="52"/>
      <c r="J1278" s="28"/>
      <c r="K1278" s="29"/>
      <c r="L1278" s="28"/>
      <c r="M1278" s="19"/>
      <c r="N1278" s="19"/>
      <c r="O1278" s="48"/>
    </row>
    <row r="1279" spans="9:15" x14ac:dyDescent="0.35">
      <c r="I1279" s="52"/>
      <c r="J1279" s="28"/>
      <c r="K1279" s="29"/>
      <c r="L1279" s="28"/>
      <c r="M1279" s="19"/>
      <c r="N1279" s="19"/>
      <c r="O1279" s="48"/>
    </row>
    <row r="1280" spans="9:15" x14ac:dyDescent="0.35">
      <c r="I1280" s="52"/>
      <c r="J1280" s="28"/>
      <c r="K1280" s="29"/>
      <c r="L1280" s="28"/>
      <c r="M1280" s="19"/>
      <c r="N1280" s="19"/>
      <c r="O1280" s="48"/>
    </row>
    <row r="1281" spans="9:15" x14ac:dyDescent="0.35">
      <c r="I1281" s="52"/>
      <c r="J1281" s="28"/>
      <c r="K1281" s="29"/>
      <c r="L1281" s="28"/>
      <c r="M1281" s="19"/>
      <c r="N1281" s="19"/>
      <c r="O1281" s="48"/>
    </row>
    <row r="1282" spans="9:15" x14ac:dyDescent="0.35">
      <c r="I1282" s="52"/>
      <c r="J1282" s="28"/>
      <c r="K1282" s="29"/>
      <c r="L1282" s="28"/>
      <c r="M1282" s="19"/>
      <c r="N1282" s="19"/>
      <c r="O1282" s="48"/>
    </row>
    <row r="1283" spans="9:15" x14ac:dyDescent="0.35">
      <c r="I1283" s="52"/>
      <c r="J1283" s="28"/>
      <c r="K1283" s="29"/>
      <c r="L1283" s="28"/>
      <c r="M1283" s="19"/>
      <c r="N1283" s="19"/>
      <c r="O1283" s="48"/>
    </row>
    <row r="1284" spans="9:15" x14ac:dyDescent="0.35">
      <c r="I1284" s="52"/>
      <c r="J1284" s="28"/>
      <c r="K1284" s="29"/>
      <c r="L1284" s="28"/>
      <c r="M1284" s="19"/>
      <c r="N1284" s="19"/>
      <c r="O1284" s="48"/>
    </row>
    <row r="1285" spans="9:15" x14ac:dyDescent="0.35">
      <c r="I1285" s="52"/>
      <c r="J1285" s="28"/>
      <c r="K1285" s="29"/>
      <c r="L1285" s="28"/>
      <c r="M1285" s="19"/>
      <c r="N1285" s="19"/>
      <c r="O1285" s="48"/>
    </row>
    <row r="1286" spans="9:15" x14ac:dyDescent="0.35">
      <c r="I1286" s="52"/>
      <c r="J1286" s="28"/>
      <c r="K1286" s="29"/>
      <c r="L1286" s="28"/>
      <c r="M1286" s="19"/>
      <c r="N1286" s="19"/>
      <c r="O1286" s="48"/>
    </row>
    <row r="1287" spans="9:15" x14ac:dyDescent="0.35">
      <c r="I1287" s="52"/>
      <c r="J1287" s="28"/>
      <c r="K1287" s="29"/>
      <c r="L1287" s="28"/>
      <c r="M1287" s="19"/>
      <c r="N1287" s="19"/>
      <c r="O1287" s="48"/>
    </row>
    <row r="1288" spans="9:15" x14ac:dyDescent="0.35">
      <c r="I1288" s="52"/>
      <c r="J1288" s="28"/>
      <c r="K1288" s="29"/>
      <c r="L1288" s="28"/>
      <c r="M1288" s="19"/>
      <c r="N1288" s="19"/>
      <c r="O1288" s="48"/>
    </row>
    <row r="1289" spans="9:15" x14ac:dyDescent="0.35">
      <c r="I1289" s="52"/>
      <c r="J1289" s="28"/>
      <c r="K1289" s="29"/>
      <c r="L1289" s="28"/>
      <c r="M1289" s="19"/>
      <c r="N1289" s="19"/>
      <c r="O1289" s="48"/>
    </row>
    <row r="1290" spans="9:15" x14ac:dyDescent="0.35">
      <c r="I1290" s="52"/>
      <c r="J1290" s="28"/>
      <c r="K1290" s="29"/>
      <c r="L1290" s="28"/>
      <c r="M1290" s="19"/>
      <c r="N1290" s="19"/>
      <c r="O1290" s="48"/>
    </row>
    <row r="1291" spans="9:15" x14ac:dyDescent="0.35">
      <c r="I1291" s="52"/>
      <c r="J1291" s="28"/>
      <c r="K1291" s="29"/>
      <c r="L1291" s="28"/>
      <c r="M1291" s="19"/>
      <c r="N1291" s="19"/>
      <c r="O1291" s="48"/>
    </row>
    <row r="1292" spans="9:15" x14ac:dyDescent="0.35">
      <c r="I1292" s="52"/>
      <c r="J1292" s="28"/>
      <c r="K1292" s="29"/>
      <c r="L1292" s="28"/>
      <c r="M1292" s="19"/>
      <c r="N1292" s="19"/>
      <c r="O1292" s="48"/>
    </row>
    <row r="1293" spans="9:15" x14ac:dyDescent="0.35">
      <c r="I1293" s="52"/>
      <c r="J1293" s="28"/>
      <c r="K1293" s="29"/>
      <c r="L1293" s="28"/>
      <c r="M1293" s="19"/>
      <c r="N1293" s="19"/>
      <c r="O1293" s="48"/>
    </row>
    <row r="1294" spans="9:15" x14ac:dyDescent="0.35">
      <c r="I1294" s="52"/>
      <c r="J1294" s="28"/>
      <c r="K1294" s="29"/>
      <c r="L1294" s="28"/>
      <c r="M1294" s="19"/>
      <c r="N1294" s="19"/>
      <c r="O1294" s="48"/>
    </row>
    <row r="1295" spans="9:15" x14ac:dyDescent="0.35">
      <c r="I1295" s="52"/>
      <c r="J1295" s="28"/>
      <c r="K1295" s="29"/>
      <c r="L1295" s="28"/>
      <c r="M1295" s="19"/>
      <c r="N1295" s="19"/>
      <c r="O1295" s="48"/>
    </row>
    <row r="1296" spans="9:15" x14ac:dyDescent="0.35">
      <c r="I1296" s="52"/>
      <c r="J1296" s="28"/>
      <c r="K1296" s="29"/>
      <c r="L1296" s="28"/>
      <c r="M1296" s="19"/>
      <c r="N1296" s="19"/>
      <c r="O1296" s="48"/>
    </row>
    <row r="1297" spans="9:15" x14ac:dyDescent="0.35">
      <c r="I1297" s="52"/>
      <c r="J1297" s="28"/>
      <c r="K1297" s="29"/>
      <c r="L1297" s="28"/>
      <c r="M1297" s="19"/>
      <c r="N1297" s="19"/>
      <c r="O1297" s="48"/>
    </row>
    <row r="1298" spans="9:15" x14ac:dyDescent="0.35">
      <c r="I1298" s="52"/>
      <c r="J1298" s="28"/>
      <c r="K1298" s="29"/>
      <c r="L1298" s="28"/>
      <c r="M1298" s="19"/>
      <c r="N1298" s="19"/>
      <c r="O1298" s="48"/>
    </row>
    <row r="1299" spans="9:15" x14ac:dyDescent="0.35">
      <c r="I1299" s="52"/>
      <c r="J1299" s="28"/>
      <c r="K1299" s="29"/>
      <c r="L1299" s="28"/>
      <c r="M1299" s="19"/>
      <c r="N1299" s="19"/>
      <c r="O1299" s="48"/>
    </row>
    <row r="1300" spans="9:15" x14ac:dyDescent="0.35">
      <c r="I1300" s="52"/>
      <c r="J1300" s="28"/>
      <c r="K1300" s="29"/>
      <c r="L1300" s="28"/>
      <c r="M1300" s="19"/>
      <c r="N1300" s="19"/>
      <c r="O1300" s="48"/>
    </row>
    <row r="1301" spans="9:15" x14ac:dyDescent="0.35">
      <c r="I1301" s="52"/>
      <c r="J1301" s="28"/>
      <c r="K1301" s="29"/>
      <c r="L1301" s="28"/>
      <c r="M1301" s="19"/>
      <c r="N1301" s="19"/>
      <c r="O1301" s="48"/>
    </row>
    <row r="1302" spans="9:15" x14ac:dyDescent="0.35">
      <c r="I1302" s="52"/>
      <c r="J1302" s="28"/>
      <c r="K1302" s="29"/>
      <c r="L1302" s="28"/>
      <c r="M1302" s="19"/>
      <c r="N1302" s="19"/>
      <c r="O1302" s="48"/>
    </row>
    <row r="1303" spans="9:15" x14ac:dyDescent="0.35">
      <c r="I1303" s="52"/>
      <c r="J1303" s="28"/>
      <c r="K1303" s="29"/>
      <c r="L1303" s="28"/>
      <c r="M1303" s="19"/>
      <c r="N1303" s="19"/>
      <c r="O1303" s="48"/>
    </row>
    <row r="1304" spans="9:15" x14ac:dyDescent="0.35">
      <c r="I1304" s="52"/>
      <c r="J1304" s="28"/>
      <c r="K1304" s="29"/>
      <c r="L1304" s="28"/>
      <c r="M1304" s="19"/>
      <c r="N1304" s="19"/>
      <c r="O1304" s="48"/>
    </row>
    <row r="1305" spans="9:15" x14ac:dyDescent="0.35">
      <c r="I1305" s="52"/>
      <c r="J1305" s="28"/>
      <c r="K1305" s="29"/>
      <c r="L1305" s="28"/>
      <c r="M1305" s="19"/>
      <c r="N1305" s="19"/>
      <c r="O1305" s="48"/>
    </row>
    <row r="1306" spans="9:15" x14ac:dyDescent="0.35">
      <c r="I1306" s="52"/>
      <c r="J1306" s="28"/>
      <c r="K1306" s="29"/>
      <c r="L1306" s="28"/>
      <c r="M1306" s="19"/>
      <c r="N1306" s="19"/>
      <c r="O1306" s="48"/>
    </row>
    <row r="1307" spans="9:15" x14ac:dyDescent="0.35">
      <c r="I1307" s="52"/>
      <c r="J1307" s="28"/>
      <c r="K1307" s="29"/>
      <c r="L1307" s="28"/>
      <c r="M1307" s="19"/>
      <c r="N1307" s="19"/>
      <c r="O1307" s="48"/>
    </row>
    <row r="1308" spans="9:15" x14ac:dyDescent="0.35">
      <c r="I1308" s="52"/>
      <c r="J1308" s="28"/>
      <c r="K1308" s="29"/>
      <c r="L1308" s="28"/>
      <c r="M1308" s="19"/>
      <c r="N1308" s="19"/>
      <c r="O1308" s="48"/>
    </row>
    <row r="1309" spans="9:15" x14ac:dyDescent="0.35">
      <c r="I1309" s="52"/>
      <c r="J1309" s="28"/>
      <c r="K1309" s="29"/>
      <c r="L1309" s="28"/>
      <c r="M1309" s="19"/>
      <c r="N1309" s="19"/>
      <c r="O1309" s="48"/>
    </row>
    <row r="1310" spans="9:15" x14ac:dyDescent="0.35">
      <c r="I1310" s="52"/>
      <c r="J1310" s="28"/>
      <c r="K1310" s="29"/>
      <c r="L1310" s="28"/>
      <c r="M1310" s="19"/>
      <c r="N1310" s="19"/>
      <c r="O1310" s="48"/>
    </row>
    <row r="1311" spans="9:15" x14ac:dyDescent="0.35">
      <c r="I1311" s="52"/>
      <c r="J1311" s="28"/>
      <c r="K1311" s="29"/>
      <c r="L1311" s="28"/>
      <c r="M1311" s="19"/>
      <c r="N1311" s="19"/>
      <c r="O1311" s="48"/>
    </row>
    <row r="1312" spans="9:15" x14ac:dyDescent="0.35">
      <c r="I1312" s="52"/>
      <c r="J1312" s="28"/>
      <c r="K1312" s="29"/>
      <c r="L1312" s="28"/>
      <c r="M1312" s="19"/>
      <c r="N1312" s="19"/>
      <c r="O1312" s="48"/>
    </row>
    <row r="1313" spans="9:15" x14ac:dyDescent="0.35">
      <c r="I1313" s="52"/>
      <c r="J1313" s="28"/>
      <c r="K1313" s="29"/>
      <c r="L1313" s="28"/>
      <c r="M1313" s="19"/>
      <c r="N1313" s="19"/>
      <c r="O1313" s="48"/>
    </row>
    <row r="1314" spans="9:15" x14ac:dyDescent="0.35">
      <c r="I1314" s="52"/>
      <c r="J1314" s="28"/>
      <c r="K1314" s="29"/>
      <c r="L1314" s="28"/>
      <c r="M1314" s="19"/>
      <c r="N1314" s="19"/>
      <c r="O1314" s="48"/>
    </row>
    <row r="1315" spans="9:15" x14ac:dyDescent="0.35">
      <c r="I1315" s="52"/>
      <c r="J1315" s="28"/>
      <c r="K1315" s="29"/>
      <c r="L1315" s="28"/>
      <c r="M1315" s="19"/>
      <c r="N1315" s="19"/>
      <c r="O1315" s="48"/>
    </row>
    <row r="1316" spans="9:15" x14ac:dyDescent="0.35">
      <c r="I1316" s="52"/>
      <c r="J1316" s="28"/>
      <c r="K1316" s="29"/>
      <c r="L1316" s="28"/>
      <c r="M1316" s="19"/>
      <c r="N1316" s="19"/>
      <c r="O1316" s="48"/>
    </row>
    <row r="1317" spans="9:15" x14ac:dyDescent="0.35">
      <c r="I1317" s="52"/>
      <c r="J1317" s="28"/>
      <c r="K1317" s="29"/>
      <c r="L1317" s="28"/>
      <c r="M1317" s="19"/>
      <c r="N1317" s="19"/>
      <c r="O1317" s="48"/>
    </row>
    <row r="1318" spans="9:15" x14ac:dyDescent="0.35">
      <c r="I1318" s="52"/>
      <c r="J1318" s="28"/>
      <c r="K1318" s="29"/>
      <c r="L1318" s="28"/>
      <c r="M1318" s="19"/>
      <c r="N1318" s="19"/>
      <c r="O1318" s="48"/>
    </row>
    <row r="1319" spans="9:15" x14ac:dyDescent="0.35">
      <c r="I1319" s="52"/>
      <c r="J1319" s="28"/>
      <c r="K1319" s="29"/>
      <c r="L1319" s="28"/>
      <c r="M1319" s="19"/>
      <c r="N1319" s="19"/>
      <c r="O1319" s="48"/>
    </row>
    <row r="1320" spans="9:15" x14ac:dyDescent="0.35">
      <c r="I1320" s="52"/>
      <c r="J1320" s="28"/>
      <c r="K1320" s="29"/>
      <c r="L1320" s="28"/>
      <c r="M1320" s="19"/>
      <c r="N1320" s="19"/>
      <c r="O1320" s="48"/>
    </row>
    <row r="1321" spans="9:15" x14ac:dyDescent="0.35">
      <c r="I1321" s="52"/>
      <c r="J1321" s="28"/>
      <c r="K1321" s="29"/>
      <c r="L1321" s="28"/>
      <c r="M1321" s="19"/>
      <c r="N1321" s="19"/>
      <c r="O1321" s="48"/>
    </row>
    <row r="1322" spans="9:15" x14ac:dyDescent="0.35">
      <c r="I1322" s="52"/>
      <c r="J1322" s="28"/>
      <c r="K1322" s="29"/>
      <c r="L1322" s="28"/>
      <c r="M1322" s="19"/>
      <c r="N1322" s="19"/>
      <c r="O1322" s="48"/>
    </row>
    <row r="1323" spans="9:15" x14ac:dyDescent="0.35">
      <c r="I1323" s="52"/>
      <c r="J1323" s="28"/>
      <c r="K1323" s="29"/>
      <c r="L1323" s="28"/>
      <c r="M1323" s="19"/>
      <c r="N1323" s="19"/>
      <c r="O1323" s="48"/>
    </row>
    <row r="1324" spans="9:15" x14ac:dyDescent="0.35">
      <c r="I1324" s="52"/>
      <c r="J1324" s="28"/>
      <c r="K1324" s="29"/>
      <c r="L1324" s="28"/>
      <c r="M1324" s="19"/>
      <c r="N1324" s="19"/>
      <c r="O1324" s="48"/>
    </row>
    <row r="1325" spans="9:15" x14ac:dyDescent="0.35">
      <c r="I1325" s="52"/>
      <c r="J1325" s="28"/>
      <c r="K1325" s="29"/>
      <c r="L1325" s="28"/>
      <c r="M1325" s="19"/>
      <c r="N1325" s="19"/>
      <c r="O1325" s="48"/>
    </row>
    <row r="1326" spans="9:15" x14ac:dyDescent="0.35">
      <c r="I1326" s="52"/>
      <c r="J1326" s="28"/>
      <c r="K1326" s="29"/>
      <c r="L1326" s="28"/>
      <c r="M1326" s="19"/>
      <c r="N1326" s="19"/>
      <c r="O1326" s="48"/>
    </row>
    <row r="1327" spans="9:15" x14ac:dyDescent="0.35">
      <c r="I1327" s="52"/>
      <c r="J1327" s="28"/>
      <c r="K1327" s="29"/>
      <c r="L1327" s="28"/>
      <c r="M1327" s="19"/>
      <c r="N1327" s="19"/>
      <c r="O1327" s="48"/>
    </row>
    <row r="1328" spans="9:15" x14ac:dyDescent="0.35">
      <c r="I1328" s="52"/>
      <c r="J1328" s="28"/>
      <c r="K1328" s="29"/>
      <c r="L1328" s="28"/>
      <c r="M1328" s="19"/>
      <c r="N1328" s="19"/>
      <c r="O1328" s="48"/>
    </row>
    <row r="1329" spans="9:15" x14ac:dyDescent="0.35">
      <c r="I1329" s="52"/>
      <c r="J1329" s="28"/>
      <c r="K1329" s="29"/>
      <c r="L1329" s="28"/>
      <c r="M1329" s="19"/>
      <c r="N1329" s="19"/>
      <c r="O1329" s="48"/>
    </row>
    <row r="1330" spans="9:15" x14ac:dyDescent="0.35">
      <c r="I1330" s="52"/>
      <c r="J1330" s="28"/>
      <c r="K1330" s="29"/>
      <c r="L1330" s="28"/>
      <c r="M1330" s="19"/>
      <c r="N1330" s="19"/>
      <c r="O1330" s="48"/>
    </row>
    <row r="1331" spans="9:15" x14ac:dyDescent="0.35">
      <c r="I1331" s="52"/>
      <c r="J1331" s="28"/>
      <c r="K1331" s="29"/>
      <c r="L1331" s="28"/>
      <c r="M1331" s="19"/>
      <c r="N1331" s="19"/>
      <c r="O1331" s="48"/>
    </row>
    <row r="1332" spans="9:15" x14ac:dyDescent="0.35">
      <c r="I1332" s="52"/>
      <c r="J1332" s="28"/>
      <c r="K1332" s="29"/>
      <c r="L1332" s="28"/>
      <c r="M1332" s="19"/>
      <c r="N1332" s="19"/>
      <c r="O1332" s="48"/>
    </row>
    <row r="1333" spans="9:15" x14ac:dyDescent="0.35">
      <c r="I1333" s="52"/>
      <c r="J1333" s="28"/>
      <c r="K1333" s="29"/>
      <c r="L1333" s="28"/>
      <c r="M1333" s="19"/>
      <c r="N1333" s="19"/>
      <c r="O1333" s="48"/>
    </row>
    <row r="1334" spans="9:15" x14ac:dyDescent="0.35">
      <c r="I1334" s="52"/>
      <c r="J1334" s="28"/>
      <c r="K1334" s="29"/>
      <c r="L1334" s="28"/>
      <c r="M1334" s="19"/>
      <c r="N1334" s="19"/>
      <c r="O1334" s="48"/>
    </row>
    <row r="1335" spans="9:15" x14ac:dyDescent="0.35">
      <c r="I1335" s="52"/>
      <c r="J1335" s="28"/>
      <c r="K1335" s="29"/>
      <c r="L1335" s="28"/>
      <c r="M1335" s="19"/>
      <c r="N1335" s="19"/>
      <c r="O1335" s="48"/>
    </row>
    <row r="1336" spans="9:15" x14ac:dyDescent="0.35">
      <c r="I1336" s="52"/>
      <c r="J1336" s="28"/>
      <c r="K1336" s="29"/>
      <c r="L1336" s="28"/>
      <c r="M1336" s="19"/>
      <c r="N1336" s="19"/>
      <c r="O1336" s="48"/>
    </row>
    <row r="1337" spans="9:15" x14ac:dyDescent="0.35">
      <c r="I1337" s="52"/>
      <c r="J1337" s="28"/>
      <c r="K1337" s="29"/>
      <c r="L1337" s="28"/>
      <c r="M1337" s="19"/>
      <c r="N1337" s="19"/>
      <c r="O1337" s="48"/>
    </row>
    <row r="1338" spans="9:15" x14ac:dyDescent="0.35">
      <c r="I1338" s="52"/>
      <c r="J1338" s="28"/>
      <c r="K1338" s="29"/>
      <c r="L1338" s="28"/>
      <c r="M1338" s="19"/>
      <c r="N1338" s="19"/>
      <c r="O1338" s="48"/>
    </row>
    <row r="1339" spans="9:15" x14ac:dyDescent="0.35">
      <c r="I1339" s="52"/>
      <c r="J1339" s="28"/>
      <c r="K1339" s="29"/>
      <c r="L1339" s="28"/>
      <c r="M1339" s="19"/>
      <c r="N1339" s="19"/>
      <c r="O1339" s="48"/>
    </row>
    <row r="1340" spans="9:15" x14ac:dyDescent="0.35">
      <c r="I1340" s="52"/>
      <c r="J1340" s="28"/>
      <c r="K1340" s="29"/>
      <c r="L1340" s="28"/>
      <c r="M1340" s="19"/>
      <c r="N1340" s="19"/>
      <c r="O1340" s="48"/>
    </row>
    <row r="1341" spans="9:15" x14ac:dyDescent="0.35">
      <c r="I1341" s="52"/>
      <c r="J1341" s="28"/>
      <c r="K1341" s="29"/>
      <c r="L1341" s="28"/>
      <c r="M1341" s="19"/>
      <c r="N1341" s="19"/>
      <c r="O1341" s="48"/>
    </row>
    <row r="1342" spans="9:15" x14ac:dyDescent="0.35">
      <c r="I1342" s="52"/>
      <c r="J1342" s="28"/>
      <c r="K1342" s="29"/>
      <c r="L1342" s="28"/>
      <c r="M1342" s="19"/>
      <c r="N1342" s="19"/>
      <c r="O1342" s="48"/>
    </row>
    <row r="1343" spans="9:15" x14ac:dyDescent="0.35">
      <c r="I1343" s="52"/>
      <c r="J1343" s="28"/>
      <c r="K1343" s="29"/>
      <c r="L1343" s="28"/>
      <c r="M1343" s="19"/>
      <c r="N1343" s="19"/>
      <c r="O1343" s="48"/>
    </row>
    <row r="1344" spans="9:15" x14ac:dyDescent="0.35">
      <c r="I1344" s="52"/>
      <c r="J1344" s="28"/>
      <c r="K1344" s="29"/>
      <c r="L1344" s="28"/>
      <c r="M1344" s="19"/>
      <c r="N1344" s="19"/>
      <c r="O1344" s="48"/>
    </row>
    <row r="1345" spans="9:15" x14ac:dyDescent="0.35">
      <c r="I1345" s="52"/>
      <c r="J1345" s="28"/>
      <c r="K1345" s="29"/>
      <c r="L1345" s="28"/>
      <c r="M1345" s="19"/>
      <c r="N1345" s="19"/>
      <c r="O1345" s="48"/>
    </row>
    <row r="1346" spans="9:15" x14ac:dyDescent="0.35">
      <c r="I1346" s="52"/>
      <c r="J1346" s="28"/>
      <c r="K1346" s="29"/>
      <c r="L1346" s="28"/>
      <c r="M1346" s="19"/>
      <c r="N1346" s="19"/>
      <c r="O1346" s="48"/>
    </row>
    <row r="1347" spans="9:15" x14ac:dyDescent="0.35">
      <c r="I1347" s="52"/>
      <c r="J1347" s="28"/>
      <c r="K1347" s="29"/>
      <c r="L1347" s="28"/>
      <c r="M1347" s="19"/>
      <c r="N1347" s="19"/>
      <c r="O1347" s="48"/>
    </row>
    <row r="1348" spans="9:15" x14ac:dyDescent="0.35">
      <c r="I1348" s="52"/>
      <c r="J1348" s="28"/>
      <c r="K1348" s="29"/>
      <c r="L1348" s="28"/>
      <c r="M1348" s="19"/>
      <c r="N1348" s="19"/>
      <c r="O1348" s="48"/>
    </row>
    <row r="1349" spans="9:15" x14ac:dyDescent="0.35">
      <c r="I1349" s="52"/>
      <c r="J1349" s="28"/>
      <c r="K1349" s="29"/>
      <c r="L1349" s="28"/>
      <c r="M1349" s="19"/>
      <c r="N1349" s="19"/>
      <c r="O1349" s="48"/>
    </row>
    <row r="1350" spans="9:15" x14ac:dyDescent="0.35">
      <c r="I1350" s="52"/>
      <c r="J1350" s="28"/>
      <c r="K1350" s="29"/>
      <c r="L1350" s="28"/>
      <c r="M1350" s="19"/>
      <c r="N1350" s="19"/>
      <c r="O1350" s="48"/>
    </row>
    <row r="1351" spans="9:15" x14ac:dyDescent="0.35">
      <c r="I1351" s="52"/>
      <c r="J1351" s="28"/>
      <c r="K1351" s="29"/>
      <c r="L1351" s="28"/>
      <c r="M1351" s="19"/>
      <c r="N1351" s="19"/>
      <c r="O1351" s="48"/>
    </row>
    <row r="1352" spans="9:15" x14ac:dyDescent="0.35">
      <c r="I1352" s="52"/>
      <c r="J1352" s="28"/>
      <c r="K1352" s="29"/>
      <c r="L1352" s="28"/>
      <c r="M1352" s="19"/>
      <c r="N1352" s="19"/>
      <c r="O1352" s="48"/>
    </row>
    <row r="1353" spans="9:15" x14ac:dyDescent="0.35">
      <c r="I1353" s="52"/>
      <c r="J1353" s="28"/>
      <c r="K1353" s="29"/>
      <c r="L1353" s="28"/>
      <c r="M1353" s="19"/>
      <c r="N1353" s="19"/>
      <c r="O1353" s="48"/>
    </row>
    <row r="1354" spans="9:15" x14ac:dyDescent="0.35">
      <c r="I1354" s="52"/>
      <c r="J1354" s="28"/>
      <c r="K1354" s="29"/>
      <c r="L1354" s="28"/>
      <c r="M1354" s="19"/>
      <c r="N1354" s="19"/>
      <c r="O1354" s="48"/>
    </row>
    <row r="1355" spans="9:15" x14ac:dyDescent="0.35">
      <c r="I1355" s="52"/>
      <c r="J1355" s="28"/>
      <c r="K1355" s="29"/>
      <c r="L1355" s="28"/>
      <c r="M1355" s="19"/>
      <c r="N1355" s="19"/>
      <c r="O1355" s="48"/>
    </row>
    <row r="1356" spans="9:15" x14ac:dyDescent="0.35">
      <c r="I1356" s="52"/>
      <c r="J1356" s="28"/>
      <c r="K1356" s="29"/>
      <c r="L1356" s="28"/>
      <c r="M1356" s="19"/>
      <c r="N1356" s="19"/>
      <c r="O1356" s="48"/>
    </row>
    <row r="1357" spans="9:15" x14ac:dyDescent="0.35">
      <c r="I1357" s="52"/>
      <c r="J1357" s="28"/>
      <c r="K1357" s="29"/>
      <c r="L1357" s="28"/>
      <c r="M1357" s="19"/>
      <c r="N1357" s="19"/>
      <c r="O1357" s="48"/>
    </row>
    <row r="1358" spans="9:15" x14ac:dyDescent="0.35">
      <c r="I1358" s="52"/>
      <c r="J1358" s="28"/>
      <c r="K1358" s="29"/>
      <c r="L1358" s="28"/>
      <c r="M1358" s="19"/>
      <c r="N1358" s="19"/>
      <c r="O1358" s="48"/>
    </row>
    <row r="1359" spans="9:15" x14ac:dyDescent="0.35">
      <c r="I1359" s="52"/>
      <c r="J1359" s="28"/>
      <c r="K1359" s="29"/>
      <c r="L1359" s="28"/>
      <c r="M1359" s="19"/>
      <c r="N1359" s="19"/>
      <c r="O1359" s="48"/>
    </row>
    <row r="1360" spans="9:15" x14ac:dyDescent="0.35">
      <c r="I1360" s="52"/>
      <c r="J1360" s="28"/>
      <c r="K1360" s="29"/>
      <c r="L1360" s="28"/>
      <c r="M1360" s="19"/>
      <c r="N1360" s="19"/>
      <c r="O1360" s="48"/>
    </row>
    <row r="1361" spans="9:15" x14ac:dyDescent="0.35">
      <c r="I1361" s="52"/>
      <c r="J1361" s="28"/>
      <c r="K1361" s="29"/>
      <c r="L1361" s="28"/>
      <c r="M1361" s="19"/>
      <c r="N1361" s="19"/>
      <c r="O1361" s="48"/>
    </row>
    <row r="1362" spans="9:15" x14ac:dyDescent="0.35">
      <c r="I1362" s="52"/>
      <c r="J1362" s="28"/>
      <c r="K1362" s="29"/>
      <c r="L1362" s="28"/>
      <c r="M1362" s="19"/>
      <c r="N1362" s="19"/>
      <c r="O1362" s="48"/>
    </row>
    <row r="1363" spans="9:15" x14ac:dyDescent="0.35">
      <c r="I1363" s="52"/>
      <c r="J1363" s="28"/>
      <c r="K1363" s="29"/>
      <c r="L1363" s="28"/>
      <c r="M1363" s="19"/>
      <c r="N1363" s="19"/>
      <c r="O1363" s="48"/>
    </row>
    <row r="1364" spans="9:15" x14ac:dyDescent="0.35">
      <c r="I1364" s="52"/>
      <c r="J1364" s="28"/>
      <c r="K1364" s="29"/>
      <c r="L1364" s="28"/>
      <c r="M1364" s="19"/>
      <c r="N1364" s="19"/>
      <c r="O1364" s="48"/>
    </row>
    <row r="1365" spans="9:15" x14ac:dyDescent="0.35">
      <c r="I1365" s="52"/>
      <c r="J1365" s="28"/>
      <c r="K1365" s="29"/>
      <c r="L1365" s="28"/>
      <c r="M1365" s="19"/>
      <c r="N1365" s="19"/>
      <c r="O1365" s="48"/>
    </row>
    <row r="1366" spans="9:15" x14ac:dyDescent="0.35">
      <c r="I1366" s="52"/>
      <c r="J1366" s="28"/>
      <c r="K1366" s="29"/>
      <c r="L1366" s="28"/>
      <c r="M1366" s="19"/>
      <c r="N1366" s="19"/>
      <c r="O1366" s="48"/>
    </row>
    <row r="1367" spans="9:15" x14ac:dyDescent="0.35">
      <c r="I1367" s="52"/>
      <c r="J1367" s="28"/>
      <c r="K1367" s="29"/>
      <c r="L1367" s="28"/>
      <c r="M1367" s="19"/>
      <c r="N1367" s="19"/>
      <c r="O1367" s="48"/>
    </row>
    <row r="1368" spans="9:15" x14ac:dyDescent="0.35">
      <c r="I1368" s="52"/>
      <c r="J1368" s="28"/>
      <c r="K1368" s="29"/>
      <c r="L1368" s="28"/>
      <c r="M1368" s="19"/>
      <c r="N1368" s="19"/>
      <c r="O1368" s="48"/>
    </row>
    <row r="1369" spans="9:15" x14ac:dyDescent="0.35">
      <c r="I1369" s="52"/>
      <c r="J1369" s="28"/>
      <c r="K1369" s="29"/>
      <c r="L1369" s="28"/>
      <c r="M1369" s="19"/>
      <c r="N1369" s="19"/>
      <c r="O1369" s="48"/>
    </row>
    <row r="1370" spans="9:15" x14ac:dyDescent="0.35">
      <c r="I1370" s="52"/>
      <c r="J1370" s="28"/>
      <c r="K1370" s="29"/>
      <c r="L1370" s="28"/>
      <c r="M1370" s="19"/>
      <c r="N1370" s="19"/>
      <c r="O1370" s="48"/>
    </row>
    <row r="1371" spans="9:15" x14ac:dyDescent="0.35">
      <c r="I1371" s="52"/>
      <c r="J1371" s="28"/>
      <c r="K1371" s="29"/>
      <c r="L1371" s="28"/>
      <c r="M1371" s="19"/>
      <c r="N1371" s="19"/>
      <c r="O1371" s="48"/>
    </row>
    <row r="1372" spans="9:15" x14ac:dyDescent="0.35">
      <c r="I1372" s="52"/>
      <c r="J1372" s="28"/>
      <c r="K1372" s="29"/>
      <c r="L1372" s="28"/>
      <c r="M1372" s="19"/>
      <c r="N1372" s="19"/>
      <c r="O1372" s="48"/>
    </row>
    <row r="1373" spans="9:15" x14ac:dyDescent="0.35">
      <c r="I1373" s="52"/>
      <c r="J1373" s="28"/>
      <c r="K1373" s="29"/>
      <c r="L1373" s="28"/>
      <c r="M1373" s="19"/>
      <c r="N1373" s="19"/>
      <c r="O1373" s="48"/>
    </row>
    <row r="1374" spans="9:15" x14ac:dyDescent="0.35">
      <c r="I1374" s="52"/>
      <c r="J1374" s="28"/>
      <c r="K1374" s="29"/>
      <c r="L1374" s="28"/>
      <c r="M1374" s="19"/>
      <c r="N1374" s="19"/>
      <c r="O1374" s="48"/>
    </row>
    <row r="1375" spans="9:15" x14ac:dyDescent="0.35">
      <c r="I1375" s="52"/>
      <c r="J1375" s="28"/>
      <c r="K1375" s="29"/>
      <c r="L1375" s="28"/>
      <c r="M1375" s="19"/>
      <c r="N1375" s="19"/>
      <c r="O1375" s="48"/>
    </row>
    <row r="1376" spans="9:15" x14ac:dyDescent="0.35">
      <c r="I1376" s="52"/>
      <c r="J1376" s="28"/>
      <c r="K1376" s="29"/>
      <c r="L1376" s="28"/>
      <c r="M1376" s="19"/>
      <c r="N1376" s="19"/>
      <c r="O1376" s="48"/>
    </row>
    <row r="1377" spans="9:15" x14ac:dyDescent="0.35">
      <c r="I1377" s="52"/>
      <c r="J1377" s="28"/>
      <c r="K1377" s="29"/>
      <c r="L1377" s="28"/>
      <c r="M1377" s="19"/>
      <c r="N1377" s="19"/>
      <c r="O1377" s="48"/>
    </row>
    <row r="1378" spans="9:15" x14ac:dyDescent="0.35">
      <c r="I1378" s="52"/>
      <c r="J1378" s="28"/>
      <c r="K1378" s="29"/>
      <c r="L1378" s="28"/>
      <c r="M1378" s="19"/>
      <c r="N1378" s="19"/>
      <c r="O1378" s="48"/>
    </row>
    <row r="1379" spans="9:15" x14ac:dyDescent="0.35">
      <c r="I1379" s="52"/>
      <c r="J1379" s="28"/>
      <c r="K1379" s="29"/>
      <c r="L1379" s="28"/>
      <c r="M1379" s="19"/>
      <c r="N1379" s="19"/>
      <c r="O1379" s="48"/>
    </row>
    <row r="1380" spans="9:15" x14ac:dyDescent="0.35">
      <c r="I1380" s="52"/>
      <c r="J1380" s="28"/>
      <c r="K1380" s="29"/>
      <c r="L1380" s="28"/>
      <c r="M1380" s="19"/>
      <c r="N1380" s="19"/>
      <c r="O1380" s="48"/>
    </row>
    <row r="1381" spans="9:15" x14ac:dyDescent="0.35">
      <c r="I1381" s="52"/>
      <c r="J1381" s="28"/>
      <c r="K1381" s="29"/>
      <c r="L1381" s="28"/>
      <c r="M1381" s="19"/>
      <c r="N1381" s="19"/>
      <c r="O1381" s="48"/>
    </row>
    <row r="1382" spans="9:15" x14ac:dyDescent="0.35">
      <c r="I1382" s="52"/>
      <c r="J1382" s="28"/>
      <c r="K1382" s="29"/>
      <c r="L1382" s="28"/>
      <c r="M1382" s="19"/>
      <c r="N1382" s="19"/>
      <c r="O1382" s="48"/>
    </row>
    <row r="1383" spans="9:15" x14ac:dyDescent="0.35">
      <c r="I1383" s="52"/>
      <c r="J1383" s="28"/>
      <c r="K1383" s="29"/>
      <c r="L1383" s="28"/>
      <c r="M1383" s="19"/>
      <c r="N1383" s="19"/>
      <c r="O1383" s="48"/>
    </row>
    <row r="1384" spans="9:15" x14ac:dyDescent="0.35">
      <c r="I1384" s="52"/>
      <c r="J1384" s="28"/>
      <c r="K1384" s="29"/>
      <c r="L1384" s="28"/>
      <c r="M1384" s="19"/>
      <c r="N1384" s="19"/>
      <c r="O1384" s="48"/>
    </row>
    <row r="1385" spans="9:15" x14ac:dyDescent="0.35">
      <c r="I1385" s="52"/>
      <c r="J1385" s="28"/>
      <c r="K1385" s="29"/>
      <c r="L1385" s="28"/>
      <c r="M1385" s="19"/>
      <c r="N1385" s="19"/>
      <c r="O1385" s="48"/>
    </row>
    <row r="1386" spans="9:15" x14ac:dyDescent="0.35">
      <c r="I1386" s="52"/>
      <c r="J1386" s="28"/>
      <c r="K1386" s="29"/>
      <c r="L1386" s="28"/>
      <c r="M1386" s="19"/>
      <c r="N1386" s="19"/>
      <c r="O1386" s="48"/>
    </row>
    <row r="1387" spans="9:15" x14ac:dyDescent="0.35">
      <c r="I1387" s="52"/>
      <c r="J1387" s="28"/>
      <c r="K1387" s="29"/>
      <c r="L1387" s="28"/>
      <c r="M1387" s="19"/>
      <c r="N1387" s="19"/>
      <c r="O1387" s="48"/>
    </row>
    <row r="1388" spans="9:15" x14ac:dyDescent="0.35">
      <c r="I1388" s="52"/>
      <c r="J1388" s="28"/>
      <c r="K1388" s="29"/>
      <c r="L1388" s="28"/>
      <c r="M1388" s="19"/>
      <c r="N1388" s="19"/>
      <c r="O1388" s="48"/>
    </row>
    <row r="1389" spans="9:15" x14ac:dyDescent="0.35">
      <c r="I1389" s="52"/>
      <c r="J1389" s="28"/>
      <c r="K1389" s="29"/>
      <c r="L1389" s="28"/>
      <c r="M1389" s="19"/>
      <c r="N1389" s="19"/>
      <c r="O1389" s="48"/>
    </row>
    <row r="1390" spans="9:15" x14ac:dyDescent="0.35">
      <c r="I1390" s="52"/>
      <c r="J1390" s="28"/>
      <c r="K1390" s="29"/>
      <c r="L1390" s="28"/>
      <c r="M1390" s="19"/>
      <c r="N1390" s="19"/>
      <c r="O1390" s="48"/>
    </row>
    <row r="1391" spans="9:15" x14ac:dyDescent="0.35">
      <c r="I1391" s="52"/>
      <c r="J1391" s="28"/>
      <c r="K1391" s="29"/>
      <c r="L1391" s="28"/>
      <c r="M1391" s="19"/>
      <c r="N1391" s="19"/>
      <c r="O1391" s="48"/>
    </row>
    <row r="1392" spans="9:15" x14ac:dyDescent="0.35">
      <c r="I1392" s="52"/>
      <c r="J1392" s="28"/>
      <c r="K1392" s="29"/>
      <c r="L1392" s="28"/>
      <c r="M1392" s="19"/>
      <c r="N1392" s="19"/>
      <c r="O1392" s="48"/>
    </row>
    <row r="1393" spans="9:15" x14ac:dyDescent="0.35">
      <c r="I1393" s="52"/>
      <c r="J1393" s="28"/>
      <c r="K1393" s="29"/>
      <c r="L1393" s="28"/>
      <c r="M1393" s="19"/>
      <c r="N1393" s="19"/>
      <c r="O1393" s="48"/>
    </row>
    <row r="1394" spans="9:15" x14ac:dyDescent="0.35">
      <c r="I1394" s="52"/>
      <c r="J1394" s="28"/>
      <c r="K1394" s="29"/>
      <c r="L1394" s="28"/>
      <c r="M1394" s="19"/>
      <c r="N1394" s="19"/>
      <c r="O1394" s="48"/>
    </row>
    <row r="1395" spans="9:15" x14ac:dyDescent="0.35">
      <c r="I1395" s="52"/>
      <c r="J1395" s="28"/>
      <c r="K1395" s="29"/>
      <c r="L1395" s="28"/>
      <c r="M1395" s="19"/>
      <c r="N1395" s="19"/>
      <c r="O1395" s="48"/>
    </row>
    <row r="1396" spans="9:15" x14ac:dyDescent="0.35">
      <c r="I1396" s="52"/>
      <c r="J1396" s="28"/>
      <c r="K1396" s="29"/>
      <c r="L1396" s="28"/>
      <c r="M1396" s="19"/>
      <c r="N1396" s="19"/>
      <c r="O1396" s="48"/>
    </row>
    <row r="1397" spans="9:15" x14ac:dyDescent="0.35">
      <c r="I1397" s="52"/>
      <c r="J1397" s="28"/>
      <c r="K1397" s="29"/>
      <c r="L1397" s="28"/>
      <c r="M1397" s="19"/>
      <c r="N1397" s="19"/>
      <c r="O1397" s="48"/>
    </row>
    <row r="1398" spans="9:15" x14ac:dyDescent="0.35">
      <c r="I1398" s="52"/>
      <c r="J1398" s="28"/>
      <c r="K1398" s="29"/>
      <c r="L1398" s="28"/>
      <c r="M1398" s="19"/>
      <c r="N1398" s="19"/>
      <c r="O1398" s="48"/>
    </row>
    <row r="1399" spans="9:15" x14ac:dyDescent="0.35">
      <c r="I1399" s="52"/>
      <c r="J1399" s="28"/>
      <c r="K1399" s="29"/>
      <c r="L1399" s="28"/>
      <c r="M1399" s="19"/>
      <c r="N1399" s="19"/>
      <c r="O1399" s="48"/>
    </row>
    <row r="1400" spans="9:15" x14ac:dyDescent="0.35">
      <c r="I1400" s="52"/>
      <c r="J1400" s="28"/>
      <c r="K1400" s="29"/>
      <c r="L1400" s="28"/>
      <c r="M1400" s="19"/>
      <c r="N1400" s="19"/>
      <c r="O1400" s="48"/>
    </row>
    <row r="1401" spans="9:15" x14ac:dyDescent="0.35">
      <c r="I1401" s="52"/>
      <c r="J1401" s="28"/>
      <c r="K1401" s="29"/>
      <c r="L1401" s="28"/>
      <c r="M1401" s="19"/>
      <c r="N1401" s="19"/>
      <c r="O1401" s="48"/>
    </row>
    <row r="1402" spans="9:15" x14ac:dyDescent="0.35">
      <c r="I1402" s="52"/>
      <c r="J1402" s="28"/>
      <c r="K1402" s="29"/>
      <c r="L1402" s="28"/>
      <c r="M1402" s="19"/>
      <c r="N1402" s="19"/>
      <c r="O1402" s="48"/>
    </row>
    <row r="1403" spans="9:15" x14ac:dyDescent="0.35">
      <c r="I1403" s="52"/>
      <c r="J1403" s="28"/>
      <c r="K1403" s="29"/>
      <c r="L1403" s="28"/>
      <c r="M1403" s="19"/>
      <c r="N1403" s="19"/>
      <c r="O1403" s="48"/>
    </row>
    <row r="1404" spans="9:15" x14ac:dyDescent="0.35">
      <c r="I1404" s="52"/>
      <c r="J1404" s="28"/>
      <c r="K1404" s="29"/>
      <c r="L1404" s="28"/>
      <c r="M1404" s="19"/>
      <c r="N1404" s="19"/>
      <c r="O1404" s="48"/>
    </row>
    <row r="1405" spans="9:15" x14ac:dyDescent="0.35">
      <c r="I1405" s="52"/>
      <c r="J1405" s="28"/>
      <c r="K1405" s="29"/>
      <c r="L1405" s="28"/>
      <c r="M1405" s="19"/>
      <c r="N1405" s="19"/>
      <c r="O1405" s="48"/>
    </row>
    <row r="1406" spans="9:15" x14ac:dyDescent="0.35">
      <c r="I1406" s="52"/>
      <c r="J1406" s="28"/>
      <c r="K1406" s="29"/>
      <c r="L1406" s="28"/>
      <c r="M1406" s="19"/>
      <c r="N1406" s="19"/>
      <c r="O1406" s="48"/>
    </row>
    <row r="1407" spans="9:15" x14ac:dyDescent="0.35">
      <c r="I1407" s="52"/>
      <c r="J1407" s="28"/>
      <c r="K1407" s="29"/>
      <c r="L1407" s="28"/>
      <c r="M1407" s="19"/>
      <c r="N1407" s="19"/>
      <c r="O1407" s="48"/>
    </row>
    <row r="1408" spans="9:15" x14ac:dyDescent="0.35">
      <c r="I1408" s="52"/>
      <c r="J1408" s="28"/>
      <c r="K1408" s="29"/>
      <c r="L1408" s="28"/>
      <c r="M1408" s="19"/>
      <c r="N1408" s="19"/>
      <c r="O1408" s="48"/>
    </row>
    <row r="1409" spans="9:15" x14ac:dyDescent="0.35">
      <c r="I1409" s="52"/>
      <c r="J1409" s="28"/>
      <c r="K1409" s="29"/>
      <c r="L1409" s="28"/>
      <c r="M1409" s="19"/>
      <c r="N1409" s="19"/>
      <c r="O1409" s="48"/>
    </row>
    <row r="1410" spans="9:15" x14ac:dyDescent="0.35">
      <c r="I1410" s="52"/>
      <c r="J1410" s="28"/>
      <c r="K1410" s="29"/>
      <c r="L1410" s="28"/>
      <c r="M1410" s="19"/>
      <c r="N1410" s="19"/>
      <c r="O1410" s="48"/>
    </row>
    <row r="1411" spans="9:15" x14ac:dyDescent="0.35">
      <c r="I1411" s="52"/>
      <c r="J1411" s="28"/>
      <c r="K1411" s="29"/>
      <c r="L1411" s="28"/>
      <c r="M1411" s="19"/>
      <c r="N1411" s="19"/>
      <c r="O1411" s="48"/>
    </row>
    <row r="1412" spans="9:15" x14ac:dyDescent="0.35">
      <c r="I1412" s="52"/>
      <c r="J1412" s="28"/>
      <c r="K1412" s="29"/>
      <c r="L1412" s="28"/>
      <c r="M1412" s="19"/>
      <c r="N1412" s="19"/>
      <c r="O1412" s="48"/>
    </row>
    <row r="1413" spans="9:15" x14ac:dyDescent="0.35">
      <c r="I1413" s="52"/>
      <c r="J1413" s="28"/>
      <c r="K1413" s="29"/>
      <c r="L1413" s="28"/>
      <c r="M1413" s="19"/>
      <c r="N1413" s="19"/>
      <c r="O1413" s="48"/>
    </row>
    <row r="1414" spans="9:15" x14ac:dyDescent="0.35">
      <c r="I1414" s="52"/>
      <c r="J1414" s="28"/>
      <c r="K1414" s="29"/>
      <c r="L1414" s="28"/>
      <c r="M1414" s="19"/>
      <c r="N1414" s="19"/>
      <c r="O1414" s="48"/>
    </row>
    <row r="1415" spans="9:15" x14ac:dyDescent="0.35">
      <c r="I1415" s="52"/>
      <c r="J1415" s="28"/>
      <c r="K1415" s="29"/>
      <c r="L1415" s="28"/>
      <c r="M1415" s="19"/>
      <c r="N1415" s="19"/>
      <c r="O1415" s="48"/>
    </row>
    <row r="1416" spans="9:15" x14ac:dyDescent="0.35">
      <c r="I1416" s="52"/>
      <c r="J1416" s="28"/>
      <c r="K1416" s="29"/>
      <c r="L1416" s="28"/>
      <c r="M1416" s="19"/>
      <c r="N1416" s="19"/>
      <c r="O1416" s="48"/>
    </row>
    <row r="1417" spans="9:15" x14ac:dyDescent="0.35">
      <c r="I1417" s="52"/>
      <c r="J1417" s="28"/>
      <c r="K1417" s="29"/>
      <c r="L1417" s="28"/>
      <c r="M1417" s="19"/>
      <c r="N1417" s="19"/>
      <c r="O1417" s="48"/>
    </row>
    <row r="1418" spans="9:15" x14ac:dyDescent="0.35">
      <c r="I1418" s="52"/>
      <c r="J1418" s="28"/>
      <c r="K1418" s="29"/>
      <c r="L1418" s="28"/>
      <c r="M1418" s="19"/>
      <c r="N1418" s="19"/>
      <c r="O1418" s="48"/>
    </row>
    <row r="1419" spans="9:15" x14ac:dyDescent="0.35">
      <c r="I1419" s="52"/>
      <c r="J1419" s="28"/>
      <c r="K1419" s="29"/>
      <c r="L1419" s="28"/>
      <c r="M1419" s="19"/>
      <c r="N1419" s="19"/>
      <c r="O1419" s="48"/>
    </row>
    <row r="1420" spans="9:15" x14ac:dyDescent="0.35">
      <c r="I1420" s="52"/>
      <c r="J1420" s="28"/>
      <c r="K1420" s="29"/>
      <c r="L1420" s="28"/>
      <c r="M1420" s="19"/>
      <c r="N1420" s="19"/>
      <c r="O1420" s="48"/>
    </row>
    <row r="1421" spans="9:15" x14ac:dyDescent="0.35">
      <c r="I1421" s="52"/>
      <c r="J1421" s="28"/>
      <c r="K1421" s="29"/>
      <c r="L1421" s="28"/>
      <c r="M1421" s="19"/>
      <c r="N1421" s="19"/>
      <c r="O1421" s="48"/>
    </row>
    <row r="1422" spans="9:15" x14ac:dyDescent="0.35">
      <c r="I1422" s="52"/>
      <c r="J1422" s="28"/>
      <c r="K1422" s="29"/>
      <c r="L1422" s="28"/>
      <c r="M1422" s="19"/>
      <c r="N1422" s="19"/>
      <c r="O1422" s="48"/>
    </row>
    <row r="1423" spans="9:15" x14ac:dyDescent="0.35">
      <c r="I1423" s="52"/>
      <c r="J1423" s="28"/>
      <c r="K1423" s="29"/>
      <c r="L1423" s="28"/>
      <c r="M1423" s="19"/>
      <c r="N1423" s="19"/>
      <c r="O1423" s="48"/>
    </row>
    <row r="1424" spans="9:15" x14ac:dyDescent="0.35">
      <c r="I1424" s="52"/>
      <c r="J1424" s="28"/>
      <c r="K1424" s="29"/>
      <c r="L1424" s="28"/>
      <c r="M1424" s="19"/>
      <c r="N1424" s="19"/>
      <c r="O1424" s="48"/>
    </row>
    <row r="1425" spans="9:15" x14ac:dyDescent="0.35">
      <c r="I1425" s="52"/>
      <c r="J1425" s="28"/>
      <c r="K1425" s="29"/>
      <c r="L1425" s="28"/>
      <c r="M1425" s="19"/>
      <c r="N1425" s="19"/>
      <c r="O1425" s="48"/>
    </row>
    <row r="1426" spans="9:15" x14ac:dyDescent="0.35">
      <c r="I1426" s="52"/>
      <c r="J1426" s="28"/>
      <c r="K1426" s="29"/>
      <c r="L1426" s="28"/>
      <c r="M1426" s="19"/>
      <c r="N1426" s="19"/>
      <c r="O1426" s="48"/>
    </row>
    <row r="1427" spans="9:15" x14ac:dyDescent="0.35">
      <c r="I1427" s="52"/>
      <c r="J1427" s="28"/>
      <c r="K1427" s="29"/>
      <c r="L1427" s="28"/>
      <c r="M1427" s="19"/>
      <c r="N1427" s="19"/>
      <c r="O1427" s="48"/>
    </row>
    <row r="1428" spans="9:15" x14ac:dyDescent="0.35">
      <c r="I1428" s="52"/>
      <c r="J1428" s="28"/>
      <c r="K1428" s="29"/>
      <c r="L1428" s="28"/>
      <c r="M1428" s="19"/>
      <c r="N1428" s="19"/>
      <c r="O1428" s="48"/>
    </row>
    <row r="1429" spans="9:15" x14ac:dyDescent="0.35">
      <c r="I1429" s="52"/>
      <c r="J1429" s="28"/>
      <c r="K1429" s="29"/>
      <c r="L1429" s="28"/>
      <c r="M1429" s="19"/>
      <c r="N1429" s="19"/>
      <c r="O1429" s="48"/>
    </row>
    <row r="1430" spans="9:15" x14ac:dyDescent="0.35">
      <c r="I1430" s="52"/>
      <c r="J1430" s="28"/>
      <c r="K1430" s="29"/>
      <c r="L1430" s="28"/>
      <c r="M1430" s="19"/>
      <c r="N1430" s="19"/>
      <c r="O1430" s="48"/>
    </row>
    <row r="1431" spans="9:15" x14ac:dyDescent="0.35">
      <c r="I1431" s="52"/>
      <c r="J1431" s="28"/>
      <c r="K1431" s="29"/>
      <c r="L1431" s="28"/>
      <c r="M1431" s="19"/>
      <c r="N1431" s="19"/>
      <c r="O1431" s="48"/>
    </row>
    <row r="1432" spans="9:15" x14ac:dyDescent="0.35">
      <c r="I1432" s="52"/>
      <c r="J1432" s="28"/>
      <c r="K1432" s="29"/>
      <c r="L1432" s="28"/>
      <c r="M1432" s="19"/>
      <c r="N1432" s="19"/>
      <c r="O1432" s="48"/>
    </row>
    <row r="1433" spans="9:15" x14ac:dyDescent="0.35">
      <c r="I1433" s="52"/>
      <c r="J1433" s="28"/>
      <c r="K1433" s="29"/>
      <c r="L1433" s="28"/>
      <c r="M1433" s="19"/>
      <c r="N1433" s="19"/>
      <c r="O1433" s="48"/>
    </row>
    <row r="1434" spans="9:15" x14ac:dyDescent="0.35">
      <c r="I1434" s="52"/>
      <c r="J1434" s="28"/>
      <c r="K1434" s="29"/>
      <c r="L1434" s="28"/>
      <c r="M1434" s="19"/>
      <c r="N1434" s="19"/>
      <c r="O1434" s="48"/>
    </row>
    <row r="1435" spans="9:15" x14ac:dyDescent="0.35">
      <c r="I1435" s="52"/>
      <c r="J1435" s="28"/>
      <c r="K1435" s="29"/>
      <c r="L1435" s="28"/>
      <c r="M1435" s="19"/>
      <c r="N1435" s="19"/>
      <c r="O1435" s="48"/>
    </row>
    <row r="1436" spans="9:15" x14ac:dyDescent="0.35">
      <c r="I1436" s="52"/>
      <c r="J1436" s="28"/>
      <c r="K1436" s="29"/>
      <c r="L1436" s="28"/>
      <c r="M1436" s="19"/>
      <c r="N1436" s="19"/>
      <c r="O1436" s="48"/>
    </row>
    <row r="1437" spans="9:15" x14ac:dyDescent="0.35">
      <c r="I1437" s="52"/>
      <c r="J1437" s="28"/>
      <c r="K1437" s="29"/>
      <c r="L1437" s="28"/>
      <c r="M1437" s="19"/>
      <c r="N1437" s="19"/>
      <c r="O1437" s="48"/>
    </row>
    <row r="1438" spans="9:15" x14ac:dyDescent="0.35">
      <c r="I1438" s="52"/>
      <c r="J1438" s="28"/>
      <c r="K1438" s="29"/>
      <c r="L1438" s="28"/>
      <c r="M1438" s="19"/>
      <c r="N1438" s="19"/>
      <c r="O1438" s="48"/>
    </row>
    <row r="1439" spans="9:15" x14ac:dyDescent="0.35">
      <c r="I1439" s="52"/>
      <c r="J1439" s="28"/>
      <c r="K1439" s="29"/>
      <c r="L1439" s="28"/>
      <c r="M1439" s="19"/>
      <c r="N1439" s="19"/>
      <c r="O1439" s="48"/>
    </row>
    <row r="1440" spans="9:15" x14ac:dyDescent="0.35">
      <c r="I1440" s="52"/>
      <c r="J1440" s="28"/>
      <c r="K1440" s="29"/>
      <c r="L1440" s="28"/>
      <c r="M1440" s="19"/>
      <c r="N1440" s="19"/>
      <c r="O1440" s="48"/>
    </row>
    <row r="1441" spans="9:15" x14ac:dyDescent="0.35">
      <c r="I1441" s="52"/>
      <c r="J1441" s="28"/>
      <c r="K1441" s="29"/>
      <c r="L1441" s="28"/>
      <c r="M1441" s="19"/>
      <c r="N1441" s="19"/>
      <c r="O1441" s="48"/>
    </row>
    <row r="1442" spans="9:15" x14ac:dyDescent="0.35">
      <c r="I1442" s="52"/>
      <c r="J1442" s="28"/>
      <c r="K1442" s="29"/>
      <c r="L1442" s="28"/>
      <c r="M1442" s="19"/>
      <c r="N1442" s="19"/>
      <c r="O1442" s="48"/>
    </row>
    <row r="1443" spans="9:15" x14ac:dyDescent="0.35">
      <c r="I1443" s="52"/>
      <c r="J1443" s="28"/>
      <c r="K1443" s="29"/>
      <c r="L1443" s="28"/>
      <c r="M1443" s="19"/>
      <c r="N1443" s="19"/>
      <c r="O1443" s="48"/>
    </row>
    <row r="1444" spans="9:15" x14ac:dyDescent="0.35">
      <c r="I1444" s="52"/>
      <c r="J1444" s="28"/>
      <c r="K1444" s="29"/>
      <c r="L1444" s="28"/>
      <c r="M1444" s="19"/>
      <c r="N1444" s="19"/>
      <c r="O1444" s="48"/>
    </row>
    <row r="1445" spans="9:15" x14ac:dyDescent="0.35">
      <c r="I1445" s="52"/>
      <c r="J1445" s="28"/>
      <c r="K1445" s="29"/>
      <c r="L1445" s="28"/>
      <c r="M1445" s="19"/>
      <c r="N1445" s="19"/>
      <c r="O1445" s="48"/>
    </row>
    <row r="1446" spans="9:15" x14ac:dyDescent="0.35">
      <c r="I1446" s="52"/>
      <c r="J1446" s="28"/>
      <c r="K1446" s="29"/>
      <c r="L1446" s="28"/>
      <c r="M1446" s="19"/>
      <c r="N1446" s="19"/>
      <c r="O1446" s="48"/>
    </row>
    <row r="1447" spans="9:15" x14ac:dyDescent="0.35">
      <c r="I1447" s="52"/>
      <c r="J1447" s="28"/>
      <c r="K1447" s="29"/>
      <c r="L1447" s="28"/>
      <c r="M1447" s="19"/>
      <c r="N1447" s="19"/>
      <c r="O1447" s="48"/>
    </row>
    <row r="1448" spans="9:15" x14ac:dyDescent="0.35">
      <c r="I1448" s="52"/>
      <c r="J1448" s="28"/>
      <c r="K1448" s="29"/>
      <c r="L1448" s="28"/>
      <c r="M1448" s="19"/>
      <c r="N1448" s="19"/>
      <c r="O1448" s="48"/>
    </row>
    <row r="1449" spans="9:15" x14ac:dyDescent="0.35">
      <c r="I1449" s="52"/>
      <c r="J1449" s="28"/>
      <c r="K1449" s="29"/>
      <c r="L1449" s="28"/>
      <c r="M1449" s="19"/>
      <c r="N1449" s="19"/>
      <c r="O1449" s="48"/>
    </row>
    <row r="1450" spans="9:15" x14ac:dyDescent="0.35">
      <c r="I1450" s="52"/>
      <c r="J1450" s="28"/>
      <c r="K1450" s="29"/>
      <c r="L1450" s="28"/>
      <c r="M1450" s="19"/>
      <c r="N1450" s="19"/>
      <c r="O1450" s="48"/>
    </row>
    <row r="1451" spans="9:15" x14ac:dyDescent="0.35">
      <c r="I1451" s="52"/>
      <c r="J1451" s="28"/>
      <c r="K1451" s="29"/>
      <c r="L1451" s="28"/>
      <c r="M1451" s="19"/>
      <c r="N1451" s="19"/>
      <c r="O1451" s="48"/>
    </row>
    <row r="1452" spans="9:15" x14ac:dyDescent="0.35">
      <c r="I1452" s="52"/>
      <c r="J1452" s="28"/>
      <c r="K1452" s="29"/>
      <c r="L1452" s="28"/>
      <c r="M1452" s="19"/>
      <c r="N1452" s="19"/>
      <c r="O1452" s="48"/>
    </row>
    <row r="1453" spans="9:15" x14ac:dyDescent="0.35">
      <c r="I1453" s="52"/>
      <c r="J1453" s="28"/>
      <c r="K1453" s="29"/>
      <c r="L1453" s="28"/>
      <c r="M1453" s="19"/>
      <c r="N1453" s="19"/>
      <c r="O1453" s="48"/>
    </row>
    <row r="1454" spans="9:15" x14ac:dyDescent="0.35">
      <c r="I1454" s="52"/>
      <c r="J1454" s="28"/>
      <c r="K1454" s="29"/>
      <c r="L1454" s="28"/>
      <c r="M1454" s="19"/>
      <c r="N1454" s="19"/>
      <c r="O1454" s="48"/>
    </row>
    <row r="1455" spans="9:15" x14ac:dyDescent="0.35">
      <c r="I1455" s="52"/>
      <c r="J1455" s="28"/>
      <c r="K1455" s="29"/>
      <c r="L1455" s="28"/>
      <c r="M1455" s="19"/>
      <c r="N1455" s="19"/>
      <c r="O1455" s="48"/>
    </row>
    <row r="1456" spans="9:15" x14ac:dyDescent="0.35">
      <c r="I1456" s="52"/>
      <c r="J1456" s="28"/>
      <c r="K1456" s="29"/>
      <c r="L1456" s="28"/>
      <c r="M1456" s="19"/>
      <c r="N1456" s="19"/>
      <c r="O1456" s="48"/>
    </row>
    <row r="1457" spans="9:15" x14ac:dyDescent="0.35">
      <c r="I1457" s="52"/>
      <c r="J1457" s="28"/>
      <c r="K1457" s="29"/>
      <c r="L1457" s="28"/>
      <c r="M1457" s="19"/>
      <c r="N1457" s="19"/>
      <c r="O1457" s="48"/>
    </row>
    <row r="1458" spans="9:15" x14ac:dyDescent="0.35">
      <c r="I1458" s="52"/>
      <c r="J1458" s="28"/>
      <c r="K1458" s="29"/>
      <c r="L1458" s="28"/>
      <c r="M1458" s="19"/>
      <c r="N1458" s="19"/>
      <c r="O1458" s="48"/>
    </row>
    <row r="1459" spans="9:15" x14ac:dyDescent="0.35">
      <c r="I1459" s="52"/>
      <c r="J1459" s="28"/>
      <c r="K1459" s="29"/>
      <c r="L1459" s="28"/>
      <c r="M1459" s="19"/>
      <c r="N1459" s="19"/>
      <c r="O1459" s="48"/>
    </row>
    <row r="1460" spans="9:15" x14ac:dyDescent="0.35">
      <c r="I1460" s="52"/>
      <c r="J1460" s="28"/>
      <c r="K1460" s="29"/>
      <c r="L1460" s="28"/>
      <c r="M1460" s="19"/>
      <c r="N1460" s="19"/>
      <c r="O1460" s="48"/>
    </row>
    <row r="1461" spans="9:15" x14ac:dyDescent="0.35">
      <c r="I1461" s="52"/>
      <c r="J1461" s="28"/>
      <c r="K1461" s="29"/>
      <c r="L1461" s="28"/>
      <c r="M1461" s="19"/>
      <c r="N1461" s="19"/>
      <c r="O1461" s="48"/>
    </row>
    <row r="1462" spans="9:15" x14ac:dyDescent="0.35">
      <c r="I1462" s="52"/>
      <c r="J1462" s="28"/>
      <c r="K1462" s="29"/>
      <c r="L1462" s="28"/>
      <c r="M1462" s="19"/>
      <c r="N1462" s="19"/>
      <c r="O1462" s="48"/>
    </row>
    <row r="1463" spans="9:15" x14ac:dyDescent="0.35">
      <c r="I1463" s="52"/>
      <c r="J1463" s="28"/>
      <c r="K1463" s="29"/>
      <c r="L1463" s="28"/>
      <c r="M1463" s="19"/>
      <c r="N1463" s="19"/>
      <c r="O1463" s="48"/>
    </row>
    <row r="1464" spans="9:15" x14ac:dyDescent="0.35">
      <c r="I1464" s="52"/>
      <c r="J1464" s="28"/>
      <c r="K1464" s="29"/>
      <c r="L1464" s="28"/>
      <c r="M1464" s="19"/>
      <c r="N1464" s="19"/>
      <c r="O1464" s="48"/>
    </row>
    <row r="1465" spans="9:15" x14ac:dyDescent="0.35">
      <c r="I1465" s="52"/>
      <c r="J1465" s="28"/>
      <c r="K1465" s="29"/>
      <c r="L1465" s="28"/>
      <c r="M1465" s="19"/>
      <c r="N1465" s="19"/>
      <c r="O1465" s="48"/>
    </row>
    <row r="1466" spans="9:15" x14ac:dyDescent="0.35">
      <c r="I1466" s="52"/>
      <c r="J1466" s="28"/>
      <c r="K1466" s="29"/>
      <c r="L1466" s="28"/>
      <c r="M1466" s="19"/>
      <c r="N1466" s="19"/>
      <c r="O1466" s="48"/>
    </row>
    <row r="1467" spans="9:15" x14ac:dyDescent="0.35">
      <c r="I1467" s="52"/>
      <c r="J1467" s="28"/>
      <c r="K1467" s="29"/>
      <c r="L1467" s="28"/>
      <c r="M1467" s="19"/>
      <c r="N1467" s="19"/>
      <c r="O1467" s="48"/>
    </row>
    <row r="1468" spans="9:15" x14ac:dyDescent="0.35">
      <c r="I1468" s="52"/>
      <c r="J1468" s="28"/>
      <c r="K1468" s="29"/>
      <c r="L1468" s="28"/>
      <c r="M1468" s="19"/>
      <c r="N1468" s="19"/>
      <c r="O1468" s="48"/>
    </row>
    <row r="1469" spans="9:15" x14ac:dyDescent="0.35">
      <c r="I1469" s="52"/>
      <c r="J1469" s="28"/>
      <c r="K1469" s="29"/>
      <c r="L1469" s="28"/>
      <c r="M1469" s="19"/>
      <c r="N1469" s="19"/>
      <c r="O1469" s="48"/>
    </row>
    <row r="1470" spans="9:15" x14ac:dyDescent="0.35">
      <c r="I1470" s="52"/>
      <c r="J1470" s="28"/>
      <c r="K1470" s="29"/>
      <c r="L1470" s="28"/>
      <c r="M1470" s="19"/>
      <c r="N1470" s="19"/>
      <c r="O1470" s="48"/>
    </row>
    <row r="1471" spans="9:15" x14ac:dyDescent="0.35">
      <c r="I1471" s="52"/>
      <c r="J1471" s="28"/>
      <c r="K1471" s="29"/>
      <c r="L1471" s="28"/>
      <c r="M1471" s="19"/>
      <c r="N1471" s="19"/>
      <c r="O1471" s="48"/>
    </row>
    <row r="1472" spans="9:15" x14ac:dyDescent="0.35">
      <c r="I1472" s="52"/>
      <c r="J1472" s="28"/>
      <c r="K1472" s="29"/>
      <c r="L1472" s="28"/>
      <c r="M1472" s="19"/>
      <c r="N1472" s="19"/>
      <c r="O1472" s="48"/>
    </row>
    <row r="1473" spans="9:15" x14ac:dyDescent="0.35">
      <c r="I1473" s="52"/>
      <c r="J1473" s="28"/>
      <c r="K1473" s="29"/>
      <c r="L1473" s="28"/>
      <c r="M1473" s="19"/>
      <c r="N1473" s="19"/>
      <c r="O1473" s="48"/>
    </row>
    <row r="1474" spans="9:15" x14ac:dyDescent="0.35">
      <c r="I1474" s="52"/>
      <c r="J1474" s="28"/>
      <c r="K1474" s="29"/>
      <c r="L1474" s="28"/>
      <c r="M1474" s="19"/>
      <c r="N1474" s="19"/>
      <c r="O1474" s="48"/>
    </row>
    <row r="1475" spans="9:15" x14ac:dyDescent="0.35">
      <c r="I1475" s="52"/>
      <c r="J1475" s="28"/>
      <c r="K1475" s="29"/>
      <c r="L1475" s="28"/>
      <c r="M1475" s="19"/>
      <c r="N1475" s="19"/>
      <c r="O1475" s="48"/>
    </row>
    <row r="1476" spans="9:15" x14ac:dyDescent="0.35">
      <c r="I1476" s="52"/>
      <c r="J1476" s="28"/>
      <c r="K1476" s="29"/>
      <c r="L1476" s="28"/>
      <c r="M1476" s="19"/>
      <c r="N1476" s="19"/>
      <c r="O1476" s="48"/>
    </row>
    <row r="1477" spans="9:15" x14ac:dyDescent="0.35">
      <c r="I1477" s="52"/>
      <c r="J1477" s="28"/>
      <c r="K1477" s="29"/>
      <c r="L1477" s="28"/>
      <c r="M1477" s="19"/>
      <c r="N1477" s="19"/>
      <c r="O1477" s="48"/>
    </row>
    <row r="1478" spans="9:15" x14ac:dyDescent="0.35">
      <c r="I1478" s="52"/>
      <c r="J1478" s="28"/>
      <c r="K1478" s="29"/>
      <c r="L1478" s="28"/>
      <c r="M1478" s="19"/>
      <c r="N1478" s="19"/>
      <c r="O1478" s="48"/>
    </row>
    <row r="1479" spans="9:15" x14ac:dyDescent="0.35">
      <c r="I1479" s="52"/>
      <c r="J1479" s="28"/>
      <c r="K1479" s="29"/>
      <c r="L1479" s="28"/>
      <c r="M1479" s="19"/>
      <c r="N1479" s="19"/>
      <c r="O1479" s="48"/>
    </row>
    <row r="1480" spans="9:15" x14ac:dyDescent="0.35">
      <c r="I1480" s="52"/>
      <c r="J1480" s="28"/>
      <c r="K1480" s="29"/>
      <c r="L1480" s="28"/>
      <c r="M1480" s="19"/>
      <c r="N1480" s="19"/>
      <c r="O1480" s="48"/>
    </row>
    <row r="1481" spans="9:15" x14ac:dyDescent="0.35">
      <c r="I1481" s="52"/>
      <c r="J1481" s="28"/>
      <c r="K1481" s="29"/>
      <c r="L1481" s="28"/>
      <c r="M1481" s="19"/>
      <c r="N1481" s="19"/>
      <c r="O1481" s="48"/>
    </row>
    <row r="1482" spans="9:15" x14ac:dyDescent="0.35">
      <c r="I1482" s="52"/>
      <c r="J1482" s="28"/>
      <c r="K1482" s="29"/>
      <c r="L1482" s="28"/>
      <c r="M1482" s="19"/>
      <c r="N1482" s="19"/>
      <c r="O1482" s="48"/>
    </row>
    <row r="1483" spans="9:15" x14ac:dyDescent="0.35">
      <c r="I1483" s="52"/>
      <c r="J1483" s="28"/>
      <c r="K1483" s="29"/>
      <c r="L1483" s="28"/>
      <c r="M1483" s="19"/>
      <c r="N1483" s="19"/>
      <c r="O1483" s="48"/>
    </row>
    <row r="1484" spans="9:15" x14ac:dyDescent="0.35">
      <c r="I1484" s="52"/>
      <c r="J1484" s="28"/>
      <c r="K1484" s="29"/>
      <c r="L1484" s="28"/>
      <c r="M1484" s="19"/>
      <c r="N1484" s="19"/>
      <c r="O1484" s="48"/>
    </row>
    <row r="1485" spans="9:15" x14ac:dyDescent="0.35">
      <c r="I1485" s="52"/>
      <c r="J1485" s="28"/>
      <c r="K1485" s="29"/>
      <c r="L1485" s="28"/>
      <c r="M1485" s="19"/>
      <c r="N1485" s="19"/>
      <c r="O1485" s="48"/>
    </row>
    <row r="1486" spans="9:15" x14ac:dyDescent="0.35">
      <c r="I1486" s="52"/>
      <c r="J1486" s="28"/>
      <c r="K1486" s="29"/>
      <c r="L1486" s="28"/>
      <c r="M1486" s="19"/>
      <c r="N1486" s="19"/>
      <c r="O1486" s="48"/>
    </row>
    <row r="1487" spans="9:15" x14ac:dyDescent="0.35">
      <c r="I1487" s="52"/>
      <c r="J1487" s="28"/>
      <c r="K1487" s="29"/>
      <c r="L1487" s="28"/>
      <c r="M1487" s="19"/>
      <c r="N1487" s="19"/>
      <c r="O1487" s="48"/>
    </row>
    <row r="1488" spans="9:15" x14ac:dyDescent="0.35">
      <c r="I1488" s="52"/>
      <c r="J1488" s="28"/>
      <c r="K1488" s="29"/>
      <c r="L1488" s="28"/>
      <c r="M1488" s="19"/>
      <c r="N1488" s="19"/>
      <c r="O1488" s="48"/>
    </row>
    <row r="1489" spans="9:15" x14ac:dyDescent="0.35">
      <c r="I1489" s="52"/>
      <c r="J1489" s="28"/>
      <c r="K1489" s="29"/>
      <c r="L1489" s="28"/>
      <c r="M1489" s="19"/>
      <c r="N1489" s="19"/>
      <c r="O1489" s="48"/>
    </row>
    <row r="1490" spans="9:15" x14ac:dyDescent="0.35">
      <c r="I1490" s="52"/>
      <c r="J1490" s="28"/>
      <c r="K1490" s="29"/>
      <c r="L1490" s="28"/>
      <c r="M1490" s="19"/>
      <c r="N1490" s="19"/>
      <c r="O1490" s="48"/>
    </row>
    <row r="1491" spans="9:15" x14ac:dyDescent="0.35">
      <c r="I1491" s="52"/>
      <c r="J1491" s="28"/>
      <c r="K1491" s="29"/>
      <c r="L1491" s="28"/>
      <c r="M1491" s="19"/>
      <c r="N1491" s="19"/>
      <c r="O1491" s="48"/>
    </row>
    <row r="1492" spans="9:15" x14ac:dyDescent="0.35">
      <c r="I1492" s="52"/>
      <c r="J1492" s="28"/>
      <c r="K1492" s="29"/>
      <c r="L1492" s="28"/>
      <c r="M1492" s="19"/>
      <c r="N1492" s="19"/>
      <c r="O1492" s="48"/>
    </row>
    <row r="1493" spans="9:15" x14ac:dyDescent="0.35">
      <c r="I1493" s="52"/>
      <c r="J1493" s="28"/>
      <c r="K1493" s="29"/>
      <c r="L1493" s="28"/>
      <c r="M1493" s="19"/>
      <c r="N1493" s="19"/>
      <c r="O1493" s="48"/>
    </row>
    <row r="1494" spans="9:15" x14ac:dyDescent="0.35">
      <c r="I1494" s="52"/>
      <c r="J1494" s="28"/>
      <c r="K1494" s="29"/>
      <c r="L1494" s="28"/>
      <c r="M1494" s="19"/>
      <c r="N1494" s="19"/>
      <c r="O1494" s="48"/>
    </row>
    <row r="1495" spans="9:15" x14ac:dyDescent="0.35">
      <c r="I1495" s="52"/>
      <c r="J1495" s="28"/>
      <c r="K1495" s="29"/>
      <c r="L1495" s="28"/>
      <c r="M1495" s="19"/>
      <c r="N1495" s="19"/>
      <c r="O1495" s="48"/>
    </row>
    <row r="1496" spans="9:15" x14ac:dyDescent="0.35">
      <c r="I1496" s="52"/>
      <c r="J1496" s="28"/>
      <c r="K1496" s="29"/>
      <c r="L1496" s="28"/>
      <c r="M1496" s="19"/>
      <c r="N1496" s="19"/>
      <c r="O1496" s="48"/>
    </row>
    <row r="1497" spans="9:15" x14ac:dyDescent="0.35">
      <c r="I1497" s="52"/>
      <c r="J1497" s="28"/>
      <c r="K1497" s="29"/>
      <c r="L1497" s="28"/>
      <c r="M1497" s="19"/>
      <c r="N1497" s="19"/>
      <c r="O1497" s="48"/>
    </row>
    <row r="1498" spans="9:15" x14ac:dyDescent="0.35">
      <c r="I1498" s="52"/>
      <c r="J1498" s="28"/>
      <c r="K1498" s="29"/>
      <c r="L1498" s="28"/>
      <c r="M1498" s="19"/>
      <c r="N1498" s="19"/>
      <c r="O1498" s="48"/>
    </row>
    <row r="1499" spans="9:15" x14ac:dyDescent="0.35">
      <c r="I1499" s="52"/>
      <c r="J1499" s="28"/>
      <c r="K1499" s="29"/>
      <c r="L1499" s="28"/>
      <c r="M1499" s="19"/>
      <c r="N1499" s="19"/>
      <c r="O1499" s="48"/>
    </row>
    <row r="1500" spans="9:15" x14ac:dyDescent="0.35">
      <c r="I1500" s="52"/>
      <c r="J1500" s="28"/>
      <c r="K1500" s="29"/>
      <c r="L1500" s="28"/>
      <c r="M1500" s="19"/>
      <c r="N1500" s="19"/>
      <c r="O1500" s="48"/>
    </row>
    <row r="1501" spans="9:15" x14ac:dyDescent="0.35">
      <c r="I1501" s="52"/>
      <c r="J1501" s="28"/>
      <c r="K1501" s="29"/>
      <c r="L1501" s="28"/>
      <c r="M1501" s="19"/>
      <c r="N1501" s="19"/>
      <c r="O1501" s="48"/>
    </row>
    <row r="1502" spans="9:15" x14ac:dyDescent="0.35">
      <c r="I1502" s="52"/>
      <c r="J1502" s="28"/>
      <c r="K1502" s="29"/>
      <c r="L1502" s="28"/>
      <c r="M1502" s="19"/>
      <c r="N1502" s="19"/>
      <c r="O1502" s="48"/>
    </row>
    <row r="1503" spans="9:15" x14ac:dyDescent="0.35">
      <c r="I1503" s="52"/>
      <c r="J1503" s="28"/>
      <c r="K1503" s="29"/>
      <c r="L1503" s="28"/>
      <c r="M1503" s="19"/>
      <c r="N1503" s="19"/>
      <c r="O1503" s="48"/>
    </row>
    <row r="1504" spans="9:15" x14ac:dyDescent="0.35">
      <c r="I1504" s="52"/>
      <c r="J1504" s="28"/>
      <c r="K1504" s="29"/>
      <c r="L1504" s="28"/>
      <c r="M1504" s="19"/>
      <c r="N1504" s="19"/>
      <c r="O1504" s="48"/>
    </row>
    <row r="1505" spans="9:15" x14ac:dyDescent="0.35">
      <c r="I1505" s="52"/>
      <c r="J1505" s="28"/>
      <c r="K1505" s="29"/>
      <c r="L1505" s="28"/>
      <c r="M1505" s="19"/>
      <c r="N1505" s="19"/>
      <c r="O1505" s="48"/>
    </row>
    <row r="1506" spans="9:15" x14ac:dyDescent="0.35">
      <c r="I1506" s="52"/>
      <c r="J1506" s="28"/>
      <c r="K1506" s="29"/>
      <c r="L1506" s="28"/>
      <c r="M1506" s="19"/>
      <c r="N1506" s="19"/>
      <c r="O1506" s="48"/>
    </row>
    <row r="1507" spans="9:15" x14ac:dyDescent="0.35">
      <c r="I1507" s="52"/>
      <c r="J1507" s="28"/>
      <c r="K1507" s="29"/>
      <c r="L1507" s="28"/>
      <c r="M1507" s="19"/>
      <c r="N1507" s="19"/>
      <c r="O1507" s="48"/>
    </row>
    <row r="1508" spans="9:15" x14ac:dyDescent="0.35">
      <c r="I1508" s="52"/>
      <c r="J1508" s="28"/>
      <c r="K1508" s="29"/>
      <c r="L1508" s="28"/>
      <c r="M1508" s="19"/>
      <c r="N1508" s="19"/>
      <c r="O1508" s="48"/>
    </row>
    <row r="1509" spans="9:15" x14ac:dyDescent="0.35">
      <c r="I1509" s="52"/>
      <c r="J1509" s="28"/>
      <c r="K1509" s="29"/>
      <c r="L1509" s="28"/>
      <c r="M1509" s="19"/>
      <c r="N1509" s="19"/>
      <c r="O1509" s="48"/>
    </row>
    <row r="1510" spans="9:15" x14ac:dyDescent="0.35">
      <c r="I1510" s="52"/>
      <c r="J1510" s="28"/>
      <c r="K1510" s="29"/>
      <c r="L1510" s="28"/>
      <c r="M1510" s="19"/>
      <c r="N1510" s="19"/>
      <c r="O1510" s="48"/>
    </row>
    <row r="1511" spans="9:15" x14ac:dyDescent="0.35">
      <c r="I1511" s="52"/>
      <c r="J1511" s="28"/>
      <c r="K1511" s="29"/>
      <c r="L1511" s="28"/>
      <c r="M1511" s="19"/>
      <c r="N1511" s="19"/>
      <c r="O1511" s="48"/>
    </row>
    <row r="1512" spans="9:15" x14ac:dyDescent="0.35">
      <c r="I1512" s="52"/>
      <c r="J1512" s="28"/>
      <c r="K1512" s="29"/>
      <c r="L1512" s="28"/>
      <c r="M1512" s="19"/>
      <c r="N1512" s="19"/>
      <c r="O1512" s="48"/>
    </row>
    <row r="1513" spans="9:15" x14ac:dyDescent="0.35">
      <c r="I1513" s="52"/>
      <c r="J1513" s="28"/>
      <c r="K1513" s="29"/>
      <c r="L1513" s="28"/>
      <c r="M1513" s="19"/>
      <c r="N1513" s="19"/>
      <c r="O1513" s="48"/>
    </row>
    <row r="1514" spans="9:15" x14ac:dyDescent="0.35">
      <c r="I1514" s="52"/>
      <c r="J1514" s="28"/>
      <c r="K1514" s="29"/>
      <c r="L1514" s="28"/>
      <c r="M1514" s="19"/>
      <c r="N1514" s="19"/>
      <c r="O1514" s="48"/>
    </row>
    <row r="1515" spans="9:15" x14ac:dyDescent="0.35">
      <c r="I1515" s="52"/>
      <c r="J1515" s="28"/>
      <c r="K1515" s="29"/>
      <c r="L1515" s="28"/>
      <c r="M1515" s="19"/>
      <c r="N1515" s="19"/>
      <c r="O1515" s="48"/>
    </row>
    <row r="1516" spans="9:15" x14ac:dyDescent="0.35">
      <c r="I1516" s="52"/>
      <c r="J1516" s="28"/>
      <c r="K1516" s="29"/>
      <c r="L1516" s="28"/>
      <c r="M1516" s="19"/>
      <c r="N1516" s="19"/>
      <c r="O1516" s="48"/>
    </row>
    <row r="1517" spans="9:15" x14ac:dyDescent="0.35">
      <c r="I1517" s="52"/>
      <c r="J1517" s="28"/>
      <c r="K1517" s="29"/>
      <c r="L1517" s="28"/>
      <c r="M1517" s="19"/>
      <c r="N1517" s="19"/>
      <c r="O1517" s="48"/>
    </row>
    <row r="1518" spans="9:15" x14ac:dyDescent="0.35">
      <c r="I1518" s="52"/>
      <c r="J1518" s="28"/>
      <c r="K1518" s="29"/>
      <c r="L1518" s="28"/>
      <c r="M1518" s="19"/>
      <c r="N1518" s="19"/>
      <c r="O1518" s="48"/>
    </row>
    <row r="1519" spans="9:15" x14ac:dyDescent="0.35">
      <c r="I1519" s="52"/>
      <c r="J1519" s="28"/>
      <c r="K1519" s="29"/>
      <c r="L1519" s="28"/>
      <c r="M1519" s="19"/>
      <c r="N1519" s="19"/>
      <c r="O1519" s="48"/>
    </row>
    <row r="1520" spans="9:15" x14ac:dyDescent="0.35">
      <c r="I1520" s="52"/>
      <c r="J1520" s="28"/>
      <c r="K1520" s="29"/>
      <c r="L1520" s="28"/>
      <c r="M1520" s="19"/>
      <c r="N1520" s="19"/>
      <c r="O1520" s="48"/>
    </row>
    <row r="1521" spans="9:15" x14ac:dyDescent="0.35">
      <c r="I1521" s="52"/>
      <c r="J1521" s="28"/>
      <c r="K1521" s="29"/>
      <c r="L1521" s="28"/>
      <c r="M1521" s="19"/>
      <c r="N1521" s="19"/>
      <c r="O1521" s="48"/>
    </row>
    <row r="1522" spans="9:15" x14ac:dyDescent="0.35">
      <c r="I1522" s="52"/>
      <c r="J1522" s="28"/>
      <c r="K1522" s="29"/>
      <c r="L1522" s="28"/>
      <c r="M1522" s="19"/>
      <c r="N1522" s="19"/>
      <c r="O1522" s="48"/>
    </row>
    <row r="1523" spans="9:15" x14ac:dyDescent="0.35">
      <c r="I1523" s="52"/>
      <c r="J1523" s="28"/>
      <c r="K1523" s="29"/>
      <c r="L1523" s="28"/>
      <c r="M1523" s="19"/>
      <c r="N1523" s="19"/>
      <c r="O1523" s="48"/>
    </row>
    <row r="1524" spans="9:15" x14ac:dyDescent="0.35">
      <c r="I1524" s="52"/>
      <c r="J1524" s="28"/>
      <c r="K1524" s="29"/>
      <c r="L1524" s="28"/>
      <c r="M1524" s="19"/>
      <c r="N1524" s="19"/>
      <c r="O1524" s="48"/>
    </row>
    <row r="1525" spans="9:15" x14ac:dyDescent="0.35">
      <c r="I1525" s="52"/>
      <c r="J1525" s="28"/>
      <c r="K1525" s="29"/>
      <c r="L1525" s="28"/>
      <c r="M1525" s="19"/>
      <c r="N1525" s="19"/>
      <c r="O1525" s="48"/>
    </row>
    <row r="1526" spans="9:15" x14ac:dyDescent="0.35">
      <c r="I1526" s="52"/>
      <c r="J1526" s="28"/>
      <c r="K1526" s="29"/>
      <c r="L1526" s="28"/>
      <c r="M1526" s="19"/>
      <c r="N1526" s="19"/>
      <c r="O1526" s="48"/>
    </row>
    <row r="1527" spans="9:15" x14ac:dyDescent="0.35">
      <c r="I1527" s="52"/>
      <c r="J1527" s="28"/>
      <c r="K1527" s="29"/>
      <c r="L1527" s="28"/>
      <c r="M1527" s="19"/>
      <c r="N1527" s="19"/>
      <c r="O1527" s="48"/>
    </row>
    <row r="1528" spans="9:15" x14ac:dyDescent="0.35">
      <c r="I1528" s="52"/>
      <c r="J1528" s="28"/>
      <c r="K1528" s="29"/>
      <c r="L1528" s="28"/>
      <c r="M1528" s="19"/>
      <c r="N1528" s="19"/>
      <c r="O1528" s="48"/>
    </row>
    <row r="1529" spans="9:15" x14ac:dyDescent="0.35">
      <c r="I1529" s="52"/>
      <c r="J1529" s="28"/>
      <c r="K1529" s="29"/>
      <c r="L1529" s="28"/>
      <c r="M1529" s="19"/>
      <c r="N1529" s="19"/>
      <c r="O1529" s="48"/>
    </row>
    <row r="1530" spans="9:15" x14ac:dyDescent="0.35">
      <c r="I1530" s="52"/>
      <c r="J1530" s="28"/>
      <c r="K1530" s="29"/>
      <c r="L1530" s="28"/>
      <c r="M1530" s="19"/>
      <c r="N1530" s="19"/>
      <c r="O1530" s="48"/>
    </row>
    <row r="1531" spans="9:15" x14ac:dyDescent="0.35">
      <c r="I1531" s="52"/>
      <c r="J1531" s="28"/>
      <c r="K1531" s="29"/>
      <c r="L1531" s="28"/>
      <c r="M1531" s="19"/>
      <c r="N1531" s="19"/>
      <c r="O1531" s="48"/>
    </row>
    <row r="1532" spans="9:15" x14ac:dyDescent="0.35">
      <c r="I1532" s="52"/>
      <c r="J1532" s="28"/>
      <c r="K1532" s="29"/>
      <c r="L1532" s="28"/>
      <c r="M1532" s="19"/>
      <c r="N1532" s="19"/>
      <c r="O1532" s="48"/>
    </row>
    <row r="1533" spans="9:15" x14ac:dyDescent="0.35">
      <c r="I1533" s="52"/>
      <c r="J1533" s="28"/>
      <c r="K1533" s="29"/>
      <c r="L1533" s="28"/>
      <c r="M1533" s="19"/>
      <c r="N1533" s="19"/>
      <c r="O1533" s="48"/>
    </row>
    <row r="1534" spans="9:15" x14ac:dyDescent="0.35">
      <c r="I1534" s="52"/>
      <c r="J1534" s="28"/>
      <c r="K1534" s="29"/>
      <c r="L1534" s="28"/>
      <c r="M1534" s="19"/>
      <c r="N1534" s="19"/>
      <c r="O1534" s="48"/>
    </row>
    <row r="1535" spans="9:15" x14ac:dyDescent="0.35">
      <c r="I1535" s="52"/>
      <c r="J1535" s="28"/>
      <c r="K1535" s="29"/>
      <c r="L1535" s="28"/>
      <c r="M1535" s="19"/>
      <c r="N1535" s="19"/>
      <c r="O1535" s="48"/>
    </row>
    <row r="1536" spans="9:15" x14ac:dyDescent="0.35">
      <c r="I1536" s="52"/>
      <c r="J1536" s="28"/>
      <c r="K1536" s="29"/>
      <c r="L1536" s="28"/>
      <c r="M1536" s="19"/>
      <c r="N1536" s="19"/>
      <c r="O1536" s="48"/>
    </row>
    <row r="1537" spans="9:15" x14ac:dyDescent="0.35">
      <c r="I1537" s="52"/>
      <c r="J1537" s="28"/>
      <c r="K1537" s="29"/>
      <c r="L1537" s="28"/>
      <c r="M1537" s="19"/>
      <c r="N1537" s="19"/>
      <c r="O1537" s="48"/>
    </row>
    <row r="1538" spans="9:15" x14ac:dyDescent="0.35">
      <c r="I1538" s="52"/>
      <c r="J1538" s="28"/>
      <c r="K1538" s="29"/>
      <c r="L1538" s="28"/>
      <c r="M1538" s="19"/>
      <c r="N1538" s="19"/>
      <c r="O1538" s="48"/>
    </row>
    <row r="1539" spans="9:15" x14ac:dyDescent="0.35">
      <c r="I1539" s="52"/>
      <c r="J1539" s="28"/>
      <c r="K1539" s="29"/>
      <c r="L1539" s="28"/>
      <c r="M1539" s="19"/>
      <c r="N1539" s="19"/>
      <c r="O1539" s="48"/>
    </row>
    <row r="1540" spans="9:15" x14ac:dyDescent="0.35">
      <c r="I1540" s="52"/>
      <c r="J1540" s="28"/>
      <c r="K1540" s="29"/>
      <c r="L1540" s="28"/>
      <c r="M1540" s="19"/>
      <c r="N1540" s="19"/>
      <c r="O1540" s="48"/>
    </row>
    <row r="1541" spans="9:15" x14ac:dyDescent="0.35">
      <c r="I1541" s="52"/>
      <c r="J1541" s="28"/>
      <c r="K1541" s="29"/>
      <c r="L1541" s="28"/>
      <c r="M1541" s="19"/>
      <c r="N1541" s="19"/>
      <c r="O1541" s="48"/>
    </row>
    <row r="1542" spans="9:15" x14ac:dyDescent="0.35">
      <c r="I1542" s="52"/>
      <c r="J1542" s="28"/>
      <c r="K1542" s="29"/>
      <c r="L1542" s="28"/>
      <c r="M1542" s="19"/>
      <c r="N1542" s="19"/>
      <c r="O1542" s="48"/>
    </row>
    <row r="1543" spans="9:15" x14ac:dyDescent="0.35">
      <c r="I1543" s="52"/>
      <c r="J1543" s="28"/>
      <c r="K1543" s="29"/>
      <c r="L1543" s="28"/>
      <c r="M1543" s="19"/>
      <c r="N1543" s="19"/>
      <c r="O1543" s="48"/>
    </row>
    <row r="1544" spans="9:15" x14ac:dyDescent="0.35">
      <c r="I1544" s="52"/>
      <c r="J1544" s="28"/>
      <c r="K1544" s="29"/>
      <c r="L1544" s="28"/>
      <c r="M1544" s="19"/>
      <c r="N1544" s="19"/>
      <c r="O1544" s="48"/>
    </row>
    <row r="1545" spans="9:15" x14ac:dyDescent="0.35">
      <c r="I1545" s="52"/>
      <c r="J1545" s="28"/>
      <c r="K1545" s="29"/>
      <c r="L1545" s="28"/>
      <c r="M1545" s="19"/>
      <c r="N1545" s="19"/>
      <c r="O1545" s="48"/>
    </row>
    <row r="1546" spans="9:15" x14ac:dyDescent="0.35">
      <c r="I1546" s="52"/>
      <c r="J1546" s="28"/>
      <c r="K1546" s="29"/>
      <c r="L1546" s="28"/>
      <c r="M1546" s="19"/>
      <c r="N1546" s="19"/>
      <c r="O1546" s="48"/>
    </row>
    <row r="1547" spans="9:15" x14ac:dyDescent="0.35">
      <c r="I1547" s="52"/>
      <c r="J1547" s="28"/>
      <c r="K1547" s="29"/>
      <c r="L1547" s="28"/>
      <c r="M1547" s="19"/>
      <c r="N1547" s="19"/>
      <c r="O1547" s="48"/>
    </row>
    <row r="1548" spans="9:15" x14ac:dyDescent="0.35">
      <c r="I1548" s="52"/>
      <c r="J1548" s="28"/>
      <c r="K1548" s="29"/>
      <c r="L1548" s="28"/>
      <c r="M1548" s="19"/>
      <c r="N1548" s="19"/>
      <c r="O1548" s="48"/>
    </row>
    <row r="1549" spans="9:15" x14ac:dyDescent="0.35">
      <c r="I1549" s="52"/>
      <c r="J1549" s="28"/>
      <c r="K1549" s="29"/>
      <c r="L1549" s="28"/>
      <c r="M1549" s="19"/>
      <c r="N1549" s="19"/>
      <c r="O1549" s="48"/>
    </row>
    <row r="1550" spans="9:15" x14ac:dyDescent="0.35">
      <c r="I1550" s="52"/>
      <c r="J1550" s="28"/>
      <c r="K1550" s="29"/>
      <c r="L1550" s="28"/>
      <c r="M1550" s="19"/>
      <c r="N1550" s="19"/>
      <c r="O1550" s="48"/>
    </row>
    <row r="1551" spans="9:15" x14ac:dyDescent="0.35">
      <c r="I1551" s="52"/>
      <c r="J1551" s="28"/>
      <c r="K1551" s="29"/>
      <c r="L1551" s="28"/>
      <c r="M1551" s="19"/>
      <c r="N1551" s="19"/>
      <c r="O1551" s="48"/>
    </row>
    <row r="1552" spans="9:15" x14ac:dyDescent="0.35">
      <c r="I1552" s="52"/>
      <c r="J1552" s="28"/>
      <c r="K1552" s="29"/>
      <c r="L1552" s="28"/>
      <c r="M1552" s="19"/>
      <c r="N1552" s="19"/>
      <c r="O1552" s="48"/>
    </row>
    <row r="1553" spans="9:15" x14ac:dyDescent="0.35">
      <c r="I1553" s="52"/>
      <c r="J1553" s="28"/>
      <c r="K1553" s="29"/>
      <c r="L1553" s="28"/>
      <c r="M1553" s="19"/>
      <c r="N1553" s="19"/>
      <c r="O1553" s="48"/>
    </row>
    <row r="1554" spans="9:15" x14ac:dyDescent="0.35">
      <c r="I1554" s="52"/>
      <c r="J1554" s="28"/>
      <c r="K1554" s="29"/>
      <c r="L1554" s="28"/>
      <c r="M1554" s="19"/>
      <c r="N1554" s="19"/>
      <c r="O1554" s="48"/>
    </row>
    <row r="1555" spans="9:15" x14ac:dyDescent="0.35">
      <c r="I1555" s="52"/>
      <c r="J1555" s="28"/>
      <c r="K1555" s="29"/>
      <c r="L1555" s="28"/>
      <c r="M1555" s="19"/>
      <c r="N1555" s="19"/>
      <c r="O1555" s="48"/>
    </row>
    <row r="1556" spans="9:15" x14ac:dyDescent="0.35">
      <c r="I1556" s="52"/>
      <c r="J1556" s="28"/>
      <c r="K1556" s="29"/>
      <c r="L1556" s="28"/>
      <c r="M1556" s="19"/>
      <c r="N1556" s="19"/>
      <c r="O1556" s="48"/>
    </row>
    <row r="1557" spans="9:15" x14ac:dyDescent="0.35">
      <c r="I1557" s="52"/>
      <c r="J1557" s="28"/>
      <c r="K1557" s="29"/>
      <c r="L1557" s="28"/>
      <c r="M1557" s="19"/>
      <c r="N1557" s="19"/>
      <c r="O1557" s="48"/>
    </row>
    <row r="1558" spans="9:15" x14ac:dyDescent="0.35">
      <c r="I1558" s="52"/>
      <c r="J1558" s="28"/>
      <c r="K1558" s="29"/>
      <c r="L1558" s="28"/>
      <c r="M1558" s="19"/>
      <c r="N1558" s="19"/>
      <c r="O1558" s="48"/>
    </row>
    <row r="1559" spans="9:15" x14ac:dyDescent="0.35">
      <c r="I1559" s="52"/>
      <c r="J1559" s="28"/>
      <c r="K1559" s="29"/>
      <c r="L1559" s="28"/>
      <c r="M1559" s="19"/>
      <c r="N1559" s="19"/>
      <c r="O1559" s="48"/>
    </row>
    <row r="1560" spans="9:15" x14ac:dyDescent="0.35">
      <c r="I1560" s="52"/>
      <c r="J1560" s="28"/>
      <c r="K1560" s="29"/>
      <c r="L1560" s="28"/>
      <c r="M1560" s="19"/>
      <c r="N1560" s="19"/>
      <c r="O1560" s="48"/>
    </row>
    <row r="1561" spans="9:15" x14ac:dyDescent="0.35">
      <c r="I1561" s="52"/>
      <c r="J1561" s="28"/>
      <c r="K1561" s="29"/>
      <c r="L1561" s="28"/>
      <c r="M1561" s="19"/>
      <c r="N1561" s="19"/>
      <c r="O1561" s="48"/>
    </row>
    <row r="1562" spans="9:15" x14ac:dyDescent="0.35">
      <c r="I1562" s="52"/>
      <c r="J1562" s="28"/>
      <c r="K1562" s="29"/>
      <c r="L1562" s="28"/>
      <c r="M1562" s="19"/>
      <c r="N1562" s="19"/>
      <c r="O1562" s="48"/>
    </row>
    <row r="1563" spans="9:15" x14ac:dyDescent="0.35">
      <c r="I1563" s="52"/>
      <c r="J1563" s="28"/>
      <c r="K1563" s="29"/>
      <c r="L1563" s="28"/>
      <c r="M1563" s="19"/>
      <c r="N1563" s="19"/>
      <c r="O1563" s="48"/>
    </row>
    <row r="1564" spans="9:15" x14ac:dyDescent="0.35">
      <c r="I1564" s="52"/>
      <c r="J1564" s="28"/>
      <c r="K1564" s="29"/>
      <c r="L1564" s="28"/>
      <c r="M1564" s="19"/>
      <c r="N1564" s="19"/>
      <c r="O1564" s="48"/>
    </row>
    <row r="1565" spans="9:15" x14ac:dyDescent="0.35">
      <c r="I1565" s="52"/>
      <c r="J1565" s="28"/>
      <c r="K1565" s="29"/>
      <c r="L1565" s="28"/>
      <c r="M1565" s="19"/>
      <c r="N1565" s="19"/>
      <c r="O1565" s="48"/>
    </row>
    <row r="1566" spans="9:15" x14ac:dyDescent="0.35">
      <c r="I1566" s="52"/>
      <c r="J1566" s="28"/>
      <c r="K1566" s="29"/>
      <c r="L1566" s="28"/>
      <c r="M1566" s="19"/>
      <c r="N1566" s="19"/>
      <c r="O1566" s="48"/>
    </row>
    <row r="1567" spans="9:15" x14ac:dyDescent="0.35">
      <c r="I1567" s="52"/>
      <c r="J1567" s="28"/>
      <c r="K1567" s="29"/>
      <c r="L1567" s="28"/>
      <c r="M1567" s="19"/>
      <c r="N1567" s="19"/>
      <c r="O1567" s="48"/>
    </row>
    <row r="1568" spans="9:15" x14ac:dyDescent="0.35">
      <c r="I1568" s="52"/>
      <c r="J1568" s="28"/>
      <c r="K1568" s="29"/>
      <c r="L1568" s="28"/>
      <c r="M1568" s="19"/>
      <c r="N1568" s="19"/>
      <c r="O1568" s="48"/>
    </row>
    <row r="1569" spans="9:15" x14ac:dyDescent="0.35">
      <c r="I1569" s="52"/>
      <c r="J1569" s="28"/>
      <c r="K1569" s="29"/>
      <c r="L1569" s="28"/>
      <c r="M1569" s="19"/>
      <c r="N1569" s="19"/>
      <c r="O1569" s="48"/>
    </row>
    <row r="1570" spans="9:15" x14ac:dyDescent="0.35">
      <c r="I1570" s="52"/>
      <c r="J1570" s="28"/>
      <c r="K1570" s="29"/>
      <c r="L1570" s="28"/>
      <c r="M1570" s="19"/>
      <c r="N1570" s="19"/>
      <c r="O1570" s="48"/>
    </row>
    <row r="1571" spans="9:15" x14ac:dyDescent="0.35">
      <c r="I1571" s="52"/>
      <c r="J1571" s="28"/>
      <c r="K1571" s="29"/>
      <c r="L1571" s="28"/>
      <c r="M1571" s="19"/>
      <c r="N1571" s="19"/>
      <c r="O1571" s="48"/>
    </row>
    <row r="1572" spans="9:15" x14ac:dyDescent="0.35">
      <c r="I1572" s="52"/>
      <c r="J1572" s="28"/>
      <c r="K1572" s="29"/>
      <c r="L1572" s="28"/>
      <c r="M1572" s="19"/>
      <c r="N1572" s="19"/>
      <c r="O1572" s="48"/>
    </row>
    <row r="1573" spans="9:15" x14ac:dyDescent="0.35">
      <c r="I1573" s="52"/>
      <c r="J1573" s="28"/>
      <c r="K1573" s="29"/>
      <c r="L1573" s="28"/>
      <c r="M1573" s="19"/>
      <c r="N1573" s="19"/>
      <c r="O1573" s="48"/>
    </row>
    <row r="1574" spans="9:15" x14ac:dyDescent="0.35">
      <c r="I1574" s="52"/>
      <c r="J1574" s="28"/>
      <c r="K1574" s="29"/>
      <c r="L1574" s="28"/>
      <c r="M1574" s="19"/>
      <c r="N1574" s="19"/>
      <c r="O1574" s="48"/>
    </row>
    <row r="1575" spans="9:15" x14ac:dyDescent="0.35">
      <c r="I1575" s="52"/>
      <c r="J1575" s="28"/>
      <c r="K1575" s="29"/>
      <c r="L1575" s="28"/>
      <c r="M1575" s="19"/>
      <c r="N1575" s="19"/>
      <c r="O1575" s="48"/>
    </row>
    <row r="1576" spans="9:15" x14ac:dyDescent="0.35">
      <c r="I1576" s="52"/>
      <c r="J1576" s="28"/>
      <c r="K1576" s="29"/>
      <c r="L1576" s="28"/>
      <c r="M1576" s="19"/>
      <c r="N1576" s="19"/>
      <c r="O1576" s="48"/>
    </row>
    <row r="1577" spans="9:15" x14ac:dyDescent="0.35">
      <c r="I1577" s="52"/>
      <c r="J1577" s="28"/>
      <c r="K1577" s="29"/>
      <c r="L1577" s="28"/>
      <c r="M1577" s="19"/>
      <c r="N1577" s="19"/>
      <c r="O1577" s="48"/>
    </row>
    <row r="1578" spans="9:15" x14ac:dyDescent="0.35">
      <c r="I1578" s="52"/>
      <c r="J1578" s="28"/>
      <c r="K1578" s="29"/>
      <c r="L1578" s="28"/>
      <c r="M1578" s="19"/>
      <c r="N1578" s="19"/>
      <c r="O1578" s="48"/>
    </row>
    <row r="1579" spans="9:15" x14ac:dyDescent="0.35">
      <c r="I1579" s="52"/>
      <c r="J1579" s="28"/>
      <c r="K1579" s="29"/>
      <c r="L1579" s="28"/>
      <c r="M1579" s="19"/>
      <c r="N1579" s="19"/>
      <c r="O1579" s="48"/>
    </row>
    <row r="1580" spans="9:15" x14ac:dyDescent="0.35">
      <c r="I1580" s="52"/>
      <c r="J1580" s="28"/>
      <c r="K1580" s="29"/>
      <c r="L1580" s="28"/>
      <c r="M1580" s="19"/>
      <c r="N1580" s="19"/>
      <c r="O1580" s="48"/>
    </row>
    <row r="1581" spans="9:15" x14ac:dyDescent="0.35">
      <c r="I1581" s="52"/>
      <c r="J1581" s="28"/>
      <c r="K1581" s="29"/>
      <c r="L1581" s="28"/>
      <c r="M1581" s="19"/>
      <c r="N1581" s="19"/>
      <c r="O1581" s="48"/>
    </row>
    <row r="1582" spans="9:15" x14ac:dyDescent="0.35">
      <c r="I1582" s="52"/>
      <c r="J1582" s="28"/>
      <c r="K1582" s="29"/>
      <c r="L1582" s="28"/>
      <c r="M1582" s="19"/>
      <c r="N1582" s="19"/>
      <c r="O1582" s="48"/>
    </row>
    <row r="1583" spans="9:15" x14ac:dyDescent="0.35">
      <c r="I1583" s="52"/>
      <c r="J1583" s="28"/>
      <c r="K1583" s="29"/>
      <c r="L1583" s="28"/>
      <c r="M1583" s="19"/>
      <c r="N1583" s="19"/>
      <c r="O1583" s="48"/>
    </row>
    <row r="1584" spans="9:15" x14ac:dyDescent="0.35">
      <c r="I1584" s="52"/>
      <c r="J1584" s="28"/>
      <c r="K1584" s="29"/>
      <c r="L1584" s="28"/>
      <c r="M1584" s="19"/>
      <c r="N1584" s="19"/>
      <c r="O1584" s="48"/>
    </row>
    <row r="1585" spans="9:15" x14ac:dyDescent="0.35">
      <c r="I1585" s="52"/>
      <c r="J1585" s="28"/>
      <c r="K1585" s="29"/>
      <c r="L1585" s="28"/>
      <c r="M1585" s="19"/>
      <c r="N1585" s="19"/>
      <c r="O1585" s="48"/>
    </row>
    <row r="1586" spans="9:15" x14ac:dyDescent="0.35">
      <c r="I1586" s="52"/>
      <c r="J1586" s="28"/>
      <c r="K1586" s="29"/>
      <c r="L1586" s="28"/>
      <c r="M1586" s="19"/>
      <c r="N1586" s="19"/>
      <c r="O1586" s="48"/>
    </row>
    <row r="1587" spans="9:15" x14ac:dyDescent="0.35">
      <c r="I1587" s="52"/>
      <c r="J1587" s="28"/>
      <c r="K1587" s="29"/>
      <c r="L1587" s="28"/>
      <c r="M1587" s="19"/>
      <c r="N1587" s="19"/>
      <c r="O1587" s="48"/>
    </row>
    <row r="1588" spans="9:15" x14ac:dyDescent="0.35">
      <c r="I1588" s="52"/>
      <c r="J1588" s="28"/>
      <c r="K1588" s="29"/>
      <c r="L1588" s="28"/>
      <c r="M1588" s="19"/>
      <c r="N1588" s="19"/>
      <c r="O1588" s="48"/>
    </row>
    <row r="1589" spans="9:15" x14ac:dyDescent="0.35">
      <c r="I1589" s="52"/>
      <c r="J1589" s="28"/>
      <c r="K1589" s="29"/>
      <c r="L1589" s="28"/>
      <c r="M1589" s="19"/>
      <c r="N1589" s="19"/>
      <c r="O1589" s="48"/>
    </row>
    <row r="1590" spans="9:15" x14ac:dyDescent="0.35">
      <c r="I1590" s="52"/>
      <c r="J1590" s="28"/>
      <c r="K1590" s="29"/>
      <c r="L1590" s="28"/>
      <c r="M1590" s="19"/>
      <c r="N1590" s="19"/>
      <c r="O1590" s="48"/>
    </row>
    <row r="1591" spans="9:15" x14ac:dyDescent="0.35">
      <c r="I1591" s="52"/>
      <c r="J1591" s="28"/>
      <c r="K1591" s="29"/>
      <c r="L1591" s="28"/>
      <c r="M1591" s="19"/>
      <c r="N1591" s="19"/>
      <c r="O1591" s="48"/>
    </row>
    <row r="1592" spans="9:15" x14ac:dyDescent="0.35">
      <c r="I1592" s="52"/>
      <c r="J1592" s="28"/>
      <c r="K1592" s="29"/>
      <c r="L1592" s="28"/>
      <c r="M1592" s="19"/>
      <c r="N1592" s="19"/>
      <c r="O1592" s="48"/>
    </row>
    <row r="1593" spans="9:15" x14ac:dyDescent="0.35">
      <c r="I1593" s="52"/>
      <c r="J1593" s="28"/>
      <c r="K1593" s="29"/>
      <c r="L1593" s="28"/>
      <c r="M1593" s="19"/>
      <c r="N1593" s="19"/>
      <c r="O1593" s="48"/>
    </row>
    <row r="1594" spans="9:15" x14ac:dyDescent="0.35">
      <c r="I1594" s="52"/>
      <c r="J1594" s="28"/>
      <c r="K1594" s="29"/>
      <c r="L1594" s="28"/>
      <c r="M1594" s="19"/>
      <c r="N1594" s="19"/>
      <c r="O1594" s="48"/>
    </row>
    <row r="1595" spans="9:15" x14ac:dyDescent="0.35">
      <c r="I1595" s="52"/>
      <c r="J1595" s="28"/>
      <c r="K1595" s="29"/>
      <c r="L1595" s="28"/>
      <c r="M1595" s="19"/>
      <c r="N1595" s="19"/>
      <c r="O1595" s="48"/>
    </row>
    <row r="1596" spans="9:15" x14ac:dyDescent="0.35">
      <c r="I1596" s="52"/>
      <c r="J1596" s="28"/>
      <c r="K1596" s="29"/>
      <c r="L1596" s="28"/>
      <c r="M1596" s="19"/>
      <c r="N1596" s="19"/>
      <c r="O1596" s="48"/>
    </row>
    <row r="1597" spans="9:15" x14ac:dyDescent="0.35">
      <c r="I1597" s="52"/>
      <c r="J1597" s="28"/>
      <c r="K1597" s="29"/>
      <c r="L1597" s="28"/>
      <c r="M1597" s="19"/>
      <c r="N1597" s="19"/>
      <c r="O1597" s="48"/>
    </row>
    <row r="1598" spans="9:15" x14ac:dyDescent="0.35">
      <c r="I1598" s="52"/>
      <c r="J1598" s="28"/>
      <c r="K1598" s="29"/>
      <c r="L1598" s="28"/>
      <c r="M1598" s="19"/>
      <c r="N1598" s="19"/>
      <c r="O1598" s="48"/>
    </row>
    <row r="1599" spans="9:15" x14ac:dyDescent="0.35">
      <c r="I1599" s="52"/>
      <c r="J1599" s="28"/>
      <c r="K1599" s="29"/>
      <c r="L1599" s="28"/>
      <c r="M1599" s="19"/>
      <c r="N1599" s="19"/>
      <c r="O1599" s="48"/>
    </row>
    <row r="1600" spans="9:15" x14ac:dyDescent="0.35">
      <c r="I1600" s="52"/>
      <c r="J1600" s="28"/>
      <c r="K1600" s="29"/>
      <c r="L1600" s="28"/>
      <c r="M1600" s="19"/>
      <c r="N1600" s="19"/>
      <c r="O1600" s="48"/>
    </row>
    <row r="1601" spans="9:15" x14ac:dyDescent="0.35">
      <c r="I1601" s="52"/>
      <c r="J1601" s="28"/>
      <c r="K1601" s="29"/>
      <c r="L1601" s="28"/>
      <c r="M1601" s="19"/>
      <c r="N1601" s="19"/>
      <c r="O1601" s="48"/>
    </row>
    <row r="1602" spans="9:15" x14ac:dyDescent="0.35">
      <c r="I1602" s="52"/>
      <c r="J1602" s="28"/>
      <c r="K1602" s="29"/>
      <c r="L1602" s="28"/>
      <c r="M1602" s="19"/>
      <c r="N1602" s="19"/>
      <c r="O1602" s="48"/>
    </row>
    <row r="1603" spans="9:15" x14ac:dyDescent="0.35">
      <c r="I1603" s="52"/>
      <c r="J1603" s="28"/>
      <c r="K1603" s="29"/>
      <c r="L1603" s="28"/>
      <c r="M1603" s="19"/>
      <c r="N1603" s="19"/>
      <c r="O1603" s="48"/>
    </row>
    <row r="1604" spans="9:15" x14ac:dyDescent="0.35">
      <c r="I1604" s="52"/>
      <c r="J1604" s="28"/>
      <c r="K1604" s="29"/>
      <c r="L1604" s="28"/>
      <c r="M1604" s="19"/>
      <c r="N1604" s="19"/>
      <c r="O1604" s="48"/>
    </row>
    <row r="1605" spans="9:15" x14ac:dyDescent="0.35">
      <c r="I1605" s="52"/>
      <c r="J1605" s="28"/>
      <c r="K1605" s="29"/>
      <c r="L1605" s="28"/>
      <c r="M1605" s="19"/>
      <c r="N1605" s="19"/>
      <c r="O1605" s="48"/>
    </row>
    <row r="1606" spans="9:15" x14ac:dyDescent="0.35">
      <c r="I1606" s="52"/>
      <c r="J1606" s="28"/>
      <c r="K1606" s="29"/>
      <c r="L1606" s="28"/>
      <c r="M1606" s="19"/>
      <c r="N1606" s="19"/>
      <c r="O1606" s="48"/>
    </row>
    <row r="1607" spans="9:15" x14ac:dyDescent="0.35">
      <c r="I1607" s="52"/>
      <c r="J1607" s="28"/>
      <c r="K1607" s="29"/>
      <c r="L1607" s="28"/>
      <c r="M1607" s="19"/>
      <c r="N1607" s="19"/>
      <c r="O1607" s="48"/>
    </row>
    <row r="1608" spans="9:15" x14ac:dyDescent="0.35">
      <c r="I1608" s="52"/>
      <c r="J1608" s="28"/>
      <c r="K1608" s="29"/>
      <c r="L1608" s="28"/>
      <c r="M1608" s="19"/>
      <c r="N1608" s="19"/>
      <c r="O1608" s="48"/>
    </row>
    <row r="1609" spans="9:15" x14ac:dyDescent="0.35">
      <c r="I1609" s="52"/>
      <c r="J1609" s="28"/>
      <c r="K1609" s="29"/>
      <c r="L1609" s="28"/>
      <c r="M1609" s="19"/>
      <c r="N1609" s="19"/>
      <c r="O1609" s="48"/>
    </row>
    <row r="1610" spans="9:15" x14ac:dyDescent="0.35">
      <c r="I1610" s="52"/>
      <c r="J1610" s="28"/>
      <c r="K1610" s="29"/>
      <c r="L1610" s="28"/>
      <c r="M1610" s="19"/>
      <c r="N1610" s="19"/>
      <c r="O1610" s="48"/>
    </row>
    <row r="1611" spans="9:15" x14ac:dyDescent="0.35">
      <c r="I1611" s="52"/>
      <c r="J1611" s="28"/>
      <c r="K1611" s="29"/>
      <c r="L1611" s="28"/>
      <c r="M1611" s="19"/>
      <c r="N1611" s="19"/>
      <c r="O1611" s="48"/>
    </row>
    <row r="1612" spans="9:15" x14ac:dyDescent="0.35">
      <c r="I1612" s="52"/>
      <c r="J1612" s="28"/>
      <c r="K1612" s="29"/>
      <c r="L1612" s="28"/>
      <c r="M1612" s="19"/>
      <c r="N1612" s="19"/>
      <c r="O1612" s="48"/>
    </row>
    <row r="1613" spans="9:15" x14ac:dyDescent="0.35">
      <c r="I1613" s="52"/>
      <c r="J1613" s="28"/>
      <c r="K1613" s="29"/>
      <c r="L1613" s="28"/>
      <c r="M1613" s="19"/>
      <c r="N1613" s="19"/>
      <c r="O1613" s="48"/>
    </row>
    <row r="1614" spans="9:15" x14ac:dyDescent="0.35">
      <c r="I1614" s="52"/>
      <c r="J1614" s="28"/>
      <c r="K1614" s="29"/>
      <c r="L1614" s="28"/>
      <c r="M1614" s="19"/>
      <c r="N1614" s="19"/>
      <c r="O1614" s="48"/>
    </row>
    <row r="1615" spans="9:15" x14ac:dyDescent="0.35">
      <c r="I1615" s="52"/>
      <c r="J1615" s="28"/>
      <c r="K1615" s="29"/>
      <c r="L1615" s="28"/>
      <c r="M1615" s="19"/>
      <c r="N1615" s="19"/>
      <c r="O1615" s="48"/>
    </row>
    <row r="1616" spans="9:15" x14ac:dyDescent="0.35">
      <c r="I1616" s="52"/>
      <c r="J1616" s="28"/>
      <c r="K1616" s="29"/>
      <c r="L1616" s="28"/>
      <c r="M1616" s="19"/>
      <c r="N1616" s="19"/>
      <c r="O1616" s="48"/>
    </row>
    <row r="1617" spans="9:15" x14ac:dyDescent="0.35">
      <c r="I1617" s="52"/>
      <c r="J1617" s="28"/>
      <c r="K1617" s="29"/>
      <c r="L1617" s="28"/>
      <c r="M1617" s="19"/>
      <c r="N1617" s="19"/>
      <c r="O1617" s="48"/>
    </row>
    <row r="1618" spans="9:15" x14ac:dyDescent="0.35">
      <c r="I1618" s="52"/>
      <c r="J1618" s="28"/>
      <c r="K1618" s="29"/>
      <c r="L1618" s="28"/>
      <c r="M1618" s="19"/>
      <c r="N1618" s="19"/>
      <c r="O1618" s="48"/>
    </row>
    <row r="1619" spans="9:15" x14ac:dyDescent="0.35">
      <c r="I1619" s="52"/>
      <c r="J1619" s="28"/>
      <c r="K1619" s="29"/>
      <c r="L1619" s="28"/>
      <c r="M1619" s="19"/>
      <c r="N1619" s="19"/>
      <c r="O1619" s="48"/>
    </row>
    <row r="1620" spans="9:15" x14ac:dyDescent="0.35">
      <c r="I1620" s="52"/>
      <c r="J1620" s="28"/>
      <c r="K1620" s="29"/>
      <c r="L1620" s="28"/>
      <c r="M1620" s="19"/>
      <c r="N1620" s="19"/>
      <c r="O1620" s="48"/>
    </row>
    <row r="1621" spans="9:15" x14ac:dyDescent="0.35">
      <c r="I1621" s="52"/>
      <c r="J1621" s="28"/>
      <c r="K1621" s="29"/>
      <c r="L1621" s="28"/>
      <c r="M1621" s="19"/>
      <c r="N1621" s="19"/>
      <c r="O1621" s="48"/>
    </row>
    <row r="1622" spans="9:15" x14ac:dyDescent="0.35">
      <c r="I1622" s="52"/>
      <c r="J1622" s="28"/>
      <c r="K1622" s="29"/>
      <c r="L1622" s="28"/>
      <c r="M1622" s="19"/>
      <c r="N1622" s="19"/>
      <c r="O1622" s="48"/>
    </row>
    <row r="1623" spans="9:15" x14ac:dyDescent="0.35">
      <c r="I1623" s="52"/>
      <c r="J1623" s="28"/>
      <c r="K1623" s="29"/>
      <c r="L1623" s="28"/>
      <c r="M1623" s="19"/>
      <c r="N1623" s="19"/>
      <c r="O1623" s="48"/>
    </row>
    <row r="1624" spans="9:15" x14ac:dyDescent="0.35">
      <c r="I1624" s="52"/>
      <c r="J1624" s="28"/>
      <c r="K1624" s="29"/>
      <c r="L1624" s="28"/>
      <c r="M1624" s="19"/>
      <c r="N1624" s="19"/>
      <c r="O1624" s="48"/>
    </row>
    <row r="1625" spans="9:15" x14ac:dyDescent="0.35">
      <c r="I1625" s="52"/>
      <c r="J1625" s="28"/>
      <c r="K1625" s="29"/>
      <c r="L1625" s="28"/>
      <c r="M1625" s="19"/>
      <c r="N1625" s="19"/>
      <c r="O1625" s="48"/>
    </row>
    <row r="1626" spans="9:15" x14ac:dyDescent="0.35">
      <c r="I1626" s="52"/>
      <c r="J1626" s="28"/>
      <c r="K1626" s="29"/>
      <c r="L1626" s="28"/>
      <c r="M1626" s="19"/>
      <c r="N1626" s="19"/>
      <c r="O1626" s="48"/>
    </row>
    <row r="1627" spans="9:15" x14ac:dyDescent="0.35">
      <c r="I1627" s="52"/>
      <c r="J1627" s="28"/>
      <c r="K1627" s="29"/>
      <c r="L1627" s="28"/>
      <c r="M1627" s="19"/>
      <c r="N1627" s="19"/>
      <c r="O1627" s="48"/>
    </row>
    <row r="1628" spans="9:15" x14ac:dyDescent="0.35">
      <c r="I1628" s="52"/>
      <c r="J1628" s="28"/>
      <c r="K1628" s="29"/>
      <c r="L1628" s="28"/>
      <c r="M1628" s="19"/>
      <c r="N1628" s="19"/>
      <c r="O1628" s="48"/>
    </row>
    <row r="1629" spans="9:15" x14ac:dyDescent="0.35">
      <c r="I1629" s="52"/>
      <c r="J1629" s="28"/>
      <c r="K1629" s="29"/>
      <c r="L1629" s="28"/>
      <c r="M1629" s="19"/>
      <c r="N1629" s="19"/>
      <c r="O1629" s="48"/>
    </row>
    <row r="1630" spans="9:15" x14ac:dyDescent="0.35">
      <c r="I1630" s="52"/>
      <c r="J1630" s="28"/>
      <c r="K1630" s="29"/>
      <c r="L1630" s="28"/>
      <c r="M1630" s="19"/>
      <c r="N1630" s="19"/>
      <c r="O1630" s="48"/>
    </row>
    <row r="1631" spans="9:15" x14ac:dyDescent="0.35">
      <c r="I1631" s="52"/>
      <c r="J1631" s="28"/>
      <c r="K1631" s="29"/>
      <c r="L1631" s="28"/>
      <c r="M1631" s="19"/>
      <c r="N1631" s="19"/>
      <c r="O1631" s="48"/>
    </row>
    <row r="1632" spans="9:15" x14ac:dyDescent="0.35">
      <c r="I1632" s="52"/>
      <c r="J1632" s="28"/>
      <c r="K1632" s="29"/>
      <c r="L1632" s="28"/>
      <c r="M1632" s="19"/>
      <c r="N1632" s="19"/>
      <c r="O1632" s="48"/>
    </row>
    <row r="1633" spans="9:15" x14ac:dyDescent="0.35">
      <c r="I1633" s="52"/>
      <c r="J1633" s="28"/>
      <c r="K1633" s="29"/>
      <c r="L1633" s="28"/>
      <c r="M1633" s="19"/>
      <c r="N1633" s="19"/>
      <c r="O1633" s="48"/>
    </row>
    <row r="1634" spans="9:15" x14ac:dyDescent="0.35">
      <c r="I1634" s="52"/>
      <c r="J1634" s="28"/>
      <c r="K1634" s="29"/>
      <c r="L1634" s="28"/>
      <c r="M1634" s="19"/>
      <c r="N1634" s="19"/>
      <c r="O1634" s="48"/>
    </row>
    <row r="1635" spans="9:15" x14ac:dyDescent="0.35">
      <c r="I1635" s="52"/>
      <c r="J1635" s="28"/>
      <c r="K1635" s="29"/>
      <c r="L1635" s="28"/>
      <c r="M1635" s="19"/>
      <c r="N1635" s="19"/>
      <c r="O1635" s="48"/>
    </row>
    <row r="1636" spans="9:15" x14ac:dyDescent="0.35">
      <c r="I1636" s="52"/>
      <c r="J1636" s="28"/>
      <c r="K1636" s="29"/>
      <c r="L1636" s="28"/>
      <c r="M1636" s="19"/>
      <c r="N1636" s="19"/>
      <c r="O1636" s="48"/>
    </row>
    <row r="1637" spans="9:15" x14ac:dyDescent="0.35">
      <c r="I1637" s="52"/>
      <c r="J1637" s="28"/>
      <c r="K1637" s="29"/>
      <c r="L1637" s="28"/>
      <c r="M1637" s="19"/>
      <c r="N1637" s="19"/>
      <c r="O1637" s="48"/>
    </row>
    <row r="1638" spans="9:15" x14ac:dyDescent="0.35">
      <c r="I1638" s="52"/>
      <c r="J1638" s="28"/>
      <c r="K1638" s="29"/>
      <c r="L1638" s="28"/>
      <c r="M1638" s="19"/>
      <c r="N1638" s="19"/>
      <c r="O1638" s="48"/>
    </row>
    <row r="1639" spans="9:15" x14ac:dyDescent="0.35">
      <c r="I1639" s="52"/>
      <c r="J1639" s="28"/>
      <c r="K1639" s="29"/>
      <c r="L1639" s="28"/>
      <c r="M1639" s="19"/>
      <c r="N1639" s="19"/>
      <c r="O1639" s="48"/>
    </row>
    <row r="1640" spans="9:15" x14ac:dyDescent="0.35">
      <c r="I1640" s="52"/>
      <c r="J1640" s="28"/>
      <c r="K1640" s="29"/>
      <c r="L1640" s="28"/>
      <c r="M1640" s="19"/>
      <c r="N1640" s="19"/>
      <c r="O1640" s="48"/>
    </row>
    <row r="1641" spans="9:15" x14ac:dyDescent="0.35">
      <c r="I1641" s="52"/>
      <c r="J1641" s="28"/>
      <c r="K1641" s="29"/>
      <c r="L1641" s="28"/>
      <c r="M1641" s="19"/>
      <c r="N1641" s="19"/>
      <c r="O1641" s="48"/>
    </row>
    <row r="1642" spans="9:15" x14ac:dyDescent="0.35">
      <c r="I1642" s="52"/>
      <c r="J1642" s="28"/>
      <c r="K1642" s="29"/>
      <c r="L1642" s="28"/>
      <c r="M1642" s="19"/>
      <c r="N1642" s="19"/>
      <c r="O1642" s="48"/>
    </row>
    <row r="1643" spans="9:15" x14ac:dyDescent="0.35">
      <c r="I1643" s="52"/>
      <c r="J1643" s="28"/>
      <c r="K1643" s="29"/>
      <c r="L1643" s="28"/>
      <c r="M1643" s="19"/>
      <c r="N1643" s="19"/>
      <c r="O1643" s="48"/>
    </row>
    <row r="1644" spans="9:15" x14ac:dyDescent="0.35">
      <c r="I1644" s="52"/>
      <c r="J1644" s="28"/>
      <c r="K1644" s="29"/>
      <c r="L1644" s="28"/>
      <c r="M1644" s="19"/>
      <c r="N1644" s="19"/>
      <c r="O1644" s="48"/>
    </row>
    <row r="1645" spans="9:15" x14ac:dyDescent="0.35">
      <c r="I1645" s="52"/>
      <c r="J1645" s="28"/>
      <c r="K1645" s="29"/>
      <c r="L1645" s="28"/>
      <c r="M1645" s="19"/>
      <c r="N1645" s="19"/>
      <c r="O1645" s="48"/>
    </row>
    <row r="1646" spans="9:15" x14ac:dyDescent="0.35">
      <c r="I1646" s="52"/>
      <c r="J1646" s="28"/>
      <c r="K1646" s="29"/>
      <c r="L1646" s="28"/>
      <c r="M1646" s="19"/>
      <c r="N1646" s="19"/>
      <c r="O1646" s="48"/>
    </row>
    <row r="1647" spans="9:15" x14ac:dyDescent="0.35">
      <c r="I1647" s="52"/>
      <c r="J1647" s="28"/>
      <c r="K1647" s="29"/>
      <c r="L1647" s="28"/>
      <c r="M1647" s="19"/>
      <c r="N1647" s="19"/>
      <c r="O1647" s="48"/>
    </row>
    <row r="1648" spans="9:15" x14ac:dyDescent="0.35">
      <c r="I1648" s="52"/>
      <c r="J1648" s="28"/>
      <c r="K1648" s="29"/>
      <c r="L1648" s="28"/>
      <c r="M1648" s="19"/>
      <c r="N1648" s="19"/>
      <c r="O1648" s="48"/>
    </row>
    <row r="1649" spans="9:15" x14ac:dyDescent="0.35">
      <c r="I1649" s="52"/>
      <c r="J1649" s="28"/>
      <c r="K1649" s="29"/>
      <c r="L1649" s="28"/>
      <c r="M1649" s="19"/>
      <c r="N1649" s="19"/>
      <c r="O1649" s="48"/>
    </row>
    <row r="1650" spans="9:15" x14ac:dyDescent="0.35">
      <c r="I1650" s="52"/>
      <c r="J1650" s="28"/>
      <c r="K1650" s="29"/>
      <c r="L1650" s="28"/>
      <c r="M1650" s="19"/>
      <c r="N1650" s="19"/>
      <c r="O1650" s="48"/>
    </row>
    <row r="1651" spans="9:15" x14ac:dyDescent="0.35">
      <c r="I1651" s="52"/>
      <c r="J1651" s="28"/>
      <c r="K1651" s="29"/>
      <c r="L1651" s="28"/>
      <c r="M1651" s="19"/>
      <c r="N1651" s="19"/>
      <c r="O1651" s="48"/>
    </row>
    <row r="1652" spans="9:15" x14ac:dyDescent="0.35">
      <c r="I1652" s="52"/>
      <c r="J1652" s="28"/>
      <c r="K1652" s="29"/>
      <c r="L1652" s="28"/>
      <c r="M1652" s="19"/>
      <c r="N1652" s="19"/>
      <c r="O1652" s="48"/>
    </row>
    <row r="1653" spans="9:15" x14ac:dyDescent="0.35">
      <c r="I1653" s="52"/>
      <c r="J1653" s="28"/>
      <c r="K1653" s="29"/>
      <c r="L1653" s="28"/>
      <c r="M1653" s="19"/>
      <c r="N1653" s="19"/>
      <c r="O1653" s="48"/>
    </row>
    <row r="1654" spans="9:15" x14ac:dyDescent="0.35">
      <c r="I1654" s="52"/>
      <c r="J1654" s="28"/>
      <c r="K1654" s="29"/>
      <c r="L1654" s="28"/>
      <c r="M1654" s="19"/>
      <c r="N1654" s="19"/>
      <c r="O1654" s="48"/>
    </row>
    <row r="1655" spans="9:15" x14ac:dyDescent="0.35">
      <c r="I1655" s="52"/>
      <c r="J1655" s="28"/>
      <c r="K1655" s="29"/>
      <c r="L1655" s="28"/>
      <c r="M1655" s="19"/>
      <c r="N1655" s="19"/>
      <c r="O1655" s="48"/>
    </row>
    <row r="1656" spans="9:15" x14ac:dyDescent="0.35">
      <c r="I1656" s="52"/>
      <c r="J1656" s="28"/>
      <c r="K1656" s="29"/>
      <c r="L1656" s="28"/>
      <c r="M1656" s="19"/>
      <c r="N1656" s="19"/>
      <c r="O1656" s="48"/>
    </row>
    <row r="1657" spans="9:15" x14ac:dyDescent="0.35">
      <c r="I1657" s="52"/>
      <c r="J1657" s="28"/>
      <c r="K1657" s="29"/>
      <c r="L1657" s="28"/>
      <c r="M1657" s="19"/>
      <c r="N1657" s="19"/>
      <c r="O1657" s="48"/>
    </row>
    <row r="1658" spans="9:15" x14ac:dyDescent="0.35">
      <c r="I1658" s="52"/>
      <c r="J1658" s="28"/>
      <c r="K1658" s="29"/>
      <c r="L1658" s="28"/>
      <c r="M1658" s="19"/>
      <c r="N1658" s="19"/>
      <c r="O1658" s="48"/>
    </row>
    <row r="1659" spans="9:15" x14ac:dyDescent="0.35">
      <c r="I1659" s="52"/>
      <c r="J1659" s="28"/>
      <c r="K1659" s="29"/>
      <c r="L1659" s="28"/>
      <c r="M1659" s="19"/>
      <c r="N1659" s="19"/>
      <c r="O1659" s="48"/>
    </row>
    <row r="1660" spans="9:15" x14ac:dyDescent="0.35">
      <c r="I1660" s="52"/>
      <c r="J1660" s="28"/>
      <c r="K1660" s="29"/>
      <c r="L1660" s="28"/>
      <c r="M1660" s="19"/>
      <c r="N1660" s="19"/>
      <c r="O1660" s="48"/>
    </row>
    <row r="1661" spans="9:15" x14ac:dyDescent="0.35">
      <c r="I1661" s="52"/>
      <c r="J1661" s="28"/>
      <c r="K1661" s="29"/>
      <c r="L1661" s="28"/>
      <c r="M1661" s="19"/>
      <c r="N1661" s="19"/>
      <c r="O1661" s="48"/>
    </row>
    <row r="1662" spans="9:15" x14ac:dyDescent="0.35">
      <c r="I1662" s="52"/>
      <c r="J1662" s="28"/>
      <c r="K1662" s="29"/>
      <c r="L1662" s="28"/>
      <c r="M1662" s="19"/>
      <c r="N1662" s="19"/>
      <c r="O1662" s="48"/>
    </row>
    <row r="1663" spans="9:15" x14ac:dyDescent="0.35">
      <c r="I1663" s="52"/>
      <c r="J1663" s="28"/>
      <c r="K1663" s="29"/>
      <c r="L1663" s="28"/>
      <c r="M1663" s="19"/>
      <c r="N1663" s="19"/>
      <c r="O1663" s="48"/>
    </row>
    <row r="1664" spans="9:15" x14ac:dyDescent="0.35">
      <c r="I1664" s="52"/>
      <c r="J1664" s="28"/>
      <c r="K1664" s="29"/>
      <c r="L1664" s="28"/>
      <c r="M1664" s="19"/>
      <c r="N1664" s="19"/>
      <c r="O1664" s="48"/>
    </row>
    <row r="1665" spans="9:15" x14ac:dyDescent="0.35">
      <c r="I1665" s="52"/>
      <c r="J1665" s="28"/>
      <c r="K1665" s="29"/>
      <c r="L1665" s="28"/>
      <c r="M1665" s="19"/>
      <c r="N1665" s="19"/>
      <c r="O1665" s="48"/>
    </row>
    <row r="1666" spans="9:15" x14ac:dyDescent="0.35">
      <c r="I1666" s="52"/>
      <c r="J1666" s="28"/>
      <c r="K1666" s="29"/>
      <c r="L1666" s="28"/>
      <c r="M1666" s="19"/>
      <c r="N1666" s="19"/>
      <c r="O1666" s="48"/>
    </row>
    <row r="1667" spans="9:15" x14ac:dyDescent="0.35">
      <c r="I1667" s="52"/>
      <c r="J1667" s="28"/>
      <c r="K1667" s="29"/>
      <c r="L1667" s="28"/>
      <c r="M1667" s="19"/>
      <c r="N1667" s="19"/>
      <c r="O1667" s="48"/>
    </row>
    <row r="1668" spans="9:15" x14ac:dyDescent="0.35">
      <c r="I1668" s="52"/>
      <c r="J1668" s="28"/>
      <c r="K1668" s="29"/>
      <c r="L1668" s="28"/>
      <c r="M1668" s="19"/>
      <c r="N1668" s="19"/>
      <c r="O1668" s="48"/>
    </row>
    <row r="1669" spans="9:15" x14ac:dyDescent="0.35">
      <c r="I1669" s="52"/>
      <c r="J1669" s="28"/>
      <c r="K1669" s="29"/>
      <c r="L1669" s="28"/>
      <c r="M1669" s="19"/>
      <c r="N1669" s="19"/>
      <c r="O1669" s="48"/>
    </row>
    <row r="1670" spans="9:15" x14ac:dyDescent="0.35">
      <c r="I1670" s="52"/>
      <c r="J1670" s="28"/>
      <c r="K1670" s="29"/>
      <c r="L1670" s="28"/>
      <c r="M1670" s="19"/>
      <c r="N1670" s="19"/>
      <c r="O1670" s="48"/>
    </row>
    <row r="1671" spans="9:15" x14ac:dyDescent="0.35">
      <c r="I1671" s="52"/>
      <c r="J1671" s="28"/>
      <c r="K1671" s="29"/>
      <c r="L1671" s="28"/>
      <c r="M1671" s="19"/>
      <c r="N1671" s="19"/>
      <c r="O1671" s="48"/>
    </row>
    <row r="1672" spans="9:15" x14ac:dyDescent="0.35">
      <c r="I1672" s="52"/>
      <c r="J1672" s="28"/>
      <c r="K1672" s="29"/>
      <c r="L1672" s="28"/>
      <c r="M1672" s="19"/>
      <c r="N1672" s="19"/>
      <c r="O1672" s="48"/>
    </row>
    <row r="1673" spans="9:15" x14ac:dyDescent="0.35">
      <c r="I1673" s="52"/>
      <c r="J1673" s="28"/>
      <c r="K1673" s="29"/>
      <c r="L1673" s="28"/>
      <c r="M1673" s="19"/>
      <c r="N1673" s="19"/>
      <c r="O1673" s="48"/>
    </row>
    <row r="1674" spans="9:15" x14ac:dyDescent="0.35">
      <c r="I1674" s="52"/>
      <c r="J1674" s="28"/>
      <c r="K1674" s="29"/>
      <c r="L1674" s="28"/>
      <c r="M1674" s="19"/>
      <c r="N1674" s="19"/>
      <c r="O1674" s="48"/>
    </row>
    <row r="1675" spans="9:15" x14ac:dyDescent="0.35">
      <c r="I1675" s="52"/>
      <c r="J1675" s="28"/>
      <c r="K1675" s="29"/>
      <c r="L1675" s="28"/>
      <c r="M1675" s="19"/>
      <c r="N1675" s="19"/>
      <c r="O1675" s="48"/>
    </row>
    <row r="1676" spans="9:15" x14ac:dyDescent="0.35">
      <c r="I1676" s="52"/>
      <c r="J1676" s="28"/>
      <c r="K1676" s="29"/>
      <c r="L1676" s="28"/>
      <c r="M1676" s="19"/>
      <c r="N1676" s="19"/>
      <c r="O1676" s="48"/>
    </row>
    <row r="1677" spans="9:15" x14ac:dyDescent="0.35">
      <c r="I1677" s="52"/>
      <c r="J1677" s="28"/>
      <c r="K1677" s="29"/>
      <c r="L1677" s="28"/>
      <c r="M1677" s="19"/>
      <c r="N1677" s="19"/>
      <c r="O1677" s="48"/>
    </row>
    <row r="1678" spans="9:15" x14ac:dyDescent="0.35">
      <c r="I1678" s="52"/>
      <c r="J1678" s="28"/>
      <c r="K1678" s="29"/>
      <c r="L1678" s="28"/>
      <c r="M1678" s="19"/>
      <c r="N1678" s="19"/>
      <c r="O1678" s="48"/>
    </row>
    <row r="1679" spans="9:15" x14ac:dyDescent="0.35">
      <c r="I1679" s="52"/>
      <c r="J1679" s="28"/>
      <c r="K1679" s="29"/>
      <c r="L1679" s="28"/>
      <c r="M1679" s="19"/>
      <c r="N1679" s="19"/>
      <c r="O1679" s="48"/>
    </row>
    <row r="1680" spans="9:15" x14ac:dyDescent="0.35">
      <c r="I1680" s="52"/>
      <c r="J1680" s="28"/>
      <c r="K1680" s="29"/>
      <c r="L1680" s="28"/>
      <c r="M1680" s="19"/>
      <c r="N1680" s="19"/>
      <c r="O1680" s="48"/>
    </row>
    <row r="1681" spans="9:15" x14ac:dyDescent="0.35">
      <c r="I1681" s="52"/>
      <c r="J1681" s="28"/>
      <c r="K1681" s="29"/>
      <c r="L1681" s="28"/>
      <c r="M1681" s="19"/>
      <c r="N1681" s="19"/>
      <c r="O1681" s="48"/>
    </row>
    <row r="1682" spans="9:15" x14ac:dyDescent="0.35">
      <c r="I1682" s="52"/>
      <c r="J1682" s="28"/>
      <c r="K1682" s="29"/>
      <c r="L1682" s="28"/>
      <c r="M1682" s="19"/>
      <c r="N1682" s="19"/>
      <c r="O1682" s="48"/>
    </row>
    <row r="1683" spans="9:15" x14ac:dyDescent="0.35">
      <c r="I1683" s="52"/>
      <c r="J1683" s="28"/>
      <c r="K1683" s="29"/>
      <c r="L1683" s="28"/>
      <c r="M1683" s="19"/>
      <c r="N1683" s="19"/>
      <c r="O1683" s="48"/>
    </row>
    <row r="1684" spans="9:15" x14ac:dyDescent="0.35">
      <c r="I1684" s="52"/>
      <c r="J1684" s="28"/>
      <c r="K1684" s="29"/>
      <c r="L1684" s="28"/>
      <c r="M1684" s="19"/>
      <c r="N1684" s="19"/>
      <c r="O1684" s="48"/>
    </row>
    <row r="1685" spans="9:15" x14ac:dyDescent="0.35">
      <c r="I1685" s="52"/>
      <c r="J1685" s="28"/>
      <c r="K1685" s="29"/>
      <c r="L1685" s="28"/>
      <c r="M1685" s="19"/>
      <c r="N1685" s="19"/>
      <c r="O1685" s="48"/>
    </row>
    <row r="1686" spans="9:15" x14ac:dyDescent="0.35">
      <c r="I1686" s="52"/>
      <c r="J1686" s="28"/>
      <c r="K1686" s="29"/>
      <c r="L1686" s="28"/>
      <c r="M1686" s="19"/>
      <c r="N1686" s="19"/>
      <c r="O1686" s="48"/>
    </row>
    <row r="1687" spans="9:15" x14ac:dyDescent="0.35">
      <c r="I1687" s="52"/>
      <c r="J1687" s="28"/>
      <c r="K1687" s="29"/>
      <c r="L1687" s="28"/>
      <c r="M1687" s="19"/>
      <c r="N1687" s="19"/>
      <c r="O1687" s="48"/>
    </row>
    <row r="1688" spans="9:15" x14ac:dyDescent="0.35">
      <c r="I1688" s="52"/>
      <c r="J1688" s="28"/>
      <c r="K1688" s="29"/>
      <c r="L1688" s="28"/>
      <c r="M1688" s="19"/>
      <c r="N1688" s="19"/>
      <c r="O1688" s="48"/>
    </row>
    <row r="1689" spans="9:15" x14ac:dyDescent="0.35">
      <c r="I1689" s="52"/>
      <c r="J1689" s="28"/>
      <c r="K1689" s="29"/>
      <c r="L1689" s="28"/>
      <c r="M1689" s="19"/>
      <c r="N1689" s="19"/>
      <c r="O1689" s="48"/>
    </row>
    <row r="1690" spans="9:15" x14ac:dyDescent="0.35">
      <c r="I1690" s="52"/>
      <c r="J1690" s="28"/>
      <c r="K1690" s="29"/>
      <c r="L1690" s="28"/>
      <c r="M1690" s="19"/>
      <c r="N1690" s="19"/>
      <c r="O1690" s="48"/>
    </row>
    <row r="1691" spans="9:15" x14ac:dyDescent="0.35">
      <c r="I1691" s="52"/>
      <c r="J1691" s="28"/>
      <c r="K1691" s="29"/>
      <c r="L1691" s="28"/>
      <c r="M1691" s="19"/>
      <c r="N1691" s="19"/>
      <c r="O1691" s="48"/>
    </row>
    <row r="1692" spans="9:15" x14ac:dyDescent="0.35">
      <c r="I1692" s="52"/>
      <c r="J1692" s="28"/>
      <c r="K1692" s="29"/>
      <c r="L1692" s="28"/>
      <c r="M1692" s="19"/>
      <c r="N1692" s="19"/>
      <c r="O1692" s="48"/>
    </row>
    <row r="1693" spans="9:15" x14ac:dyDescent="0.35">
      <c r="I1693" s="52"/>
      <c r="J1693" s="28"/>
      <c r="K1693" s="29"/>
      <c r="L1693" s="28"/>
      <c r="M1693" s="19"/>
      <c r="N1693" s="19"/>
      <c r="O1693" s="48"/>
    </row>
    <row r="1694" spans="9:15" x14ac:dyDescent="0.35">
      <c r="I1694" s="52"/>
      <c r="J1694" s="28"/>
      <c r="K1694" s="29"/>
      <c r="L1694" s="28"/>
      <c r="M1694" s="19"/>
      <c r="N1694" s="19"/>
      <c r="O1694" s="48"/>
    </row>
    <row r="1695" spans="9:15" x14ac:dyDescent="0.35">
      <c r="I1695" s="52"/>
      <c r="J1695" s="28"/>
      <c r="K1695" s="29"/>
      <c r="L1695" s="28"/>
      <c r="M1695" s="19"/>
      <c r="N1695" s="19"/>
      <c r="O1695" s="48"/>
    </row>
    <row r="1696" spans="9:15" x14ac:dyDescent="0.35">
      <c r="I1696" s="52"/>
      <c r="J1696" s="28"/>
      <c r="K1696" s="29"/>
      <c r="L1696" s="28"/>
      <c r="M1696" s="19"/>
      <c r="N1696" s="19"/>
      <c r="O1696" s="48"/>
    </row>
    <row r="1697" spans="9:15" x14ac:dyDescent="0.35">
      <c r="I1697" s="52"/>
      <c r="J1697" s="28"/>
      <c r="K1697" s="29"/>
      <c r="L1697" s="28"/>
      <c r="M1697" s="19"/>
      <c r="N1697" s="19"/>
      <c r="O1697" s="48"/>
    </row>
    <row r="1698" spans="9:15" x14ac:dyDescent="0.35">
      <c r="I1698" s="52"/>
      <c r="J1698" s="28"/>
      <c r="K1698" s="29"/>
      <c r="L1698" s="28"/>
      <c r="M1698" s="19"/>
      <c r="N1698" s="19"/>
      <c r="O1698" s="48"/>
    </row>
    <row r="1699" spans="9:15" x14ac:dyDescent="0.35">
      <c r="I1699" s="52"/>
      <c r="J1699" s="28"/>
      <c r="K1699" s="29"/>
      <c r="L1699" s="28"/>
      <c r="M1699" s="19"/>
      <c r="N1699" s="19"/>
      <c r="O1699" s="48"/>
    </row>
    <row r="1700" spans="9:15" x14ac:dyDescent="0.35">
      <c r="I1700" s="52"/>
      <c r="J1700" s="28"/>
      <c r="K1700" s="29"/>
      <c r="L1700" s="28"/>
      <c r="M1700" s="19"/>
      <c r="N1700" s="19"/>
      <c r="O1700" s="48"/>
    </row>
    <row r="1701" spans="9:15" x14ac:dyDescent="0.35">
      <c r="I1701" s="52"/>
      <c r="J1701" s="28"/>
      <c r="K1701" s="29"/>
      <c r="L1701" s="28"/>
      <c r="M1701" s="19"/>
      <c r="N1701" s="19"/>
      <c r="O1701" s="48"/>
    </row>
    <row r="1702" spans="9:15" x14ac:dyDescent="0.35">
      <c r="I1702" s="52"/>
      <c r="J1702" s="28"/>
      <c r="K1702" s="29"/>
      <c r="L1702" s="28"/>
      <c r="M1702" s="19"/>
      <c r="N1702" s="19"/>
      <c r="O1702" s="48"/>
    </row>
    <row r="1703" spans="9:15" x14ac:dyDescent="0.35">
      <c r="I1703" s="52"/>
      <c r="J1703" s="28"/>
      <c r="K1703" s="29"/>
      <c r="L1703" s="28"/>
      <c r="M1703" s="19"/>
      <c r="N1703" s="19"/>
      <c r="O1703" s="48"/>
    </row>
    <row r="1704" spans="9:15" x14ac:dyDescent="0.35">
      <c r="I1704" s="52"/>
      <c r="J1704" s="28"/>
      <c r="K1704" s="29"/>
      <c r="L1704" s="28"/>
      <c r="M1704" s="19"/>
      <c r="N1704" s="19"/>
      <c r="O1704" s="48"/>
    </row>
    <row r="1705" spans="9:15" x14ac:dyDescent="0.35">
      <c r="I1705" s="52"/>
      <c r="J1705" s="28"/>
      <c r="K1705" s="29"/>
      <c r="L1705" s="28"/>
      <c r="M1705" s="19"/>
      <c r="N1705" s="19"/>
      <c r="O1705" s="48"/>
    </row>
    <row r="1706" spans="9:15" x14ac:dyDescent="0.35">
      <c r="I1706" s="52"/>
      <c r="J1706" s="28"/>
      <c r="K1706" s="29"/>
      <c r="L1706" s="28"/>
      <c r="M1706" s="19"/>
      <c r="N1706" s="19"/>
      <c r="O1706" s="48"/>
    </row>
    <row r="1707" spans="9:15" x14ac:dyDescent="0.35">
      <c r="I1707" s="52"/>
      <c r="J1707" s="28"/>
      <c r="K1707" s="29"/>
      <c r="L1707" s="28"/>
      <c r="M1707" s="19"/>
      <c r="N1707" s="19"/>
      <c r="O1707" s="48"/>
    </row>
    <row r="1708" spans="9:15" x14ac:dyDescent="0.35">
      <c r="I1708" s="52"/>
      <c r="J1708" s="28"/>
      <c r="K1708" s="29"/>
      <c r="L1708" s="28"/>
      <c r="M1708" s="19"/>
      <c r="N1708" s="19"/>
      <c r="O1708" s="48"/>
    </row>
    <row r="1709" spans="9:15" x14ac:dyDescent="0.35">
      <c r="I1709" s="52"/>
      <c r="J1709" s="28"/>
      <c r="K1709" s="29"/>
      <c r="L1709" s="28"/>
      <c r="M1709" s="19"/>
      <c r="N1709" s="19"/>
      <c r="O1709" s="48"/>
    </row>
    <row r="1710" spans="9:15" x14ac:dyDescent="0.35">
      <c r="I1710" s="52"/>
      <c r="J1710" s="28"/>
      <c r="K1710" s="29"/>
      <c r="L1710" s="28"/>
      <c r="M1710" s="19"/>
      <c r="N1710" s="19"/>
      <c r="O1710" s="48"/>
    </row>
    <row r="1711" spans="9:15" x14ac:dyDescent="0.35">
      <c r="I1711" s="52"/>
      <c r="J1711" s="28"/>
      <c r="K1711" s="29"/>
      <c r="L1711" s="28"/>
      <c r="M1711" s="19"/>
      <c r="N1711" s="19"/>
      <c r="O1711" s="48"/>
    </row>
    <row r="1712" spans="9:15" x14ac:dyDescent="0.35">
      <c r="I1712" s="52"/>
      <c r="J1712" s="28"/>
      <c r="K1712" s="29"/>
      <c r="L1712" s="28"/>
      <c r="M1712" s="19"/>
      <c r="N1712" s="19"/>
      <c r="O1712" s="48"/>
    </row>
    <row r="1713" spans="9:15" x14ac:dyDescent="0.35">
      <c r="I1713" s="52"/>
      <c r="J1713" s="28"/>
      <c r="K1713" s="29"/>
      <c r="L1713" s="28"/>
      <c r="M1713" s="19"/>
      <c r="N1713" s="19"/>
      <c r="O1713" s="48"/>
    </row>
    <row r="1714" spans="9:15" x14ac:dyDescent="0.35">
      <c r="I1714" s="52"/>
      <c r="J1714" s="28"/>
      <c r="K1714" s="29"/>
      <c r="L1714" s="28"/>
      <c r="M1714" s="19"/>
      <c r="N1714" s="19"/>
      <c r="O1714" s="48"/>
    </row>
    <row r="1715" spans="9:15" x14ac:dyDescent="0.35">
      <c r="I1715" s="52"/>
      <c r="J1715" s="28"/>
      <c r="K1715" s="29"/>
      <c r="L1715" s="28"/>
      <c r="M1715" s="19"/>
      <c r="N1715" s="19"/>
      <c r="O1715" s="48"/>
    </row>
    <row r="1716" spans="9:15" x14ac:dyDescent="0.35">
      <c r="I1716" s="52"/>
      <c r="J1716" s="28"/>
      <c r="K1716" s="29"/>
      <c r="L1716" s="28"/>
      <c r="M1716" s="19"/>
      <c r="N1716" s="19"/>
      <c r="O1716" s="48"/>
    </row>
    <row r="1717" spans="9:15" x14ac:dyDescent="0.35">
      <c r="I1717" s="52"/>
      <c r="J1717" s="28"/>
      <c r="K1717" s="29"/>
      <c r="L1717" s="28"/>
      <c r="M1717" s="19"/>
      <c r="N1717" s="19"/>
      <c r="O1717" s="48"/>
    </row>
    <row r="1718" spans="9:15" x14ac:dyDescent="0.35">
      <c r="I1718" s="52"/>
      <c r="J1718" s="28"/>
      <c r="K1718" s="29"/>
      <c r="L1718" s="28"/>
      <c r="M1718" s="19"/>
      <c r="N1718" s="19"/>
      <c r="O1718" s="48"/>
    </row>
    <row r="1719" spans="9:15" x14ac:dyDescent="0.35">
      <c r="I1719" s="52"/>
      <c r="J1719" s="28"/>
      <c r="K1719" s="29"/>
      <c r="L1719" s="28"/>
      <c r="M1719" s="19"/>
      <c r="N1719" s="19"/>
      <c r="O1719" s="48"/>
    </row>
    <row r="1720" spans="9:15" x14ac:dyDescent="0.35">
      <c r="I1720" s="52"/>
      <c r="J1720" s="28"/>
      <c r="K1720" s="29"/>
      <c r="L1720" s="28"/>
      <c r="M1720" s="19"/>
      <c r="N1720" s="19"/>
      <c r="O1720" s="48"/>
    </row>
    <row r="1721" spans="9:15" x14ac:dyDescent="0.35">
      <c r="I1721" s="52"/>
      <c r="J1721" s="28"/>
      <c r="K1721" s="29"/>
      <c r="L1721" s="28"/>
      <c r="M1721" s="19"/>
      <c r="N1721" s="19"/>
      <c r="O1721" s="48"/>
    </row>
    <row r="1722" spans="9:15" x14ac:dyDescent="0.35">
      <c r="I1722" s="52"/>
      <c r="J1722" s="28"/>
      <c r="K1722" s="29"/>
      <c r="L1722" s="28"/>
      <c r="M1722" s="19"/>
      <c r="N1722" s="19"/>
      <c r="O1722" s="48"/>
    </row>
    <row r="1723" spans="9:15" x14ac:dyDescent="0.35">
      <c r="I1723" s="52"/>
      <c r="J1723" s="28"/>
      <c r="K1723" s="29"/>
      <c r="L1723" s="28"/>
      <c r="M1723" s="19"/>
      <c r="N1723" s="19"/>
      <c r="O1723" s="48"/>
    </row>
    <row r="1724" spans="9:15" x14ac:dyDescent="0.35">
      <c r="I1724" s="52"/>
      <c r="J1724" s="28"/>
      <c r="K1724" s="29"/>
      <c r="L1724" s="28"/>
      <c r="M1724" s="19"/>
      <c r="N1724" s="19"/>
      <c r="O1724" s="48"/>
    </row>
    <row r="1725" spans="9:15" x14ac:dyDescent="0.35">
      <c r="I1725" s="52"/>
      <c r="J1725" s="28"/>
      <c r="K1725" s="29"/>
      <c r="L1725" s="28"/>
      <c r="M1725" s="19"/>
      <c r="N1725" s="19"/>
      <c r="O1725" s="48"/>
    </row>
    <row r="1726" spans="9:15" x14ac:dyDescent="0.35">
      <c r="I1726" s="52"/>
      <c r="J1726" s="28"/>
      <c r="K1726" s="29"/>
      <c r="L1726" s="28"/>
      <c r="M1726" s="19"/>
      <c r="N1726" s="19"/>
      <c r="O1726" s="48"/>
    </row>
    <row r="1727" spans="9:15" x14ac:dyDescent="0.35">
      <c r="I1727" s="52"/>
      <c r="J1727" s="28"/>
      <c r="K1727" s="29"/>
      <c r="L1727" s="28"/>
      <c r="M1727" s="19"/>
      <c r="N1727" s="19"/>
      <c r="O1727" s="48"/>
    </row>
    <row r="1728" spans="9:15" x14ac:dyDescent="0.35">
      <c r="I1728" s="52"/>
      <c r="J1728" s="28"/>
      <c r="K1728" s="29"/>
      <c r="L1728" s="28"/>
      <c r="M1728" s="19"/>
      <c r="N1728" s="19"/>
      <c r="O1728" s="48"/>
    </row>
    <row r="1729" spans="9:15" x14ac:dyDescent="0.35">
      <c r="I1729" s="52"/>
      <c r="J1729" s="28"/>
      <c r="K1729" s="29"/>
      <c r="L1729" s="28"/>
      <c r="M1729" s="19"/>
      <c r="N1729" s="19"/>
      <c r="O1729" s="48"/>
    </row>
    <row r="1730" spans="9:15" x14ac:dyDescent="0.35">
      <c r="I1730" s="52"/>
      <c r="J1730" s="28"/>
      <c r="K1730" s="29"/>
      <c r="L1730" s="28"/>
      <c r="M1730" s="19"/>
      <c r="N1730" s="19"/>
      <c r="O1730" s="48"/>
    </row>
    <row r="1731" spans="9:15" x14ac:dyDescent="0.35">
      <c r="I1731" s="52"/>
      <c r="J1731" s="28"/>
      <c r="K1731" s="29"/>
      <c r="L1731" s="28"/>
      <c r="M1731" s="19"/>
      <c r="N1731" s="19"/>
      <c r="O1731" s="48"/>
    </row>
    <row r="1732" spans="9:15" x14ac:dyDescent="0.35">
      <c r="I1732" s="52"/>
      <c r="J1732" s="28"/>
      <c r="K1732" s="29"/>
      <c r="L1732" s="28"/>
      <c r="M1732" s="19"/>
      <c r="N1732" s="19"/>
      <c r="O1732" s="48"/>
    </row>
    <row r="1733" spans="9:15" x14ac:dyDescent="0.35">
      <c r="I1733" s="52"/>
      <c r="J1733" s="28"/>
      <c r="K1733" s="29"/>
      <c r="L1733" s="28"/>
      <c r="M1733" s="19"/>
      <c r="N1733" s="19"/>
      <c r="O1733" s="48"/>
    </row>
    <row r="1734" spans="9:15" x14ac:dyDescent="0.35">
      <c r="I1734" s="52"/>
      <c r="J1734" s="28"/>
      <c r="K1734" s="29"/>
      <c r="L1734" s="28"/>
      <c r="M1734" s="19"/>
      <c r="N1734" s="19"/>
      <c r="O1734" s="48"/>
    </row>
    <row r="1735" spans="9:15" x14ac:dyDescent="0.35">
      <c r="I1735" s="52"/>
      <c r="J1735" s="28"/>
      <c r="K1735" s="29"/>
      <c r="L1735" s="28"/>
      <c r="M1735" s="19"/>
      <c r="N1735" s="19"/>
      <c r="O1735" s="48"/>
    </row>
    <row r="1736" spans="9:15" x14ac:dyDescent="0.35">
      <c r="I1736" s="52"/>
      <c r="J1736" s="28"/>
      <c r="K1736" s="29"/>
      <c r="L1736" s="28"/>
      <c r="M1736" s="19"/>
      <c r="N1736" s="19"/>
      <c r="O1736" s="48"/>
    </row>
    <row r="1737" spans="9:15" x14ac:dyDescent="0.35">
      <c r="I1737" s="52"/>
      <c r="J1737" s="28"/>
      <c r="K1737" s="29"/>
      <c r="L1737" s="28"/>
      <c r="M1737" s="19"/>
      <c r="N1737" s="19"/>
      <c r="O1737" s="48"/>
    </row>
    <row r="1738" spans="9:15" x14ac:dyDescent="0.35">
      <c r="I1738" s="52"/>
      <c r="J1738" s="28"/>
      <c r="K1738" s="29"/>
      <c r="L1738" s="28"/>
      <c r="M1738" s="19"/>
      <c r="N1738" s="19"/>
      <c r="O1738" s="48"/>
    </row>
    <row r="1739" spans="9:15" x14ac:dyDescent="0.35">
      <c r="I1739" s="52"/>
      <c r="J1739" s="28"/>
      <c r="K1739" s="29"/>
      <c r="L1739" s="28"/>
      <c r="M1739" s="19"/>
      <c r="N1739" s="19"/>
      <c r="O1739" s="48"/>
    </row>
    <row r="1740" spans="9:15" x14ac:dyDescent="0.35">
      <c r="I1740" s="52"/>
      <c r="J1740" s="28"/>
      <c r="K1740" s="29"/>
      <c r="L1740" s="28"/>
      <c r="M1740" s="19"/>
      <c r="N1740" s="19"/>
      <c r="O1740" s="48"/>
    </row>
    <row r="1741" spans="9:15" x14ac:dyDescent="0.35">
      <c r="I1741" s="52"/>
      <c r="J1741" s="28"/>
      <c r="K1741" s="29"/>
      <c r="L1741" s="28"/>
      <c r="M1741" s="19"/>
      <c r="N1741" s="19"/>
      <c r="O1741" s="48"/>
    </row>
    <row r="1742" spans="9:15" x14ac:dyDescent="0.35">
      <c r="I1742" s="52"/>
      <c r="J1742" s="28"/>
      <c r="K1742" s="29"/>
      <c r="L1742" s="28"/>
      <c r="M1742" s="19"/>
      <c r="N1742" s="19"/>
      <c r="O1742" s="48"/>
    </row>
    <row r="1743" spans="9:15" x14ac:dyDescent="0.35">
      <c r="I1743" s="52"/>
      <c r="J1743" s="28"/>
      <c r="K1743" s="29"/>
      <c r="L1743" s="28"/>
      <c r="M1743" s="19"/>
      <c r="N1743" s="19"/>
      <c r="O1743" s="48"/>
    </row>
    <row r="1744" spans="9:15" x14ac:dyDescent="0.35">
      <c r="I1744" s="52"/>
      <c r="J1744" s="28"/>
      <c r="K1744" s="29"/>
      <c r="L1744" s="28"/>
      <c r="M1744" s="19"/>
      <c r="N1744" s="19"/>
      <c r="O1744" s="48"/>
    </row>
    <row r="1745" spans="9:15" x14ac:dyDescent="0.35">
      <c r="I1745" s="52"/>
      <c r="J1745" s="28"/>
      <c r="K1745" s="29"/>
      <c r="L1745" s="28"/>
      <c r="M1745" s="19"/>
      <c r="N1745" s="19"/>
      <c r="O1745" s="48"/>
    </row>
    <row r="1746" spans="9:15" x14ac:dyDescent="0.35">
      <c r="I1746" s="52"/>
      <c r="J1746" s="28"/>
      <c r="K1746" s="29"/>
      <c r="L1746" s="28"/>
      <c r="M1746" s="19"/>
      <c r="N1746" s="19"/>
      <c r="O1746" s="48"/>
    </row>
    <row r="1747" spans="9:15" x14ac:dyDescent="0.35">
      <c r="I1747" s="52"/>
      <c r="J1747" s="28"/>
      <c r="K1747" s="29"/>
      <c r="L1747" s="28"/>
      <c r="M1747" s="19"/>
      <c r="N1747" s="19"/>
      <c r="O1747" s="48"/>
    </row>
    <row r="1748" spans="9:15" x14ac:dyDescent="0.35">
      <c r="I1748" s="52"/>
      <c r="J1748" s="28"/>
      <c r="K1748" s="29"/>
      <c r="L1748" s="28"/>
      <c r="M1748" s="19"/>
      <c r="N1748" s="19"/>
      <c r="O1748" s="48"/>
    </row>
    <row r="1749" spans="9:15" x14ac:dyDescent="0.35">
      <c r="I1749" s="52"/>
      <c r="J1749" s="28"/>
      <c r="K1749" s="29"/>
      <c r="L1749" s="28"/>
      <c r="M1749" s="19"/>
      <c r="N1749" s="19"/>
      <c r="O1749" s="48"/>
    </row>
    <row r="1750" spans="9:15" x14ac:dyDescent="0.35">
      <c r="I1750" s="52"/>
      <c r="J1750" s="28"/>
      <c r="K1750" s="29"/>
      <c r="L1750" s="28"/>
      <c r="M1750" s="19"/>
      <c r="N1750" s="19"/>
      <c r="O1750" s="48"/>
    </row>
    <row r="1751" spans="9:15" x14ac:dyDescent="0.35">
      <c r="I1751" s="52"/>
      <c r="J1751" s="28"/>
      <c r="K1751" s="29"/>
      <c r="L1751" s="28"/>
      <c r="M1751" s="19"/>
      <c r="N1751" s="19"/>
      <c r="O1751" s="48"/>
    </row>
    <row r="1752" spans="9:15" x14ac:dyDescent="0.35">
      <c r="I1752" s="52"/>
      <c r="J1752" s="28"/>
      <c r="K1752" s="29"/>
      <c r="L1752" s="28"/>
      <c r="M1752" s="19"/>
      <c r="N1752" s="19"/>
      <c r="O1752" s="48"/>
    </row>
    <row r="1753" spans="9:15" x14ac:dyDescent="0.35">
      <c r="I1753" s="52"/>
      <c r="J1753" s="28"/>
      <c r="K1753" s="29"/>
      <c r="L1753" s="28"/>
      <c r="M1753" s="19"/>
      <c r="N1753" s="19"/>
      <c r="O1753" s="48"/>
    </row>
    <row r="1754" spans="9:15" x14ac:dyDescent="0.35">
      <c r="I1754" s="52"/>
      <c r="J1754" s="28"/>
      <c r="K1754" s="29"/>
      <c r="L1754" s="28"/>
      <c r="M1754" s="19"/>
      <c r="N1754" s="19"/>
      <c r="O1754" s="48"/>
    </row>
    <row r="1755" spans="9:15" x14ac:dyDescent="0.35">
      <c r="I1755" s="52"/>
      <c r="J1755" s="28"/>
      <c r="K1755" s="29"/>
      <c r="L1755" s="28"/>
      <c r="M1755" s="19"/>
      <c r="N1755" s="19"/>
      <c r="O1755" s="48"/>
    </row>
    <row r="1756" spans="9:15" x14ac:dyDescent="0.35">
      <c r="I1756" s="52"/>
      <c r="J1756" s="28"/>
      <c r="K1756" s="29"/>
      <c r="L1756" s="28"/>
      <c r="M1756" s="19"/>
      <c r="N1756" s="19"/>
      <c r="O1756" s="48"/>
    </row>
    <row r="1757" spans="9:15" x14ac:dyDescent="0.35">
      <c r="I1757" s="52"/>
      <c r="J1757" s="28"/>
      <c r="K1757" s="29"/>
      <c r="L1757" s="28"/>
      <c r="M1757" s="19"/>
      <c r="N1757" s="19"/>
      <c r="O1757" s="48"/>
    </row>
    <row r="1758" spans="9:15" x14ac:dyDescent="0.35">
      <c r="I1758" s="52"/>
      <c r="J1758" s="28"/>
      <c r="K1758" s="29"/>
      <c r="L1758" s="28"/>
      <c r="M1758" s="19"/>
      <c r="N1758" s="19"/>
      <c r="O1758" s="48"/>
    </row>
    <row r="1759" spans="9:15" x14ac:dyDescent="0.35">
      <c r="I1759" s="52"/>
      <c r="J1759" s="28"/>
      <c r="K1759" s="29"/>
      <c r="L1759" s="28"/>
      <c r="M1759" s="19"/>
      <c r="N1759" s="19"/>
      <c r="O1759" s="48"/>
    </row>
    <row r="1760" spans="9:15" x14ac:dyDescent="0.35">
      <c r="I1760" s="52"/>
      <c r="J1760" s="28"/>
      <c r="K1760" s="29"/>
      <c r="L1760" s="28"/>
      <c r="M1760" s="19"/>
      <c r="N1760" s="19"/>
      <c r="O1760" s="48"/>
    </row>
    <row r="1761" spans="9:15" x14ac:dyDescent="0.35">
      <c r="I1761" s="52"/>
      <c r="J1761" s="28"/>
      <c r="K1761" s="29"/>
      <c r="L1761" s="28"/>
      <c r="M1761" s="19"/>
      <c r="N1761" s="19"/>
      <c r="O1761" s="48"/>
    </row>
    <row r="1762" spans="9:15" x14ac:dyDescent="0.35">
      <c r="I1762" s="52"/>
      <c r="J1762" s="28"/>
      <c r="K1762" s="29"/>
      <c r="L1762" s="28"/>
      <c r="M1762" s="19"/>
      <c r="N1762" s="19"/>
      <c r="O1762" s="48"/>
    </row>
    <row r="1763" spans="9:15" x14ac:dyDescent="0.35">
      <c r="I1763" s="52"/>
      <c r="J1763" s="28"/>
      <c r="K1763" s="29"/>
      <c r="L1763" s="28"/>
      <c r="M1763" s="19"/>
      <c r="N1763" s="19"/>
      <c r="O1763" s="48"/>
    </row>
    <row r="1764" spans="9:15" x14ac:dyDescent="0.35">
      <c r="I1764" s="52"/>
      <c r="J1764" s="28"/>
      <c r="K1764" s="29"/>
      <c r="L1764" s="28"/>
      <c r="M1764" s="19"/>
      <c r="N1764" s="19"/>
      <c r="O1764" s="48"/>
    </row>
    <row r="1765" spans="9:15" x14ac:dyDescent="0.35">
      <c r="I1765" s="52"/>
      <c r="J1765" s="28"/>
      <c r="K1765" s="29"/>
      <c r="L1765" s="28"/>
      <c r="M1765" s="19"/>
      <c r="N1765" s="19"/>
      <c r="O1765" s="48"/>
    </row>
    <row r="1766" spans="9:15" x14ac:dyDescent="0.35">
      <c r="I1766" s="52"/>
      <c r="J1766" s="28"/>
      <c r="K1766" s="29"/>
      <c r="L1766" s="28"/>
      <c r="M1766" s="19"/>
      <c r="N1766" s="19"/>
      <c r="O1766" s="48"/>
    </row>
    <row r="1767" spans="9:15" x14ac:dyDescent="0.35">
      <c r="I1767" s="52"/>
      <c r="J1767" s="28"/>
      <c r="K1767" s="29"/>
      <c r="L1767" s="28"/>
      <c r="M1767" s="19"/>
      <c r="N1767" s="19"/>
      <c r="O1767" s="48"/>
    </row>
    <row r="1768" spans="9:15" x14ac:dyDescent="0.35">
      <c r="I1768" s="52"/>
      <c r="J1768" s="28"/>
      <c r="K1768" s="29"/>
      <c r="L1768" s="28"/>
      <c r="M1768" s="19"/>
      <c r="N1768" s="19"/>
      <c r="O1768" s="48"/>
    </row>
    <row r="1769" spans="9:15" x14ac:dyDescent="0.35">
      <c r="I1769" s="52"/>
      <c r="J1769" s="28"/>
      <c r="K1769" s="29"/>
      <c r="L1769" s="28"/>
      <c r="M1769" s="19"/>
      <c r="N1769" s="19"/>
      <c r="O1769" s="48"/>
    </row>
    <row r="1770" spans="9:15" x14ac:dyDescent="0.35">
      <c r="I1770" s="52"/>
      <c r="J1770" s="28"/>
      <c r="K1770" s="29"/>
      <c r="L1770" s="28"/>
      <c r="M1770" s="19"/>
      <c r="N1770" s="19"/>
      <c r="O1770" s="48"/>
    </row>
    <row r="1771" spans="9:15" x14ac:dyDescent="0.35">
      <c r="I1771" s="52"/>
      <c r="J1771" s="28"/>
      <c r="K1771" s="29"/>
      <c r="L1771" s="28"/>
      <c r="M1771" s="19"/>
      <c r="N1771" s="19"/>
      <c r="O1771" s="48"/>
    </row>
    <row r="1772" spans="9:15" x14ac:dyDescent="0.35">
      <c r="I1772" s="52"/>
      <c r="J1772" s="28"/>
      <c r="K1772" s="29"/>
      <c r="L1772" s="28"/>
      <c r="M1772" s="19"/>
      <c r="N1772" s="19"/>
      <c r="O1772" s="48"/>
    </row>
    <row r="1773" spans="9:15" x14ac:dyDescent="0.35">
      <c r="I1773" s="52"/>
      <c r="J1773" s="28"/>
      <c r="K1773" s="29"/>
      <c r="L1773" s="28"/>
      <c r="M1773" s="19"/>
      <c r="N1773" s="19"/>
      <c r="O1773" s="48"/>
    </row>
    <row r="1774" spans="9:15" x14ac:dyDescent="0.35">
      <c r="I1774" s="52"/>
      <c r="J1774" s="28"/>
      <c r="K1774" s="29"/>
      <c r="L1774" s="28"/>
      <c r="M1774" s="19"/>
      <c r="N1774" s="19"/>
      <c r="O1774" s="48"/>
    </row>
    <row r="1775" spans="9:15" x14ac:dyDescent="0.35">
      <c r="I1775" s="52"/>
      <c r="J1775" s="28"/>
      <c r="K1775" s="29"/>
      <c r="L1775" s="28"/>
      <c r="M1775" s="19"/>
      <c r="N1775" s="19"/>
      <c r="O1775" s="48"/>
    </row>
    <row r="1776" spans="9:15" x14ac:dyDescent="0.35">
      <c r="I1776" s="52"/>
      <c r="J1776" s="28"/>
      <c r="K1776" s="29"/>
      <c r="L1776" s="28"/>
      <c r="M1776" s="19"/>
      <c r="N1776" s="19"/>
      <c r="O1776" s="48"/>
    </row>
    <row r="1777" spans="9:15" x14ac:dyDescent="0.35">
      <c r="I1777" s="52"/>
      <c r="J1777" s="28"/>
      <c r="K1777" s="29"/>
      <c r="L1777" s="28"/>
      <c r="M1777" s="19"/>
      <c r="N1777" s="19"/>
      <c r="O1777" s="48"/>
    </row>
    <row r="1778" spans="9:15" x14ac:dyDescent="0.35">
      <c r="I1778" s="52"/>
      <c r="J1778" s="28"/>
      <c r="K1778" s="29"/>
      <c r="L1778" s="28"/>
      <c r="M1778" s="19"/>
      <c r="N1778" s="19"/>
      <c r="O1778" s="48"/>
    </row>
    <row r="1779" spans="9:15" x14ac:dyDescent="0.35">
      <c r="I1779" s="52"/>
      <c r="J1779" s="28"/>
      <c r="K1779" s="29"/>
      <c r="L1779" s="28"/>
      <c r="M1779" s="19"/>
      <c r="N1779" s="19"/>
      <c r="O1779" s="48"/>
    </row>
    <row r="1780" spans="9:15" x14ac:dyDescent="0.35">
      <c r="I1780" s="52"/>
      <c r="J1780" s="28"/>
      <c r="K1780" s="29"/>
      <c r="L1780" s="28"/>
      <c r="M1780" s="19"/>
      <c r="N1780" s="19"/>
      <c r="O1780" s="48"/>
    </row>
    <row r="1781" spans="9:15" x14ac:dyDescent="0.35">
      <c r="I1781" s="52"/>
      <c r="J1781" s="28"/>
      <c r="K1781" s="29"/>
      <c r="L1781" s="28"/>
      <c r="M1781" s="19"/>
      <c r="N1781" s="19"/>
      <c r="O1781" s="48"/>
    </row>
    <row r="1782" spans="9:15" x14ac:dyDescent="0.35">
      <c r="I1782" s="52"/>
      <c r="J1782" s="28"/>
      <c r="K1782" s="29"/>
      <c r="L1782" s="28"/>
      <c r="M1782" s="19"/>
      <c r="N1782" s="19"/>
      <c r="O1782" s="48"/>
    </row>
    <row r="1783" spans="9:15" x14ac:dyDescent="0.35">
      <c r="I1783" s="52"/>
      <c r="J1783" s="28"/>
      <c r="K1783" s="29"/>
      <c r="L1783" s="28"/>
      <c r="M1783" s="19"/>
      <c r="N1783" s="19"/>
      <c r="O1783" s="48"/>
    </row>
    <row r="1784" spans="9:15" x14ac:dyDescent="0.35">
      <c r="I1784" s="52"/>
      <c r="J1784" s="28"/>
      <c r="K1784" s="29"/>
      <c r="L1784" s="28"/>
      <c r="M1784" s="19"/>
      <c r="N1784" s="19"/>
      <c r="O1784" s="48"/>
    </row>
    <row r="1785" spans="9:15" x14ac:dyDescent="0.35">
      <c r="I1785" s="52"/>
      <c r="J1785" s="28"/>
      <c r="K1785" s="29"/>
      <c r="L1785" s="28"/>
      <c r="M1785" s="19"/>
      <c r="N1785" s="19"/>
      <c r="O1785" s="48"/>
    </row>
    <row r="1786" spans="9:15" x14ac:dyDescent="0.35">
      <c r="I1786" s="52"/>
      <c r="J1786" s="28"/>
      <c r="K1786" s="29"/>
      <c r="L1786" s="28"/>
      <c r="M1786" s="19"/>
      <c r="N1786" s="19"/>
      <c r="O1786" s="48"/>
    </row>
    <row r="1787" spans="9:15" x14ac:dyDescent="0.35">
      <c r="I1787" s="52"/>
      <c r="J1787" s="28"/>
      <c r="K1787" s="29"/>
      <c r="L1787" s="28"/>
      <c r="M1787" s="19"/>
      <c r="N1787" s="19"/>
      <c r="O1787" s="48"/>
    </row>
    <row r="1788" spans="9:15" x14ac:dyDescent="0.35">
      <c r="I1788" s="52"/>
      <c r="J1788" s="28"/>
      <c r="K1788" s="29"/>
      <c r="L1788" s="28"/>
      <c r="M1788" s="19"/>
      <c r="N1788" s="19"/>
      <c r="O1788" s="48"/>
    </row>
    <row r="1789" spans="9:15" x14ac:dyDescent="0.35">
      <c r="I1789" s="52"/>
      <c r="J1789" s="28"/>
      <c r="K1789" s="29"/>
      <c r="L1789" s="28"/>
      <c r="M1789" s="19"/>
      <c r="N1789" s="19"/>
      <c r="O1789" s="48"/>
    </row>
    <row r="1790" spans="9:15" x14ac:dyDescent="0.35">
      <c r="I1790" s="52"/>
      <c r="J1790" s="28"/>
      <c r="K1790" s="29"/>
      <c r="L1790" s="28"/>
      <c r="M1790" s="19"/>
      <c r="N1790" s="19"/>
      <c r="O1790" s="48"/>
    </row>
    <row r="1791" spans="9:15" x14ac:dyDescent="0.35">
      <c r="I1791" s="52"/>
      <c r="J1791" s="28"/>
      <c r="K1791" s="29"/>
      <c r="L1791" s="28"/>
      <c r="M1791" s="19"/>
      <c r="N1791" s="19"/>
      <c r="O1791" s="48"/>
    </row>
    <row r="1792" spans="9:15" x14ac:dyDescent="0.35">
      <c r="I1792" s="52"/>
      <c r="J1792" s="28"/>
      <c r="K1792" s="29"/>
      <c r="L1792" s="28"/>
      <c r="M1792" s="19"/>
      <c r="N1792" s="19"/>
      <c r="O1792" s="48"/>
    </row>
    <row r="1793" spans="9:15" x14ac:dyDescent="0.35">
      <c r="I1793" s="52"/>
      <c r="J1793" s="28"/>
      <c r="K1793" s="29"/>
      <c r="L1793" s="28"/>
      <c r="M1793" s="19"/>
      <c r="N1793" s="19"/>
      <c r="O1793" s="48"/>
    </row>
    <row r="1794" spans="9:15" x14ac:dyDescent="0.35">
      <c r="I1794" s="52"/>
      <c r="J1794" s="28"/>
      <c r="K1794" s="29"/>
      <c r="L1794" s="28"/>
      <c r="M1794" s="19"/>
      <c r="N1794" s="19"/>
      <c r="O1794" s="48"/>
    </row>
    <row r="1795" spans="9:15" x14ac:dyDescent="0.35">
      <c r="I1795" s="52"/>
      <c r="J1795" s="28"/>
      <c r="K1795" s="29"/>
      <c r="L1795" s="28"/>
      <c r="M1795" s="19"/>
      <c r="N1795" s="19"/>
      <c r="O1795" s="48"/>
    </row>
    <row r="1796" spans="9:15" x14ac:dyDescent="0.35">
      <c r="I1796" s="52"/>
      <c r="J1796" s="28"/>
      <c r="K1796" s="29"/>
      <c r="L1796" s="28"/>
      <c r="M1796" s="19"/>
      <c r="N1796" s="19"/>
      <c r="O1796" s="48"/>
    </row>
    <row r="1797" spans="9:15" x14ac:dyDescent="0.35">
      <c r="I1797" s="52"/>
      <c r="J1797" s="28"/>
      <c r="K1797" s="29"/>
      <c r="L1797" s="28"/>
      <c r="M1797" s="19"/>
      <c r="N1797" s="19"/>
      <c r="O1797" s="48"/>
    </row>
    <row r="1798" spans="9:15" x14ac:dyDescent="0.35">
      <c r="I1798" s="52"/>
      <c r="J1798" s="28"/>
      <c r="K1798" s="29"/>
      <c r="L1798" s="28"/>
      <c r="M1798" s="19"/>
      <c r="N1798" s="19"/>
      <c r="O1798" s="48"/>
    </row>
    <row r="1799" spans="9:15" x14ac:dyDescent="0.35">
      <c r="I1799" s="52"/>
      <c r="J1799" s="28"/>
      <c r="K1799" s="29"/>
      <c r="L1799" s="28"/>
      <c r="M1799" s="19"/>
      <c r="N1799" s="19"/>
      <c r="O1799" s="48"/>
    </row>
    <row r="1800" spans="9:15" x14ac:dyDescent="0.35">
      <c r="I1800" s="52"/>
      <c r="J1800" s="28"/>
      <c r="K1800" s="29"/>
      <c r="L1800" s="28"/>
      <c r="M1800" s="19"/>
      <c r="N1800" s="19"/>
      <c r="O1800" s="48"/>
    </row>
    <row r="1801" spans="9:15" x14ac:dyDescent="0.35">
      <c r="I1801" s="52"/>
      <c r="J1801" s="28"/>
      <c r="K1801" s="29"/>
      <c r="L1801" s="28"/>
      <c r="M1801" s="19"/>
      <c r="N1801" s="19"/>
      <c r="O1801" s="48"/>
    </row>
    <row r="1802" spans="9:15" x14ac:dyDescent="0.35">
      <c r="I1802" s="52"/>
      <c r="J1802" s="28"/>
      <c r="K1802" s="29"/>
      <c r="L1802" s="28"/>
      <c r="M1802" s="19"/>
      <c r="N1802" s="19"/>
      <c r="O1802" s="48"/>
    </row>
    <row r="1803" spans="9:15" x14ac:dyDescent="0.35">
      <c r="I1803" s="52"/>
      <c r="J1803" s="28"/>
      <c r="K1803" s="29"/>
      <c r="L1803" s="28"/>
      <c r="M1803" s="19"/>
      <c r="N1803" s="19"/>
      <c r="O1803" s="48"/>
    </row>
    <row r="1804" spans="9:15" x14ac:dyDescent="0.35">
      <c r="I1804" s="52"/>
      <c r="J1804" s="28"/>
      <c r="K1804" s="29"/>
      <c r="L1804" s="28"/>
      <c r="M1804" s="19"/>
      <c r="N1804" s="19"/>
      <c r="O1804" s="48"/>
    </row>
    <row r="1805" spans="9:15" x14ac:dyDescent="0.35">
      <c r="I1805" s="52"/>
      <c r="J1805" s="28"/>
      <c r="K1805" s="29"/>
      <c r="L1805" s="28"/>
      <c r="M1805" s="19"/>
      <c r="N1805" s="19"/>
      <c r="O1805" s="48"/>
    </row>
    <row r="1806" spans="9:15" x14ac:dyDescent="0.35">
      <c r="I1806" s="52"/>
      <c r="J1806" s="28"/>
      <c r="K1806" s="29"/>
      <c r="L1806" s="28"/>
      <c r="M1806" s="19"/>
      <c r="N1806" s="19"/>
      <c r="O1806" s="48"/>
    </row>
    <row r="1807" spans="9:15" x14ac:dyDescent="0.35">
      <c r="I1807" s="52"/>
      <c r="J1807" s="28"/>
      <c r="K1807" s="29"/>
      <c r="L1807" s="28"/>
      <c r="M1807" s="19"/>
      <c r="N1807" s="19"/>
      <c r="O1807" s="48"/>
    </row>
    <row r="1808" spans="9:15" x14ac:dyDescent="0.35">
      <c r="I1808" s="52"/>
      <c r="J1808" s="28"/>
      <c r="K1808" s="29"/>
      <c r="L1808" s="28"/>
      <c r="M1808" s="19"/>
      <c r="N1808" s="19"/>
      <c r="O1808" s="48"/>
    </row>
    <row r="1809" spans="9:15" x14ac:dyDescent="0.35">
      <c r="I1809" s="52"/>
      <c r="J1809" s="28"/>
      <c r="K1809" s="29"/>
      <c r="L1809" s="28"/>
      <c r="M1809" s="19"/>
      <c r="N1809" s="19"/>
      <c r="O1809" s="48"/>
    </row>
    <row r="1810" spans="9:15" x14ac:dyDescent="0.35">
      <c r="I1810" s="52"/>
      <c r="J1810" s="28"/>
      <c r="K1810" s="29"/>
      <c r="L1810" s="28"/>
      <c r="M1810" s="19"/>
      <c r="N1810" s="19"/>
      <c r="O1810" s="48"/>
    </row>
    <row r="1811" spans="9:15" x14ac:dyDescent="0.35">
      <c r="I1811" s="52"/>
      <c r="J1811" s="28"/>
      <c r="K1811" s="29"/>
      <c r="L1811" s="28"/>
      <c r="M1811" s="19"/>
      <c r="N1811" s="19"/>
      <c r="O1811" s="48"/>
    </row>
    <row r="1812" spans="9:15" x14ac:dyDescent="0.35">
      <c r="I1812" s="52"/>
      <c r="J1812" s="28"/>
      <c r="K1812" s="29"/>
      <c r="L1812" s="28"/>
      <c r="M1812" s="19"/>
      <c r="N1812" s="19"/>
      <c r="O1812" s="48"/>
    </row>
    <row r="1813" spans="9:15" x14ac:dyDescent="0.35">
      <c r="I1813" s="52"/>
      <c r="J1813" s="28"/>
      <c r="K1813" s="29"/>
      <c r="L1813" s="28"/>
      <c r="M1813" s="19"/>
      <c r="N1813" s="19"/>
      <c r="O1813" s="48"/>
    </row>
    <row r="1814" spans="9:15" x14ac:dyDescent="0.35">
      <c r="I1814" s="52"/>
      <c r="J1814" s="28"/>
      <c r="K1814" s="29"/>
      <c r="L1814" s="28"/>
      <c r="M1814" s="19"/>
      <c r="N1814" s="19"/>
      <c r="O1814" s="48"/>
    </row>
    <row r="1815" spans="9:15" x14ac:dyDescent="0.35">
      <c r="I1815" s="52"/>
      <c r="J1815" s="28"/>
      <c r="K1815" s="29"/>
      <c r="L1815" s="28"/>
      <c r="M1815" s="19"/>
      <c r="N1815" s="19"/>
      <c r="O1815" s="48"/>
    </row>
    <row r="1816" spans="9:15" x14ac:dyDescent="0.35">
      <c r="I1816" s="52"/>
      <c r="J1816" s="28"/>
      <c r="K1816" s="29"/>
      <c r="L1816" s="28"/>
      <c r="M1816" s="19"/>
      <c r="N1816" s="19"/>
      <c r="O1816" s="48"/>
    </row>
    <row r="1817" spans="9:15" x14ac:dyDescent="0.35">
      <c r="I1817" s="52"/>
      <c r="J1817" s="28"/>
      <c r="K1817" s="29"/>
      <c r="L1817" s="28"/>
      <c r="M1817" s="19"/>
      <c r="N1817" s="19"/>
      <c r="O1817" s="48"/>
    </row>
    <row r="1818" spans="9:15" x14ac:dyDescent="0.35">
      <c r="I1818" s="52"/>
      <c r="J1818" s="28"/>
      <c r="K1818" s="29"/>
      <c r="L1818" s="28"/>
      <c r="M1818" s="19"/>
      <c r="N1818" s="19"/>
      <c r="O1818" s="48"/>
    </row>
    <row r="1819" spans="9:15" x14ac:dyDescent="0.35">
      <c r="I1819" s="52"/>
      <c r="J1819" s="28"/>
      <c r="K1819" s="29"/>
      <c r="L1819" s="28"/>
      <c r="M1819" s="19"/>
      <c r="N1819" s="19"/>
      <c r="O1819" s="48"/>
    </row>
    <row r="1820" spans="9:15" x14ac:dyDescent="0.35">
      <c r="I1820" s="52"/>
      <c r="J1820" s="28"/>
      <c r="K1820" s="29"/>
      <c r="L1820" s="28"/>
      <c r="M1820" s="19"/>
      <c r="N1820" s="19"/>
      <c r="O1820" s="48"/>
    </row>
    <row r="1821" spans="9:15" x14ac:dyDescent="0.35">
      <c r="I1821" s="52"/>
      <c r="J1821" s="28"/>
      <c r="K1821" s="29"/>
      <c r="L1821" s="28"/>
      <c r="M1821" s="19"/>
      <c r="N1821" s="19"/>
      <c r="O1821" s="48"/>
    </row>
    <row r="1822" spans="9:15" x14ac:dyDescent="0.35">
      <c r="I1822" s="52"/>
      <c r="J1822" s="28"/>
      <c r="K1822" s="29"/>
      <c r="L1822" s="28"/>
      <c r="M1822" s="19"/>
      <c r="N1822" s="19"/>
      <c r="O1822" s="48"/>
    </row>
    <row r="1823" spans="9:15" x14ac:dyDescent="0.35">
      <c r="I1823" s="52"/>
      <c r="J1823" s="28"/>
      <c r="K1823" s="29"/>
      <c r="L1823" s="28"/>
      <c r="M1823" s="19"/>
      <c r="N1823" s="19"/>
      <c r="O1823" s="48"/>
    </row>
    <row r="1824" spans="9:15" x14ac:dyDescent="0.35">
      <c r="I1824" s="52"/>
      <c r="J1824" s="28"/>
      <c r="K1824" s="29"/>
      <c r="L1824" s="28"/>
      <c r="M1824" s="19"/>
      <c r="N1824" s="19"/>
      <c r="O1824" s="48"/>
    </row>
    <row r="1825" spans="9:15" x14ac:dyDescent="0.35">
      <c r="I1825" s="52"/>
      <c r="J1825" s="28"/>
      <c r="K1825" s="29"/>
      <c r="L1825" s="28"/>
      <c r="M1825" s="19"/>
      <c r="N1825" s="19"/>
      <c r="O1825" s="48"/>
    </row>
    <row r="1826" spans="9:15" x14ac:dyDescent="0.35">
      <c r="I1826" s="52"/>
      <c r="J1826" s="28"/>
      <c r="K1826" s="29"/>
      <c r="L1826" s="28"/>
      <c r="M1826" s="19"/>
      <c r="N1826" s="19"/>
      <c r="O1826" s="48"/>
    </row>
    <row r="1827" spans="9:15" x14ac:dyDescent="0.35">
      <c r="I1827" s="52"/>
      <c r="J1827" s="28"/>
      <c r="K1827" s="29"/>
      <c r="L1827" s="28"/>
      <c r="M1827" s="19"/>
      <c r="N1827" s="19"/>
      <c r="O1827" s="48"/>
    </row>
    <row r="1828" spans="9:15" x14ac:dyDescent="0.35">
      <c r="I1828" s="52"/>
      <c r="J1828" s="28"/>
      <c r="K1828" s="29"/>
      <c r="L1828" s="28"/>
      <c r="M1828" s="19"/>
      <c r="N1828" s="19"/>
      <c r="O1828" s="48"/>
    </row>
    <row r="1829" spans="9:15" x14ac:dyDescent="0.35">
      <c r="I1829" s="52"/>
      <c r="J1829" s="28"/>
      <c r="K1829" s="29"/>
      <c r="L1829" s="28"/>
      <c r="M1829" s="19"/>
      <c r="N1829" s="19"/>
      <c r="O1829" s="48"/>
    </row>
    <row r="1830" spans="9:15" x14ac:dyDescent="0.35">
      <c r="I1830" s="52"/>
      <c r="J1830" s="28"/>
      <c r="K1830" s="29"/>
      <c r="L1830" s="28"/>
      <c r="M1830" s="19"/>
      <c r="N1830" s="19"/>
      <c r="O1830" s="48"/>
    </row>
    <row r="1831" spans="9:15" x14ac:dyDescent="0.35">
      <c r="I1831" s="52"/>
      <c r="J1831" s="28"/>
      <c r="K1831" s="29"/>
      <c r="L1831" s="28"/>
      <c r="M1831" s="19"/>
      <c r="N1831" s="19"/>
      <c r="O1831" s="48"/>
    </row>
    <row r="1832" spans="9:15" x14ac:dyDescent="0.35">
      <c r="I1832" s="52"/>
      <c r="J1832" s="28"/>
      <c r="K1832" s="29"/>
      <c r="L1832" s="28"/>
      <c r="M1832" s="19"/>
      <c r="N1832" s="19"/>
      <c r="O1832" s="48"/>
    </row>
    <row r="1833" spans="9:15" x14ac:dyDescent="0.35">
      <c r="I1833" s="52"/>
      <c r="J1833" s="28"/>
      <c r="K1833" s="29"/>
      <c r="L1833" s="28"/>
      <c r="M1833" s="19"/>
      <c r="N1833" s="19"/>
      <c r="O1833" s="48"/>
    </row>
    <row r="1834" spans="9:15" x14ac:dyDescent="0.35">
      <c r="I1834" s="52"/>
      <c r="J1834" s="28"/>
      <c r="K1834" s="29"/>
      <c r="L1834" s="28"/>
      <c r="M1834" s="19"/>
      <c r="N1834" s="19"/>
      <c r="O1834" s="48"/>
    </row>
    <row r="1835" spans="9:15" x14ac:dyDescent="0.35">
      <c r="I1835" s="52"/>
      <c r="J1835" s="28"/>
      <c r="K1835" s="29"/>
      <c r="L1835" s="28"/>
      <c r="M1835" s="19"/>
      <c r="N1835" s="19"/>
      <c r="O1835" s="48"/>
    </row>
    <row r="1836" spans="9:15" x14ac:dyDescent="0.35">
      <c r="I1836" s="52"/>
      <c r="J1836" s="28"/>
      <c r="K1836" s="29"/>
      <c r="L1836" s="28"/>
      <c r="M1836" s="19"/>
      <c r="N1836" s="19"/>
      <c r="O1836" s="48"/>
    </row>
    <row r="1837" spans="9:15" x14ac:dyDescent="0.35">
      <c r="I1837" s="52"/>
      <c r="J1837" s="28"/>
      <c r="K1837" s="29"/>
      <c r="L1837" s="28"/>
      <c r="M1837" s="19"/>
      <c r="N1837" s="19"/>
      <c r="O1837" s="48"/>
    </row>
    <row r="1838" spans="9:15" x14ac:dyDescent="0.35">
      <c r="I1838" s="52"/>
      <c r="J1838" s="28"/>
      <c r="K1838" s="29"/>
      <c r="L1838" s="28"/>
      <c r="M1838" s="19"/>
      <c r="N1838" s="19"/>
      <c r="O1838" s="48"/>
    </row>
    <row r="1839" spans="9:15" x14ac:dyDescent="0.35">
      <c r="I1839" s="52"/>
      <c r="J1839" s="28"/>
      <c r="K1839" s="29"/>
      <c r="L1839" s="28"/>
      <c r="M1839" s="19"/>
      <c r="N1839" s="19"/>
      <c r="O1839" s="48"/>
    </row>
    <row r="1840" spans="9:15" x14ac:dyDescent="0.35">
      <c r="I1840" s="52"/>
      <c r="J1840" s="28"/>
      <c r="K1840" s="29"/>
      <c r="L1840" s="28"/>
      <c r="M1840" s="19"/>
      <c r="N1840" s="19"/>
      <c r="O1840" s="48"/>
    </row>
    <row r="1841" spans="9:15" x14ac:dyDescent="0.35">
      <c r="I1841" s="52"/>
      <c r="J1841" s="28"/>
      <c r="K1841" s="29"/>
      <c r="L1841" s="28"/>
      <c r="M1841" s="19"/>
      <c r="N1841" s="19"/>
      <c r="O1841" s="48"/>
    </row>
    <row r="1842" spans="9:15" x14ac:dyDescent="0.35">
      <c r="I1842" s="52"/>
      <c r="J1842" s="28"/>
      <c r="K1842" s="29"/>
      <c r="L1842" s="28"/>
      <c r="M1842" s="19"/>
      <c r="N1842" s="19"/>
      <c r="O1842" s="48"/>
    </row>
    <row r="1843" spans="9:15" x14ac:dyDescent="0.35">
      <c r="I1843" s="52"/>
      <c r="J1843" s="28"/>
      <c r="K1843" s="29"/>
      <c r="L1843" s="28"/>
      <c r="M1843" s="19"/>
      <c r="N1843" s="19"/>
      <c r="O1843" s="48"/>
    </row>
    <row r="1844" spans="9:15" x14ac:dyDescent="0.35">
      <c r="I1844" s="52"/>
      <c r="J1844" s="28"/>
      <c r="K1844" s="29"/>
      <c r="L1844" s="28"/>
      <c r="M1844" s="19"/>
      <c r="N1844" s="19"/>
      <c r="O1844" s="48"/>
    </row>
    <row r="1845" spans="9:15" x14ac:dyDescent="0.35">
      <c r="I1845" s="52"/>
      <c r="J1845" s="28"/>
      <c r="K1845" s="29"/>
      <c r="L1845" s="28"/>
      <c r="M1845" s="19"/>
      <c r="N1845" s="19"/>
      <c r="O1845" s="48"/>
    </row>
    <row r="1846" spans="9:15" x14ac:dyDescent="0.35">
      <c r="I1846" s="52"/>
      <c r="J1846" s="28"/>
      <c r="K1846" s="29"/>
      <c r="L1846" s="28"/>
      <c r="M1846" s="19"/>
      <c r="N1846" s="19"/>
      <c r="O1846" s="48"/>
    </row>
    <row r="1847" spans="9:15" x14ac:dyDescent="0.35">
      <c r="I1847" s="52"/>
      <c r="J1847" s="28"/>
      <c r="K1847" s="29"/>
      <c r="L1847" s="28"/>
      <c r="M1847" s="19"/>
      <c r="N1847" s="19"/>
      <c r="O1847" s="48"/>
    </row>
    <row r="1848" spans="9:15" x14ac:dyDescent="0.35">
      <c r="I1848" s="52"/>
      <c r="J1848" s="28"/>
      <c r="K1848" s="29"/>
      <c r="L1848" s="28"/>
      <c r="M1848" s="19"/>
      <c r="N1848" s="19"/>
      <c r="O1848" s="48"/>
    </row>
    <row r="1849" spans="9:15" x14ac:dyDescent="0.35">
      <c r="I1849" s="52"/>
      <c r="J1849" s="28"/>
      <c r="K1849" s="29"/>
      <c r="L1849" s="28"/>
      <c r="M1849" s="19"/>
      <c r="N1849" s="19"/>
      <c r="O1849" s="48"/>
    </row>
    <row r="1850" spans="9:15" x14ac:dyDescent="0.35">
      <c r="I1850" s="52"/>
      <c r="J1850" s="28"/>
      <c r="K1850" s="29"/>
      <c r="L1850" s="28"/>
      <c r="M1850" s="19"/>
      <c r="N1850" s="19"/>
      <c r="O1850" s="48"/>
    </row>
    <row r="1851" spans="9:15" x14ac:dyDescent="0.35">
      <c r="I1851" s="52"/>
      <c r="J1851" s="28"/>
      <c r="K1851" s="29"/>
      <c r="L1851" s="28"/>
      <c r="M1851" s="19"/>
      <c r="N1851" s="19"/>
      <c r="O1851" s="48"/>
    </row>
    <row r="1852" spans="9:15" x14ac:dyDescent="0.35">
      <c r="I1852" s="52"/>
      <c r="J1852" s="28"/>
      <c r="K1852" s="29"/>
      <c r="L1852" s="28"/>
      <c r="M1852" s="19"/>
      <c r="N1852" s="19"/>
      <c r="O1852" s="48"/>
    </row>
    <row r="1853" spans="9:15" x14ac:dyDescent="0.35">
      <c r="I1853" s="52"/>
      <c r="J1853" s="28"/>
      <c r="K1853" s="29"/>
      <c r="L1853" s="28"/>
      <c r="M1853" s="19"/>
      <c r="N1853" s="19"/>
      <c r="O1853" s="48"/>
    </row>
    <row r="1854" spans="9:15" x14ac:dyDescent="0.35">
      <c r="I1854" s="52"/>
      <c r="J1854" s="28"/>
      <c r="K1854" s="29"/>
      <c r="L1854" s="28"/>
      <c r="M1854" s="19"/>
      <c r="N1854" s="19"/>
      <c r="O1854" s="48"/>
    </row>
    <row r="1855" spans="9:15" x14ac:dyDescent="0.35">
      <c r="I1855" s="52"/>
      <c r="J1855" s="28"/>
      <c r="K1855" s="29"/>
      <c r="L1855" s="28"/>
      <c r="M1855" s="19"/>
      <c r="N1855" s="19"/>
      <c r="O1855" s="48"/>
    </row>
    <row r="1856" spans="9:15" x14ac:dyDescent="0.35">
      <c r="I1856" s="52"/>
      <c r="J1856" s="28"/>
      <c r="K1856" s="29"/>
      <c r="L1856" s="28"/>
      <c r="M1856" s="19"/>
      <c r="N1856" s="19"/>
      <c r="O1856" s="48"/>
    </row>
    <row r="1857" spans="9:15" x14ac:dyDescent="0.35">
      <c r="I1857" s="52"/>
      <c r="J1857" s="28"/>
      <c r="K1857" s="29"/>
      <c r="L1857" s="28"/>
      <c r="M1857" s="19"/>
      <c r="N1857" s="19"/>
      <c r="O1857" s="48"/>
    </row>
    <row r="1858" spans="9:15" x14ac:dyDescent="0.35">
      <c r="I1858" s="52"/>
      <c r="J1858" s="28"/>
      <c r="K1858" s="29"/>
      <c r="L1858" s="28"/>
      <c r="M1858" s="19"/>
      <c r="N1858" s="19"/>
      <c r="O1858" s="48"/>
    </row>
    <row r="1859" spans="9:15" x14ac:dyDescent="0.35">
      <c r="I1859" s="52"/>
      <c r="J1859" s="28"/>
      <c r="K1859" s="29"/>
      <c r="L1859" s="28"/>
      <c r="M1859" s="19"/>
      <c r="N1859" s="19"/>
      <c r="O1859" s="48"/>
    </row>
    <row r="1860" spans="9:15" x14ac:dyDescent="0.35">
      <c r="I1860" s="52"/>
      <c r="J1860" s="28"/>
      <c r="K1860" s="29"/>
      <c r="L1860" s="28"/>
      <c r="M1860" s="19"/>
      <c r="N1860" s="19"/>
      <c r="O1860" s="48"/>
    </row>
    <row r="1861" spans="9:15" x14ac:dyDescent="0.35">
      <c r="I1861" s="52"/>
      <c r="J1861" s="28"/>
      <c r="K1861" s="29"/>
      <c r="L1861" s="28"/>
      <c r="M1861" s="19"/>
      <c r="N1861" s="19"/>
      <c r="O1861" s="48"/>
    </row>
    <row r="1862" spans="9:15" x14ac:dyDescent="0.35">
      <c r="I1862" s="52"/>
      <c r="J1862" s="28"/>
      <c r="K1862" s="29"/>
      <c r="L1862" s="28"/>
      <c r="M1862" s="19"/>
      <c r="N1862" s="19"/>
      <c r="O1862" s="48"/>
    </row>
    <row r="1863" spans="9:15" x14ac:dyDescent="0.35">
      <c r="I1863" s="52"/>
      <c r="J1863" s="28"/>
      <c r="K1863" s="29"/>
      <c r="L1863" s="28"/>
      <c r="M1863" s="19"/>
      <c r="N1863" s="19"/>
      <c r="O1863" s="48"/>
    </row>
    <row r="1864" spans="9:15" x14ac:dyDescent="0.35">
      <c r="I1864" s="52"/>
      <c r="J1864" s="28"/>
      <c r="K1864" s="29"/>
      <c r="L1864" s="28"/>
      <c r="M1864" s="19"/>
      <c r="N1864" s="19"/>
      <c r="O1864" s="48"/>
    </row>
    <row r="1865" spans="9:15" x14ac:dyDescent="0.35">
      <c r="I1865" s="52"/>
      <c r="J1865" s="28"/>
      <c r="K1865" s="29"/>
      <c r="L1865" s="28"/>
      <c r="M1865" s="19"/>
      <c r="N1865" s="19"/>
      <c r="O1865" s="48"/>
    </row>
    <row r="1866" spans="9:15" x14ac:dyDescent="0.35">
      <c r="I1866" s="52"/>
      <c r="J1866" s="28"/>
      <c r="K1866" s="29"/>
      <c r="L1866" s="28"/>
      <c r="M1866" s="19"/>
      <c r="N1866" s="19"/>
      <c r="O1866" s="48"/>
    </row>
    <row r="1867" spans="9:15" x14ac:dyDescent="0.35">
      <c r="I1867" s="52"/>
      <c r="J1867" s="28"/>
      <c r="K1867" s="29"/>
      <c r="L1867" s="28"/>
      <c r="M1867" s="19"/>
      <c r="N1867" s="19"/>
      <c r="O1867" s="48"/>
    </row>
    <row r="1868" spans="9:15" x14ac:dyDescent="0.35">
      <c r="I1868" s="52"/>
      <c r="J1868" s="28"/>
      <c r="K1868" s="29"/>
      <c r="L1868" s="28"/>
      <c r="M1868" s="19"/>
      <c r="N1868" s="19"/>
      <c r="O1868" s="48"/>
    </row>
    <row r="1869" spans="9:15" x14ac:dyDescent="0.35">
      <c r="I1869" s="52"/>
      <c r="J1869" s="28"/>
      <c r="K1869" s="29"/>
      <c r="L1869" s="28"/>
      <c r="M1869" s="19"/>
      <c r="N1869" s="19"/>
      <c r="O1869" s="48"/>
    </row>
    <row r="1870" spans="9:15" x14ac:dyDescent="0.35">
      <c r="I1870" s="52"/>
      <c r="J1870" s="28"/>
      <c r="K1870" s="29"/>
      <c r="L1870" s="28"/>
      <c r="M1870" s="19"/>
      <c r="N1870" s="19"/>
      <c r="O1870" s="48"/>
    </row>
    <row r="1871" spans="9:15" x14ac:dyDescent="0.35">
      <c r="I1871" s="52"/>
      <c r="J1871" s="28"/>
      <c r="K1871" s="29"/>
      <c r="L1871" s="28"/>
      <c r="M1871" s="19"/>
      <c r="N1871" s="19"/>
      <c r="O1871" s="48"/>
    </row>
    <row r="1872" spans="9:15" x14ac:dyDescent="0.35">
      <c r="I1872" s="52"/>
      <c r="J1872" s="28"/>
      <c r="K1872" s="29"/>
      <c r="L1872" s="28"/>
      <c r="M1872" s="19"/>
      <c r="N1872" s="19"/>
      <c r="O1872" s="48"/>
    </row>
    <row r="1873" spans="9:15" x14ac:dyDescent="0.35">
      <c r="I1873" s="52"/>
      <c r="J1873" s="28"/>
      <c r="K1873" s="29"/>
      <c r="L1873" s="28"/>
      <c r="M1873" s="19"/>
      <c r="N1873" s="19"/>
      <c r="O1873" s="48"/>
    </row>
    <row r="1874" spans="9:15" x14ac:dyDescent="0.35">
      <c r="I1874" s="52"/>
      <c r="J1874" s="28"/>
      <c r="K1874" s="29"/>
      <c r="L1874" s="28"/>
      <c r="M1874" s="19"/>
      <c r="N1874" s="19"/>
      <c r="O1874" s="48"/>
    </row>
    <row r="1875" spans="9:15" x14ac:dyDescent="0.35">
      <c r="I1875" s="52"/>
      <c r="J1875" s="28"/>
      <c r="K1875" s="29"/>
      <c r="L1875" s="28"/>
      <c r="M1875" s="19"/>
      <c r="N1875" s="19"/>
      <c r="O1875" s="48"/>
    </row>
    <row r="1876" spans="9:15" x14ac:dyDescent="0.35">
      <c r="I1876" s="52"/>
      <c r="J1876" s="28"/>
      <c r="K1876" s="29"/>
      <c r="L1876" s="28"/>
      <c r="M1876" s="19"/>
      <c r="N1876" s="19"/>
      <c r="O1876" s="48"/>
    </row>
    <row r="1877" spans="9:15" x14ac:dyDescent="0.35">
      <c r="I1877" s="52"/>
      <c r="J1877" s="28"/>
      <c r="K1877" s="29"/>
      <c r="L1877" s="28"/>
      <c r="M1877" s="19"/>
      <c r="N1877" s="19"/>
      <c r="O1877" s="48"/>
    </row>
    <row r="1878" spans="9:15" x14ac:dyDescent="0.35">
      <c r="I1878" s="52"/>
      <c r="J1878" s="28"/>
      <c r="K1878" s="29"/>
      <c r="L1878" s="28"/>
      <c r="M1878" s="19"/>
      <c r="N1878" s="19"/>
      <c r="O1878" s="48"/>
    </row>
    <row r="1879" spans="9:15" x14ac:dyDescent="0.35">
      <c r="I1879" s="52"/>
      <c r="J1879" s="28"/>
      <c r="K1879" s="29"/>
      <c r="L1879" s="28"/>
      <c r="M1879" s="19"/>
      <c r="N1879" s="19"/>
      <c r="O1879" s="48"/>
    </row>
    <row r="1880" spans="9:15" x14ac:dyDescent="0.35">
      <c r="I1880" s="52"/>
      <c r="J1880" s="28"/>
      <c r="K1880" s="29"/>
      <c r="L1880" s="28"/>
      <c r="M1880" s="19"/>
      <c r="N1880" s="19"/>
      <c r="O1880" s="48"/>
    </row>
    <row r="1881" spans="9:15" x14ac:dyDescent="0.35">
      <c r="I1881" s="52"/>
      <c r="J1881" s="28"/>
      <c r="K1881" s="29"/>
      <c r="L1881" s="28"/>
      <c r="M1881" s="19"/>
      <c r="N1881" s="19"/>
      <c r="O1881" s="48"/>
    </row>
    <row r="1882" spans="9:15" x14ac:dyDescent="0.35">
      <c r="I1882" s="52"/>
      <c r="J1882" s="28"/>
      <c r="K1882" s="29"/>
      <c r="L1882" s="28"/>
      <c r="M1882" s="19"/>
      <c r="N1882" s="19"/>
      <c r="O1882" s="48"/>
    </row>
    <row r="1883" spans="9:15" x14ac:dyDescent="0.35">
      <c r="I1883" s="52"/>
      <c r="J1883" s="28"/>
      <c r="K1883" s="29"/>
      <c r="L1883" s="28"/>
      <c r="M1883" s="19"/>
      <c r="N1883" s="19"/>
      <c r="O1883" s="48"/>
    </row>
    <row r="1884" spans="9:15" x14ac:dyDescent="0.35">
      <c r="I1884" s="52"/>
      <c r="J1884" s="28"/>
      <c r="K1884" s="29"/>
      <c r="L1884" s="28"/>
      <c r="M1884" s="19"/>
      <c r="N1884" s="19"/>
      <c r="O1884" s="48"/>
    </row>
    <row r="1885" spans="9:15" x14ac:dyDescent="0.35">
      <c r="I1885" s="52"/>
      <c r="J1885" s="28"/>
      <c r="K1885" s="29"/>
      <c r="L1885" s="28"/>
      <c r="M1885" s="19"/>
      <c r="N1885" s="19"/>
      <c r="O1885" s="48"/>
    </row>
    <row r="1886" spans="9:15" x14ac:dyDescent="0.35">
      <c r="I1886" s="52"/>
      <c r="J1886" s="28"/>
      <c r="K1886" s="29"/>
      <c r="L1886" s="28"/>
      <c r="M1886" s="19"/>
      <c r="N1886" s="19"/>
      <c r="O1886" s="48"/>
    </row>
    <row r="1887" spans="9:15" x14ac:dyDescent="0.35">
      <c r="I1887" s="52"/>
      <c r="J1887" s="28"/>
      <c r="K1887" s="29"/>
      <c r="L1887" s="28"/>
      <c r="M1887" s="19"/>
      <c r="N1887" s="19"/>
      <c r="O1887" s="48"/>
    </row>
    <row r="1888" spans="9:15" x14ac:dyDescent="0.35">
      <c r="I1888" s="52"/>
      <c r="J1888" s="28"/>
      <c r="K1888" s="29"/>
      <c r="L1888" s="28"/>
      <c r="M1888" s="19"/>
      <c r="N1888" s="19"/>
      <c r="O1888" s="48"/>
    </row>
    <row r="1889" spans="9:15" x14ac:dyDescent="0.35">
      <c r="I1889" s="52"/>
      <c r="J1889" s="28"/>
      <c r="K1889" s="29"/>
      <c r="L1889" s="28"/>
      <c r="M1889" s="19"/>
      <c r="N1889" s="19"/>
      <c r="O1889" s="48"/>
    </row>
    <row r="1890" spans="9:15" x14ac:dyDescent="0.35">
      <c r="I1890" s="52"/>
      <c r="J1890" s="28"/>
      <c r="K1890" s="29"/>
      <c r="L1890" s="28"/>
      <c r="M1890" s="19"/>
      <c r="N1890" s="19"/>
      <c r="O1890" s="48"/>
    </row>
    <row r="1891" spans="9:15" x14ac:dyDescent="0.35">
      <c r="I1891" s="52"/>
      <c r="J1891" s="28"/>
      <c r="K1891" s="29"/>
      <c r="L1891" s="28"/>
      <c r="M1891" s="19"/>
      <c r="N1891" s="19"/>
      <c r="O1891" s="48"/>
    </row>
    <row r="1892" spans="9:15" x14ac:dyDescent="0.35">
      <c r="I1892" s="52"/>
      <c r="J1892" s="28"/>
      <c r="K1892" s="29"/>
      <c r="L1892" s="28"/>
      <c r="M1892" s="19"/>
      <c r="N1892" s="19"/>
      <c r="O1892" s="48"/>
    </row>
    <row r="1893" spans="9:15" x14ac:dyDescent="0.35">
      <c r="I1893" s="52"/>
      <c r="J1893" s="28"/>
      <c r="K1893" s="29"/>
      <c r="L1893" s="28"/>
      <c r="M1893" s="19"/>
      <c r="N1893" s="19"/>
      <c r="O1893" s="48"/>
    </row>
    <row r="1894" spans="9:15" x14ac:dyDescent="0.35">
      <c r="I1894" s="52"/>
      <c r="J1894" s="28"/>
      <c r="K1894" s="29"/>
      <c r="L1894" s="28"/>
      <c r="M1894" s="19"/>
      <c r="N1894" s="19"/>
      <c r="O1894" s="48"/>
    </row>
    <row r="1895" spans="9:15" x14ac:dyDescent="0.35">
      <c r="I1895" s="52"/>
      <c r="J1895" s="28"/>
      <c r="K1895" s="29"/>
      <c r="L1895" s="28"/>
      <c r="M1895" s="19"/>
      <c r="N1895" s="19"/>
      <c r="O1895" s="48"/>
    </row>
    <row r="1896" spans="9:15" x14ac:dyDescent="0.35">
      <c r="I1896" s="52"/>
      <c r="J1896" s="28"/>
      <c r="K1896" s="29"/>
      <c r="L1896" s="28"/>
      <c r="M1896" s="19"/>
      <c r="N1896" s="19"/>
      <c r="O1896" s="48"/>
    </row>
    <row r="1897" spans="9:15" x14ac:dyDescent="0.35">
      <c r="I1897" s="52"/>
      <c r="J1897" s="28"/>
      <c r="K1897" s="29"/>
      <c r="L1897" s="28"/>
      <c r="M1897" s="19"/>
      <c r="N1897" s="19"/>
      <c r="O1897" s="48"/>
    </row>
    <row r="1898" spans="9:15" x14ac:dyDescent="0.35">
      <c r="I1898" s="52"/>
      <c r="J1898" s="28"/>
      <c r="K1898" s="29"/>
      <c r="L1898" s="28"/>
      <c r="M1898" s="19"/>
      <c r="N1898" s="19"/>
      <c r="O1898" s="48"/>
    </row>
    <row r="1899" spans="9:15" x14ac:dyDescent="0.35">
      <c r="I1899" s="52"/>
      <c r="J1899" s="28"/>
      <c r="K1899" s="29"/>
      <c r="L1899" s="28"/>
      <c r="M1899" s="19"/>
      <c r="N1899" s="19"/>
      <c r="O1899" s="48"/>
    </row>
    <row r="1900" spans="9:15" x14ac:dyDescent="0.35">
      <c r="I1900" s="52"/>
      <c r="J1900" s="28"/>
      <c r="K1900" s="29"/>
      <c r="L1900" s="28"/>
      <c r="M1900" s="19"/>
      <c r="N1900" s="19"/>
      <c r="O1900" s="48"/>
    </row>
    <row r="1901" spans="9:15" x14ac:dyDescent="0.35">
      <c r="I1901" s="52"/>
      <c r="J1901" s="28"/>
      <c r="K1901" s="29"/>
      <c r="L1901" s="28"/>
      <c r="M1901" s="19"/>
      <c r="N1901" s="19"/>
      <c r="O1901" s="48"/>
    </row>
    <row r="1902" spans="9:15" x14ac:dyDescent="0.35">
      <c r="I1902" s="52"/>
      <c r="J1902" s="28"/>
      <c r="K1902" s="29"/>
      <c r="L1902" s="28"/>
      <c r="M1902" s="19"/>
      <c r="N1902" s="19"/>
      <c r="O1902" s="48"/>
    </row>
    <row r="1903" spans="9:15" x14ac:dyDescent="0.35">
      <c r="I1903" s="52"/>
      <c r="J1903" s="28"/>
      <c r="K1903" s="29"/>
      <c r="L1903" s="28"/>
      <c r="M1903" s="19"/>
      <c r="N1903" s="19"/>
      <c r="O1903" s="48"/>
    </row>
    <row r="1904" spans="9:15" x14ac:dyDescent="0.35">
      <c r="I1904" s="52"/>
      <c r="J1904" s="28"/>
      <c r="K1904" s="29"/>
      <c r="L1904" s="28"/>
      <c r="M1904" s="19"/>
      <c r="N1904" s="19"/>
      <c r="O1904" s="48"/>
    </row>
    <row r="1905" spans="9:15" x14ac:dyDescent="0.35">
      <c r="I1905" s="52"/>
      <c r="J1905" s="28"/>
      <c r="K1905" s="29"/>
      <c r="L1905" s="28"/>
      <c r="M1905" s="19"/>
      <c r="N1905" s="19"/>
      <c r="O1905" s="48"/>
    </row>
    <row r="1906" spans="9:15" x14ac:dyDescent="0.35">
      <c r="I1906" s="52"/>
      <c r="J1906" s="28"/>
      <c r="K1906" s="29"/>
      <c r="L1906" s="28"/>
      <c r="M1906" s="19"/>
      <c r="N1906" s="19"/>
      <c r="O1906" s="48"/>
    </row>
    <row r="1907" spans="9:15" x14ac:dyDescent="0.35">
      <c r="I1907" s="52"/>
      <c r="J1907" s="28"/>
      <c r="K1907" s="29"/>
      <c r="L1907" s="28"/>
      <c r="M1907" s="19"/>
      <c r="N1907" s="19"/>
      <c r="O1907" s="48"/>
    </row>
    <row r="1908" spans="9:15" x14ac:dyDescent="0.35">
      <c r="I1908" s="52"/>
      <c r="J1908" s="28"/>
      <c r="K1908" s="29"/>
      <c r="L1908" s="28"/>
      <c r="M1908" s="19"/>
      <c r="N1908" s="19"/>
      <c r="O1908" s="48"/>
    </row>
    <row r="1909" spans="9:15" x14ac:dyDescent="0.35">
      <c r="I1909" s="52"/>
      <c r="J1909" s="28"/>
      <c r="K1909" s="29"/>
      <c r="L1909" s="28"/>
      <c r="M1909" s="19"/>
      <c r="N1909" s="19"/>
      <c r="O1909" s="48"/>
    </row>
    <row r="1910" spans="9:15" x14ac:dyDescent="0.35">
      <c r="I1910" s="52"/>
      <c r="J1910" s="28"/>
      <c r="K1910" s="29"/>
      <c r="L1910" s="28"/>
      <c r="M1910" s="19"/>
      <c r="N1910" s="19"/>
      <c r="O1910" s="48"/>
    </row>
    <row r="1911" spans="9:15" x14ac:dyDescent="0.35">
      <c r="I1911" s="52"/>
      <c r="J1911" s="28"/>
      <c r="K1911" s="29"/>
      <c r="L1911" s="28"/>
      <c r="M1911" s="19"/>
      <c r="N1911" s="19"/>
      <c r="O1911" s="48"/>
    </row>
    <row r="1912" spans="9:15" x14ac:dyDescent="0.35">
      <c r="I1912" s="52"/>
      <c r="J1912" s="28"/>
      <c r="K1912" s="29"/>
      <c r="L1912" s="28"/>
      <c r="M1912" s="19"/>
      <c r="N1912" s="19"/>
      <c r="O1912" s="48"/>
    </row>
    <row r="1913" spans="9:15" x14ac:dyDescent="0.35">
      <c r="I1913" s="52"/>
      <c r="J1913" s="28"/>
      <c r="K1913" s="29"/>
      <c r="L1913" s="28"/>
      <c r="M1913" s="19"/>
      <c r="N1913" s="19"/>
      <c r="O1913" s="48"/>
    </row>
    <row r="1914" spans="9:15" x14ac:dyDescent="0.35">
      <c r="I1914" s="52"/>
      <c r="J1914" s="28"/>
      <c r="K1914" s="29"/>
      <c r="L1914" s="28"/>
      <c r="M1914" s="19"/>
      <c r="N1914" s="19"/>
      <c r="O1914" s="48"/>
    </row>
    <row r="1915" spans="9:15" x14ac:dyDescent="0.35">
      <c r="I1915" s="52"/>
      <c r="J1915" s="28"/>
      <c r="K1915" s="29"/>
      <c r="L1915" s="28"/>
      <c r="M1915" s="19"/>
      <c r="N1915" s="19"/>
      <c r="O1915" s="48"/>
    </row>
    <row r="1916" spans="9:15" x14ac:dyDescent="0.35">
      <c r="I1916" s="52"/>
      <c r="J1916" s="28"/>
      <c r="K1916" s="29"/>
      <c r="L1916" s="28"/>
      <c r="M1916" s="19"/>
      <c r="N1916" s="19"/>
      <c r="O1916" s="48"/>
    </row>
    <row r="1917" spans="9:15" x14ac:dyDescent="0.35">
      <c r="I1917" s="52"/>
      <c r="J1917" s="28"/>
      <c r="K1917" s="29"/>
      <c r="L1917" s="28"/>
      <c r="M1917" s="19"/>
      <c r="N1917" s="19"/>
      <c r="O1917" s="48"/>
    </row>
    <row r="1918" spans="9:15" x14ac:dyDescent="0.35">
      <c r="I1918" s="52"/>
      <c r="J1918" s="28"/>
      <c r="K1918" s="29"/>
      <c r="L1918" s="28"/>
      <c r="M1918" s="19"/>
      <c r="N1918" s="19"/>
      <c r="O1918" s="48"/>
    </row>
    <row r="1919" spans="9:15" x14ac:dyDescent="0.35">
      <c r="I1919" s="52"/>
      <c r="J1919" s="28"/>
      <c r="K1919" s="29"/>
      <c r="L1919" s="28"/>
      <c r="M1919" s="19"/>
      <c r="N1919" s="19"/>
      <c r="O1919" s="48"/>
    </row>
    <row r="1920" spans="9:15" x14ac:dyDescent="0.35">
      <c r="I1920" s="52"/>
      <c r="J1920" s="28"/>
      <c r="K1920" s="29"/>
      <c r="L1920" s="28"/>
      <c r="M1920" s="19"/>
      <c r="N1920" s="19"/>
      <c r="O1920" s="48"/>
    </row>
    <row r="1921" spans="9:15" x14ac:dyDescent="0.35">
      <c r="I1921" s="52"/>
      <c r="J1921" s="28"/>
      <c r="K1921" s="29"/>
      <c r="L1921" s="28"/>
      <c r="M1921" s="19"/>
      <c r="N1921" s="19"/>
      <c r="O1921" s="48"/>
    </row>
    <row r="1922" spans="9:15" x14ac:dyDescent="0.35">
      <c r="I1922" s="52"/>
      <c r="J1922" s="28"/>
      <c r="K1922" s="29"/>
      <c r="L1922" s="28"/>
      <c r="M1922" s="19"/>
      <c r="N1922" s="19"/>
      <c r="O1922" s="48"/>
    </row>
    <row r="1923" spans="9:15" x14ac:dyDescent="0.35">
      <c r="I1923" s="52"/>
      <c r="J1923" s="28"/>
      <c r="K1923" s="29"/>
      <c r="L1923" s="28"/>
      <c r="M1923" s="19"/>
      <c r="N1923" s="19"/>
      <c r="O1923" s="48"/>
    </row>
    <row r="1924" spans="9:15" x14ac:dyDescent="0.35">
      <c r="I1924" s="52"/>
      <c r="J1924" s="28"/>
      <c r="K1924" s="29"/>
      <c r="L1924" s="28"/>
      <c r="M1924" s="19"/>
      <c r="N1924" s="19"/>
      <c r="O1924" s="48"/>
    </row>
    <row r="1925" spans="9:15" x14ac:dyDescent="0.35">
      <c r="I1925" s="52"/>
      <c r="J1925" s="28"/>
      <c r="K1925" s="29"/>
      <c r="L1925" s="28"/>
      <c r="M1925" s="19"/>
      <c r="N1925" s="19"/>
      <c r="O1925" s="48"/>
    </row>
    <row r="1926" spans="9:15" x14ac:dyDescent="0.35">
      <c r="I1926" s="52"/>
      <c r="J1926" s="28"/>
      <c r="K1926" s="29"/>
      <c r="L1926" s="28"/>
      <c r="M1926" s="19"/>
      <c r="N1926" s="19"/>
      <c r="O1926" s="48"/>
    </row>
    <row r="1927" spans="9:15" x14ac:dyDescent="0.35">
      <c r="I1927" s="52"/>
      <c r="J1927" s="28"/>
      <c r="K1927" s="29"/>
      <c r="L1927" s="28"/>
      <c r="M1927" s="19"/>
      <c r="N1927" s="19"/>
      <c r="O1927" s="48"/>
    </row>
    <row r="1928" spans="9:15" x14ac:dyDescent="0.35">
      <c r="I1928" s="52"/>
      <c r="J1928" s="28"/>
      <c r="K1928" s="29"/>
      <c r="L1928" s="28"/>
      <c r="M1928" s="19"/>
      <c r="N1928" s="19"/>
      <c r="O1928" s="48"/>
    </row>
    <row r="1929" spans="9:15" x14ac:dyDescent="0.35">
      <c r="I1929" s="52"/>
      <c r="J1929" s="28"/>
      <c r="K1929" s="29"/>
      <c r="L1929" s="28"/>
      <c r="M1929" s="19"/>
      <c r="N1929" s="19"/>
      <c r="O1929" s="48"/>
    </row>
    <row r="1930" spans="9:15" x14ac:dyDescent="0.35">
      <c r="I1930" s="52"/>
      <c r="J1930" s="28"/>
      <c r="K1930" s="29"/>
      <c r="L1930" s="28"/>
      <c r="M1930" s="19"/>
      <c r="N1930" s="19"/>
      <c r="O1930" s="48"/>
    </row>
    <row r="1931" spans="9:15" x14ac:dyDescent="0.35">
      <c r="I1931" s="52"/>
      <c r="J1931" s="28"/>
      <c r="K1931" s="29"/>
      <c r="L1931" s="28"/>
      <c r="M1931" s="19"/>
      <c r="N1931" s="19"/>
      <c r="O1931" s="48"/>
    </row>
    <row r="1932" spans="9:15" x14ac:dyDescent="0.35">
      <c r="I1932" s="52"/>
      <c r="J1932" s="28"/>
      <c r="K1932" s="29"/>
      <c r="L1932" s="28"/>
      <c r="M1932" s="19"/>
      <c r="N1932" s="19"/>
      <c r="O1932" s="48"/>
    </row>
    <row r="1933" spans="9:15" x14ac:dyDescent="0.35">
      <c r="I1933" s="52"/>
      <c r="J1933" s="28"/>
      <c r="K1933" s="29"/>
      <c r="L1933" s="28"/>
      <c r="M1933" s="19"/>
      <c r="N1933" s="19"/>
      <c r="O1933" s="48"/>
    </row>
    <row r="1934" spans="9:15" x14ac:dyDescent="0.35">
      <c r="I1934" s="52"/>
      <c r="J1934" s="28"/>
      <c r="K1934" s="29"/>
      <c r="L1934" s="28"/>
      <c r="M1934" s="19"/>
      <c r="N1934" s="19"/>
      <c r="O1934" s="48"/>
    </row>
    <row r="1935" spans="9:15" x14ac:dyDescent="0.35">
      <c r="I1935" s="52"/>
      <c r="J1935" s="28"/>
      <c r="K1935" s="29"/>
      <c r="L1935" s="28"/>
      <c r="M1935" s="19"/>
      <c r="N1935" s="19"/>
      <c r="O1935" s="48"/>
    </row>
    <row r="1936" spans="9:15" x14ac:dyDescent="0.35">
      <c r="I1936" s="52"/>
      <c r="J1936" s="28"/>
      <c r="K1936" s="29"/>
      <c r="L1936" s="28"/>
      <c r="M1936" s="19"/>
      <c r="N1936" s="19"/>
      <c r="O1936" s="48"/>
    </row>
    <row r="1937" spans="9:15" x14ac:dyDescent="0.35">
      <c r="I1937" s="52"/>
      <c r="J1937" s="28"/>
      <c r="K1937" s="29"/>
      <c r="L1937" s="28"/>
      <c r="M1937" s="19"/>
      <c r="N1937" s="19"/>
      <c r="O1937" s="48"/>
    </row>
    <row r="1938" spans="9:15" x14ac:dyDescent="0.35">
      <c r="I1938" s="52"/>
      <c r="J1938" s="28"/>
      <c r="K1938" s="29"/>
      <c r="L1938" s="28"/>
      <c r="M1938" s="19"/>
      <c r="N1938" s="19"/>
      <c r="O1938" s="48"/>
    </row>
    <row r="1939" spans="9:15" x14ac:dyDescent="0.35">
      <c r="I1939" s="52"/>
      <c r="J1939" s="28"/>
      <c r="K1939" s="29"/>
      <c r="L1939" s="28"/>
      <c r="M1939" s="19"/>
      <c r="N1939" s="19"/>
      <c r="O1939" s="48"/>
    </row>
    <row r="1940" spans="9:15" x14ac:dyDescent="0.35">
      <c r="I1940" s="52"/>
      <c r="J1940" s="28"/>
      <c r="K1940" s="29"/>
      <c r="L1940" s="28"/>
      <c r="M1940" s="19"/>
      <c r="N1940" s="19"/>
      <c r="O1940" s="48"/>
    </row>
    <row r="1941" spans="9:15" x14ac:dyDescent="0.35">
      <c r="I1941" s="52"/>
      <c r="J1941" s="28"/>
      <c r="K1941" s="29"/>
      <c r="L1941" s="28"/>
      <c r="M1941" s="19"/>
      <c r="N1941" s="19"/>
      <c r="O1941" s="48"/>
    </row>
    <row r="1942" spans="9:15" x14ac:dyDescent="0.35">
      <c r="I1942" s="52"/>
      <c r="J1942" s="28"/>
      <c r="K1942" s="29"/>
      <c r="L1942" s="28"/>
      <c r="M1942" s="19"/>
      <c r="N1942" s="19"/>
      <c r="O1942" s="48"/>
    </row>
    <row r="1943" spans="9:15" x14ac:dyDescent="0.35">
      <c r="I1943" s="52"/>
      <c r="J1943" s="28"/>
      <c r="K1943" s="29"/>
      <c r="L1943" s="28"/>
      <c r="M1943" s="19"/>
      <c r="N1943" s="19"/>
      <c r="O1943" s="48"/>
    </row>
    <row r="1944" spans="9:15" x14ac:dyDescent="0.35">
      <c r="I1944" s="52"/>
      <c r="J1944" s="28"/>
      <c r="K1944" s="29"/>
      <c r="L1944" s="28"/>
      <c r="M1944" s="19"/>
      <c r="N1944" s="19"/>
      <c r="O1944" s="48"/>
    </row>
    <row r="1945" spans="9:15" x14ac:dyDescent="0.35">
      <c r="I1945" s="52"/>
      <c r="J1945" s="28"/>
      <c r="K1945" s="29"/>
      <c r="L1945" s="28"/>
      <c r="M1945" s="19"/>
      <c r="N1945" s="19"/>
      <c r="O1945" s="48"/>
    </row>
    <row r="1946" spans="9:15" x14ac:dyDescent="0.35">
      <c r="I1946" s="52"/>
      <c r="J1946" s="28"/>
      <c r="K1946" s="29"/>
      <c r="L1946" s="28"/>
      <c r="M1946" s="19"/>
      <c r="N1946" s="19"/>
      <c r="O1946" s="48"/>
    </row>
    <row r="1947" spans="9:15" x14ac:dyDescent="0.35">
      <c r="I1947" s="52"/>
      <c r="J1947" s="28"/>
      <c r="K1947" s="29"/>
      <c r="L1947" s="28"/>
      <c r="M1947" s="19"/>
      <c r="N1947" s="19"/>
      <c r="O1947" s="48"/>
    </row>
    <row r="1948" spans="9:15" x14ac:dyDescent="0.35">
      <c r="I1948" s="52"/>
      <c r="J1948" s="28"/>
      <c r="K1948" s="29"/>
      <c r="L1948" s="28"/>
      <c r="M1948" s="19"/>
      <c r="N1948" s="19"/>
      <c r="O1948" s="48"/>
    </row>
    <row r="1949" spans="9:15" x14ac:dyDescent="0.35">
      <c r="I1949" s="52"/>
      <c r="J1949" s="28"/>
      <c r="K1949" s="29"/>
      <c r="L1949" s="28"/>
      <c r="M1949" s="19"/>
      <c r="N1949" s="19"/>
      <c r="O1949" s="48"/>
    </row>
    <row r="1950" spans="9:15" x14ac:dyDescent="0.35">
      <c r="I1950" s="52"/>
      <c r="J1950" s="28"/>
      <c r="K1950" s="29"/>
      <c r="L1950" s="28"/>
      <c r="M1950" s="19"/>
      <c r="N1950" s="19"/>
      <c r="O1950" s="48"/>
    </row>
    <row r="1951" spans="9:15" x14ac:dyDescent="0.35">
      <c r="I1951" s="52"/>
      <c r="J1951" s="28"/>
      <c r="K1951" s="29"/>
      <c r="L1951" s="28"/>
      <c r="M1951" s="19"/>
      <c r="N1951" s="19"/>
      <c r="O1951" s="48"/>
    </row>
    <row r="1952" spans="9:15" x14ac:dyDescent="0.35">
      <c r="I1952" s="52"/>
      <c r="J1952" s="28"/>
      <c r="K1952" s="29"/>
      <c r="L1952" s="28"/>
      <c r="M1952" s="19"/>
      <c r="N1952" s="19"/>
      <c r="O1952" s="48"/>
    </row>
    <row r="1953" spans="9:15" x14ac:dyDescent="0.35">
      <c r="I1953" s="52"/>
      <c r="J1953" s="28"/>
      <c r="K1953" s="29"/>
      <c r="L1953" s="28"/>
      <c r="M1953" s="19"/>
      <c r="N1953" s="19"/>
      <c r="O1953" s="48"/>
    </row>
    <row r="1954" spans="9:15" x14ac:dyDescent="0.35">
      <c r="I1954" s="52"/>
      <c r="J1954" s="28"/>
      <c r="K1954" s="29"/>
      <c r="L1954" s="28"/>
      <c r="M1954" s="19"/>
      <c r="N1954" s="19"/>
      <c r="O1954" s="48"/>
    </row>
    <row r="1955" spans="9:15" x14ac:dyDescent="0.35">
      <c r="I1955" s="52"/>
      <c r="J1955" s="28"/>
      <c r="K1955" s="29"/>
      <c r="L1955" s="28"/>
      <c r="M1955" s="19"/>
      <c r="N1955" s="19"/>
      <c r="O1955" s="48"/>
    </row>
    <row r="1956" spans="9:15" x14ac:dyDescent="0.35">
      <c r="I1956" s="52"/>
      <c r="J1956" s="28"/>
      <c r="K1956" s="29"/>
      <c r="L1956" s="28"/>
      <c r="M1956" s="19"/>
      <c r="N1956" s="19"/>
      <c r="O1956" s="48"/>
    </row>
    <row r="1957" spans="9:15" x14ac:dyDescent="0.35">
      <c r="I1957" s="52"/>
      <c r="J1957" s="28"/>
      <c r="K1957" s="29"/>
      <c r="L1957" s="28"/>
      <c r="M1957" s="19"/>
      <c r="N1957" s="19"/>
      <c r="O1957" s="48"/>
    </row>
    <row r="1958" spans="9:15" x14ac:dyDescent="0.35">
      <c r="I1958" s="52"/>
      <c r="J1958" s="28"/>
      <c r="K1958" s="29"/>
      <c r="L1958" s="28"/>
      <c r="M1958" s="19"/>
      <c r="N1958" s="19"/>
      <c r="O1958" s="48"/>
    </row>
    <row r="1959" spans="9:15" x14ac:dyDescent="0.35">
      <c r="I1959" s="52"/>
      <c r="J1959" s="28"/>
      <c r="K1959" s="29"/>
      <c r="L1959" s="28"/>
      <c r="M1959" s="19"/>
      <c r="N1959" s="19"/>
      <c r="O1959" s="48"/>
    </row>
    <row r="1960" spans="9:15" x14ac:dyDescent="0.35">
      <c r="I1960" s="52"/>
      <c r="J1960" s="28"/>
      <c r="K1960" s="29"/>
      <c r="L1960" s="28"/>
      <c r="M1960" s="19"/>
      <c r="N1960" s="19"/>
      <c r="O1960" s="48"/>
    </row>
    <row r="1961" spans="9:15" x14ac:dyDescent="0.35">
      <c r="I1961" s="52"/>
      <c r="J1961" s="28"/>
      <c r="K1961" s="29"/>
      <c r="L1961" s="28"/>
      <c r="M1961" s="19"/>
      <c r="N1961" s="19"/>
      <c r="O1961" s="48"/>
    </row>
    <row r="1962" spans="9:15" x14ac:dyDescent="0.35">
      <c r="I1962" s="52"/>
      <c r="J1962" s="28"/>
      <c r="K1962" s="29"/>
      <c r="L1962" s="28"/>
      <c r="M1962" s="19"/>
      <c r="N1962" s="19"/>
      <c r="O1962" s="48"/>
    </row>
    <row r="1963" spans="9:15" x14ac:dyDescent="0.35">
      <c r="I1963" s="52"/>
      <c r="J1963" s="28"/>
      <c r="K1963" s="29"/>
      <c r="L1963" s="28"/>
      <c r="M1963" s="19"/>
      <c r="N1963" s="19"/>
      <c r="O1963" s="48"/>
    </row>
    <row r="1964" spans="9:15" x14ac:dyDescent="0.35">
      <c r="I1964" s="52"/>
      <c r="J1964" s="28"/>
      <c r="K1964" s="29"/>
      <c r="L1964" s="28"/>
      <c r="M1964" s="19"/>
      <c r="N1964" s="19"/>
      <c r="O1964" s="48"/>
    </row>
    <row r="1965" spans="9:15" x14ac:dyDescent="0.35">
      <c r="I1965" s="52"/>
      <c r="J1965" s="28"/>
      <c r="K1965" s="29"/>
      <c r="L1965" s="28"/>
      <c r="M1965" s="19"/>
      <c r="N1965" s="19"/>
      <c r="O1965" s="48"/>
    </row>
    <row r="1966" spans="9:15" x14ac:dyDescent="0.35">
      <c r="I1966" s="52"/>
      <c r="J1966" s="28"/>
      <c r="K1966" s="29"/>
      <c r="L1966" s="28"/>
      <c r="M1966" s="19"/>
      <c r="N1966" s="19"/>
      <c r="O1966" s="48"/>
    </row>
    <row r="1967" spans="9:15" x14ac:dyDescent="0.35">
      <c r="I1967" s="52"/>
      <c r="J1967" s="28"/>
      <c r="K1967" s="29"/>
      <c r="L1967" s="28"/>
      <c r="M1967" s="19"/>
      <c r="N1967" s="19"/>
      <c r="O1967" s="48"/>
    </row>
    <row r="1968" spans="9:15" x14ac:dyDescent="0.35">
      <c r="I1968" s="52"/>
      <c r="J1968" s="28"/>
      <c r="K1968" s="29"/>
      <c r="L1968" s="28"/>
      <c r="M1968" s="19"/>
      <c r="N1968" s="19"/>
      <c r="O1968" s="48"/>
    </row>
    <row r="1969" spans="9:15" x14ac:dyDescent="0.35">
      <c r="I1969" s="52"/>
      <c r="J1969" s="28"/>
      <c r="K1969" s="29"/>
      <c r="L1969" s="28"/>
      <c r="M1969" s="19"/>
      <c r="N1969" s="19"/>
      <c r="O1969" s="48"/>
    </row>
    <row r="1970" spans="9:15" x14ac:dyDescent="0.35">
      <c r="I1970" s="52"/>
      <c r="J1970" s="28"/>
      <c r="K1970" s="29"/>
      <c r="L1970" s="28"/>
      <c r="M1970" s="19"/>
      <c r="N1970" s="19"/>
      <c r="O1970" s="48"/>
    </row>
    <row r="1971" spans="9:15" x14ac:dyDescent="0.35">
      <c r="I1971" s="52"/>
      <c r="J1971" s="28"/>
      <c r="K1971" s="29"/>
      <c r="L1971" s="28"/>
      <c r="M1971" s="19"/>
      <c r="N1971" s="19"/>
      <c r="O1971" s="48"/>
    </row>
    <row r="1972" spans="9:15" x14ac:dyDescent="0.35">
      <c r="I1972" s="52"/>
      <c r="J1972" s="28"/>
      <c r="K1972" s="29"/>
      <c r="L1972" s="28"/>
      <c r="M1972" s="19"/>
      <c r="N1972" s="19"/>
      <c r="O1972" s="48"/>
    </row>
    <row r="1973" spans="9:15" x14ac:dyDescent="0.35">
      <c r="I1973" s="52"/>
      <c r="J1973" s="28"/>
      <c r="K1973" s="29"/>
      <c r="L1973" s="28"/>
      <c r="M1973" s="19"/>
      <c r="N1973" s="19"/>
      <c r="O1973" s="48"/>
    </row>
    <row r="1974" spans="9:15" x14ac:dyDescent="0.35">
      <c r="I1974" s="52"/>
      <c r="J1974" s="28"/>
      <c r="K1974" s="29"/>
      <c r="L1974" s="28"/>
      <c r="M1974" s="19"/>
      <c r="N1974" s="19"/>
      <c r="O1974" s="48"/>
    </row>
    <row r="1975" spans="9:15" x14ac:dyDescent="0.35">
      <c r="I1975" s="52"/>
      <c r="J1975" s="28"/>
      <c r="K1975" s="29"/>
      <c r="L1975" s="28"/>
      <c r="M1975" s="19"/>
      <c r="N1975" s="19"/>
      <c r="O1975" s="48"/>
    </row>
    <row r="1976" spans="9:15" x14ac:dyDescent="0.35">
      <c r="I1976" s="52"/>
      <c r="J1976" s="28"/>
      <c r="K1976" s="29"/>
      <c r="L1976" s="28"/>
      <c r="M1976" s="19"/>
      <c r="N1976" s="19"/>
      <c r="O1976" s="48"/>
    </row>
    <row r="1977" spans="9:15" x14ac:dyDescent="0.35">
      <c r="I1977" s="52"/>
      <c r="J1977" s="28"/>
      <c r="K1977" s="29"/>
      <c r="L1977" s="28"/>
      <c r="M1977" s="19"/>
      <c r="N1977" s="19"/>
      <c r="O1977" s="48"/>
    </row>
    <row r="1978" spans="9:15" x14ac:dyDescent="0.35">
      <c r="I1978" s="52"/>
      <c r="J1978" s="28"/>
      <c r="K1978" s="29"/>
      <c r="L1978" s="28"/>
      <c r="M1978" s="19"/>
      <c r="N1978" s="19"/>
      <c r="O1978" s="48"/>
    </row>
    <row r="1979" spans="9:15" x14ac:dyDescent="0.35">
      <c r="I1979" s="52"/>
      <c r="J1979" s="28"/>
      <c r="K1979" s="29"/>
      <c r="L1979" s="28"/>
      <c r="M1979" s="19"/>
      <c r="N1979" s="19"/>
      <c r="O1979" s="48"/>
    </row>
    <row r="1980" spans="9:15" x14ac:dyDescent="0.35">
      <c r="I1980" s="52"/>
      <c r="J1980" s="28"/>
      <c r="K1980" s="29"/>
      <c r="L1980" s="28"/>
      <c r="M1980" s="19"/>
      <c r="N1980" s="19"/>
      <c r="O1980" s="48"/>
    </row>
    <row r="1981" spans="9:15" x14ac:dyDescent="0.35">
      <c r="I1981" s="52"/>
      <c r="J1981" s="28"/>
      <c r="K1981" s="29"/>
      <c r="L1981" s="28"/>
      <c r="M1981" s="19"/>
      <c r="N1981" s="19"/>
      <c r="O1981" s="48"/>
    </row>
    <row r="1982" spans="9:15" x14ac:dyDescent="0.35">
      <c r="I1982" s="52"/>
      <c r="J1982" s="28"/>
      <c r="K1982" s="29"/>
      <c r="L1982" s="28"/>
      <c r="M1982" s="19"/>
      <c r="N1982" s="19"/>
      <c r="O1982" s="48"/>
    </row>
    <row r="1983" spans="9:15" x14ac:dyDescent="0.35">
      <c r="I1983" s="52"/>
      <c r="J1983" s="28"/>
      <c r="K1983" s="29"/>
      <c r="L1983" s="28"/>
      <c r="M1983" s="19"/>
      <c r="N1983" s="19"/>
      <c r="O1983" s="48"/>
    </row>
    <row r="1984" spans="9:15" x14ac:dyDescent="0.35">
      <c r="I1984" s="52"/>
      <c r="J1984" s="28"/>
      <c r="K1984" s="29"/>
      <c r="L1984" s="28"/>
      <c r="M1984" s="19"/>
      <c r="N1984" s="19"/>
      <c r="O1984" s="48"/>
    </row>
    <row r="1985" spans="9:15" x14ac:dyDescent="0.35">
      <c r="I1985" s="52"/>
      <c r="J1985" s="28"/>
      <c r="K1985" s="29"/>
      <c r="L1985" s="28"/>
      <c r="M1985" s="19"/>
      <c r="N1985" s="19"/>
      <c r="O1985" s="48"/>
    </row>
    <row r="1986" spans="9:15" x14ac:dyDescent="0.35">
      <c r="I1986" s="52"/>
      <c r="J1986" s="28"/>
      <c r="K1986" s="29"/>
      <c r="L1986" s="28"/>
      <c r="M1986" s="19"/>
      <c r="N1986" s="19"/>
      <c r="O1986" s="48"/>
    </row>
    <row r="1987" spans="9:15" x14ac:dyDescent="0.35">
      <c r="I1987" s="52"/>
      <c r="J1987" s="28"/>
      <c r="K1987" s="29"/>
      <c r="L1987" s="28"/>
      <c r="M1987" s="19"/>
      <c r="N1987" s="19"/>
      <c r="O1987" s="48"/>
    </row>
    <row r="1988" spans="9:15" x14ac:dyDescent="0.35">
      <c r="I1988" s="52"/>
      <c r="J1988" s="28"/>
      <c r="K1988" s="29"/>
      <c r="L1988" s="28"/>
      <c r="M1988" s="19"/>
      <c r="N1988" s="19"/>
      <c r="O1988" s="48"/>
    </row>
    <row r="1989" spans="9:15" x14ac:dyDescent="0.35">
      <c r="I1989" s="52"/>
      <c r="J1989" s="28"/>
      <c r="K1989" s="29"/>
      <c r="L1989" s="28"/>
      <c r="M1989" s="19"/>
      <c r="N1989" s="19"/>
      <c r="O1989" s="48"/>
    </row>
    <row r="1990" spans="9:15" x14ac:dyDescent="0.35">
      <c r="I1990" s="52"/>
      <c r="J1990" s="28"/>
      <c r="K1990" s="29"/>
      <c r="L1990" s="28"/>
      <c r="M1990" s="19"/>
      <c r="N1990" s="19"/>
      <c r="O1990" s="48"/>
    </row>
    <row r="1991" spans="9:15" x14ac:dyDescent="0.35">
      <c r="I1991" s="52"/>
      <c r="J1991" s="28"/>
      <c r="K1991" s="29"/>
      <c r="L1991" s="28"/>
      <c r="M1991" s="19"/>
      <c r="N1991" s="19"/>
      <c r="O1991" s="48"/>
    </row>
    <row r="1992" spans="9:15" x14ac:dyDescent="0.35">
      <c r="I1992" s="52"/>
      <c r="J1992" s="28"/>
      <c r="K1992" s="29"/>
      <c r="L1992" s="28"/>
      <c r="M1992" s="19"/>
      <c r="N1992" s="19"/>
      <c r="O1992" s="48"/>
    </row>
    <row r="1993" spans="9:15" x14ac:dyDescent="0.35">
      <c r="I1993" s="52"/>
      <c r="J1993" s="28"/>
      <c r="K1993" s="29"/>
      <c r="L1993" s="28"/>
      <c r="M1993" s="19"/>
      <c r="N1993" s="19"/>
      <c r="O1993" s="48"/>
    </row>
    <row r="1994" spans="9:15" x14ac:dyDescent="0.35">
      <c r="I1994" s="52"/>
      <c r="J1994" s="28"/>
      <c r="K1994" s="29"/>
      <c r="L1994" s="28"/>
      <c r="M1994" s="19"/>
      <c r="N1994" s="19"/>
      <c r="O1994" s="48"/>
    </row>
    <row r="1995" spans="9:15" x14ac:dyDescent="0.35">
      <c r="I1995" s="52"/>
      <c r="J1995" s="28"/>
      <c r="K1995" s="29"/>
      <c r="L1995" s="28"/>
      <c r="M1995" s="19"/>
      <c r="N1995" s="19"/>
      <c r="O1995" s="48"/>
    </row>
    <row r="1996" spans="9:15" x14ac:dyDescent="0.35">
      <c r="I1996" s="52"/>
      <c r="J1996" s="28"/>
      <c r="K1996" s="29"/>
      <c r="L1996" s="28"/>
      <c r="M1996" s="19"/>
      <c r="N1996" s="19"/>
      <c r="O1996" s="48"/>
    </row>
    <row r="1997" spans="9:15" x14ac:dyDescent="0.35">
      <c r="I1997" s="52"/>
      <c r="J1997" s="28"/>
      <c r="K1997" s="29"/>
      <c r="L1997" s="28"/>
      <c r="M1997" s="19"/>
      <c r="N1997" s="19"/>
      <c r="O1997" s="48"/>
    </row>
    <row r="1998" spans="9:15" x14ac:dyDescent="0.35">
      <c r="I1998" s="52"/>
      <c r="J1998" s="28"/>
      <c r="K1998" s="29"/>
      <c r="L1998" s="28"/>
      <c r="M1998" s="19"/>
      <c r="N1998" s="19"/>
      <c r="O1998" s="48"/>
    </row>
    <row r="1999" spans="9:15" x14ac:dyDescent="0.35">
      <c r="I1999" s="52"/>
      <c r="J1999" s="28"/>
      <c r="K1999" s="29"/>
      <c r="L1999" s="28"/>
      <c r="M1999" s="19"/>
      <c r="N1999" s="19"/>
      <c r="O1999" s="48"/>
    </row>
    <row r="2000" spans="9:15" x14ac:dyDescent="0.35">
      <c r="I2000" s="52"/>
      <c r="J2000" s="28"/>
      <c r="K2000" s="29"/>
      <c r="L2000" s="28"/>
      <c r="M2000" s="19"/>
      <c r="N2000" s="19"/>
      <c r="O2000" s="48"/>
    </row>
    <row r="2001" spans="9:15" x14ac:dyDescent="0.35">
      <c r="I2001" s="52"/>
      <c r="J2001" s="28"/>
      <c r="K2001" s="29"/>
      <c r="L2001" s="28"/>
      <c r="M2001" s="19"/>
      <c r="N2001" s="19"/>
      <c r="O2001" s="48"/>
    </row>
    <row r="2002" spans="9:15" x14ac:dyDescent="0.35">
      <c r="I2002" s="52"/>
      <c r="J2002" s="28"/>
      <c r="K2002" s="29"/>
      <c r="L2002" s="28"/>
      <c r="M2002" s="19"/>
      <c r="N2002" s="19"/>
      <c r="O2002" s="48"/>
    </row>
    <row r="2003" spans="9:15" x14ac:dyDescent="0.35">
      <c r="I2003" s="52"/>
      <c r="J2003" s="28"/>
      <c r="K2003" s="29"/>
      <c r="L2003" s="28"/>
      <c r="M2003" s="19"/>
      <c r="N2003" s="19"/>
      <c r="O2003" s="48"/>
    </row>
    <row r="2004" spans="9:15" x14ac:dyDescent="0.35">
      <c r="I2004" s="52"/>
      <c r="J2004" s="28"/>
      <c r="K2004" s="29"/>
      <c r="L2004" s="28"/>
      <c r="M2004" s="19"/>
      <c r="N2004" s="19"/>
      <c r="O2004" s="48"/>
    </row>
    <row r="2005" spans="9:15" x14ac:dyDescent="0.35">
      <c r="I2005" s="52"/>
      <c r="J2005" s="28"/>
      <c r="K2005" s="29"/>
      <c r="L2005" s="28"/>
      <c r="M2005" s="19"/>
      <c r="N2005" s="19"/>
      <c r="O2005" s="48"/>
    </row>
    <row r="2006" spans="9:15" x14ac:dyDescent="0.35">
      <c r="I2006" s="52"/>
      <c r="J2006" s="28"/>
      <c r="K2006" s="29"/>
      <c r="L2006" s="28"/>
      <c r="M2006" s="19"/>
      <c r="N2006" s="19"/>
      <c r="O2006" s="48"/>
    </row>
    <row r="2007" spans="9:15" x14ac:dyDescent="0.35">
      <c r="I2007" s="52"/>
      <c r="J2007" s="28"/>
      <c r="K2007" s="29"/>
      <c r="L2007" s="28"/>
      <c r="M2007" s="19"/>
      <c r="N2007" s="19"/>
      <c r="O2007" s="48"/>
    </row>
    <row r="2008" spans="9:15" x14ac:dyDescent="0.35">
      <c r="I2008" s="52"/>
      <c r="J2008" s="28"/>
      <c r="K2008" s="29"/>
      <c r="L2008" s="28"/>
      <c r="M2008" s="19"/>
      <c r="N2008" s="19"/>
      <c r="O2008" s="48"/>
    </row>
    <row r="2009" spans="9:15" x14ac:dyDescent="0.35">
      <c r="I2009" s="52"/>
      <c r="J2009" s="28"/>
      <c r="K2009" s="29"/>
      <c r="L2009" s="28"/>
      <c r="M2009" s="19"/>
      <c r="N2009" s="19"/>
      <c r="O2009" s="48"/>
    </row>
    <row r="2010" spans="9:15" x14ac:dyDescent="0.35">
      <c r="I2010" s="52"/>
      <c r="J2010" s="28"/>
      <c r="K2010" s="29"/>
      <c r="L2010" s="28"/>
      <c r="M2010" s="19"/>
      <c r="N2010" s="19"/>
      <c r="O2010" s="48"/>
    </row>
    <row r="2011" spans="9:15" x14ac:dyDescent="0.35">
      <c r="I2011" s="52"/>
      <c r="J2011" s="28"/>
      <c r="K2011" s="29"/>
      <c r="L2011" s="28"/>
      <c r="M2011" s="19"/>
      <c r="N2011" s="19"/>
      <c r="O2011" s="48"/>
    </row>
    <row r="2012" spans="9:15" x14ac:dyDescent="0.35">
      <c r="I2012" s="52"/>
      <c r="J2012" s="28"/>
      <c r="K2012" s="29"/>
      <c r="L2012" s="28"/>
      <c r="M2012" s="19"/>
      <c r="N2012" s="19"/>
      <c r="O2012" s="48"/>
    </row>
    <row r="2013" spans="9:15" x14ac:dyDescent="0.35">
      <c r="I2013" s="52"/>
      <c r="J2013" s="28"/>
      <c r="K2013" s="29"/>
      <c r="L2013" s="28"/>
      <c r="M2013" s="19"/>
      <c r="N2013" s="19"/>
      <c r="O2013" s="48"/>
    </row>
    <row r="2014" spans="9:15" x14ac:dyDescent="0.35">
      <c r="I2014" s="52"/>
      <c r="J2014" s="28"/>
      <c r="K2014" s="29"/>
      <c r="L2014" s="28"/>
      <c r="M2014" s="19"/>
      <c r="N2014" s="19"/>
      <c r="O2014" s="48"/>
    </row>
    <row r="2015" spans="9:15" x14ac:dyDescent="0.35">
      <c r="I2015" s="52"/>
      <c r="J2015" s="28"/>
      <c r="K2015" s="29"/>
      <c r="L2015" s="28"/>
      <c r="M2015" s="19"/>
      <c r="N2015" s="19"/>
      <c r="O2015" s="48"/>
    </row>
    <row r="2016" spans="9:15" x14ac:dyDescent="0.35">
      <c r="I2016" s="52"/>
      <c r="J2016" s="28"/>
      <c r="K2016" s="29"/>
      <c r="L2016" s="28"/>
      <c r="M2016" s="19"/>
      <c r="N2016" s="19"/>
      <c r="O2016" s="48"/>
    </row>
    <row r="2017" spans="9:15" x14ac:dyDescent="0.35">
      <c r="I2017" s="52"/>
      <c r="J2017" s="28"/>
      <c r="K2017" s="29"/>
      <c r="L2017" s="28"/>
      <c r="M2017" s="19"/>
      <c r="N2017" s="19"/>
      <c r="O2017" s="48"/>
    </row>
    <row r="2018" spans="9:15" x14ac:dyDescent="0.35">
      <c r="I2018" s="52"/>
      <c r="J2018" s="28"/>
      <c r="K2018" s="29"/>
      <c r="L2018" s="28"/>
      <c r="M2018" s="19"/>
      <c r="N2018" s="19"/>
      <c r="O2018" s="48"/>
    </row>
    <row r="2019" spans="9:15" x14ac:dyDescent="0.35">
      <c r="I2019" s="52"/>
      <c r="J2019" s="28"/>
      <c r="K2019" s="29"/>
      <c r="L2019" s="28"/>
      <c r="M2019" s="19"/>
      <c r="N2019" s="19"/>
      <c r="O2019" s="48"/>
    </row>
    <row r="2020" spans="9:15" x14ac:dyDescent="0.35">
      <c r="I2020" s="52"/>
      <c r="J2020" s="28"/>
      <c r="K2020" s="29"/>
      <c r="L2020" s="28"/>
      <c r="M2020" s="19"/>
      <c r="N2020" s="19"/>
      <c r="O2020" s="48"/>
    </row>
    <row r="2021" spans="9:15" x14ac:dyDescent="0.35">
      <c r="I2021" s="52"/>
      <c r="J2021" s="28"/>
      <c r="K2021" s="29"/>
      <c r="L2021" s="28"/>
      <c r="M2021" s="19"/>
      <c r="N2021" s="19"/>
      <c r="O2021" s="48"/>
    </row>
    <row r="2022" spans="9:15" x14ac:dyDescent="0.35">
      <c r="I2022" s="52"/>
      <c r="J2022" s="28"/>
      <c r="K2022" s="29"/>
      <c r="L2022" s="28"/>
      <c r="M2022" s="19"/>
      <c r="N2022" s="19"/>
      <c r="O2022" s="48"/>
    </row>
    <row r="2023" spans="9:15" x14ac:dyDescent="0.35">
      <c r="I2023" s="52"/>
      <c r="J2023" s="28"/>
      <c r="K2023" s="29"/>
      <c r="L2023" s="28"/>
      <c r="M2023" s="19"/>
      <c r="N2023" s="19"/>
      <c r="O2023" s="48"/>
    </row>
    <row r="2024" spans="9:15" x14ac:dyDescent="0.35">
      <c r="I2024" s="52"/>
      <c r="J2024" s="28"/>
      <c r="K2024" s="29"/>
      <c r="L2024" s="28"/>
      <c r="M2024" s="19"/>
      <c r="N2024" s="19"/>
      <c r="O2024" s="48"/>
    </row>
    <row r="2025" spans="9:15" x14ac:dyDescent="0.35">
      <c r="I2025" s="52"/>
      <c r="J2025" s="28"/>
      <c r="K2025" s="29"/>
      <c r="L2025" s="28"/>
      <c r="M2025" s="19"/>
      <c r="N2025" s="19"/>
      <c r="O2025" s="48"/>
    </row>
    <row r="2026" spans="9:15" x14ac:dyDescent="0.35">
      <c r="I2026" s="52"/>
      <c r="J2026" s="28"/>
      <c r="K2026" s="29"/>
      <c r="L2026" s="28"/>
      <c r="M2026" s="19"/>
      <c r="N2026" s="19"/>
      <c r="O2026" s="48"/>
    </row>
    <row r="2027" spans="9:15" x14ac:dyDescent="0.35">
      <c r="I2027" s="52"/>
      <c r="J2027" s="28"/>
      <c r="K2027" s="29"/>
      <c r="L2027" s="28"/>
      <c r="M2027" s="19"/>
      <c r="N2027" s="19"/>
      <c r="O2027" s="48"/>
    </row>
    <row r="2028" spans="9:15" x14ac:dyDescent="0.35">
      <c r="I2028" s="52"/>
      <c r="J2028" s="28"/>
      <c r="K2028" s="29"/>
      <c r="L2028" s="28"/>
      <c r="M2028" s="19"/>
      <c r="N2028" s="19"/>
      <c r="O2028" s="48"/>
    </row>
    <row r="2029" spans="9:15" x14ac:dyDescent="0.35">
      <c r="I2029" s="52"/>
      <c r="J2029" s="28"/>
      <c r="K2029" s="29"/>
      <c r="L2029" s="28"/>
      <c r="M2029" s="19"/>
      <c r="N2029" s="19"/>
      <c r="O2029" s="48"/>
    </row>
    <row r="2030" spans="9:15" x14ac:dyDescent="0.35">
      <c r="I2030" s="52"/>
      <c r="J2030" s="28"/>
      <c r="K2030" s="29"/>
      <c r="L2030" s="28"/>
      <c r="M2030" s="19"/>
      <c r="N2030" s="19"/>
      <c r="O2030" s="48"/>
    </row>
    <row r="2031" spans="9:15" x14ac:dyDescent="0.35">
      <c r="I2031" s="52"/>
      <c r="J2031" s="28"/>
      <c r="K2031" s="29"/>
      <c r="L2031" s="28"/>
      <c r="M2031" s="19"/>
      <c r="N2031" s="19"/>
      <c r="O2031" s="48"/>
    </row>
    <row r="2032" spans="9:15" x14ac:dyDescent="0.35">
      <c r="I2032" s="52"/>
      <c r="J2032" s="28"/>
      <c r="K2032" s="29"/>
      <c r="L2032" s="28"/>
      <c r="M2032" s="19"/>
      <c r="N2032" s="19"/>
      <c r="O2032" s="48"/>
    </row>
    <row r="2033" spans="9:15" x14ac:dyDescent="0.35">
      <c r="I2033" s="52"/>
      <c r="J2033" s="28"/>
      <c r="K2033" s="29"/>
      <c r="L2033" s="28"/>
      <c r="M2033" s="19"/>
      <c r="N2033" s="19"/>
      <c r="O2033" s="48"/>
    </row>
    <row r="2034" spans="9:15" x14ac:dyDescent="0.35">
      <c r="I2034" s="52"/>
      <c r="J2034" s="28"/>
      <c r="K2034" s="29"/>
      <c r="L2034" s="28"/>
      <c r="M2034" s="19"/>
      <c r="N2034" s="19"/>
      <c r="O2034" s="48"/>
    </row>
    <row r="2035" spans="9:15" x14ac:dyDescent="0.35">
      <c r="I2035" s="52"/>
      <c r="J2035" s="28"/>
      <c r="K2035" s="29"/>
      <c r="L2035" s="28"/>
      <c r="M2035" s="19"/>
      <c r="N2035" s="19"/>
      <c r="O2035" s="48"/>
    </row>
    <row r="2036" spans="9:15" x14ac:dyDescent="0.35">
      <c r="I2036" s="52"/>
      <c r="J2036" s="28"/>
      <c r="K2036" s="29"/>
      <c r="L2036" s="28"/>
      <c r="M2036" s="19"/>
      <c r="N2036" s="19"/>
      <c r="O2036" s="48"/>
    </row>
    <row r="2037" spans="9:15" x14ac:dyDescent="0.35">
      <c r="I2037" s="52"/>
      <c r="J2037" s="28"/>
      <c r="K2037" s="29"/>
      <c r="L2037" s="28"/>
      <c r="M2037" s="19"/>
      <c r="N2037" s="19"/>
      <c r="O2037" s="48"/>
    </row>
    <row r="2038" spans="9:15" x14ac:dyDescent="0.35">
      <c r="I2038" s="52"/>
      <c r="J2038" s="28"/>
      <c r="K2038" s="29"/>
      <c r="L2038" s="28"/>
      <c r="M2038" s="19"/>
      <c r="N2038" s="19"/>
      <c r="O2038" s="48"/>
    </row>
    <row r="2039" spans="9:15" x14ac:dyDescent="0.35">
      <c r="I2039" s="52"/>
      <c r="J2039" s="28"/>
      <c r="K2039" s="29"/>
      <c r="L2039" s="28"/>
      <c r="M2039" s="19"/>
      <c r="N2039" s="19"/>
      <c r="O2039" s="48"/>
    </row>
    <row r="2040" spans="9:15" x14ac:dyDescent="0.35">
      <c r="I2040" s="52"/>
      <c r="J2040" s="28"/>
      <c r="K2040" s="29"/>
      <c r="L2040" s="28"/>
      <c r="M2040" s="19"/>
      <c r="N2040" s="19"/>
      <c r="O2040" s="48"/>
    </row>
    <row r="2041" spans="9:15" x14ac:dyDescent="0.35">
      <c r="I2041" s="52"/>
      <c r="J2041" s="28"/>
      <c r="K2041" s="29"/>
      <c r="L2041" s="28"/>
      <c r="M2041" s="19"/>
      <c r="N2041" s="19"/>
      <c r="O2041" s="48"/>
    </row>
    <row r="2042" spans="9:15" x14ac:dyDescent="0.35">
      <c r="I2042" s="52"/>
      <c r="J2042" s="28"/>
      <c r="K2042" s="29"/>
      <c r="L2042" s="28"/>
      <c r="M2042" s="19"/>
      <c r="N2042" s="19"/>
      <c r="O2042" s="48"/>
    </row>
    <row r="2043" spans="9:15" x14ac:dyDescent="0.35">
      <c r="I2043" s="52"/>
      <c r="J2043" s="28"/>
      <c r="K2043" s="29"/>
      <c r="L2043" s="28"/>
      <c r="M2043" s="19"/>
      <c r="N2043" s="19"/>
      <c r="O2043" s="48"/>
    </row>
    <row r="2044" spans="9:15" x14ac:dyDescent="0.35">
      <c r="I2044" s="52"/>
      <c r="J2044" s="28"/>
      <c r="K2044" s="29"/>
      <c r="L2044" s="28"/>
      <c r="M2044" s="19"/>
      <c r="N2044" s="19"/>
      <c r="O2044" s="48"/>
    </row>
    <row r="2045" spans="9:15" x14ac:dyDescent="0.35">
      <c r="I2045" s="52"/>
      <c r="J2045" s="28"/>
      <c r="K2045" s="29"/>
      <c r="L2045" s="28"/>
      <c r="M2045" s="19"/>
      <c r="N2045" s="19"/>
      <c r="O2045" s="48"/>
    </row>
    <row r="2046" spans="9:15" x14ac:dyDescent="0.35">
      <c r="I2046" s="52"/>
      <c r="J2046" s="28"/>
      <c r="K2046" s="29"/>
      <c r="L2046" s="28"/>
      <c r="M2046" s="19"/>
      <c r="N2046" s="19"/>
      <c r="O2046" s="48"/>
    </row>
    <row r="2047" spans="9:15" x14ac:dyDescent="0.35">
      <c r="I2047" s="52"/>
      <c r="J2047" s="28"/>
      <c r="K2047" s="29"/>
      <c r="L2047" s="28"/>
      <c r="M2047" s="19"/>
      <c r="N2047" s="19"/>
      <c r="O2047" s="48"/>
    </row>
    <row r="2048" spans="9:15" x14ac:dyDescent="0.35">
      <c r="I2048" s="52"/>
      <c r="J2048" s="28"/>
      <c r="K2048" s="29"/>
      <c r="L2048" s="28"/>
      <c r="M2048" s="19"/>
      <c r="N2048" s="19"/>
      <c r="O2048" s="48"/>
    </row>
    <row r="2049" spans="9:15" x14ac:dyDescent="0.35">
      <c r="I2049" s="52"/>
      <c r="J2049" s="28"/>
      <c r="K2049" s="29"/>
      <c r="L2049" s="28"/>
      <c r="M2049" s="19"/>
      <c r="N2049" s="19"/>
      <c r="O2049" s="48"/>
    </row>
    <row r="2050" spans="9:15" x14ac:dyDescent="0.35">
      <c r="I2050" s="52"/>
      <c r="J2050" s="28"/>
      <c r="K2050" s="29"/>
      <c r="L2050" s="28"/>
      <c r="M2050" s="19"/>
      <c r="N2050" s="19"/>
      <c r="O2050" s="48"/>
    </row>
    <row r="2051" spans="9:15" x14ac:dyDescent="0.35">
      <c r="I2051" s="52"/>
      <c r="J2051" s="28"/>
      <c r="K2051" s="29"/>
      <c r="L2051" s="28"/>
      <c r="M2051" s="19"/>
      <c r="N2051" s="19"/>
      <c r="O2051" s="48"/>
    </row>
    <row r="2052" spans="9:15" x14ac:dyDescent="0.35">
      <c r="I2052" s="52"/>
      <c r="J2052" s="28"/>
      <c r="K2052" s="29"/>
      <c r="L2052" s="28"/>
      <c r="M2052" s="19"/>
      <c r="N2052" s="19"/>
      <c r="O2052" s="48"/>
    </row>
    <row r="2053" spans="9:15" x14ac:dyDescent="0.35">
      <c r="I2053" s="52"/>
      <c r="J2053" s="28"/>
      <c r="K2053" s="29"/>
      <c r="L2053" s="28"/>
      <c r="M2053" s="19"/>
      <c r="N2053" s="19"/>
      <c r="O2053" s="48"/>
    </row>
    <row r="2054" spans="9:15" x14ac:dyDescent="0.35">
      <c r="I2054" s="52"/>
      <c r="J2054" s="28"/>
      <c r="K2054" s="29"/>
      <c r="L2054" s="28"/>
      <c r="M2054" s="19"/>
      <c r="N2054" s="19"/>
      <c r="O2054" s="48"/>
    </row>
    <row r="2055" spans="9:15" x14ac:dyDescent="0.35">
      <c r="I2055" s="52"/>
      <c r="J2055" s="28"/>
      <c r="K2055" s="29"/>
      <c r="L2055" s="28"/>
      <c r="M2055" s="19"/>
      <c r="N2055" s="19"/>
      <c r="O2055" s="48"/>
    </row>
    <row r="2056" spans="9:15" x14ac:dyDescent="0.35">
      <c r="I2056" s="52"/>
      <c r="J2056" s="28"/>
      <c r="K2056" s="29"/>
      <c r="L2056" s="28"/>
      <c r="M2056" s="19"/>
      <c r="N2056" s="19"/>
      <c r="O2056" s="48"/>
    </row>
    <row r="2057" spans="9:15" x14ac:dyDescent="0.35">
      <c r="I2057" s="52"/>
      <c r="J2057" s="28"/>
      <c r="K2057" s="29"/>
      <c r="L2057" s="28"/>
      <c r="M2057" s="19"/>
      <c r="N2057" s="19"/>
      <c r="O2057" s="48"/>
    </row>
    <row r="2058" spans="9:15" x14ac:dyDescent="0.35">
      <c r="I2058" s="52"/>
      <c r="J2058" s="28"/>
      <c r="K2058" s="29"/>
      <c r="L2058" s="28"/>
      <c r="M2058" s="19"/>
      <c r="N2058" s="19"/>
      <c r="O2058" s="48"/>
    </row>
    <row r="2059" spans="9:15" x14ac:dyDescent="0.35">
      <c r="I2059" s="52"/>
      <c r="J2059" s="28"/>
      <c r="K2059" s="29"/>
      <c r="L2059" s="28"/>
      <c r="M2059" s="19"/>
      <c r="N2059" s="19"/>
      <c r="O2059" s="48"/>
    </row>
    <row r="2060" spans="9:15" x14ac:dyDescent="0.35">
      <c r="I2060" s="52"/>
      <c r="J2060" s="28"/>
      <c r="K2060" s="29"/>
      <c r="L2060" s="28"/>
      <c r="M2060" s="19"/>
      <c r="N2060" s="19"/>
      <c r="O2060" s="48"/>
    </row>
    <row r="2061" spans="9:15" x14ac:dyDescent="0.35">
      <c r="I2061" s="52"/>
      <c r="J2061" s="28"/>
      <c r="K2061" s="29"/>
      <c r="L2061" s="28"/>
      <c r="M2061" s="19"/>
      <c r="N2061" s="19"/>
      <c r="O2061" s="48"/>
    </row>
    <row r="2062" spans="9:15" x14ac:dyDescent="0.35">
      <c r="I2062" s="52"/>
      <c r="J2062" s="28"/>
      <c r="K2062" s="29"/>
      <c r="L2062" s="28"/>
      <c r="M2062" s="19"/>
      <c r="N2062" s="19"/>
      <c r="O2062" s="48"/>
    </row>
    <row r="2063" spans="9:15" x14ac:dyDescent="0.35">
      <c r="I2063" s="52"/>
      <c r="J2063" s="28"/>
      <c r="K2063" s="29"/>
      <c r="L2063" s="28"/>
      <c r="M2063" s="19"/>
      <c r="N2063" s="19"/>
      <c r="O2063" s="48"/>
    </row>
    <row r="2064" spans="9:15" x14ac:dyDescent="0.35">
      <c r="I2064" s="52"/>
      <c r="J2064" s="28"/>
      <c r="K2064" s="29"/>
      <c r="L2064" s="28"/>
      <c r="M2064" s="19"/>
      <c r="N2064" s="19"/>
      <c r="O2064" s="48"/>
    </row>
    <row r="2065" spans="9:15" x14ac:dyDescent="0.35">
      <c r="I2065" s="52"/>
      <c r="J2065" s="28"/>
      <c r="K2065" s="29"/>
      <c r="L2065" s="28"/>
      <c r="M2065" s="19"/>
      <c r="N2065" s="19"/>
      <c r="O2065" s="48"/>
    </row>
    <row r="2066" spans="9:15" x14ac:dyDescent="0.35">
      <c r="I2066" s="52"/>
      <c r="J2066" s="28"/>
      <c r="K2066" s="29"/>
      <c r="L2066" s="28"/>
      <c r="M2066" s="19"/>
      <c r="N2066" s="19"/>
      <c r="O2066" s="48"/>
    </row>
    <row r="2067" spans="9:15" x14ac:dyDescent="0.35">
      <c r="I2067" s="52"/>
      <c r="J2067" s="28"/>
      <c r="K2067" s="29"/>
      <c r="L2067" s="28"/>
      <c r="M2067" s="19"/>
      <c r="N2067" s="19"/>
      <c r="O2067" s="48"/>
    </row>
    <row r="2068" spans="9:15" x14ac:dyDescent="0.35">
      <c r="I2068" s="52"/>
      <c r="J2068" s="28"/>
      <c r="K2068" s="29"/>
      <c r="L2068" s="28"/>
      <c r="M2068" s="19"/>
      <c r="N2068" s="19"/>
      <c r="O2068" s="48"/>
    </row>
    <row r="2069" spans="9:15" x14ac:dyDescent="0.35">
      <c r="I2069" s="52"/>
      <c r="J2069" s="28"/>
      <c r="K2069" s="29"/>
      <c r="L2069" s="28"/>
      <c r="M2069" s="19"/>
      <c r="N2069" s="19"/>
      <c r="O2069" s="48"/>
    </row>
    <row r="2070" spans="9:15" x14ac:dyDescent="0.35">
      <c r="I2070" s="52"/>
      <c r="J2070" s="28"/>
      <c r="K2070" s="29"/>
      <c r="L2070" s="28"/>
      <c r="M2070" s="19"/>
      <c r="N2070" s="19"/>
      <c r="O2070" s="48"/>
    </row>
    <row r="2071" spans="9:15" x14ac:dyDescent="0.35">
      <c r="I2071" s="52"/>
      <c r="J2071" s="28"/>
      <c r="K2071" s="29"/>
      <c r="L2071" s="28"/>
      <c r="M2071" s="19"/>
      <c r="N2071" s="19"/>
      <c r="O2071" s="48"/>
    </row>
    <row r="2072" spans="9:15" x14ac:dyDescent="0.35">
      <c r="I2072" s="52"/>
      <c r="J2072" s="28"/>
      <c r="K2072" s="29"/>
      <c r="L2072" s="28"/>
      <c r="M2072" s="19"/>
      <c r="N2072" s="19"/>
      <c r="O2072" s="48"/>
    </row>
    <row r="2073" spans="9:15" x14ac:dyDescent="0.35">
      <c r="I2073" s="52"/>
      <c r="J2073" s="28"/>
      <c r="K2073" s="29"/>
      <c r="L2073" s="28"/>
      <c r="M2073" s="19"/>
      <c r="N2073" s="19"/>
      <c r="O2073" s="48"/>
    </row>
    <row r="2074" spans="9:15" x14ac:dyDescent="0.35">
      <c r="I2074" s="52"/>
      <c r="J2074" s="28"/>
      <c r="K2074" s="29"/>
      <c r="L2074" s="28"/>
      <c r="M2074" s="19"/>
      <c r="N2074" s="19"/>
      <c r="O2074" s="48"/>
    </row>
    <row r="2075" spans="9:15" x14ac:dyDescent="0.35">
      <c r="I2075" s="52"/>
      <c r="J2075" s="28"/>
      <c r="K2075" s="29"/>
      <c r="L2075" s="28"/>
      <c r="M2075" s="19"/>
      <c r="N2075" s="19"/>
      <c r="O2075" s="48"/>
    </row>
    <row r="2076" spans="9:15" x14ac:dyDescent="0.35">
      <c r="I2076" s="52"/>
      <c r="J2076" s="28"/>
      <c r="K2076" s="29"/>
      <c r="L2076" s="28"/>
      <c r="M2076" s="19"/>
      <c r="N2076" s="19"/>
      <c r="O2076" s="48"/>
    </row>
    <row r="2077" spans="9:15" x14ac:dyDescent="0.35">
      <c r="I2077" s="52"/>
      <c r="J2077" s="28"/>
      <c r="K2077" s="29"/>
      <c r="L2077" s="28"/>
      <c r="M2077" s="19"/>
      <c r="N2077" s="19"/>
      <c r="O2077" s="48"/>
    </row>
    <row r="2078" spans="9:15" x14ac:dyDescent="0.35">
      <c r="I2078" s="52"/>
      <c r="J2078" s="28"/>
      <c r="K2078" s="29"/>
      <c r="L2078" s="28"/>
      <c r="M2078" s="19"/>
      <c r="N2078" s="19"/>
      <c r="O2078" s="48"/>
    </row>
    <row r="2079" spans="9:15" x14ac:dyDescent="0.35">
      <c r="I2079" s="52"/>
      <c r="J2079" s="28"/>
      <c r="K2079" s="29"/>
      <c r="L2079" s="28"/>
      <c r="M2079" s="19"/>
      <c r="N2079" s="19"/>
      <c r="O2079" s="48"/>
    </row>
    <row r="2080" spans="9:15" x14ac:dyDescent="0.35">
      <c r="I2080" s="52"/>
      <c r="J2080" s="28"/>
      <c r="K2080" s="29"/>
      <c r="L2080" s="28"/>
      <c r="M2080" s="19"/>
      <c r="N2080" s="19"/>
      <c r="O2080" s="48"/>
    </row>
    <row r="2081" spans="9:15" x14ac:dyDescent="0.35">
      <c r="I2081" s="52"/>
      <c r="J2081" s="28"/>
      <c r="K2081" s="29"/>
      <c r="L2081" s="28"/>
      <c r="M2081" s="19"/>
      <c r="N2081" s="19"/>
      <c r="O2081" s="48"/>
    </row>
    <row r="2082" spans="9:15" x14ac:dyDescent="0.35">
      <c r="I2082" s="52"/>
      <c r="J2082" s="28"/>
      <c r="K2082" s="29"/>
      <c r="L2082" s="28"/>
      <c r="M2082" s="19"/>
      <c r="N2082" s="19"/>
      <c r="O2082" s="48"/>
    </row>
    <row r="2083" spans="9:15" x14ac:dyDescent="0.35">
      <c r="I2083" s="52"/>
      <c r="J2083" s="28"/>
      <c r="K2083" s="29"/>
      <c r="L2083" s="28"/>
      <c r="M2083" s="19"/>
      <c r="N2083" s="19"/>
      <c r="O2083" s="48"/>
    </row>
    <row r="2084" spans="9:15" x14ac:dyDescent="0.35">
      <c r="I2084" s="52"/>
      <c r="J2084" s="28"/>
      <c r="K2084" s="29"/>
      <c r="L2084" s="28"/>
      <c r="M2084" s="19"/>
      <c r="N2084" s="19"/>
      <c r="O2084" s="48"/>
    </row>
    <row r="2085" spans="9:15" x14ac:dyDescent="0.35">
      <c r="I2085" s="52"/>
      <c r="J2085" s="28"/>
      <c r="K2085" s="29"/>
      <c r="L2085" s="28"/>
      <c r="M2085" s="19"/>
      <c r="N2085" s="19"/>
      <c r="O2085" s="48"/>
    </row>
    <row r="2086" spans="9:15" x14ac:dyDescent="0.35">
      <c r="I2086" s="52"/>
      <c r="J2086" s="28"/>
      <c r="K2086" s="29"/>
      <c r="L2086" s="28"/>
      <c r="M2086" s="19"/>
      <c r="N2086" s="19"/>
      <c r="O2086" s="48"/>
    </row>
    <row r="2087" spans="9:15" x14ac:dyDescent="0.35">
      <c r="I2087" s="52"/>
      <c r="J2087" s="28"/>
      <c r="K2087" s="29"/>
      <c r="L2087" s="28"/>
      <c r="M2087" s="19"/>
      <c r="N2087" s="19"/>
      <c r="O2087" s="48"/>
    </row>
    <row r="2088" spans="9:15" x14ac:dyDescent="0.35">
      <c r="I2088" s="52"/>
      <c r="J2088" s="28"/>
      <c r="K2088" s="29"/>
      <c r="L2088" s="28"/>
      <c r="M2088" s="19"/>
      <c r="N2088" s="19"/>
      <c r="O2088" s="48"/>
    </row>
    <row r="2089" spans="9:15" x14ac:dyDescent="0.35">
      <c r="I2089" s="52"/>
      <c r="J2089" s="28"/>
      <c r="K2089" s="29"/>
      <c r="L2089" s="28"/>
      <c r="M2089" s="19"/>
      <c r="N2089" s="19"/>
      <c r="O2089" s="48"/>
    </row>
    <row r="2090" spans="9:15" x14ac:dyDescent="0.35">
      <c r="I2090" s="52"/>
      <c r="J2090" s="28"/>
      <c r="K2090" s="29"/>
      <c r="L2090" s="28"/>
      <c r="M2090" s="19"/>
      <c r="N2090" s="19"/>
      <c r="O2090" s="48"/>
    </row>
    <row r="2091" spans="9:15" x14ac:dyDescent="0.35">
      <c r="I2091" s="52"/>
      <c r="J2091" s="28"/>
      <c r="K2091" s="29"/>
      <c r="L2091" s="28"/>
      <c r="M2091" s="19"/>
      <c r="N2091" s="19"/>
      <c r="O2091" s="48"/>
    </row>
    <row r="2092" spans="9:15" x14ac:dyDescent="0.35">
      <c r="I2092" s="52"/>
      <c r="J2092" s="28"/>
      <c r="K2092" s="29"/>
      <c r="L2092" s="28"/>
      <c r="M2092" s="19"/>
      <c r="N2092" s="19"/>
      <c r="O2092" s="48"/>
    </row>
    <row r="2093" spans="9:15" x14ac:dyDescent="0.35">
      <c r="I2093" s="52"/>
      <c r="J2093" s="28"/>
      <c r="K2093" s="29"/>
      <c r="L2093" s="28"/>
      <c r="M2093" s="19"/>
      <c r="N2093" s="19"/>
      <c r="O2093" s="48"/>
    </row>
    <row r="2094" spans="9:15" x14ac:dyDescent="0.35">
      <c r="I2094" s="52"/>
      <c r="J2094" s="28"/>
      <c r="K2094" s="29"/>
      <c r="L2094" s="28"/>
      <c r="M2094" s="19"/>
      <c r="N2094" s="19"/>
      <c r="O2094" s="48"/>
    </row>
    <row r="2095" spans="9:15" x14ac:dyDescent="0.35">
      <c r="I2095" s="52"/>
      <c r="J2095" s="28"/>
      <c r="K2095" s="29"/>
      <c r="L2095" s="28"/>
      <c r="M2095" s="19"/>
      <c r="N2095" s="19"/>
      <c r="O2095" s="48"/>
    </row>
    <row r="2096" spans="9:15" x14ac:dyDescent="0.35">
      <c r="I2096" s="52"/>
      <c r="J2096" s="28"/>
      <c r="K2096" s="29"/>
      <c r="L2096" s="28"/>
      <c r="M2096" s="19"/>
      <c r="N2096" s="19"/>
      <c r="O2096" s="48"/>
    </row>
    <row r="2097" spans="9:15" x14ac:dyDescent="0.35">
      <c r="I2097" s="52"/>
      <c r="J2097" s="28"/>
      <c r="K2097" s="29"/>
      <c r="L2097" s="28"/>
      <c r="M2097" s="19"/>
      <c r="N2097" s="19"/>
      <c r="O2097" s="48"/>
    </row>
    <row r="2098" spans="9:15" x14ac:dyDescent="0.35">
      <c r="I2098" s="52"/>
      <c r="J2098" s="28"/>
      <c r="K2098" s="29"/>
      <c r="L2098" s="28"/>
      <c r="M2098" s="19"/>
      <c r="N2098" s="19"/>
      <c r="O2098" s="48"/>
    </row>
    <row r="2099" spans="9:15" x14ac:dyDescent="0.35">
      <c r="I2099" s="52"/>
      <c r="J2099" s="28"/>
      <c r="K2099" s="29"/>
      <c r="L2099" s="28"/>
      <c r="M2099" s="19"/>
      <c r="N2099" s="19"/>
      <c r="O2099" s="48"/>
    </row>
    <row r="2100" spans="9:15" x14ac:dyDescent="0.35">
      <c r="I2100" s="52"/>
      <c r="J2100" s="28"/>
      <c r="K2100" s="29"/>
      <c r="L2100" s="28"/>
      <c r="M2100" s="19"/>
      <c r="N2100" s="19"/>
      <c r="O2100" s="48"/>
    </row>
    <row r="2101" spans="9:15" x14ac:dyDescent="0.35">
      <c r="I2101" s="52"/>
      <c r="J2101" s="28"/>
      <c r="K2101" s="29"/>
      <c r="L2101" s="28"/>
      <c r="M2101" s="19"/>
      <c r="N2101" s="19"/>
      <c r="O2101" s="48"/>
    </row>
    <row r="2102" spans="9:15" x14ac:dyDescent="0.35">
      <c r="I2102" s="52"/>
      <c r="J2102" s="28"/>
      <c r="K2102" s="29"/>
      <c r="L2102" s="28"/>
      <c r="M2102" s="19"/>
      <c r="N2102" s="19"/>
      <c r="O2102" s="48"/>
    </row>
    <row r="2103" spans="9:15" x14ac:dyDescent="0.35">
      <c r="I2103" s="52"/>
      <c r="J2103" s="28"/>
      <c r="K2103" s="29"/>
      <c r="L2103" s="28"/>
      <c r="M2103" s="19"/>
      <c r="N2103" s="19"/>
      <c r="O2103" s="48"/>
    </row>
    <row r="2104" spans="9:15" x14ac:dyDescent="0.35">
      <c r="I2104" s="52"/>
      <c r="J2104" s="28"/>
      <c r="K2104" s="29"/>
      <c r="L2104" s="28"/>
      <c r="M2104" s="19"/>
      <c r="N2104" s="19"/>
      <c r="O2104" s="48"/>
    </row>
    <row r="2105" spans="9:15" x14ac:dyDescent="0.35">
      <c r="I2105" s="52"/>
      <c r="J2105" s="28"/>
      <c r="K2105" s="29"/>
      <c r="L2105" s="28"/>
      <c r="M2105" s="19"/>
      <c r="N2105" s="19"/>
      <c r="O2105" s="48"/>
    </row>
    <row r="2106" spans="9:15" x14ac:dyDescent="0.35">
      <c r="I2106" s="52"/>
      <c r="J2106" s="28"/>
      <c r="K2106" s="29"/>
      <c r="L2106" s="28"/>
      <c r="M2106" s="19"/>
      <c r="N2106" s="19"/>
      <c r="O2106" s="48"/>
    </row>
    <row r="2107" spans="9:15" x14ac:dyDescent="0.35">
      <c r="I2107" s="52"/>
      <c r="J2107" s="28"/>
      <c r="K2107" s="29"/>
      <c r="L2107" s="28"/>
      <c r="M2107" s="19"/>
      <c r="N2107" s="19"/>
      <c r="O2107" s="48"/>
    </row>
    <row r="2108" spans="9:15" x14ac:dyDescent="0.35">
      <c r="I2108" s="52"/>
      <c r="J2108" s="28"/>
      <c r="K2108" s="29"/>
      <c r="L2108" s="28"/>
      <c r="M2108" s="19"/>
      <c r="N2108" s="19"/>
      <c r="O2108" s="48"/>
    </row>
    <row r="2109" spans="9:15" x14ac:dyDescent="0.35">
      <c r="I2109" s="52"/>
      <c r="J2109" s="28"/>
      <c r="K2109" s="29"/>
      <c r="L2109" s="28"/>
      <c r="M2109" s="19"/>
      <c r="N2109" s="19"/>
      <c r="O2109" s="48"/>
    </row>
    <row r="2110" spans="9:15" x14ac:dyDescent="0.35">
      <c r="I2110" s="52"/>
      <c r="J2110" s="28"/>
      <c r="K2110" s="29"/>
      <c r="L2110" s="28"/>
      <c r="M2110" s="19"/>
      <c r="N2110" s="19"/>
      <c r="O2110" s="48"/>
    </row>
    <row r="2111" spans="9:15" x14ac:dyDescent="0.35">
      <c r="I2111" s="52"/>
      <c r="J2111" s="28"/>
      <c r="K2111" s="29"/>
      <c r="L2111" s="28"/>
      <c r="M2111" s="19"/>
      <c r="N2111" s="19"/>
      <c r="O2111" s="48"/>
    </row>
    <row r="2112" spans="9:15" x14ac:dyDescent="0.35">
      <c r="I2112" s="52"/>
      <c r="J2112" s="28"/>
      <c r="K2112" s="29"/>
      <c r="L2112" s="28"/>
      <c r="M2112" s="19"/>
      <c r="N2112" s="19"/>
      <c r="O2112" s="48"/>
    </row>
    <row r="2113" spans="9:15" x14ac:dyDescent="0.35">
      <c r="I2113" s="52"/>
      <c r="J2113" s="28"/>
      <c r="K2113" s="29"/>
      <c r="L2113" s="28"/>
      <c r="M2113" s="19"/>
      <c r="N2113" s="19"/>
      <c r="O2113" s="48"/>
    </row>
    <row r="2114" spans="9:15" x14ac:dyDescent="0.35">
      <c r="I2114" s="52"/>
      <c r="J2114" s="28"/>
      <c r="K2114" s="29"/>
      <c r="L2114" s="28"/>
      <c r="M2114" s="19"/>
      <c r="N2114" s="19"/>
      <c r="O2114" s="48"/>
    </row>
    <row r="2115" spans="9:15" x14ac:dyDescent="0.35">
      <c r="I2115" s="52"/>
      <c r="J2115" s="28"/>
      <c r="K2115" s="29"/>
      <c r="L2115" s="28"/>
      <c r="M2115" s="19"/>
      <c r="N2115" s="19"/>
      <c r="O2115" s="48"/>
    </row>
    <row r="2116" spans="9:15" x14ac:dyDescent="0.35">
      <c r="I2116" s="52"/>
      <c r="J2116" s="28"/>
      <c r="K2116" s="29"/>
      <c r="L2116" s="28"/>
      <c r="M2116" s="19"/>
      <c r="N2116" s="19"/>
      <c r="O2116" s="48"/>
    </row>
    <row r="2117" spans="9:15" x14ac:dyDescent="0.35">
      <c r="I2117" s="52"/>
      <c r="J2117" s="28"/>
      <c r="K2117" s="29"/>
      <c r="L2117" s="28"/>
      <c r="M2117" s="19"/>
      <c r="N2117" s="19"/>
      <c r="O2117" s="48"/>
    </row>
    <row r="2118" spans="9:15" x14ac:dyDescent="0.35">
      <c r="I2118" s="52"/>
      <c r="J2118" s="28"/>
      <c r="K2118" s="29"/>
      <c r="L2118" s="28"/>
      <c r="M2118" s="19"/>
      <c r="N2118" s="19"/>
      <c r="O2118" s="48"/>
    </row>
    <row r="2119" spans="9:15" x14ac:dyDescent="0.35">
      <c r="I2119" s="52"/>
      <c r="J2119" s="28"/>
      <c r="K2119" s="29"/>
      <c r="L2119" s="28"/>
      <c r="M2119" s="19"/>
      <c r="N2119" s="19"/>
      <c r="O2119" s="48"/>
    </row>
    <row r="2120" spans="9:15" x14ac:dyDescent="0.35">
      <c r="I2120" s="52"/>
      <c r="J2120" s="28"/>
      <c r="K2120" s="29"/>
      <c r="L2120" s="28"/>
      <c r="M2120" s="19"/>
      <c r="N2120" s="19"/>
      <c r="O2120" s="48"/>
    </row>
    <row r="2121" spans="9:15" x14ac:dyDescent="0.35">
      <c r="I2121" s="52"/>
      <c r="J2121" s="28"/>
      <c r="K2121" s="29"/>
      <c r="L2121" s="28"/>
      <c r="M2121" s="19"/>
      <c r="N2121" s="19"/>
      <c r="O2121" s="48"/>
    </row>
    <row r="2122" spans="9:15" x14ac:dyDescent="0.35">
      <c r="I2122" s="52"/>
      <c r="J2122" s="28"/>
      <c r="K2122" s="29"/>
      <c r="L2122" s="28"/>
      <c r="M2122" s="19"/>
      <c r="N2122" s="19"/>
      <c r="O2122" s="48"/>
    </row>
    <row r="2123" spans="9:15" x14ac:dyDescent="0.35">
      <c r="I2123" s="52"/>
      <c r="J2123" s="28"/>
      <c r="K2123" s="29"/>
      <c r="L2123" s="28"/>
      <c r="M2123" s="19"/>
      <c r="N2123" s="19"/>
      <c r="O2123" s="48"/>
    </row>
    <row r="2124" spans="9:15" x14ac:dyDescent="0.35">
      <c r="I2124" s="52"/>
      <c r="J2124" s="28"/>
      <c r="K2124" s="29"/>
      <c r="L2124" s="28"/>
      <c r="M2124" s="19"/>
      <c r="N2124" s="19"/>
      <c r="O2124" s="48"/>
    </row>
    <row r="2125" spans="9:15" x14ac:dyDescent="0.35">
      <c r="I2125" s="52"/>
      <c r="J2125" s="28"/>
      <c r="K2125" s="29"/>
      <c r="L2125" s="28"/>
      <c r="M2125" s="19"/>
      <c r="N2125" s="19"/>
      <c r="O2125" s="48"/>
    </row>
    <row r="2126" spans="9:15" x14ac:dyDescent="0.35">
      <c r="I2126" s="52"/>
      <c r="J2126" s="28"/>
      <c r="K2126" s="29"/>
      <c r="L2126" s="28"/>
      <c r="M2126" s="19"/>
      <c r="N2126" s="19"/>
      <c r="O2126" s="48"/>
    </row>
    <row r="2127" spans="9:15" x14ac:dyDescent="0.35">
      <c r="I2127" s="52"/>
      <c r="J2127" s="28"/>
      <c r="K2127" s="29"/>
      <c r="L2127" s="28"/>
      <c r="M2127" s="19"/>
      <c r="N2127" s="19"/>
      <c r="O2127" s="48"/>
    </row>
    <row r="2128" spans="9:15" x14ac:dyDescent="0.35">
      <c r="I2128" s="52"/>
      <c r="J2128" s="28"/>
      <c r="K2128" s="29"/>
      <c r="L2128" s="28"/>
      <c r="M2128" s="19"/>
      <c r="N2128" s="19"/>
      <c r="O2128" s="48"/>
    </row>
    <row r="2129" spans="9:15" x14ac:dyDescent="0.35">
      <c r="I2129" s="52"/>
      <c r="J2129" s="28"/>
      <c r="K2129" s="29"/>
      <c r="L2129" s="28"/>
      <c r="M2129" s="19"/>
      <c r="N2129" s="19"/>
      <c r="O2129" s="48"/>
    </row>
    <row r="2130" spans="9:15" x14ac:dyDescent="0.35">
      <c r="I2130" s="52"/>
      <c r="J2130" s="28"/>
      <c r="K2130" s="29"/>
      <c r="L2130" s="28"/>
      <c r="M2130" s="19"/>
      <c r="N2130" s="19"/>
      <c r="O2130" s="48"/>
    </row>
    <row r="2131" spans="9:15" x14ac:dyDescent="0.35">
      <c r="I2131" s="52"/>
      <c r="J2131" s="28"/>
      <c r="K2131" s="29"/>
      <c r="L2131" s="28"/>
      <c r="M2131" s="19"/>
      <c r="N2131" s="19"/>
      <c r="O2131" s="48"/>
    </row>
    <row r="2132" spans="9:15" x14ac:dyDescent="0.35">
      <c r="I2132" s="52"/>
      <c r="J2132" s="28"/>
      <c r="K2132" s="29"/>
      <c r="L2132" s="28"/>
      <c r="M2132" s="19"/>
      <c r="N2132" s="19"/>
      <c r="O2132" s="48"/>
    </row>
    <row r="2133" spans="9:15" x14ac:dyDescent="0.35">
      <c r="I2133" s="52"/>
      <c r="J2133" s="28"/>
      <c r="K2133" s="29"/>
      <c r="L2133" s="28"/>
      <c r="M2133" s="19"/>
      <c r="N2133" s="19"/>
      <c r="O2133" s="48"/>
    </row>
    <row r="2134" spans="9:15" x14ac:dyDescent="0.35">
      <c r="I2134" s="52"/>
      <c r="J2134" s="28"/>
      <c r="K2134" s="29"/>
      <c r="L2134" s="28"/>
      <c r="M2134" s="19"/>
      <c r="N2134" s="19"/>
      <c r="O2134" s="48"/>
    </row>
    <row r="2135" spans="9:15" x14ac:dyDescent="0.35">
      <c r="I2135" s="52"/>
      <c r="J2135" s="28"/>
      <c r="K2135" s="29"/>
      <c r="L2135" s="28"/>
      <c r="M2135" s="19"/>
      <c r="N2135" s="19"/>
      <c r="O2135" s="48"/>
    </row>
    <row r="2136" spans="9:15" x14ac:dyDescent="0.35">
      <c r="I2136" s="52"/>
      <c r="J2136" s="28"/>
      <c r="K2136" s="29"/>
      <c r="L2136" s="28"/>
      <c r="M2136" s="19"/>
      <c r="N2136" s="19"/>
      <c r="O2136" s="48"/>
    </row>
    <row r="2137" spans="9:15" x14ac:dyDescent="0.35">
      <c r="I2137" s="52"/>
      <c r="J2137" s="28"/>
      <c r="K2137" s="29"/>
      <c r="L2137" s="28"/>
      <c r="M2137" s="19"/>
      <c r="N2137" s="19"/>
      <c r="O2137" s="48"/>
    </row>
    <row r="2138" spans="9:15" x14ac:dyDescent="0.35">
      <c r="I2138" s="52"/>
      <c r="J2138" s="28"/>
      <c r="K2138" s="29"/>
      <c r="L2138" s="28"/>
      <c r="M2138" s="19"/>
      <c r="N2138" s="19"/>
      <c r="O2138" s="48"/>
    </row>
    <row r="2139" spans="9:15" x14ac:dyDescent="0.35">
      <c r="I2139" s="52"/>
      <c r="J2139" s="28"/>
      <c r="K2139" s="29"/>
      <c r="L2139" s="28"/>
      <c r="M2139" s="19"/>
      <c r="N2139" s="19"/>
      <c r="O2139" s="48"/>
    </row>
    <row r="2140" spans="9:15" x14ac:dyDescent="0.35">
      <c r="I2140" s="52"/>
      <c r="J2140" s="28"/>
      <c r="K2140" s="29"/>
      <c r="L2140" s="28"/>
      <c r="M2140" s="19"/>
      <c r="N2140" s="19"/>
      <c r="O2140" s="48"/>
    </row>
    <row r="2141" spans="9:15" x14ac:dyDescent="0.35">
      <c r="I2141" s="52"/>
      <c r="J2141" s="28"/>
      <c r="K2141" s="29"/>
      <c r="L2141" s="28"/>
      <c r="M2141" s="19"/>
      <c r="N2141" s="19"/>
      <c r="O2141" s="48"/>
    </row>
    <row r="2142" spans="9:15" x14ac:dyDescent="0.35">
      <c r="I2142" s="52"/>
      <c r="J2142" s="28"/>
      <c r="K2142" s="29"/>
      <c r="L2142" s="28"/>
      <c r="M2142" s="19"/>
      <c r="N2142" s="19"/>
      <c r="O2142" s="48"/>
    </row>
    <row r="2143" spans="9:15" x14ac:dyDescent="0.35">
      <c r="I2143" s="52"/>
      <c r="J2143" s="28"/>
      <c r="K2143" s="29"/>
      <c r="L2143" s="28"/>
      <c r="M2143" s="19"/>
      <c r="N2143" s="19"/>
      <c r="O2143" s="48"/>
    </row>
    <row r="2144" spans="9:15" x14ac:dyDescent="0.35">
      <c r="I2144" s="52"/>
      <c r="J2144" s="28"/>
      <c r="K2144" s="29"/>
      <c r="L2144" s="28"/>
      <c r="M2144" s="19"/>
      <c r="N2144" s="19"/>
      <c r="O2144" s="48"/>
    </row>
    <row r="2145" spans="9:15" x14ac:dyDescent="0.35">
      <c r="I2145" s="52"/>
      <c r="J2145" s="28"/>
      <c r="K2145" s="29"/>
      <c r="L2145" s="28"/>
      <c r="M2145" s="19"/>
      <c r="N2145" s="19"/>
      <c r="O2145" s="48"/>
    </row>
    <row r="2146" spans="9:15" x14ac:dyDescent="0.35">
      <c r="I2146" s="52"/>
      <c r="J2146" s="28"/>
      <c r="K2146" s="29"/>
      <c r="L2146" s="28"/>
      <c r="M2146" s="19"/>
      <c r="N2146" s="19"/>
      <c r="O2146" s="48"/>
    </row>
    <row r="2147" spans="9:15" x14ac:dyDescent="0.35">
      <c r="I2147" s="52"/>
      <c r="J2147" s="28"/>
      <c r="K2147" s="29"/>
      <c r="L2147" s="28"/>
      <c r="M2147" s="19"/>
      <c r="N2147" s="19"/>
      <c r="O2147" s="48"/>
    </row>
    <row r="2148" spans="9:15" x14ac:dyDescent="0.35">
      <c r="I2148" s="52"/>
      <c r="J2148" s="28"/>
      <c r="K2148" s="29"/>
      <c r="L2148" s="28"/>
      <c r="M2148" s="19"/>
      <c r="N2148" s="19"/>
      <c r="O2148" s="48"/>
    </row>
    <row r="2149" spans="9:15" x14ac:dyDescent="0.35">
      <c r="I2149" s="52"/>
      <c r="J2149" s="28"/>
      <c r="K2149" s="29"/>
      <c r="L2149" s="28"/>
      <c r="M2149" s="19"/>
      <c r="N2149" s="19"/>
      <c r="O2149" s="48"/>
    </row>
    <row r="2150" spans="9:15" x14ac:dyDescent="0.35">
      <c r="I2150" s="52"/>
      <c r="J2150" s="28"/>
      <c r="K2150" s="29"/>
      <c r="L2150" s="28"/>
      <c r="M2150" s="19"/>
      <c r="N2150" s="19"/>
      <c r="O2150" s="48"/>
    </row>
    <row r="2151" spans="9:15" x14ac:dyDescent="0.35">
      <c r="I2151" s="52"/>
      <c r="J2151" s="28"/>
      <c r="K2151" s="29"/>
      <c r="L2151" s="28"/>
      <c r="M2151" s="19"/>
      <c r="N2151" s="19"/>
      <c r="O2151" s="48"/>
    </row>
    <row r="2152" spans="9:15" x14ac:dyDescent="0.35">
      <c r="I2152" s="52"/>
      <c r="J2152" s="28"/>
      <c r="K2152" s="29"/>
      <c r="L2152" s="28"/>
      <c r="M2152" s="19"/>
      <c r="N2152" s="19"/>
      <c r="O2152" s="48"/>
    </row>
    <row r="2153" spans="9:15" x14ac:dyDescent="0.35">
      <c r="I2153" s="52"/>
      <c r="J2153" s="28"/>
      <c r="K2153" s="29"/>
      <c r="L2153" s="28"/>
      <c r="M2153" s="19"/>
      <c r="N2153" s="19"/>
      <c r="O2153" s="48"/>
    </row>
    <row r="2154" spans="9:15" x14ac:dyDescent="0.35">
      <c r="I2154" s="52"/>
      <c r="J2154" s="28"/>
      <c r="K2154" s="29"/>
      <c r="L2154" s="28"/>
      <c r="M2154" s="19"/>
      <c r="N2154" s="19"/>
      <c r="O2154" s="48"/>
    </row>
    <row r="2155" spans="9:15" x14ac:dyDescent="0.35">
      <c r="I2155" s="52"/>
      <c r="J2155" s="28"/>
      <c r="K2155" s="29"/>
      <c r="L2155" s="28"/>
      <c r="M2155" s="19"/>
      <c r="N2155" s="19"/>
      <c r="O2155" s="48"/>
    </row>
    <row r="2156" spans="9:15" x14ac:dyDescent="0.35">
      <c r="I2156" s="52"/>
      <c r="J2156" s="28"/>
      <c r="K2156" s="29"/>
      <c r="L2156" s="28"/>
      <c r="M2156" s="19"/>
      <c r="N2156" s="19"/>
      <c r="O2156" s="48"/>
    </row>
    <row r="2157" spans="9:15" x14ac:dyDescent="0.35">
      <c r="I2157" s="52"/>
      <c r="J2157" s="28"/>
      <c r="K2157" s="29"/>
      <c r="L2157" s="28"/>
      <c r="M2157" s="19"/>
      <c r="N2157" s="19"/>
      <c r="O2157" s="48"/>
    </row>
    <row r="2158" spans="9:15" x14ac:dyDescent="0.35">
      <c r="I2158" s="52"/>
      <c r="J2158" s="28"/>
      <c r="K2158" s="29"/>
      <c r="L2158" s="28"/>
      <c r="M2158" s="19"/>
      <c r="N2158" s="19"/>
      <c r="O2158" s="48"/>
    </row>
    <row r="2159" spans="9:15" x14ac:dyDescent="0.35">
      <c r="I2159" s="52"/>
      <c r="J2159" s="28"/>
      <c r="K2159" s="29"/>
      <c r="L2159" s="28"/>
      <c r="M2159" s="19"/>
      <c r="N2159" s="19"/>
      <c r="O2159" s="48"/>
    </row>
    <row r="2160" spans="9:15" x14ac:dyDescent="0.35">
      <c r="I2160" s="52"/>
      <c r="J2160" s="28"/>
      <c r="K2160" s="29"/>
      <c r="L2160" s="28"/>
      <c r="M2160" s="19"/>
      <c r="N2160" s="19"/>
      <c r="O2160" s="48"/>
    </row>
    <row r="2161" spans="9:15" x14ac:dyDescent="0.35">
      <c r="I2161" s="52"/>
      <c r="J2161" s="28"/>
      <c r="K2161" s="29"/>
      <c r="L2161" s="28"/>
      <c r="M2161" s="19"/>
      <c r="N2161" s="19"/>
      <c r="O2161" s="48"/>
    </row>
    <row r="2162" spans="9:15" x14ac:dyDescent="0.35">
      <c r="I2162" s="52"/>
      <c r="J2162" s="28"/>
      <c r="K2162" s="29"/>
      <c r="L2162" s="28"/>
      <c r="M2162" s="19"/>
      <c r="N2162" s="19"/>
      <c r="O2162" s="48"/>
    </row>
    <row r="2163" spans="9:15" x14ac:dyDescent="0.35">
      <c r="I2163" s="52"/>
      <c r="J2163" s="28"/>
      <c r="K2163" s="29"/>
      <c r="L2163" s="28"/>
      <c r="M2163" s="19"/>
      <c r="N2163" s="19"/>
      <c r="O2163" s="48"/>
    </row>
    <row r="2164" spans="9:15" x14ac:dyDescent="0.35">
      <c r="I2164" s="52"/>
      <c r="J2164" s="28"/>
      <c r="K2164" s="29"/>
      <c r="L2164" s="28"/>
      <c r="M2164" s="19"/>
      <c r="N2164" s="19"/>
      <c r="O2164" s="48"/>
    </row>
    <row r="2165" spans="9:15" x14ac:dyDescent="0.35">
      <c r="I2165" s="52"/>
      <c r="J2165" s="28"/>
      <c r="K2165" s="29"/>
      <c r="L2165" s="28"/>
      <c r="M2165" s="19"/>
      <c r="N2165" s="19"/>
      <c r="O2165" s="48"/>
    </row>
    <row r="2166" spans="9:15" x14ac:dyDescent="0.35">
      <c r="I2166" s="52"/>
      <c r="J2166" s="28"/>
      <c r="K2166" s="29"/>
      <c r="L2166" s="28"/>
      <c r="M2166" s="19"/>
      <c r="N2166" s="19"/>
      <c r="O2166" s="48"/>
    </row>
    <row r="2167" spans="9:15" x14ac:dyDescent="0.35">
      <c r="I2167" s="52"/>
      <c r="J2167" s="28"/>
      <c r="K2167" s="29"/>
      <c r="L2167" s="28"/>
      <c r="M2167" s="19"/>
      <c r="N2167" s="19"/>
      <c r="O2167" s="48"/>
    </row>
    <row r="2168" spans="9:15" x14ac:dyDescent="0.35">
      <c r="I2168" s="52"/>
      <c r="J2168" s="28"/>
      <c r="K2168" s="29"/>
      <c r="L2168" s="28"/>
      <c r="M2168" s="19"/>
      <c r="N2168" s="19"/>
      <c r="O2168" s="48"/>
    </row>
    <row r="2169" spans="9:15" x14ac:dyDescent="0.35">
      <c r="I2169" s="52"/>
      <c r="J2169" s="28"/>
      <c r="K2169" s="29"/>
      <c r="L2169" s="28"/>
      <c r="M2169" s="19"/>
      <c r="N2169" s="19"/>
      <c r="O2169" s="48"/>
    </row>
    <row r="2170" spans="9:15" x14ac:dyDescent="0.35">
      <c r="I2170" s="52"/>
      <c r="J2170" s="28"/>
      <c r="K2170" s="29"/>
      <c r="L2170" s="28"/>
      <c r="M2170" s="19"/>
      <c r="N2170" s="19"/>
      <c r="O2170" s="48"/>
    </row>
    <row r="2171" spans="9:15" x14ac:dyDescent="0.35">
      <c r="I2171" s="52"/>
      <c r="J2171" s="28"/>
      <c r="K2171" s="29"/>
      <c r="L2171" s="28"/>
      <c r="M2171" s="19"/>
      <c r="N2171" s="19"/>
      <c r="O2171" s="48"/>
    </row>
    <row r="2172" spans="9:15" x14ac:dyDescent="0.35">
      <c r="I2172" s="52"/>
      <c r="J2172" s="28"/>
      <c r="K2172" s="29"/>
      <c r="L2172" s="28"/>
      <c r="M2172" s="19"/>
      <c r="N2172" s="19"/>
      <c r="O2172" s="48"/>
    </row>
    <row r="2173" spans="9:15" x14ac:dyDescent="0.35">
      <c r="I2173" s="52"/>
      <c r="J2173" s="28"/>
      <c r="K2173" s="29"/>
      <c r="L2173" s="28"/>
      <c r="M2173" s="19"/>
      <c r="N2173" s="19"/>
      <c r="O2173" s="48"/>
    </row>
    <row r="2174" spans="9:15" x14ac:dyDescent="0.35">
      <c r="I2174" s="52"/>
      <c r="J2174" s="28"/>
      <c r="K2174" s="29"/>
      <c r="L2174" s="28"/>
      <c r="M2174" s="19"/>
      <c r="N2174" s="19"/>
      <c r="O2174" s="48"/>
    </row>
    <row r="2175" spans="9:15" x14ac:dyDescent="0.35">
      <c r="I2175" s="52"/>
      <c r="J2175" s="28"/>
      <c r="K2175" s="29"/>
      <c r="L2175" s="28"/>
      <c r="M2175" s="19"/>
      <c r="N2175" s="19"/>
      <c r="O2175" s="48"/>
    </row>
    <row r="2176" spans="9:15" x14ac:dyDescent="0.35">
      <c r="I2176" s="52"/>
      <c r="J2176" s="28"/>
      <c r="K2176" s="29"/>
      <c r="L2176" s="28"/>
      <c r="M2176" s="19"/>
      <c r="N2176" s="19"/>
      <c r="O2176" s="48"/>
    </row>
    <row r="2177" spans="9:15" x14ac:dyDescent="0.35">
      <c r="I2177" s="52"/>
      <c r="J2177" s="28"/>
      <c r="K2177" s="29"/>
      <c r="L2177" s="28"/>
      <c r="M2177" s="19"/>
      <c r="N2177" s="19"/>
      <c r="O2177" s="48"/>
    </row>
    <row r="2178" spans="9:15" x14ac:dyDescent="0.35">
      <c r="I2178" s="52"/>
      <c r="J2178" s="28"/>
      <c r="K2178" s="29"/>
      <c r="L2178" s="28"/>
      <c r="M2178" s="19"/>
      <c r="N2178" s="19"/>
      <c r="O2178" s="48"/>
    </row>
    <row r="2179" spans="9:15" x14ac:dyDescent="0.35">
      <c r="I2179" s="52"/>
      <c r="J2179" s="28"/>
      <c r="K2179" s="29"/>
      <c r="L2179" s="28"/>
      <c r="M2179" s="19"/>
      <c r="N2179" s="19"/>
      <c r="O2179" s="48"/>
    </row>
    <row r="2180" spans="9:15" x14ac:dyDescent="0.35">
      <c r="I2180" s="52"/>
      <c r="J2180" s="28"/>
      <c r="K2180" s="29"/>
      <c r="L2180" s="28"/>
      <c r="M2180" s="19"/>
      <c r="N2180" s="19"/>
      <c r="O2180" s="48"/>
    </row>
    <row r="2181" spans="9:15" x14ac:dyDescent="0.35">
      <c r="I2181" s="52"/>
      <c r="J2181" s="28"/>
      <c r="K2181" s="29"/>
      <c r="L2181" s="28"/>
      <c r="M2181" s="19"/>
      <c r="N2181" s="19"/>
      <c r="O2181" s="48"/>
    </row>
    <row r="2182" spans="9:15" x14ac:dyDescent="0.35">
      <c r="I2182" s="52"/>
      <c r="J2182" s="28"/>
      <c r="K2182" s="29"/>
      <c r="L2182" s="28"/>
      <c r="M2182" s="19"/>
      <c r="N2182" s="19"/>
      <c r="O2182" s="48"/>
    </row>
    <row r="2183" spans="9:15" x14ac:dyDescent="0.35">
      <c r="I2183" s="52"/>
      <c r="J2183" s="28"/>
      <c r="K2183" s="29"/>
      <c r="L2183" s="28"/>
      <c r="M2183" s="19"/>
      <c r="N2183" s="19"/>
      <c r="O2183" s="48"/>
    </row>
    <row r="2184" spans="9:15" x14ac:dyDescent="0.35">
      <c r="I2184" s="52"/>
      <c r="J2184" s="28"/>
      <c r="K2184" s="29"/>
      <c r="L2184" s="28"/>
      <c r="M2184" s="19"/>
      <c r="N2184" s="19"/>
      <c r="O2184" s="48"/>
    </row>
    <row r="2185" spans="9:15" x14ac:dyDescent="0.35">
      <c r="I2185" s="52"/>
      <c r="J2185" s="28"/>
      <c r="K2185" s="29"/>
      <c r="L2185" s="28"/>
      <c r="M2185" s="19"/>
      <c r="N2185" s="19"/>
      <c r="O2185" s="48"/>
    </row>
    <row r="2186" spans="9:15" x14ac:dyDescent="0.35">
      <c r="I2186" s="52"/>
      <c r="J2186" s="28"/>
      <c r="K2186" s="29"/>
      <c r="L2186" s="28"/>
      <c r="M2186" s="19"/>
      <c r="N2186" s="19"/>
      <c r="O2186" s="48"/>
    </row>
    <row r="2187" spans="9:15" x14ac:dyDescent="0.35">
      <c r="I2187" s="52"/>
      <c r="J2187" s="28"/>
      <c r="K2187" s="29"/>
      <c r="L2187" s="28"/>
      <c r="M2187" s="19"/>
      <c r="N2187" s="19"/>
      <c r="O2187" s="48"/>
    </row>
    <row r="2188" spans="9:15" x14ac:dyDescent="0.35">
      <c r="I2188" s="52"/>
      <c r="J2188" s="28"/>
      <c r="K2188" s="29"/>
      <c r="L2188" s="28"/>
      <c r="M2188" s="19"/>
      <c r="N2188" s="19"/>
      <c r="O2188" s="48"/>
    </row>
    <row r="2189" spans="9:15" x14ac:dyDescent="0.35">
      <c r="I2189" s="52"/>
      <c r="J2189" s="28"/>
      <c r="K2189" s="29"/>
      <c r="L2189" s="28"/>
      <c r="M2189" s="19"/>
      <c r="N2189" s="19"/>
      <c r="O2189" s="48"/>
    </row>
    <row r="2190" spans="9:15" x14ac:dyDescent="0.35">
      <c r="I2190" s="52"/>
      <c r="J2190" s="28"/>
      <c r="K2190" s="29"/>
      <c r="L2190" s="28"/>
      <c r="M2190" s="19"/>
      <c r="N2190" s="19"/>
      <c r="O2190" s="48"/>
    </row>
    <row r="2191" spans="9:15" x14ac:dyDescent="0.35">
      <c r="I2191" s="52"/>
      <c r="J2191" s="28"/>
      <c r="K2191" s="29"/>
      <c r="L2191" s="28"/>
      <c r="M2191" s="19"/>
      <c r="N2191" s="19"/>
      <c r="O2191" s="48"/>
    </row>
    <row r="2192" spans="9:15" x14ac:dyDescent="0.35">
      <c r="I2192" s="52"/>
      <c r="J2192" s="28"/>
      <c r="K2192" s="29"/>
      <c r="L2192" s="28"/>
      <c r="M2192" s="19"/>
      <c r="N2192" s="19"/>
      <c r="O2192" s="48"/>
    </row>
    <row r="2193" spans="9:15" x14ac:dyDescent="0.35">
      <c r="I2193" s="52"/>
      <c r="J2193" s="28"/>
      <c r="K2193" s="29"/>
      <c r="L2193" s="28"/>
      <c r="M2193" s="19"/>
      <c r="N2193" s="19"/>
      <c r="O2193" s="48"/>
    </row>
    <row r="2194" spans="9:15" x14ac:dyDescent="0.35">
      <c r="I2194" s="52"/>
      <c r="J2194" s="28"/>
      <c r="K2194" s="29"/>
      <c r="L2194" s="28"/>
      <c r="M2194" s="19"/>
      <c r="N2194" s="19"/>
      <c r="O2194" s="48"/>
    </row>
    <row r="2195" spans="9:15" x14ac:dyDescent="0.35">
      <c r="I2195" s="52"/>
      <c r="J2195" s="28"/>
      <c r="K2195" s="29"/>
      <c r="L2195" s="28"/>
      <c r="M2195" s="19"/>
      <c r="N2195" s="19"/>
      <c r="O2195" s="48"/>
    </row>
    <row r="2196" spans="9:15" x14ac:dyDescent="0.35">
      <c r="I2196" s="52"/>
      <c r="J2196" s="28"/>
      <c r="K2196" s="29"/>
      <c r="L2196" s="28"/>
      <c r="M2196" s="19"/>
      <c r="N2196" s="19"/>
      <c r="O2196" s="48"/>
    </row>
    <row r="2197" spans="9:15" x14ac:dyDescent="0.35">
      <c r="I2197" s="52"/>
      <c r="J2197" s="28"/>
      <c r="K2197" s="29"/>
      <c r="L2197" s="28"/>
      <c r="M2197" s="19"/>
      <c r="N2197" s="19"/>
      <c r="O2197" s="48"/>
    </row>
    <row r="2198" spans="9:15" x14ac:dyDescent="0.35">
      <c r="I2198" s="52"/>
      <c r="J2198" s="28"/>
      <c r="K2198" s="29"/>
      <c r="L2198" s="28"/>
      <c r="M2198" s="19"/>
      <c r="N2198" s="19"/>
      <c r="O2198" s="48"/>
    </row>
    <row r="2199" spans="9:15" x14ac:dyDescent="0.35">
      <c r="I2199" s="52"/>
      <c r="J2199" s="28"/>
      <c r="K2199" s="29"/>
      <c r="L2199" s="28"/>
      <c r="M2199" s="19"/>
      <c r="N2199" s="19"/>
      <c r="O2199" s="48"/>
    </row>
    <row r="2200" spans="9:15" x14ac:dyDescent="0.35">
      <c r="I2200" s="52"/>
      <c r="J2200" s="28"/>
      <c r="K2200" s="29"/>
      <c r="L2200" s="28"/>
      <c r="M2200" s="19"/>
      <c r="N2200" s="19"/>
      <c r="O2200" s="48"/>
    </row>
    <row r="2201" spans="9:15" x14ac:dyDescent="0.35">
      <c r="I2201" s="52"/>
      <c r="J2201" s="28"/>
      <c r="K2201" s="29"/>
      <c r="L2201" s="28"/>
      <c r="M2201" s="19"/>
      <c r="N2201" s="19"/>
      <c r="O2201" s="48"/>
    </row>
    <row r="2202" spans="9:15" x14ac:dyDescent="0.35">
      <c r="I2202" s="52"/>
      <c r="J2202" s="28"/>
      <c r="K2202" s="29"/>
      <c r="L2202" s="28"/>
      <c r="M2202" s="19"/>
      <c r="N2202" s="19"/>
      <c r="O2202" s="48"/>
    </row>
    <row r="2203" spans="9:15" x14ac:dyDescent="0.35">
      <c r="I2203" s="52"/>
      <c r="J2203" s="28"/>
      <c r="K2203" s="29"/>
      <c r="L2203" s="28"/>
      <c r="M2203" s="19"/>
      <c r="N2203" s="19"/>
      <c r="O2203" s="48"/>
    </row>
    <row r="2204" spans="9:15" x14ac:dyDescent="0.35">
      <c r="I2204" s="52"/>
      <c r="J2204" s="28"/>
      <c r="K2204" s="29"/>
      <c r="L2204" s="28"/>
      <c r="M2204" s="19"/>
      <c r="N2204" s="19"/>
      <c r="O2204" s="48"/>
    </row>
    <row r="2205" spans="9:15" x14ac:dyDescent="0.35">
      <c r="I2205" s="52"/>
      <c r="J2205" s="28"/>
      <c r="K2205" s="29"/>
      <c r="L2205" s="28"/>
      <c r="M2205" s="19"/>
      <c r="N2205" s="19"/>
      <c r="O2205" s="48"/>
    </row>
    <row r="2206" spans="9:15" x14ac:dyDescent="0.35">
      <c r="I2206" s="52"/>
      <c r="J2206" s="28"/>
      <c r="K2206" s="29"/>
      <c r="L2206" s="28"/>
      <c r="M2206" s="19"/>
      <c r="N2206" s="19"/>
      <c r="O2206" s="48"/>
    </row>
    <row r="2207" spans="9:15" x14ac:dyDescent="0.35">
      <c r="I2207" s="52"/>
      <c r="J2207" s="28"/>
      <c r="K2207" s="29"/>
      <c r="L2207" s="28"/>
      <c r="M2207" s="19"/>
      <c r="N2207" s="19"/>
      <c r="O2207" s="48"/>
    </row>
    <row r="2208" spans="9:15" x14ac:dyDescent="0.35">
      <c r="I2208" s="52"/>
      <c r="J2208" s="28"/>
      <c r="K2208" s="29"/>
      <c r="L2208" s="28"/>
      <c r="M2208" s="19"/>
      <c r="N2208" s="19"/>
      <c r="O2208" s="48"/>
    </row>
    <row r="2209" spans="9:15" x14ac:dyDescent="0.35">
      <c r="I2209" s="52"/>
      <c r="J2209" s="28"/>
      <c r="K2209" s="29"/>
      <c r="L2209" s="28"/>
      <c r="M2209" s="19"/>
      <c r="N2209" s="19"/>
      <c r="O2209" s="48"/>
    </row>
    <row r="2210" spans="9:15" x14ac:dyDescent="0.35">
      <c r="I2210" s="52"/>
      <c r="J2210" s="28"/>
      <c r="K2210" s="29"/>
      <c r="L2210" s="28"/>
      <c r="M2210" s="19"/>
      <c r="N2210" s="19"/>
      <c r="O2210" s="48"/>
    </row>
    <row r="2211" spans="9:15" x14ac:dyDescent="0.35">
      <c r="I2211" s="52"/>
      <c r="J2211" s="28"/>
      <c r="K2211" s="29"/>
      <c r="L2211" s="28"/>
      <c r="M2211" s="19"/>
      <c r="N2211" s="19"/>
      <c r="O2211" s="48"/>
    </row>
    <row r="2212" spans="9:15" x14ac:dyDescent="0.35">
      <c r="I2212" s="52"/>
      <c r="J2212" s="28"/>
      <c r="K2212" s="29"/>
      <c r="L2212" s="28"/>
      <c r="M2212" s="19"/>
      <c r="N2212" s="19"/>
      <c r="O2212" s="48"/>
    </row>
    <row r="2213" spans="9:15" x14ac:dyDescent="0.35">
      <c r="I2213" s="52"/>
      <c r="J2213" s="28"/>
      <c r="K2213" s="29"/>
      <c r="L2213" s="28"/>
      <c r="M2213" s="19"/>
      <c r="N2213" s="19"/>
      <c r="O2213" s="48"/>
    </row>
    <row r="2214" spans="9:15" x14ac:dyDescent="0.35">
      <c r="I2214" s="52"/>
      <c r="J2214" s="28"/>
      <c r="K2214" s="29"/>
      <c r="L2214" s="28"/>
      <c r="M2214" s="19"/>
      <c r="N2214" s="19"/>
      <c r="O2214" s="48"/>
    </row>
    <row r="2215" spans="9:15" x14ac:dyDescent="0.35">
      <c r="I2215" s="52"/>
      <c r="J2215" s="28"/>
      <c r="K2215" s="29"/>
      <c r="L2215" s="28"/>
      <c r="M2215" s="19"/>
      <c r="N2215" s="19"/>
      <c r="O2215" s="48"/>
    </row>
    <row r="2216" spans="9:15" x14ac:dyDescent="0.35">
      <c r="I2216" s="52"/>
      <c r="J2216" s="28"/>
      <c r="K2216" s="29"/>
      <c r="L2216" s="28"/>
      <c r="M2216" s="19"/>
      <c r="N2216" s="19"/>
      <c r="O2216" s="48"/>
    </row>
    <row r="2217" spans="9:15" x14ac:dyDescent="0.35">
      <c r="I2217" s="52"/>
      <c r="J2217" s="28"/>
      <c r="K2217" s="29"/>
      <c r="L2217" s="28"/>
      <c r="M2217" s="19"/>
      <c r="N2217" s="19"/>
      <c r="O2217" s="48"/>
    </row>
    <row r="2218" spans="9:15" x14ac:dyDescent="0.35">
      <c r="I2218" s="52"/>
      <c r="J2218" s="28"/>
      <c r="K2218" s="29"/>
      <c r="L2218" s="28"/>
      <c r="M2218" s="19"/>
      <c r="N2218" s="19"/>
      <c r="O2218" s="48"/>
    </row>
    <row r="2219" spans="9:15" x14ac:dyDescent="0.35">
      <c r="I2219" s="52"/>
      <c r="J2219" s="28"/>
      <c r="K2219" s="29"/>
      <c r="L2219" s="28"/>
      <c r="M2219" s="19"/>
      <c r="N2219" s="19"/>
      <c r="O2219" s="48"/>
    </row>
    <row r="2220" spans="9:15" x14ac:dyDescent="0.35">
      <c r="I2220" s="52"/>
      <c r="J2220" s="28"/>
      <c r="K2220" s="29"/>
      <c r="L2220" s="28"/>
      <c r="M2220" s="19"/>
      <c r="N2220" s="19"/>
      <c r="O2220" s="48"/>
    </row>
    <row r="2221" spans="9:15" x14ac:dyDescent="0.35">
      <c r="I2221" s="52"/>
      <c r="J2221" s="28"/>
      <c r="K2221" s="29"/>
      <c r="L2221" s="28"/>
      <c r="M2221" s="19"/>
      <c r="N2221" s="19"/>
      <c r="O2221" s="48"/>
    </row>
    <row r="2222" spans="9:15" x14ac:dyDescent="0.35">
      <c r="I2222" s="52"/>
      <c r="J2222" s="28"/>
      <c r="K2222" s="29"/>
      <c r="L2222" s="28"/>
      <c r="M2222" s="19"/>
      <c r="N2222" s="19"/>
      <c r="O2222" s="48"/>
    </row>
    <row r="2223" spans="9:15" x14ac:dyDescent="0.35">
      <c r="I2223" s="52"/>
      <c r="J2223" s="28"/>
      <c r="K2223" s="29"/>
      <c r="L2223" s="28"/>
      <c r="M2223" s="19"/>
      <c r="N2223" s="19"/>
      <c r="O2223" s="48"/>
    </row>
    <row r="2224" spans="9:15" x14ac:dyDescent="0.35">
      <c r="I2224" s="52"/>
      <c r="J2224" s="28"/>
      <c r="K2224" s="29"/>
      <c r="L2224" s="28"/>
      <c r="M2224" s="19"/>
      <c r="N2224" s="19"/>
      <c r="O2224" s="48"/>
    </row>
    <row r="2225" spans="9:15" x14ac:dyDescent="0.35">
      <c r="I2225" s="52"/>
      <c r="J2225" s="28"/>
      <c r="K2225" s="29"/>
      <c r="L2225" s="28"/>
      <c r="M2225" s="19"/>
      <c r="N2225" s="19"/>
      <c r="O2225" s="48"/>
    </row>
    <row r="2226" spans="9:15" x14ac:dyDescent="0.35">
      <c r="I2226" s="52"/>
      <c r="J2226" s="28"/>
      <c r="K2226" s="29"/>
      <c r="L2226" s="28"/>
      <c r="M2226" s="19"/>
      <c r="N2226" s="19"/>
      <c r="O2226" s="48"/>
    </row>
    <row r="2227" spans="9:15" x14ac:dyDescent="0.35">
      <c r="I2227" s="52"/>
      <c r="J2227" s="28"/>
      <c r="K2227" s="29"/>
      <c r="L2227" s="28"/>
      <c r="M2227" s="19"/>
      <c r="N2227" s="19"/>
      <c r="O2227" s="48"/>
    </row>
    <row r="2228" spans="9:15" x14ac:dyDescent="0.35">
      <c r="I2228" s="52"/>
      <c r="J2228" s="28"/>
      <c r="K2228" s="29"/>
      <c r="L2228" s="28"/>
      <c r="M2228" s="19"/>
      <c r="N2228" s="19"/>
      <c r="O2228" s="48"/>
    </row>
    <row r="2229" spans="9:15" x14ac:dyDescent="0.35">
      <c r="I2229" s="52"/>
      <c r="J2229" s="28"/>
      <c r="K2229" s="29"/>
      <c r="L2229" s="28"/>
      <c r="M2229" s="19"/>
      <c r="N2229" s="19"/>
      <c r="O2229" s="48"/>
    </row>
    <row r="2230" spans="9:15" x14ac:dyDescent="0.35">
      <c r="I2230" s="52"/>
      <c r="J2230" s="28"/>
      <c r="K2230" s="29"/>
      <c r="L2230" s="28"/>
      <c r="M2230" s="19"/>
      <c r="N2230" s="19"/>
      <c r="O2230" s="48"/>
    </row>
    <row r="2231" spans="9:15" x14ac:dyDescent="0.35">
      <c r="I2231" s="52"/>
      <c r="J2231" s="28"/>
      <c r="K2231" s="29"/>
      <c r="L2231" s="28"/>
      <c r="M2231" s="19"/>
      <c r="N2231" s="19"/>
      <c r="O2231" s="48"/>
    </row>
    <row r="2232" spans="9:15" x14ac:dyDescent="0.35">
      <c r="I2232" s="52"/>
      <c r="J2232" s="28"/>
      <c r="K2232" s="29"/>
      <c r="L2232" s="28"/>
      <c r="M2232" s="19"/>
      <c r="N2232" s="19"/>
      <c r="O2232" s="48"/>
    </row>
    <row r="2233" spans="9:15" x14ac:dyDescent="0.35">
      <c r="I2233" s="52"/>
      <c r="J2233" s="28"/>
      <c r="K2233" s="29"/>
      <c r="L2233" s="28"/>
      <c r="M2233" s="19"/>
      <c r="N2233" s="19"/>
      <c r="O2233" s="48"/>
    </row>
    <row r="2234" spans="9:15" x14ac:dyDescent="0.35">
      <c r="I2234" s="52"/>
      <c r="J2234" s="28"/>
      <c r="K2234" s="29"/>
      <c r="L2234" s="28"/>
      <c r="M2234" s="19"/>
      <c r="N2234" s="19"/>
      <c r="O2234" s="48"/>
    </row>
    <row r="2235" spans="9:15" x14ac:dyDescent="0.35">
      <c r="I2235" s="52"/>
      <c r="J2235" s="28"/>
      <c r="K2235" s="29"/>
      <c r="L2235" s="28"/>
      <c r="M2235" s="19"/>
      <c r="N2235" s="19"/>
      <c r="O2235" s="48"/>
    </row>
    <row r="2236" spans="9:15" x14ac:dyDescent="0.35">
      <c r="I2236" s="52"/>
      <c r="J2236" s="28"/>
      <c r="K2236" s="29"/>
      <c r="L2236" s="28"/>
      <c r="M2236" s="19"/>
      <c r="N2236" s="19"/>
      <c r="O2236" s="48"/>
    </row>
    <row r="2237" spans="9:15" x14ac:dyDescent="0.35">
      <c r="I2237" s="52"/>
      <c r="J2237" s="28"/>
      <c r="K2237" s="29"/>
      <c r="L2237" s="28"/>
      <c r="M2237" s="19"/>
      <c r="N2237" s="19"/>
      <c r="O2237" s="48"/>
    </row>
    <row r="2238" spans="9:15" x14ac:dyDescent="0.35">
      <c r="I2238" s="52"/>
      <c r="J2238" s="28"/>
      <c r="K2238" s="29"/>
      <c r="L2238" s="28"/>
      <c r="M2238" s="19"/>
      <c r="N2238" s="19"/>
      <c r="O2238" s="48"/>
    </row>
    <row r="2239" spans="9:15" x14ac:dyDescent="0.35">
      <c r="I2239" s="52"/>
      <c r="J2239" s="28"/>
      <c r="K2239" s="29"/>
      <c r="L2239" s="28"/>
      <c r="M2239" s="19"/>
      <c r="N2239" s="19"/>
      <c r="O2239" s="48"/>
    </row>
    <row r="2240" spans="9:15" x14ac:dyDescent="0.35">
      <c r="I2240" s="52"/>
      <c r="J2240" s="28"/>
      <c r="K2240" s="29"/>
      <c r="L2240" s="28"/>
      <c r="M2240" s="19"/>
      <c r="N2240" s="19"/>
      <c r="O2240" s="48"/>
    </row>
    <row r="2241" spans="9:15" x14ac:dyDescent="0.35">
      <c r="I2241" s="52"/>
      <c r="J2241" s="28"/>
      <c r="K2241" s="29"/>
      <c r="L2241" s="28"/>
      <c r="M2241" s="19"/>
      <c r="N2241" s="19"/>
      <c r="O2241" s="48"/>
    </row>
    <row r="2242" spans="9:15" x14ac:dyDescent="0.35">
      <c r="I2242" s="52"/>
      <c r="J2242" s="28"/>
      <c r="K2242" s="29"/>
      <c r="L2242" s="28"/>
      <c r="M2242" s="19"/>
      <c r="N2242" s="19"/>
      <c r="O2242" s="48"/>
    </row>
    <row r="2243" spans="9:15" x14ac:dyDescent="0.35">
      <c r="I2243" s="52"/>
      <c r="J2243" s="28"/>
      <c r="K2243" s="29"/>
      <c r="L2243" s="28"/>
      <c r="M2243" s="19"/>
      <c r="N2243" s="19"/>
      <c r="O2243" s="48"/>
    </row>
    <row r="2244" spans="9:15" x14ac:dyDescent="0.35">
      <c r="I2244" s="52"/>
      <c r="J2244" s="28"/>
      <c r="K2244" s="29"/>
      <c r="L2244" s="28"/>
      <c r="M2244" s="19"/>
      <c r="N2244" s="19"/>
      <c r="O2244" s="48"/>
    </row>
    <row r="2245" spans="9:15" x14ac:dyDescent="0.35">
      <c r="I2245" s="52"/>
      <c r="J2245" s="28"/>
      <c r="K2245" s="29"/>
      <c r="L2245" s="28"/>
      <c r="M2245" s="19"/>
      <c r="N2245" s="19"/>
      <c r="O2245" s="48"/>
    </row>
    <row r="2246" spans="9:15" x14ac:dyDescent="0.35">
      <c r="I2246" s="52"/>
      <c r="J2246" s="28"/>
      <c r="K2246" s="29"/>
      <c r="L2246" s="28"/>
      <c r="M2246" s="19"/>
      <c r="N2246" s="19"/>
      <c r="O2246" s="48"/>
    </row>
    <row r="2247" spans="9:15" x14ac:dyDescent="0.35">
      <c r="I2247" s="52"/>
      <c r="J2247" s="28"/>
      <c r="K2247" s="29"/>
      <c r="L2247" s="28"/>
      <c r="M2247" s="19"/>
      <c r="N2247" s="19"/>
      <c r="O2247" s="48"/>
    </row>
    <row r="2248" spans="9:15" x14ac:dyDescent="0.35">
      <c r="I2248" s="52"/>
      <c r="J2248" s="28"/>
      <c r="K2248" s="29"/>
      <c r="L2248" s="28"/>
      <c r="M2248" s="19"/>
      <c r="N2248" s="19"/>
      <c r="O2248" s="48"/>
    </row>
    <row r="2249" spans="9:15" x14ac:dyDescent="0.35">
      <c r="I2249" s="52"/>
      <c r="J2249" s="28"/>
      <c r="K2249" s="29"/>
      <c r="L2249" s="28"/>
      <c r="M2249" s="19"/>
      <c r="N2249" s="19"/>
      <c r="O2249" s="48"/>
    </row>
    <row r="2250" spans="9:15" x14ac:dyDescent="0.35">
      <c r="I2250" s="52"/>
      <c r="J2250" s="28"/>
      <c r="K2250" s="29"/>
      <c r="L2250" s="28"/>
      <c r="M2250" s="19"/>
      <c r="N2250" s="19"/>
      <c r="O2250" s="48"/>
    </row>
    <row r="2251" spans="9:15" x14ac:dyDescent="0.35">
      <c r="I2251" s="52"/>
      <c r="J2251" s="28"/>
      <c r="K2251" s="29"/>
      <c r="L2251" s="28"/>
      <c r="M2251" s="19"/>
      <c r="N2251" s="19"/>
      <c r="O2251" s="48"/>
    </row>
    <row r="2252" spans="9:15" x14ac:dyDescent="0.35">
      <c r="I2252" s="52"/>
      <c r="J2252" s="28"/>
      <c r="K2252" s="29"/>
      <c r="L2252" s="28"/>
      <c r="M2252" s="19"/>
      <c r="N2252" s="19"/>
      <c r="O2252" s="48"/>
    </row>
    <row r="2253" spans="9:15" x14ac:dyDescent="0.35">
      <c r="I2253" s="52"/>
      <c r="J2253" s="28"/>
      <c r="K2253" s="29"/>
      <c r="L2253" s="28"/>
      <c r="M2253" s="19"/>
      <c r="N2253" s="19"/>
      <c r="O2253" s="48"/>
    </row>
    <row r="2254" spans="9:15" x14ac:dyDescent="0.35">
      <c r="I2254" s="52"/>
      <c r="J2254" s="28"/>
      <c r="K2254" s="29"/>
      <c r="L2254" s="28"/>
      <c r="M2254" s="19"/>
      <c r="N2254" s="19"/>
      <c r="O2254" s="48"/>
    </row>
    <row r="2255" spans="9:15" x14ac:dyDescent="0.35">
      <c r="I2255" s="52"/>
      <c r="J2255" s="28"/>
      <c r="K2255" s="29"/>
      <c r="L2255" s="28"/>
      <c r="M2255" s="19"/>
      <c r="N2255" s="19"/>
      <c r="O2255" s="48"/>
    </row>
    <row r="2256" spans="9:15" x14ac:dyDescent="0.35">
      <c r="I2256" s="52"/>
      <c r="J2256" s="28"/>
      <c r="K2256" s="29"/>
      <c r="L2256" s="28"/>
      <c r="M2256" s="19"/>
      <c r="N2256" s="19"/>
      <c r="O2256" s="48"/>
    </row>
    <row r="2257" spans="9:15" x14ac:dyDescent="0.35">
      <c r="I2257" s="52"/>
      <c r="J2257" s="28"/>
      <c r="K2257" s="29"/>
      <c r="L2257" s="28"/>
      <c r="M2257" s="19"/>
      <c r="N2257" s="19"/>
      <c r="O2257" s="48"/>
    </row>
    <row r="2258" spans="9:15" x14ac:dyDescent="0.35">
      <c r="I2258" s="52"/>
      <c r="J2258" s="28"/>
      <c r="K2258" s="29"/>
      <c r="L2258" s="28"/>
      <c r="M2258" s="19"/>
      <c r="N2258" s="19"/>
      <c r="O2258" s="48"/>
    </row>
    <row r="2259" spans="9:15" x14ac:dyDescent="0.35">
      <c r="I2259" s="52"/>
      <c r="J2259" s="28"/>
      <c r="K2259" s="29"/>
      <c r="L2259" s="28"/>
      <c r="M2259" s="19"/>
      <c r="N2259" s="19"/>
      <c r="O2259" s="48"/>
    </row>
    <row r="2260" spans="9:15" x14ac:dyDescent="0.35">
      <c r="I2260" s="52"/>
      <c r="J2260" s="28"/>
      <c r="K2260" s="29"/>
      <c r="L2260" s="28"/>
      <c r="M2260" s="19"/>
      <c r="N2260" s="19"/>
      <c r="O2260" s="48"/>
    </row>
    <row r="2261" spans="9:15" x14ac:dyDescent="0.35">
      <c r="I2261" s="52"/>
      <c r="J2261" s="28"/>
      <c r="K2261" s="29"/>
      <c r="L2261" s="28"/>
      <c r="M2261" s="19"/>
      <c r="N2261" s="19"/>
      <c r="O2261" s="48"/>
    </row>
    <row r="2262" spans="9:15" x14ac:dyDescent="0.35">
      <c r="I2262" s="52"/>
      <c r="J2262" s="28"/>
      <c r="K2262" s="29"/>
      <c r="L2262" s="28"/>
      <c r="M2262" s="19"/>
      <c r="N2262" s="19"/>
      <c r="O2262" s="48"/>
    </row>
    <row r="2263" spans="9:15" x14ac:dyDescent="0.35">
      <c r="I2263" s="52"/>
      <c r="J2263" s="28"/>
      <c r="K2263" s="29"/>
      <c r="L2263" s="28"/>
      <c r="M2263" s="19"/>
      <c r="N2263" s="19"/>
      <c r="O2263" s="48"/>
    </row>
    <row r="2264" spans="9:15" x14ac:dyDescent="0.35">
      <c r="I2264" s="52"/>
      <c r="J2264" s="28"/>
      <c r="K2264" s="29"/>
      <c r="L2264" s="28"/>
      <c r="M2264" s="19"/>
      <c r="N2264" s="19"/>
      <c r="O2264" s="48"/>
    </row>
    <row r="2265" spans="9:15" x14ac:dyDescent="0.35">
      <c r="I2265" s="52"/>
      <c r="J2265" s="28"/>
      <c r="K2265" s="29"/>
      <c r="L2265" s="28"/>
      <c r="M2265" s="19"/>
      <c r="N2265" s="19"/>
      <c r="O2265" s="48"/>
    </row>
    <row r="2266" spans="9:15" x14ac:dyDescent="0.35">
      <c r="I2266" s="52"/>
      <c r="J2266" s="28"/>
      <c r="K2266" s="29"/>
      <c r="L2266" s="28"/>
      <c r="M2266" s="19"/>
      <c r="N2266" s="19"/>
      <c r="O2266" s="48"/>
    </row>
    <row r="2267" spans="9:15" x14ac:dyDescent="0.35">
      <c r="I2267" s="52"/>
      <c r="J2267" s="28"/>
      <c r="K2267" s="29"/>
      <c r="L2267" s="28"/>
      <c r="M2267" s="19"/>
      <c r="N2267" s="19"/>
      <c r="O2267" s="48"/>
    </row>
    <row r="2268" spans="9:15" x14ac:dyDescent="0.35">
      <c r="I2268" s="52"/>
      <c r="J2268" s="28"/>
      <c r="K2268" s="29"/>
      <c r="L2268" s="28"/>
      <c r="M2268" s="19"/>
      <c r="N2268" s="19"/>
      <c r="O2268" s="48"/>
    </row>
    <row r="2269" spans="9:15" x14ac:dyDescent="0.35">
      <c r="I2269" s="52"/>
      <c r="J2269" s="28"/>
      <c r="K2269" s="29"/>
      <c r="L2269" s="28"/>
      <c r="M2269" s="19"/>
      <c r="N2269" s="19"/>
      <c r="O2269" s="48"/>
    </row>
    <row r="2270" spans="9:15" x14ac:dyDescent="0.35">
      <c r="I2270" s="52"/>
      <c r="J2270" s="28"/>
      <c r="K2270" s="29"/>
      <c r="L2270" s="28"/>
      <c r="M2270" s="19"/>
      <c r="N2270" s="19"/>
      <c r="O2270" s="48"/>
    </row>
    <row r="2271" spans="9:15" x14ac:dyDescent="0.35">
      <c r="I2271" s="52"/>
      <c r="J2271" s="28"/>
      <c r="K2271" s="29"/>
      <c r="L2271" s="28"/>
      <c r="M2271" s="19"/>
      <c r="N2271" s="19"/>
      <c r="O2271" s="48"/>
    </row>
    <row r="2272" spans="9:15" x14ac:dyDescent="0.35">
      <c r="I2272" s="52"/>
      <c r="J2272" s="28"/>
      <c r="K2272" s="29"/>
      <c r="L2272" s="28"/>
      <c r="M2272" s="19"/>
      <c r="N2272" s="19"/>
      <c r="O2272" s="48"/>
    </row>
    <row r="2273" spans="9:15" x14ac:dyDescent="0.35">
      <c r="I2273" s="52"/>
      <c r="J2273" s="28"/>
      <c r="K2273" s="29"/>
      <c r="L2273" s="28"/>
      <c r="M2273" s="19"/>
      <c r="N2273" s="19"/>
      <c r="O2273" s="48"/>
    </row>
    <row r="2274" spans="9:15" x14ac:dyDescent="0.35">
      <c r="I2274" s="52"/>
      <c r="J2274" s="28"/>
      <c r="K2274" s="29"/>
      <c r="L2274" s="28"/>
      <c r="M2274" s="19"/>
      <c r="N2274" s="19"/>
      <c r="O2274" s="48"/>
    </row>
    <row r="2275" spans="9:15" x14ac:dyDescent="0.35">
      <c r="I2275" s="52"/>
      <c r="J2275" s="28"/>
      <c r="K2275" s="29"/>
      <c r="L2275" s="28"/>
      <c r="M2275" s="19"/>
      <c r="N2275" s="19"/>
      <c r="O2275" s="48"/>
    </row>
    <row r="2276" spans="9:15" x14ac:dyDescent="0.35">
      <c r="I2276" s="52"/>
      <c r="J2276" s="28"/>
      <c r="K2276" s="29"/>
      <c r="L2276" s="28"/>
      <c r="M2276" s="19"/>
      <c r="N2276" s="19"/>
      <c r="O2276" s="48"/>
    </row>
    <row r="2277" spans="9:15" x14ac:dyDescent="0.35">
      <c r="I2277" s="52"/>
      <c r="J2277" s="28"/>
      <c r="K2277" s="29"/>
      <c r="L2277" s="28"/>
      <c r="M2277" s="19"/>
      <c r="N2277" s="19"/>
      <c r="O2277" s="48"/>
    </row>
    <row r="2278" spans="9:15" x14ac:dyDescent="0.35">
      <c r="I2278" s="52"/>
      <c r="J2278" s="28"/>
      <c r="K2278" s="29"/>
      <c r="L2278" s="28"/>
      <c r="M2278" s="19"/>
      <c r="N2278" s="19"/>
      <c r="O2278" s="48"/>
    </row>
    <row r="2279" spans="9:15" x14ac:dyDescent="0.35">
      <c r="I2279" s="52"/>
      <c r="J2279" s="28"/>
      <c r="K2279" s="29"/>
      <c r="L2279" s="28"/>
      <c r="M2279" s="19"/>
      <c r="N2279" s="19"/>
      <c r="O2279" s="48"/>
    </row>
    <row r="2280" spans="9:15" x14ac:dyDescent="0.35">
      <c r="I2280" s="52"/>
      <c r="J2280" s="28"/>
      <c r="K2280" s="29"/>
      <c r="L2280" s="28"/>
      <c r="M2280" s="19"/>
      <c r="N2280" s="19"/>
      <c r="O2280" s="48"/>
    </row>
    <row r="2281" spans="9:15" x14ac:dyDescent="0.35">
      <c r="I2281" s="52"/>
      <c r="J2281" s="28"/>
      <c r="K2281" s="29"/>
      <c r="L2281" s="28"/>
      <c r="M2281" s="19"/>
      <c r="N2281" s="19"/>
      <c r="O2281" s="48"/>
    </row>
    <row r="2282" spans="9:15" x14ac:dyDescent="0.35">
      <c r="I2282" s="52"/>
      <c r="J2282" s="28"/>
      <c r="K2282" s="29"/>
      <c r="L2282" s="28"/>
      <c r="M2282" s="19"/>
      <c r="N2282" s="19"/>
      <c r="O2282" s="48"/>
    </row>
    <row r="2283" spans="9:15" x14ac:dyDescent="0.35">
      <c r="I2283" s="52"/>
      <c r="J2283" s="28"/>
      <c r="K2283" s="29"/>
      <c r="L2283" s="28"/>
      <c r="M2283" s="19"/>
      <c r="N2283" s="19"/>
      <c r="O2283" s="48"/>
    </row>
    <row r="2284" spans="9:15" x14ac:dyDescent="0.35">
      <c r="I2284" s="52"/>
      <c r="J2284" s="28"/>
      <c r="K2284" s="29"/>
      <c r="L2284" s="28"/>
      <c r="M2284" s="19"/>
      <c r="N2284" s="19"/>
      <c r="O2284" s="48"/>
    </row>
    <row r="2285" spans="9:15" x14ac:dyDescent="0.35">
      <c r="I2285" s="52"/>
      <c r="J2285" s="28"/>
      <c r="K2285" s="29"/>
      <c r="L2285" s="28"/>
      <c r="M2285" s="19"/>
      <c r="N2285" s="19"/>
      <c r="O2285" s="48"/>
    </row>
    <row r="2286" spans="9:15" x14ac:dyDescent="0.35">
      <c r="I2286" s="52"/>
      <c r="J2286" s="28"/>
      <c r="K2286" s="29"/>
      <c r="L2286" s="28"/>
      <c r="M2286" s="19"/>
      <c r="N2286" s="19"/>
      <c r="O2286" s="48"/>
    </row>
    <row r="2287" spans="9:15" x14ac:dyDescent="0.35">
      <c r="I2287" s="52"/>
      <c r="J2287" s="28"/>
      <c r="K2287" s="29"/>
      <c r="L2287" s="28"/>
      <c r="M2287" s="19"/>
      <c r="N2287" s="19"/>
      <c r="O2287" s="48"/>
    </row>
    <row r="2288" spans="9:15" x14ac:dyDescent="0.35">
      <c r="I2288" s="52"/>
      <c r="J2288" s="28"/>
      <c r="K2288" s="29"/>
      <c r="L2288" s="28"/>
      <c r="M2288" s="19"/>
      <c r="N2288" s="19"/>
      <c r="O2288" s="48"/>
    </row>
    <row r="2289" spans="9:15" x14ac:dyDescent="0.35">
      <c r="I2289" s="52"/>
      <c r="J2289" s="28"/>
      <c r="K2289" s="29"/>
      <c r="L2289" s="28"/>
      <c r="M2289" s="19"/>
      <c r="N2289" s="19"/>
      <c r="O2289" s="48"/>
    </row>
    <row r="2290" spans="9:15" x14ac:dyDescent="0.35">
      <c r="I2290" s="52"/>
      <c r="J2290" s="28"/>
      <c r="K2290" s="29"/>
      <c r="L2290" s="28"/>
      <c r="M2290" s="19"/>
      <c r="N2290" s="19"/>
      <c r="O2290" s="48"/>
    </row>
    <row r="2291" spans="9:15" x14ac:dyDescent="0.35">
      <c r="I2291" s="52"/>
      <c r="J2291" s="28"/>
      <c r="K2291" s="29"/>
      <c r="L2291" s="28"/>
      <c r="M2291" s="19"/>
      <c r="N2291" s="19"/>
      <c r="O2291" s="48"/>
    </row>
    <row r="2292" spans="9:15" x14ac:dyDescent="0.35">
      <c r="I2292" s="52"/>
      <c r="J2292" s="28"/>
      <c r="K2292" s="29"/>
      <c r="L2292" s="28"/>
      <c r="M2292" s="19"/>
      <c r="N2292" s="19"/>
      <c r="O2292" s="48"/>
    </row>
    <row r="2293" spans="9:15" x14ac:dyDescent="0.35">
      <c r="I2293" s="52"/>
      <c r="J2293" s="28"/>
      <c r="K2293" s="29"/>
      <c r="L2293" s="28"/>
      <c r="M2293" s="19"/>
      <c r="N2293" s="19"/>
      <c r="O2293" s="48"/>
    </row>
    <row r="2294" spans="9:15" x14ac:dyDescent="0.35">
      <c r="I2294" s="52"/>
      <c r="J2294" s="28"/>
      <c r="K2294" s="29"/>
      <c r="L2294" s="28"/>
      <c r="M2294" s="19"/>
      <c r="N2294" s="19"/>
      <c r="O2294" s="48"/>
    </row>
    <row r="2295" spans="9:15" x14ac:dyDescent="0.35">
      <c r="I2295" s="52"/>
      <c r="J2295" s="28"/>
      <c r="K2295" s="29"/>
      <c r="L2295" s="28"/>
      <c r="M2295" s="19"/>
      <c r="N2295" s="19"/>
      <c r="O2295" s="48"/>
    </row>
    <row r="2296" spans="9:15" x14ac:dyDescent="0.35">
      <c r="I2296" s="52"/>
      <c r="J2296" s="28"/>
      <c r="K2296" s="29"/>
      <c r="L2296" s="28"/>
      <c r="M2296" s="19"/>
      <c r="N2296" s="19"/>
      <c r="O2296" s="48"/>
    </row>
    <row r="2297" spans="9:15" x14ac:dyDescent="0.35">
      <c r="I2297" s="52"/>
      <c r="J2297" s="28"/>
      <c r="K2297" s="29"/>
      <c r="L2297" s="28"/>
      <c r="M2297" s="19"/>
      <c r="N2297" s="19"/>
      <c r="O2297" s="48"/>
    </row>
    <row r="2298" spans="9:15" x14ac:dyDescent="0.35">
      <c r="I2298" s="52"/>
      <c r="J2298" s="28"/>
      <c r="K2298" s="29"/>
      <c r="L2298" s="28"/>
      <c r="M2298" s="19"/>
      <c r="N2298" s="19"/>
      <c r="O2298" s="48"/>
    </row>
    <row r="2299" spans="9:15" x14ac:dyDescent="0.35">
      <c r="I2299" s="52"/>
      <c r="J2299" s="28"/>
      <c r="K2299" s="29"/>
      <c r="L2299" s="28"/>
      <c r="M2299" s="19"/>
      <c r="N2299" s="19"/>
      <c r="O2299" s="48"/>
    </row>
    <row r="2300" spans="9:15" x14ac:dyDescent="0.35">
      <c r="I2300" s="52"/>
      <c r="J2300" s="28"/>
      <c r="K2300" s="29"/>
      <c r="L2300" s="28"/>
      <c r="M2300" s="19"/>
      <c r="N2300" s="19"/>
      <c r="O2300" s="48"/>
    </row>
    <row r="2301" spans="9:15" x14ac:dyDescent="0.35">
      <c r="I2301" s="52"/>
      <c r="J2301" s="28"/>
      <c r="K2301" s="29"/>
      <c r="L2301" s="28"/>
      <c r="M2301" s="19"/>
      <c r="N2301" s="19"/>
      <c r="O2301" s="48"/>
    </row>
    <row r="2302" spans="9:15" x14ac:dyDescent="0.35">
      <c r="I2302" s="52"/>
      <c r="J2302" s="28"/>
      <c r="K2302" s="29"/>
      <c r="L2302" s="28"/>
      <c r="M2302" s="19"/>
      <c r="N2302" s="19"/>
      <c r="O2302" s="48"/>
    </row>
    <row r="2303" spans="9:15" x14ac:dyDescent="0.35">
      <c r="I2303" s="52"/>
      <c r="J2303" s="28"/>
      <c r="K2303" s="29"/>
      <c r="L2303" s="28"/>
      <c r="M2303" s="19"/>
      <c r="N2303" s="19"/>
      <c r="O2303" s="48"/>
    </row>
    <row r="2304" spans="9:15" x14ac:dyDescent="0.35">
      <c r="I2304" s="52"/>
      <c r="J2304" s="28"/>
      <c r="K2304" s="29"/>
      <c r="L2304" s="28"/>
      <c r="M2304" s="19"/>
      <c r="N2304" s="19"/>
      <c r="O2304" s="48"/>
    </row>
    <row r="2305" spans="9:15" x14ac:dyDescent="0.35">
      <c r="I2305" s="52"/>
      <c r="J2305" s="28"/>
      <c r="K2305" s="29"/>
      <c r="L2305" s="28"/>
      <c r="M2305" s="19"/>
      <c r="N2305" s="19"/>
      <c r="O2305" s="48"/>
    </row>
    <row r="2306" spans="9:15" x14ac:dyDescent="0.35">
      <c r="I2306" s="52"/>
      <c r="J2306" s="28"/>
      <c r="K2306" s="29"/>
      <c r="L2306" s="28"/>
      <c r="M2306" s="19"/>
      <c r="N2306" s="19"/>
      <c r="O2306" s="48"/>
    </row>
    <row r="2307" spans="9:15" x14ac:dyDescent="0.35">
      <c r="I2307" s="52"/>
      <c r="J2307" s="28"/>
      <c r="K2307" s="29"/>
      <c r="L2307" s="28"/>
      <c r="M2307" s="19"/>
      <c r="N2307" s="19"/>
      <c r="O2307" s="48"/>
    </row>
    <row r="2308" spans="9:15" x14ac:dyDescent="0.35">
      <c r="I2308" s="52"/>
      <c r="J2308" s="28"/>
      <c r="K2308" s="29"/>
      <c r="L2308" s="28"/>
      <c r="M2308" s="19"/>
      <c r="N2308" s="19"/>
      <c r="O2308" s="48"/>
    </row>
    <row r="2309" spans="9:15" x14ac:dyDescent="0.35">
      <c r="I2309" s="52"/>
      <c r="J2309" s="28"/>
      <c r="K2309" s="29"/>
      <c r="L2309" s="28"/>
      <c r="M2309" s="19"/>
      <c r="N2309" s="19"/>
      <c r="O2309" s="48"/>
    </row>
    <row r="2310" spans="9:15" x14ac:dyDescent="0.35">
      <c r="I2310" s="52"/>
      <c r="J2310" s="28"/>
      <c r="K2310" s="29"/>
      <c r="L2310" s="28"/>
      <c r="M2310" s="19"/>
      <c r="N2310" s="19"/>
      <c r="O2310" s="48"/>
    </row>
    <row r="2311" spans="9:15" x14ac:dyDescent="0.35">
      <c r="I2311" s="52"/>
      <c r="J2311" s="28"/>
      <c r="K2311" s="29"/>
      <c r="L2311" s="28"/>
      <c r="M2311" s="19"/>
      <c r="N2311" s="19"/>
      <c r="O2311" s="48"/>
    </row>
    <row r="2312" spans="9:15" x14ac:dyDescent="0.35">
      <c r="I2312" s="52"/>
      <c r="J2312" s="28"/>
      <c r="K2312" s="29"/>
      <c r="L2312" s="28"/>
      <c r="M2312" s="19"/>
      <c r="N2312" s="19"/>
      <c r="O2312" s="48"/>
    </row>
    <row r="2313" spans="9:15" x14ac:dyDescent="0.35">
      <c r="I2313" s="52"/>
      <c r="J2313" s="28"/>
      <c r="K2313" s="29"/>
      <c r="L2313" s="28"/>
      <c r="M2313" s="19"/>
      <c r="N2313" s="19"/>
      <c r="O2313" s="48"/>
    </row>
    <row r="2314" spans="9:15" x14ac:dyDescent="0.35">
      <c r="I2314" s="52"/>
      <c r="J2314" s="28"/>
      <c r="K2314" s="29"/>
      <c r="L2314" s="28"/>
      <c r="M2314" s="19"/>
      <c r="N2314" s="19"/>
      <c r="O2314" s="48"/>
    </row>
    <row r="2315" spans="9:15" x14ac:dyDescent="0.35">
      <c r="I2315" s="52"/>
      <c r="J2315" s="28"/>
      <c r="K2315" s="29"/>
      <c r="L2315" s="28"/>
      <c r="M2315" s="19"/>
      <c r="N2315" s="19"/>
      <c r="O2315" s="48"/>
    </row>
    <row r="2316" spans="9:15" x14ac:dyDescent="0.35">
      <c r="I2316" s="52"/>
      <c r="J2316" s="28"/>
      <c r="K2316" s="29"/>
      <c r="L2316" s="28"/>
      <c r="M2316" s="19"/>
      <c r="N2316" s="19"/>
      <c r="O2316" s="48"/>
    </row>
    <row r="2317" spans="9:15" x14ac:dyDescent="0.35">
      <c r="I2317" s="52"/>
      <c r="J2317" s="28"/>
      <c r="K2317" s="29"/>
      <c r="L2317" s="28"/>
      <c r="M2317" s="19"/>
      <c r="N2317" s="19"/>
      <c r="O2317" s="48"/>
    </row>
    <row r="2318" spans="9:15" x14ac:dyDescent="0.35">
      <c r="I2318" s="52"/>
      <c r="J2318" s="28"/>
      <c r="K2318" s="29"/>
      <c r="L2318" s="28"/>
      <c r="M2318" s="19"/>
      <c r="N2318" s="19"/>
      <c r="O2318" s="48"/>
    </row>
    <row r="2319" spans="9:15" x14ac:dyDescent="0.35">
      <c r="I2319" s="52"/>
      <c r="J2319" s="28"/>
      <c r="K2319" s="29"/>
      <c r="L2319" s="28"/>
      <c r="M2319" s="19"/>
      <c r="N2319" s="19"/>
      <c r="O2319" s="48"/>
    </row>
    <row r="2320" spans="9:15" x14ac:dyDescent="0.35">
      <c r="I2320" s="52"/>
      <c r="J2320" s="28"/>
      <c r="K2320" s="29"/>
      <c r="L2320" s="28"/>
      <c r="M2320" s="19"/>
      <c r="N2320" s="19"/>
      <c r="O2320" s="48"/>
    </row>
    <row r="2321" spans="9:15" x14ac:dyDescent="0.35">
      <c r="I2321" s="52"/>
      <c r="J2321" s="28"/>
      <c r="K2321" s="29"/>
      <c r="L2321" s="28"/>
      <c r="M2321" s="19"/>
      <c r="N2321" s="19"/>
      <c r="O2321" s="48"/>
    </row>
    <row r="2322" spans="9:15" x14ac:dyDescent="0.35">
      <c r="I2322" s="52"/>
      <c r="J2322" s="28"/>
      <c r="K2322" s="29"/>
      <c r="L2322" s="28"/>
      <c r="M2322" s="19"/>
      <c r="N2322" s="19"/>
      <c r="O2322" s="48"/>
    </row>
    <row r="2323" spans="9:15" x14ac:dyDescent="0.35">
      <c r="I2323" s="52"/>
      <c r="J2323" s="28"/>
      <c r="K2323" s="29"/>
      <c r="L2323" s="28"/>
      <c r="M2323" s="19"/>
      <c r="N2323" s="19"/>
      <c r="O2323" s="48"/>
    </row>
    <row r="2324" spans="9:15" x14ac:dyDescent="0.35">
      <c r="I2324" s="52"/>
      <c r="J2324" s="28"/>
      <c r="K2324" s="29"/>
      <c r="L2324" s="28"/>
      <c r="M2324" s="19"/>
      <c r="N2324" s="19"/>
      <c r="O2324" s="48"/>
    </row>
    <row r="2325" spans="9:15" x14ac:dyDescent="0.35">
      <c r="I2325" s="52"/>
      <c r="J2325" s="28"/>
      <c r="K2325" s="29"/>
      <c r="L2325" s="28"/>
      <c r="M2325" s="19"/>
      <c r="N2325" s="19"/>
      <c r="O2325" s="48"/>
    </row>
    <row r="2326" spans="9:15" x14ac:dyDescent="0.35">
      <c r="I2326" s="52"/>
      <c r="J2326" s="28"/>
      <c r="K2326" s="29"/>
      <c r="L2326" s="28"/>
      <c r="M2326" s="19"/>
      <c r="N2326" s="19"/>
      <c r="O2326" s="48"/>
    </row>
    <row r="2327" spans="9:15" x14ac:dyDescent="0.35">
      <c r="I2327" s="52"/>
      <c r="J2327" s="28"/>
      <c r="K2327" s="29"/>
      <c r="L2327" s="28"/>
      <c r="M2327" s="19"/>
      <c r="N2327" s="19"/>
      <c r="O2327" s="48"/>
    </row>
    <row r="2328" spans="9:15" x14ac:dyDescent="0.35">
      <c r="I2328" s="52"/>
      <c r="J2328" s="28"/>
      <c r="K2328" s="29"/>
      <c r="L2328" s="28"/>
      <c r="M2328" s="19"/>
      <c r="N2328" s="19"/>
      <c r="O2328" s="48"/>
    </row>
    <row r="2329" spans="9:15" x14ac:dyDescent="0.35">
      <c r="I2329" s="52"/>
      <c r="J2329" s="28"/>
      <c r="K2329" s="29"/>
      <c r="L2329" s="28"/>
      <c r="M2329" s="19"/>
      <c r="N2329" s="19"/>
      <c r="O2329" s="48"/>
    </row>
    <row r="2330" spans="9:15" x14ac:dyDescent="0.35">
      <c r="I2330" s="52"/>
      <c r="J2330" s="28"/>
      <c r="K2330" s="29"/>
      <c r="L2330" s="28"/>
      <c r="M2330" s="19"/>
      <c r="N2330" s="19"/>
      <c r="O2330" s="48"/>
    </row>
    <row r="2331" spans="9:15" x14ac:dyDescent="0.35">
      <c r="I2331" s="52"/>
      <c r="J2331" s="28"/>
      <c r="K2331" s="29"/>
      <c r="L2331" s="28"/>
      <c r="M2331" s="19"/>
      <c r="N2331" s="19"/>
      <c r="O2331" s="48"/>
    </row>
    <row r="2332" spans="9:15" x14ac:dyDescent="0.35">
      <c r="I2332" s="52"/>
      <c r="J2332" s="28"/>
      <c r="K2332" s="29"/>
      <c r="L2332" s="28"/>
      <c r="M2332" s="19"/>
      <c r="N2332" s="19"/>
      <c r="O2332" s="48"/>
    </row>
    <row r="2333" spans="9:15" x14ac:dyDescent="0.35">
      <c r="I2333" s="52"/>
      <c r="J2333" s="28"/>
      <c r="K2333" s="29"/>
      <c r="L2333" s="28"/>
      <c r="M2333" s="19"/>
      <c r="N2333" s="19"/>
      <c r="O2333" s="48"/>
    </row>
    <row r="2334" spans="9:15" x14ac:dyDescent="0.35">
      <c r="I2334" s="52"/>
      <c r="J2334" s="28"/>
      <c r="K2334" s="29"/>
      <c r="L2334" s="28"/>
      <c r="M2334" s="19"/>
      <c r="N2334" s="19"/>
      <c r="O2334" s="48"/>
    </row>
    <row r="2335" spans="9:15" x14ac:dyDescent="0.35">
      <c r="I2335" s="52"/>
      <c r="J2335" s="28"/>
      <c r="K2335" s="29"/>
      <c r="L2335" s="28"/>
      <c r="M2335" s="19"/>
      <c r="N2335" s="19"/>
      <c r="O2335" s="48"/>
    </row>
    <row r="2336" spans="9:15" x14ac:dyDescent="0.35">
      <c r="I2336" s="52"/>
      <c r="J2336" s="28"/>
      <c r="K2336" s="29"/>
      <c r="L2336" s="28"/>
      <c r="M2336" s="19"/>
      <c r="N2336" s="19"/>
      <c r="O2336" s="48"/>
    </row>
    <row r="2337" spans="9:15" x14ac:dyDescent="0.35">
      <c r="I2337" s="52"/>
      <c r="J2337" s="28"/>
      <c r="K2337" s="29"/>
      <c r="L2337" s="28"/>
      <c r="M2337" s="19"/>
      <c r="N2337" s="19"/>
      <c r="O2337" s="48"/>
    </row>
    <row r="2338" spans="9:15" x14ac:dyDescent="0.35">
      <c r="I2338" s="52"/>
      <c r="J2338" s="28"/>
      <c r="K2338" s="29"/>
      <c r="L2338" s="28"/>
      <c r="M2338" s="19"/>
      <c r="N2338" s="19"/>
      <c r="O2338" s="48"/>
    </row>
    <row r="2339" spans="9:15" x14ac:dyDescent="0.35">
      <c r="I2339" s="52"/>
      <c r="J2339" s="28"/>
      <c r="K2339" s="29"/>
      <c r="L2339" s="28"/>
      <c r="M2339" s="19"/>
      <c r="N2339" s="19"/>
      <c r="O2339" s="48"/>
    </row>
    <row r="2340" spans="9:15" x14ac:dyDescent="0.35">
      <c r="I2340" s="52"/>
      <c r="J2340" s="28"/>
      <c r="K2340" s="29"/>
      <c r="L2340" s="28"/>
      <c r="M2340" s="19"/>
      <c r="N2340" s="19"/>
      <c r="O2340" s="48"/>
    </row>
    <row r="2341" spans="9:15" x14ac:dyDescent="0.35">
      <c r="I2341" s="52"/>
      <c r="J2341" s="28"/>
      <c r="K2341" s="29"/>
      <c r="L2341" s="28"/>
      <c r="M2341" s="19"/>
      <c r="N2341" s="19"/>
      <c r="O2341" s="48"/>
    </row>
    <row r="2342" spans="9:15" x14ac:dyDescent="0.35">
      <c r="I2342" s="52"/>
      <c r="J2342" s="28"/>
      <c r="K2342" s="29"/>
      <c r="L2342" s="28"/>
      <c r="M2342" s="19"/>
      <c r="N2342" s="19"/>
      <c r="O2342" s="48"/>
    </row>
    <row r="2343" spans="9:15" x14ac:dyDescent="0.35">
      <c r="I2343" s="52"/>
      <c r="J2343" s="28"/>
      <c r="K2343" s="29"/>
      <c r="L2343" s="28"/>
      <c r="M2343" s="19"/>
      <c r="N2343" s="19"/>
      <c r="O2343" s="48"/>
    </row>
    <row r="2344" spans="9:15" x14ac:dyDescent="0.35">
      <c r="I2344" s="52"/>
      <c r="J2344" s="28"/>
      <c r="K2344" s="29"/>
      <c r="L2344" s="28"/>
      <c r="M2344" s="19"/>
      <c r="N2344" s="19"/>
      <c r="O2344" s="48"/>
    </row>
    <row r="2345" spans="9:15" x14ac:dyDescent="0.35">
      <c r="I2345" s="52"/>
      <c r="J2345" s="28"/>
      <c r="K2345" s="29"/>
      <c r="L2345" s="28"/>
      <c r="M2345" s="19"/>
      <c r="N2345" s="19"/>
      <c r="O2345" s="48"/>
    </row>
    <row r="2346" spans="9:15" x14ac:dyDescent="0.35">
      <c r="I2346" s="52"/>
      <c r="J2346" s="28"/>
      <c r="K2346" s="29"/>
      <c r="L2346" s="28"/>
      <c r="M2346" s="19"/>
      <c r="N2346" s="19"/>
      <c r="O2346" s="48"/>
    </row>
    <row r="2347" spans="9:15" x14ac:dyDescent="0.35">
      <c r="I2347" s="52"/>
      <c r="J2347" s="28"/>
      <c r="K2347" s="29"/>
      <c r="L2347" s="28"/>
      <c r="M2347" s="19"/>
      <c r="N2347" s="19"/>
      <c r="O2347" s="48"/>
    </row>
    <row r="2348" spans="9:15" x14ac:dyDescent="0.35">
      <c r="I2348" s="52"/>
      <c r="J2348" s="28"/>
      <c r="K2348" s="29"/>
      <c r="L2348" s="28"/>
      <c r="M2348" s="19"/>
      <c r="N2348" s="19"/>
      <c r="O2348" s="48"/>
    </row>
    <row r="2349" spans="9:15" x14ac:dyDescent="0.35">
      <c r="I2349" s="52"/>
      <c r="J2349" s="28"/>
      <c r="K2349" s="29"/>
      <c r="L2349" s="28"/>
      <c r="M2349" s="19"/>
      <c r="N2349" s="19"/>
      <c r="O2349" s="48"/>
    </row>
    <row r="2350" spans="9:15" x14ac:dyDescent="0.35">
      <c r="I2350" s="52"/>
      <c r="J2350" s="28"/>
      <c r="K2350" s="29"/>
      <c r="L2350" s="28"/>
      <c r="M2350" s="19"/>
      <c r="N2350" s="19"/>
      <c r="O2350" s="48"/>
    </row>
    <row r="2351" spans="9:15" x14ac:dyDescent="0.35">
      <c r="I2351" s="52"/>
      <c r="J2351" s="28"/>
      <c r="K2351" s="29"/>
      <c r="L2351" s="28"/>
      <c r="M2351" s="19"/>
      <c r="N2351" s="19"/>
      <c r="O2351" s="48"/>
    </row>
    <row r="2352" spans="9:15" x14ac:dyDescent="0.35">
      <c r="I2352" s="52"/>
      <c r="J2352" s="28"/>
      <c r="K2352" s="29"/>
      <c r="L2352" s="28"/>
      <c r="M2352" s="19"/>
      <c r="N2352" s="19"/>
      <c r="O2352" s="48"/>
    </row>
    <row r="2353" spans="9:15" x14ac:dyDescent="0.35">
      <c r="I2353" s="52"/>
      <c r="J2353" s="28"/>
      <c r="K2353" s="29"/>
      <c r="L2353" s="28"/>
      <c r="M2353" s="19"/>
      <c r="N2353" s="19"/>
      <c r="O2353" s="48"/>
    </row>
    <row r="2354" spans="9:15" x14ac:dyDescent="0.35">
      <c r="I2354" s="52"/>
      <c r="J2354" s="28"/>
      <c r="K2354" s="29"/>
      <c r="L2354" s="28"/>
      <c r="M2354" s="19"/>
      <c r="N2354" s="19"/>
      <c r="O2354" s="48"/>
    </row>
    <row r="2355" spans="9:15" x14ac:dyDescent="0.35">
      <c r="I2355" s="52"/>
      <c r="J2355" s="28"/>
      <c r="K2355" s="29"/>
      <c r="L2355" s="28"/>
      <c r="M2355" s="19"/>
      <c r="N2355" s="19"/>
      <c r="O2355" s="48"/>
    </row>
    <row r="2356" spans="9:15" x14ac:dyDescent="0.35">
      <c r="I2356" s="52"/>
      <c r="J2356" s="28"/>
      <c r="K2356" s="29"/>
      <c r="L2356" s="28"/>
      <c r="M2356" s="19"/>
      <c r="N2356" s="19"/>
      <c r="O2356" s="48"/>
    </row>
    <row r="2357" spans="9:15" x14ac:dyDescent="0.35">
      <c r="I2357" s="52"/>
      <c r="J2357" s="28"/>
      <c r="K2357" s="29"/>
      <c r="L2357" s="28"/>
      <c r="M2357" s="19"/>
      <c r="N2357" s="19"/>
      <c r="O2357" s="48"/>
    </row>
    <row r="2358" spans="9:15" x14ac:dyDescent="0.35">
      <c r="I2358" s="52"/>
      <c r="J2358" s="28"/>
      <c r="K2358" s="29"/>
      <c r="L2358" s="28"/>
      <c r="M2358" s="19"/>
      <c r="N2358" s="19"/>
      <c r="O2358" s="48"/>
    </row>
    <row r="2359" spans="9:15" x14ac:dyDescent="0.35">
      <c r="I2359" s="52"/>
      <c r="J2359" s="28"/>
      <c r="K2359" s="29"/>
      <c r="L2359" s="28"/>
      <c r="M2359" s="19"/>
      <c r="N2359" s="19"/>
      <c r="O2359" s="48"/>
    </row>
    <row r="2360" spans="9:15" x14ac:dyDescent="0.35">
      <c r="I2360" s="52"/>
      <c r="J2360" s="28"/>
      <c r="K2360" s="29"/>
      <c r="L2360" s="28"/>
      <c r="M2360" s="19"/>
      <c r="N2360" s="19"/>
      <c r="O2360" s="48"/>
    </row>
    <row r="2361" spans="9:15" x14ac:dyDescent="0.35">
      <c r="I2361" s="52"/>
      <c r="J2361" s="28"/>
      <c r="K2361" s="29"/>
      <c r="L2361" s="28"/>
      <c r="M2361" s="19"/>
      <c r="N2361" s="19"/>
      <c r="O2361" s="48"/>
    </row>
    <row r="2362" spans="9:15" x14ac:dyDescent="0.35">
      <c r="I2362" s="52"/>
      <c r="J2362" s="28"/>
      <c r="K2362" s="29"/>
      <c r="L2362" s="28"/>
      <c r="M2362" s="19"/>
      <c r="N2362" s="19"/>
      <c r="O2362" s="48"/>
    </row>
    <row r="2363" spans="9:15" x14ac:dyDescent="0.35">
      <c r="I2363" s="52"/>
      <c r="J2363" s="28"/>
      <c r="K2363" s="29"/>
      <c r="L2363" s="28"/>
      <c r="M2363" s="19"/>
      <c r="N2363" s="19"/>
      <c r="O2363" s="48"/>
    </row>
    <row r="2364" spans="9:15" x14ac:dyDescent="0.35">
      <c r="I2364" s="52"/>
      <c r="J2364" s="28"/>
      <c r="K2364" s="29"/>
      <c r="L2364" s="28"/>
      <c r="M2364" s="19"/>
      <c r="N2364" s="19"/>
      <c r="O2364" s="48"/>
    </row>
    <row r="2365" spans="9:15" x14ac:dyDescent="0.35">
      <c r="I2365" s="52"/>
      <c r="J2365" s="28"/>
      <c r="K2365" s="29"/>
      <c r="L2365" s="28"/>
      <c r="M2365" s="19"/>
      <c r="N2365" s="19"/>
      <c r="O2365" s="48"/>
    </row>
    <row r="2366" spans="9:15" x14ac:dyDescent="0.35">
      <c r="I2366" s="52"/>
      <c r="J2366" s="28"/>
      <c r="K2366" s="29"/>
      <c r="L2366" s="28"/>
      <c r="M2366" s="19"/>
      <c r="N2366" s="19"/>
      <c r="O2366" s="48"/>
    </row>
    <row r="2367" spans="9:15" x14ac:dyDescent="0.35">
      <c r="I2367" s="52"/>
      <c r="J2367" s="28"/>
      <c r="K2367" s="29"/>
      <c r="L2367" s="28"/>
      <c r="M2367" s="19"/>
      <c r="N2367" s="19"/>
      <c r="O2367" s="48"/>
    </row>
    <row r="2368" spans="9:15" x14ac:dyDescent="0.35">
      <c r="I2368" s="52"/>
      <c r="J2368" s="28"/>
      <c r="K2368" s="29"/>
      <c r="L2368" s="28"/>
      <c r="M2368" s="19"/>
      <c r="N2368" s="19"/>
      <c r="O2368" s="48"/>
    </row>
    <row r="2369" spans="9:15" x14ac:dyDescent="0.35">
      <c r="I2369" s="52"/>
      <c r="J2369" s="28"/>
      <c r="K2369" s="29"/>
      <c r="L2369" s="28"/>
      <c r="M2369" s="19"/>
      <c r="N2369" s="19"/>
      <c r="O2369" s="48"/>
    </row>
    <row r="2370" spans="9:15" x14ac:dyDescent="0.35">
      <c r="I2370" s="52"/>
      <c r="J2370" s="28"/>
      <c r="K2370" s="29"/>
      <c r="L2370" s="28"/>
      <c r="M2370" s="19"/>
      <c r="N2370" s="19"/>
      <c r="O2370" s="48"/>
    </row>
    <row r="2371" spans="9:15" x14ac:dyDescent="0.35">
      <c r="I2371" s="52"/>
      <c r="J2371" s="28"/>
      <c r="K2371" s="29"/>
      <c r="L2371" s="28"/>
      <c r="M2371" s="19"/>
      <c r="N2371" s="19"/>
      <c r="O2371" s="48"/>
    </row>
    <row r="2372" spans="9:15" x14ac:dyDescent="0.35">
      <c r="I2372" s="52"/>
      <c r="J2372" s="28"/>
      <c r="K2372" s="29"/>
      <c r="L2372" s="28"/>
      <c r="M2372" s="19"/>
      <c r="N2372" s="19"/>
      <c r="O2372" s="48"/>
    </row>
    <row r="2373" spans="9:15" x14ac:dyDescent="0.35">
      <c r="I2373" s="52"/>
      <c r="J2373" s="28"/>
      <c r="K2373" s="29"/>
      <c r="L2373" s="28"/>
      <c r="M2373" s="19"/>
      <c r="N2373" s="19"/>
      <c r="O2373" s="48"/>
    </row>
    <row r="2374" spans="9:15" x14ac:dyDescent="0.35">
      <c r="I2374" s="52"/>
      <c r="J2374" s="28"/>
      <c r="K2374" s="29"/>
      <c r="L2374" s="28"/>
      <c r="M2374" s="19"/>
      <c r="N2374" s="19"/>
      <c r="O2374" s="48"/>
    </row>
    <row r="2375" spans="9:15" x14ac:dyDescent="0.35">
      <c r="I2375" s="52"/>
      <c r="J2375" s="28"/>
      <c r="K2375" s="29"/>
      <c r="L2375" s="28"/>
      <c r="M2375" s="19"/>
      <c r="N2375" s="19"/>
      <c r="O2375" s="48"/>
    </row>
    <row r="2376" spans="9:15" x14ac:dyDescent="0.35">
      <c r="I2376" s="52"/>
      <c r="J2376" s="28"/>
      <c r="K2376" s="29"/>
      <c r="L2376" s="28"/>
      <c r="M2376" s="19"/>
      <c r="N2376" s="19"/>
      <c r="O2376" s="48"/>
    </row>
    <row r="2377" spans="9:15" x14ac:dyDescent="0.35">
      <c r="I2377" s="52"/>
      <c r="J2377" s="28"/>
      <c r="K2377" s="29"/>
      <c r="L2377" s="28"/>
      <c r="M2377" s="19"/>
      <c r="N2377" s="19"/>
      <c r="O2377" s="48"/>
    </row>
    <row r="2378" spans="9:15" x14ac:dyDescent="0.35">
      <c r="I2378" s="52"/>
      <c r="J2378" s="28"/>
      <c r="K2378" s="29"/>
      <c r="L2378" s="28"/>
      <c r="M2378" s="19"/>
      <c r="N2378" s="19"/>
      <c r="O2378" s="48"/>
    </row>
    <row r="2379" spans="9:15" x14ac:dyDescent="0.35">
      <c r="I2379" s="52"/>
      <c r="J2379" s="28"/>
      <c r="K2379" s="29"/>
      <c r="L2379" s="28"/>
      <c r="M2379" s="19"/>
      <c r="N2379" s="19"/>
      <c r="O2379" s="48"/>
    </row>
    <row r="2380" spans="9:15" x14ac:dyDescent="0.35">
      <c r="I2380" s="52"/>
      <c r="J2380" s="28"/>
      <c r="K2380" s="29"/>
      <c r="L2380" s="28"/>
      <c r="M2380" s="19"/>
      <c r="N2380" s="19"/>
      <c r="O2380" s="48"/>
    </row>
    <row r="2381" spans="9:15" x14ac:dyDescent="0.35">
      <c r="I2381" s="52"/>
      <c r="J2381" s="28"/>
      <c r="K2381" s="29"/>
      <c r="L2381" s="28"/>
      <c r="M2381" s="19"/>
      <c r="N2381" s="19"/>
      <c r="O2381" s="48"/>
    </row>
    <row r="2382" spans="9:15" x14ac:dyDescent="0.35">
      <c r="I2382" s="52"/>
      <c r="J2382" s="28"/>
      <c r="K2382" s="29"/>
      <c r="L2382" s="28"/>
      <c r="M2382" s="19"/>
      <c r="N2382" s="19"/>
      <c r="O2382" s="48"/>
    </row>
    <row r="2383" spans="9:15" x14ac:dyDescent="0.35">
      <c r="I2383" s="52"/>
      <c r="J2383" s="28"/>
      <c r="K2383" s="29"/>
      <c r="L2383" s="28"/>
      <c r="M2383" s="19"/>
      <c r="N2383" s="19"/>
      <c r="O2383" s="48"/>
    </row>
    <row r="2384" spans="9:15" x14ac:dyDescent="0.35">
      <c r="I2384" s="52"/>
      <c r="J2384" s="28"/>
      <c r="K2384" s="29"/>
      <c r="L2384" s="28"/>
      <c r="M2384" s="19"/>
      <c r="N2384" s="19"/>
      <c r="O2384" s="48"/>
    </row>
    <row r="2385" spans="9:15" x14ac:dyDescent="0.35">
      <c r="I2385" s="52"/>
      <c r="J2385" s="28"/>
      <c r="K2385" s="29"/>
      <c r="L2385" s="28"/>
      <c r="M2385" s="19"/>
      <c r="N2385" s="19"/>
      <c r="O2385" s="48"/>
    </row>
    <row r="2386" spans="9:15" x14ac:dyDescent="0.35">
      <c r="I2386" s="52"/>
      <c r="J2386" s="28"/>
      <c r="K2386" s="29"/>
      <c r="L2386" s="28"/>
      <c r="M2386" s="19"/>
      <c r="N2386" s="19"/>
      <c r="O2386" s="48"/>
    </row>
    <row r="2387" spans="9:15" x14ac:dyDescent="0.35">
      <c r="I2387" s="52"/>
      <c r="J2387" s="28"/>
      <c r="K2387" s="29"/>
      <c r="L2387" s="28"/>
      <c r="M2387" s="19"/>
      <c r="N2387" s="19"/>
      <c r="O2387" s="48"/>
    </row>
    <row r="2388" spans="9:15" x14ac:dyDescent="0.35">
      <c r="I2388" s="52"/>
      <c r="J2388" s="28"/>
      <c r="K2388" s="29"/>
      <c r="L2388" s="28"/>
      <c r="M2388" s="19"/>
      <c r="N2388" s="19"/>
      <c r="O2388" s="48"/>
    </row>
    <row r="2389" spans="9:15" x14ac:dyDescent="0.35">
      <c r="I2389" s="52"/>
      <c r="J2389" s="28"/>
      <c r="K2389" s="29"/>
      <c r="L2389" s="28"/>
      <c r="M2389" s="19"/>
      <c r="N2389" s="19"/>
      <c r="O2389" s="48"/>
    </row>
    <row r="2390" spans="9:15" x14ac:dyDescent="0.35">
      <c r="I2390" s="52"/>
      <c r="J2390" s="28"/>
      <c r="K2390" s="29"/>
      <c r="L2390" s="28"/>
      <c r="M2390" s="19"/>
      <c r="N2390" s="19"/>
      <c r="O2390" s="48"/>
    </row>
    <row r="2391" spans="9:15" x14ac:dyDescent="0.35">
      <c r="I2391" s="52"/>
      <c r="J2391" s="28"/>
      <c r="K2391" s="29"/>
      <c r="L2391" s="28"/>
      <c r="M2391" s="19"/>
      <c r="N2391" s="19"/>
      <c r="O2391" s="48"/>
    </row>
    <row r="2392" spans="9:15" x14ac:dyDescent="0.35">
      <c r="I2392" s="52"/>
      <c r="J2392" s="28"/>
      <c r="K2392" s="29"/>
      <c r="L2392" s="28"/>
      <c r="M2392" s="19"/>
      <c r="N2392" s="19"/>
      <c r="O2392" s="48"/>
    </row>
    <row r="2393" spans="9:15" x14ac:dyDescent="0.35">
      <c r="I2393" s="52"/>
      <c r="J2393" s="28"/>
      <c r="K2393" s="29"/>
      <c r="L2393" s="28"/>
      <c r="M2393" s="19"/>
      <c r="N2393" s="19"/>
      <c r="O2393" s="48"/>
    </row>
    <row r="2394" spans="9:15" x14ac:dyDescent="0.35">
      <c r="I2394" s="52"/>
      <c r="J2394" s="28"/>
      <c r="K2394" s="29"/>
      <c r="L2394" s="28"/>
      <c r="M2394" s="19"/>
      <c r="N2394" s="19"/>
      <c r="O2394" s="48"/>
    </row>
    <row r="2395" spans="9:15" x14ac:dyDescent="0.35">
      <c r="I2395" s="52"/>
      <c r="J2395" s="28"/>
      <c r="K2395" s="29"/>
      <c r="L2395" s="28"/>
      <c r="M2395" s="19"/>
      <c r="N2395" s="19"/>
      <c r="O2395" s="48"/>
    </row>
    <row r="2396" spans="9:15" x14ac:dyDescent="0.35">
      <c r="I2396" s="52"/>
      <c r="J2396" s="28"/>
      <c r="K2396" s="29"/>
      <c r="L2396" s="28"/>
      <c r="M2396" s="19"/>
      <c r="N2396" s="19"/>
      <c r="O2396" s="48"/>
    </row>
    <row r="2397" spans="9:15" x14ac:dyDescent="0.35">
      <c r="I2397" s="52"/>
      <c r="J2397" s="28"/>
      <c r="K2397" s="29"/>
      <c r="L2397" s="28"/>
      <c r="M2397" s="19"/>
      <c r="N2397" s="19"/>
      <c r="O2397" s="48"/>
    </row>
    <row r="2398" spans="9:15" x14ac:dyDescent="0.35">
      <c r="I2398" s="52"/>
      <c r="J2398" s="28"/>
      <c r="K2398" s="29"/>
      <c r="L2398" s="28"/>
      <c r="M2398" s="19"/>
      <c r="N2398" s="19"/>
      <c r="O2398" s="48"/>
    </row>
    <row r="2399" spans="9:15" x14ac:dyDescent="0.35">
      <c r="I2399" s="52"/>
      <c r="J2399" s="28"/>
      <c r="K2399" s="29"/>
      <c r="L2399" s="28"/>
      <c r="M2399" s="19"/>
      <c r="N2399" s="19"/>
      <c r="O2399" s="48"/>
    </row>
    <row r="2400" spans="9:15" x14ac:dyDescent="0.35">
      <c r="I2400" s="52"/>
      <c r="J2400" s="28"/>
      <c r="K2400" s="29"/>
      <c r="L2400" s="28"/>
      <c r="M2400" s="19"/>
      <c r="N2400" s="19"/>
      <c r="O2400" s="48"/>
    </row>
    <row r="2401" spans="9:15" x14ac:dyDescent="0.35">
      <c r="I2401" s="52"/>
      <c r="J2401" s="28"/>
      <c r="K2401" s="29"/>
      <c r="L2401" s="28"/>
      <c r="M2401" s="19"/>
      <c r="N2401" s="19"/>
      <c r="O2401" s="48"/>
    </row>
    <row r="2402" spans="9:15" x14ac:dyDescent="0.35">
      <c r="I2402" s="52"/>
      <c r="J2402" s="28"/>
      <c r="K2402" s="29"/>
      <c r="L2402" s="28"/>
      <c r="M2402" s="19"/>
      <c r="N2402" s="19"/>
      <c r="O2402" s="48"/>
    </row>
    <row r="2403" spans="9:15" x14ac:dyDescent="0.35">
      <c r="I2403" s="52"/>
      <c r="J2403" s="28"/>
      <c r="K2403" s="29"/>
      <c r="L2403" s="28"/>
      <c r="M2403" s="19"/>
      <c r="N2403" s="19"/>
      <c r="O2403" s="48"/>
    </row>
    <row r="2404" spans="9:15" x14ac:dyDescent="0.35">
      <c r="I2404" s="52"/>
      <c r="J2404" s="28"/>
      <c r="K2404" s="29"/>
      <c r="L2404" s="28"/>
      <c r="M2404" s="19"/>
      <c r="N2404" s="19"/>
      <c r="O2404" s="48"/>
    </row>
    <row r="2405" spans="9:15" x14ac:dyDescent="0.35">
      <c r="I2405" s="52"/>
      <c r="J2405" s="28"/>
      <c r="K2405" s="29"/>
      <c r="L2405" s="28"/>
      <c r="M2405" s="19"/>
      <c r="N2405" s="19"/>
      <c r="O2405" s="48"/>
    </row>
    <row r="2406" spans="9:15" x14ac:dyDescent="0.35">
      <c r="I2406" s="52"/>
      <c r="J2406" s="28"/>
      <c r="K2406" s="29"/>
      <c r="L2406" s="28"/>
      <c r="M2406" s="19"/>
      <c r="N2406" s="19"/>
      <c r="O2406" s="48"/>
    </row>
    <row r="2407" spans="9:15" x14ac:dyDescent="0.35">
      <c r="I2407" s="52"/>
      <c r="J2407" s="28"/>
      <c r="K2407" s="29"/>
      <c r="L2407" s="28"/>
      <c r="M2407" s="19"/>
      <c r="N2407" s="19"/>
      <c r="O2407" s="48"/>
    </row>
    <row r="2408" spans="9:15" x14ac:dyDescent="0.35">
      <c r="I2408" s="52"/>
      <c r="J2408" s="28"/>
      <c r="K2408" s="29"/>
      <c r="L2408" s="28"/>
      <c r="M2408" s="19"/>
      <c r="N2408" s="19"/>
      <c r="O2408" s="48"/>
    </row>
    <row r="2409" spans="9:15" x14ac:dyDescent="0.35">
      <c r="I2409" s="52"/>
      <c r="J2409" s="28"/>
      <c r="K2409" s="29"/>
      <c r="L2409" s="28"/>
      <c r="M2409" s="19"/>
      <c r="N2409" s="19"/>
      <c r="O2409" s="48"/>
    </row>
    <row r="2410" spans="9:15" x14ac:dyDescent="0.35">
      <c r="I2410" s="52"/>
      <c r="J2410" s="28"/>
      <c r="K2410" s="29"/>
      <c r="L2410" s="28"/>
      <c r="M2410" s="19"/>
      <c r="N2410" s="19"/>
      <c r="O2410" s="48"/>
    </row>
    <row r="2411" spans="9:15" x14ac:dyDescent="0.35">
      <c r="I2411" s="52"/>
      <c r="J2411" s="28"/>
      <c r="K2411" s="29"/>
      <c r="L2411" s="28"/>
      <c r="M2411" s="19"/>
      <c r="N2411" s="19"/>
      <c r="O2411" s="48"/>
    </row>
    <row r="2412" spans="9:15" x14ac:dyDescent="0.35">
      <c r="I2412" s="52"/>
      <c r="J2412" s="28"/>
      <c r="K2412" s="29"/>
      <c r="L2412" s="28"/>
      <c r="M2412" s="19"/>
      <c r="N2412" s="19"/>
      <c r="O2412" s="48"/>
    </row>
    <row r="2413" spans="9:15" x14ac:dyDescent="0.35">
      <c r="I2413" s="52"/>
      <c r="J2413" s="28"/>
      <c r="K2413" s="29"/>
      <c r="L2413" s="28"/>
      <c r="M2413" s="19"/>
      <c r="N2413" s="19"/>
      <c r="O2413" s="48"/>
    </row>
    <row r="2414" spans="9:15" x14ac:dyDescent="0.35">
      <c r="I2414" s="52"/>
      <c r="J2414" s="28"/>
      <c r="K2414" s="29"/>
      <c r="L2414" s="28"/>
      <c r="M2414" s="19"/>
      <c r="N2414" s="19"/>
      <c r="O2414" s="48"/>
    </row>
    <row r="2415" spans="9:15" x14ac:dyDescent="0.35">
      <c r="I2415" s="52"/>
      <c r="J2415" s="28"/>
      <c r="K2415" s="29"/>
      <c r="L2415" s="28"/>
      <c r="M2415" s="19"/>
      <c r="N2415" s="19"/>
      <c r="O2415" s="48"/>
    </row>
    <row r="2416" spans="9:15" x14ac:dyDescent="0.35">
      <c r="I2416" s="52"/>
      <c r="J2416" s="28"/>
      <c r="K2416" s="29"/>
      <c r="L2416" s="28"/>
      <c r="M2416" s="19"/>
      <c r="N2416" s="19"/>
      <c r="O2416" s="48"/>
    </row>
    <row r="2417" spans="9:15" x14ac:dyDescent="0.35">
      <c r="I2417" s="52"/>
      <c r="J2417" s="28"/>
      <c r="K2417" s="29"/>
      <c r="L2417" s="28"/>
      <c r="M2417" s="19"/>
      <c r="N2417" s="19"/>
      <c r="O2417" s="48"/>
    </row>
    <row r="2418" spans="9:15" x14ac:dyDescent="0.35">
      <c r="I2418" s="52"/>
      <c r="J2418" s="28"/>
      <c r="K2418" s="29"/>
      <c r="L2418" s="28"/>
      <c r="M2418" s="19"/>
      <c r="N2418" s="19"/>
      <c r="O2418" s="48"/>
    </row>
    <row r="2419" spans="9:15" x14ac:dyDescent="0.35">
      <c r="I2419" s="52"/>
      <c r="J2419" s="28"/>
      <c r="K2419" s="29"/>
      <c r="L2419" s="28"/>
      <c r="M2419" s="19"/>
      <c r="N2419" s="19"/>
      <c r="O2419" s="48"/>
    </row>
    <row r="2420" spans="9:15" x14ac:dyDescent="0.35">
      <c r="I2420" s="52"/>
      <c r="J2420" s="28"/>
      <c r="K2420" s="29"/>
      <c r="L2420" s="28"/>
      <c r="M2420" s="19"/>
      <c r="N2420" s="19"/>
      <c r="O2420" s="48"/>
    </row>
    <row r="2421" spans="9:15" x14ac:dyDescent="0.35">
      <c r="I2421" s="52"/>
      <c r="J2421" s="28"/>
      <c r="K2421" s="29"/>
      <c r="L2421" s="28"/>
      <c r="M2421" s="19"/>
      <c r="N2421" s="19"/>
      <c r="O2421" s="48"/>
    </row>
    <row r="2422" spans="9:15" x14ac:dyDescent="0.35">
      <c r="I2422" s="52"/>
      <c r="J2422" s="28"/>
      <c r="K2422" s="29"/>
      <c r="L2422" s="28"/>
      <c r="M2422" s="19"/>
      <c r="N2422" s="19"/>
      <c r="O2422" s="48"/>
    </row>
    <row r="2423" spans="9:15" x14ac:dyDescent="0.35">
      <c r="I2423" s="52"/>
      <c r="J2423" s="28"/>
      <c r="K2423" s="29"/>
      <c r="L2423" s="28"/>
      <c r="M2423" s="19"/>
      <c r="N2423" s="19"/>
      <c r="O2423" s="48"/>
    </row>
    <row r="2424" spans="9:15" x14ac:dyDescent="0.35">
      <c r="I2424" s="52"/>
      <c r="J2424" s="28"/>
      <c r="K2424" s="29"/>
      <c r="L2424" s="28"/>
      <c r="M2424" s="19"/>
      <c r="N2424" s="19"/>
      <c r="O2424" s="48"/>
    </row>
    <row r="2425" spans="9:15" x14ac:dyDescent="0.35">
      <c r="I2425" s="52"/>
      <c r="J2425" s="28"/>
      <c r="K2425" s="29"/>
      <c r="L2425" s="28"/>
      <c r="M2425" s="19"/>
      <c r="N2425" s="19"/>
      <c r="O2425" s="48"/>
    </row>
    <row r="2426" spans="9:15" x14ac:dyDescent="0.35">
      <c r="I2426" s="52"/>
      <c r="J2426" s="28"/>
      <c r="K2426" s="29"/>
      <c r="L2426" s="28"/>
      <c r="M2426" s="19"/>
      <c r="N2426" s="19"/>
      <c r="O2426" s="48"/>
    </row>
    <row r="2427" spans="9:15" x14ac:dyDescent="0.35">
      <c r="I2427" s="52"/>
      <c r="J2427" s="28"/>
      <c r="K2427" s="29"/>
      <c r="L2427" s="28"/>
      <c r="M2427" s="19"/>
      <c r="N2427" s="19"/>
      <c r="O2427" s="48"/>
    </row>
    <row r="2428" spans="9:15" x14ac:dyDescent="0.35">
      <c r="I2428" s="52"/>
      <c r="J2428" s="28"/>
      <c r="K2428" s="29"/>
      <c r="L2428" s="28"/>
      <c r="M2428" s="19"/>
      <c r="N2428" s="19"/>
      <c r="O2428" s="48"/>
    </row>
    <row r="2429" spans="9:15" x14ac:dyDescent="0.35">
      <c r="I2429" s="52"/>
      <c r="J2429" s="28"/>
      <c r="K2429" s="29"/>
      <c r="L2429" s="28"/>
      <c r="M2429" s="19"/>
      <c r="N2429" s="19"/>
      <c r="O2429" s="48"/>
    </row>
    <row r="2430" spans="9:15" x14ac:dyDescent="0.35">
      <c r="I2430" s="52"/>
      <c r="J2430" s="28"/>
      <c r="K2430" s="29"/>
      <c r="L2430" s="28"/>
      <c r="M2430" s="19"/>
      <c r="N2430" s="19"/>
      <c r="O2430" s="48"/>
    </row>
    <row r="2431" spans="9:15" x14ac:dyDescent="0.35">
      <c r="I2431" s="52"/>
      <c r="J2431" s="28"/>
      <c r="K2431" s="29"/>
      <c r="L2431" s="28"/>
      <c r="M2431" s="19"/>
      <c r="N2431" s="19"/>
      <c r="O2431" s="48"/>
    </row>
    <row r="2432" spans="9:15" x14ac:dyDescent="0.35">
      <c r="I2432" s="52"/>
      <c r="J2432" s="28"/>
      <c r="K2432" s="29"/>
      <c r="L2432" s="28"/>
      <c r="M2432" s="19"/>
      <c r="N2432" s="19"/>
      <c r="O2432" s="48"/>
    </row>
    <row r="2433" spans="9:15" x14ac:dyDescent="0.35">
      <c r="I2433" s="52"/>
      <c r="J2433" s="28"/>
      <c r="K2433" s="29"/>
      <c r="L2433" s="28"/>
      <c r="M2433" s="19"/>
      <c r="N2433" s="19"/>
      <c r="O2433" s="48"/>
    </row>
    <row r="2434" spans="9:15" x14ac:dyDescent="0.35">
      <c r="I2434" s="52"/>
      <c r="J2434" s="28"/>
      <c r="K2434" s="29"/>
      <c r="L2434" s="28"/>
      <c r="M2434" s="19"/>
      <c r="N2434" s="19"/>
      <c r="O2434" s="48"/>
    </row>
    <row r="2435" spans="9:15" x14ac:dyDescent="0.35">
      <c r="I2435" s="52"/>
      <c r="J2435" s="28"/>
      <c r="K2435" s="29"/>
      <c r="L2435" s="28"/>
      <c r="M2435" s="19"/>
      <c r="N2435" s="19"/>
      <c r="O2435" s="48"/>
    </row>
    <row r="2436" spans="9:15" x14ac:dyDescent="0.35">
      <c r="I2436" s="52"/>
      <c r="J2436" s="28"/>
      <c r="K2436" s="29"/>
      <c r="L2436" s="28"/>
      <c r="M2436" s="19"/>
      <c r="N2436" s="19"/>
      <c r="O2436" s="48"/>
    </row>
    <row r="2437" spans="9:15" x14ac:dyDescent="0.35">
      <c r="I2437" s="52"/>
      <c r="J2437" s="28"/>
      <c r="K2437" s="29"/>
      <c r="L2437" s="28"/>
      <c r="M2437" s="19"/>
      <c r="N2437" s="19"/>
      <c r="O2437" s="48"/>
    </row>
    <row r="2438" spans="9:15" x14ac:dyDescent="0.35">
      <c r="I2438" s="52"/>
      <c r="J2438" s="28"/>
      <c r="K2438" s="29"/>
      <c r="L2438" s="28"/>
      <c r="M2438" s="19"/>
      <c r="N2438" s="19"/>
      <c r="O2438" s="48"/>
    </row>
    <row r="2439" spans="9:15" x14ac:dyDescent="0.35">
      <c r="I2439" s="52"/>
      <c r="J2439" s="28"/>
      <c r="K2439" s="29"/>
      <c r="L2439" s="28"/>
      <c r="M2439" s="19"/>
      <c r="N2439" s="19"/>
      <c r="O2439" s="48"/>
    </row>
    <row r="2440" spans="9:15" x14ac:dyDescent="0.35">
      <c r="I2440" s="52"/>
      <c r="J2440" s="28"/>
      <c r="K2440" s="29"/>
      <c r="L2440" s="28"/>
      <c r="M2440" s="19"/>
      <c r="N2440" s="19"/>
      <c r="O2440" s="48"/>
    </row>
    <row r="2441" spans="9:15" x14ac:dyDescent="0.35">
      <c r="I2441" s="52"/>
      <c r="J2441" s="28"/>
      <c r="K2441" s="29"/>
      <c r="L2441" s="28"/>
      <c r="M2441" s="19"/>
      <c r="N2441" s="19"/>
      <c r="O2441" s="48"/>
    </row>
    <row r="2442" spans="9:15" x14ac:dyDescent="0.35">
      <c r="I2442" s="52"/>
      <c r="J2442" s="28"/>
      <c r="K2442" s="29"/>
      <c r="L2442" s="28"/>
      <c r="M2442" s="19"/>
      <c r="N2442" s="19"/>
      <c r="O2442" s="48"/>
    </row>
    <row r="2443" spans="9:15" x14ac:dyDescent="0.35">
      <c r="I2443" s="52"/>
      <c r="J2443" s="28"/>
      <c r="K2443" s="29"/>
      <c r="L2443" s="28"/>
      <c r="M2443" s="19"/>
      <c r="N2443" s="19"/>
      <c r="O2443" s="48"/>
    </row>
    <row r="2444" spans="9:15" x14ac:dyDescent="0.35">
      <c r="I2444" s="52"/>
      <c r="J2444" s="28"/>
      <c r="K2444" s="29"/>
      <c r="L2444" s="28"/>
      <c r="M2444" s="19"/>
      <c r="N2444" s="19"/>
      <c r="O2444" s="48"/>
    </row>
    <row r="2445" spans="9:15" x14ac:dyDescent="0.35">
      <c r="I2445" s="52"/>
      <c r="J2445" s="28"/>
      <c r="K2445" s="29"/>
      <c r="L2445" s="28"/>
      <c r="M2445" s="19"/>
      <c r="N2445" s="19"/>
      <c r="O2445" s="48"/>
    </row>
    <row r="2446" spans="9:15" x14ac:dyDescent="0.35">
      <c r="I2446" s="52"/>
      <c r="J2446" s="28"/>
      <c r="K2446" s="29"/>
      <c r="L2446" s="28"/>
      <c r="M2446" s="19"/>
      <c r="N2446" s="19"/>
      <c r="O2446" s="48"/>
    </row>
    <row r="2447" spans="9:15" x14ac:dyDescent="0.35">
      <c r="I2447" s="52"/>
      <c r="J2447" s="28"/>
      <c r="K2447" s="29"/>
      <c r="L2447" s="28"/>
      <c r="M2447" s="19"/>
      <c r="N2447" s="19"/>
      <c r="O2447" s="48"/>
    </row>
    <row r="2448" spans="9:15" x14ac:dyDescent="0.35">
      <c r="I2448" s="52"/>
      <c r="J2448" s="28"/>
      <c r="K2448" s="29"/>
      <c r="L2448" s="28"/>
      <c r="M2448" s="19"/>
      <c r="N2448" s="19"/>
      <c r="O2448" s="48"/>
    </row>
    <row r="2449" spans="9:15" x14ac:dyDescent="0.35">
      <c r="I2449" s="52"/>
      <c r="J2449" s="28"/>
      <c r="K2449" s="29"/>
      <c r="L2449" s="28"/>
      <c r="M2449" s="19"/>
      <c r="N2449" s="19"/>
      <c r="O2449" s="48"/>
    </row>
    <row r="2450" spans="9:15" x14ac:dyDescent="0.35">
      <c r="I2450" s="52"/>
      <c r="J2450" s="28"/>
      <c r="K2450" s="29"/>
      <c r="L2450" s="28"/>
      <c r="M2450" s="19"/>
      <c r="N2450" s="19"/>
      <c r="O2450" s="48"/>
    </row>
    <row r="2451" spans="9:15" x14ac:dyDescent="0.35">
      <c r="I2451" s="52"/>
      <c r="J2451" s="28"/>
      <c r="K2451" s="29"/>
      <c r="L2451" s="28"/>
      <c r="M2451" s="19"/>
      <c r="N2451" s="19"/>
      <c r="O2451" s="48"/>
    </row>
    <row r="2452" spans="9:15" x14ac:dyDescent="0.35">
      <c r="I2452" s="52"/>
      <c r="J2452" s="28"/>
      <c r="K2452" s="29"/>
      <c r="L2452" s="28"/>
      <c r="M2452" s="19"/>
      <c r="N2452" s="19"/>
      <c r="O2452" s="48"/>
    </row>
    <row r="2453" spans="9:15" x14ac:dyDescent="0.35">
      <c r="I2453" s="52"/>
      <c r="J2453" s="28"/>
      <c r="K2453" s="29"/>
      <c r="L2453" s="28"/>
      <c r="M2453" s="19"/>
      <c r="N2453" s="19"/>
      <c r="O2453" s="48"/>
    </row>
    <row r="2454" spans="9:15" x14ac:dyDescent="0.35">
      <c r="I2454" s="52"/>
      <c r="J2454" s="28"/>
      <c r="K2454" s="29"/>
      <c r="L2454" s="28"/>
      <c r="M2454" s="19"/>
      <c r="N2454" s="19"/>
      <c r="O2454" s="48"/>
    </row>
    <row r="2455" spans="9:15" x14ac:dyDescent="0.35">
      <c r="I2455" s="52"/>
      <c r="J2455" s="28"/>
      <c r="K2455" s="29"/>
      <c r="L2455" s="28"/>
      <c r="M2455" s="19"/>
      <c r="N2455" s="19"/>
      <c r="O2455" s="48"/>
    </row>
    <row r="2456" spans="9:15" x14ac:dyDescent="0.35">
      <c r="I2456" s="52"/>
      <c r="J2456" s="28"/>
      <c r="K2456" s="29"/>
      <c r="L2456" s="28"/>
      <c r="M2456" s="19"/>
      <c r="N2456" s="19"/>
      <c r="O2456" s="48"/>
    </row>
    <row r="2457" spans="9:15" x14ac:dyDescent="0.35">
      <c r="I2457" s="52"/>
      <c r="J2457" s="28"/>
      <c r="K2457" s="29"/>
      <c r="L2457" s="28"/>
      <c r="M2457" s="19"/>
      <c r="N2457" s="19"/>
      <c r="O2457" s="48"/>
    </row>
    <row r="2458" spans="9:15" x14ac:dyDescent="0.35">
      <c r="I2458" s="52"/>
      <c r="J2458" s="28"/>
      <c r="K2458" s="29"/>
      <c r="L2458" s="28"/>
      <c r="M2458" s="19"/>
      <c r="N2458" s="19"/>
      <c r="O2458" s="48"/>
    </row>
    <row r="2459" spans="9:15" x14ac:dyDescent="0.35">
      <c r="I2459" s="52"/>
      <c r="J2459" s="28"/>
      <c r="K2459" s="29"/>
      <c r="L2459" s="28"/>
      <c r="M2459" s="19"/>
      <c r="N2459" s="19"/>
      <c r="O2459" s="48"/>
    </row>
    <row r="2460" spans="9:15" x14ac:dyDescent="0.35">
      <c r="I2460" s="52"/>
      <c r="J2460" s="28"/>
      <c r="K2460" s="29"/>
      <c r="L2460" s="28"/>
      <c r="M2460" s="19"/>
      <c r="N2460" s="19"/>
      <c r="O2460" s="48"/>
    </row>
    <row r="2461" spans="9:15" x14ac:dyDescent="0.35">
      <c r="I2461" s="52"/>
      <c r="J2461" s="28"/>
      <c r="K2461" s="29"/>
      <c r="L2461" s="28"/>
      <c r="M2461" s="19"/>
      <c r="N2461" s="19"/>
      <c r="O2461" s="48"/>
    </row>
    <row r="2462" spans="9:15" x14ac:dyDescent="0.35">
      <c r="I2462" s="52"/>
      <c r="J2462" s="28"/>
      <c r="K2462" s="29"/>
      <c r="L2462" s="28"/>
      <c r="M2462" s="19"/>
      <c r="N2462" s="19"/>
      <c r="O2462" s="48"/>
    </row>
    <row r="2463" spans="9:15" x14ac:dyDescent="0.35">
      <c r="I2463" s="52"/>
      <c r="J2463" s="28"/>
      <c r="K2463" s="29"/>
      <c r="L2463" s="28"/>
      <c r="M2463" s="19"/>
      <c r="N2463" s="19"/>
      <c r="O2463" s="48"/>
    </row>
    <row r="2464" spans="9:15" x14ac:dyDescent="0.35">
      <c r="I2464" s="52"/>
      <c r="J2464" s="28"/>
      <c r="K2464" s="29"/>
      <c r="L2464" s="28"/>
      <c r="M2464" s="19"/>
      <c r="N2464" s="19"/>
      <c r="O2464" s="48"/>
    </row>
    <row r="2465" spans="9:15" x14ac:dyDescent="0.35">
      <c r="I2465" s="52"/>
      <c r="J2465" s="28"/>
      <c r="K2465" s="29"/>
      <c r="L2465" s="28"/>
      <c r="M2465" s="19"/>
      <c r="N2465" s="19"/>
      <c r="O2465" s="48"/>
    </row>
    <row r="2466" spans="9:15" x14ac:dyDescent="0.35">
      <c r="I2466" s="52"/>
      <c r="J2466" s="28"/>
      <c r="K2466" s="29"/>
      <c r="L2466" s="28"/>
      <c r="M2466" s="19"/>
      <c r="N2466" s="19"/>
      <c r="O2466" s="48"/>
    </row>
    <row r="2467" spans="9:15" x14ac:dyDescent="0.35">
      <c r="I2467" s="52"/>
      <c r="J2467" s="28"/>
      <c r="K2467" s="29"/>
      <c r="L2467" s="28"/>
      <c r="M2467" s="19"/>
      <c r="N2467" s="19"/>
      <c r="O2467" s="48"/>
    </row>
    <row r="2468" spans="9:15" x14ac:dyDescent="0.35">
      <c r="I2468" s="52"/>
      <c r="J2468" s="28"/>
      <c r="K2468" s="29"/>
      <c r="L2468" s="28"/>
      <c r="M2468" s="19"/>
      <c r="N2468" s="19"/>
      <c r="O2468" s="48"/>
    </row>
    <row r="2469" spans="9:15" x14ac:dyDescent="0.35">
      <c r="I2469" s="52"/>
      <c r="J2469" s="28"/>
      <c r="K2469" s="29"/>
      <c r="L2469" s="28"/>
      <c r="M2469" s="19"/>
      <c r="N2469" s="19"/>
      <c r="O2469" s="48"/>
    </row>
    <row r="2470" spans="9:15" x14ac:dyDescent="0.35">
      <c r="I2470" s="52"/>
      <c r="J2470" s="28"/>
      <c r="K2470" s="29"/>
      <c r="L2470" s="28"/>
      <c r="M2470" s="19"/>
      <c r="N2470" s="19"/>
      <c r="O2470" s="48"/>
    </row>
    <row r="2471" spans="9:15" x14ac:dyDescent="0.35">
      <c r="I2471" s="52"/>
      <c r="J2471" s="28"/>
      <c r="K2471" s="29"/>
      <c r="L2471" s="28"/>
      <c r="M2471" s="19"/>
      <c r="N2471" s="19"/>
      <c r="O2471" s="48"/>
    </row>
    <row r="2472" spans="9:15" x14ac:dyDescent="0.35">
      <c r="I2472" s="52"/>
      <c r="J2472" s="28"/>
      <c r="K2472" s="29"/>
      <c r="L2472" s="28"/>
      <c r="M2472" s="19"/>
      <c r="N2472" s="19"/>
      <c r="O2472" s="48"/>
    </row>
    <row r="2473" spans="9:15" x14ac:dyDescent="0.35">
      <c r="I2473" s="52"/>
      <c r="J2473" s="28"/>
      <c r="K2473" s="29"/>
      <c r="L2473" s="28"/>
      <c r="M2473" s="19"/>
      <c r="N2473" s="19"/>
      <c r="O2473" s="48"/>
    </row>
    <row r="2474" spans="9:15" x14ac:dyDescent="0.35">
      <c r="I2474" s="52"/>
      <c r="J2474" s="28"/>
      <c r="K2474" s="29"/>
      <c r="L2474" s="28"/>
      <c r="M2474" s="19"/>
      <c r="N2474" s="19"/>
      <c r="O2474" s="48"/>
    </row>
    <row r="2475" spans="9:15" x14ac:dyDescent="0.35">
      <c r="I2475" s="52"/>
      <c r="J2475" s="28"/>
      <c r="K2475" s="29"/>
      <c r="L2475" s="28"/>
      <c r="M2475" s="19"/>
      <c r="N2475" s="19"/>
      <c r="O2475" s="48"/>
    </row>
    <row r="2476" spans="9:15" x14ac:dyDescent="0.35">
      <c r="I2476" s="52"/>
      <c r="J2476" s="28"/>
      <c r="K2476" s="29"/>
      <c r="L2476" s="28"/>
      <c r="M2476" s="19"/>
      <c r="N2476" s="19"/>
      <c r="O2476" s="48"/>
    </row>
    <row r="2477" spans="9:15" x14ac:dyDescent="0.35">
      <c r="I2477" s="52"/>
      <c r="J2477" s="28"/>
      <c r="K2477" s="29"/>
      <c r="L2477" s="28"/>
      <c r="M2477" s="19"/>
      <c r="N2477" s="19"/>
      <c r="O2477" s="48"/>
    </row>
    <row r="2478" spans="9:15" x14ac:dyDescent="0.35">
      <c r="I2478" s="52"/>
      <c r="J2478" s="28"/>
      <c r="K2478" s="29"/>
      <c r="L2478" s="28"/>
      <c r="M2478" s="19"/>
      <c r="N2478" s="19"/>
      <c r="O2478" s="48"/>
    </row>
    <row r="2479" spans="9:15" x14ac:dyDescent="0.35">
      <c r="I2479" s="52"/>
      <c r="J2479" s="28"/>
      <c r="K2479" s="29"/>
      <c r="L2479" s="28"/>
      <c r="M2479" s="19"/>
      <c r="N2479" s="19"/>
      <c r="O2479" s="48"/>
    </row>
    <row r="2480" spans="9:15" x14ac:dyDescent="0.35">
      <c r="I2480" s="52"/>
      <c r="J2480" s="28"/>
      <c r="K2480" s="29"/>
      <c r="L2480" s="28"/>
      <c r="M2480" s="19"/>
      <c r="N2480" s="19"/>
      <c r="O2480" s="48"/>
    </row>
    <row r="2481" spans="9:15" x14ac:dyDescent="0.35">
      <c r="I2481" s="52"/>
      <c r="J2481" s="28"/>
      <c r="K2481" s="29"/>
      <c r="L2481" s="28"/>
      <c r="M2481" s="19"/>
      <c r="N2481" s="19"/>
      <c r="O2481" s="48"/>
    </row>
    <row r="2482" spans="9:15" x14ac:dyDescent="0.35">
      <c r="I2482" s="52"/>
      <c r="J2482" s="28"/>
      <c r="K2482" s="29"/>
      <c r="L2482" s="28"/>
      <c r="M2482" s="19"/>
      <c r="N2482" s="19"/>
      <c r="O2482" s="48"/>
    </row>
    <row r="2483" spans="9:15" x14ac:dyDescent="0.35">
      <c r="I2483" s="52"/>
      <c r="J2483" s="28"/>
      <c r="K2483" s="29"/>
      <c r="L2483" s="28"/>
      <c r="M2483" s="19"/>
      <c r="N2483" s="19"/>
      <c r="O2483" s="48"/>
    </row>
    <row r="2484" spans="9:15" x14ac:dyDescent="0.35">
      <c r="I2484" s="52"/>
      <c r="J2484" s="28"/>
      <c r="K2484" s="29"/>
      <c r="L2484" s="28"/>
      <c r="M2484" s="19"/>
      <c r="N2484" s="19"/>
      <c r="O2484" s="48"/>
    </row>
    <row r="2485" spans="9:15" x14ac:dyDescent="0.35">
      <c r="I2485" s="52"/>
      <c r="J2485" s="28"/>
      <c r="K2485" s="29"/>
      <c r="L2485" s="28"/>
      <c r="M2485" s="19"/>
      <c r="N2485" s="19"/>
      <c r="O2485" s="48"/>
    </row>
    <row r="2486" spans="9:15" x14ac:dyDescent="0.35">
      <c r="I2486" s="52"/>
      <c r="J2486" s="28"/>
      <c r="K2486" s="29"/>
      <c r="L2486" s="28"/>
      <c r="M2486" s="19"/>
      <c r="N2486" s="19"/>
      <c r="O2486" s="48"/>
    </row>
    <row r="2487" spans="9:15" x14ac:dyDescent="0.35">
      <c r="I2487" s="52"/>
      <c r="J2487" s="28"/>
      <c r="K2487" s="29"/>
      <c r="L2487" s="28"/>
      <c r="M2487" s="19"/>
      <c r="N2487" s="19"/>
      <c r="O2487" s="48"/>
    </row>
    <row r="2488" spans="9:15" x14ac:dyDescent="0.35">
      <c r="I2488" s="52"/>
      <c r="J2488" s="28"/>
      <c r="K2488" s="29"/>
      <c r="L2488" s="28"/>
      <c r="M2488" s="19"/>
      <c r="N2488" s="19"/>
      <c r="O2488" s="48"/>
    </row>
    <row r="2489" spans="9:15" x14ac:dyDescent="0.35">
      <c r="I2489" s="52"/>
      <c r="J2489" s="28"/>
      <c r="K2489" s="29"/>
      <c r="L2489" s="28"/>
      <c r="M2489" s="19"/>
      <c r="N2489" s="19"/>
      <c r="O2489" s="48"/>
    </row>
    <row r="2490" spans="9:15" x14ac:dyDescent="0.35">
      <c r="I2490" s="52"/>
      <c r="J2490" s="28"/>
      <c r="K2490" s="29"/>
      <c r="L2490" s="28"/>
      <c r="M2490" s="19"/>
      <c r="N2490" s="19"/>
      <c r="O2490" s="48"/>
    </row>
    <row r="2491" spans="9:15" x14ac:dyDescent="0.35">
      <c r="I2491" s="52"/>
      <c r="J2491" s="28"/>
      <c r="K2491" s="29"/>
      <c r="L2491" s="28"/>
      <c r="M2491" s="19"/>
      <c r="N2491" s="19"/>
      <c r="O2491" s="48"/>
    </row>
    <row r="2492" spans="9:15" x14ac:dyDescent="0.35">
      <c r="I2492" s="52"/>
      <c r="J2492" s="28"/>
      <c r="K2492" s="29"/>
      <c r="L2492" s="28"/>
      <c r="M2492" s="19"/>
      <c r="N2492" s="19"/>
      <c r="O2492" s="48"/>
    </row>
    <row r="2493" spans="9:15" x14ac:dyDescent="0.35">
      <c r="I2493" s="52"/>
      <c r="J2493" s="28"/>
      <c r="K2493" s="29"/>
      <c r="L2493" s="28"/>
      <c r="M2493" s="19"/>
      <c r="N2493" s="19"/>
      <c r="O2493" s="48"/>
    </row>
    <row r="2494" spans="9:15" x14ac:dyDescent="0.35">
      <c r="I2494" s="52"/>
      <c r="J2494" s="28"/>
      <c r="K2494" s="29"/>
      <c r="L2494" s="28"/>
      <c r="M2494" s="19"/>
      <c r="N2494" s="19"/>
      <c r="O2494" s="48"/>
    </row>
    <row r="2495" spans="9:15" x14ac:dyDescent="0.35">
      <c r="I2495" s="52"/>
      <c r="J2495" s="28"/>
      <c r="K2495" s="29"/>
      <c r="L2495" s="28"/>
      <c r="M2495" s="19"/>
      <c r="N2495" s="19"/>
      <c r="O2495" s="48"/>
    </row>
    <row r="2496" spans="9:15" x14ac:dyDescent="0.35">
      <c r="I2496" s="52"/>
      <c r="J2496" s="28"/>
      <c r="K2496" s="29"/>
      <c r="L2496" s="28"/>
      <c r="M2496" s="19"/>
      <c r="N2496" s="19"/>
      <c r="O2496" s="48"/>
    </row>
    <row r="2497" spans="9:15" x14ac:dyDescent="0.35">
      <c r="I2497" s="52"/>
      <c r="J2497" s="28"/>
      <c r="K2497" s="29"/>
      <c r="L2497" s="28"/>
      <c r="M2497" s="19"/>
      <c r="N2497" s="19"/>
      <c r="O2497" s="48"/>
    </row>
    <row r="2498" spans="9:15" x14ac:dyDescent="0.35">
      <c r="I2498" s="52"/>
      <c r="J2498" s="28"/>
      <c r="K2498" s="29"/>
      <c r="L2498" s="28"/>
      <c r="M2498" s="19"/>
      <c r="N2498" s="19"/>
      <c r="O2498" s="48"/>
    </row>
    <row r="2499" spans="9:15" x14ac:dyDescent="0.35">
      <c r="I2499" s="52"/>
      <c r="J2499" s="28"/>
      <c r="K2499" s="29"/>
      <c r="L2499" s="28"/>
      <c r="M2499" s="19"/>
      <c r="N2499" s="19"/>
      <c r="O2499" s="48"/>
    </row>
    <row r="2500" spans="9:15" x14ac:dyDescent="0.35">
      <c r="I2500" s="52"/>
      <c r="J2500" s="28"/>
      <c r="K2500" s="29"/>
      <c r="L2500" s="28"/>
      <c r="M2500" s="19"/>
      <c r="N2500" s="19"/>
      <c r="O2500" s="48"/>
    </row>
    <row r="2501" spans="9:15" x14ac:dyDescent="0.35">
      <c r="I2501" s="52"/>
      <c r="J2501" s="28"/>
      <c r="K2501" s="29"/>
      <c r="L2501" s="28"/>
      <c r="M2501" s="19"/>
      <c r="N2501" s="19"/>
      <c r="O2501" s="48"/>
    </row>
    <row r="2502" spans="9:15" x14ac:dyDescent="0.35">
      <c r="I2502" s="52"/>
      <c r="J2502" s="28"/>
      <c r="K2502" s="29"/>
      <c r="L2502" s="28"/>
      <c r="M2502" s="19"/>
      <c r="N2502" s="19"/>
      <c r="O2502" s="48"/>
    </row>
    <row r="2503" spans="9:15" x14ac:dyDescent="0.35">
      <c r="I2503" s="52"/>
      <c r="J2503" s="28"/>
      <c r="K2503" s="29"/>
      <c r="L2503" s="28"/>
      <c r="M2503" s="19"/>
      <c r="N2503" s="19"/>
      <c r="O2503" s="48"/>
    </row>
    <row r="2504" spans="9:15" x14ac:dyDescent="0.35">
      <c r="I2504" s="52"/>
      <c r="J2504" s="28"/>
      <c r="K2504" s="29"/>
      <c r="L2504" s="28"/>
      <c r="M2504" s="19"/>
      <c r="N2504" s="19"/>
      <c r="O2504" s="48"/>
    </row>
    <row r="2505" spans="9:15" x14ac:dyDescent="0.35">
      <c r="I2505" s="52"/>
      <c r="J2505" s="28"/>
      <c r="K2505" s="29"/>
      <c r="L2505" s="28"/>
      <c r="M2505" s="19"/>
      <c r="N2505" s="19"/>
      <c r="O2505" s="48"/>
    </row>
    <row r="2506" spans="9:15" x14ac:dyDescent="0.35">
      <c r="I2506" s="52"/>
      <c r="J2506" s="28"/>
      <c r="K2506" s="29"/>
      <c r="L2506" s="28"/>
      <c r="M2506" s="19"/>
      <c r="N2506" s="19"/>
      <c r="O2506" s="48"/>
    </row>
    <row r="2507" spans="9:15" x14ac:dyDescent="0.35">
      <c r="I2507" s="52"/>
      <c r="J2507" s="28"/>
      <c r="K2507" s="29"/>
      <c r="L2507" s="28"/>
      <c r="M2507" s="19"/>
      <c r="N2507" s="19"/>
      <c r="O2507" s="48"/>
    </row>
    <row r="2508" spans="9:15" x14ac:dyDescent="0.35">
      <c r="I2508" s="52"/>
      <c r="J2508" s="28"/>
      <c r="K2508" s="29"/>
      <c r="L2508" s="28"/>
      <c r="M2508" s="19"/>
      <c r="N2508" s="19"/>
      <c r="O2508" s="48"/>
    </row>
    <row r="2509" spans="9:15" x14ac:dyDescent="0.35">
      <c r="I2509" s="52"/>
      <c r="J2509" s="28"/>
      <c r="K2509" s="29"/>
      <c r="L2509" s="28"/>
      <c r="M2509" s="19"/>
      <c r="N2509" s="19"/>
      <c r="O2509" s="48"/>
    </row>
    <row r="2510" spans="9:15" x14ac:dyDescent="0.35">
      <c r="I2510" s="52"/>
      <c r="J2510" s="28"/>
      <c r="K2510" s="29"/>
      <c r="L2510" s="28"/>
      <c r="M2510" s="19"/>
      <c r="N2510" s="19"/>
      <c r="O2510" s="48"/>
    </row>
    <row r="2511" spans="9:15" x14ac:dyDescent="0.35">
      <c r="I2511" s="52"/>
      <c r="J2511" s="28"/>
      <c r="K2511" s="29"/>
      <c r="L2511" s="28"/>
      <c r="M2511" s="19"/>
      <c r="N2511" s="19"/>
      <c r="O2511" s="48"/>
    </row>
    <row r="2512" spans="9:15" x14ac:dyDescent="0.35">
      <c r="I2512" s="52"/>
      <c r="J2512" s="28"/>
      <c r="K2512" s="29"/>
      <c r="L2512" s="28"/>
      <c r="M2512" s="19"/>
      <c r="N2512" s="19"/>
      <c r="O2512" s="48"/>
    </row>
    <row r="2513" spans="9:15" x14ac:dyDescent="0.35">
      <c r="I2513" s="52"/>
      <c r="J2513" s="28"/>
      <c r="K2513" s="29"/>
      <c r="L2513" s="28"/>
      <c r="M2513" s="19"/>
      <c r="N2513" s="19"/>
      <c r="O2513" s="48"/>
    </row>
    <row r="2514" spans="9:15" x14ac:dyDescent="0.35">
      <c r="I2514" s="52"/>
      <c r="J2514" s="28"/>
      <c r="K2514" s="29"/>
      <c r="L2514" s="28"/>
      <c r="M2514" s="19"/>
      <c r="N2514" s="19"/>
      <c r="O2514" s="48"/>
    </row>
    <row r="2515" spans="9:15" x14ac:dyDescent="0.35">
      <c r="I2515" s="52"/>
      <c r="J2515" s="28"/>
      <c r="K2515" s="29"/>
      <c r="L2515" s="28"/>
      <c r="M2515" s="19"/>
      <c r="N2515" s="19"/>
      <c r="O2515" s="48"/>
    </row>
    <row r="2516" spans="9:15" x14ac:dyDescent="0.35">
      <c r="I2516" s="52"/>
      <c r="J2516" s="28"/>
      <c r="K2516" s="29"/>
      <c r="L2516" s="28"/>
      <c r="M2516" s="19"/>
      <c r="N2516" s="19"/>
      <c r="O2516" s="48"/>
    </row>
    <row r="2517" spans="9:15" x14ac:dyDescent="0.35">
      <c r="I2517" s="52"/>
      <c r="J2517" s="28"/>
      <c r="K2517" s="29"/>
      <c r="L2517" s="28"/>
      <c r="M2517" s="19"/>
      <c r="N2517" s="19"/>
      <c r="O2517" s="48"/>
    </row>
    <row r="2518" spans="9:15" x14ac:dyDescent="0.35">
      <c r="I2518" s="52"/>
      <c r="J2518" s="28"/>
      <c r="K2518" s="29"/>
      <c r="L2518" s="28"/>
      <c r="M2518" s="19"/>
      <c r="N2518" s="19"/>
      <c r="O2518" s="48"/>
    </row>
    <row r="2519" spans="9:15" x14ac:dyDescent="0.35">
      <c r="I2519" s="52"/>
      <c r="J2519" s="28"/>
      <c r="K2519" s="29"/>
      <c r="L2519" s="28"/>
      <c r="M2519" s="19"/>
      <c r="N2519" s="19"/>
      <c r="O2519" s="48"/>
    </row>
    <row r="2520" spans="9:15" x14ac:dyDescent="0.35">
      <c r="I2520" s="52"/>
      <c r="J2520" s="28"/>
      <c r="K2520" s="29"/>
      <c r="L2520" s="28"/>
      <c r="M2520" s="19"/>
      <c r="N2520" s="19"/>
      <c r="O2520" s="48"/>
    </row>
    <row r="2521" spans="9:15" x14ac:dyDescent="0.35">
      <c r="I2521" s="52"/>
      <c r="J2521" s="28"/>
      <c r="K2521" s="29"/>
      <c r="L2521" s="28"/>
      <c r="M2521" s="19"/>
      <c r="N2521" s="19"/>
      <c r="O2521" s="48"/>
    </row>
    <row r="2522" spans="9:15" x14ac:dyDescent="0.35">
      <c r="I2522" s="52"/>
      <c r="J2522" s="28"/>
      <c r="K2522" s="29"/>
      <c r="L2522" s="28"/>
      <c r="M2522" s="19"/>
      <c r="N2522" s="19"/>
      <c r="O2522" s="48"/>
    </row>
    <row r="2523" spans="9:15" x14ac:dyDescent="0.35">
      <c r="I2523" s="52"/>
      <c r="J2523" s="28"/>
      <c r="K2523" s="29"/>
      <c r="L2523" s="28"/>
      <c r="M2523" s="19"/>
      <c r="N2523" s="19"/>
      <c r="O2523" s="48"/>
    </row>
    <row r="2524" spans="9:15" x14ac:dyDescent="0.35">
      <c r="I2524" s="52"/>
      <c r="J2524" s="28"/>
      <c r="K2524" s="29"/>
      <c r="L2524" s="28"/>
      <c r="M2524" s="19"/>
      <c r="N2524" s="19"/>
      <c r="O2524" s="48"/>
    </row>
    <row r="2525" spans="9:15" x14ac:dyDescent="0.35">
      <c r="I2525" s="52"/>
      <c r="J2525" s="28"/>
      <c r="K2525" s="29"/>
      <c r="L2525" s="28"/>
      <c r="M2525" s="19"/>
      <c r="N2525" s="19"/>
      <c r="O2525" s="48"/>
    </row>
    <row r="2526" spans="9:15" x14ac:dyDescent="0.35">
      <c r="I2526" s="52"/>
      <c r="J2526" s="28"/>
      <c r="K2526" s="29"/>
      <c r="L2526" s="28"/>
      <c r="M2526" s="19"/>
      <c r="N2526" s="19"/>
      <c r="O2526" s="48"/>
    </row>
    <row r="2527" spans="9:15" x14ac:dyDescent="0.35">
      <c r="I2527" s="52"/>
      <c r="J2527" s="28"/>
      <c r="K2527" s="29"/>
      <c r="L2527" s="28"/>
      <c r="M2527" s="19"/>
      <c r="N2527" s="19"/>
      <c r="O2527" s="48"/>
    </row>
    <row r="2528" spans="9:15" x14ac:dyDescent="0.35">
      <c r="I2528" s="52"/>
      <c r="J2528" s="28"/>
      <c r="K2528" s="29"/>
      <c r="L2528" s="28"/>
      <c r="M2528" s="19"/>
      <c r="N2528" s="19"/>
      <c r="O2528" s="48"/>
    </row>
    <row r="2529" spans="9:15" x14ac:dyDescent="0.35">
      <c r="I2529" s="52"/>
      <c r="J2529" s="28"/>
      <c r="K2529" s="29"/>
      <c r="L2529" s="28"/>
      <c r="M2529" s="19"/>
      <c r="N2529" s="19"/>
      <c r="O2529" s="48"/>
    </row>
    <row r="2530" spans="9:15" x14ac:dyDescent="0.35">
      <c r="I2530" s="52"/>
      <c r="J2530" s="28"/>
      <c r="K2530" s="29"/>
      <c r="L2530" s="28"/>
      <c r="M2530" s="19"/>
      <c r="N2530" s="19"/>
      <c r="O2530" s="48"/>
    </row>
    <row r="2531" spans="9:15" x14ac:dyDescent="0.35">
      <c r="I2531" s="52"/>
      <c r="J2531" s="28"/>
      <c r="K2531" s="29"/>
      <c r="L2531" s="28"/>
      <c r="M2531" s="19"/>
      <c r="N2531" s="19"/>
      <c r="O2531" s="48"/>
    </row>
    <row r="2532" spans="9:15" x14ac:dyDescent="0.35">
      <c r="I2532" s="52"/>
      <c r="J2532" s="28"/>
      <c r="K2532" s="29"/>
      <c r="L2532" s="28"/>
      <c r="M2532" s="19"/>
      <c r="N2532" s="19"/>
      <c r="O2532" s="48"/>
    </row>
    <row r="2533" spans="9:15" x14ac:dyDescent="0.35">
      <c r="I2533" s="52"/>
      <c r="J2533" s="28"/>
      <c r="K2533" s="29"/>
      <c r="L2533" s="28"/>
      <c r="M2533" s="19"/>
      <c r="N2533" s="19"/>
      <c r="O2533" s="48"/>
    </row>
    <row r="2534" spans="9:15" x14ac:dyDescent="0.35">
      <c r="I2534" s="52"/>
      <c r="J2534" s="28"/>
      <c r="K2534" s="29"/>
      <c r="L2534" s="28"/>
      <c r="M2534" s="19"/>
      <c r="N2534" s="19"/>
      <c r="O2534" s="48"/>
    </row>
    <row r="2535" spans="9:15" x14ac:dyDescent="0.35">
      <c r="I2535" s="52"/>
      <c r="J2535" s="28"/>
      <c r="K2535" s="29"/>
      <c r="L2535" s="28"/>
      <c r="M2535" s="19"/>
      <c r="N2535" s="19"/>
      <c r="O2535" s="48"/>
    </row>
    <row r="2536" spans="9:15" x14ac:dyDescent="0.35">
      <c r="I2536" s="52"/>
      <c r="J2536" s="28"/>
      <c r="K2536" s="29"/>
      <c r="L2536" s="28"/>
      <c r="M2536" s="19"/>
      <c r="N2536" s="19"/>
      <c r="O2536" s="48"/>
    </row>
    <row r="2537" spans="9:15" x14ac:dyDescent="0.35">
      <c r="I2537" s="52"/>
      <c r="J2537" s="28"/>
      <c r="K2537" s="29"/>
      <c r="L2537" s="28"/>
      <c r="M2537" s="19"/>
      <c r="N2537" s="19"/>
      <c r="O2537" s="48"/>
    </row>
    <row r="2538" spans="9:15" x14ac:dyDescent="0.35">
      <c r="I2538" s="52"/>
      <c r="J2538" s="28"/>
      <c r="K2538" s="29"/>
      <c r="L2538" s="28"/>
      <c r="M2538" s="19"/>
      <c r="N2538" s="19"/>
      <c r="O2538" s="48"/>
    </row>
    <row r="2539" spans="9:15" x14ac:dyDescent="0.35">
      <c r="I2539" s="52"/>
      <c r="J2539" s="28"/>
      <c r="K2539" s="29"/>
      <c r="L2539" s="28"/>
      <c r="M2539" s="19"/>
      <c r="N2539" s="19"/>
      <c r="O2539" s="48"/>
    </row>
    <row r="2540" spans="9:15" x14ac:dyDescent="0.35">
      <c r="I2540" s="52"/>
      <c r="J2540" s="28"/>
      <c r="K2540" s="29"/>
      <c r="L2540" s="28"/>
      <c r="M2540" s="19"/>
      <c r="N2540" s="19"/>
      <c r="O2540" s="48"/>
    </row>
    <row r="2541" spans="9:15" x14ac:dyDescent="0.35">
      <c r="I2541" s="52"/>
      <c r="J2541" s="28"/>
      <c r="K2541" s="29"/>
      <c r="L2541" s="28"/>
      <c r="M2541" s="19"/>
      <c r="N2541" s="19"/>
      <c r="O2541" s="48"/>
    </row>
    <row r="2542" spans="9:15" x14ac:dyDescent="0.35">
      <c r="I2542" s="52"/>
      <c r="J2542" s="28"/>
      <c r="K2542" s="29"/>
      <c r="L2542" s="28"/>
      <c r="M2542" s="19"/>
      <c r="N2542" s="19"/>
      <c r="O2542" s="48"/>
    </row>
    <row r="2543" spans="9:15" x14ac:dyDescent="0.35">
      <c r="I2543" s="52"/>
      <c r="J2543" s="28"/>
      <c r="K2543" s="29"/>
      <c r="L2543" s="28"/>
      <c r="M2543" s="19"/>
      <c r="N2543" s="19"/>
      <c r="O2543" s="48"/>
    </row>
    <row r="2544" spans="9:15" x14ac:dyDescent="0.35">
      <c r="I2544" s="52"/>
      <c r="J2544" s="28"/>
      <c r="K2544" s="29"/>
      <c r="L2544" s="28"/>
      <c r="M2544" s="19"/>
      <c r="N2544" s="19"/>
      <c r="O2544" s="48"/>
    </row>
    <row r="2545" spans="9:15" x14ac:dyDescent="0.35">
      <c r="I2545" s="52"/>
      <c r="J2545" s="28"/>
      <c r="K2545" s="29"/>
      <c r="L2545" s="28"/>
      <c r="M2545" s="19"/>
      <c r="N2545" s="19"/>
      <c r="O2545" s="48"/>
    </row>
    <row r="2546" spans="9:15" x14ac:dyDescent="0.35">
      <c r="I2546" s="52"/>
      <c r="J2546" s="28"/>
      <c r="K2546" s="29"/>
      <c r="L2546" s="28"/>
      <c r="M2546" s="19"/>
      <c r="N2546" s="19"/>
      <c r="O2546" s="48"/>
    </row>
    <row r="2547" spans="9:15" x14ac:dyDescent="0.35">
      <c r="I2547" s="52"/>
      <c r="J2547" s="28"/>
      <c r="K2547" s="29"/>
      <c r="L2547" s="28"/>
      <c r="M2547" s="19"/>
      <c r="N2547" s="19"/>
      <c r="O2547" s="48"/>
    </row>
    <row r="2548" spans="9:15" x14ac:dyDescent="0.35">
      <c r="I2548" s="52"/>
      <c r="J2548" s="28"/>
      <c r="K2548" s="29"/>
      <c r="L2548" s="28"/>
      <c r="M2548" s="19"/>
      <c r="N2548" s="19"/>
      <c r="O2548" s="48"/>
    </row>
    <row r="2549" spans="9:15" x14ac:dyDescent="0.35">
      <c r="I2549" s="52"/>
      <c r="J2549" s="28"/>
      <c r="K2549" s="29"/>
      <c r="L2549" s="28"/>
      <c r="M2549" s="19"/>
      <c r="N2549" s="19"/>
      <c r="O2549" s="48"/>
    </row>
    <row r="2550" spans="9:15" x14ac:dyDescent="0.35">
      <c r="I2550" s="52"/>
      <c r="J2550" s="28"/>
      <c r="K2550" s="29"/>
      <c r="L2550" s="28"/>
      <c r="M2550" s="19"/>
      <c r="N2550" s="19"/>
      <c r="O2550" s="48"/>
    </row>
    <row r="2551" spans="9:15" x14ac:dyDescent="0.35">
      <c r="I2551" s="52"/>
      <c r="J2551" s="28"/>
      <c r="K2551" s="29"/>
      <c r="L2551" s="28"/>
      <c r="M2551" s="19"/>
      <c r="N2551" s="19"/>
      <c r="O2551" s="48"/>
    </row>
    <row r="2552" spans="9:15" x14ac:dyDescent="0.35">
      <c r="I2552" s="52"/>
      <c r="J2552" s="28"/>
      <c r="K2552" s="29"/>
      <c r="L2552" s="28"/>
      <c r="M2552" s="19"/>
      <c r="N2552" s="19"/>
      <c r="O2552" s="48"/>
    </row>
    <row r="2553" spans="9:15" x14ac:dyDescent="0.35">
      <c r="I2553" s="52"/>
      <c r="J2553" s="28"/>
      <c r="K2553" s="29"/>
      <c r="L2553" s="28"/>
      <c r="M2553" s="19"/>
      <c r="N2553" s="19"/>
      <c r="O2553" s="48"/>
    </row>
    <row r="2554" spans="9:15" x14ac:dyDescent="0.35">
      <c r="I2554" s="52"/>
      <c r="J2554" s="28"/>
      <c r="K2554" s="29"/>
      <c r="L2554" s="28"/>
      <c r="M2554" s="19"/>
      <c r="N2554" s="19"/>
      <c r="O2554" s="48"/>
    </row>
    <row r="2555" spans="9:15" x14ac:dyDescent="0.35">
      <c r="I2555" s="52"/>
      <c r="J2555" s="28"/>
      <c r="K2555" s="29"/>
      <c r="L2555" s="28"/>
      <c r="M2555" s="19"/>
      <c r="N2555" s="19"/>
      <c r="O2555" s="48"/>
    </row>
    <row r="2556" spans="9:15" x14ac:dyDescent="0.35">
      <c r="I2556" s="52"/>
      <c r="J2556" s="28"/>
      <c r="K2556" s="29"/>
      <c r="L2556" s="28"/>
      <c r="M2556" s="19"/>
      <c r="N2556" s="19"/>
      <c r="O2556" s="48"/>
    </row>
    <row r="2557" spans="9:15" x14ac:dyDescent="0.35">
      <c r="I2557" s="52"/>
      <c r="J2557" s="28"/>
      <c r="K2557" s="29"/>
      <c r="L2557" s="28"/>
      <c r="M2557" s="19"/>
      <c r="N2557" s="19"/>
      <c r="O2557" s="48"/>
    </row>
    <row r="2558" spans="9:15" x14ac:dyDescent="0.35">
      <c r="I2558" s="52"/>
      <c r="J2558" s="28"/>
      <c r="K2558" s="29"/>
      <c r="L2558" s="28"/>
      <c r="M2558" s="19"/>
      <c r="N2558" s="19"/>
      <c r="O2558" s="48"/>
    </row>
    <row r="2559" spans="9:15" x14ac:dyDescent="0.35">
      <c r="I2559" s="52"/>
      <c r="J2559" s="28"/>
      <c r="K2559" s="29"/>
      <c r="L2559" s="28"/>
      <c r="M2559" s="19"/>
      <c r="N2559" s="19"/>
      <c r="O2559" s="48"/>
    </row>
    <row r="2560" spans="9:15" x14ac:dyDescent="0.35">
      <c r="I2560" s="52"/>
      <c r="J2560" s="28"/>
      <c r="K2560" s="29"/>
      <c r="L2560" s="28"/>
      <c r="M2560" s="19"/>
      <c r="N2560" s="19"/>
      <c r="O2560" s="48"/>
    </row>
    <row r="2561" spans="9:15" x14ac:dyDescent="0.35">
      <c r="I2561" s="52"/>
      <c r="J2561" s="28"/>
      <c r="K2561" s="29"/>
      <c r="L2561" s="28"/>
      <c r="M2561" s="19"/>
      <c r="N2561" s="19"/>
      <c r="O2561" s="48"/>
    </row>
    <row r="2562" spans="9:15" x14ac:dyDescent="0.35">
      <c r="I2562" s="52"/>
      <c r="J2562" s="28"/>
      <c r="K2562" s="29"/>
      <c r="L2562" s="28"/>
      <c r="M2562" s="19"/>
      <c r="N2562" s="19"/>
      <c r="O2562" s="48"/>
    </row>
    <row r="2563" spans="9:15" x14ac:dyDescent="0.35">
      <c r="I2563" s="52"/>
      <c r="J2563" s="28"/>
      <c r="K2563" s="29"/>
      <c r="L2563" s="28"/>
      <c r="M2563" s="19"/>
      <c r="N2563" s="19"/>
      <c r="O2563" s="48"/>
    </row>
    <row r="2564" spans="9:15" x14ac:dyDescent="0.35">
      <c r="I2564" s="52"/>
      <c r="J2564" s="28"/>
      <c r="K2564" s="29"/>
      <c r="L2564" s="28"/>
      <c r="M2564" s="19"/>
      <c r="N2564" s="19"/>
      <c r="O2564" s="48"/>
    </row>
    <row r="2565" spans="9:15" x14ac:dyDescent="0.35">
      <c r="I2565" s="52"/>
      <c r="J2565" s="28"/>
      <c r="K2565" s="29"/>
      <c r="L2565" s="28"/>
      <c r="M2565" s="19"/>
      <c r="N2565" s="19"/>
      <c r="O2565" s="48"/>
    </row>
    <row r="2566" spans="9:15" x14ac:dyDescent="0.35">
      <c r="I2566" s="52"/>
      <c r="J2566" s="28"/>
      <c r="K2566" s="29"/>
      <c r="L2566" s="28"/>
      <c r="M2566" s="19"/>
      <c r="N2566" s="19"/>
      <c r="O2566" s="48"/>
    </row>
    <row r="2567" spans="9:15" x14ac:dyDescent="0.35">
      <c r="I2567" s="52"/>
      <c r="J2567" s="28"/>
      <c r="K2567" s="29"/>
      <c r="L2567" s="28"/>
      <c r="M2567" s="19"/>
      <c r="N2567" s="19"/>
      <c r="O2567" s="48"/>
    </row>
    <row r="2568" spans="9:15" x14ac:dyDescent="0.35">
      <c r="I2568" s="52"/>
      <c r="J2568" s="28"/>
      <c r="K2568" s="29"/>
      <c r="L2568" s="28"/>
      <c r="M2568" s="19"/>
      <c r="N2568" s="19"/>
      <c r="O2568" s="48"/>
    </row>
    <row r="2569" spans="9:15" x14ac:dyDescent="0.35">
      <c r="I2569" s="52"/>
      <c r="J2569" s="28"/>
      <c r="K2569" s="29"/>
      <c r="L2569" s="28"/>
      <c r="M2569" s="19"/>
      <c r="N2569" s="19"/>
      <c r="O2569" s="48"/>
    </row>
    <row r="2570" spans="9:15" x14ac:dyDescent="0.35">
      <c r="I2570" s="52"/>
      <c r="J2570" s="28"/>
      <c r="K2570" s="29"/>
      <c r="L2570" s="28"/>
      <c r="M2570" s="19"/>
      <c r="N2570" s="19"/>
      <c r="O2570" s="48"/>
    </row>
    <row r="2571" spans="9:15" x14ac:dyDescent="0.35">
      <c r="I2571" s="52"/>
      <c r="J2571" s="28"/>
      <c r="K2571" s="29"/>
      <c r="L2571" s="28"/>
      <c r="M2571" s="19"/>
      <c r="N2571" s="19"/>
      <c r="O2571" s="48"/>
    </row>
    <row r="2572" spans="9:15" x14ac:dyDescent="0.35">
      <c r="I2572" s="52"/>
      <c r="J2572" s="28"/>
      <c r="K2572" s="29"/>
      <c r="L2572" s="28"/>
      <c r="M2572" s="19"/>
      <c r="N2572" s="19"/>
      <c r="O2572" s="48"/>
    </row>
    <row r="2573" spans="9:15" x14ac:dyDescent="0.35">
      <c r="I2573" s="52"/>
      <c r="J2573" s="28"/>
      <c r="K2573" s="29"/>
      <c r="L2573" s="28"/>
      <c r="M2573" s="19"/>
      <c r="N2573" s="19"/>
      <c r="O2573" s="48"/>
    </row>
    <row r="2574" spans="9:15" x14ac:dyDescent="0.35">
      <c r="I2574" s="52"/>
      <c r="J2574" s="28"/>
      <c r="K2574" s="29"/>
      <c r="L2574" s="28"/>
      <c r="M2574" s="19"/>
      <c r="N2574" s="19"/>
      <c r="O2574" s="48"/>
    </row>
    <row r="2575" spans="9:15" x14ac:dyDescent="0.35">
      <c r="I2575" s="52"/>
      <c r="J2575" s="28"/>
      <c r="K2575" s="29"/>
      <c r="L2575" s="28"/>
      <c r="M2575" s="19"/>
      <c r="N2575" s="19"/>
      <c r="O2575" s="48"/>
    </row>
    <row r="2576" spans="9:15" x14ac:dyDescent="0.35">
      <c r="I2576" s="52"/>
      <c r="J2576" s="28"/>
      <c r="K2576" s="29"/>
      <c r="L2576" s="28"/>
      <c r="M2576" s="19"/>
      <c r="N2576" s="19"/>
      <c r="O2576" s="48"/>
    </row>
    <row r="2577" spans="9:15" x14ac:dyDescent="0.35">
      <c r="I2577" s="52"/>
      <c r="J2577" s="28"/>
      <c r="K2577" s="29"/>
      <c r="L2577" s="28"/>
      <c r="M2577" s="19"/>
      <c r="N2577" s="19"/>
      <c r="O2577" s="48"/>
    </row>
    <row r="2578" spans="9:15" x14ac:dyDescent="0.35">
      <c r="I2578" s="52"/>
      <c r="J2578" s="28"/>
      <c r="K2578" s="29"/>
      <c r="L2578" s="28"/>
      <c r="M2578" s="19"/>
      <c r="N2578" s="19"/>
      <c r="O2578" s="48"/>
    </row>
    <row r="2579" spans="9:15" x14ac:dyDescent="0.35">
      <c r="I2579" s="52"/>
      <c r="J2579" s="28"/>
      <c r="K2579" s="29"/>
      <c r="L2579" s="28"/>
      <c r="M2579" s="19"/>
      <c r="N2579" s="19"/>
      <c r="O2579" s="48"/>
    </row>
    <row r="2580" spans="9:15" x14ac:dyDescent="0.35">
      <c r="I2580" s="52"/>
      <c r="J2580" s="28"/>
      <c r="K2580" s="29"/>
      <c r="L2580" s="28"/>
      <c r="M2580" s="19"/>
      <c r="N2580" s="19"/>
      <c r="O2580" s="48"/>
    </row>
    <row r="2581" spans="9:15" x14ac:dyDescent="0.35">
      <c r="I2581" s="52"/>
      <c r="J2581" s="28"/>
      <c r="K2581" s="29"/>
      <c r="L2581" s="28"/>
      <c r="M2581" s="19"/>
      <c r="N2581" s="19"/>
      <c r="O2581" s="48"/>
    </row>
    <row r="2582" spans="9:15" x14ac:dyDescent="0.35">
      <c r="I2582" s="52"/>
      <c r="J2582" s="28"/>
      <c r="K2582" s="29"/>
      <c r="L2582" s="28"/>
      <c r="M2582" s="19"/>
      <c r="N2582" s="19"/>
      <c r="O2582" s="48"/>
    </row>
    <row r="2583" spans="9:15" x14ac:dyDescent="0.35">
      <c r="I2583" s="52"/>
      <c r="J2583" s="28"/>
      <c r="K2583" s="29"/>
      <c r="L2583" s="28"/>
      <c r="M2583" s="19"/>
      <c r="N2583" s="19"/>
      <c r="O2583" s="48"/>
    </row>
    <row r="2584" spans="9:15" x14ac:dyDescent="0.35">
      <c r="I2584" s="52"/>
      <c r="J2584" s="28"/>
      <c r="K2584" s="29"/>
      <c r="L2584" s="28"/>
      <c r="M2584" s="19"/>
      <c r="N2584" s="19"/>
      <c r="O2584" s="48"/>
    </row>
    <row r="2585" spans="9:15" x14ac:dyDescent="0.35">
      <c r="I2585" s="52"/>
      <c r="J2585" s="28"/>
      <c r="K2585" s="29"/>
      <c r="L2585" s="28"/>
      <c r="M2585" s="19"/>
      <c r="N2585" s="19"/>
      <c r="O2585" s="48"/>
    </row>
    <row r="2586" spans="9:15" x14ac:dyDescent="0.35">
      <c r="I2586" s="52"/>
      <c r="J2586" s="28"/>
      <c r="K2586" s="29"/>
      <c r="L2586" s="28"/>
      <c r="M2586" s="19"/>
      <c r="N2586" s="19"/>
      <c r="O2586" s="48"/>
    </row>
    <row r="2587" spans="9:15" x14ac:dyDescent="0.35">
      <c r="I2587" s="52"/>
      <c r="J2587" s="28"/>
      <c r="K2587" s="29"/>
      <c r="L2587" s="28"/>
      <c r="M2587" s="19"/>
      <c r="N2587" s="19"/>
      <c r="O2587" s="48"/>
    </row>
    <row r="2588" spans="9:15" x14ac:dyDescent="0.35">
      <c r="I2588" s="52"/>
      <c r="J2588" s="28"/>
      <c r="K2588" s="29"/>
      <c r="L2588" s="28"/>
      <c r="M2588" s="19"/>
      <c r="N2588" s="19"/>
      <c r="O2588" s="48"/>
    </row>
    <row r="2589" spans="9:15" x14ac:dyDescent="0.35">
      <c r="I2589" s="52"/>
      <c r="J2589" s="28"/>
      <c r="K2589" s="29"/>
      <c r="L2589" s="28"/>
      <c r="M2589" s="19"/>
      <c r="N2589" s="19"/>
      <c r="O2589" s="48"/>
    </row>
    <row r="2590" spans="9:15" x14ac:dyDescent="0.35">
      <c r="I2590" s="52"/>
      <c r="J2590" s="28"/>
      <c r="K2590" s="29"/>
      <c r="L2590" s="28"/>
      <c r="M2590" s="19"/>
      <c r="N2590" s="19"/>
      <c r="O2590" s="48"/>
    </row>
    <row r="2591" spans="9:15" x14ac:dyDescent="0.35">
      <c r="I2591" s="52"/>
      <c r="J2591" s="28"/>
      <c r="K2591" s="29"/>
      <c r="L2591" s="28"/>
      <c r="M2591" s="19"/>
      <c r="N2591" s="19"/>
      <c r="O2591" s="48"/>
    </row>
    <row r="2592" spans="9:15" x14ac:dyDescent="0.35">
      <c r="I2592" s="52"/>
      <c r="J2592" s="28"/>
      <c r="K2592" s="29"/>
      <c r="L2592" s="28"/>
      <c r="M2592" s="19"/>
      <c r="N2592" s="19"/>
      <c r="O2592" s="48"/>
    </row>
    <row r="2593" spans="9:15" x14ac:dyDescent="0.35">
      <c r="I2593" s="52"/>
      <c r="J2593" s="28"/>
      <c r="K2593" s="29"/>
      <c r="L2593" s="28"/>
      <c r="M2593" s="19"/>
      <c r="N2593" s="19"/>
      <c r="O2593" s="48"/>
    </row>
    <row r="2594" spans="9:15" x14ac:dyDescent="0.35">
      <c r="I2594" s="52"/>
      <c r="J2594" s="28"/>
      <c r="K2594" s="29"/>
      <c r="L2594" s="28"/>
      <c r="M2594" s="19"/>
      <c r="N2594" s="19"/>
      <c r="O2594" s="48"/>
    </row>
    <row r="2595" spans="9:15" x14ac:dyDescent="0.35">
      <c r="I2595" s="52"/>
      <c r="J2595" s="28"/>
      <c r="K2595" s="29"/>
      <c r="L2595" s="28"/>
      <c r="M2595" s="19"/>
      <c r="N2595" s="19"/>
      <c r="O2595" s="48"/>
    </row>
    <row r="2596" spans="9:15" x14ac:dyDescent="0.35">
      <c r="I2596" s="52"/>
      <c r="J2596" s="28"/>
      <c r="K2596" s="29"/>
      <c r="L2596" s="28"/>
      <c r="M2596" s="19"/>
      <c r="N2596" s="19"/>
      <c r="O2596" s="48"/>
    </row>
    <row r="2597" spans="9:15" x14ac:dyDescent="0.35">
      <c r="I2597" s="52"/>
      <c r="J2597" s="28"/>
      <c r="K2597" s="29"/>
      <c r="L2597" s="28"/>
      <c r="M2597" s="19"/>
      <c r="N2597" s="19"/>
      <c r="O2597" s="48"/>
    </row>
    <row r="2598" spans="9:15" x14ac:dyDescent="0.35">
      <c r="I2598" s="52"/>
      <c r="J2598" s="28"/>
      <c r="K2598" s="29"/>
      <c r="L2598" s="28"/>
      <c r="M2598" s="19"/>
      <c r="N2598" s="19"/>
      <c r="O2598" s="48"/>
    </row>
    <row r="2599" spans="9:15" x14ac:dyDescent="0.35">
      <c r="I2599" s="52"/>
      <c r="J2599" s="28"/>
      <c r="K2599" s="29"/>
      <c r="L2599" s="28"/>
      <c r="M2599" s="19"/>
      <c r="N2599" s="19"/>
      <c r="O2599" s="48"/>
    </row>
    <row r="2600" spans="9:15" x14ac:dyDescent="0.35">
      <c r="I2600" s="52"/>
      <c r="J2600" s="28"/>
      <c r="K2600" s="29"/>
      <c r="L2600" s="28"/>
      <c r="M2600" s="19"/>
      <c r="N2600" s="19"/>
      <c r="O2600" s="48"/>
    </row>
    <row r="2601" spans="9:15" x14ac:dyDescent="0.35">
      <c r="I2601" s="52"/>
      <c r="J2601" s="28"/>
      <c r="K2601" s="29"/>
      <c r="L2601" s="28"/>
      <c r="M2601" s="19"/>
      <c r="N2601" s="19"/>
      <c r="O2601" s="48"/>
    </row>
    <row r="2602" spans="9:15" x14ac:dyDescent="0.35">
      <c r="I2602" s="52"/>
      <c r="J2602" s="28"/>
      <c r="K2602" s="29"/>
      <c r="L2602" s="28"/>
      <c r="M2602" s="19"/>
      <c r="N2602" s="19"/>
      <c r="O2602" s="48"/>
    </row>
    <row r="2603" spans="9:15" x14ac:dyDescent="0.35">
      <c r="I2603" s="52"/>
      <c r="J2603" s="28"/>
      <c r="K2603" s="29"/>
      <c r="L2603" s="28"/>
      <c r="M2603" s="19"/>
      <c r="N2603" s="19"/>
      <c r="O2603" s="48"/>
    </row>
    <row r="2604" spans="9:15" x14ac:dyDescent="0.35">
      <c r="I2604" s="52"/>
      <c r="J2604" s="28"/>
      <c r="K2604" s="29"/>
      <c r="L2604" s="28"/>
      <c r="M2604" s="19"/>
      <c r="N2604" s="19"/>
      <c r="O2604" s="48"/>
    </row>
    <row r="2605" spans="9:15" x14ac:dyDescent="0.35">
      <c r="I2605" s="52"/>
      <c r="J2605" s="28"/>
      <c r="K2605" s="29"/>
      <c r="L2605" s="28"/>
      <c r="M2605" s="19"/>
      <c r="N2605" s="19"/>
      <c r="O2605" s="48"/>
    </row>
    <row r="2606" spans="9:15" x14ac:dyDescent="0.35">
      <c r="I2606" s="52"/>
      <c r="J2606" s="28"/>
      <c r="K2606" s="29"/>
      <c r="L2606" s="28"/>
      <c r="M2606" s="19"/>
      <c r="N2606" s="19"/>
      <c r="O2606" s="48"/>
    </row>
    <row r="2607" spans="9:15" x14ac:dyDescent="0.35">
      <c r="I2607" s="52"/>
      <c r="J2607" s="28"/>
      <c r="K2607" s="29"/>
      <c r="L2607" s="28"/>
      <c r="M2607" s="19"/>
      <c r="N2607" s="19"/>
      <c r="O2607" s="48"/>
    </row>
    <row r="2608" spans="9:15" x14ac:dyDescent="0.35">
      <c r="I2608" s="52"/>
      <c r="J2608" s="28"/>
      <c r="K2608" s="29"/>
      <c r="L2608" s="28"/>
      <c r="M2608" s="19"/>
      <c r="N2608" s="19"/>
      <c r="O2608" s="48"/>
    </row>
    <row r="2609" spans="9:15" x14ac:dyDescent="0.35">
      <c r="I2609" s="52"/>
      <c r="J2609" s="28"/>
      <c r="K2609" s="29"/>
      <c r="L2609" s="28"/>
      <c r="M2609" s="19"/>
      <c r="N2609" s="19"/>
      <c r="O2609" s="48"/>
    </row>
    <row r="2610" spans="9:15" x14ac:dyDescent="0.35">
      <c r="I2610" s="52"/>
      <c r="J2610" s="28"/>
      <c r="K2610" s="29"/>
      <c r="L2610" s="28"/>
      <c r="M2610" s="19"/>
      <c r="N2610" s="19"/>
      <c r="O2610" s="48"/>
    </row>
    <row r="2611" spans="9:15" x14ac:dyDescent="0.35">
      <c r="I2611" s="52"/>
      <c r="J2611" s="28"/>
      <c r="K2611" s="29"/>
      <c r="L2611" s="28"/>
      <c r="M2611" s="19"/>
      <c r="N2611" s="19"/>
      <c r="O2611" s="48"/>
    </row>
    <row r="2612" spans="9:15" x14ac:dyDescent="0.35">
      <c r="I2612" s="52"/>
      <c r="J2612" s="28"/>
      <c r="K2612" s="29"/>
      <c r="L2612" s="28"/>
      <c r="M2612" s="19"/>
      <c r="N2612" s="19"/>
      <c r="O2612" s="48"/>
    </row>
    <row r="2613" spans="9:15" x14ac:dyDescent="0.35">
      <c r="I2613" s="52"/>
      <c r="J2613" s="28"/>
      <c r="K2613" s="29"/>
      <c r="L2613" s="28"/>
      <c r="M2613" s="19"/>
      <c r="N2613" s="19"/>
      <c r="O2613" s="48"/>
    </row>
    <row r="2614" spans="9:15" x14ac:dyDescent="0.35">
      <c r="I2614" s="52"/>
      <c r="J2614" s="28"/>
      <c r="K2614" s="29"/>
      <c r="L2614" s="28"/>
      <c r="M2614" s="19"/>
      <c r="N2614" s="19"/>
      <c r="O2614" s="48"/>
    </row>
    <row r="2615" spans="9:15" x14ac:dyDescent="0.35">
      <c r="I2615" s="52"/>
      <c r="J2615" s="28"/>
      <c r="K2615" s="29"/>
      <c r="L2615" s="28"/>
      <c r="M2615" s="19"/>
      <c r="N2615" s="19"/>
      <c r="O2615" s="48"/>
    </row>
    <row r="2616" spans="9:15" x14ac:dyDescent="0.35">
      <c r="I2616" s="52"/>
      <c r="J2616" s="28"/>
      <c r="K2616" s="29"/>
      <c r="L2616" s="28"/>
      <c r="M2616" s="19"/>
      <c r="N2616" s="19"/>
      <c r="O2616" s="48"/>
    </row>
    <row r="2617" spans="9:15" x14ac:dyDescent="0.35">
      <c r="I2617" s="52"/>
      <c r="J2617" s="28"/>
      <c r="K2617" s="29"/>
      <c r="L2617" s="28"/>
      <c r="M2617" s="19"/>
      <c r="N2617" s="19"/>
      <c r="O2617" s="48"/>
    </row>
    <row r="2618" spans="9:15" x14ac:dyDescent="0.35">
      <c r="I2618" s="52"/>
      <c r="J2618" s="28"/>
      <c r="K2618" s="29"/>
      <c r="L2618" s="28"/>
      <c r="M2618" s="19"/>
      <c r="N2618" s="19"/>
      <c r="O2618" s="48"/>
    </row>
    <row r="2619" spans="9:15" x14ac:dyDescent="0.35">
      <c r="I2619" s="52"/>
      <c r="J2619" s="28"/>
      <c r="K2619" s="29"/>
      <c r="L2619" s="28"/>
      <c r="M2619" s="19"/>
      <c r="N2619" s="19"/>
      <c r="O2619" s="48"/>
    </row>
    <row r="2620" spans="9:15" x14ac:dyDescent="0.35">
      <c r="I2620" s="52"/>
      <c r="J2620" s="28"/>
      <c r="K2620" s="29"/>
      <c r="L2620" s="28"/>
      <c r="M2620" s="19"/>
      <c r="N2620" s="19"/>
      <c r="O2620" s="48"/>
    </row>
    <row r="2621" spans="9:15" x14ac:dyDescent="0.35">
      <c r="I2621" s="52"/>
      <c r="J2621" s="28"/>
      <c r="K2621" s="29"/>
      <c r="L2621" s="28"/>
      <c r="M2621" s="19"/>
      <c r="N2621" s="19"/>
      <c r="O2621" s="48"/>
    </row>
    <row r="2622" spans="9:15" x14ac:dyDescent="0.35">
      <c r="I2622" s="52"/>
      <c r="J2622" s="28"/>
      <c r="K2622" s="29"/>
      <c r="L2622" s="28"/>
      <c r="M2622" s="19"/>
      <c r="N2622" s="19"/>
      <c r="O2622" s="48"/>
    </row>
    <row r="2623" spans="9:15" x14ac:dyDescent="0.35">
      <c r="I2623" s="52"/>
      <c r="J2623" s="28"/>
      <c r="K2623" s="29"/>
      <c r="L2623" s="28"/>
      <c r="M2623" s="19"/>
      <c r="N2623" s="19"/>
      <c r="O2623" s="48"/>
    </row>
    <row r="2624" spans="9:15" x14ac:dyDescent="0.35">
      <c r="I2624" s="52"/>
      <c r="J2624" s="28"/>
      <c r="K2624" s="29"/>
      <c r="L2624" s="28"/>
      <c r="M2624" s="19"/>
      <c r="N2624" s="19"/>
      <c r="O2624" s="48"/>
    </row>
    <row r="2625" spans="9:15" x14ac:dyDescent="0.35">
      <c r="I2625" s="52"/>
      <c r="J2625" s="28"/>
      <c r="K2625" s="29"/>
      <c r="L2625" s="28"/>
      <c r="M2625" s="19"/>
      <c r="N2625" s="19"/>
      <c r="O2625" s="48"/>
    </row>
    <row r="2626" spans="9:15" x14ac:dyDescent="0.35">
      <c r="I2626" s="52"/>
      <c r="J2626" s="28"/>
      <c r="K2626" s="29"/>
      <c r="L2626" s="28"/>
      <c r="M2626" s="19"/>
      <c r="N2626" s="19"/>
      <c r="O2626" s="48"/>
    </row>
    <row r="2627" spans="9:15" x14ac:dyDescent="0.35">
      <c r="I2627" s="52"/>
      <c r="J2627" s="28"/>
      <c r="K2627" s="29"/>
      <c r="L2627" s="28"/>
      <c r="M2627" s="19"/>
      <c r="N2627" s="19"/>
      <c r="O2627" s="48"/>
    </row>
    <row r="2628" spans="9:15" x14ac:dyDescent="0.35">
      <c r="I2628" s="52"/>
      <c r="J2628" s="28"/>
      <c r="K2628" s="29"/>
      <c r="L2628" s="28"/>
      <c r="M2628" s="19"/>
      <c r="N2628" s="19"/>
      <c r="O2628" s="48"/>
    </row>
    <row r="2629" spans="9:15" x14ac:dyDescent="0.35">
      <c r="I2629" s="52"/>
      <c r="J2629" s="28"/>
      <c r="K2629" s="29"/>
      <c r="L2629" s="28"/>
      <c r="M2629" s="19"/>
      <c r="N2629" s="19"/>
      <c r="O2629" s="48"/>
    </row>
    <row r="2630" spans="9:15" x14ac:dyDescent="0.35">
      <c r="I2630" s="52"/>
      <c r="J2630" s="28"/>
      <c r="K2630" s="29"/>
      <c r="L2630" s="28"/>
      <c r="M2630" s="19"/>
      <c r="N2630" s="19"/>
      <c r="O2630" s="48"/>
    </row>
    <row r="2631" spans="9:15" x14ac:dyDescent="0.35">
      <c r="I2631" s="52"/>
      <c r="J2631" s="28"/>
      <c r="K2631" s="29"/>
      <c r="L2631" s="28"/>
      <c r="M2631" s="19"/>
      <c r="N2631" s="19"/>
      <c r="O2631" s="48"/>
    </row>
    <row r="2632" spans="9:15" x14ac:dyDescent="0.35">
      <c r="I2632" s="52"/>
      <c r="J2632" s="28"/>
      <c r="K2632" s="29"/>
      <c r="L2632" s="28"/>
      <c r="M2632" s="19"/>
      <c r="N2632" s="19"/>
      <c r="O2632" s="48"/>
    </row>
    <row r="2633" spans="9:15" x14ac:dyDescent="0.35">
      <c r="I2633" s="52"/>
      <c r="J2633" s="28"/>
      <c r="K2633" s="29"/>
      <c r="L2633" s="28"/>
      <c r="M2633" s="19"/>
      <c r="N2633" s="19"/>
      <c r="O2633" s="48"/>
    </row>
    <row r="2634" spans="9:15" x14ac:dyDescent="0.35">
      <c r="I2634" s="52"/>
      <c r="J2634" s="28"/>
      <c r="K2634" s="29"/>
      <c r="L2634" s="28"/>
      <c r="M2634" s="19"/>
      <c r="N2634" s="19"/>
      <c r="O2634" s="48"/>
    </row>
    <row r="2635" spans="9:15" x14ac:dyDescent="0.35">
      <c r="I2635" s="52"/>
      <c r="J2635" s="28"/>
      <c r="K2635" s="29"/>
      <c r="L2635" s="28"/>
      <c r="M2635" s="19"/>
      <c r="N2635" s="19"/>
      <c r="O2635" s="48"/>
    </row>
    <row r="2636" spans="9:15" x14ac:dyDescent="0.35">
      <c r="I2636" s="52"/>
      <c r="J2636" s="28"/>
      <c r="K2636" s="29"/>
      <c r="L2636" s="28"/>
      <c r="M2636" s="19"/>
      <c r="N2636" s="19"/>
      <c r="O2636" s="48"/>
    </row>
    <row r="2637" spans="9:15" x14ac:dyDescent="0.35">
      <c r="I2637" s="52"/>
      <c r="J2637" s="28"/>
      <c r="K2637" s="29"/>
      <c r="L2637" s="28"/>
      <c r="M2637" s="19"/>
      <c r="N2637" s="19"/>
      <c r="O2637" s="48"/>
    </row>
    <row r="2638" spans="9:15" x14ac:dyDescent="0.35">
      <c r="I2638" s="52"/>
      <c r="J2638" s="28"/>
      <c r="K2638" s="29"/>
      <c r="L2638" s="28"/>
      <c r="M2638" s="19"/>
      <c r="N2638" s="19"/>
      <c r="O2638" s="48"/>
    </row>
    <row r="2639" spans="9:15" x14ac:dyDescent="0.35">
      <c r="I2639" s="52"/>
      <c r="J2639" s="28"/>
      <c r="K2639" s="29"/>
      <c r="L2639" s="28"/>
      <c r="M2639" s="19"/>
      <c r="N2639" s="19"/>
      <c r="O2639" s="48"/>
    </row>
    <row r="2640" spans="9:15" x14ac:dyDescent="0.35">
      <c r="I2640" s="52"/>
      <c r="J2640" s="28"/>
      <c r="K2640" s="29"/>
      <c r="L2640" s="28"/>
      <c r="M2640" s="19"/>
      <c r="N2640" s="19"/>
      <c r="O2640" s="48"/>
    </row>
    <row r="2641" spans="9:15" x14ac:dyDescent="0.35">
      <c r="I2641" s="52"/>
      <c r="J2641" s="28"/>
      <c r="K2641" s="29"/>
      <c r="L2641" s="28"/>
      <c r="M2641" s="19"/>
      <c r="N2641" s="19"/>
      <c r="O2641" s="48"/>
    </row>
    <row r="2642" spans="9:15" x14ac:dyDescent="0.35">
      <c r="I2642" s="52"/>
      <c r="J2642" s="28"/>
      <c r="K2642" s="29"/>
      <c r="L2642" s="28"/>
      <c r="M2642" s="19"/>
      <c r="N2642" s="19"/>
      <c r="O2642" s="48"/>
    </row>
    <row r="2643" spans="9:15" x14ac:dyDescent="0.35">
      <c r="I2643" s="52"/>
      <c r="J2643" s="28"/>
      <c r="K2643" s="29"/>
      <c r="L2643" s="28"/>
      <c r="M2643" s="19"/>
      <c r="N2643" s="19"/>
      <c r="O2643" s="48"/>
    </row>
    <row r="2644" spans="9:15" x14ac:dyDescent="0.35">
      <c r="I2644" s="52"/>
      <c r="J2644" s="28"/>
      <c r="K2644" s="29"/>
      <c r="L2644" s="28"/>
      <c r="M2644" s="19"/>
      <c r="N2644" s="19"/>
      <c r="O2644" s="48"/>
    </row>
    <row r="2645" spans="9:15" x14ac:dyDescent="0.35">
      <c r="I2645" s="52"/>
      <c r="J2645" s="28"/>
      <c r="K2645" s="29"/>
      <c r="L2645" s="28"/>
      <c r="M2645" s="19"/>
      <c r="N2645" s="19"/>
      <c r="O2645" s="48"/>
    </row>
    <row r="2646" spans="9:15" x14ac:dyDescent="0.35">
      <c r="I2646" s="52"/>
      <c r="J2646" s="28"/>
      <c r="K2646" s="29"/>
      <c r="L2646" s="28"/>
      <c r="M2646" s="19"/>
      <c r="N2646" s="19"/>
      <c r="O2646" s="48"/>
    </row>
    <row r="2647" spans="9:15" x14ac:dyDescent="0.35">
      <c r="I2647" s="52"/>
      <c r="J2647" s="28"/>
      <c r="K2647" s="29"/>
      <c r="L2647" s="28"/>
      <c r="M2647" s="19"/>
      <c r="N2647" s="19"/>
      <c r="O2647" s="48"/>
    </row>
    <row r="2648" spans="9:15" x14ac:dyDescent="0.35">
      <c r="I2648" s="52"/>
      <c r="J2648" s="28"/>
      <c r="K2648" s="29"/>
      <c r="L2648" s="28"/>
      <c r="M2648" s="19"/>
      <c r="N2648" s="19"/>
      <c r="O2648" s="48"/>
    </row>
    <row r="2649" spans="9:15" x14ac:dyDescent="0.35">
      <c r="I2649" s="52"/>
      <c r="J2649" s="28"/>
      <c r="K2649" s="29"/>
      <c r="L2649" s="28"/>
      <c r="M2649" s="19"/>
      <c r="N2649" s="19"/>
      <c r="O2649" s="48"/>
    </row>
    <row r="2650" spans="9:15" x14ac:dyDescent="0.35">
      <c r="I2650" s="52"/>
      <c r="J2650" s="28"/>
      <c r="K2650" s="29"/>
      <c r="L2650" s="28"/>
      <c r="M2650" s="19"/>
      <c r="N2650" s="19"/>
      <c r="O2650" s="48"/>
    </row>
    <row r="2651" spans="9:15" x14ac:dyDescent="0.35">
      <c r="I2651" s="52"/>
      <c r="J2651" s="28"/>
      <c r="K2651" s="29"/>
      <c r="L2651" s="28"/>
      <c r="M2651" s="19"/>
      <c r="N2651" s="19"/>
      <c r="O2651" s="48"/>
    </row>
    <row r="2652" spans="9:15" x14ac:dyDescent="0.35">
      <c r="I2652" s="52"/>
      <c r="J2652" s="28"/>
      <c r="K2652" s="29"/>
      <c r="L2652" s="28"/>
      <c r="M2652" s="19"/>
      <c r="N2652" s="19"/>
      <c r="O2652" s="48"/>
    </row>
    <row r="2653" spans="9:15" x14ac:dyDescent="0.35">
      <c r="I2653" s="52"/>
      <c r="J2653" s="28"/>
      <c r="K2653" s="29"/>
      <c r="L2653" s="28"/>
      <c r="M2653" s="19"/>
      <c r="N2653" s="19"/>
      <c r="O2653" s="48"/>
    </row>
    <row r="2654" spans="9:15" x14ac:dyDescent="0.35">
      <c r="I2654" s="52"/>
      <c r="J2654" s="28"/>
      <c r="K2654" s="29"/>
      <c r="L2654" s="28"/>
      <c r="M2654" s="19"/>
      <c r="N2654" s="19"/>
      <c r="O2654" s="48"/>
    </row>
    <row r="2655" spans="9:15" x14ac:dyDescent="0.35">
      <c r="I2655" s="52"/>
      <c r="J2655" s="28"/>
      <c r="K2655" s="29"/>
      <c r="L2655" s="28"/>
      <c r="M2655" s="19"/>
      <c r="N2655" s="19"/>
      <c r="O2655" s="48"/>
    </row>
    <row r="2656" spans="9:15" x14ac:dyDescent="0.35">
      <c r="I2656" s="52"/>
      <c r="J2656" s="28"/>
      <c r="K2656" s="29"/>
      <c r="L2656" s="28"/>
      <c r="M2656" s="19"/>
      <c r="N2656" s="19"/>
      <c r="O2656" s="48"/>
    </row>
    <row r="2657" spans="9:15" x14ac:dyDescent="0.35">
      <c r="I2657" s="52"/>
      <c r="J2657" s="28"/>
      <c r="K2657" s="29"/>
      <c r="L2657" s="28"/>
      <c r="M2657" s="19"/>
      <c r="N2657" s="19"/>
      <c r="O2657" s="48"/>
    </row>
    <row r="2658" spans="9:15" x14ac:dyDescent="0.35">
      <c r="I2658" s="52"/>
      <c r="J2658" s="28"/>
      <c r="K2658" s="29"/>
      <c r="L2658" s="28"/>
      <c r="M2658" s="19"/>
      <c r="N2658" s="19"/>
      <c r="O2658" s="48"/>
    </row>
    <row r="2659" spans="9:15" x14ac:dyDescent="0.35">
      <c r="I2659" s="52"/>
      <c r="J2659" s="28"/>
      <c r="K2659" s="29"/>
      <c r="L2659" s="28"/>
      <c r="M2659" s="19"/>
      <c r="N2659" s="19"/>
      <c r="O2659" s="48"/>
    </row>
    <row r="2660" spans="9:15" x14ac:dyDescent="0.35">
      <c r="I2660" s="52"/>
      <c r="J2660" s="28"/>
      <c r="K2660" s="29"/>
      <c r="L2660" s="28"/>
      <c r="M2660" s="19"/>
      <c r="N2660" s="19"/>
      <c r="O2660" s="48"/>
    </row>
    <row r="2661" spans="9:15" x14ac:dyDescent="0.35">
      <c r="I2661" s="52"/>
      <c r="J2661" s="28"/>
      <c r="K2661" s="29"/>
      <c r="L2661" s="28"/>
      <c r="M2661" s="19"/>
      <c r="N2661" s="19"/>
      <c r="O2661" s="48"/>
    </row>
    <row r="2662" spans="9:15" x14ac:dyDescent="0.35">
      <c r="I2662" s="52"/>
      <c r="J2662" s="28"/>
      <c r="K2662" s="29"/>
      <c r="L2662" s="28"/>
      <c r="M2662" s="19"/>
      <c r="N2662" s="19"/>
      <c r="O2662" s="48"/>
    </row>
    <row r="2663" spans="9:15" x14ac:dyDescent="0.35">
      <c r="I2663" s="52"/>
      <c r="J2663" s="28"/>
      <c r="K2663" s="29"/>
      <c r="L2663" s="28"/>
      <c r="M2663" s="19"/>
      <c r="N2663" s="19"/>
      <c r="O2663" s="48"/>
    </row>
    <row r="2664" spans="9:15" x14ac:dyDescent="0.35">
      <c r="I2664" s="52"/>
      <c r="J2664" s="28"/>
      <c r="K2664" s="29"/>
      <c r="L2664" s="28"/>
      <c r="M2664" s="19"/>
      <c r="N2664" s="19"/>
      <c r="O2664" s="48"/>
    </row>
    <row r="2665" spans="9:15" x14ac:dyDescent="0.35">
      <c r="I2665" s="52"/>
      <c r="J2665" s="28"/>
      <c r="K2665" s="29"/>
      <c r="L2665" s="28"/>
      <c r="M2665" s="19"/>
      <c r="N2665" s="19"/>
      <c r="O2665" s="48"/>
    </row>
    <row r="2666" spans="9:15" x14ac:dyDescent="0.35">
      <c r="I2666" s="52"/>
      <c r="J2666" s="28"/>
      <c r="K2666" s="29"/>
      <c r="L2666" s="28"/>
      <c r="M2666" s="19"/>
      <c r="N2666" s="19"/>
      <c r="O2666" s="48"/>
    </row>
    <row r="2667" spans="9:15" x14ac:dyDescent="0.35">
      <c r="I2667" s="52"/>
      <c r="J2667" s="28"/>
      <c r="K2667" s="29"/>
      <c r="L2667" s="28"/>
      <c r="M2667" s="19"/>
      <c r="N2667" s="19"/>
      <c r="O2667" s="48"/>
    </row>
    <row r="2668" spans="9:15" x14ac:dyDescent="0.35">
      <c r="I2668" s="52"/>
      <c r="J2668" s="28"/>
      <c r="K2668" s="29"/>
      <c r="L2668" s="28"/>
      <c r="M2668" s="19"/>
      <c r="N2668" s="19"/>
      <c r="O2668" s="48"/>
    </row>
    <row r="2669" spans="9:15" x14ac:dyDescent="0.35">
      <c r="I2669" s="52"/>
      <c r="J2669" s="28"/>
      <c r="K2669" s="29"/>
      <c r="L2669" s="28"/>
      <c r="M2669" s="19"/>
      <c r="N2669" s="19"/>
      <c r="O2669" s="48"/>
    </row>
    <row r="2670" spans="9:15" x14ac:dyDescent="0.35">
      <c r="I2670" s="52"/>
      <c r="J2670" s="28"/>
      <c r="K2670" s="29"/>
      <c r="L2670" s="28"/>
      <c r="M2670" s="19"/>
      <c r="N2670" s="19"/>
      <c r="O2670" s="48"/>
    </row>
    <row r="2671" spans="9:15" x14ac:dyDescent="0.35">
      <c r="I2671" s="52"/>
      <c r="J2671" s="28"/>
      <c r="K2671" s="29"/>
      <c r="L2671" s="28"/>
      <c r="M2671" s="19"/>
      <c r="N2671" s="19"/>
      <c r="O2671" s="48"/>
    </row>
    <row r="2672" spans="9:15" x14ac:dyDescent="0.35">
      <c r="I2672" s="52"/>
      <c r="J2672" s="28"/>
      <c r="K2672" s="29"/>
      <c r="L2672" s="28"/>
      <c r="M2672" s="19"/>
      <c r="N2672" s="19"/>
      <c r="O2672" s="48"/>
    </row>
    <row r="2673" spans="9:15" x14ac:dyDescent="0.35">
      <c r="I2673" s="52"/>
      <c r="J2673" s="28"/>
      <c r="K2673" s="29"/>
      <c r="L2673" s="28"/>
      <c r="M2673" s="19"/>
      <c r="N2673" s="19"/>
      <c r="O2673" s="48"/>
    </row>
    <row r="2674" spans="9:15" x14ac:dyDescent="0.35">
      <c r="I2674" s="52"/>
      <c r="J2674" s="28"/>
      <c r="K2674" s="29"/>
      <c r="L2674" s="28"/>
      <c r="M2674" s="19"/>
      <c r="N2674" s="19"/>
      <c r="O2674" s="48"/>
    </row>
    <row r="2675" spans="9:15" x14ac:dyDescent="0.35">
      <c r="I2675" s="52"/>
      <c r="J2675" s="28"/>
      <c r="K2675" s="29"/>
      <c r="L2675" s="28"/>
      <c r="M2675" s="19"/>
      <c r="N2675" s="19"/>
      <c r="O2675" s="48"/>
    </row>
    <row r="2676" spans="9:15" x14ac:dyDescent="0.35">
      <c r="I2676" s="52"/>
      <c r="J2676" s="28"/>
      <c r="K2676" s="29"/>
      <c r="L2676" s="28"/>
      <c r="M2676" s="19"/>
      <c r="N2676" s="19"/>
      <c r="O2676" s="48"/>
    </row>
    <row r="2677" spans="9:15" x14ac:dyDescent="0.35">
      <c r="I2677" s="52"/>
      <c r="J2677" s="28"/>
      <c r="K2677" s="29"/>
      <c r="L2677" s="28"/>
      <c r="M2677" s="19"/>
      <c r="N2677" s="19"/>
      <c r="O2677" s="48"/>
    </row>
    <row r="2678" spans="9:15" x14ac:dyDescent="0.35">
      <c r="I2678" s="52"/>
      <c r="J2678" s="28"/>
      <c r="K2678" s="29"/>
      <c r="L2678" s="28"/>
      <c r="M2678" s="19"/>
      <c r="N2678" s="19"/>
      <c r="O2678" s="48"/>
    </row>
    <row r="2679" spans="9:15" x14ac:dyDescent="0.35">
      <c r="I2679" s="52"/>
      <c r="J2679" s="28"/>
      <c r="K2679" s="29"/>
      <c r="L2679" s="28"/>
      <c r="M2679" s="19"/>
      <c r="N2679" s="19"/>
      <c r="O2679" s="48"/>
    </row>
    <row r="2680" spans="9:15" x14ac:dyDescent="0.35">
      <c r="I2680" s="52"/>
      <c r="J2680" s="28"/>
      <c r="K2680" s="29"/>
      <c r="L2680" s="28"/>
      <c r="M2680" s="19"/>
      <c r="N2680" s="19"/>
      <c r="O2680" s="48"/>
    </row>
    <row r="2681" spans="9:15" x14ac:dyDescent="0.35">
      <c r="I2681" s="52"/>
      <c r="J2681" s="28"/>
      <c r="K2681" s="29"/>
      <c r="L2681" s="28"/>
      <c r="M2681" s="19"/>
      <c r="N2681" s="19"/>
      <c r="O2681" s="48"/>
    </row>
    <row r="2682" spans="9:15" x14ac:dyDescent="0.35">
      <c r="I2682" s="52"/>
      <c r="J2682" s="28"/>
      <c r="K2682" s="29"/>
      <c r="L2682" s="28"/>
      <c r="M2682" s="19"/>
      <c r="N2682" s="19"/>
      <c r="O2682" s="48"/>
    </row>
    <row r="2683" spans="9:15" x14ac:dyDescent="0.35">
      <c r="I2683" s="52"/>
      <c r="J2683" s="28"/>
      <c r="K2683" s="29"/>
      <c r="L2683" s="28"/>
      <c r="M2683" s="19"/>
      <c r="N2683" s="19"/>
      <c r="O2683" s="48"/>
    </row>
    <row r="2684" spans="9:15" x14ac:dyDescent="0.35">
      <c r="I2684" s="52"/>
      <c r="J2684" s="28"/>
      <c r="K2684" s="29"/>
      <c r="L2684" s="28"/>
      <c r="M2684" s="19"/>
      <c r="N2684" s="19"/>
      <c r="O2684" s="48"/>
    </row>
    <row r="2685" spans="9:15" x14ac:dyDescent="0.35">
      <c r="I2685" s="52"/>
      <c r="J2685" s="28"/>
      <c r="K2685" s="29"/>
      <c r="L2685" s="28"/>
      <c r="M2685" s="19"/>
      <c r="N2685" s="19"/>
      <c r="O2685" s="48"/>
    </row>
    <row r="2686" spans="9:15" x14ac:dyDescent="0.35">
      <c r="I2686" s="52"/>
      <c r="J2686" s="28"/>
      <c r="K2686" s="29"/>
      <c r="L2686" s="28"/>
      <c r="M2686" s="19"/>
      <c r="N2686" s="19"/>
      <c r="O2686" s="48"/>
    </row>
    <row r="2687" spans="9:15" x14ac:dyDescent="0.35">
      <c r="I2687" s="52"/>
      <c r="J2687" s="28"/>
      <c r="K2687" s="29"/>
      <c r="L2687" s="28"/>
      <c r="M2687" s="19"/>
      <c r="N2687" s="19"/>
      <c r="O2687" s="48"/>
    </row>
    <row r="2688" spans="9:15" x14ac:dyDescent="0.35">
      <c r="I2688" s="52"/>
      <c r="J2688" s="28"/>
      <c r="K2688" s="29"/>
      <c r="L2688" s="28"/>
      <c r="M2688" s="19"/>
      <c r="N2688" s="19"/>
      <c r="O2688" s="48"/>
    </row>
    <row r="2689" spans="9:15" x14ac:dyDescent="0.35">
      <c r="I2689" s="52"/>
      <c r="J2689" s="28"/>
      <c r="K2689" s="29"/>
      <c r="L2689" s="28"/>
      <c r="M2689" s="19"/>
      <c r="N2689" s="19"/>
      <c r="O2689" s="48"/>
    </row>
    <row r="2690" spans="9:15" x14ac:dyDescent="0.35">
      <c r="I2690" s="52"/>
      <c r="J2690" s="28"/>
      <c r="K2690" s="29"/>
      <c r="L2690" s="28"/>
      <c r="M2690" s="19"/>
      <c r="N2690" s="19"/>
      <c r="O2690" s="48"/>
    </row>
    <row r="2691" spans="9:15" x14ac:dyDescent="0.35">
      <c r="I2691" s="52"/>
      <c r="J2691" s="28"/>
      <c r="K2691" s="29"/>
      <c r="L2691" s="28"/>
      <c r="M2691" s="19"/>
      <c r="N2691" s="19"/>
      <c r="O2691" s="48"/>
    </row>
    <row r="2692" spans="9:15" x14ac:dyDescent="0.35">
      <c r="I2692" s="52"/>
      <c r="J2692" s="28"/>
      <c r="K2692" s="29"/>
      <c r="L2692" s="28"/>
      <c r="M2692" s="19"/>
      <c r="N2692" s="19"/>
      <c r="O2692" s="48"/>
    </row>
    <row r="2693" spans="9:15" x14ac:dyDescent="0.35">
      <c r="I2693" s="52"/>
      <c r="J2693" s="28"/>
      <c r="K2693" s="29"/>
      <c r="L2693" s="28"/>
      <c r="M2693" s="19"/>
      <c r="N2693" s="19"/>
      <c r="O2693" s="48"/>
    </row>
    <row r="2694" spans="9:15" x14ac:dyDescent="0.35">
      <c r="I2694" s="52"/>
      <c r="J2694" s="28"/>
      <c r="K2694" s="29"/>
      <c r="L2694" s="28"/>
      <c r="M2694" s="19"/>
      <c r="N2694" s="19"/>
      <c r="O2694" s="48"/>
    </row>
    <row r="2695" spans="9:15" x14ac:dyDescent="0.35">
      <c r="I2695" s="52"/>
      <c r="J2695" s="28"/>
      <c r="K2695" s="29"/>
      <c r="L2695" s="28"/>
      <c r="M2695" s="19"/>
      <c r="N2695" s="19"/>
      <c r="O2695" s="48"/>
    </row>
    <row r="2696" spans="9:15" x14ac:dyDescent="0.35">
      <c r="I2696" s="52"/>
      <c r="J2696" s="28"/>
      <c r="K2696" s="29"/>
      <c r="L2696" s="28"/>
      <c r="M2696" s="19"/>
      <c r="N2696" s="19"/>
      <c r="O2696" s="48"/>
    </row>
    <row r="2697" spans="9:15" x14ac:dyDescent="0.35">
      <c r="I2697" s="52"/>
      <c r="J2697" s="28"/>
      <c r="K2697" s="29"/>
      <c r="L2697" s="28"/>
      <c r="M2697" s="19"/>
      <c r="N2697" s="19"/>
      <c r="O2697" s="48"/>
    </row>
    <row r="2698" spans="9:15" x14ac:dyDescent="0.35">
      <c r="I2698" s="52"/>
      <c r="J2698" s="28"/>
      <c r="K2698" s="29"/>
      <c r="L2698" s="28"/>
      <c r="M2698" s="19"/>
      <c r="N2698" s="19"/>
      <c r="O2698" s="48"/>
    </row>
    <row r="2699" spans="9:15" x14ac:dyDescent="0.35">
      <c r="I2699" s="52"/>
      <c r="J2699" s="28"/>
      <c r="K2699" s="29"/>
      <c r="L2699" s="28"/>
      <c r="M2699" s="19"/>
      <c r="N2699" s="19"/>
      <c r="O2699" s="48"/>
    </row>
    <row r="2700" spans="9:15" x14ac:dyDescent="0.35">
      <c r="I2700" s="52"/>
      <c r="J2700" s="28"/>
      <c r="K2700" s="29"/>
      <c r="L2700" s="28"/>
      <c r="M2700" s="19"/>
      <c r="N2700" s="19"/>
      <c r="O2700" s="48"/>
    </row>
    <row r="2701" spans="9:15" x14ac:dyDescent="0.35">
      <c r="I2701" s="52"/>
      <c r="J2701" s="28"/>
      <c r="K2701" s="29"/>
      <c r="L2701" s="28"/>
      <c r="M2701" s="19"/>
      <c r="N2701" s="19"/>
      <c r="O2701" s="48"/>
    </row>
    <row r="2702" spans="9:15" x14ac:dyDescent="0.35">
      <c r="I2702" s="52"/>
      <c r="J2702" s="28"/>
      <c r="K2702" s="29"/>
      <c r="L2702" s="28"/>
      <c r="M2702" s="19"/>
      <c r="N2702" s="19"/>
      <c r="O2702" s="48"/>
    </row>
    <row r="2703" spans="9:15" x14ac:dyDescent="0.35">
      <c r="I2703" s="52"/>
      <c r="J2703" s="28"/>
      <c r="K2703" s="29"/>
      <c r="L2703" s="28"/>
      <c r="M2703" s="19"/>
      <c r="N2703" s="19"/>
      <c r="O2703" s="48"/>
    </row>
    <row r="2704" spans="9:15" x14ac:dyDescent="0.35">
      <c r="I2704" s="52"/>
      <c r="J2704" s="28"/>
      <c r="K2704" s="29"/>
      <c r="L2704" s="28"/>
      <c r="M2704" s="19"/>
      <c r="N2704" s="19"/>
      <c r="O2704" s="48"/>
    </row>
    <row r="2705" spans="9:15" x14ac:dyDescent="0.35">
      <c r="I2705" s="52"/>
      <c r="J2705" s="28"/>
      <c r="K2705" s="29"/>
      <c r="L2705" s="28"/>
      <c r="M2705" s="19"/>
      <c r="N2705" s="19"/>
      <c r="O2705" s="48"/>
    </row>
    <row r="2706" spans="9:15" x14ac:dyDescent="0.35">
      <c r="I2706" s="52"/>
      <c r="J2706" s="28"/>
      <c r="K2706" s="29"/>
      <c r="L2706" s="28"/>
      <c r="M2706" s="19"/>
      <c r="N2706" s="19"/>
      <c r="O2706" s="48"/>
    </row>
    <row r="2707" spans="9:15" x14ac:dyDescent="0.35">
      <c r="I2707" s="52"/>
      <c r="J2707" s="28"/>
      <c r="K2707" s="29"/>
      <c r="L2707" s="28"/>
      <c r="M2707" s="19"/>
      <c r="N2707" s="19"/>
      <c r="O2707" s="48"/>
    </row>
    <row r="2708" spans="9:15" x14ac:dyDescent="0.35">
      <c r="I2708" s="52"/>
      <c r="J2708" s="28"/>
      <c r="K2708" s="29"/>
      <c r="L2708" s="28"/>
      <c r="M2708" s="19"/>
      <c r="N2708" s="19"/>
      <c r="O2708" s="48"/>
    </row>
    <row r="2709" spans="9:15" x14ac:dyDescent="0.35">
      <c r="I2709" s="52"/>
      <c r="J2709" s="28"/>
      <c r="K2709" s="29"/>
      <c r="L2709" s="28"/>
      <c r="M2709" s="19"/>
      <c r="N2709" s="19"/>
      <c r="O2709" s="48"/>
    </row>
    <row r="2710" spans="9:15" x14ac:dyDescent="0.35">
      <c r="I2710" s="52"/>
      <c r="J2710" s="28"/>
      <c r="K2710" s="29"/>
      <c r="L2710" s="28"/>
      <c r="M2710" s="19"/>
      <c r="N2710" s="19"/>
      <c r="O2710" s="48"/>
    </row>
    <row r="2711" spans="9:15" x14ac:dyDescent="0.35">
      <c r="I2711" s="52"/>
      <c r="J2711" s="28"/>
      <c r="K2711" s="29"/>
      <c r="L2711" s="28"/>
      <c r="M2711" s="19"/>
      <c r="N2711" s="19"/>
      <c r="O2711" s="48"/>
    </row>
    <row r="2712" spans="9:15" x14ac:dyDescent="0.35">
      <c r="I2712" s="52"/>
      <c r="J2712" s="28"/>
      <c r="K2712" s="29"/>
      <c r="L2712" s="28"/>
      <c r="M2712" s="19"/>
      <c r="N2712" s="19"/>
      <c r="O2712" s="48"/>
    </row>
    <row r="2713" spans="9:15" x14ac:dyDescent="0.35">
      <c r="I2713" s="52"/>
      <c r="J2713" s="28"/>
      <c r="K2713" s="29"/>
      <c r="L2713" s="28"/>
      <c r="M2713" s="19"/>
      <c r="N2713" s="19"/>
      <c r="O2713" s="48"/>
    </row>
    <row r="2714" spans="9:15" x14ac:dyDescent="0.35">
      <c r="I2714" s="52"/>
      <c r="J2714" s="28"/>
      <c r="K2714" s="29"/>
      <c r="L2714" s="28"/>
      <c r="M2714" s="19"/>
      <c r="N2714" s="19"/>
      <c r="O2714" s="48"/>
    </row>
    <row r="2715" spans="9:15" x14ac:dyDescent="0.35">
      <c r="I2715" s="52"/>
      <c r="J2715" s="28"/>
      <c r="K2715" s="29"/>
      <c r="L2715" s="28"/>
      <c r="M2715" s="19"/>
      <c r="N2715" s="19"/>
      <c r="O2715" s="48"/>
    </row>
    <row r="2716" spans="9:15" x14ac:dyDescent="0.35">
      <c r="I2716" s="52"/>
      <c r="J2716" s="28"/>
      <c r="K2716" s="29"/>
      <c r="L2716" s="28"/>
      <c r="M2716" s="19"/>
      <c r="N2716" s="19"/>
      <c r="O2716" s="48"/>
    </row>
    <row r="2717" spans="9:15" x14ac:dyDescent="0.35">
      <c r="I2717" s="52"/>
      <c r="J2717" s="28"/>
      <c r="K2717" s="29"/>
      <c r="L2717" s="28"/>
      <c r="M2717" s="19"/>
      <c r="N2717" s="19"/>
      <c r="O2717" s="48"/>
    </row>
    <row r="2718" spans="9:15" x14ac:dyDescent="0.35">
      <c r="I2718" s="52"/>
      <c r="J2718" s="28"/>
      <c r="K2718" s="29"/>
      <c r="L2718" s="28"/>
      <c r="M2718" s="19"/>
      <c r="N2718" s="19"/>
      <c r="O2718" s="48"/>
    </row>
    <row r="2719" spans="9:15" x14ac:dyDescent="0.35">
      <c r="I2719" s="52"/>
      <c r="J2719" s="28"/>
      <c r="K2719" s="29"/>
      <c r="L2719" s="28"/>
      <c r="M2719" s="19"/>
      <c r="N2719" s="19"/>
      <c r="O2719" s="48"/>
    </row>
    <row r="2720" spans="9:15" x14ac:dyDescent="0.35">
      <c r="I2720" s="52"/>
      <c r="J2720" s="28"/>
      <c r="K2720" s="29"/>
      <c r="L2720" s="28"/>
      <c r="M2720" s="19"/>
      <c r="N2720" s="19"/>
      <c r="O2720" s="48"/>
    </row>
    <row r="2721" spans="9:15" x14ac:dyDescent="0.35">
      <c r="I2721" s="52"/>
      <c r="J2721" s="28"/>
      <c r="K2721" s="29"/>
      <c r="L2721" s="28"/>
      <c r="M2721" s="19"/>
      <c r="N2721" s="19"/>
      <c r="O2721" s="48"/>
    </row>
    <row r="2722" spans="9:15" x14ac:dyDescent="0.35">
      <c r="I2722" s="52"/>
      <c r="J2722" s="28"/>
      <c r="K2722" s="29"/>
      <c r="L2722" s="28"/>
      <c r="M2722" s="19"/>
      <c r="N2722" s="19"/>
      <c r="O2722" s="48"/>
    </row>
    <row r="2723" spans="9:15" x14ac:dyDescent="0.35">
      <c r="I2723" s="52"/>
      <c r="J2723" s="28"/>
      <c r="K2723" s="29"/>
      <c r="L2723" s="28"/>
      <c r="M2723" s="19"/>
      <c r="N2723" s="19"/>
      <c r="O2723" s="48"/>
    </row>
    <row r="2724" spans="9:15" x14ac:dyDescent="0.35">
      <c r="I2724" s="52"/>
      <c r="J2724" s="28"/>
      <c r="K2724" s="29"/>
      <c r="L2724" s="28"/>
      <c r="M2724" s="19"/>
      <c r="N2724" s="19"/>
      <c r="O2724" s="48"/>
    </row>
    <row r="2725" spans="9:15" x14ac:dyDescent="0.35">
      <c r="I2725" s="52"/>
      <c r="J2725" s="28"/>
      <c r="K2725" s="29"/>
      <c r="L2725" s="28"/>
      <c r="M2725" s="19"/>
      <c r="N2725" s="19"/>
      <c r="O2725" s="48"/>
    </row>
    <row r="2726" spans="9:15" x14ac:dyDescent="0.35">
      <c r="I2726" s="52"/>
      <c r="J2726" s="28"/>
      <c r="K2726" s="29"/>
      <c r="L2726" s="28"/>
      <c r="M2726" s="19"/>
      <c r="N2726" s="19"/>
      <c r="O2726" s="48"/>
    </row>
    <row r="2727" spans="9:15" x14ac:dyDescent="0.35">
      <c r="I2727" s="52"/>
      <c r="J2727" s="28"/>
      <c r="K2727" s="29"/>
      <c r="L2727" s="28"/>
      <c r="M2727" s="19"/>
      <c r="N2727" s="19"/>
      <c r="O2727" s="48"/>
    </row>
    <row r="2728" spans="9:15" x14ac:dyDescent="0.35">
      <c r="I2728" s="52"/>
      <c r="J2728" s="28"/>
      <c r="K2728" s="29"/>
      <c r="L2728" s="28"/>
      <c r="M2728" s="19"/>
      <c r="N2728" s="19"/>
      <c r="O2728" s="48"/>
    </row>
    <row r="2729" spans="9:15" x14ac:dyDescent="0.35">
      <c r="I2729" s="52"/>
      <c r="J2729" s="28"/>
      <c r="K2729" s="29"/>
      <c r="L2729" s="28"/>
      <c r="M2729" s="19"/>
      <c r="N2729" s="19"/>
      <c r="O2729" s="48"/>
    </row>
    <row r="2730" spans="9:15" x14ac:dyDescent="0.35">
      <c r="I2730" s="52"/>
      <c r="J2730" s="28"/>
      <c r="K2730" s="29"/>
      <c r="L2730" s="28"/>
      <c r="M2730" s="19"/>
      <c r="N2730" s="19"/>
      <c r="O2730" s="48"/>
    </row>
    <row r="2731" spans="9:15" x14ac:dyDescent="0.35">
      <c r="I2731" s="52"/>
      <c r="J2731" s="28"/>
      <c r="K2731" s="29"/>
      <c r="L2731" s="28"/>
      <c r="M2731" s="19"/>
      <c r="N2731" s="19"/>
      <c r="O2731" s="48"/>
    </row>
    <row r="2732" spans="9:15" x14ac:dyDescent="0.35">
      <c r="I2732" s="52"/>
      <c r="J2732" s="28"/>
      <c r="K2732" s="29"/>
      <c r="L2732" s="28"/>
      <c r="M2732" s="19"/>
      <c r="N2732" s="19"/>
      <c r="O2732" s="48"/>
    </row>
    <row r="2733" spans="9:15" x14ac:dyDescent="0.35">
      <c r="I2733" s="52"/>
      <c r="J2733" s="28"/>
      <c r="K2733" s="29"/>
      <c r="L2733" s="28"/>
      <c r="M2733" s="19"/>
      <c r="N2733" s="19"/>
      <c r="O2733" s="48"/>
    </row>
    <row r="2734" spans="9:15" x14ac:dyDescent="0.35">
      <c r="I2734" s="52"/>
      <c r="J2734" s="28"/>
      <c r="K2734" s="29"/>
      <c r="L2734" s="28"/>
      <c r="M2734" s="19"/>
      <c r="N2734" s="19"/>
      <c r="O2734" s="48"/>
    </row>
    <row r="2735" spans="9:15" x14ac:dyDescent="0.35">
      <c r="I2735" s="52"/>
      <c r="J2735" s="28"/>
      <c r="K2735" s="29"/>
      <c r="L2735" s="28"/>
      <c r="M2735" s="19"/>
      <c r="N2735" s="19"/>
      <c r="O2735" s="48"/>
    </row>
    <row r="2736" spans="9:15" x14ac:dyDescent="0.35">
      <c r="I2736" s="52"/>
      <c r="J2736" s="28"/>
      <c r="K2736" s="29"/>
      <c r="L2736" s="28"/>
      <c r="M2736" s="19"/>
      <c r="N2736" s="19"/>
      <c r="O2736" s="48"/>
    </row>
    <row r="2737" spans="9:15" x14ac:dyDescent="0.35">
      <c r="I2737" s="52"/>
      <c r="J2737" s="28"/>
      <c r="K2737" s="29"/>
      <c r="L2737" s="28"/>
      <c r="M2737" s="19"/>
      <c r="N2737" s="19"/>
      <c r="O2737" s="48"/>
    </row>
    <row r="2738" spans="9:15" x14ac:dyDescent="0.35">
      <c r="I2738" s="52"/>
      <c r="J2738" s="28"/>
      <c r="K2738" s="29"/>
      <c r="L2738" s="28"/>
      <c r="M2738" s="19"/>
      <c r="N2738" s="19"/>
      <c r="O2738" s="48"/>
    </row>
    <row r="2739" spans="9:15" x14ac:dyDescent="0.35">
      <c r="I2739" s="52"/>
      <c r="J2739" s="28"/>
      <c r="K2739" s="29"/>
      <c r="L2739" s="28"/>
      <c r="M2739" s="19"/>
      <c r="N2739" s="19"/>
      <c r="O2739" s="48"/>
    </row>
    <row r="2740" spans="9:15" x14ac:dyDescent="0.35">
      <c r="I2740" s="52"/>
      <c r="J2740" s="28"/>
      <c r="K2740" s="29"/>
      <c r="L2740" s="28"/>
      <c r="M2740" s="19"/>
      <c r="N2740" s="19"/>
      <c r="O2740" s="48"/>
    </row>
    <row r="2741" spans="9:15" x14ac:dyDescent="0.35">
      <c r="I2741" s="52"/>
      <c r="J2741" s="28"/>
      <c r="K2741" s="29"/>
      <c r="L2741" s="28"/>
      <c r="M2741" s="19"/>
      <c r="N2741" s="19"/>
      <c r="O2741" s="48"/>
    </row>
    <row r="2742" spans="9:15" x14ac:dyDescent="0.35">
      <c r="I2742" s="52"/>
      <c r="J2742" s="28"/>
      <c r="K2742" s="29"/>
      <c r="L2742" s="28"/>
      <c r="M2742" s="19"/>
      <c r="N2742" s="19"/>
      <c r="O2742" s="48"/>
    </row>
    <row r="2743" spans="9:15" x14ac:dyDescent="0.35">
      <c r="I2743" s="52"/>
      <c r="J2743" s="28"/>
      <c r="K2743" s="29"/>
      <c r="L2743" s="28"/>
      <c r="M2743" s="19"/>
      <c r="N2743" s="19"/>
      <c r="O2743" s="48"/>
    </row>
    <row r="2744" spans="9:15" x14ac:dyDescent="0.35">
      <c r="I2744" s="52"/>
      <c r="J2744" s="28"/>
      <c r="K2744" s="29"/>
      <c r="L2744" s="28"/>
      <c r="M2744" s="19"/>
      <c r="N2744" s="19"/>
      <c r="O2744" s="48"/>
    </row>
    <row r="2745" spans="9:15" x14ac:dyDescent="0.35">
      <c r="I2745" s="52"/>
      <c r="J2745" s="28"/>
      <c r="K2745" s="29"/>
      <c r="L2745" s="28"/>
      <c r="M2745" s="19"/>
      <c r="N2745" s="19"/>
      <c r="O2745" s="48"/>
    </row>
    <row r="2746" spans="9:15" x14ac:dyDescent="0.35">
      <c r="I2746" s="52"/>
      <c r="J2746" s="28"/>
      <c r="K2746" s="29"/>
      <c r="L2746" s="28"/>
      <c r="M2746" s="19"/>
      <c r="N2746" s="19"/>
      <c r="O2746" s="48"/>
    </row>
    <row r="2747" spans="9:15" x14ac:dyDescent="0.35">
      <c r="I2747" s="52"/>
      <c r="J2747" s="28"/>
      <c r="K2747" s="29"/>
      <c r="L2747" s="28"/>
      <c r="M2747" s="19"/>
      <c r="N2747" s="19"/>
      <c r="O2747" s="48"/>
    </row>
    <row r="2748" spans="9:15" x14ac:dyDescent="0.35">
      <c r="I2748" s="52"/>
      <c r="J2748" s="28"/>
      <c r="K2748" s="29"/>
      <c r="L2748" s="28"/>
      <c r="M2748" s="19"/>
      <c r="N2748" s="19"/>
      <c r="O2748" s="48"/>
    </row>
    <row r="2749" spans="9:15" x14ac:dyDescent="0.35">
      <c r="I2749" s="52"/>
      <c r="J2749" s="28"/>
      <c r="K2749" s="29"/>
      <c r="L2749" s="28"/>
      <c r="M2749" s="19"/>
      <c r="N2749" s="19"/>
      <c r="O2749" s="48"/>
    </row>
    <row r="2750" spans="9:15" x14ac:dyDescent="0.35">
      <c r="I2750" s="52"/>
      <c r="J2750" s="28"/>
      <c r="K2750" s="29"/>
      <c r="L2750" s="28"/>
      <c r="M2750" s="19"/>
      <c r="N2750" s="19"/>
      <c r="O2750" s="48"/>
    </row>
    <row r="2751" spans="9:15" x14ac:dyDescent="0.35">
      <c r="I2751" s="52"/>
      <c r="J2751" s="28"/>
      <c r="K2751" s="29"/>
      <c r="L2751" s="28"/>
      <c r="M2751" s="19"/>
      <c r="N2751" s="19"/>
      <c r="O2751" s="48"/>
    </row>
    <row r="2752" spans="9:15" x14ac:dyDescent="0.35">
      <c r="I2752" s="52"/>
      <c r="J2752" s="28"/>
      <c r="K2752" s="29"/>
      <c r="L2752" s="28"/>
      <c r="M2752" s="19"/>
      <c r="N2752" s="19"/>
      <c r="O2752" s="48"/>
    </row>
    <row r="2753" spans="9:15" x14ac:dyDescent="0.35">
      <c r="I2753" s="52"/>
      <c r="J2753" s="28"/>
      <c r="K2753" s="29"/>
      <c r="L2753" s="28"/>
      <c r="M2753" s="19"/>
      <c r="N2753" s="19"/>
      <c r="O2753" s="48"/>
    </row>
    <row r="2754" spans="9:15" x14ac:dyDescent="0.35">
      <c r="I2754" s="52"/>
      <c r="J2754" s="28"/>
      <c r="K2754" s="29"/>
      <c r="L2754" s="28"/>
      <c r="M2754" s="19"/>
      <c r="N2754" s="19"/>
      <c r="O2754" s="48"/>
    </row>
    <row r="2755" spans="9:15" x14ac:dyDescent="0.35">
      <c r="I2755" s="52"/>
      <c r="J2755" s="28"/>
      <c r="K2755" s="29"/>
      <c r="L2755" s="28"/>
      <c r="M2755" s="19"/>
      <c r="N2755" s="19"/>
      <c r="O2755" s="48"/>
    </row>
    <row r="2756" spans="9:15" x14ac:dyDescent="0.35">
      <c r="I2756" s="52"/>
      <c r="J2756" s="28"/>
      <c r="K2756" s="29"/>
      <c r="L2756" s="28"/>
      <c r="M2756" s="19"/>
      <c r="N2756" s="19"/>
      <c r="O2756" s="48"/>
    </row>
    <row r="2757" spans="9:15" x14ac:dyDescent="0.35">
      <c r="I2757" s="52"/>
      <c r="J2757" s="28"/>
      <c r="K2757" s="29"/>
      <c r="L2757" s="28"/>
      <c r="M2757" s="19"/>
      <c r="N2757" s="19"/>
      <c r="O2757" s="48"/>
    </row>
    <row r="2758" spans="9:15" x14ac:dyDescent="0.35">
      <c r="I2758" s="52"/>
      <c r="J2758" s="28"/>
      <c r="K2758" s="29"/>
      <c r="L2758" s="28"/>
      <c r="M2758" s="19"/>
      <c r="N2758" s="19"/>
      <c r="O2758" s="48"/>
    </row>
    <row r="2759" spans="9:15" x14ac:dyDescent="0.35">
      <c r="I2759" s="52"/>
      <c r="J2759" s="28"/>
      <c r="K2759" s="29"/>
      <c r="L2759" s="28"/>
      <c r="M2759" s="19"/>
      <c r="N2759" s="19"/>
      <c r="O2759" s="48"/>
    </row>
    <row r="2760" spans="9:15" x14ac:dyDescent="0.35">
      <c r="I2760" s="52"/>
      <c r="J2760" s="28"/>
      <c r="K2760" s="29"/>
      <c r="L2760" s="28"/>
      <c r="M2760" s="19"/>
      <c r="N2760" s="19"/>
      <c r="O2760" s="48"/>
    </row>
    <row r="2761" spans="9:15" x14ac:dyDescent="0.35">
      <c r="I2761" s="52"/>
      <c r="J2761" s="28"/>
      <c r="K2761" s="29"/>
      <c r="L2761" s="28"/>
      <c r="M2761" s="19"/>
      <c r="N2761" s="19"/>
      <c r="O2761" s="48"/>
    </row>
    <row r="2762" spans="9:15" x14ac:dyDescent="0.35">
      <c r="I2762" s="52"/>
      <c r="J2762" s="28"/>
      <c r="K2762" s="29"/>
      <c r="L2762" s="28"/>
      <c r="M2762" s="19"/>
      <c r="N2762" s="19"/>
      <c r="O2762" s="48"/>
    </row>
    <row r="2763" spans="9:15" x14ac:dyDescent="0.35">
      <c r="I2763" s="52"/>
      <c r="J2763" s="28"/>
      <c r="K2763" s="29"/>
      <c r="L2763" s="28"/>
      <c r="M2763" s="19"/>
      <c r="N2763" s="19"/>
      <c r="O2763" s="48"/>
    </row>
    <row r="2764" spans="9:15" x14ac:dyDescent="0.35">
      <c r="I2764" s="52"/>
      <c r="J2764" s="28"/>
      <c r="K2764" s="29"/>
      <c r="L2764" s="28"/>
      <c r="M2764" s="19"/>
      <c r="N2764" s="19"/>
      <c r="O2764" s="48"/>
    </row>
    <row r="2765" spans="9:15" x14ac:dyDescent="0.35">
      <c r="I2765" s="52"/>
      <c r="J2765" s="28"/>
      <c r="K2765" s="29"/>
      <c r="L2765" s="28"/>
      <c r="M2765" s="19"/>
      <c r="N2765" s="19"/>
      <c r="O2765" s="48"/>
    </row>
    <row r="2766" spans="9:15" x14ac:dyDescent="0.35">
      <c r="I2766" s="52"/>
      <c r="J2766" s="28"/>
      <c r="K2766" s="29"/>
      <c r="L2766" s="28"/>
      <c r="M2766" s="19"/>
      <c r="N2766" s="19"/>
      <c r="O2766" s="48"/>
    </row>
    <row r="2767" spans="9:15" x14ac:dyDescent="0.35">
      <c r="I2767" s="52"/>
      <c r="J2767" s="28"/>
      <c r="K2767" s="29"/>
      <c r="L2767" s="28"/>
      <c r="M2767" s="19"/>
      <c r="N2767" s="19"/>
      <c r="O2767" s="48"/>
    </row>
    <row r="2768" spans="9:15" x14ac:dyDescent="0.35">
      <c r="I2768" s="52"/>
      <c r="J2768" s="28"/>
      <c r="K2768" s="29"/>
      <c r="L2768" s="28"/>
      <c r="M2768" s="19"/>
      <c r="N2768" s="19"/>
      <c r="O2768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011B-B301-4EAF-8477-96B890CCFA16}">
  <sheetPr codeName="Sheet2" filterMode="1"/>
  <dimension ref="A1:AD10164"/>
  <sheetViews>
    <sheetView tabSelected="1" topLeftCell="A2" zoomScale="83" zoomScaleNormal="115" workbookViewId="0">
      <pane ySplit="2" topLeftCell="A6922" activePane="bottomLeft" state="frozen"/>
      <selection pane="bottomLeft" activeCell="F6932" sqref="F6932"/>
    </sheetView>
  </sheetViews>
  <sheetFormatPr defaultRowHeight="14.5" x14ac:dyDescent="0.35"/>
  <cols>
    <col min="2" max="2" width="9.36328125" bestFit="1" customWidth="1"/>
    <col min="3" max="3" width="15.08984375" bestFit="1" customWidth="1"/>
    <col min="4" max="4" width="14.6328125" bestFit="1" customWidth="1"/>
    <col min="5" max="5" width="9.08984375" bestFit="1" customWidth="1"/>
    <col min="6" max="6" width="29.54296875" bestFit="1" customWidth="1"/>
    <col min="7" max="7" width="21.36328125" customWidth="1"/>
    <col min="8" max="8" width="6" style="92" customWidth="1"/>
    <col min="11" max="11" width="3.7265625" style="97" customWidth="1"/>
    <col min="12" max="14" width="5.1796875" hidden="1" customWidth="1"/>
    <col min="15" max="15" width="7.1796875" hidden="1" customWidth="1"/>
    <col min="16" max="16" width="5.1796875" style="57" hidden="1" customWidth="1"/>
    <col min="17" max="17" width="4.453125" style="57" hidden="1" customWidth="1"/>
    <col min="18" max="18" width="5.1796875" style="57" hidden="1" customWidth="1"/>
    <col min="19" max="19" width="5.1796875" style="97" bestFit="1" customWidth="1"/>
    <col min="20" max="23" width="5.1796875" style="57" hidden="1" customWidth="1"/>
    <col min="24" max="24" width="5.1796875" style="97" bestFit="1" customWidth="1"/>
    <col min="25" max="25" width="3.81640625" customWidth="1"/>
  </cols>
  <sheetData>
    <row r="1" spans="1:30" hidden="1" x14ac:dyDescent="0.35">
      <c r="K1" s="51" t="s">
        <v>0</v>
      </c>
      <c r="L1" s="32"/>
      <c r="M1" s="32"/>
      <c r="N1" s="32"/>
      <c r="O1" s="32"/>
      <c r="P1" s="2"/>
      <c r="Q1" s="2" t="s">
        <v>1</v>
      </c>
      <c r="R1" s="58"/>
      <c r="S1" s="58"/>
      <c r="T1" s="58"/>
      <c r="U1" s="58"/>
      <c r="V1" s="58"/>
      <c r="W1" s="3"/>
      <c r="X1" s="60"/>
    </row>
    <row r="2" spans="1:30" x14ac:dyDescent="0.35">
      <c r="K2" s="95" t="s">
        <v>2</v>
      </c>
      <c r="L2" s="33"/>
      <c r="M2" s="33"/>
      <c r="N2" s="33"/>
      <c r="O2" s="33"/>
      <c r="P2" s="4"/>
      <c r="Q2" s="4"/>
      <c r="W2" s="5"/>
      <c r="X2" s="98"/>
    </row>
    <row r="3" spans="1:30" ht="132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s="92" t="s">
        <v>8</v>
      </c>
      <c r="H3" s="92" t="s">
        <v>7372</v>
      </c>
      <c r="I3" t="s">
        <v>9</v>
      </c>
      <c r="J3" t="s">
        <v>10</v>
      </c>
      <c r="K3" s="96" t="s">
        <v>7373</v>
      </c>
      <c r="L3" s="67" t="s">
        <v>11</v>
      </c>
      <c r="M3" s="67" t="s">
        <v>12</v>
      </c>
      <c r="N3" s="67" t="s">
        <v>13</v>
      </c>
      <c r="O3" s="67" t="s">
        <v>14</v>
      </c>
      <c r="P3" s="66" t="s">
        <v>15</v>
      </c>
      <c r="Q3" s="66" t="s">
        <v>16</v>
      </c>
      <c r="R3" s="65" t="s">
        <v>17</v>
      </c>
      <c r="S3" s="99" t="s">
        <v>18</v>
      </c>
      <c r="T3" s="65" t="s">
        <v>19</v>
      </c>
      <c r="U3" s="65" t="s">
        <v>20</v>
      </c>
      <c r="V3" s="65" t="s">
        <v>21</v>
      </c>
      <c r="W3" s="7" t="s">
        <v>22</v>
      </c>
      <c r="X3" s="99" t="s">
        <v>3982</v>
      </c>
      <c r="Y3" s="9" t="s">
        <v>24</v>
      </c>
      <c r="Z3" s="9" t="s">
        <v>25</v>
      </c>
      <c r="AC3" s="8" t="s">
        <v>23</v>
      </c>
    </row>
    <row r="4" spans="1:30" x14ac:dyDescent="0.35">
      <c r="A4">
        <v>0</v>
      </c>
      <c r="B4">
        <v>1</v>
      </c>
      <c r="C4">
        <v>146.132571753999</v>
      </c>
      <c r="D4">
        <v>-17.6016495149</v>
      </c>
      <c r="G4" s="92"/>
      <c r="I4">
        <v>1</v>
      </c>
      <c r="J4" t="s">
        <v>26</v>
      </c>
      <c r="K4" s="95"/>
      <c r="L4" s="31"/>
      <c r="M4" s="31"/>
      <c r="N4" s="31"/>
      <c r="O4" s="31"/>
      <c r="P4" s="4"/>
      <c r="W4" s="5"/>
      <c r="X4" s="94"/>
      <c r="AC4">
        <v>1</v>
      </c>
      <c r="AD4" t="s">
        <v>27</v>
      </c>
    </row>
    <row r="5" spans="1:30" x14ac:dyDescent="0.35">
      <c r="A5">
        <v>1</v>
      </c>
      <c r="B5">
        <v>2</v>
      </c>
      <c r="C5">
        <v>146.13251973000001</v>
      </c>
      <c r="D5">
        <v>-17.601580438700001</v>
      </c>
      <c r="G5" s="92"/>
      <c r="I5">
        <v>1</v>
      </c>
      <c r="J5" t="s">
        <v>26</v>
      </c>
      <c r="K5" s="95"/>
      <c r="L5" s="31"/>
      <c r="M5" s="31"/>
      <c r="N5" s="31"/>
      <c r="O5" s="31"/>
      <c r="P5" s="4"/>
      <c r="W5" s="5"/>
      <c r="X5" s="94"/>
      <c r="AC5">
        <v>2</v>
      </c>
      <c r="AD5" t="s">
        <v>28</v>
      </c>
    </row>
    <row r="6" spans="1:30" x14ac:dyDescent="0.35">
      <c r="A6">
        <v>2</v>
      </c>
      <c r="B6">
        <v>3</v>
      </c>
      <c r="C6">
        <v>146.13244967200001</v>
      </c>
      <c r="D6">
        <v>-17.601530749999899</v>
      </c>
      <c r="G6" s="92"/>
      <c r="I6">
        <v>1</v>
      </c>
      <c r="J6" t="s">
        <v>26</v>
      </c>
      <c r="K6" s="95"/>
      <c r="L6" s="31"/>
      <c r="M6" s="31"/>
      <c r="N6" s="31"/>
      <c r="O6" s="31"/>
      <c r="P6" s="4"/>
      <c r="W6" s="5"/>
      <c r="X6" s="94"/>
      <c r="AC6">
        <v>3</v>
      </c>
      <c r="AD6" t="s">
        <v>29</v>
      </c>
    </row>
    <row r="7" spans="1:30" x14ac:dyDescent="0.35">
      <c r="A7">
        <v>3</v>
      </c>
      <c r="B7">
        <v>4</v>
      </c>
      <c r="C7">
        <v>146.13236322399899</v>
      </c>
      <c r="D7">
        <v>-17.6015074711</v>
      </c>
      <c r="G7" s="92"/>
      <c r="I7">
        <v>1</v>
      </c>
      <c r="J7" t="s">
        <v>26</v>
      </c>
      <c r="K7" s="95"/>
      <c r="L7" s="31"/>
      <c r="M7" s="31"/>
      <c r="N7" s="31"/>
      <c r="O7" s="31"/>
      <c r="P7" s="4"/>
      <c r="W7" s="5"/>
      <c r="X7" s="94"/>
      <c r="AC7">
        <v>4</v>
      </c>
      <c r="AD7" t="s">
        <v>30</v>
      </c>
    </row>
    <row r="8" spans="1:30" x14ac:dyDescent="0.35">
      <c r="A8">
        <v>4</v>
      </c>
      <c r="B8">
        <v>5</v>
      </c>
      <c r="C8">
        <v>146.13227453900001</v>
      </c>
      <c r="D8">
        <v>-17.601497182300001</v>
      </c>
      <c r="E8">
        <v>50</v>
      </c>
      <c r="G8" s="92"/>
      <c r="I8">
        <v>1</v>
      </c>
      <c r="J8" t="s">
        <v>26</v>
      </c>
      <c r="K8" s="95"/>
      <c r="L8" s="31"/>
      <c r="M8" s="31"/>
      <c r="N8" s="31"/>
      <c r="O8" s="31"/>
      <c r="P8" s="4"/>
      <c r="W8" s="5"/>
      <c r="X8" s="94"/>
    </row>
    <row r="9" spans="1:30" x14ac:dyDescent="0.35">
      <c r="A9">
        <v>5</v>
      </c>
      <c r="B9">
        <v>6</v>
      </c>
      <c r="C9">
        <v>146.132184819999</v>
      </c>
      <c r="D9">
        <v>-17.6014928928</v>
      </c>
      <c r="G9" s="92"/>
      <c r="I9">
        <v>1</v>
      </c>
      <c r="J9" t="s">
        <v>26</v>
      </c>
      <c r="K9" s="95"/>
      <c r="L9" s="31"/>
      <c r="M9" s="31"/>
      <c r="N9" s="31"/>
      <c r="O9" s="31"/>
      <c r="P9" s="4"/>
      <c r="W9" s="5"/>
      <c r="X9" s="94"/>
    </row>
    <row r="10" spans="1:30" x14ac:dyDescent="0.35">
      <c r="A10">
        <v>6</v>
      </c>
      <c r="B10">
        <v>7</v>
      </c>
      <c r="C10">
        <v>146.132095268999</v>
      </c>
      <c r="D10">
        <v>-17.601495094499899</v>
      </c>
      <c r="G10" s="92"/>
      <c r="I10">
        <v>1</v>
      </c>
      <c r="J10" t="s">
        <v>26</v>
      </c>
      <c r="K10" s="95"/>
      <c r="L10" s="31"/>
      <c r="M10" s="31"/>
      <c r="N10" s="31"/>
      <c r="O10" s="31"/>
      <c r="P10" s="4"/>
      <c r="W10" s="5"/>
      <c r="X10" s="94"/>
      <c r="AC10" s="57"/>
      <c r="AD10" t="s">
        <v>31</v>
      </c>
    </row>
    <row r="11" spans="1:30" x14ac:dyDescent="0.35">
      <c r="A11">
        <v>7</v>
      </c>
      <c r="B11">
        <v>8</v>
      </c>
      <c r="C11">
        <v>146.132005880999</v>
      </c>
      <c r="D11">
        <v>-17.6015035922</v>
      </c>
      <c r="G11" s="92"/>
      <c r="I11">
        <v>1</v>
      </c>
      <c r="J11" t="s">
        <v>26</v>
      </c>
      <c r="K11" s="95"/>
      <c r="L11" s="31"/>
      <c r="M11" s="31"/>
      <c r="N11" s="31"/>
      <c r="O11" s="31"/>
      <c r="P11" s="4"/>
      <c r="W11" s="5"/>
      <c r="X11" s="94"/>
    </row>
    <row r="12" spans="1:30" x14ac:dyDescent="0.35">
      <c r="A12">
        <v>8</v>
      </c>
      <c r="B12">
        <v>9</v>
      </c>
      <c r="C12">
        <v>146.13191725600001</v>
      </c>
      <c r="D12">
        <v>-17.601515598199899</v>
      </c>
      <c r="G12" s="92"/>
      <c r="I12">
        <v>1</v>
      </c>
      <c r="J12" t="s">
        <v>26</v>
      </c>
      <c r="K12" s="95"/>
      <c r="L12" s="31"/>
      <c r="M12" s="31"/>
      <c r="N12" s="31"/>
      <c r="O12" s="31"/>
      <c r="P12" s="4"/>
      <c r="W12" s="5"/>
      <c r="X12" s="94"/>
    </row>
    <row r="13" spans="1:30" x14ac:dyDescent="0.35">
      <c r="A13">
        <v>9</v>
      </c>
      <c r="B13">
        <v>10</v>
      </c>
      <c r="C13">
        <v>146.13183168500001</v>
      </c>
      <c r="D13">
        <v>-17.601541655799899</v>
      </c>
      <c r="E13">
        <v>50</v>
      </c>
      <c r="G13" s="92"/>
      <c r="I13">
        <v>1</v>
      </c>
      <c r="J13" t="s">
        <v>26</v>
      </c>
      <c r="K13" s="95"/>
      <c r="L13" s="31"/>
      <c r="M13" s="31"/>
      <c r="N13" s="31"/>
      <c r="O13" s="31"/>
      <c r="P13" s="4"/>
      <c r="W13" s="5"/>
      <c r="X13" s="94"/>
    </row>
    <row r="14" spans="1:30" ht="15" thickBot="1" x14ac:dyDescent="0.4">
      <c r="A14">
        <v>10</v>
      </c>
      <c r="B14">
        <v>11</v>
      </c>
      <c r="C14">
        <v>146.13174611400001</v>
      </c>
      <c r="D14">
        <v>-17.6015677135</v>
      </c>
      <c r="G14" s="92"/>
      <c r="I14">
        <v>1</v>
      </c>
      <c r="J14" t="s">
        <v>26</v>
      </c>
      <c r="K14" s="95"/>
      <c r="L14" s="31"/>
      <c r="M14" s="31"/>
      <c r="N14" s="31"/>
      <c r="O14" s="31"/>
      <c r="P14" s="4"/>
      <c r="W14" s="5"/>
      <c r="X14" s="94"/>
      <c r="AC14" s="62"/>
    </row>
    <row r="15" spans="1:30" x14ac:dyDescent="0.35">
      <c r="A15">
        <v>11</v>
      </c>
      <c r="B15">
        <v>12</v>
      </c>
      <c r="C15">
        <v>146.13165844700001</v>
      </c>
      <c r="D15">
        <v>-17.6015856335999</v>
      </c>
      <c r="G15" s="92"/>
      <c r="I15">
        <v>1</v>
      </c>
      <c r="J15" t="s">
        <v>26</v>
      </c>
      <c r="K15" s="95"/>
      <c r="L15" s="31"/>
      <c r="M15" s="31"/>
      <c r="N15" s="31"/>
      <c r="O15" s="31"/>
      <c r="P15" s="4"/>
      <c r="W15" s="5"/>
      <c r="X15" s="94"/>
    </row>
    <row r="16" spans="1:30" x14ac:dyDescent="0.35">
      <c r="A16">
        <v>12</v>
      </c>
      <c r="B16">
        <v>13</v>
      </c>
      <c r="C16">
        <v>146.131569947</v>
      </c>
      <c r="D16">
        <v>-17.601600321100001</v>
      </c>
      <c r="G16" s="92"/>
      <c r="I16">
        <v>1</v>
      </c>
      <c r="J16" t="s">
        <v>26</v>
      </c>
      <c r="K16" s="95"/>
      <c r="L16" s="31"/>
      <c r="M16" s="31"/>
      <c r="N16" s="31"/>
      <c r="O16" s="31"/>
      <c r="P16" s="4"/>
      <c r="W16" s="5"/>
      <c r="X16" s="94"/>
    </row>
    <row r="17" spans="1:24" x14ac:dyDescent="0.35">
      <c r="A17">
        <v>13</v>
      </c>
      <c r="B17">
        <v>14</v>
      </c>
      <c r="C17">
        <v>146.131481446999</v>
      </c>
      <c r="D17">
        <v>-17.6016150086</v>
      </c>
      <c r="G17" s="92"/>
      <c r="I17">
        <v>1</v>
      </c>
      <c r="J17" t="s">
        <v>26</v>
      </c>
      <c r="K17" s="95"/>
      <c r="L17" s="31"/>
      <c r="M17" s="31"/>
      <c r="N17" s="31"/>
      <c r="O17" s="31"/>
      <c r="P17" s="4"/>
      <c r="W17" s="5"/>
      <c r="X17" s="94"/>
    </row>
    <row r="18" spans="1:24" x14ac:dyDescent="0.35">
      <c r="A18">
        <v>14</v>
      </c>
      <c r="B18">
        <v>15</v>
      </c>
      <c r="C18">
        <v>146.131392742</v>
      </c>
      <c r="D18">
        <v>-17.601628271500001</v>
      </c>
      <c r="E18">
        <v>50</v>
      </c>
      <c r="G18" s="92"/>
      <c r="I18">
        <v>1</v>
      </c>
      <c r="J18" t="s">
        <v>26</v>
      </c>
      <c r="K18" s="95"/>
      <c r="L18" s="31"/>
      <c r="M18" s="31"/>
      <c r="N18" s="31"/>
      <c r="O18" s="31"/>
      <c r="P18" s="4"/>
      <c r="W18" s="5"/>
      <c r="X18" s="94"/>
    </row>
    <row r="19" spans="1:24" x14ac:dyDescent="0.35">
      <c r="A19">
        <v>15</v>
      </c>
      <c r="B19">
        <v>16</v>
      </c>
      <c r="C19">
        <v>146.131303357999</v>
      </c>
      <c r="D19">
        <v>-17.601636803800002</v>
      </c>
      <c r="G19" s="92"/>
      <c r="I19">
        <v>1</v>
      </c>
      <c r="J19" t="s">
        <v>26</v>
      </c>
      <c r="K19" s="95"/>
      <c r="L19" s="31"/>
      <c r="M19" s="31"/>
      <c r="N19" s="31"/>
      <c r="O19" s="31"/>
      <c r="P19" s="4"/>
      <c r="W19" s="5"/>
      <c r="X19" s="94"/>
    </row>
    <row r="20" spans="1:24" x14ac:dyDescent="0.35">
      <c r="A20">
        <v>16</v>
      </c>
      <c r="B20">
        <v>17</v>
      </c>
      <c r="C20">
        <v>146.131213973</v>
      </c>
      <c r="D20">
        <v>-17.601645336099899</v>
      </c>
      <c r="G20" s="92"/>
      <c r="I20">
        <v>1</v>
      </c>
      <c r="J20" t="s">
        <v>26</v>
      </c>
      <c r="K20" s="95"/>
      <c r="L20" s="31"/>
      <c r="M20" s="31"/>
      <c r="N20" s="31"/>
      <c r="O20" s="31"/>
      <c r="P20" s="4"/>
      <c r="W20" s="5"/>
      <c r="X20" s="94"/>
    </row>
    <row r="21" spans="1:24" x14ac:dyDescent="0.35">
      <c r="A21">
        <v>17</v>
      </c>
      <c r="B21">
        <v>18</v>
      </c>
      <c r="C21">
        <v>146.131124588999</v>
      </c>
      <c r="D21">
        <v>-17.6016538684</v>
      </c>
      <c r="G21" s="92"/>
      <c r="I21">
        <v>1</v>
      </c>
      <c r="J21" t="s">
        <v>26</v>
      </c>
      <c r="K21" s="95"/>
      <c r="L21" s="31"/>
      <c r="M21" s="31"/>
      <c r="N21" s="31"/>
      <c r="O21" s="31"/>
      <c r="P21" s="4"/>
      <c r="W21" s="5"/>
      <c r="X21" s="94"/>
    </row>
    <row r="22" spans="1:24" x14ac:dyDescent="0.35">
      <c r="A22">
        <v>18</v>
      </c>
      <c r="B22">
        <v>19</v>
      </c>
      <c r="C22">
        <v>146.131035604</v>
      </c>
      <c r="D22">
        <v>-17.6016652972</v>
      </c>
      <c r="G22" s="92"/>
      <c r="I22">
        <v>1</v>
      </c>
      <c r="J22" t="s">
        <v>26</v>
      </c>
      <c r="K22" s="95"/>
      <c r="L22" s="31"/>
      <c r="M22" s="31"/>
      <c r="N22" s="31"/>
      <c r="O22" s="31"/>
      <c r="P22" s="4"/>
      <c r="W22" s="5"/>
      <c r="X22" s="94"/>
    </row>
    <row r="23" spans="1:24" x14ac:dyDescent="0.35">
      <c r="A23">
        <v>19</v>
      </c>
      <c r="B23">
        <v>20</v>
      </c>
      <c r="C23">
        <v>146.130946940999</v>
      </c>
      <c r="D23">
        <v>-17.601679068300001</v>
      </c>
      <c r="E23">
        <v>50</v>
      </c>
      <c r="G23" s="92"/>
      <c r="I23">
        <v>1</v>
      </c>
      <c r="J23" t="s">
        <v>26</v>
      </c>
      <c r="K23" s="95"/>
      <c r="L23" s="31"/>
      <c r="M23" s="31"/>
      <c r="N23" s="31"/>
      <c r="O23" s="31"/>
      <c r="P23" s="4"/>
      <c r="W23" s="5"/>
      <c r="X23" s="94"/>
    </row>
    <row r="24" spans="1:24" x14ac:dyDescent="0.35">
      <c r="A24">
        <v>20</v>
      </c>
      <c r="B24">
        <v>21</v>
      </c>
      <c r="C24">
        <v>146.130858278999</v>
      </c>
      <c r="D24">
        <v>-17.601692839399899</v>
      </c>
      <c r="G24" s="92"/>
      <c r="I24">
        <v>1</v>
      </c>
      <c r="J24" t="s">
        <v>26</v>
      </c>
      <c r="K24" s="95"/>
      <c r="L24" s="31"/>
      <c r="M24" s="31"/>
      <c r="N24" s="31"/>
      <c r="O24" s="31"/>
      <c r="P24" s="4"/>
      <c r="W24" s="5"/>
      <c r="X24" s="94"/>
    </row>
    <row r="25" spans="1:24" x14ac:dyDescent="0.35">
      <c r="A25">
        <v>21</v>
      </c>
      <c r="B25">
        <v>22</v>
      </c>
      <c r="C25">
        <v>146.130769278</v>
      </c>
      <c r="D25">
        <v>-17.601701391599899</v>
      </c>
      <c r="G25" s="92"/>
      <c r="I25">
        <v>1</v>
      </c>
      <c r="J25" t="s">
        <v>26</v>
      </c>
      <c r="K25" s="95"/>
      <c r="L25" s="31"/>
      <c r="M25" s="31"/>
      <c r="N25" s="31"/>
      <c r="O25" s="31"/>
      <c r="P25" s="4"/>
      <c r="W25" s="5"/>
      <c r="X25" s="94"/>
    </row>
    <row r="26" spans="1:24" x14ac:dyDescent="0.35">
      <c r="A26">
        <v>22</v>
      </c>
      <c r="B26">
        <v>23</v>
      </c>
      <c r="C26">
        <v>146.130679509999</v>
      </c>
      <c r="D26">
        <v>-17.6016981651</v>
      </c>
      <c r="G26" s="92"/>
      <c r="I26">
        <v>1</v>
      </c>
      <c r="J26" t="s">
        <v>26</v>
      </c>
      <c r="K26" s="95"/>
      <c r="L26" s="31"/>
      <c r="M26" s="31"/>
      <c r="N26" s="31"/>
      <c r="O26" s="31"/>
      <c r="P26" s="4"/>
      <c r="W26" s="5"/>
      <c r="X26" s="94"/>
    </row>
    <row r="27" spans="1:24" x14ac:dyDescent="0.35">
      <c r="A27">
        <v>23</v>
      </c>
      <c r="B27">
        <v>24</v>
      </c>
      <c r="C27">
        <v>146.13058974200001</v>
      </c>
      <c r="D27">
        <v>-17.6016949385</v>
      </c>
      <c r="G27" s="92"/>
      <c r="I27">
        <v>1</v>
      </c>
      <c r="J27" t="s">
        <v>26</v>
      </c>
      <c r="K27" s="95"/>
      <c r="L27" s="31"/>
      <c r="M27" s="31"/>
      <c r="N27" s="31"/>
      <c r="O27" s="31"/>
      <c r="P27" s="4"/>
      <c r="W27" s="5"/>
      <c r="X27" s="94"/>
    </row>
    <row r="28" spans="1:24" x14ac:dyDescent="0.35">
      <c r="A28">
        <v>24</v>
      </c>
      <c r="B28">
        <v>25</v>
      </c>
      <c r="C28">
        <v>146.130499974999</v>
      </c>
      <c r="D28">
        <v>-17.601691712000001</v>
      </c>
      <c r="E28">
        <v>50</v>
      </c>
      <c r="G28" s="92"/>
      <c r="I28">
        <v>1</v>
      </c>
      <c r="J28" t="s">
        <v>26</v>
      </c>
      <c r="K28" s="95"/>
      <c r="L28" s="31"/>
      <c r="M28" s="31"/>
      <c r="N28" s="31"/>
      <c r="O28" s="31"/>
      <c r="P28" s="4"/>
      <c r="W28" s="5"/>
      <c r="X28" s="94"/>
    </row>
    <row r="29" spans="1:24" x14ac:dyDescent="0.35">
      <c r="A29">
        <v>25</v>
      </c>
      <c r="B29">
        <v>26</v>
      </c>
      <c r="C29">
        <v>146.13041020700001</v>
      </c>
      <c r="D29">
        <v>-17.6016884854</v>
      </c>
      <c r="G29" s="92"/>
      <c r="I29">
        <v>1</v>
      </c>
      <c r="J29" t="s">
        <v>26</v>
      </c>
      <c r="K29" s="95"/>
      <c r="L29" s="31"/>
      <c r="M29" s="31"/>
      <c r="N29" s="31"/>
      <c r="O29" s="31"/>
      <c r="P29" s="4"/>
      <c r="W29" s="5"/>
      <c r="X29" s="94"/>
    </row>
    <row r="30" spans="1:24" x14ac:dyDescent="0.35">
      <c r="A30">
        <v>26</v>
      </c>
      <c r="B30">
        <v>27</v>
      </c>
      <c r="C30">
        <v>146.130344495999</v>
      </c>
      <c r="D30">
        <v>-17.601741202300001</v>
      </c>
      <c r="G30" s="92"/>
      <c r="I30">
        <v>1</v>
      </c>
      <c r="J30" t="s">
        <v>26</v>
      </c>
      <c r="K30" s="95"/>
      <c r="L30" s="31"/>
      <c r="M30" s="31"/>
      <c r="N30" s="31"/>
      <c r="O30" s="31"/>
      <c r="P30" s="4"/>
      <c r="W30" s="5"/>
      <c r="X30" s="94"/>
    </row>
    <row r="31" spans="1:24" x14ac:dyDescent="0.35">
      <c r="A31">
        <v>27</v>
      </c>
      <c r="B31">
        <v>28</v>
      </c>
      <c r="C31">
        <v>146.13028250400001</v>
      </c>
      <c r="D31">
        <v>-17.6016792331</v>
      </c>
      <c r="G31" s="92"/>
      <c r="I31">
        <v>1</v>
      </c>
      <c r="J31" t="s">
        <v>26</v>
      </c>
      <c r="K31" s="95"/>
      <c r="L31" s="31"/>
      <c r="M31" s="31"/>
      <c r="N31" s="31"/>
      <c r="O31" s="31"/>
      <c r="P31" s="4"/>
      <c r="W31" s="5"/>
      <c r="X31" s="94"/>
    </row>
    <row r="32" spans="1:24" x14ac:dyDescent="0.35">
      <c r="A32">
        <v>28</v>
      </c>
      <c r="B32">
        <v>29</v>
      </c>
      <c r="C32">
        <v>146.130206447999</v>
      </c>
      <c r="D32">
        <v>-17.6016386191999</v>
      </c>
      <c r="G32" s="92"/>
      <c r="I32">
        <v>1</v>
      </c>
      <c r="J32" t="s">
        <v>26</v>
      </c>
      <c r="K32" s="95"/>
      <c r="L32" s="31"/>
      <c r="M32" s="31"/>
      <c r="N32" s="31"/>
      <c r="O32" s="31"/>
      <c r="P32" s="4"/>
      <c r="W32" s="5"/>
      <c r="X32" s="94"/>
    </row>
    <row r="33" spans="1:24" x14ac:dyDescent="0.35">
      <c r="A33">
        <v>29</v>
      </c>
      <c r="B33">
        <v>30</v>
      </c>
      <c r="C33">
        <v>146.130129033999</v>
      </c>
      <c r="D33">
        <v>-17.601595181099899</v>
      </c>
      <c r="E33">
        <v>50</v>
      </c>
      <c r="G33" s="92"/>
      <c r="I33">
        <v>1</v>
      </c>
      <c r="J33" t="s">
        <v>26</v>
      </c>
      <c r="K33" s="95"/>
      <c r="L33" s="31"/>
      <c r="M33" s="31"/>
      <c r="N33" s="31"/>
      <c r="O33" s="31"/>
      <c r="P33" s="4"/>
      <c r="W33" s="5"/>
      <c r="X33" s="94"/>
    </row>
    <row r="34" spans="1:24" x14ac:dyDescent="0.35">
      <c r="A34">
        <v>30</v>
      </c>
      <c r="B34">
        <v>31</v>
      </c>
      <c r="C34">
        <v>146.130051401</v>
      </c>
      <c r="D34">
        <v>-17.601552102700001</v>
      </c>
      <c r="G34" s="92"/>
      <c r="I34">
        <v>1</v>
      </c>
      <c r="J34" t="s">
        <v>26</v>
      </c>
      <c r="K34" s="95"/>
      <c r="L34" s="31"/>
      <c r="M34" s="31"/>
      <c r="N34" s="31"/>
      <c r="O34" s="31"/>
      <c r="P34" s="4"/>
      <c r="W34" s="5"/>
      <c r="X34" s="94"/>
    </row>
    <row r="35" spans="1:24" x14ac:dyDescent="0.35">
      <c r="A35">
        <v>31</v>
      </c>
      <c r="B35">
        <v>32</v>
      </c>
      <c r="C35">
        <v>146.12997356700001</v>
      </c>
      <c r="D35">
        <v>-17.601509350600001</v>
      </c>
      <c r="G35" s="92"/>
      <c r="I35">
        <v>1</v>
      </c>
      <c r="J35" t="s">
        <v>26</v>
      </c>
      <c r="K35" s="95"/>
      <c r="L35" s="31"/>
      <c r="M35" s="31"/>
      <c r="N35" s="31"/>
      <c r="O35" s="31"/>
      <c r="P35" s="4"/>
      <c r="W35" s="5"/>
      <c r="X35" s="94"/>
    </row>
    <row r="36" spans="1:24" x14ac:dyDescent="0.35">
      <c r="A36">
        <v>32</v>
      </c>
      <c r="B36">
        <v>33</v>
      </c>
      <c r="C36">
        <v>146.129895734</v>
      </c>
      <c r="D36">
        <v>-17.601466598599899</v>
      </c>
      <c r="G36" s="92"/>
      <c r="I36">
        <v>1</v>
      </c>
      <c r="J36" t="s">
        <v>26</v>
      </c>
      <c r="K36" s="95"/>
      <c r="L36" s="31"/>
      <c r="M36" s="31"/>
      <c r="N36" s="31"/>
      <c r="O36" s="31"/>
      <c r="P36" s="4"/>
      <c r="W36" s="5"/>
      <c r="X36" s="94"/>
    </row>
    <row r="37" spans="1:24" x14ac:dyDescent="0.35">
      <c r="A37">
        <v>33</v>
      </c>
      <c r="B37">
        <v>34</v>
      </c>
      <c r="C37">
        <v>146.129809491</v>
      </c>
      <c r="D37">
        <v>-17.601443039500001</v>
      </c>
      <c r="G37" s="92"/>
      <c r="I37">
        <v>1</v>
      </c>
      <c r="J37" t="s">
        <v>26</v>
      </c>
      <c r="K37" s="95"/>
      <c r="L37" s="31"/>
      <c r="M37" s="31"/>
      <c r="N37" s="31"/>
      <c r="O37" s="31"/>
      <c r="P37" s="4"/>
      <c r="W37" s="5"/>
      <c r="X37" s="94"/>
    </row>
    <row r="38" spans="1:24" x14ac:dyDescent="0.35">
      <c r="A38">
        <v>34</v>
      </c>
      <c r="B38">
        <v>35</v>
      </c>
      <c r="C38">
        <v>146.12973525500001</v>
      </c>
      <c r="D38">
        <v>-17.601395897</v>
      </c>
      <c r="E38">
        <v>50</v>
      </c>
      <c r="G38" s="92"/>
      <c r="I38">
        <v>1</v>
      </c>
      <c r="J38" t="s">
        <v>26</v>
      </c>
      <c r="K38" s="95"/>
      <c r="L38" s="31"/>
      <c r="M38" s="31"/>
      <c r="N38" s="31"/>
      <c r="O38" s="31"/>
      <c r="P38" s="4"/>
      <c r="W38" s="5"/>
      <c r="X38" s="94"/>
    </row>
    <row r="39" spans="1:24" x14ac:dyDescent="0.35">
      <c r="A39">
        <v>35</v>
      </c>
      <c r="B39">
        <v>36</v>
      </c>
      <c r="C39">
        <v>146.12965546999899</v>
      </c>
      <c r="D39">
        <v>-17.6013570721999</v>
      </c>
      <c r="G39" s="92"/>
      <c r="I39">
        <v>1</v>
      </c>
      <c r="J39" t="s">
        <v>26</v>
      </c>
      <c r="K39" s="95"/>
      <c r="L39" s="31"/>
      <c r="M39" s="31"/>
      <c r="N39" s="31"/>
      <c r="O39" s="31"/>
      <c r="P39" s="4"/>
      <c r="W39" s="5"/>
      <c r="X39" s="94"/>
    </row>
    <row r="40" spans="1:24" x14ac:dyDescent="0.35">
      <c r="A40">
        <v>36</v>
      </c>
      <c r="B40">
        <v>37</v>
      </c>
      <c r="C40">
        <v>146.129573012999</v>
      </c>
      <c r="D40">
        <v>-17.6013230947</v>
      </c>
      <c r="G40" s="92"/>
      <c r="I40">
        <v>1</v>
      </c>
      <c r="J40" t="s">
        <v>26</v>
      </c>
      <c r="K40" s="95"/>
      <c r="L40" s="31"/>
      <c r="M40" s="31"/>
      <c r="N40" s="31"/>
      <c r="O40" s="31"/>
      <c r="P40" s="4"/>
      <c r="W40" s="5"/>
      <c r="X40" s="94"/>
    </row>
    <row r="41" spans="1:24" x14ac:dyDescent="0.35">
      <c r="A41">
        <v>37</v>
      </c>
      <c r="B41">
        <v>38</v>
      </c>
      <c r="C41">
        <v>146.129484883</v>
      </c>
      <c r="D41">
        <v>-17.601307305300001</v>
      </c>
      <c r="G41" s="92"/>
      <c r="I41">
        <v>1</v>
      </c>
      <c r="J41" t="s">
        <v>26</v>
      </c>
      <c r="K41" s="95"/>
      <c r="L41" s="31"/>
      <c r="M41" s="31"/>
      <c r="N41" s="31"/>
      <c r="O41" s="31"/>
      <c r="P41" s="4"/>
      <c r="W41" s="5"/>
      <c r="X41" s="94"/>
    </row>
    <row r="42" spans="1:24" x14ac:dyDescent="0.35">
      <c r="A42">
        <v>38</v>
      </c>
      <c r="B42">
        <v>39</v>
      </c>
      <c r="C42">
        <v>146.129398014999</v>
      </c>
      <c r="D42">
        <v>-17.601286210200001</v>
      </c>
      <c r="G42" s="92"/>
      <c r="I42">
        <v>1</v>
      </c>
      <c r="J42" t="s">
        <v>26</v>
      </c>
      <c r="K42" s="95"/>
      <c r="L42" s="31"/>
      <c r="M42" s="31"/>
      <c r="N42" s="31"/>
      <c r="O42" s="31"/>
      <c r="P42" s="4"/>
      <c r="W42" s="5"/>
      <c r="X42" s="94"/>
    </row>
    <row r="43" spans="1:24" x14ac:dyDescent="0.35">
      <c r="A43">
        <v>39</v>
      </c>
      <c r="B43">
        <v>40</v>
      </c>
      <c r="C43">
        <v>146.129308616</v>
      </c>
      <c r="D43">
        <v>-17.601277822</v>
      </c>
      <c r="E43">
        <v>50</v>
      </c>
      <c r="G43" s="92"/>
      <c r="I43">
        <v>1</v>
      </c>
      <c r="J43" t="s">
        <v>26</v>
      </c>
      <c r="K43" s="95"/>
      <c r="L43" s="31"/>
      <c r="M43" s="31"/>
      <c r="N43" s="31"/>
      <c r="O43" s="31"/>
      <c r="P43" s="4"/>
      <c r="W43" s="5"/>
      <c r="X43" s="94"/>
    </row>
    <row r="44" spans="1:24" x14ac:dyDescent="0.35">
      <c r="A44">
        <v>40</v>
      </c>
      <c r="B44">
        <v>41</v>
      </c>
      <c r="C44">
        <v>146.129219215999</v>
      </c>
      <c r="D44">
        <v>-17.601269433900001</v>
      </c>
      <c r="G44" s="92"/>
      <c r="I44">
        <v>1</v>
      </c>
      <c r="J44" t="s">
        <v>26</v>
      </c>
      <c r="K44" s="95"/>
      <c r="L44" s="31"/>
      <c r="M44" s="31"/>
      <c r="N44" s="31"/>
      <c r="O44" s="31"/>
      <c r="P44" s="4"/>
      <c r="W44" s="5"/>
      <c r="X44" s="94"/>
    </row>
    <row r="45" spans="1:24" x14ac:dyDescent="0.35">
      <c r="A45">
        <v>41</v>
      </c>
      <c r="B45">
        <v>42</v>
      </c>
      <c r="C45">
        <v>146.12912981700001</v>
      </c>
      <c r="D45">
        <v>-17.601261045800001</v>
      </c>
      <c r="G45" s="92"/>
      <c r="I45">
        <v>1</v>
      </c>
      <c r="J45" t="s">
        <v>26</v>
      </c>
      <c r="K45" s="95"/>
      <c r="L45" s="31"/>
      <c r="M45" s="31"/>
      <c r="N45" s="31"/>
      <c r="O45" s="31"/>
      <c r="P45" s="4"/>
      <c r="W45" s="5"/>
      <c r="X45" s="94"/>
    </row>
    <row r="46" spans="1:24" x14ac:dyDescent="0.35">
      <c r="A46">
        <v>42</v>
      </c>
      <c r="B46">
        <v>43</v>
      </c>
      <c r="C46">
        <v>146.12904041799899</v>
      </c>
      <c r="D46">
        <v>-17.6012526576</v>
      </c>
      <c r="G46" s="92"/>
      <c r="I46">
        <v>1</v>
      </c>
      <c r="J46" t="s">
        <v>26</v>
      </c>
      <c r="K46" s="95"/>
      <c r="L46" s="31"/>
      <c r="M46" s="31"/>
      <c r="N46" s="31"/>
      <c r="O46" s="31"/>
      <c r="P46" s="4"/>
      <c r="W46" s="5"/>
      <c r="X46" s="94"/>
    </row>
    <row r="47" spans="1:24" x14ac:dyDescent="0.35">
      <c r="A47">
        <v>43</v>
      </c>
      <c r="B47">
        <v>44</v>
      </c>
      <c r="C47">
        <v>146.12895101800001</v>
      </c>
      <c r="D47">
        <v>-17.6012442695</v>
      </c>
      <c r="G47" s="92"/>
      <c r="I47">
        <v>1</v>
      </c>
      <c r="J47" t="s">
        <v>26</v>
      </c>
      <c r="K47" s="95"/>
      <c r="L47" s="31"/>
      <c r="M47" s="31"/>
      <c r="N47" s="31"/>
      <c r="O47" s="31"/>
      <c r="P47" s="4"/>
      <c r="W47" s="5"/>
      <c r="X47" s="94"/>
    </row>
    <row r="48" spans="1:24" x14ac:dyDescent="0.35">
      <c r="A48">
        <v>44</v>
      </c>
      <c r="B48">
        <v>45</v>
      </c>
      <c r="C48">
        <v>146.128861693</v>
      </c>
      <c r="D48">
        <v>-17.601241387599899</v>
      </c>
      <c r="E48">
        <v>50</v>
      </c>
      <c r="G48" s="92"/>
      <c r="I48">
        <v>1</v>
      </c>
      <c r="J48" t="s">
        <v>26</v>
      </c>
      <c r="K48" s="95"/>
      <c r="L48" s="31"/>
      <c r="M48" s="31"/>
      <c r="N48" s="31"/>
      <c r="O48" s="31"/>
      <c r="P48" s="4"/>
      <c r="W48" s="5"/>
      <c r="X48" s="94"/>
    </row>
    <row r="49" spans="1:24" x14ac:dyDescent="0.35">
      <c r="A49">
        <v>45</v>
      </c>
      <c r="B49">
        <v>46</v>
      </c>
      <c r="C49">
        <v>146.12877241800001</v>
      </c>
      <c r="D49">
        <v>-17.6012318685999</v>
      </c>
      <c r="G49" s="92"/>
      <c r="I49">
        <v>1</v>
      </c>
      <c r="J49" t="s">
        <v>26</v>
      </c>
      <c r="K49" s="95"/>
      <c r="L49" s="31"/>
      <c r="M49" s="31"/>
      <c r="N49" s="31"/>
      <c r="O49" s="31"/>
      <c r="P49" s="4"/>
      <c r="W49" s="5"/>
      <c r="X49" s="94"/>
    </row>
    <row r="50" spans="1:24" x14ac:dyDescent="0.35">
      <c r="A50">
        <v>46</v>
      </c>
      <c r="B50">
        <v>47</v>
      </c>
      <c r="C50">
        <v>146.128683284999</v>
      </c>
      <c r="D50">
        <v>-17.601221332600002</v>
      </c>
      <c r="F50" t="str">
        <f>HYPERLINK("D:\Data From Lucan\2024\Moresby\Frames_for_Analysis/47_20240611_0012_R_1919.jpg","47_20240611_0012_R_1919.jpg")</f>
        <v>47_20240611_0012_R_1919.jpg</v>
      </c>
      <c r="G50" s="92" t="s">
        <v>3985</v>
      </c>
      <c r="I50">
        <v>1</v>
      </c>
      <c r="K50" s="95">
        <v>0</v>
      </c>
      <c r="L50" s="31" t="s">
        <v>3959</v>
      </c>
      <c r="M50" s="31" t="s">
        <v>3959</v>
      </c>
      <c r="N50" s="31" t="s">
        <v>3959</v>
      </c>
      <c r="O50" s="31" t="s">
        <v>3959</v>
      </c>
      <c r="P50" s="4">
        <v>1</v>
      </c>
      <c r="Q50" s="57">
        <v>0</v>
      </c>
      <c r="R50" s="57">
        <v>0</v>
      </c>
      <c r="S50" s="97">
        <v>0</v>
      </c>
      <c r="T50" s="57">
        <v>0</v>
      </c>
      <c r="U50" s="57">
        <v>0</v>
      </c>
      <c r="V50" s="57">
        <v>0</v>
      </c>
      <c r="W50" s="5">
        <v>0</v>
      </c>
      <c r="X50" s="94">
        <v>0</v>
      </c>
    </row>
    <row r="51" spans="1:24" x14ac:dyDescent="0.35">
      <c r="A51">
        <v>47</v>
      </c>
      <c r="B51">
        <v>48</v>
      </c>
      <c r="C51">
        <v>146.12859351200001</v>
      </c>
      <c r="D51">
        <v>-17.601218241200002</v>
      </c>
      <c r="F51" t="str">
        <f>HYPERLINK("D:\Data From Lucan\2024\Moresby\Frames_for_Analysis/48_20240611_0012_R_1917.jpg","48_20240611_0012_R_1917.jpg")</f>
        <v>48_20240611_0012_R_1917.jpg</v>
      </c>
      <c r="G51" s="92" t="s">
        <v>3986</v>
      </c>
      <c r="I51">
        <v>1</v>
      </c>
      <c r="K51" s="95">
        <v>0</v>
      </c>
      <c r="L51" s="31" t="s">
        <v>3959</v>
      </c>
      <c r="M51" s="31" t="s">
        <v>3959</v>
      </c>
      <c r="N51" s="31" t="s">
        <v>3959</v>
      </c>
      <c r="O51" s="31" t="s">
        <v>3959</v>
      </c>
      <c r="P51" s="4">
        <v>1</v>
      </c>
      <c r="Q51" s="57">
        <v>0</v>
      </c>
      <c r="R51" s="57">
        <v>0</v>
      </c>
      <c r="S51" s="97">
        <v>0</v>
      </c>
      <c r="T51" s="57">
        <v>0</v>
      </c>
      <c r="U51" s="57">
        <v>0</v>
      </c>
      <c r="V51" s="57">
        <v>0</v>
      </c>
      <c r="W51" s="5">
        <v>1</v>
      </c>
      <c r="X51" s="94">
        <v>0</v>
      </c>
    </row>
    <row r="52" spans="1:24" x14ac:dyDescent="0.35">
      <c r="A52">
        <v>48</v>
      </c>
      <c r="B52">
        <v>49</v>
      </c>
      <c r="C52">
        <v>146.12850375599899</v>
      </c>
      <c r="D52">
        <v>-17.601214760000001</v>
      </c>
      <c r="F52" t="str">
        <f>HYPERLINK("D:\Data From Lucan\2024\Moresby\Frames_for_Analysis/49_20240611_0012_R_1914.jpg","49_20240611_0012_R_1914.jpg")</f>
        <v>49_20240611_0012_R_1914.jpg</v>
      </c>
      <c r="G52" s="92" t="s">
        <v>3987</v>
      </c>
      <c r="I52">
        <v>1</v>
      </c>
      <c r="K52" s="95">
        <v>0</v>
      </c>
      <c r="L52" s="31" t="s">
        <v>3959</v>
      </c>
      <c r="M52" s="31" t="s">
        <v>3959</v>
      </c>
      <c r="N52" s="31" t="s">
        <v>3959</v>
      </c>
      <c r="O52" s="31" t="s">
        <v>3959</v>
      </c>
      <c r="P52" s="4">
        <v>1</v>
      </c>
      <c r="Q52" s="57">
        <v>0</v>
      </c>
      <c r="R52" s="57">
        <v>0</v>
      </c>
      <c r="S52" s="97">
        <v>0</v>
      </c>
      <c r="T52" s="57">
        <v>0</v>
      </c>
      <c r="U52" s="57">
        <v>0</v>
      </c>
      <c r="V52" s="57">
        <v>0</v>
      </c>
      <c r="W52" s="5">
        <v>1</v>
      </c>
      <c r="X52" s="94">
        <v>0</v>
      </c>
    </row>
    <row r="53" spans="1:24" x14ac:dyDescent="0.35">
      <c r="A53">
        <v>49</v>
      </c>
      <c r="B53">
        <v>50</v>
      </c>
      <c r="C53">
        <v>146.128413975</v>
      </c>
      <c r="D53">
        <v>-17.601212538799899</v>
      </c>
      <c r="E53">
        <v>50</v>
      </c>
      <c r="F53" t="str">
        <f>HYPERLINK("D:\Data From Lucan\2024\Moresby\Frames_for_Analysis/50_20240611_0012_R_1911.jpg","50_20240611_0012_R_1911.jpg")</f>
        <v>50_20240611_0012_R_1911.jpg</v>
      </c>
      <c r="G53" s="92" t="s">
        <v>3988</v>
      </c>
      <c r="I53">
        <v>1</v>
      </c>
      <c r="K53" s="95">
        <v>0</v>
      </c>
      <c r="L53" s="31" t="s">
        <v>3959</v>
      </c>
      <c r="M53" s="31" t="s">
        <v>3959</v>
      </c>
      <c r="N53" s="31" t="s">
        <v>3959</v>
      </c>
      <c r="O53" s="31" t="s">
        <v>3959</v>
      </c>
      <c r="P53" s="4">
        <v>1</v>
      </c>
      <c r="Q53" s="57">
        <v>0</v>
      </c>
      <c r="R53" s="57">
        <v>0</v>
      </c>
      <c r="S53" s="97">
        <v>0</v>
      </c>
      <c r="T53" s="57">
        <v>0</v>
      </c>
      <c r="U53" s="57">
        <v>0</v>
      </c>
      <c r="V53" s="57">
        <v>0</v>
      </c>
      <c r="W53" s="5">
        <v>1</v>
      </c>
      <c r="X53" s="94">
        <v>0</v>
      </c>
    </row>
    <row r="54" spans="1:24" x14ac:dyDescent="0.35">
      <c r="A54">
        <v>50</v>
      </c>
      <c r="B54">
        <v>51</v>
      </c>
      <c r="C54">
        <v>146.128324144999</v>
      </c>
      <c r="D54">
        <v>-17.6012121427</v>
      </c>
      <c r="F54" t="str">
        <f>HYPERLINK("D:\Data From Lucan\2024\Moresby\Frames_for_Analysis/51_20240611_0012_R_1908.jpg","51_20240611_0012_R_1908.jpg")</f>
        <v>51_20240611_0012_R_1908.jpg</v>
      </c>
      <c r="G54" s="92" t="s">
        <v>3989</v>
      </c>
      <c r="I54">
        <v>1</v>
      </c>
      <c r="K54" s="95">
        <v>0</v>
      </c>
      <c r="L54" s="31" t="s">
        <v>3959</v>
      </c>
      <c r="M54" s="31" t="s">
        <v>3959</v>
      </c>
      <c r="N54" s="31" t="s">
        <v>3959</v>
      </c>
      <c r="O54" s="31" t="s">
        <v>3959</v>
      </c>
      <c r="P54" s="4">
        <v>1</v>
      </c>
      <c r="Q54" s="57">
        <v>0</v>
      </c>
      <c r="R54" s="57">
        <v>0</v>
      </c>
      <c r="S54" s="97">
        <v>0</v>
      </c>
      <c r="T54" s="57">
        <v>0</v>
      </c>
      <c r="U54" s="57">
        <v>0</v>
      </c>
      <c r="V54" s="57">
        <v>0</v>
      </c>
      <c r="W54" s="5">
        <v>1</v>
      </c>
      <c r="X54" s="94">
        <v>0</v>
      </c>
    </row>
    <row r="55" spans="1:24" x14ac:dyDescent="0.35">
      <c r="A55">
        <v>51</v>
      </c>
      <c r="B55">
        <v>52</v>
      </c>
      <c r="C55">
        <v>146.12823444200001</v>
      </c>
      <c r="D55">
        <v>-17.6012133863</v>
      </c>
      <c r="F55" t="str">
        <f>HYPERLINK("D:\Data From Lucan\2024\Moresby\Frames_for_Analysis/52_20240611_0012_R_1905.jpg","52_20240611_0012_R_1905.jpg")</f>
        <v>52_20240611_0012_R_1905.jpg</v>
      </c>
      <c r="G55" s="92" t="s">
        <v>3990</v>
      </c>
      <c r="I55">
        <v>1</v>
      </c>
      <c r="K55" s="95">
        <v>0</v>
      </c>
      <c r="L55" s="31" t="s">
        <v>3959</v>
      </c>
      <c r="M55" s="31" t="s">
        <v>3959</v>
      </c>
      <c r="N55" s="31" t="s">
        <v>3959</v>
      </c>
      <c r="O55" s="31" t="s">
        <v>3959</v>
      </c>
      <c r="P55" s="4">
        <v>1</v>
      </c>
      <c r="Q55" s="57">
        <v>0</v>
      </c>
      <c r="R55" s="57">
        <v>0</v>
      </c>
      <c r="S55" s="97">
        <v>0</v>
      </c>
      <c r="T55" s="57">
        <v>0</v>
      </c>
      <c r="U55" s="57">
        <v>0</v>
      </c>
      <c r="V55" s="57">
        <v>0</v>
      </c>
      <c r="W55" s="5">
        <v>0</v>
      </c>
      <c r="X55" s="94">
        <v>0</v>
      </c>
    </row>
    <row r="56" spans="1:24" x14ac:dyDescent="0.35">
      <c r="A56">
        <v>52</v>
      </c>
      <c r="B56">
        <v>53</v>
      </c>
      <c r="C56">
        <v>146.12814565900001</v>
      </c>
      <c r="D56">
        <v>-17.601226428899899</v>
      </c>
      <c r="F56" t="str">
        <f>HYPERLINK("D:\Data From Lucan\2024\Moresby\Frames_for_Analysis/53_20240611_0012_R_1901.jpg","53_20240611_0012_R_1901.jpg")</f>
        <v>53_20240611_0012_R_1901.jpg</v>
      </c>
      <c r="G56" s="92" t="s">
        <v>3991</v>
      </c>
      <c r="I56">
        <v>1</v>
      </c>
      <c r="K56" s="95">
        <v>0</v>
      </c>
      <c r="L56" s="31" t="s">
        <v>3959</v>
      </c>
      <c r="M56" s="31" t="s">
        <v>3959</v>
      </c>
      <c r="N56" s="31" t="s">
        <v>3959</v>
      </c>
      <c r="O56" s="31" t="s">
        <v>3959</v>
      </c>
      <c r="P56" s="4">
        <v>1</v>
      </c>
      <c r="Q56" s="57">
        <v>0</v>
      </c>
      <c r="R56" s="57">
        <v>0</v>
      </c>
      <c r="S56" s="97">
        <v>0</v>
      </c>
      <c r="T56" s="57">
        <v>0</v>
      </c>
      <c r="U56" s="57">
        <v>0</v>
      </c>
      <c r="V56" s="57">
        <v>0</v>
      </c>
      <c r="W56" s="5">
        <v>0</v>
      </c>
      <c r="X56" s="94">
        <v>0</v>
      </c>
    </row>
    <row r="57" spans="1:24" x14ac:dyDescent="0.35">
      <c r="A57">
        <v>53</v>
      </c>
      <c r="B57">
        <v>54</v>
      </c>
      <c r="C57">
        <v>146.128056874999</v>
      </c>
      <c r="D57">
        <v>-17.601239471500001</v>
      </c>
      <c r="F57" t="str">
        <f>HYPERLINK("D:\Data From Lucan\2024\Moresby\Frames_for_Analysis/54_20240611_0012_R_1899.jpg","54_20240611_0012_R_1899.jpg")</f>
        <v>54_20240611_0012_R_1899.jpg</v>
      </c>
      <c r="G57" s="92" t="s">
        <v>3992</v>
      </c>
      <c r="I57">
        <v>1</v>
      </c>
      <c r="K57" s="95">
        <v>0</v>
      </c>
      <c r="L57" s="31" t="s">
        <v>3959</v>
      </c>
      <c r="M57" s="31" t="s">
        <v>3959</v>
      </c>
      <c r="N57" s="31" t="s">
        <v>3959</v>
      </c>
      <c r="O57" s="31" t="s">
        <v>3959</v>
      </c>
      <c r="P57" s="4">
        <v>1</v>
      </c>
      <c r="Q57" s="57">
        <v>0</v>
      </c>
      <c r="R57" s="57">
        <v>0</v>
      </c>
      <c r="S57" s="97">
        <v>0</v>
      </c>
      <c r="T57" s="57">
        <v>0</v>
      </c>
      <c r="U57" s="57">
        <v>0</v>
      </c>
      <c r="V57" s="57">
        <v>0</v>
      </c>
      <c r="W57" s="5">
        <v>0</v>
      </c>
      <c r="X57" s="94">
        <v>0</v>
      </c>
    </row>
    <row r="58" spans="1:24" x14ac:dyDescent="0.35">
      <c r="A58">
        <v>54</v>
      </c>
      <c r="B58">
        <v>55</v>
      </c>
      <c r="C58">
        <v>146.12796856400001</v>
      </c>
      <c r="D58">
        <v>-17.601254552899899</v>
      </c>
      <c r="E58">
        <v>50</v>
      </c>
      <c r="F58" t="str">
        <f>HYPERLINK("D:\Data From Lucan\2024\Moresby\Frames_for_Analysis/55_20240611_0012_R_1896.jpg","55_20240611_0012_R_1896.jpg")</f>
        <v>55_20240611_0012_R_1896.jpg</v>
      </c>
      <c r="G58" s="92" t="s">
        <v>3993</v>
      </c>
      <c r="I58">
        <v>1</v>
      </c>
      <c r="K58" s="95">
        <v>0</v>
      </c>
      <c r="L58" s="31" t="s">
        <v>3959</v>
      </c>
      <c r="M58" s="31" t="s">
        <v>3959</v>
      </c>
      <c r="N58" s="31" t="s">
        <v>3959</v>
      </c>
      <c r="O58" s="31" t="s">
        <v>3959</v>
      </c>
      <c r="P58" s="4">
        <v>1</v>
      </c>
      <c r="Q58" s="57">
        <v>0</v>
      </c>
      <c r="R58" s="57">
        <v>0</v>
      </c>
      <c r="S58" s="97">
        <v>0</v>
      </c>
      <c r="T58" s="57">
        <v>0</v>
      </c>
      <c r="U58" s="57">
        <v>0</v>
      </c>
      <c r="V58" s="57">
        <v>0</v>
      </c>
      <c r="W58" s="5">
        <v>0</v>
      </c>
      <c r="X58" s="94">
        <v>0</v>
      </c>
    </row>
    <row r="59" spans="1:24" x14ac:dyDescent="0.35">
      <c r="A59">
        <v>55</v>
      </c>
      <c r="B59">
        <v>56</v>
      </c>
      <c r="C59">
        <v>146.127882274999</v>
      </c>
      <c r="D59">
        <v>-17.6012783605</v>
      </c>
      <c r="F59" t="str">
        <f>HYPERLINK("D:\Data From Lucan\2024\Moresby\Frames_for_Analysis/56_20240611_0012_R_1893.jpg","56_20240611_0012_R_1893.jpg")</f>
        <v>56_20240611_0012_R_1893.jpg</v>
      </c>
      <c r="G59" s="92" t="s">
        <v>3994</v>
      </c>
      <c r="I59">
        <v>1</v>
      </c>
      <c r="K59" s="95">
        <v>1</v>
      </c>
      <c r="L59" s="31" t="s">
        <v>3959</v>
      </c>
      <c r="M59" s="31" t="s">
        <v>3959</v>
      </c>
      <c r="N59" s="31" t="s">
        <v>3959</v>
      </c>
      <c r="O59" s="31" t="s">
        <v>3959</v>
      </c>
      <c r="P59" s="4">
        <v>1</v>
      </c>
      <c r="Q59" s="57">
        <v>0</v>
      </c>
      <c r="R59" s="57">
        <v>0</v>
      </c>
      <c r="S59" s="97">
        <v>0</v>
      </c>
      <c r="T59" s="57">
        <v>0</v>
      </c>
      <c r="U59" s="57">
        <v>0</v>
      </c>
      <c r="V59" s="57">
        <v>0</v>
      </c>
      <c r="W59" s="5">
        <v>0</v>
      </c>
      <c r="X59" s="94">
        <v>0</v>
      </c>
    </row>
    <row r="60" spans="1:24" x14ac:dyDescent="0.35">
      <c r="A60">
        <v>56</v>
      </c>
      <c r="B60">
        <v>57</v>
      </c>
      <c r="C60">
        <v>146.127795985999</v>
      </c>
      <c r="D60">
        <v>-17.601302168099899</v>
      </c>
      <c r="F60" t="str">
        <f>HYPERLINK("D:\Data From Lucan\2024\Moresby\Frames_for_Analysis/57_20240611_0012_R_1890.jpg","57_20240611_0012_R_1890.jpg")</f>
        <v>57_20240611_0012_R_1890.jpg</v>
      </c>
      <c r="G60" s="92" t="s">
        <v>3995</v>
      </c>
      <c r="I60">
        <v>1</v>
      </c>
      <c r="K60" s="95">
        <v>1</v>
      </c>
      <c r="L60" s="31" t="s">
        <v>3959</v>
      </c>
      <c r="M60" s="31" t="s">
        <v>3959</v>
      </c>
      <c r="N60" s="31" t="s">
        <v>3959</v>
      </c>
      <c r="O60" s="31" t="s">
        <v>3959</v>
      </c>
      <c r="P60" s="4">
        <v>1</v>
      </c>
      <c r="Q60" s="57">
        <v>0</v>
      </c>
      <c r="R60" s="57">
        <v>0</v>
      </c>
      <c r="S60" s="97">
        <v>0</v>
      </c>
      <c r="T60" s="57">
        <v>0</v>
      </c>
      <c r="U60" s="57">
        <v>0</v>
      </c>
      <c r="V60" s="57">
        <v>0</v>
      </c>
      <c r="W60" s="5">
        <v>0</v>
      </c>
      <c r="X60" s="94">
        <v>0</v>
      </c>
    </row>
    <row r="61" spans="1:24" x14ac:dyDescent="0.35">
      <c r="A61">
        <v>57</v>
      </c>
      <c r="B61">
        <v>58</v>
      </c>
      <c r="C61">
        <v>146.12770969600001</v>
      </c>
      <c r="D61">
        <v>-17.6013259757</v>
      </c>
      <c r="F61" t="str">
        <f>HYPERLINK("D:\Data From Lucan\2024\Moresby\Frames_for_Analysis/58_20240611_0012_R_1887.jpg","58_20240611_0012_R_1887.jpg")</f>
        <v>58_20240611_0012_R_1887.jpg</v>
      </c>
      <c r="G61" s="92" t="s">
        <v>3996</v>
      </c>
      <c r="I61">
        <v>1</v>
      </c>
      <c r="K61" s="95">
        <v>0</v>
      </c>
      <c r="L61" s="31"/>
      <c r="M61" s="31"/>
      <c r="N61" s="31"/>
      <c r="O61" s="31"/>
      <c r="P61" s="4">
        <v>1</v>
      </c>
      <c r="Q61" s="57">
        <v>0</v>
      </c>
      <c r="R61" s="57">
        <v>0</v>
      </c>
      <c r="S61" s="97">
        <v>0</v>
      </c>
      <c r="T61" s="57">
        <v>0</v>
      </c>
      <c r="U61" s="57">
        <v>0</v>
      </c>
      <c r="V61" s="57">
        <v>0</v>
      </c>
      <c r="W61" s="5">
        <v>0</v>
      </c>
      <c r="X61" s="94">
        <v>0</v>
      </c>
    </row>
    <row r="62" spans="1:24" x14ac:dyDescent="0.35">
      <c r="A62">
        <v>58</v>
      </c>
      <c r="B62">
        <v>59</v>
      </c>
      <c r="C62">
        <v>146.127623110999</v>
      </c>
      <c r="D62">
        <v>-17.601348784300001</v>
      </c>
      <c r="F62" t="str">
        <f>HYPERLINK("D:\Data From Lucan\2024\Moresby\Frames_for_Analysis/59_20240611_0012_R_1885.jpg","59_20240611_0012_R_1885.jpg")</f>
        <v>59_20240611_0012_R_1885.jpg</v>
      </c>
      <c r="G62" s="92" t="s">
        <v>3997</v>
      </c>
      <c r="I62">
        <v>1</v>
      </c>
      <c r="K62" s="95">
        <v>1</v>
      </c>
      <c r="L62" s="31"/>
      <c r="M62" s="31"/>
      <c r="N62" s="31"/>
      <c r="O62" s="31"/>
      <c r="P62" s="4">
        <v>1</v>
      </c>
      <c r="Q62" s="57">
        <v>0</v>
      </c>
      <c r="R62" s="57">
        <v>0</v>
      </c>
      <c r="S62" s="97">
        <v>0</v>
      </c>
      <c r="T62" s="57">
        <v>0</v>
      </c>
      <c r="U62" s="57">
        <v>0</v>
      </c>
      <c r="V62" s="57">
        <v>0</v>
      </c>
      <c r="W62" s="5">
        <v>1</v>
      </c>
      <c r="X62" s="94">
        <v>0</v>
      </c>
    </row>
    <row r="63" spans="1:24" x14ac:dyDescent="0.35">
      <c r="A63">
        <v>59</v>
      </c>
      <c r="B63">
        <v>60</v>
      </c>
      <c r="C63">
        <v>146.12753650400001</v>
      </c>
      <c r="D63">
        <v>-17.601371519699899</v>
      </c>
      <c r="E63">
        <v>50</v>
      </c>
      <c r="F63" t="str">
        <f>HYPERLINK("D:\Data From Lucan\2024\Moresby\Frames_for_Analysis/60_20240611_0012_R_1882.jpg","60_20240611_0012_R_1882.jpg")</f>
        <v>60_20240611_0012_R_1882.jpg</v>
      </c>
      <c r="G63" s="92" t="s">
        <v>3998</v>
      </c>
      <c r="I63">
        <v>1</v>
      </c>
      <c r="K63" s="95">
        <v>1</v>
      </c>
      <c r="L63" s="31"/>
      <c r="M63" s="31"/>
      <c r="N63" s="31"/>
      <c r="O63" s="31"/>
      <c r="P63" s="4">
        <v>1</v>
      </c>
      <c r="Q63" s="57">
        <v>0</v>
      </c>
      <c r="R63" s="57">
        <v>0</v>
      </c>
      <c r="S63" s="97">
        <v>0</v>
      </c>
      <c r="T63" s="57">
        <v>0</v>
      </c>
      <c r="U63" s="57">
        <v>0</v>
      </c>
      <c r="V63" s="57">
        <v>0</v>
      </c>
      <c r="W63" s="5">
        <v>0</v>
      </c>
      <c r="X63" s="94">
        <v>0</v>
      </c>
    </row>
    <row r="64" spans="1:24" x14ac:dyDescent="0.35">
      <c r="A64">
        <v>60</v>
      </c>
      <c r="B64">
        <v>61</v>
      </c>
      <c r="C64">
        <v>146.127449896999</v>
      </c>
      <c r="D64">
        <v>-17.601394255100001</v>
      </c>
      <c r="F64" t="str">
        <f>HYPERLINK("D:\Data From Lucan\2024\Moresby\Frames_for_Analysis/61_20240611_0012_R_1879.jpg","61_20240611_0012_R_1879.jpg")</f>
        <v>61_20240611_0012_R_1879.jpg</v>
      </c>
      <c r="G64" s="92" t="s">
        <v>3999</v>
      </c>
      <c r="I64">
        <v>1</v>
      </c>
      <c r="K64" s="95">
        <v>0</v>
      </c>
      <c r="L64" s="31"/>
      <c r="M64" s="31"/>
      <c r="N64" s="31"/>
      <c r="O64" s="31"/>
      <c r="P64" s="4">
        <v>1</v>
      </c>
      <c r="Q64" s="57">
        <v>0</v>
      </c>
      <c r="R64" s="57">
        <v>0</v>
      </c>
      <c r="S64" s="97">
        <v>0</v>
      </c>
      <c r="T64" s="57">
        <v>0</v>
      </c>
      <c r="U64" s="57">
        <v>0</v>
      </c>
      <c r="V64" s="57">
        <v>0</v>
      </c>
      <c r="W64" s="5">
        <v>0</v>
      </c>
      <c r="X64" s="94">
        <v>0</v>
      </c>
    </row>
    <row r="65" spans="1:24" x14ac:dyDescent="0.35">
      <c r="A65">
        <v>61</v>
      </c>
      <c r="B65">
        <v>62</v>
      </c>
      <c r="C65">
        <v>146.12736329000001</v>
      </c>
      <c r="D65">
        <v>-17.601416990499899</v>
      </c>
      <c r="F65" t="str">
        <f>HYPERLINK("D:\Data From Lucan\2024\Moresby\Frames_for_Analysis/62_20240611_0012_R_1876.jpg","62_20240611_0012_R_1876.jpg")</f>
        <v>62_20240611_0012_R_1876.jpg</v>
      </c>
      <c r="G65" s="92" t="s">
        <v>4000</v>
      </c>
      <c r="I65">
        <v>1</v>
      </c>
      <c r="K65" s="95">
        <v>0</v>
      </c>
      <c r="L65" s="31"/>
      <c r="M65" s="31"/>
      <c r="N65" s="31"/>
      <c r="O65" s="31"/>
      <c r="P65" s="4">
        <v>1</v>
      </c>
      <c r="Q65" s="57">
        <v>0</v>
      </c>
      <c r="R65" s="57">
        <v>0</v>
      </c>
      <c r="S65" s="97">
        <v>0</v>
      </c>
      <c r="T65" s="57">
        <v>0</v>
      </c>
      <c r="U65" s="57">
        <v>0</v>
      </c>
      <c r="V65" s="57">
        <v>0</v>
      </c>
      <c r="W65" s="5">
        <v>0</v>
      </c>
      <c r="X65" s="94">
        <v>0</v>
      </c>
    </row>
    <row r="66" spans="1:24" x14ac:dyDescent="0.35">
      <c r="A66">
        <v>62</v>
      </c>
      <c r="B66">
        <v>63</v>
      </c>
      <c r="C66">
        <v>146.127276351999</v>
      </c>
      <c r="D66">
        <v>-17.601437200100001</v>
      </c>
      <c r="F66" t="str">
        <f>HYPERLINK("D:\Data From Lucan\2024\Moresby\Frames_for_Analysis/63_20240611_0012_R_1874.jpg","63_20240611_0012_R_1874.jpg")</f>
        <v>63_20240611_0012_R_1874.jpg</v>
      </c>
      <c r="G66" s="92" t="s">
        <v>4001</v>
      </c>
      <c r="I66">
        <v>1</v>
      </c>
      <c r="K66" s="95">
        <v>0</v>
      </c>
      <c r="L66" s="31"/>
      <c r="M66" s="31"/>
      <c r="N66" s="31"/>
      <c r="O66" s="31"/>
      <c r="P66" s="4">
        <v>1</v>
      </c>
      <c r="Q66" s="57">
        <v>0</v>
      </c>
      <c r="R66" s="57">
        <v>0</v>
      </c>
      <c r="S66" s="97">
        <v>0</v>
      </c>
      <c r="T66" s="57">
        <v>0</v>
      </c>
      <c r="U66" s="57">
        <v>0</v>
      </c>
      <c r="V66" s="57">
        <v>0</v>
      </c>
      <c r="W66" s="5">
        <v>0</v>
      </c>
      <c r="X66" s="94">
        <v>0</v>
      </c>
    </row>
    <row r="67" spans="1:24" x14ac:dyDescent="0.35">
      <c r="A67">
        <v>63</v>
      </c>
      <c r="B67">
        <v>64</v>
      </c>
      <c r="C67">
        <v>146.12718653900001</v>
      </c>
      <c r="D67">
        <v>-17.601435457400001</v>
      </c>
      <c r="F67" t="str">
        <f>HYPERLINK("D:\Data From Lucan\2024\Moresby\Frames_for_Analysis/64_20240611_0012_R_1871.jpg","64_20240611_0012_R_1871.jpg")</f>
        <v>64_20240611_0012_R_1871.jpg</v>
      </c>
      <c r="G67" s="92" t="s">
        <v>4002</v>
      </c>
      <c r="I67">
        <v>1</v>
      </c>
      <c r="K67" s="95">
        <v>0</v>
      </c>
      <c r="L67" s="31"/>
      <c r="M67" s="31"/>
      <c r="N67" s="31"/>
      <c r="O67" s="31"/>
      <c r="P67" s="4">
        <v>1</v>
      </c>
      <c r="Q67" s="57">
        <v>0</v>
      </c>
      <c r="R67" s="57">
        <v>0</v>
      </c>
      <c r="S67" s="97">
        <v>0</v>
      </c>
      <c r="T67" s="57">
        <v>0</v>
      </c>
      <c r="U67" s="57">
        <v>0</v>
      </c>
      <c r="V67" s="57">
        <v>0</v>
      </c>
      <c r="W67" s="5">
        <v>0</v>
      </c>
      <c r="X67" s="94">
        <v>0</v>
      </c>
    </row>
    <row r="68" spans="1:24" x14ac:dyDescent="0.35">
      <c r="A68">
        <v>64</v>
      </c>
      <c r="B68">
        <v>65</v>
      </c>
      <c r="C68">
        <v>146.127096725999</v>
      </c>
      <c r="D68">
        <v>-17.601433714599899</v>
      </c>
      <c r="E68">
        <v>50</v>
      </c>
      <c r="F68" t="str">
        <f>HYPERLINK("D:\Data From Lucan\2024\Moresby\Frames_for_Analysis/65_20240611_0012_R_1868.jpg","65_20240611_0012_R_1868.jpg")</f>
        <v>65_20240611_0012_R_1868.jpg</v>
      </c>
      <c r="G68" s="92" t="s">
        <v>4003</v>
      </c>
      <c r="I68">
        <v>1</v>
      </c>
      <c r="K68" s="95">
        <v>0</v>
      </c>
      <c r="L68" s="31"/>
      <c r="M68" s="31"/>
      <c r="N68" s="31"/>
      <c r="O68" s="31"/>
      <c r="P68" s="4">
        <v>1</v>
      </c>
      <c r="Q68" s="57">
        <v>0</v>
      </c>
      <c r="R68" s="57">
        <v>0</v>
      </c>
      <c r="S68" s="97">
        <v>0</v>
      </c>
      <c r="T68" s="57">
        <v>0</v>
      </c>
      <c r="U68" s="57">
        <v>0</v>
      </c>
      <c r="V68" s="57">
        <v>0</v>
      </c>
      <c r="W68" s="5">
        <v>0</v>
      </c>
      <c r="X68" s="94">
        <v>0</v>
      </c>
    </row>
    <row r="69" spans="1:24" x14ac:dyDescent="0.35">
      <c r="A69">
        <v>65</v>
      </c>
      <c r="B69">
        <v>66</v>
      </c>
      <c r="C69">
        <v>146.127006913</v>
      </c>
      <c r="D69">
        <v>-17.601431971899899</v>
      </c>
      <c r="F69" t="str">
        <f>HYPERLINK("D:\Data From Lucan\2024\Moresby\Frames_for_Analysis/66_20240611_0012_R_1866.jpg","66_20240611_0012_R_1866.jpg")</f>
        <v>66_20240611_0012_R_1866.jpg</v>
      </c>
      <c r="G69" s="92" t="s">
        <v>4004</v>
      </c>
      <c r="I69">
        <v>1</v>
      </c>
      <c r="K69" s="95">
        <v>0</v>
      </c>
      <c r="L69" s="31"/>
      <c r="M69" s="31"/>
      <c r="N69" s="31"/>
      <c r="O69" s="31"/>
      <c r="P69" s="4">
        <v>1</v>
      </c>
      <c r="Q69" s="57">
        <v>0</v>
      </c>
      <c r="R69" s="57">
        <v>0</v>
      </c>
      <c r="S69" s="97">
        <v>0</v>
      </c>
      <c r="T69" s="57">
        <v>0</v>
      </c>
      <c r="U69" s="57">
        <v>0</v>
      </c>
      <c r="V69" s="57">
        <v>0</v>
      </c>
      <c r="W69" s="5">
        <v>0</v>
      </c>
      <c r="X69" s="94">
        <v>0</v>
      </c>
    </row>
    <row r="70" spans="1:24" x14ac:dyDescent="0.35">
      <c r="A70">
        <v>66</v>
      </c>
      <c r="B70">
        <v>67</v>
      </c>
      <c r="C70">
        <v>146.12691709999899</v>
      </c>
      <c r="D70">
        <v>-17.6014302291</v>
      </c>
      <c r="F70" t="str">
        <f>HYPERLINK("D:\Data From Lucan\2024\Moresby\Frames_for_Analysis/67_20240611_0012_R_1863.jpg","67_20240611_0012_R_1863.jpg")</f>
        <v>67_20240611_0012_R_1863.jpg</v>
      </c>
      <c r="G70" s="92" t="s">
        <v>4005</v>
      </c>
      <c r="I70">
        <v>1</v>
      </c>
      <c r="K70" s="95">
        <v>0</v>
      </c>
      <c r="L70" s="31"/>
      <c r="M70" s="31"/>
      <c r="N70" s="31"/>
      <c r="O70" s="31"/>
      <c r="P70" s="4">
        <v>1</v>
      </c>
      <c r="Q70" s="57">
        <v>0</v>
      </c>
      <c r="R70" s="57">
        <v>0</v>
      </c>
      <c r="S70" s="97">
        <v>0</v>
      </c>
      <c r="T70" s="57">
        <v>0</v>
      </c>
      <c r="U70" s="57">
        <v>0</v>
      </c>
      <c r="V70" s="57">
        <v>0</v>
      </c>
      <c r="W70" s="5">
        <v>0</v>
      </c>
      <c r="X70" s="94">
        <v>0</v>
      </c>
    </row>
    <row r="71" spans="1:24" x14ac:dyDescent="0.35">
      <c r="A71">
        <v>67</v>
      </c>
      <c r="B71">
        <v>68</v>
      </c>
      <c r="C71">
        <v>146.126827289999</v>
      </c>
      <c r="D71">
        <v>-17.6014293747</v>
      </c>
      <c r="F71" t="str">
        <f>HYPERLINK("D:\Data From Lucan\2024\Moresby\Frames_for_Analysis/68_20240611_0012_R_1861.jpg","68_20240611_0012_R_1861.jpg")</f>
        <v>68_20240611_0012_R_1861.jpg</v>
      </c>
      <c r="G71" s="92" t="s">
        <v>4006</v>
      </c>
      <c r="I71">
        <v>1</v>
      </c>
      <c r="K71" s="95">
        <v>0</v>
      </c>
      <c r="L71" s="31"/>
      <c r="M71" s="31"/>
      <c r="N71" s="31"/>
      <c r="O71" s="31"/>
      <c r="P71" s="4">
        <v>1</v>
      </c>
      <c r="Q71" s="57">
        <v>0</v>
      </c>
      <c r="R71" s="57">
        <v>0</v>
      </c>
      <c r="S71" s="97">
        <v>0</v>
      </c>
      <c r="T71" s="57">
        <v>0</v>
      </c>
      <c r="U71" s="57">
        <v>0</v>
      </c>
      <c r="V71" s="57">
        <v>0</v>
      </c>
      <c r="W71" s="5">
        <v>0</v>
      </c>
      <c r="X71" s="94">
        <v>0</v>
      </c>
    </row>
    <row r="72" spans="1:24" x14ac:dyDescent="0.35">
      <c r="A72">
        <v>68</v>
      </c>
      <c r="B72">
        <v>69</v>
      </c>
      <c r="C72">
        <v>146.126737488</v>
      </c>
      <c r="D72">
        <v>-17.6014315876</v>
      </c>
      <c r="F72" t="str">
        <f>HYPERLINK("D:\Data From Lucan\2024\Moresby\Frames_for_Analysis/69_20240611_0012_R_1858.jpg","69_20240611_0012_R_1858.jpg")</f>
        <v>69_20240611_0012_R_1858.jpg</v>
      </c>
      <c r="G72" s="92" t="s">
        <v>4007</v>
      </c>
      <c r="I72">
        <v>1</v>
      </c>
      <c r="K72" s="95">
        <v>1</v>
      </c>
      <c r="L72" s="31"/>
      <c r="M72" s="31"/>
      <c r="N72" s="31"/>
      <c r="O72" s="31"/>
      <c r="P72" s="4">
        <v>1</v>
      </c>
      <c r="Q72" s="57">
        <v>0</v>
      </c>
      <c r="R72" s="57">
        <v>0</v>
      </c>
      <c r="S72" s="97">
        <v>0</v>
      </c>
      <c r="T72" s="57">
        <v>0</v>
      </c>
      <c r="U72" s="57">
        <v>0</v>
      </c>
      <c r="V72" s="57">
        <v>0</v>
      </c>
      <c r="W72" s="5">
        <v>0</v>
      </c>
      <c r="X72" s="94">
        <v>0</v>
      </c>
    </row>
    <row r="73" spans="1:24" x14ac:dyDescent="0.35">
      <c r="A73">
        <v>69</v>
      </c>
      <c r="B73">
        <v>70</v>
      </c>
      <c r="C73">
        <v>146.126647687</v>
      </c>
      <c r="D73">
        <v>-17.601433800500001</v>
      </c>
      <c r="E73">
        <v>50</v>
      </c>
      <c r="F73" t="str">
        <f>HYPERLINK("D:\Data From Lucan\2024\Moresby\Frames_for_Analysis/70_20240611_0012_R_1855.jpg","70_20240611_0012_R_1855.jpg")</f>
        <v>70_20240611_0012_R_1855.jpg</v>
      </c>
      <c r="G73" s="92" t="s">
        <v>4008</v>
      </c>
      <c r="I73">
        <v>1</v>
      </c>
      <c r="K73" s="95">
        <v>0</v>
      </c>
      <c r="L73" s="31"/>
      <c r="M73" s="31"/>
      <c r="N73" s="31"/>
      <c r="O73" s="31"/>
      <c r="P73" s="4">
        <v>1</v>
      </c>
      <c r="Q73" s="57">
        <v>0</v>
      </c>
      <c r="R73" s="57">
        <v>0</v>
      </c>
      <c r="S73" s="97">
        <v>0</v>
      </c>
      <c r="T73" s="57">
        <v>0</v>
      </c>
      <c r="U73" s="57">
        <v>0</v>
      </c>
      <c r="V73" s="57">
        <v>0</v>
      </c>
      <c r="W73" s="5">
        <v>0</v>
      </c>
      <c r="X73" s="94">
        <v>0</v>
      </c>
    </row>
    <row r="74" spans="1:24" x14ac:dyDescent="0.35">
      <c r="A74">
        <v>70</v>
      </c>
      <c r="B74">
        <v>71</v>
      </c>
      <c r="C74">
        <v>146.12656152400001</v>
      </c>
      <c r="D74">
        <v>-17.6014547167999</v>
      </c>
      <c r="F74" t="str">
        <f>HYPERLINK("D:\Data From Lucan\2024\Moresby\Frames_for_Analysis/71_20240611_0012_R_1852.jpg","71_20240611_0012_R_1852.jpg")</f>
        <v>71_20240611_0012_R_1852.jpg</v>
      </c>
      <c r="G74" s="92" t="s">
        <v>4009</v>
      </c>
      <c r="I74">
        <v>1</v>
      </c>
      <c r="K74" s="95">
        <v>1</v>
      </c>
      <c r="L74" s="31"/>
      <c r="M74" s="31"/>
      <c r="N74" s="31"/>
      <c r="O74" s="31"/>
      <c r="P74" s="4">
        <v>1</v>
      </c>
      <c r="Q74" s="57">
        <v>0</v>
      </c>
      <c r="R74" s="57">
        <v>0</v>
      </c>
      <c r="S74" s="97">
        <v>0</v>
      </c>
      <c r="T74" s="57">
        <v>0</v>
      </c>
      <c r="U74" s="57">
        <v>0</v>
      </c>
      <c r="V74" s="57">
        <v>0</v>
      </c>
      <c r="W74" s="5">
        <v>0</v>
      </c>
      <c r="X74" s="94">
        <v>0</v>
      </c>
    </row>
    <row r="75" spans="1:24" x14ac:dyDescent="0.35">
      <c r="A75">
        <v>71</v>
      </c>
      <c r="B75">
        <v>72</v>
      </c>
      <c r="C75">
        <v>146.126493664999</v>
      </c>
      <c r="D75">
        <v>-17.6015012097</v>
      </c>
      <c r="F75" t="str">
        <f>HYPERLINK("D:\Data From Lucan\2024\Moresby\Frames_for_Analysis/72_20240611_0012_R_1850.jpg","72_20240611_0012_R_1850.jpg")</f>
        <v>72_20240611_0012_R_1850.jpg</v>
      </c>
      <c r="G75" s="92" t="s">
        <v>4010</v>
      </c>
      <c r="I75">
        <v>1</v>
      </c>
      <c r="K75" s="95">
        <v>0</v>
      </c>
      <c r="L75" s="31"/>
      <c r="M75" s="31"/>
      <c r="N75" s="31"/>
      <c r="O75" s="31"/>
      <c r="P75" s="4">
        <v>1</v>
      </c>
      <c r="Q75" s="57">
        <v>0</v>
      </c>
      <c r="R75" s="57">
        <v>0</v>
      </c>
      <c r="S75" s="97">
        <v>0</v>
      </c>
      <c r="T75" s="57">
        <v>0</v>
      </c>
      <c r="U75" s="57">
        <v>0</v>
      </c>
      <c r="V75" s="57">
        <v>0</v>
      </c>
      <c r="W75" s="5">
        <v>0</v>
      </c>
      <c r="X75" s="94">
        <v>0</v>
      </c>
    </row>
    <row r="76" spans="1:24" x14ac:dyDescent="0.35">
      <c r="A76">
        <v>72</v>
      </c>
      <c r="B76">
        <v>73</v>
      </c>
      <c r="C76">
        <v>146.12646849500001</v>
      </c>
      <c r="D76">
        <v>-17.601580488300002</v>
      </c>
      <c r="F76" t="str">
        <f>HYPERLINK("D:\Data From Lucan\2024\Moresby\Frames_for_Analysis/73_20240611_0012_R_1848.jpg","73_20240611_0012_R_1848.jpg")</f>
        <v>73_20240611_0012_R_1848.jpg</v>
      </c>
      <c r="G76" s="92" t="s">
        <v>4011</v>
      </c>
      <c r="I76">
        <v>1</v>
      </c>
      <c r="K76" s="95">
        <v>0</v>
      </c>
      <c r="L76" s="31"/>
      <c r="M76" s="31"/>
      <c r="N76" s="31"/>
      <c r="O76" s="31"/>
      <c r="P76" s="4">
        <v>1</v>
      </c>
      <c r="Q76" s="57">
        <v>0</v>
      </c>
      <c r="R76" s="57">
        <v>0</v>
      </c>
      <c r="S76" s="97">
        <v>0</v>
      </c>
      <c r="T76" s="57">
        <v>0</v>
      </c>
      <c r="U76" s="57">
        <v>0</v>
      </c>
      <c r="V76" s="57">
        <v>0</v>
      </c>
      <c r="W76" s="5">
        <v>0</v>
      </c>
      <c r="X76" s="94">
        <v>0</v>
      </c>
    </row>
    <row r="77" spans="1:24" x14ac:dyDescent="0.35">
      <c r="A77">
        <v>73</v>
      </c>
      <c r="B77">
        <v>74</v>
      </c>
      <c r="C77">
        <v>146.12644661799899</v>
      </c>
      <c r="D77">
        <v>-17.6016632736</v>
      </c>
      <c r="F77" t="str">
        <f>HYPERLINK("D:\Data From Lucan\2024\Moresby\Frames_for_Analysis/74_20240611_0012_R_1847.jpg","74_20240611_0012_R_1847.jpg")</f>
        <v>74_20240611_0012_R_1847.jpg</v>
      </c>
      <c r="G77" s="92" t="s">
        <v>4012</v>
      </c>
      <c r="I77">
        <v>1</v>
      </c>
      <c r="K77" s="95">
        <v>0</v>
      </c>
      <c r="L77" s="31"/>
      <c r="M77" s="31"/>
      <c r="N77" s="31"/>
      <c r="O77" s="31"/>
      <c r="P77" s="4">
        <v>1</v>
      </c>
      <c r="Q77" s="57">
        <v>0</v>
      </c>
      <c r="R77" s="57">
        <v>0</v>
      </c>
      <c r="S77" s="97">
        <v>0</v>
      </c>
      <c r="T77" s="57">
        <v>0</v>
      </c>
      <c r="U77" s="57">
        <v>0</v>
      </c>
      <c r="V77" s="57">
        <v>0</v>
      </c>
      <c r="W77" s="5">
        <v>0</v>
      </c>
      <c r="X77" s="94">
        <v>0</v>
      </c>
    </row>
    <row r="78" spans="1:24" x14ac:dyDescent="0.35">
      <c r="A78">
        <v>74</v>
      </c>
      <c r="B78">
        <v>75</v>
      </c>
      <c r="C78">
        <v>146.12643238800001</v>
      </c>
      <c r="D78">
        <v>-17.601747738699899</v>
      </c>
      <c r="E78">
        <v>50</v>
      </c>
      <c r="F78" t="str">
        <f>HYPERLINK("D:\Data From Lucan\2024\Moresby\Frames_for_Analysis/75_20240611_0012_R_1845.jpg","75_20240611_0012_R_1845.jpg")</f>
        <v>75_20240611_0012_R_1845.jpg</v>
      </c>
      <c r="G78" s="92" t="s">
        <v>4013</v>
      </c>
      <c r="I78">
        <v>1</v>
      </c>
      <c r="K78" s="95">
        <v>0</v>
      </c>
      <c r="L78" s="31"/>
      <c r="M78" s="31"/>
      <c r="N78" s="31"/>
      <c r="O78" s="31"/>
      <c r="P78" s="4">
        <v>1</v>
      </c>
      <c r="Q78" s="57">
        <v>0</v>
      </c>
      <c r="R78" s="57">
        <v>0</v>
      </c>
      <c r="S78" s="97">
        <v>0</v>
      </c>
      <c r="T78" s="57">
        <v>0</v>
      </c>
      <c r="U78" s="57">
        <v>0</v>
      </c>
      <c r="V78" s="57">
        <v>0</v>
      </c>
      <c r="W78" s="5">
        <v>0</v>
      </c>
      <c r="X78" s="94">
        <v>0</v>
      </c>
    </row>
    <row r="79" spans="1:24" x14ac:dyDescent="0.35">
      <c r="A79">
        <v>75</v>
      </c>
      <c r="B79">
        <v>76</v>
      </c>
      <c r="C79">
        <v>146.126419351999</v>
      </c>
      <c r="D79">
        <v>-17.601832458099899</v>
      </c>
      <c r="F79" t="str">
        <f>HYPERLINK("D:\Data From Lucan\2024\Moresby\Frames_for_Analysis/76_20240611_0012_R_1827.jpg","76_20240611_0012_R_1827.jpg")</f>
        <v>76_20240611_0012_R_1827.jpg</v>
      </c>
      <c r="G79" s="92" t="s">
        <v>4014</v>
      </c>
      <c r="I79">
        <v>1</v>
      </c>
      <c r="K79" s="95">
        <v>1</v>
      </c>
      <c r="L79" s="31"/>
      <c r="M79" s="31"/>
      <c r="N79" s="31"/>
      <c r="O79" s="31"/>
      <c r="P79" s="4">
        <v>1</v>
      </c>
      <c r="Q79" s="57">
        <v>0</v>
      </c>
      <c r="R79" s="57">
        <v>0</v>
      </c>
      <c r="S79" s="97">
        <v>0</v>
      </c>
      <c r="T79" s="57">
        <v>0</v>
      </c>
      <c r="U79" s="57">
        <v>0</v>
      </c>
      <c r="V79" s="57">
        <v>0</v>
      </c>
      <c r="W79" s="5">
        <v>0</v>
      </c>
      <c r="X79" s="94">
        <v>0</v>
      </c>
    </row>
    <row r="80" spans="1:24" x14ac:dyDescent="0.35">
      <c r="A80">
        <v>76</v>
      </c>
      <c r="B80">
        <v>77</v>
      </c>
      <c r="C80">
        <v>146.126454561999</v>
      </c>
      <c r="D80">
        <v>-17.601903665799899</v>
      </c>
      <c r="F80" t="str">
        <f>HYPERLINK("D:\Data From Lucan\2024\Moresby\Frames_for_Analysis/77_20240611_0012_R_1828.jpg","77_20240611_0012_R_1828.jpg")</f>
        <v>77_20240611_0012_R_1828.jpg</v>
      </c>
      <c r="G80" s="92" t="s">
        <v>4015</v>
      </c>
      <c r="I80">
        <v>1</v>
      </c>
      <c r="K80" s="95">
        <v>1</v>
      </c>
      <c r="L80" s="31"/>
      <c r="M80" s="31"/>
      <c r="N80" s="31"/>
      <c r="O80" s="31"/>
      <c r="P80" s="4">
        <v>1</v>
      </c>
      <c r="Q80" s="57">
        <v>0</v>
      </c>
      <c r="R80" s="57">
        <v>0</v>
      </c>
      <c r="S80" s="97">
        <v>0</v>
      </c>
      <c r="T80" s="57">
        <v>0</v>
      </c>
      <c r="U80" s="57">
        <v>0</v>
      </c>
      <c r="V80" s="57">
        <v>0</v>
      </c>
      <c r="W80" s="5">
        <v>0</v>
      </c>
      <c r="X80" s="94">
        <v>0</v>
      </c>
    </row>
    <row r="81" spans="1:24" x14ac:dyDescent="0.35">
      <c r="A81">
        <v>77</v>
      </c>
      <c r="B81">
        <v>78</v>
      </c>
      <c r="C81">
        <v>146.126513603999</v>
      </c>
      <c r="D81">
        <v>-17.601968199400002</v>
      </c>
      <c r="F81" t="str">
        <f>HYPERLINK("D:\Data From Lucan\2024\Moresby\Frames_for_Analysis/78_20240611_0012_R_1811.jpg","78_20240611_0012_R_1811.jpg")</f>
        <v>78_20240611_0012_R_1811.jpg</v>
      </c>
      <c r="G81" s="92" t="s">
        <v>4016</v>
      </c>
      <c r="I81">
        <v>1</v>
      </c>
      <c r="K81" s="95">
        <v>1</v>
      </c>
      <c r="L81" s="31"/>
      <c r="M81" s="31"/>
      <c r="N81" s="31"/>
      <c r="O81" s="31"/>
      <c r="P81" s="4">
        <v>1</v>
      </c>
      <c r="Q81" s="57">
        <v>0</v>
      </c>
      <c r="R81" s="57">
        <v>0</v>
      </c>
      <c r="S81" s="97">
        <v>0</v>
      </c>
      <c r="T81" s="57">
        <v>0</v>
      </c>
      <c r="U81" s="57">
        <v>0</v>
      </c>
      <c r="V81" s="57">
        <v>0</v>
      </c>
      <c r="W81" s="5">
        <v>0</v>
      </c>
      <c r="X81" s="94">
        <v>0</v>
      </c>
    </row>
    <row r="82" spans="1:24" x14ac:dyDescent="0.35">
      <c r="A82">
        <v>78</v>
      </c>
      <c r="B82">
        <v>79</v>
      </c>
      <c r="C82">
        <v>146.126516428999</v>
      </c>
      <c r="D82">
        <v>-17.602052676300001</v>
      </c>
      <c r="F82" t="str">
        <f>HYPERLINK("D:\Data From Lucan\2024\Moresby\Frames_for_Analysis/79_20240611_0012_R_1829.jpg","79_20240611_0012_R_1829.jpg")</f>
        <v>79_20240611_0012_R_1829.jpg</v>
      </c>
      <c r="G82" s="92" t="s">
        <v>4017</v>
      </c>
      <c r="I82">
        <v>1</v>
      </c>
      <c r="K82" s="95">
        <v>1</v>
      </c>
      <c r="L82" s="31"/>
      <c r="M82" s="31"/>
      <c r="N82" s="31"/>
      <c r="O82" s="31"/>
      <c r="P82" s="4">
        <v>1</v>
      </c>
      <c r="Q82" s="57">
        <v>0</v>
      </c>
      <c r="R82" s="57">
        <v>0</v>
      </c>
      <c r="S82" s="97">
        <v>0</v>
      </c>
      <c r="T82" s="57">
        <v>0</v>
      </c>
      <c r="U82" s="57">
        <v>0</v>
      </c>
      <c r="V82" s="57">
        <v>0</v>
      </c>
      <c r="W82" s="5">
        <v>0</v>
      </c>
      <c r="X82" s="94">
        <v>0</v>
      </c>
    </row>
    <row r="83" spans="1:24" x14ac:dyDescent="0.35">
      <c r="A83">
        <v>79</v>
      </c>
      <c r="B83">
        <v>80</v>
      </c>
      <c r="C83">
        <v>146.12651119700001</v>
      </c>
      <c r="D83">
        <v>-17.6021381372999</v>
      </c>
      <c r="E83">
        <v>50</v>
      </c>
      <c r="F83" t="str">
        <f>HYPERLINK("D:\Data From Lucan\2024\Moresby\Frames_for_Analysis/80_20240611_0012_R_1843.jpg","80_20240611_0012_R_1843.jpg")</f>
        <v>80_20240611_0012_R_1843.jpg</v>
      </c>
      <c r="G83" s="92" t="s">
        <v>4018</v>
      </c>
      <c r="I83">
        <v>1</v>
      </c>
      <c r="K83" s="95">
        <v>0</v>
      </c>
      <c r="L83" s="31"/>
      <c r="M83" s="31"/>
      <c r="N83" s="31"/>
      <c r="O83" s="31"/>
      <c r="P83" s="4">
        <v>1</v>
      </c>
      <c r="Q83" s="57">
        <v>0</v>
      </c>
      <c r="R83" s="57">
        <v>0</v>
      </c>
      <c r="S83" s="97">
        <v>0</v>
      </c>
      <c r="T83" s="57">
        <v>0</v>
      </c>
      <c r="U83" s="57">
        <v>0</v>
      </c>
      <c r="V83" s="57">
        <v>0</v>
      </c>
      <c r="W83" s="5">
        <v>0</v>
      </c>
      <c r="X83" s="94">
        <v>0</v>
      </c>
    </row>
    <row r="84" spans="1:24" x14ac:dyDescent="0.35">
      <c r="A84">
        <v>80</v>
      </c>
      <c r="B84">
        <v>81</v>
      </c>
      <c r="C84">
        <v>146.12645196099899</v>
      </c>
      <c r="D84">
        <v>-17.602176970799899</v>
      </c>
      <c r="F84" t="str">
        <f>HYPERLINK("D:\Data From Lucan\2024\Moresby\Frames_for_Analysis/81_20240611_0012_R_1838.jpg","81_20240611_0012_R_1838.jpg")</f>
        <v>81_20240611_0012_R_1838.jpg</v>
      </c>
      <c r="G84" s="92" t="s">
        <v>4019</v>
      </c>
      <c r="I84">
        <v>1</v>
      </c>
      <c r="K84" s="95">
        <v>1</v>
      </c>
      <c r="L84" s="31" t="s">
        <v>3959</v>
      </c>
      <c r="M84" s="31" t="s">
        <v>3959</v>
      </c>
      <c r="N84" s="31" t="s">
        <v>3959</v>
      </c>
      <c r="O84" s="31" t="s">
        <v>3959</v>
      </c>
      <c r="P84" s="4">
        <v>1</v>
      </c>
      <c r="Q84" s="57">
        <v>0</v>
      </c>
      <c r="R84" s="57">
        <v>0</v>
      </c>
      <c r="S84" s="97">
        <v>0</v>
      </c>
      <c r="T84" s="57">
        <v>0</v>
      </c>
      <c r="U84" s="57">
        <v>0</v>
      </c>
      <c r="V84" s="57">
        <v>0</v>
      </c>
      <c r="W84" s="5">
        <v>0</v>
      </c>
      <c r="X84" s="94">
        <v>0</v>
      </c>
    </row>
    <row r="85" spans="1:24" x14ac:dyDescent="0.35">
      <c r="A85">
        <v>81</v>
      </c>
      <c r="B85">
        <v>82</v>
      </c>
      <c r="C85">
        <v>146.12637166100001</v>
      </c>
      <c r="D85">
        <v>-17.602190207700001</v>
      </c>
      <c r="F85" t="str">
        <f>HYPERLINK("D:\Data From Lucan\2024\Moresby\Frames_for_Analysis/82_20240611_0012_R_1832.jpg","82_20240611_0012_R_1832.jpg")</f>
        <v>82_20240611_0012_R_1832.jpg</v>
      </c>
      <c r="G85" s="92" t="s">
        <v>4020</v>
      </c>
      <c r="I85">
        <v>1</v>
      </c>
      <c r="K85" s="95">
        <v>1</v>
      </c>
      <c r="L85" s="31"/>
      <c r="M85" s="31"/>
      <c r="N85" s="31"/>
      <c r="O85" s="31"/>
      <c r="P85" s="4">
        <v>1</v>
      </c>
      <c r="Q85" s="57">
        <v>0</v>
      </c>
      <c r="R85" s="57">
        <v>0</v>
      </c>
      <c r="S85" s="97">
        <v>0</v>
      </c>
      <c r="T85" s="57">
        <v>0</v>
      </c>
      <c r="U85" s="57">
        <v>0</v>
      </c>
      <c r="V85" s="57">
        <v>0</v>
      </c>
      <c r="W85" s="5">
        <v>0</v>
      </c>
      <c r="X85" s="94">
        <v>0</v>
      </c>
    </row>
    <row r="86" spans="1:24" x14ac:dyDescent="0.35">
      <c r="A86">
        <v>82</v>
      </c>
      <c r="B86">
        <v>83</v>
      </c>
      <c r="C86">
        <v>146.12635829499899</v>
      </c>
      <c r="D86">
        <v>-17.602267249699899</v>
      </c>
      <c r="F86" t="str">
        <f>HYPERLINK("D:\Data From Lucan\2024\Moresby\Frames_for_Analysis/83_20240611_0012_R_1801.jpg","83_20240611_0012_R_1801.jpg")</f>
        <v>83_20240611_0012_R_1801.jpg</v>
      </c>
      <c r="G86" s="92" t="s">
        <v>4021</v>
      </c>
      <c r="I86">
        <v>1</v>
      </c>
      <c r="K86" s="95">
        <v>1</v>
      </c>
      <c r="L86" s="31"/>
      <c r="M86" s="31"/>
      <c r="N86" s="31"/>
      <c r="O86" s="31"/>
      <c r="P86" s="4">
        <v>1</v>
      </c>
      <c r="Q86" s="57">
        <v>0</v>
      </c>
      <c r="R86" s="57">
        <v>0</v>
      </c>
      <c r="S86" s="97">
        <v>0</v>
      </c>
      <c r="T86" s="57">
        <v>0</v>
      </c>
      <c r="U86" s="57">
        <v>0</v>
      </c>
      <c r="V86" s="57">
        <v>0</v>
      </c>
      <c r="W86" s="5">
        <v>0</v>
      </c>
      <c r="X86" s="94">
        <v>0</v>
      </c>
    </row>
    <row r="87" spans="1:24" x14ac:dyDescent="0.35">
      <c r="A87">
        <v>83</v>
      </c>
      <c r="B87">
        <v>84</v>
      </c>
      <c r="C87">
        <v>146.126320386999</v>
      </c>
      <c r="D87">
        <v>-17.602338071199899</v>
      </c>
      <c r="F87" t="str">
        <f>HYPERLINK("D:\Data From Lucan\2024\Moresby\Frames_for_Analysis/84_20240611_0012_R_1798.jpg","84_20240611_0012_R_1798.jpg")</f>
        <v>84_20240611_0012_R_1798.jpg</v>
      </c>
      <c r="G87" s="92" t="s">
        <v>4022</v>
      </c>
      <c r="I87">
        <v>1</v>
      </c>
      <c r="K87" s="95">
        <v>1</v>
      </c>
      <c r="L87" s="31"/>
      <c r="M87" s="31"/>
      <c r="N87" s="31"/>
      <c r="O87" s="31"/>
      <c r="P87" s="4">
        <v>1</v>
      </c>
      <c r="Q87" s="57">
        <v>0</v>
      </c>
      <c r="R87" s="57">
        <v>0</v>
      </c>
      <c r="S87" s="97">
        <v>0</v>
      </c>
      <c r="T87" s="57">
        <v>0</v>
      </c>
      <c r="U87" s="57">
        <v>0</v>
      </c>
      <c r="V87" s="57">
        <v>0</v>
      </c>
      <c r="W87" s="5">
        <v>0</v>
      </c>
      <c r="X87" s="94">
        <v>0</v>
      </c>
    </row>
    <row r="88" spans="1:24" x14ac:dyDescent="0.35">
      <c r="A88">
        <v>84</v>
      </c>
      <c r="B88">
        <v>85</v>
      </c>
      <c r="C88">
        <v>146.12627055600001</v>
      </c>
      <c r="D88">
        <v>-17.602404716100001</v>
      </c>
      <c r="E88">
        <v>50</v>
      </c>
      <c r="F88" t="str">
        <f>HYPERLINK("D:\Data From Lucan\2024\Moresby\Frames_for_Analysis/85_20240611_0012_R_1796.jpg","85_20240611_0012_R_1796.jpg")</f>
        <v>85_20240611_0012_R_1796.jpg</v>
      </c>
      <c r="G88" s="92" t="s">
        <v>4023</v>
      </c>
      <c r="I88">
        <v>1</v>
      </c>
      <c r="K88" s="95">
        <v>1</v>
      </c>
      <c r="L88" s="31"/>
      <c r="M88" s="31"/>
      <c r="N88" s="31"/>
      <c r="O88" s="31"/>
      <c r="P88" s="4">
        <v>1</v>
      </c>
      <c r="Q88" s="57">
        <v>0</v>
      </c>
      <c r="R88" s="57">
        <v>0</v>
      </c>
      <c r="S88" s="97">
        <v>0</v>
      </c>
      <c r="T88" s="57">
        <v>0</v>
      </c>
      <c r="U88" s="57">
        <v>0</v>
      </c>
      <c r="V88" s="57">
        <v>0</v>
      </c>
      <c r="W88" s="5">
        <v>0</v>
      </c>
      <c r="X88" s="94">
        <v>0</v>
      </c>
    </row>
    <row r="89" spans="1:24" x14ac:dyDescent="0.35">
      <c r="A89">
        <v>85</v>
      </c>
      <c r="B89">
        <v>86</v>
      </c>
      <c r="C89">
        <v>146.12626278900001</v>
      </c>
      <c r="D89">
        <v>-17.602490020800001</v>
      </c>
      <c r="F89" t="str">
        <f>HYPERLINK("D:\Data From Lucan\2024\Moresby\Frames_for_Analysis/86_20240611_0012_R_1794.jpg","86_20240611_0012_R_1794.jpg")</f>
        <v>86_20240611_0012_R_1794.jpg</v>
      </c>
      <c r="G89" s="92" t="s">
        <v>4024</v>
      </c>
      <c r="I89">
        <v>1</v>
      </c>
      <c r="K89" s="95">
        <v>1</v>
      </c>
      <c r="L89" s="31"/>
      <c r="M89" s="31"/>
      <c r="N89" s="31"/>
      <c r="O89" s="31"/>
      <c r="P89" s="4">
        <v>1</v>
      </c>
      <c r="Q89" s="57">
        <v>0</v>
      </c>
      <c r="R89" s="57">
        <v>0</v>
      </c>
      <c r="S89" s="97">
        <v>0</v>
      </c>
      <c r="T89" s="57">
        <v>0</v>
      </c>
      <c r="U89" s="57">
        <v>0</v>
      </c>
      <c r="V89" s="57">
        <v>0</v>
      </c>
      <c r="W89" s="5">
        <v>0</v>
      </c>
      <c r="X89" s="94">
        <v>0</v>
      </c>
    </row>
    <row r="90" spans="1:24" x14ac:dyDescent="0.35">
      <c r="A90">
        <v>86</v>
      </c>
      <c r="B90">
        <v>87</v>
      </c>
      <c r="C90">
        <v>146.12625502200001</v>
      </c>
      <c r="D90">
        <v>-17.602575325499899</v>
      </c>
      <c r="F90" t="str">
        <f>HYPERLINK("D:\Data From Lucan\2024\Moresby\Frames_for_Analysis/87_20240611_0012_R_1791.jpg","87_20240611_0012_R_1791.jpg")</f>
        <v>87_20240611_0012_R_1791.jpg</v>
      </c>
      <c r="G90" s="92" t="s">
        <v>4025</v>
      </c>
      <c r="I90">
        <v>1</v>
      </c>
      <c r="K90" s="95">
        <v>1</v>
      </c>
      <c r="L90" s="31"/>
      <c r="M90" s="31"/>
      <c r="N90" s="31"/>
      <c r="O90" s="31"/>
      <c r="P90" s="4">
        <v>1</v>
      </c>
      <c r="Q90" s="57">
        <v>0</v>
      </c>
      <c r="R90" s="57">
        <v>0</v>
      </c>
      <c r="S90" s="97">
        <v>0</v>
      </c>
      <c r="T90" s="57">
        <v>0</v>
      </c>
      <c r="U90" s="57">
        <v>0</v>
      </c>
      <c r="V90" s="57">
        <v>0</v>
      </c>
      <c r="W90" s="5">
        <v>0</v>
      </c>
      <c r="X90" s="94">
        <v>0</v>
      </c>
    </row>
    <row r="91" spans="1:24" x14ac:dyDescent="0.35">
      <c r="A91">
        <v>87</v>
      </c>
      <c r="B91">
        <v>88</v>
      </c>
      <c r="C91">
        <v>146.12624725500001</v>
      </c>
      <c r="D91">
        <v>-17.6026606301999</v>
      </c>
      <c r="F91" t="str">
        <f>HYPERLINK("D:\Data From Lucan\2024\Moresby\Frames_for_Analysis/88_20240611_0012_R_1787.jpg","88_20240611_0012_R_1787.jpg")</f>
        <v>88_20240611_0012_R_1787.jpg</v>
      </c>
      <c r="G91" s="92" t="s">
        <v>4026</v>
      </c>
      <c r="I91">
        <v>1</v>
      </c>
      <c r="K91" s="95">
        <v>1</v>
      </c>
      <c r="L91" s="31"/>
      <c r="M91" s="31"/>
      <c r="N91" s="31"/>
      <c r="O91" s="31"/>
      <c r="P91" s="4">
        <v>1</v>
      </c>
      <c r="Q91" s="57">
        <v>0</v>
      </c>
      <c r="R91" s="57">
        <v>0</v>
      </c>
      <c r="S91" s="97">
        <v>0</v>
      </c>
      <c r="T91" s="57">
        <v>0</v>
      </c>
      <c r="U91" s="57">
        <v>0</v>
      </c>
      <c r="V91" s="57">
        <v>0</v>
      </c>
      <c r="W91" s="5">
        <v>0</v>
      </c>
      <c r="X91" s="94">
        <v>0</v>
      </c>
    </row>
    <row r="92" spans="1:24" x14ac:dyDescent="0.35">
      <c r="A92">
        <v>88</v>
      </c>
      <c r="B92">
        <v>89</v>
      </c>
      <c r="C92">
        <v>146.126232240999</v>
      </c>
      <c r="D92">
        <v>-17.602742720199899</v>
      </c>
      <c r="F92" t="str">
        <f>HYPERLINK("D:\Data From Lucan\2024\Moresby\Frames_for_Analysis/89_20240611_0012_R_1784.jpg","89_20240611_0012_R_1784.jpg")</f>
        <v>89_20240611_0012_R_1784.jpg</v>
      </c>
      <c r="G92" s="92" t="s">
        <v>4027</v>
      </c>
      <c r="I92">
        <v>1</v>
      </c>
      <c r="K92" s="95">
        <v>1</v>
      </c>
      <c r="L92" s="31"/>
      <c r="M92" s="31"/>
      <c r="N92" s="31"/>
      <c r="O92" s="31"/>
      <c r="P92" s="4">
        <v>1</v>
      </c>
      <c r="Q92" s="57">
        <v>0</v>
      </c>
      <c r="R92" s="57">
        <v>0</v>
      </c>
      <c r="S92" s="97">
        <v>0</v>
      </c>
      <c r="T92" s="57">
        <v>0</v>
      </c>
      <c r="U92" s="57">
        <v>0</v>
      </c>
      <c r="V92" s="57">
        <v>0</v>
      </c>
      <c r="W92" s="5">
        <v>0</v>
      </c>
      <c r="X92" s="94">
        <v>0</v>
      </c>
    </row>
    <row r="93" spans="1:24" x14ac:dyDescent="0.35">
      <c r="A93">
        <v>89</v>
      </c>
      <c r="B93">
        <v>90</v>
      </c>
      <c r="C93">
        <v>146.12618124700001</v>
      </c>
      <c r="D93">
        <v>-17.602809014399899</v>
      </c>
      <c r="E93">
        <v>50</v>
      </c>
      <c r="F93" t="str">
        <f>HYPERLINK("D:\Data From Lucan\2024\Moresby\Frames_for_Analysis/90_20240611_0012_R_1782.jpg","90_20240611_0012_R_1782.jpg")</f>
        <v>90_20240611_0012_R_1782.jpg</v>
      </c>
      <c r="G93" s="92" t="s">
        <v>4028</v>
      </c>
      <c r="I93">
        <v>1</v>
      </c>
      <c r="K93" s="95">
        <v>1</v>
      </c>
      <c r="L93" s="31"/>
      <c r="M93" s="31"/>
      <c r="N93" s="31"/>
      <c r="O93" s="31"/>
      <c r="P93" s="4">
        <v>1</v>
      </c>
      <c r="Q93" s="57">
        <v>0</v>
      </c>
      <c r="R93" s="57">
        <v>0</v>
      </c>
      <c r="S93" s="97">
        <v>0</v>
      </c>
      <c r="T93" s="57">
        <v>0</v>
      </c>
      <c r="U93" s="57">
        <v>0</v>
      </c>
      <c r="V93" s="57">
        <v>0</v>
      </c>
      <c r="W93" s="5">
        <v>0</v>
      </c>
      <c r="X93" s="94">
        <v>0</v>
      </c>
    </row>
    <row r="94" spans="1:24" x14ac:dyDescent="0.35">
      <c r="A94">
        <v>90</v>
      </c>
      <c r="B94">
        <v>91</v>
      </c>
      <c r="C94">
        <v>146.12617144800001</v>
      </c>
      <c r="D94">
        <v>-17.6028941285999</v>
      </c>
      <c r="F94" t="str">
        <f>HYPERLINK("D:\Data From Lucan\2024\Moresby\Frames_for_Analysis/91_20240611_0012_R_1780.jpg","91_20240611_0012_R_1780.jpg")</f>
        <v>91_20240611_0012_R_1780.jpg</v>
      </c>
      <c r="G94" s="92" t="s">
        <v>4029</v>
      </c>
      <c r="I94">
        <v>1</v>
      </c>
      <c r="K94" s="95">
        <v>1</v>
      </c>
      <c r="L94" s="31"/>
      <c r="M94" s="31"/>
      <c r="N94" s="31"/>
      <c r="O94" s="31"/>
      <c r="P94" s="4">
        <v>1</v>
      </c>
      <c r="Q94" s="57">
        <v>0</v>
      </c>
      <c r="R94" s="57">
        <v>0</v>
      </c>
      <c r="S94" s="97">
        <v>0</v>
      </c>
      <c r="T94" s="57">
        <v>0</v>
      </c>
      <c r="U94" s="57">
        <v>0</v>
      </c>
      <c r="V94" s="57">
        <v>0</v>
      </c>
      <c r="W94" s="5">
        <v>0</v>
      </c>
      <c r="X94" s="94">
        <v>0</v>
      </c>
    </row>
    <row r="95" spans="1:24" x14ac:dyDescent="0.35">
      <c r="A95">
        <v>91</v>
      </c>
      <c r="B95">
        <v>92</v>
      </c>
      <c r="C95">
        <v>146.126161647999</v>
      </c>
      <c r="D95">
        <v>-17.6029792428</v>
      </c>
      <c r="F95" t="str">
        <f>HYPERLINK("D:\Data From Lucan\2024\Moresby\Frames_for_Analysis/92_20240611_0012_R_1777.jpg","92_20240611_0012_R_1777.jpg")</f>
        <v>92_20240611_0012_R_1777.jpg</v>
      </c>
      <c r="G95" s="92" t="s">
        <v>4030</v>
      </c>
      <c r="I95">
        <v>1</v>
      </c>
      <c r="K95" s="95">
        <v>1</v>
      </c>
      <c r="L95" s="31"/>
      <c r="M95" s="31"/>
      <c r="N95" s="31"/>
      <c r="O95" s="31"/>
      <c r="P95" s="4">
        <v>1</v>
      </c>
      <c r="Q95" s="57">
        <v>0</v>
      </c>
      <c r="R95" s="57">
        <v>0</v>
      </c>
      <c r="S95" s="97">
        <v>0</v>
      </c>
      <c r="T95" s="57">
        <v>0</v>
      </c>
      <c r="U95" s="57">
        <v>0</v>
      </c>
      <c r="V95" s="57">
        <v>0</v>
      </c>
      <c r="W95" s="5">
        <v>0</v>
      </c>
      <c r="X95" s="94">
        <v>0</v>
      </c>
    </row>
    <row r="96" spans="1:24" x14ac:dyDescent="0.35">
      <c r="A96">
        <v>92</v>
      </c>
      <c r="B96">
        <v>93</v>
      </c>
      <c r="C96">
        <v>146.12615313500001</v>
      </c>
      <c r="D96">
        <v>-17.603064343300002</v>
      </c>
      <c r="F96" t="str">
        <f>HYPERLINK("D:\Data From Lucan\2024\Moresby\Frames_for_Analysis/93_20240611_0012_R_1774.jpg","93_20240611_0012_R_1774.jpg")</f>
        <v>93_20240611_0012_R_1774.jpg</v>
      </c>
      <c r="G96" s="92" t="s">
        <v>4031</v>
      </c>
      <c r="I96">
        <v>1</v>
      </c>
      <c r="K96" s="95">
        <v>1</v>
      </c>
      <c r="L96" s="31"/>
      <c r="M96" s="31"/>
      <c r="N96" s="31"/>
      <c r="O96" s="31"/>
      <c r="P96" s="4">
        <v>1</v>
      </c>
      <c r="Q96" s="57">
        <v>0</v>
      </c>
      <c r="R96" s="57">
        <v>0</v>
      </c>
      <c r="S96" s="97">
        <v>0</v>
      </c>
      <c r="T96" s="57">
        <v>0</v>
      </c>
      <c r="U96" s="57">
        <v>0</v>
      </c>
      <c r="V96" s="57">
        <v>0</v>
      </c>
      <c r="W96" s="5">
        <v>0</v>
      </c>
      <c r="X96" s="94">
        <v>0</v>
      </c>
    </row>
    <row r="97" spans="1:24" x14ac:dyDescent="0.35">
      <c r="A97">
        <v>93</v>
      </c>
      <c r="B97">
        <v>94</v>
      </c>
      <c r="C97">
        <v>146.12616491099899</v>
      </c>
      <c r="D97">
        <v>-17.603149229500001</v>
      </c>
      <c r="F97" t="str">
        <f>HYPERLINK("D:\Data From Lucan\2024\Moresby\Frames_for_Analysis/94_20240611_0012_R_1770.jpg","94_20240611_0012_R_1770.jpg")</f>
        <v>94_20240611_0012_R_1770.jpg</v>
      </c>
      <c r="G97" s="92" t="s">
        <v>4032</v>
      </c>
      <c r="I97">
        <v>1</v>
      </c>
      <c r="K97" s="95">
        <v>1</v>
      </c>
      <c r="L97" s="31"/>
      <c r="M97" s="31"/>
      <c r="N97" s="31"/>
      <c r="O97" s="31"/>
      <c r="P97" s="4">
        <v>1</v>
      </c>
      <c r="Q97" s="57">
        <v>0</v>
      </c>
      <c r="R97" s="57">
        <v>0</v>
      </c>
      <c r="S97" s="97">
        <v>0</v>
      </c>
      <c r="T97" s="57">
        <v>0</v>
      </c>
      <c r="U97" s="57">
        <v>0</v>
      </c>
      <c r="V97" s="57">
        <v>0</v>
      </c>
      <c r="W97" s="5">
        <v>0</v>
      </c>
      <c r="X97" s="94">
        <v>0</v>
      </c>
    </row>
    <row r="98" spans="1:24" x14ac:dyDescent="0.35">
      <c r="A98">
        <v>94</v>
      </c>
      <c r="B98">
        <v>95</v>
      </c>
      <c r="C98">
        <v>146.126176686999</v>
      </c>
      <c r="D98">
        <v>-17.603234115700001</v>
      </c>
      <c r="E98">
        <v>50</v>
      </c>
      <c r="F98" t="str">
        <f>HYPERLINK("D:\Data From Lucan\2024\Moresby\Frames_for_Analysis/95_20240611_0012_R_1765.jpg","95_20240611_0012_R_1765.jpg")</f>
        <v>95_20240611_0012_R_1765.jpg</v>
      </c>
      <c r="G98" s="92" t="s">
        <v>4033</v>
      </c>
      <c r="I98">
        <v>1</v>
      </c>
      <c r="K98" s="95">
        <v>1</v>
      </c>
      <c r="L98" s="31"/>
      <c r="M98" s="31"/>
      <c r="N98" s="31"/>
      <c r="O98" s="31"/>
      <c r="P98" s="4">
        <v>1</v>
      </c>
      <c r="Q98" s="57">
        <v>0</v>
      </c>
      <c r="R98" s="57">
        <v>0</v>
      </c>
      <c r="S98" s="97">
        <v>0</v>
      </c>
      <c r="T98" s="57">
        <v>0</v>
      </c>
      <c r="U98" s="57">
        <v>0</v>
      </c>
      <c r="V98" s="57">
        <v>0</v>
      </c>
      <c r="W98" s="5">
        <v>0</v>
      </c>
      <c r="X98" s="94">
        <v>0</v>
      </c>
    </row>
    <row r="99" spans="1:24" x14ac:dyDescent="0.35">
      <c r="A99">
        <v>95</v>
      </c>
      <c r="B99">
        <v>96</v>
      </c>
      <c r="C99">
        <v>146.126134433999</v>
      </c>
      <c r="D99">
        <v>-17.603302700699899</v>
      </c>
      <c r="F99" t="str">
        <f>HYPERLINK("D:\Data From Lucan\2024\Moresby\Frames_for_Analysis/96_20240611_0012_R_1761.jpg","96_20240611_0012_R_1761.jpg")</f>
        <v>96_20240611_0012_R_1761.jpg</v>
      </c>
      <c r="G99" s="92" t="s">
        <v>4034</v>
      </c>
      <c r="I99">
        <v>1</v>
      </c>
      <c r="K99" s="95">
        <v>1</v>
      </c>
      <c r="L99" s="31"/>
      <c r="M99" s="31"/>
      <c r="N99" s="31"/>
      <c r="O99" s="31"/>
      <c r="P99" s="4">
        <v>1</v>
      </c>
      <c r="Q99" s="57">
        <v>0</v>
      </c>
      <c r="R99" s="57">
        <v>0</v>
      </c>
      <c r="S99" s="97">
        <v>0</v>
      </c>
      <c r="T99" s="57">
        <v>0</v>
      </c>
      <c r="U99" s="57">
        <v>0</v>
      </c>
      <c r="V99" s="57">
        <v>0</v>
      </c>
      <c r="W99" s="5">
        <v>0</v>
      </c>
      <c r="X99" s="94">
        <v>0</v>
      </c>
    </row>
    <row r="100" spans="1:24" x14ac:dyDescent="0.35">
      <c r="A100">
        <v>96</v>
      </c>
      <c r="B100">
        <v>97</v>
      </c>
      <c r="C100">
        <v>146.126125612999</v>
      </c>
      <c r="D100">
        <v>-17.603387911900001</v>
      </c>
      <c r="F100" t="str">
        <f>HYPERLINK("D:\Data From Lucan\2024\Moresby\Frames_for_Analysis/97_20240611_0012_R_1756.jpg","97_20240611_0012_R_1756.jpg")</f>
        <v>97_20240611_0012_R_1756.jpg</v>
      </c>
      <c r="G100" s="92" t="s">
        <v>4035</v>
      </c>
      <c r="I100">
        <v>1</v>
      </c>
      <c r="K100" s="95">
        <v>1</v>
      </c>
      <c r="L100" s="31"/>
      <c r="M100" s="31"/>
      <c r="N100" s="31"/>
      <c r="O100" s="31"/>
      <c r="P100" s="4">
        <v>1</v>
      </c>
      <c r="Q100" s="57">
        <v>0</v>
      </c>
      <c r="R100" s="57">
        <v>0</v>
      </c>
      <c r="S100" s="97">
        <v>0</v>
      </c>
      <c r="T100" s="57">
        <v>0</v>
      </c>
      <c r="U100" s="57">
        <v>0</v>
      </c>
      <c r="V100" s="57">
        <v>0</v>
      </c>
      <c r="W100" s="5">
        <v>0</v>
      </c>
      <c r="X100" s="94">
        <v>0</v>
      </c>
    </row>
    <row r="101" spans="1:24" x14ac:dyDescent="0.35">
      <c r="A101">
        <v>97</v>
      </c>
      <c r="B101">
        <v>98</v>
      </c>
      <c r="C101">
        <v>146.12611964499899</v>
      </c>
      <c r="D101">
        <v>-17.6034732709</v>
      </c>
      <c r="F101" t="str">
        <f>HYPERLINK("D:\Data From Lucan\2024\Moresby\Frames_for_Analysis/98_20240611_0012_R_1752.jpg","98_20240611_0012_R_1752.jpg")</f>
        <v>98_20240611_0012_R_1752.jpg</v>
      </c>
      <c r="G101" s="92" t="s">
        <v>4036</v>
      </c>
      <c r="I101">
        <v>1</v>
      </c>
      <c r="K101" s="95">
        <v>1</v>
      </c>
      <c r="L101" s="31"/>
      <c r="M101" s="31"/>
      <c r="N101" s="31"/>
      <c r="O101" s="31"/>
      <c r="P101" s="4">
        <v>1</v>
      </c>
      <c r="Q101" s="57">
        <v>0</v>
      </c>
      <c r="R101" s="57">
        <v>0</v>
      </c>
      <c r="S101" s="97">
        <v>0</v>
      </c>
      <c r="T101" s="57">
        <v>0</v>
      </c>
      <c r="U101" s="57">
        <v>0</v>
      </c>
      <c r="V101" s="57">
        <v>0</v>
      </c>
      <c r="W101" s="5">
        <v>0</v>
      </c>
      <c r="X101" s="94">
        <v>0</v>
      </c>
    </row>
    <row r="102" spans="1:24" x14ac:dyDescent="0.35">
      <c r="A102">
        <v>98</v>
      </c>
      <c r="B102">
        <v>99</v>
      </c>
      <c r="C102">
        <v>146.12611872700001</v>
      </c>
      <c r="D102">
        <v>-17.603558891300001</v>
      </c>
      <c r="F102" t="str">
        <f>HYPERLINK("D:\Data From Lucan\2024\Moresby\Frames_for_Analysis/99_20240611_0012_R_1748.jpg","99_20240611_0012_R_1748.jpg")</f>
        <v>99_20240611_0012_R_1748.jpg</v>
      </c>
      <c r="G102" s="92" t="s">
        <v>4037</v>
      </c>
      <c r="I102">
        <v>1</v>
      </c>
      <c r="K102" s="95">
        <v>1</v>
      </c>
      <c r="L102" s="31"/>
      <c r="M102" s="31"/>
      <c r="N102" s="31"/>
      <c r="O102" s="31"/>
      <c r="P102" s="4">
        <v>1</v>
      </c>
      <c r="Q102" s="57">
        <v>0</v>
      </c>
      <c r="R102" s="57">
        <v>0</v>
      </c>
      <c r="S102" s="97">
        <v>0</v>
      </c>
      <c r="T102" s="57">
        <v>0</v>
      </c>
      <c r="U102" s="57">
        <v>0</v>
      </c>
      <c r="V102" s="57">
        <v>0</v>
      </c>
      <c r="W102" s="5">
        <v>0</v>
      </c>
      <c r="X102" s="94">
        <v>0</v>
      </c>
    </row>
    <row r="103" spans="1:24" x14ac:dyDescent="0.35">
      <c r="A103">
        <v>99</v>
      </c>
      <c r="B103">
        <v>100</v>
      </c>
      <c r="C103">
        <v>146.12611384300001</v>
      </c>
      <c r="D103">
        <v>-17.603643927099899</v>
      </c>
      <c r="E103">
        <v>50</v>
      </c>
      <c r="F103" t="str">
        <f>HYPERLINK("D:\Data From Lucan\2024\Moresby\Frames_for_Analysis/100_20240611_0012_R_1744.jpg","100_20240611_0012_R_1744.jpg")</f>
        <v>100_20240611_0012_R_1744.jpg</v>
      </c>
      <c r="G103" s="92" t="s">
        <v>4038</v>
      </c>
      <c r="I103">
        <v>1</v>
      </c>
      <c r="K103" s="95">
        <v>1</v>
      </c>
      <c r="L103" s="31"/>
      <c r="M103" s="31"/>
      <c r="N103" s="31"/>
      <c r="O103" s="31"/>
      <c r="P103" s="4">
        <v>1</v>
      </c>
      <c r="Q103" s="57">
        <v>0</v>
      </c>
      <c r="R103" s="57">
        <v>0</v>
      </c>
      <c r="S103" s="97">
        <v>0</v>
      </c>
      <c r="T103" s="57">
        <v>0</v>
      </c>
      <c r="U103" s="57">
        <v>0</v>
      </c>
      <c r="V103" s="57">
        <v>0</v>
      </c>
      <c r="W103" s="5">
        <v>0</v>
      </c>
      <c r="X103" s="94">
        <v>0</v>
      </c>
    </row>
    <row r="104" spans="1:24" x14ac:dyDescent="0.35">
      <c r="A104">
        <v>100</v>
      </c>
      <c r="B104">
        <v>101</v>
      </c>
      <c r="C104">
        <v>146.126087587</v>
      </c>
      <c r="D104">
        <v>-17.603725812899899</v>
      </c>
      <c r="F104" t="str">
        <f>HYPERLINK("D:\Data From Lucan\2024\Moresby\Frames_for_Analysis/101_20240611_0012_R_1739.jpg","101_20240611_0012_R_1739.jpg")</f>
        <v>101_20240611_0012_R_1739.jpg</v>
      </c>
      <c r="G104" s="92" t="s">
        <v>4039</v>
      </c>
      <c r="I104">
        <v>1</v>
      </c>
      <c r="K104" s="95">
        <v>1</v>
      </c>
      <c r="L104" s="31"/>
      <c r="M104" s="31"/>
      <c r="N104" s="31"/>
      <c r="O104" s="31"/>
      <c r="P104" s="4">
        <v>1</v>
      </c>
      <c r="Q104" s="57">
        <v>0</v>
      </c>
      <c r="R104" s="57">
        <v>0</v>
      </c>
      <c r="S104" s="97">
        <v>0</v>
      </c>
      <c r="T104" s="57">
        <v>0</v>
      </c>
      <c r="U104" s="57">
        <v>0</v>
      </c>
      <c r="V104" s="57">
        <v>0</v>
      </c>
      <c r="W104" s="5">
        <v>0</v>
      </c>
      <c r="X104" s="94">
        <v>0</v>
      </c>
    </row>
    <row r="105" spans="1:24" x14ac:dyDescent="0.35">
      <c r="A105">
        <v>101</v>
      </c>
      <c r="B105">
        <v>102</v>
      </c>
      <c r="C105">
        <v>146.126060198999</v>
      </c>
      <c r="D105">
        <v>-17.603807252900001</v>
      </c>
      <c r="F105" t="str">
        <f>HYPERLINK("D:\Data From Lucan\2024\Moresby\Frames_for_Analysis/102_20240611_0012_R_1736.jpg","102_20240611_0012_R_1736.jpg")</f>
        <v>102_20240611_0012_R_1736.jpg</v>
      </c>
      <c r="G105" s="92" t="s">
        <v>4040</v>
      </c>
      <c r="I105">
        <v>1</v>
      </c>
      <c r="K105" s="95">
        <v>1</v>
      </c>
      <c r="L105" s="31"/>
      <c r="M105" s="31"/>
      <c r="N105" s="31"/>
      <c r="O105" s="31"/>
      <c r="P105" s="4">
        <v>1</v>
      </c>
      <c r="Q105" s="57">
        <v>0</v>
      </c>
      <c r="R105" s="57">
        <v>0</v>
      </c>
      <c r="S105" s="97">
        <v>0</v>
      </c>
      <c r="T105" s="57">
        <v>0</v>
      </c>
      <c r="U105" s="57">
        <v>0</v>
      </c>
      <c r="V105" s="57">
        <v>0</v>
      </c>
      <c r="W105" s="5">
        <v>0</v>
      </c>
      <c r="X105" s="94">
        <v>0</v>
      </c>
    </row>
    <row r="106" spans="1:24" x14ac:dyDescent="0.35">
      <c r="A106">
        <v>102</v>
      </c>
      <c r="B106">
        <v>103</v>
      </c>
      <c r="C106">
        <v>146.126018144</v>
      </c>
      <c r="D106">
        <v>-17.6038829148</v>
      </c>
      <c r="F106" t="str">
        <f>HYPERLINK("D:\Data From Lucan\2024\Moresby\Frames_for_Analysis/103_20240611_0012_R_1732.jpg","103_20240611_0012_R_1732.jpg")</f>
        <v>103_20240611_0012_R_1732.jpg</v>
      </c>
      <c r="G106" s="92" t="s">
        <v>4041</v>
      </c>
      <c r="I106">
        <v>1</v>
      </c>
      <c r="K106" s="95">
        <v>1</v>
      </c>
      <c r="L106" s="31"/>
      <c r="M106" s="31"/>
      <c r="N106" s="31"/>
      <c r="O106" s="31"/>
      <c r="P106" s="4">
        <v>1</v>
      </c>
      <c r="Q106" s="57">
        <v>0</v>
      </c>
      <c r="R106" s="57">
        <v>0</v>
      </c>
      <c r="S106" s="97">
        <v>0</v>
      </c>
      <c r="T106" s="57">
        <v>0</v>
      </c>
      <c r="U106" s="57">
        <v>0</v>
      </c>
      <c r="V106" s="57">
        <v>0</v>
      </c>
      <c r="W106" s="5">
        <v>0</v>
      </c>
      <c r="X106" s="94">
        <v>0</v>
      </c>
    </row>
    <row r="107" spans="1:24" x14ac:dyDescent="0.35">
      <c r="A107">
        <v>103</v>
      </c>
      <c r="B107">
        <v>104</v>
      </c>
      <c r="C107">
        <v>146.126001701999</v>
      </c>
      <c r="D107">
        <v>-17.603966120700001</v>
      </c>
      <c r="F107" t="str">
        <f>HYPERLINK("D:\Data From Lucan\2024\Moresby\Frames_for_Analysis/104_20240611_0012_R_1728.jpg","104_20240611_0012_R_1728.jpg")</f>
        <v>104_20240611_0012_R_1728.jpg</v>
      </c>
      <c r="G107" s="92" t="s">
        <v>4042</v>
      </c>
      <c r="I107">
        <v>1</v>
      </c>
      <c r="K107" s="95">
        <v>1</v>
      </c>
      <c r="L107" s="31"/>
      <c r="M107" s="31"/>
      <c r="N107" s="31"/>
      <c r="O107" s="31"/>
      <c r="P107" s="4">
        <v>1</v>
      </c>
      <c r="Q107" s="57">
        <v>0</v>
      </c>
      <c r="R107" s="57">
        <v>0</v>
      </c>
      <c r="S107" s="97">
        <v>0</v>
      </c>
      <c r="T107" s="57">
        <v>0</v>
      </c>
      <c r="U107" s="57">
        <v>0</v>
      </c>
      <c r="V107" s="57">
        <v>0</v>
      </c>
      <c r="W107" s="5">
        <v>0</v>
      </c>
      <c r="X107" s="94">
        <v>0</v>
      </c>
    </row>
    <row r="108" spans="1:24" x14ac:dyDescent="0.35">
      <c r="A108">
        <v>104</v>
      </c>
      <c r="B108">
        <v>105</v>
      </c>
      <c r="C108">
        <v>146.12599164400001</v>
      </c>
      <c r="D108">
        <v>-17.604051207000001</v>
      </c>
      <c r="E108">
        <v>50</v>
      </c>
      <c r="F108" t="str">
        <f>HYPERLINK("D:\Data From Lucan\2024\Moresby\Frames_for_Analysis/105_20240611_0012_R_1724.jpg","105_20240611_0012_R_1724.jpg")</f>
        <v>105_20240611_0012_R_1724.jpg</v>
      </c>
      <c r="G108" s="92" t="s">
        <v>4043</v>
      </c>
      <c r="I108">
        <v>1</v>
      </c>
      <c r="K108" s="95">
        <v>1</v>
      </c>
      <c r="L108" s="31"/>
      <c r="M108" s="31"/>
      <c r="N108" s="31"/>
      <c r="O108" s="31"/>
      <c r="P108" s="4">
        <v>1</v>
      </c>
      <c r="Q108" s="57">
        <v>0</v>
      </c>
      <c r="R108" s="57">
        <v>0</v>
      </c>
      <c r="S108" s="97">
        <v>0</v>
      </c>
      <c r="T108" s="57">
        <v>0</v>
      </c>
      <c r="U108" s="57">
        <v>0</v>
      </c>
      <c r="V108" s="57">
        <v>0</v>
      </c>
      <c r="W108" s="5">
        <v>0</v>
      </c>
      <c r="X108" s="94">
        <v>0</v>
      </c>
    </row>
    <row r="109" spans="1:24" x14ac:dyDescent="0.35">
      <c r="A109">
        <v>105</v>
      </c>
      <c r="B109">
        <v>106</v>
      </c>
      <c r="C109">
        <v>146.125981585999</v>
      </c>
      <c r="D109">
        <v>-17.6041362932</v>
      </c>
      <c r="F109" t="str">
        <f>HYPERLINK("D:\Data From Lucan\2024\Moresby\Frames_for_Analysis/106_20240611_0012_R_1720.jpg","106_20240611_0012_R_1720.jpg")</f>
        <v>106_20240611_0012_R_1720.jpg</v>
      </c>
      <c r="G109" s="92" t="s">
        <v>4044</v>
      </c>
      <c r="I109">
        <v>1</v>
      </c>
      <c r="K109" s="95">
        <v>1</v>
      </c>
      <c r="L109" s="31"/>
      <c r="M109" s="31"/>
      <c r="N109" s="31"/>
      <c r="O109" s="31"/>
      <c r="P109" s="4">
        <v>1</v>
      </c>
      <c r="Q109" s="57">
        <v>0</v>
      </c>
      <c r="R109" s="57">
        <v>0</v>
      </c>
      <c r="S109" s="97">
        <v>0</v>
      </c>
      <c r="T109" s="57">
        <v>0</v>
      </c>
      <c r="U109" s="57">
        <v>0</v>
      </c>
      <c r="V109" s="57">
        <v>0</v>
      </c>
      <c r="W109" s="5">
        <v>0</v>
      </c>
      <c r="X109" s="94">
        <v>0</v>
      </c>
    </row>
    <row r="110" spans="1:24" x14ac:dyDescent="0.35">
      <c r="A110">
        <v>106</v>
      </c>
      <c r="B110">
        <v>107</v>
      </c>
      <c r="C110">
        <v>146.125984858999</v>
      </c>
      <c r="D110">
        <v>-17.6042214227</v>
      </c>
      <c r="F110" t="str">
        <f>HYPERLINK("D:\Data From Lucan\2024\Moresby\Frames_for_Analysis/107_20240611_0012_R_1716.jpg","107_20240611_0012_R_1716.jpg")</f>
        <v>107_20240611_0012_R_1716.jpg</v>
      </c>
      <c r="G110" s="92" t="s">
        <v>4045</v>
      </c>
      <c r="I110">
        <v>1</v>
      </c>
      <c r="K110" s="95">
        <v>1</v>
      </c>
      <c r="L110" s="31"/>
      <c r="M110" s="31"/>
      <c r="N110" s="31"/>
      <c r="O110" s="31"/>
      <c r="P110" s="4">
        <v>1</v>
      </c>
      <c r="Q110" s="57">
        <v>0</v>
      </c>
      <c r="R110" s="57">
        <v>0</v>
      </c>
      <c r="S110" s="97">
        <v>0</v>
      </c>
      <c r="T110" s="57">
        <v>0</v>
      </c>
      <c r="U110" s="57">
        <v>0</v>
      </c>
      <c r="V110" s="57">
        <v>0</v>
      </c>
      <c r="W110" s="5">
        <v>0</v>
      </c>
      <c r="X110" s="94">
        <v>0</v>
      </c>
    </row>
    <row r="111" spans="1:24" x14ac:dyDescent="0.35">
      <c r="A111">
        <v>107</v>
      </c>
      <c r="B111">
        <v>108</v>
      </c>
      <c r="C111">
        <v>146.12599140500001</v>
      </c>
      <c r="D111">
        <v>-17.6043067118</v>
      </c>
      <c r="F111" t="str">
        <f>HYPERLINK("D:\Data From Lucan\2024\Moresby\Frames_for_Analysis/108_20240611_0012_R_1712.jpg","108_20240611_0012_R_1712.jpg")</f>
        <v>108_20240611_0012_R_1712.jpg</v>
      </c>
      <c r="G111" s="92" t="s">
        <v>4046</v>
      </c>
      <c r="I111">
        <v>1</v>
      </c>
      <c r="K111" s="95">
        <v>1</v>
      </c>
      <c r="L111" s="31"/>
      <c r="M111" s="31"/>
      <c r="N111" s="31"/>
      <c r="O111" s="31"/>
      <c r="P111" s="4">
        <v>1</v>
      </c>
      <c r="Q111" s="57">
        <v>0</v>
      </c>
      <c r="R111" s="57">
        <v>0</v>
      </c>
      <c r="S111" s="97">
        <v>0</v>
      </c>
      <c r="T111" s="57">
        <v>0</v>
      </c>
      <c r="U111" s="57">
        <v>0</v>
      </c>
      <c r="V111" s="57">
        <v>0</v>
      </c>
      <c r="W111" s="5">
        <v>0</v>
      </c>
      <c r="X111" s="94">
        <v>0</v>
      </c>
    </row>
    <row r="112" spans="1:24" x14ac:dyDescent="0.35">
      <c r="A112">
        <v>108</v>
      </c>
      <c r="B112">
        <v>109</v>
      </c>
      <c r="C112">
        <v>146.12597910599899</v>
      </c>
      <c r="D112">
        <v>-17.6043896203999</v>
      </c>
      <c r="F112" t="str">
        <f>HYPERLINK("D:\Data From Lucan\2024\Moresby\Frames_for_Analysis/109_20240611_0012_R_1707.jpg","109_20240611_0012_R_1707.jpg")</f>
        <v>109_20240611_0012_R_1707.jpg</v>
      </c>
      <c r="G112" s="92" t="s">
        <v>4047</v>
      </c>
      <c r="I112">
        <v>1</v>
      </c>
      <c r="K112" s="95">
        <v>1</v>
      </c>
      <c r="L112" s="31"/>
      <c r="M112" s="31"/>
      <c r="N112" s="31"/>
      <c r="O112" s="31"/>
      <c r="P112" s="4">
        <v>1</v>
      </c>
      <c r="Q112" s="57">
        <v>0</v>
      </c>
      <c r="R112" s="57">
        <v>0</v>
      </c>
      <c r="S112" s="97">
        <v>0</v>
      </c>
      <c r="T112" s="57">
        <v>0</v>
      </c>
      <c r="U112" s="57">
        <v>0</v>
      </c>
      <c r="V112" s="57">
        <v>0</v>
      </c>
      <c r="W112" s="5">
        <v>0</v>
      </c>
      <c r="X112" s="94">
        <v>0</v>
      </c>
    </row>
    <row r="113" spans="1:24" x14ac:dyDescent="0.35">
      <c r="A113">
        <v>109</v>
      </c>
      <c r="B113">
        <v>110</v>
      </c>
      <c r="C113">
        <v>146.12593953800001</v>
      </c>
      <c r="D113">
        <v>-17.604466452299899</v>
      </c>
      <c r="E113">
        <v>50</v>
      </c>
      <c r="F113" t="str">
        <f>HYPERLINK("D:\Data From Lucan\2024\Moresby\Frames_for_Analysis/110_20240611_0012_R_1703.jpg","110_20240611_0012_R_1703.jpg")</f>
        <v>110_20240611_0012_R_1703.jpg</v>
      </c>
      <c r="G113" s="92" t="s">
        <v>4048</v>
      </c>
      <c r="I113">
        <v>1</v>
      </c>
      <c r="K113" s="95">
        <v>1</v>
      </c>
      <c r="L113" s="31"/>
      <c r="M113" s="31"/>
      <c r="N113" s="31"/>
      <c r="O113" s="31"/>
      <c r="P113" s="4">
        <v>1</v>
      </c>
      <c r="Q113" s="57">
        <v>0</v>
      </c>
      <c r="R113" s="57">
        <v>0</v>
      </c>
      <c r="S113" s="97">
        <v>0</v>
      </c>
      <c r="T113" s="57">
        <v>0</v>
      </c>
      <c r="U113" s="57">
        <v>0</v>
      </c>
      <c r="V113" s="57">
        <v>0</v>
      </c>
      <c r="W113" s="5">
        <v>0</v>
      </c>
      <c r="X113" s="94">
        <v>0</v>
      </c>
    </row>
    <row r="114" spans="1:24" x14ac:dyDescent="0.35">
      <c r="A114">
        <v>110</v>
      </c>
      <c r="B114">
        <v>111</v>
      </c>
      <c r="C114">
        <v>146.12590719600001</v>
      </c>
      <c r="D114">
        <v>-17.6045463319</v>
      </c>
      <c r="F114" t="str">
        <f>HYPERLINK("D:\Data From Lucan\2024\Moresby\Frames_for_Analysis/111_20240611_0012_R_1699.jpg","111_20240611_0012_R_1699.jpg")</f>
        <v>111_20240611_0012_R_1699.jpg</v>
      </c>
      <c r="G114" s="92" t="s">
        <v>4049</v>
      </c>
      <c r="I114">
        <v>1</v>
      </c>
      <c r="K114" s="95">
        <v>1</v>
      </c>
      <c r="L114" s="31"/>
      <c r="M114" s="31"/>
      <c r="N114" s="31"/>
      <c r="O114" s="31"/>
      <c r="P114" s="4">
        <v>1</v>
      </c>
      <c r="Q114" s="57">
        <v>0</v>
      </c>
      <c r="R114" s="57">
        <v>0</v>
      </c>
      <c r="S114" s="97">
        <v>0</v>
      </c>
      <c r="T114" s="57">
        <v>0</v>
      </c>
      <c r="U114" s="57">
        <v>0</v>
      </c>
      <c r="V114" s="57">
        <v>0</v>
      </c>
      <c r="W114" s="5">
        <v>0</v>
      </c>
      <c r="X114" s="94">
        <v>0</v>
      </c>
    </row>
    <row r="115" spans="1:24" x14ac:dyDescent="0.35">
      <c r="A115">
        <v>111</v>
      </c>
      <c r="B115">
        <v>112</v>
      </c>
      <c r="C115">
        <v>146.125878553999</v>
      </c>
      <c r="D115">
        <v>-17.604627487199899</v>
      </c>
      <c r="F115" t="str">
        <f>HYPERLINK("D:\Data From Lucan\2024\Moresby\Frames_for_Analysis/112_20240611_0012_R_1695.jpg","112_20240611_0012_R_1695.jpg")</f>
        <v>112_20240611_0012_R_1695.jpg</v>
      </c>
      <c r="G115" s="92" t="s">
        <v>4050</v>
      </c>
      <c r="I115">
        <v>1</v>
      </c>
      <c r="K115" s="95">
        <v>1</v>
      </c>
      <c r="L115" s="31"/>
      <c r="M115" s="31"/>
      <c r="N115" s="31"/>
      <c r="O115" s="31"/>
      <c r="P115" s="4">
        <v>1</v>
      </c>
      <c r="Q115" s="57">
        <v>0</v>
      </c>
      <c r="R115" s="57">
        <v>0</v>
      </c>
      <c r="S115" s="97">
        <v>0</v>
      </c>
      <c r="T115" s="57">
        <v>0</v>
      </c>
      <c r="U115" s="57">
        <v>0</v>
      </c>
      <c r="V115" s="57">
        <v>0</v>
      </c>
      <c r="W115" s="5">
        <v>0</v>
      </c>
      <c r="X115" s="94">
        <v>0</v>
      </c>
    </row>
    <row r="116" spans="1:24" x14ac:dyDescent="0.35">
      <c r="A116">
        <v>112</v>
      </c>
      <c r="B116">
        <v>113</v>
      </c>
      <c r="C116">
        <v>146.125851541999</v>
      </c>
      <c r="D116">
        <v>-17.604708996500001</v>
      </c>
      <c r="F116" t="str">
        <f>HYPERLINK("D:\Data From Lucan\2024\Moresby\Frames_for_Analysis/113_20240611_0012_R_1690.jpg","113_20240611_0012_R_1690.jpg")</f>
        <v>113_20240611_0012_R_1690.jpg</v>
      </c>
      <c r="G116" s="92" t="s">
        <v>4051</v>
      </c>
      <c r="I116">
        <v>1</v>
      </c>
      <c r="K116" s="95">
        <v>1</v>
      </c>
      <c r="L116" s="31"/>
      <c r="M116" s="31"/>
      <c r="N116" s="31"/>
      <c r="O116" s="31"/>
      <c r="P116" s="4">
        <v>1</v>
      </c>
      <c r="Q116" s="57">
        <v>0</v>
      </c>
      <c r="R116" s="57">
        <v>0</v>
      </c>
      <c r="S116" s="97">
        <v>0</v>
      </c>
      <c r="T116" s="57">
        <v>0</v>
      </c>
      <c r="U116" s="57">
        <v>0</v>
      </c>
      <c r="V116" s="57">
        <v>0</v>
      </c>
      <c r="W116" s="5">
        <v>0</v>
      </c>
      <c r="X116" s="94">
        <v>0</v>
      </c>
    </row>
    <row r="117" spans="1:24" x14ac:dyDescent="0.35">
      <c r="A117">
        <v>113</v>
      </c>
      <c r="B117">
        <v>114</v>
      </c>
      <c r="C117">
        <v>146.12584049399899</v>
      </c>
      <c r="D117">
        <v>-17.6047939707999</v>
      </c>
      <c r="F117" t="str">
        <f>HYPERLINK("D:\Data From Lucan\2024\Moresby\Frames_for_Analysis/114_20240611_0012_R_1687.jpg","114_20240611_0012_R_1687.jpg")</f>
        <v>114_20240611_0012_R_1687.jpg</v>
      </c>
      <c r="G117" s="92" t="s">
        <v>4052</v>
      </c>
      <c r="I117">
        <v>1</v>
      </c>
      <c r="K117" s="95">
        <v>1</v>
      </c>
      <c r="L117" s="31"/>
      <c r="M117" s="31"/>
      <c r="N117" s="31"/>
      <c r="O117" s="31"/>
      <c r="P117" s="4">
        <v>1</v>
      </c>
      <c r="Q117" s="57">
        <v>0</v>
      </c>
      <c r="R117" s="57">
        <v>0</v>
      </c>
      <c r="S117" s="97">
        <v>0</v>
      </c>
      <c r="T117" s="57">
        <v>0</v>
      </c>
      <c r="U117" s="57">
        <v>0</v>
      </c>
      <c r="V117" s="57">
        <v>0</v>
      </c>
      <c r="W117" s="5">
        <v>0</v>
      </c>
      <c r="X117" s="94">
        <v>0</v>
      </c>
    </row>
    <row r="118" spans="1:24" x14ac:dyDescent="0.35">
      <c r="A118">
        <v>114</v>
      </c>
      <c r="B118">
        <v>115</v>
      </c>
      <c r="C118">
        <v>146.12582925800001</v>
      </c>
      <c r="D118">
        <v>-17.6048789216999</v>
      </c>
      <c r="E118">
        <v>50</v>
      </c>
      <c r="F118" t="str">
        <f>HYPERLINK("D:\Data From Lucan\2024\Moresby\Frames_for_Analysis/115_20240611_0012_R_1681.jpg","115_20240611_0012_R_1681.jpg")</f>
        <v>115_20240611_0012_R_1681.jpg</v>
      </c>
      <c r="G118" s="92" t="s">
        <v>4053</v>
      </c>
      <c r="I118">
        <v>1</v>
      </c>
      <c r="K118" s="95">
        <v>1</v>
      </c>
      <c r="L118" s="31"/>
      <c r="M118" s="31"/>
      <c r="N118" s="31"/>
      <c r="O118" s="31"/>
      <c r="P118" s="4">
        <v>1</v>
      </c>
      <c r="Q118" s="57">
        <v>0</v>
      </c>
      <c r="R118" s="57">
        <v>0</v>
      </c>
      <c r="S118" s="97">
        <v>0</v>
      </c>
      <c r="T118" s="57">
        <v>0</v>
      </c>
      <c r="U118" s="57">
        <v>0</v>
      </c>
      <c r="V118" s="57">
        <v>0</v>
      </c>
      <c r="W118" s="5">
        <v>0</v>
      </c>
      <c r="X118" s="94">
        <v>0</v>
      </c>
    </row>
    <row r="119" spans="1:24" x14ac:dyDescent="0.35">
      <c r="A119">
        <v>115</v>
      </c>
      <c r="B119">
        <v>116</v>
      </c>
      <c r="C119">
        <v>146.12581703199899</v>
      </c>
      <c r="D119">
        <v>-17.6049637483999</v>
      </c>
      <c r="F119" t="str">
        <f>HYPERLINK("D:\Data From Lucan\2024\Moresby\Frames_for_Analysis/116_20240611_0012_R_1678.jpg","116_20240611_0012_R_1678.jpg")</f>
        <v>116_20240611_0012_R_1678.jpg</v>
      </c>
      <c r="G119" s="92" t="s">
        <v>4054</v>
      </c>
      <c r="I119">
        <v>1</v>
      </c>
      <c r="K119" s="95">
        <v>1</v>
      </c>
      <c r="L119" s="31"/>
      <c r="M119" s="31"/>
      <c r="N119" s="31"/>
      <c r="O119" s="31"/>
      <c r="P119" s="4">
        <v>1</v>
      </c>
      <c r="Q119" s="57">
        <v>0</v>
      </c>
      <c r="R119" s="57">
        <v>0</v>
      </c>
      <c r="S119" s="97">
        <v>0</v>
      </c>
      <c r="T119" s="57">
        <v>0</v>
      </c>
      <c r="U119" s="57">
        <v>0</v>
      </c>
      <c r="V119" s="57">
        <v>0</v>
      </c>
      <c r="W119" s="5">
        <v>0</v>
      </c>
      <c r="X119" s="94">
        <v>0</v>
      </c>
    </row>
    <row r="120" spans="1:24" x14ac:dyDescent="0.35">
      <c r="A120">
        <v>116</v>
      </c>
      <c r="B120">
        <v>117</v>
      </c>
      <c r="C120">
        <v>146.12579496999899</v>
      </c>
      <c r="D120">
        <v>-17.605046750100001</v>
      </c>
      <c r="F120" t="str">
        <f>HYPERLINK("D:\Data From Lucan\2024\Moresby\Frames_for_Analysis/117_20240611_0012_R_1674.jpg","117_20240611_0012_R_1674.jpg")</f>
        <v>117_20240611_0012_R_1674.jpg</v>
      </c>
      <c r="G120" s="92" t="s">
        <v>4055</v>
      </c>
      <c r="I120">
        <v>1</v>
      </c>
      <c r="K120" s="95">
        <v>1</v>
      </c>
      <c r="L120" s="31"/>
      <c r="M120" s="31"/>
      <c r="N120" s="31"/>
      <c r="O120" s="31"/>
      <c r="P120" s="4">
        <v>1</v>
      </c>
      <c r="Q120" s="57">
        <v>0</v>
      </c>
      <c r="R120" s="57">
        <v>0</v>
      </c>
      <c r="S120" s="97">
        <v>0</v>
      </c>
      <c r="T120" s="57">
        <v>0</v>
      </c>
      <c r="U120" s="57">
        <v>0</v>
      </c>
      <c r="V120" s="57">
        <v>0</v>
      </c>
      <c r="W120" s="5">
        <v>0</v>
      </c>
      <c r="X120" s="94">
        <v>0</v>
      </c>
    </row>
    <row r="121" spans="1:24" x14ac:dyDescent="0.35">
      <c r="A121">
        <v>117</v>
      </c>
      <c r="B121">
        <v>118</v>
      </c>
      <c r="C121">
        <v>146.12577603899899</v>
      </c>
      <c r="D121">
        <v>-17.6051303751</v>
      </c>
      <c r="F121" t="str">
        <f>HYPERLINK("D:\Data From Lucan\2024\Moresby\Frames_for_Analysis/118_20240611_0012_R_1669.jpg","118_20240611_0012_R_1669.jpg")</f>
        <v>118_20240611_0012_R_1669.jpg</v>
      </c>
      <c r="G121" s="92" t="s">
        <v>4056</v>
      </c>
      <c r="I121">
        <v>1</v>
      </c>
      <c r="K121" s="95">
        <v>1</v>
      </c>
      <c r="L121" s="31"/>
      <c r="M121" s="31"/>
      <c r="N121" s="31"/>
      <c r="O121" s="31"/>
      <c r="P121" s="4">
        <v>1</v>
      </c>
      <c r="Q121" s="57">
        <v>0</v>
      </c>
      <c r="R121" s="57">
        <v>0</v>
      </c>
      <c r="S121" s="97">
        <v>0</v>
      </c>
      <c r="T121" s="57">
        <v>0</v>
      </c>
      <c r="U121" s="57">
        <v>0</v>
      </c>
      <c r="V121" s="57">
        <v>0</v>
      </c>
      <c r="W121" s="5">
        <v>0</v>
      </c>
      <c r="X121" s="94">
        <v>0</v>
      </c>
    </row>
    <row r="122" spans="1:24" x14ac:dyDescent="0.35">
      <c r="A122">
        <v>118</v>
      </c>
      <c r="B122">
        <v>119</v>
      </c>
      <c r="C122">
        <v>146.12576141400001</v>
      </c>
      <c r="D122">
        <v>-17.605214856700002</v>
      </c>
      <c r="F122" t="str">
        <f>HYPERLINK("D:\Data From Lucan\2024\Moresby\Frames_for_Analysis/119_20240611_0012_R_1662.jpg","119_20240611_0012_R_1662.jpg")</f>
        <v>119_20240611_0012_R_1662.jpg</v>
      </c>
      <c r="G122" s="92" t="s">
        <v>4057</v>
      </c>
      <c r="I122">
        <v>1</v>
      </c>
      <c r="K122" s="95">
        <v>1</v>
      </c>
      <c r="L122" s="31"/>
      <c r="M122" s="31"/>
      <c r="N122" s="31"/>
      <c r="O122" s="31"/>
      <c r="P122" s="4">
        <v>1</v>
      </c>
      <c r="Q122" s="57">
        <v>0</v>
      </c>
      <c r="R122" s="57">
        <v>0</v>
      </c>
      <c r="S122" s="97">
        <v>0</v>
      </c>
      <c r="T122" s="57">
        <v>0</v>
      </c>
      <c r="U122" s="57">
        <v>0</v>
      </c>
      <c r="V122" s="57">
        <v>0</v>
      </c>
      <c r="W122" s="5">
        <v>0</v>
      </c>
      <c r="X122" s="94">
        <v>0</v>
      </c>
    </row>
    <row r="123" spans="1:24" x14ac:dyDescent="0.35">
      <c r="A123">
        <v>119</v>
      </c>
      <c r="B123">
        <v>120</v>
      </c>
      <c r="C123">
        <v>146.12574690899899</v>
      </c>
      <c r="D123">
        <v>-17.605299351500001</v>
      </c>
      <c r="E123">
        <v>50</v>
      </c>
      <c r="F123" t="str">
        <f>HYPERLINK("D:\Data From Lucan\2024\Moresby\Frames_for_Analysis/120_20240611_0012_R_1658.jpg","120_20240611_0012_R_1658.jpg")</f>
        <v>120_20240611_0012_R_1658.jpg</v>
      </c>
      <c r="G123" s="92" t="s">
        <v>4058</v>
      </c>
      <c r="I123">
        <v>1</v>
      </c>
      <c r="K123" s="95">
        <v>1</v>
      </c>
      <c r="L123" s="31"/>
      <c r="M123" s="31"/>
      <c r="N123" s="31"/>
      <c r="O123" s="31"/>
      <c r="P123" s="4">
        <v>1</v>
      </c>
      <c r="Q123" s="57">
        <v>0</v>
      </c>
      <c r="R123" s="57">
        <v>0</v>
      </c>
      <c r="S123" s="97">
        <v>0</v>
      </c>
      <c r="T123" s="57">
        <v>0</v>
      </c>
      <c r="U123" s="57">
        <v>0</v>
      </c>
      <c r="V123" s="57">
        <v>0</v>
      </c>
      <c r="W123" s="5">
        <v>0</v>
      </c>
      <c r="X123" s="94">
        <v>0</v>
      </c>
    </row>
    <row r="124" spans="1:24" x14ac:dyDescent="0.35">
      <c r="A124">
        <v>120</v>
      </c>
      <c r="B124">
        <v>121</v>
      </c>
      <c r="C124">
        <v>146.12574125500001</v>
      </c>
      <c r="D124">
        <v>-17.605384805700002</v>
      </c>
      <c r="F124" t="str">
        <f>HYPERLINK("D:\Data From Lucan\2024\Moresby\Frames_for_Analysis/121_20240611_0012_R_1655.jpg","121_20240611_0012_R_1655.jpg")</f>
        <v>121_20240611_0012_R_1655.jpg</v>
      </c>
      <c r="G124" s="92" t="s">
        <v>4059</v>
      </c>
      <c r="I124">
        <v>1</v>
      </c>
      <c r="K124" s="95">
        <v>1</v>
      </c>
      <c r="L124" s="31"/>
      <c r="M124" s="31"/>
      <c r="N124" s="31"/>
      <c r="O124" s="31"/>
      <c r="P124" s="4">
        <v>1</v>
      </c>
      <c r="Q124" s="57">
        <v>0</v>
      </c>
      <c r="R124" s="57">
        <v>0</v>
      </c>
      <c r="S124" s="97">
        <v>0</v>
      </c>
      <c r="T124" s="57">
        <v>0</v>
      </c>
      <c r="U124" s="57">
        <v>0</v>
      </c>
      <c r="V124" s="57">
        <v>0</v>
      </c>
      <c r="W124" s="5">
        <v>0</v>
      </c>
      <c r="X124" s="94">
        <v>0</v>
      </c>
    </row>
    <row r="125" spans="1:24" x14ac:dyDescent="0.35">
      <c r="A125">
        <v>121</v>
      </c>
      <c r="B125">
        <v>122</v>
      </c>
      <c r="C125">
        <v>146.125735601</v>
      </c>
      <c r="D125">
        <v>-17.605470259899899</v>
      </c>
      <c r="F125" t="str">
        <f>HYPERLINK("D:\Data From Lucan\2024\Moresby\Frames_for_Analysis/122_20240611_0012_R_1650.jpg","122_20240611_0012_R_1650.jpg")</f>
        <v>122_20240611_0012_R_1650.jpg</v>
      </c>
      <c r="G125" s="92" t="s">
        <v>4060</v>
      </c>
      <c r="I125">
        <v>1</v>
      </c>
      <c r="K125" s="95">
        <v>1</v>
      </c>
      <c r="L125" s="31"/>
      <c r="M125" s="31"/>
      <c r="N125" s="31"/>
      <c r="O125" s="31"/>
      <c r="P125" s="4">
        <v>1</v>
      </c>
      <c r="Q125" s="57">
        <v>0</v>
      </c>
      <c r="R125" s="57">
        <v>0</v>
      </c>
      <c r="S125" s="97">
        <v>0</v>
      </c>
      <c r="T125" s="57">
        <v>0</v>
      </c>
      <c r="U125" s="57">
        <v>0</v>
      </c>
      <c r="V125" s="57">
        <v>0</v>
      </c>
      <c r="W125" s="5">
        <v>0</v>
      </c>
      <c r="X125" s="94">
        <v>0</v>
      </c>
    </row>
    <row r="126" spans="1:24" x14ac:dyDescent="0.35">
      <c r="A126">
        <v>122</v>
      </c>
      <c r="B126">
        <v>123</v>
      </c>
      <c r="C126">
        <v>146.12573205300001</v>
      </c>
      <c r="D126">
        <v>-17.605555782</v>
      </c>
      <c r="F126" t="str">
        <f>HYPERLINK("D:\Data From Lucan\2024\Moresby\Frames_for_Analysis/123_20240611_0012_R_1646.jpg","123_20240611_0012_R_1646.jpg")</f>
        <v>123_20240611_0012_R_1646.jpg</v>
      </c>
      <c r="G126" s="92" t="s">
        <v>4061</v>
      </c>
      <c r="I126">
        <v>1</v>
      </c>
      <c r="K126" s="95">
        <v>1</v>
      </c>
      <c r="L126" s="31"/>
      <c r="M126" s="31"/>
      <c r="N126" s="31"/>
      <c r="O126" s="31"/>
      <c r="P126" s="4">
        <v>1</v>
      </c>
      <c r="Q126" s="57">
        <v>0</v>
      </c>
      <c r="R126" s="57">
        <v>0</v>
      </c>
      <c r="S126" s="97">
        <v>0</v>
      </c>
      <c r="T126" s="57">
        <v>0</v>
      </c>
      <c r="U126" s="57">
        <v>0</v>
      </c>
      <c r="V126" s="57">
        <v>0</v>
      </c>
      <c r="W126" s="5">
        <v>0</v>
      </c>
      <c r="X126" s="94">
        <v>0</v>
      </c>
    </row>
    <row r="127" spans="1:24" x14ac:dyDescent="0.35">
      <c r="A127">
        <v>123</v>
      </c>
      <c r="B127">
        <v>124</v>
      </c>
      <c r="C127">
        <v>146.12573164099899</v>
      </c>
      <c r="D127">
        <v>-17.605641405</v>
      </c>
      <c r="F127" t="str">
        <f>HYPERLINK("D:\Data From Lucan\2024\Moresby\Frames_for_Analysis/124_20240611_0012_R_1641.jpg","124_20240611_0012_R_1641.jpg")</f>
        <v>124_20240611_0012_R_1641.jpg</v>
      </c>
      <c r="G127" s="92" t="s">
        <v>4062</v>
      </c>
      <c r="I127">
        <v>1</v>
      </c>
      <c r="K127" s="95">
        <v>1</v>
      </c>
      <c r="L127" s="31"/>
      <c r="M127" s="31"/>
      <c r="N127" s="31"/>
      <c r="O127" s="31"/>
      <c r="P127" s="4">
        <v>1</v>
      </c>
      <c r="Q127" s="57">
        <v>0</v>
      </c>
      <c r="R127" s="57">
        <v>0</v>
      </c>
      <c r="S127" s="97">
        <v>0</v>
      </c>
      <c r="T127" s="57">
        <v>0</v>
      </c>
      <c r="U127" s="57">
        <v>0</v>
      </c>
      <c r="V127" s="57">
        <v>0</v>
      </c>
      <c r="W127" s="5">
        <v>0</v>
      </c>
      <c r="X127" s="94">
        <v>0</v>
      </c>
    </row>
    <row r="128" spans="1:24" x14ac:dyDescent="0.35">
      <c r="A128">
        <v>124</v>
      </c>
      <c r="B128">
        <v>125</v>
      </c>
      <c r="C128">
        <v>146.12573122800001</v>
      </c>
      <c r="D128">
        <v>-17.605727028</v>
      </c>
      <c r="E128">
        <v>50</v>
      </c>
      <c r="F128" t="str">
        <f>HYPERLINK("D:\Data From Lucan\2024\Moresby\Frames_for_Analysis/125_20240611_0012_R_1639.jpg","125_20240611_0012_R_1639.jpg")</f>
        <v>125_20240611_0012_R_1639.jpg</v>
      </c>
      <c r="G128" s="92" t="s">
        <v>4063</v>
      </c>
      <c r="I128">
        <v>1</v>
      </c>
      <c r="K128" s="95">
        <v>1</v>
      </c>
      <c r="L128" s="31"/>
      <c r="M128" s="31"/>
      <c r="N128" s="31"/>
      <c r="O128" s="31"/>
      <c r="P128" s="4">
        <v>1</v>
      </c>
      <c r="Q128" s="57">
        <v>0</v>
      </c>
      <c r="R128" s="57">
        <v>0</v>
      </c>
      <c r="S128" s="97">
        <v>0</v>
      </c>
      <c r="T128" s="57">
        <v>0</v>
      </c>
      <c r="U128" s="57">
        <v>0</v>
      </c>
      <c r="V128" s="57">
        <v>0</v>
      </c>
      <c r="W128" s="5">
        <v>0</v>
      </c>
      <c r="X128" s="94">
        <v>0</v>
      </c>
    </row>
    <row r="129" spans="1:24" x14ac:dyDescent="0.35">
      <c r="A129">
        <v>125</v>
      </c>
      <c r="B129">
        <v>126</v>
      </c>
      <c r="C129">
        <v>146.125741024999</v>
      </c>
      <c r="D129">
        <v>-17.605811920800001</v>
      </c>
      <c r="F129" t="str">
        <f>HYPERLINK("D:\Data From Lucan\2024\Moresby\Frames_for_Analysis/126_20240611_0012_R_1635.jpg","126_20240611_0012_R_1635.jpg")</f>
        <v>126_20240611_0012_R_1635.jpg</v>
      </c>
      <c r="G129" s="92" t="s">
        <v>4064</v>
      </c>
      <c r="I129">
        <v>1</v>
      </c>
      <c r="K129" s="95">
        <v>1</v>
      </c>
      <c r="L129" s="31"/>
      <c r="M129" s="31"/>
      <c r="N129" s="31"/>
      <c r="O129" s="31"/>
      <c r="P129" s="4">
        <v>1</v>
      </c>
      <c r="Q129" s="57">
        <v>0</v>
      </c>
      <c r="R129" s="57">
        <v>0</v>
      </c>
      <c r="S129" s="97">
        <v>0</v>
      </c>
      <c r="T129" s="57">
        <v>0</v>
      </c>
      <c r="U129" s="57">
        <v>0</v>
      </c>
      <c r="V129" s="57">
        <v>0</v>
      </c>
      <c r="W129" s="5">
        <v>0</v>
      </c>
      <c r="X129" s="94">
        <v>0</v>
      </c>
    </row>
    <row r="130" spans="1:24" x14ac:dyDescent="0.35">
      <c r="A130">
        <v>126</v>
      </c>
      <c r="B130">
        <v>127</v>
      </c>
      <c r="C130">
        <v>146.12575483699899</v>
      </c>
      <c r="D130">
        <v>-17.6058965265</v>
      </c>
      <c r="F130" t="str">
        <f>HYPERLINK("D:\Data From Lucan\2024\Moresby\Frames_for_Analysis/127_20240611_0012_R_1632.jpg","127_20240611_0012_R_1632.jpg")</f>
        <v>127_20240611_0012_R_1632.jpg</v>
      </c>
      <c r="G130" s="92" t="s">
        <v>4065</v>
      </c>
      <c r="I130">
        <v>1</v>
      </c>
      <c r="K130" s="95">
        <v>1</v>
      </c>
      <c r="L130" s="31"/>
      <c r="M130" s="31"/>
      <c r="N130" s="31"/>
      <c r="O130" s="31"/>
      <c r="P130" s="4">
        <v>1</v>
      </c>
      <c r="Q130" s="57">
        <v>0</v>
      </c>
      <c r="R130" s="57">
        <v>0</v>
      </c>
      <c r="S130" s="97">
        <v>0</v>
      </c>
      <c r="T130" s="57">
        <v>0</v>
      </c>
      <c r="U130" s="57">
        <v>0</v>
      </c>
      <c r="V130" s="57">
        <v>0</v>
      </c>
      <c r="W130" s="5">
        <v>0</v>
      </c>
      <c r="X130" s="94">
        <v>0</v>
      </c>
    </row>
    <row r="131" spans="1:24" x14ac:dyDescent="0.35">
      <c r="A131">
        <v>127</v>
      </c>
      <c r="B131">
        <v>128</v>
      </c>
      <c r="C131">
        <v>146.125773396</v>
      </c>
      <c r="D131">
        <v>-17.605980013899899</v>
      </c>
      <c r="F131" t="str">
        <f>HYPERLINK("D:\Data From Lucan\2024\Moresby\Frames_for_Analysis/128_20240611_0012_R_1629.jpg","128_20240611_0012_R_1629.jpg")</f>
        <v>128_20240611_0012_R_1629.jpg</v>
      </c>
      <c r="G131" s="92" t="s">
        <v>4066</v>
      </c>
      <c r="I131">
        <v>1</v>
      </c>
      <c r="K131" s="95">
        <v>1</v>
      </c>
      <c r="L131" s="31"/>
      <c r="M131" s="31"/>
      <c r="N131" s="31"/>
      <c r="O131" s="31"/>
      <c r="P131" s="4">
        <v>1</v>
      </c>
      <c r="Q131" s="57">
        <v>0</v>
      </c>
      <c r="R131" s="57">
        <v>0</v>
      </c>
      <c r="S131" s="97">
        <v>0</v>
      </c>
      <c r="T131" s="57">
        <v>0</v>
      </c>
      <c r="U131" s="57">
        <v>0</v>
      </c>
      <c r="V131" s="57">
        <v>0</v>
      </c>
      <c r="W131" s="5">
        <v>0</v>
      </c>
      <c r="X131" s="94">
        <v>0</v>
      </c>
    </row>
    <row r="132" spans="1:24" x14ac:dyDescent="0.35">
      <c r="A132">
        <v>128</v>
      </c>
      <c r="B132">
        <v>129</v>
      </c>
      <c r="C132">
        <v>146.125802520999</v>
      </c>
      <c r="D132">
        <v>-17.6060610125</v>
      </c>
      <c r="F132" t="str">
        <f>HYPERLINK("D:\Data From Lucan\2024\Moresby\Frames_for_Analysis/129_20240611_0012_R_1623.jpg","129_20240611_0012_R_1623.jpg")</f>
        <v>129_20240611_0012_R_1623.jpg</v>
      </c>
      <c r="G132" s="92" t="s">
        <v>4067</v>
      </c>
      <c r="I132">
        <v>1</v>
      </c>
      <c r="K132" s="95">
        <v>1</v>
      </c>
      <c r="L132" s="31"/>
      <c r="M132" s="31"/>
      <c r="N132" s="31"/>
      <c r="O132" s="31"/>
      <c r="P132" s="4">
        <v>1</v>
      </c>
      <c r="Q132" s="57">
        <v>0</v>
      </c>
      <c r="R132" s="57">
        <v>0</v>
      </c>
      <c r="S132" s="97">
        <v>0</v>
      </c>
      <c r="T132" s="57">
        <v>0</v>
      </c>
      <c r="U132" s="57">
        <v>0</v>
      </c>
      <c r="V132" s="57">
        <v>0</v>
      </c>
      <c r="W132" s="5">
        <v>0</v>
      </c>
      <c r="X132" s="94">
        <v>0</v>
      </c>
    </row>
    <row r="133" spans="1:24" x14ac:dyDescent="0.35">
      <c r="A133">
        <v>129</v>
      </c>
      <c r="B133">
        <v>130</v>
      </c>
      <c r="C133">
        <v>146.12583164500001</v>
      </c>
      <c r="D133">
        <v>-17.606142011100001</v>
      </c>
      <c r="E133">
        <v>50</v>
      </c>
      <c r="F133" t="str">
        <f>HYPERLINK("D:\Data From Lucan\2024\Moresby\Frames_for_Analysis/130_20240611_0012_R_1614.jpg","130_20240611_0012_R_1614.jpg")</f>
        <v>130_20240611_0012_R_1614.jpg</v>
      </c>
      <c r="G133" s="92" t="s">
        <v>4068</v>
      </c>
      <c r="I133">
        <v>1</v>
      </c>
      <c r="K133" s="95">
        <v>1</v>
      </c>
      <c r="L133" s="31"/>
      <c r="M133" s="31"/>
      <c r="N133" s="31"/>
      <c r="O133" s="31"/>
      <c r="P133" s="4">
        <v>1</v>
      </c>
      <c r="Q133" s="57">
        <v>0</v>
      </c>
      <c r="R133" s="57">
        <v>0</v>
      </c>
      <c r="S133" s="97">
        <v>0</v>
      </c>
      <c r="T133" s="57">
        <v>0</v>
      </c>
      <c r="U133" s="57">
        <v>0</v>
      </c>
      <c r="V133" s="57">
        <v>0</v>
      </c>
      <c r="W133" s="5">
        <v>0</v>
      </c>
      <c r="X133" s="94">
        <v>0</v>
      </c>
    </row>
    <row r="134" spans="1:24" x14ac:dyDescent="0.35">
      <c r="A134">
        <v>130</v>
      </c>
      <c r="B134">
        <v>131</v>
      </c>
      <c r="C134">
        <v>146.12586061900001</v>
      </c>
      <c r="D134">
        <v>-17.6062230566999</v>
      </c>
      <c r="F134" t="str">
        <f>HYPERLINK("D:\Data From Lucan\2024\Moresby\Frames_for_Analysis/131_20240611_0012_R_1609.jpg","131_20240611_0012_R_1609.jpg")</f>
        <v>131_20240611_0012_R_1609.jpg</v>
      </c>
      <c r="G134" s="92" t="s">
        <v>4069</v>
      </c>
      <c r="I134">
        <v>1</v>
      </c>
      <c r="K134" s="95">
        <v>1</v>
      </c>
      <c r="L134" s="31"/>
      <c r="M134" s="31"/>
      <c r="N134" s="31"/>
      <c r="O134" s="31"/>
      <c r="P134" s="4">
        <v>1</v>
      </c>
      <c r="Q134" s="57">
        <v>0</v>
      </c>
      <c r="R134" s="57">
        <v>0</v>
      </c>
      <c r="S134" s="97">
        <v>0</v>
      </c>
      <c r="T134" s="57">
        <v>0</v>
      </c>
      <c r="U134" s="57">
        <v>0</v>
      </c>
      <c r="V134" s="57">
        <v>0</v>
      </c>
      <c r="W134" s="5">
        <v>0</v>
      </c>
      <c r="X134" s="94">
        <v>0</v>
      </c>
    </row>
    <row r="135" spans="1:24" x14ac:dyDescent="0.35">
      <c r="A135">
        <v>131</v>
      </c>
      <c r="B135">
        <v>132</v>
      </c>
      <c r="C135">
        <v>146.125887312</v>
      </c>
      <c r="D135">
        <v>-17.6063048128999</v>
      </c>
      <c r="F135" t="str">
        <f>HYPERLINK("D:\Data From Lucan\2024\Moresby\Frames_for_Analysis/132_20240611_0012_R_1603.jpg","132_20240611_0012_R_1603.jpg")</f>
        <v>132_20240611_0012_R_1603.jpg</v>
      </c>
      <c r="G135" s="92" t="s">
        <v>4070</v>
      </c>
      <c r="I135">
        <v>1</v>
      </c>
      <c r="K135" s="95">
        <v>1</v>
      </c>
      <c r="L135" s="31"/>
      <c r="M135" s="31"/>
      <c r="N135" s="31"/>
      <c r="O135" s="31"/>
      <c r="P135" s="4">
        <v>1</v>
      </c>
      <c r="Q135" s="57">
        <v>0</v>
      </c>
      <c r="R135" s="57">
        <v>0</v>
      </c>
      <c r="S135" s="97">
        <v>0</v>
      </c>
      <c r="T135" s="57">
        <v>0</v>
      </c>
      <c r="U135" s="57">
        <v>0</v>
      </c>
      <c r="V135" s="57">
        <v>0</v>
      </c>
      <c r="W135" s="5">
        <v>0</v>
      </c>
      <c r="X135" s="94">
        <v>0</v>
      </c>
    </row>
    <row r="136" spans="1:24" x14ac:dyDescent="0.35">
      <c r="A136">
        <v>132</v>
      </c>
      <c r="B136">
        <v>133</v>
      </c>
      <c r="C136">
        <v>146.12591720699899</v>
      </c>
      <c r="D136">
        <v>-17.6063853956</v>
      </c>
      <c r="F136" t="str">
        <f>HYPERLINK("D:\Data From Lucan\2024\Moresby\Frames_for_Analysis/133_20240611_0012_R_1598.jpg","133_20240611_0012_R_1598.jpg")</f>
        <v>133_20240611_0012_R_1598.jpg</v>
      </c>
      <c r="G136" s="92" t="s">
        <v>4071</v>
      </c>
      <c r="I136">
        <v>1</v>
      </c>
      <c r="K136" s="95">
        <v>1</v>
      </c>
      <c r="L136" s="31"/>
      <c r="M136" s="31"/>
      <c r="N136" s="31"/>
      <c r="O136" s="31"/>
      <c r="P136" s="4">
        <v>1</v>
      </c>
      <c r="Q136" s="57">
        <v>0</v>
      </c>
      <c r="R136" s="57">
        <v>0</v>
      </c>
      <c r="S136" s="97">
        <v>0</v>
      </c>
      <c r="T136" s="57">
        <v>0</v>
      </c>
      <c r="U136" s="57">
        <v>0</v>
      </c>
      <c r="V136" s="57">
        <v>0</v>
      </c>
      <c r="W136" s="5">
        <v>0</v>
      </c>
      <c r="X136" s="94">
        <v>0</v>
      </c>
    </row>
    <row r="137" spans="1:24" x14ac:dyDescent="0.35">
      <c r="A137">
        <v>133</v>
      </c>
      <c r="B137">
        <v>134</v>
      </c>
      <c r="C137">
        <v>146.125954844999</v>
      </c>
      <c r="D137">
        <v>-17.6064631413999</v>
      </c>
      <c r="F137" t="str">
        <f>HYPERLINK("D:\Data From Lucan\2024\Moresby\Frames_for_Analysis/134_20240611_0012_R_1594.jpg","134_20240611_0012_R_1594.jpg")</f>
        <v>134_20240611_0012_R_1594.jpg</v>
      </c>
      <c r="G137" s="92" t="s">
        <v>4072</v>
      </c>
      <c r="I137">
        <v>1</v>
      </c>
      <c r="K137" s="95">
        <v>1</v>
      </c>
      <c r="L137" s="31"/>
      <c r="M137" s="31"/>
      <c r="N137" s="31"/>
      <c r="O137" s="31"/>
      <c r="P137" s="4">
        <v>1</v>
      </c>
      <c r="Q137" s="57">
        <v>0</v>
      </c>
      <c r="R137" s="57">
        <v>0</v>
      </c>
      <c r="S137" s="97">
        <v>0</v>
      </c>
      <c r="T137" s="57">
        <v>0</v>
      </c>
      <c r="U137" s="57">
        <v>0</v>
      </c>
      <c r="V137" s="57">
        <v>0</v>
      </c>
      <c r="W137" s="5">
        <v>0</v>
      </c>
      <c r="X137" s="94">
        <v>0</v>
      </c>
    </row>
    <row r="138" spans="1:24" x14ac:dyDescent="0.35">
      <c r="A138">
        <v>134</v>
      </c>
      <c r="B138">
        <v>135</v>
      </c>
      <c r="C138">
        <v>146.125992483</v>
      </c>
      <c r="D138">
        <v>-17.6065408871</v>
      </c>
      <c r="E138">
        <v>50</v>
      </c>
      <c r="F138" t="str">
        <f>HYPERLINK("D:\Data From Lucan\2024\Moresby\Frames_for_Analysis/135_20240611_0012_R_1591.jpg","135_20240611_0012_R_1591.jpg")</f>
        <v>135_20240611_0012_R_1591.jpg</v>
      </c>
      <c r="G138" s="92" t="s">
        <v>4073</v>
      </c>
      <c r="I138">
        <v>1</v>
      </c>
      <c r="K138" s="95">
        <v>1</v>
      </c>
      <c r="L138" s="31"/>
      <c r="M138" s="31"/>
      <c r="N138" s="31"/>
      <c r="O138" s="31"/>
      <c r="P138" s="4">
        <v>1</v>
      </c>
      <c r="Q138" s="57">
        <v>0</v>
      </c>
      <c r="R138" s="57">
        <v>0</v>
      </c>
      <c r="S138" s="97">
        <v>0</v>
      </c>
      <c r="T138" s="57">
        <v>0</v>
      </c>
      <c r="U138" s="57">
        <v>0</v>
      </c>
      <c r="V138" s="57">
        <v>0</v>
      </c>
      <c r="W138" s="5">
        <v>0</v>
      </c>
      <c r="X138" s="94">
        <v>0</v>
      </c>
    </row>
    <row r="139" spans="1:24" x14ac:dyDescent="0.35">
      <c r="A139">
        <v>135</v>
      </c>
      <c r="B139">
        <v>136</v>
      </c>
      <c r="C139">
        <v>146.126030119999</v>
      </c>
      <c r="D139">
        <v>-17.606618632699899</v>
      </c>
      <c r="F139" t="str">
        <f>HYPERLINK("D:\Data From Lucan\2024\Moresby\Frames_for_Analysis/136_20240611_0012_R_1585.jpg","136_20240611_0012_R_1585.jpg")</f>
        <v>136_20240611_0012_R_1585.jpg</v>
      </c>
      <c r="G139" s="92" t="s">
        <v>4074</v>
      </c>
      <c r="I139">
        <v>1</v>
      </c>
      <c r="K139" s="95">
        <v>1</v>
      </c>
      <c r="L139" s="31"/>
      <c r="M139" s="31"/>
      <c r="N139" s="31"/>
      <c r="O139" s="31"/>
      <c r="P139" s="4">
        <v>1</v>
      </c>
      <c r="Q139" s="57">
        <v>0</v>
      </c>
      <c r="R139" s="57">
        <v>0</v>
      </c>
      <c r="S139" s="97">
        <v>0</v>
      </c>
      <c r="T139" s="57">
        <v>0</v>
      </c>
      <c r="U139" s="57">
        <v>0</v>
      </c>
      <c r="V139" s="57">
        <v>0</v>
      </c>
      <c r="W139" s="5">
        <v>0</v>
      </c>
      <c r="X139" s="94">
        <v>0</v>
      </c>
    </row>
    <row r="140" spans="1:24" x14ac:dyDescent="0.35">
      <c r="A140">
        <v>136</v>
      </c>
      <c r="B140">
        <v>137</v>
      </c>
      <c r="C140">
        <v>146.126067758</v>
      </c>
      <c r="D140">
        <v>-17.606696378399899</v>
      </c>
      <c r="F140" t="str">
        <f>HYPERLINK("D:\Data From Lucan\2024\Moresby\Frames_for_Analysis/137_20240611_0012_R_1583.jpg","137_20240611_0012_R_1583.jpg")</f>
        <v>137_20240611_0012_R_1583.jpg</v>
      </c>
      <c r="G140" s="92" t="s">
        <v>4075</v>
      </c>
      <c r="I140">
        <v>1</v>
      </c>
      <c r="K140" s="95">
        <v>1</v>
      </c>
      <c r="L140" s="31"/>
      <c r="M140" s="31"/>
      <c r="N140" s="31"/>
      <c r="O140" s="31"/>
      <c r="P140" s="4">
        <v>1</v>
      </c>
      <c r="Q140" s="57">
        <v>0</v>
      </c>
      <c r="R140" s="57">
        <v>0</v>
      </c>
      <c r="S140" s="97">
        <v>0</v>
      </c>
      <c r="T140" s="57">
        <v>0</v>
      </c>
      <c r="U140" s="57">
        <v>0</v>
      </c>
      <c r="V140" s="57">
        <v>0</v>
      </c>
      <c r="W140" s="5">
        <v>0</v>
      </c>
      <c r="X140" s="94">
        <v>0</v>
      </c>
    </row>
    <row r="141" spans="1:24" x14ac:dyDescent="0.35">
      <c r="A141">
        <v>137</v>
      </c>
      <c r="B141">
        <v>138</v>
      </c>
      <c r="C141">
        <v>146.12610539600001</v>
      </c>
      <c r="D141">
        <v>-17.606774124000001</v>
      </c>
      <c r="F141" t="str">
        <f>HYPERLINK("D:\Data From Lucan\2024\Moresby\Frames_for_Analysis/138_20240611_0012_R_1577.jpg","138_20240611_0012_R_1577.jpg")</f>
        <v>138_20240611_0012_R_1577.jpg</v>
      </c>
      <c r="G141" s="92" t="s">
        <v>4076</v>
      </c>
      <c r="I141">
        <v>1</v>
      </c>
      <c r="K141" s="95">
        <v>1</v>
      </c>
      <c r="L141" s="31"/>
      <c r="M141" s="31"/>
      <c r="N141" s="31"/>
      <c r="O141" s="31"/>
      <c r="P141" s="4">
        <v>1</v>
      </c>
      <c r="Q141" s="57">
        <v>0</v>
      </c>
      <c r="R141" s="57">
        <v>0</v>
      </c>
      <c r="S141" s="97">
        <v>0</v>
      </c>
      <c r="T141" s="57">
        <v>0</v>
      </c>
      <c r="U141" s="57">
        <v>0</v>
      </c>
      <c r="V141" s="57">
        <v>0</v>
      </c>
      <c r="W141" s="5">
        <v>0</v>
      </c>
      <c r="X141" s="94">
        <v>0</v>
      </c>
    </row>
    <row r="142" spans="1:24" x14ac:dyDescent="0.35">
      <c r="A142">
        <v>138</v>
      </c>
      <c r="B142">
        <v>139</v>
      </c>
      <c r="C142">
        <v>146.126143033999</v>
      </c>
      <c r="D142">
        <v>-17.6068518696</v>
      </c>
      <c r="F142" t="str">
        <f>HYPERLINK("D:\Data From Lucan\2024\Moresby\Frames_for_Analysis/139_20240611_0012_R_1572.jpg","139_20240611_0012_R_1572.jpg")</f>
        <v>139_20240611_0012_R_1572.jpg</v>
      </c>
      <c r="G142" s="92" t="s">
        <v>4077</v>
      </c>
      <c r="I142">
        <v>1</v>
      </c>
      <c r="K142" s="95">
        <v>1</v>
      </c>
      <c r="L142" s="31"/>
      <c r="M142" s="31"/>
      <c r="N142" s="31"/>
      <c r="O142" s="31"/>
      <c r="P142" s="4">
        <v>1</v>
      </c>
      <c r="Q142" s="57">
        <v>0</v>
      </c>
      <c r="R142" s="57">
        <v>0</v>
      </c>
      <c r="S142" s="97">
        <v>0</v>
      </c>
      <c r="T142" s="57">
        <v>0</v>
      </c>
      <c r="U142" s="57">
        <v>0</v>
      </c>
      <c r="V142" s="57">
        <v>0</v>
      </c>
      <c r="W142" s="5">
        <v>0</v>
      </c>
      <c r="X142" s="94">
        <v>0</v>
      </c>
    </row>
    <row r="143" spans="1:24" x14ac:dyDescent="0.35">
      <c r="A143">
        <v>139</v>
      </c>
      <c r="B143">
        <v>140</v>
      </c>
      <c r="C143">
        <v>146.126179815999</v>
      </c>
      <c r="D143">
        <v>-17.6069299722</v>
      </c>
      <c r="E143">
        <v>50</v>
      </c>
      <c r="F143" t="str">
        <f>HYPERLINK("D:\Data From Lucan\2024\Moresby\Frames_for_Analysis/140_20240611_0012_R_1567.jpg","140_20240611_0012_R_1567.jpg")</f>
        <v>140_20240611_0012_R_1567.jpg</v>
      </c>
      <c r="G143" s="92" t="s">
        <v>4078</v>
      </c>
      <c r="I143">
        <v>1</v>
      </c>
      <c r="K143" s="95">
        <v>1</v>
      </c>
      <c r="L143" s="31"/>
      <c r="M143" s="31"/>
      <c r="N143" s="31"/>
      <c r="O143" s="31"/>
      <c r="P143" s="4">
        <v>1</v>
      </c>
      <c r="Q143" s="57">
        <v>0</v>
      </c>
      <c r="R143" s="57">
        <v>0</v>
      </c>
      <c r="S143" s="97">
        <v>0</v>
      </c>
      <c r="T143" s="57">
        <v>0</v>
      </c>
      <c r="U143" s="57">
        <v>0</v>
      </c>
      <c r="V143" s="57">
        <v>0</v>
      </c>
      <c r="W143" s="5">
        <v>0</v>
      </c>
      <c r="X143" s="94">
        <v>0</v>
      </c>
    </row>
    <row r="144" spans="1:24" x14ac:dyDescent="0.35">
      <c r="A144">
        <v>140</v>
      </c>
      <c r="B144">
        <v>141</v>
      </c>
      <c r="C144">
        <v>146.126214255999</v>
      </c>
      <c r="D144">
        <v>-17.607009052900001</v>
      </c>
      <c r="F144" t="str">
        <f>HYPERLINK("D:\Data From Lucan\2024\Moresby\Frames_for_Analysis/141_20240611_0012_R_1563.jpg","141_20240611_0012_R_1563.jpg")</f>
        <v>141_20240611_0012_R_1563.jpg</v>
      </c>
      <c r="G144" s="92" t="s">
        <v>4079</v>
      </c>
      <c r="I144">
        <v>1</v>
      </c>
      <c r="K144" s="95">
        <v>1</v>
      </c>
      <c r="L144" s="31"/>
      <c r="M144" s="31"/>
      <c r="N144" s="31"/>
      <c r="O144" s="31"/>
      <c r="P144" s="4">
        <v>1</v>
      </c>
      <c r="Q144" s="57">
        <v>0</v>
      </c>
      <c r="R144" s="57">
        <v>0</v>
      </c>
      <c r="S144" s="97">
        <v>0</v>
      </c>
      <c r="T144" s="57">
        <v>0</v>
      </c>
      <c r="U144" s="57">
        <v>0</v>
      </c>
      <c r="V144" s="57">
        <v>0</v>
      </c>
      <c r="W144" s="5">
        <v>0</v>
      </c>
      <c r="X144" s="94">
        <v>0</v>
      </c>
    </row>
    <row r="145" spans="1:24" x14ac:dyDescent="0.35">
      <c r="A145">
        <v>141</v>
      </c>
      <c r="B145">
        <v>142</v>
      </c>
      <c r="C145">
        <v>146.12624629000001</v>
      </c>
      <c r="D145">
        <v>-17.607088744399899</v>
      </c>
      <c r="F145" t="str">
        <f>HYPERLINK("D:\Data From Lucan\2024\Moresby\Frames_for_Analysis/142_20240611_0012_R_1558.jpg","142_20240611_0012_R_1558.jpg")</f>
        <v>142_20240611_0012_R_1558.jpg</v>
      </c>
      <c r="G145" s="92" t="s">
        <v>4080</v>
      </c>
      <c r="I145">
        <v>1</v>
      </c>
      <c r="K145" s="95">
        <v>1</v>
      </c>
      <c r="L145" s="31"/>
      <c r="M145" s="31"/>
      <c r="N145" s="31"/>
      <c r="O145" s="31"/>
      <c r="P145" s="4">
        <v>1</v>
      </c>
      <c r="Q145" s="57">
        <v>0</v>
      </c>
      <c r="R145" s="57">
        <v>0</v>
      </c>
      <c r="S145" s="97">
        <v>0</v>
      </c>
      <c r="T145" s="57">
        <v>0</v>
      </c>
      <c r="U145" s="57">
        <v>0</v>
      </c>
      <c r="V145" s="57">
        <v>0</v>
      </c>
      <c r="W145" s="5">
        <v>0</v>
      </c>
      <c r="X145" s="94">
        <v>0</v>
      </c>
    </row>
    <row r="146" spans="1:24" x14ac:dyDescent="0.35">
      <c r="A146">
        <v>142</v>
      </c>
      <c r="B146">
        <v>143</v>
      </c>
      <c r="C146">
        <v>146.12625768300001</v>
      </c>
      <c r="D146">
        <v>-17.607173676199899</v>
      </c>
      <c r="F146" t="str">
        <f>HYPERLINK("D:\Data From Lucan\2024\Moresby\Frames_for_Analysis/143_20240611_0012_R_1554.jpg","143_20240611_0012_R_1554.jpg")</f>
        <v>143_20240611_0012_R_1554.jpg</v>
      </c>
      <c r="G146" s="92" t="s">
        <v>4081</v>
      </c>
      <c r="I146">
        <v>1</v>
      </c>
      <c r="K146" s="95">
        <v>1</v>
      </c>
      <c r="L146" s="31"/>
      <c r="M146" s="31"/>
      <c r="N146" s="31"/>
      <c r="O146" s="31"/>
      <c r="P146" s="4">
        <v>1</v>
      </c>
      <c r="Q146" s="57">
        <v>0</v>
      </c>
      <c r="R146" s="57">
        <v>0</v>
      </c>
      <c r="S146" s="97">
        <v>0</v>
      </c>
      <c r="T146" s="57">
        <v>0</v>
      </c>
      <c r="U146" s="57">
        <v>0</v>
      </c>
      <c r="V146" s="57">
        <v>0</v>
      </c>
      <c r="W146" s="5">
        <v>0</v>
      </c>
      <c r="X146" s="94">
        <v>0</v>
      </c>
    </row>
    <row r="147" spans="1:24" x14ac:dyDescent="0.35">
      <c r="A147">
        <v>143</v>
      </c>
      <c r="B147">
        <v>144</v>
      </c>
      <c r="C147">
        <v>146.12626907699899</v>
      </c>
      <c r="D147">
        <v>-17.6072586079</v>
      </c>
      <c r="F147" t="str">
        <f>HYPERLINK("D:\Data From Lucan\2024\Moresby\Frames_for_Analysis/144_20240611_0012_R_1551.jpg","144_20240611_0012_R_1551.jpg")</f>
        <v>144_20240611_0012_R_1551.jpg</v>
      </c>
      <c r="G147" s="92" t="s">
        <v>4082</v>
      </c>
      <c r="I147">
        <v>1</v>
      </c>
      <c r="K147" s="95">
        <v>1</v>
      </c>
      <c r="L147" s="31"/>
      <c r="M147" s="31"/>
      <c r="N147" s="31"/>
      <c r="O147" s="31"/>
      <c r="P147" s="4">
        <v>1</v>
      </c>
      <c r="Q147" s="57">
        <v>0</v>
      </c>
      <c r="R147" s="57">
        <v>0</v>
      </c>
      <c r="S147" s="97">
        <v>0</v>
      </c>
      <c r="T147" s="57">
        <v>0</v>
      </c>
      <c r="U147" s="57">
        <v>0</v>
      </c>
      <c r="V147" s="57">
        <v>0</v>
      </c>
      <c r="W147" s="5">
        <v>0</v>
      </c>
      <c r="X147" s="94">
        <v>0</v>
      </c>
    </row>
    <row r="148" spans="1:24" x14ac:dyDescent="0.35">
      <c r="A148">
        <v>144</v>
      </c>
      <c r="B148">
        <v>145</v>
      </c>
      <c r="C148">
        <v>146.126277369999</v>
      </c>
      <c r="D148">
        <v>-17.607343851</v>
      </c>
      <c r="E148">
        <v>50</v>
      </c>
      <c r="F148" t="str">
        <f>HYPERLINK("D:\Data From Lucan\2024\Moresby\Frames_for_Analysis/145_20240611_0012_R_1547.jpg","145_20240611_0012_R_1547.jpg")</f>
        <v>145_20240611_0012_R_1547.jpg</v>
      </c>
      <c r="G148" s="92" t="s">
        <v>4083</v>
      </c>
      <c r="I148">
        <v>1</v>
      </c>
      <c r="K148" s="95">
        <v>1</v>
      </c>
      <c r="L148" s="31"/>
      <c r="M148" s="31"/>
      <c r="N148" s="31"/>
      <c r="O148" s="31"/>
      <c r="P148" s="4">
        <v>1</v>
      </c>
      <c r="Q148" s="57">
        <v>0</v>
      </c>
      <c r="R148" s="57">
        <v>0</v>
      </c>
      <c r="S148" s="97">
        <v>0</v>
      </c>
      <c r="T148" s="57">
        <v>0</v>
      </c>
      <c r="U148" s="57">
        <v>0</v>
      </c>
      <c r="V148" s="57">
        <v>0</v>
      </c>
      <c r="W148" s="5">
        <v>0</v>
      </c>
      <c r="X148" s="94">
        <v>0</v>
      </c>
    </row>
    <row r="149" spans="1:24" x14ac:dyDescent="0.35">
      <c r="A149">
        <v>145</v>
      </c>
      <c r="B149">
        <v>146</v>
      </c>
      <c r="C149">
        <v>146.12628480800001</v>
      </c>
      <c r="D149">
        <v>-17.607429180099899</v>
      </c>
      <c r="F149" t="str">
        <f>HYPERLINK("D:\Data From Lucan\2024\Moresby\Frames_for_Analysis/146_20240611_0012_R_1543.jpg","146_20240611_0012_R_1543.jpg")</f>
        <v>146_20240611_0012_R_1543.jpg</v>
      </c>
      <c r="G149" s="92" t="s">
        <v>4084</v>
      </c>
      <c r="I149">
        <v>1</v>
      </c>
      <c r="K149" s="95">
        <v>1</v>
      </c>
      <c r="L149" s="31"/>
      <c r="M149" s="31"/>
      <c r="N149" s="31"/>
      <c r="O149" s="31"/>
      <c r="P149" s="4">
        <v>1</v>
      </c>
      <c r="Q149" s="57">
        <v>0</v>
      </c>
      <c r="R149" s="57">
        <v>0</v>
      </c>
      <c r="S149" s="97">
        <v>0</v>
      </c>
      <c r="T149" s="57">
        <v>0</v>
      </c>
      <c r="U149" s="57">
        <v>0</v>
      </c>
      <c r="V149" s="57">
        <v>0</v>
      </c>
      <c r="W149" s="5">
        <v>0</v>
      </c>
      <c r="X149" s="94">
        <v>0</v>
      </c>
    </row>
    <row r="150" spans="1:24" x14ac:dyDescent="0.35">
      <c r="A150">
        <v>146</v>
      </c>
      <c r="B150">
        <v>147</v>
      </c>
      <c r="C150">
        <v>146.12629476800001</v>
      </c>
      <c r="D150">
        <v>-17.6075140995999</v>
      </c>
      <c r="F150" t="str">
        <f>HYPERLINK("D:\Data From Lucan\2024\Moresby\Frames_for_Analysis/147_20240611_0012_R_1539.jpg","147_20240611_0012_R_1539.jpg")</f>
        <v>147_20240611_0012_R_1539.jpg</v>
      </c>
      <c r="G150" s="92" t="s">
        <v>4085</v>
      </c>
      <c r="I150">
        <v>1</v>
      </c>
      <c r="K150" s="95">
        <v>1</v>
      </c>
      <c r="L150" s="31"/>
      <c r="M150" s="31"/>
      <c r="N150" s="31"/>
      <c r="O150" s="31"/>
      <c r="P150" s="4">
        <v>1</v>
      </c>
      <c r="Q150" s="57">
        <v>0</v>
      </c>
      <c r="R150" s="57">
        <v>0</v>
      </c>
      <c r="S150" s="97">
        <v>0</v>
      </c>
      <c r="T150" s="57">
        <v>0</v>
      </c>
      <c r="U150" s="57">
        <v>0</v>
      </c>
      <c r="V150" s="57">
        <v>0</v>
      </c>
      <c r="W150" s="5">
        <v>0</v>
      </c>
      <c r="X150" s="94">
        <v>0</v>
      </c>
    </row>
    <row r="151" spans="1:24" x14ac:dyDescent="0.35">
      <c r="A151">
        <v>147</v>
      </c>
      <c r="B151">
        <v>148</v>
      </c>
      <c r="C151">
        <v>146.126317384</v>
      </c>
      <c r="D151">
        <v>-17.607596964700001</v>
      </c>
      <c r="F151" t="str">
        <f>HYPERLINK("D:\Data From Lucan\2024\Moresby\Frames_for_Analysis/148_20240611_0012_R_1536.jpg","148_20240611_0012_R_1536.jpg")</f>
        <v>148_20240611_0012_R_1536.jpg</v>
      </c>
      <c r="G151" s="92" t="s">
        <v>4086</v>
      </c>
      <c r="I151">
        <v>1</v>
      </c>
      <c r="K151" s="95">
        <v>1</v>
      </c>
      <c r="L151" s="31"/>
      <c r="M151" s="31"/>
      <c r="N151" s="31"/>
      <c r="O151" s="31"/>
      <c r="P151" s="4">
        <v>1</v>
      </c>
      <c r="Q151" s="57">
        <v>0</v>
      </c>
      <c r="R151" s="57">
        <v>0</v>
      </c>
      <c r="S151" s="97">
        <v>0</v>
      </c>
      <c r="T151" s="57">
        <v>0</v>
      </c>
      <c r="U151" s="57">
        <v>0</v>
      </c>
      <c r="V151" s="57">
        <v>0</v>
      </c>
      <c r="W151" s="5">
        <v>0</v>
      </c>
      <c r="X151" s="94">
        <v>0</v>
      </c>
    </row>
    <row r="152" spans="1:24" x14ac:dyDescent="0.35">
      <c r="A152">
        <v>148</v>
      </c>
      <c r="B152">
        <v>149</v>
      </c>
      <c r="C152">
        <v>146.126339999999</v>
      </c>
      <c r="D152">
        <v>-17.607679829799899</v>
      </c>
      <c r="F152" t="str">
        <f>HYPERLINK("D:\Data From Lucan\2024\Moresby\Frames_for_Analysis/149_20240611_0012_R_1533.jpg","149_20240611_0012_R_1533.jpg")</f>
        <v>149_20240611_0012_R_1533.jpg</v>
      </c>
      <c r="G152" s="92" t="s">
        <v>4087</v>
      </c>
      <c r="I152">
        <v>1</v>
      </c>
      <c r="K152" s="95">
        <v>1</v>
      </c>
      <c r="L152" s="31"/>
      <c r="M152" s="31"/>
      <c r="N152" s="31"/>
      <c r="O152" s="31"/>
      <c r="P152" s="4">
        <v>1</v>
      </c>
      <c r="Q152" s="57">
        <v>0</v>
      </c>
      <c r="R152" s="57">
        <v>0</v>
      </c>
      <c r="S152" s="97">
        <v>0</v>
      </c>
      <c r="T152" s="57">
        <v>0</v>
      </c>
      <c r="U152" s="57">
        <v>0</v>
      </c>
      <c r="V152" s="57">
        <v>0</v>
      </c>
      <c r="W152" s="5">
        <v>0</v>
      </c>
      <c r="X152" s="94">
        <v>0</v>
      </c>
    </row>
    <row r="153" spans="1:24" x14ac:dyDescent="0.35">
      <c r="A153">
        <v>149</v>
      </c>
      <c r="B153">
        <v>150</v>
      </c>
      <c r="C153">
        <v>146.126362615999</v>
      </c>
      <c r="D153">
        <v>-17.607762694800002</v>
      </c>
      <c r="E153">
        <v>50</v>
      </c>
      <c r="F153" t="str">
        <f>HYPERLINK("D:\Data From Lucan\2024\Moresby\Frames_for_Analysis/150_20240611_0012_R_1531.jpg","150_20240611_0012_R_1531.jpg")</f>
        <v>150_20240611_0012_R_1531.jpg</v>
      </c>
      <c r="G153" s="92" t="s">
        <v>4088</v>
      </c>
      <c r="I153">
        <v>1</v>
      </c>
      <c r="K153" s="95">
        <v>1</v>
      </c>
      <c r="L153" s="31"/>
      <c r="M153" s="31"/>
      <c r="N153" s="31"/>
      <c r="O153" s="31"/>
      <c r="P153" s="4">
        <v>1</v>
      </c>
      <c r="Q153" s="57">
        <v>0</v>
      </c>
      <c r="R153" s="57">
        <v>0</v>
      </c>
      <c r="S153" s="97">
        <v>0</v>
      </c>
      <c r="T153" s="57">
        <v>0</v>
      </c>
      <c r="U153" s="57">
        <v>0</v>
      </c>
      <c r="V153" s="57">
        <v>0</v>
      </c>
      <c r="W153" s="5">
        <v>0</v>
      </c>
      <c r="X153" s="94">
        <v>0</v>
      </c>
    </row>
    <row r="154" spans="1:24" x14ac:dyDescent="0.35">
      <c r="A154">
        <v>150</v>
      </c>
      <c r="B154">
        <v>151</v>
      </c>
      <c r="C154">
        <v>146.12639316100001</v>
      </c>
      <c r="D154">
        <v>-17.607842946000002</v>
      </c>
      <c r="F154" t="str">
        <f>HYPERLINK("D:\Data From Lucan\2024\Moresby\Frames_for_Analysis/151_20240611_0012_R_1528.jpg","151_20240611_0012_R_1528.jpg")</f>
        <v>151_20240611_0012_R_1528.jpg</v>
      </c>
      <c r="G154" s="92" t="s">
        <v>4089</v>
      </c>
      <c r="I154">
        <v>1</v>
      </c>
      <c r="K154" s="95">
        <v>1</v>
      </c>
      <c r="L154" s="31"/>
      <c r="M154" s="31"/>
      <c r="N154" s="31"/>
      <c r="O154" s="31"/>
      <c r="P154" s="4">
        <v>1</v>
      </c>
      <c r="Q154" s="57">
        <v>0</v>
      </c>
      <c r="R154" s="57">
        <v>0</v>
      </c>
      <c r="S154" s="97">
        <v>0</v>
      </c>
      <c r="T154" s="57">
        <v>0</v>
      </c>
      <c r="U154" s="57">
        <v>0</v>
      </c>
      <c r="V154" s="57">
        <v>0</v>
      </c>
      <c r="W154" s="5">
        <v>0</v>
      </c>
      <c r="X154" s="94">
        <v>0</v>
      </c>
    </row>
    <row r="155" spans="1:24" x14ac:dyDescent="0.35">
      <c r="A155">
        <v>151</v>
      </c>
      <c r="B155">
        <v>152</v>
      </c>
      <c r="C155">
        <v>146.12642908199899</v>
      </c>
      <c r="D155">
        <v>-17.607921425699899</v>
      </c>
      <c r="F155" t="str">
        <f>HYPERLINK("D:\Data From Lucan\2024\Moresby\Frames_for_Analysis/152_20240611_0012_R_1526.jpg","152_20240611_0012_R_1526.jpg")</f>
        <v>152_20240611_0012_R_1526.jpg</v>
      </c>
      <c r="G155" s="92" t="s">
        <v>4090</v>
      </c>
      <c r="I155">
        <v>1</v>
      </c>
      <c r="K155" s="95">
        <v>1</v>
      </c>
      <c r="L155" s="31"/>
      <c r="M155" s="31"/>
      <c r="N155" s="31"/>
      <c r="O155" s="31"/>
      <c r="P155" s="4">
        <v>1</v>
      </c>
      <c r="Q155" s="57">
        <v>0</v>
      </c>
      <c r="R155" s="57">
        <v>0</v>
      </c>
      <c r="S155" s="97">
        <v>0</v>
      </c>
      <c r="T155" s="57">
        <v>0</v>
      </c>
      <c r="U155" s="57">
        <v>0</v>
      </c>
      <c r="V155" s="57">
        <v>0</v>
      </c>
      <c r="W155" s="5">
        <v>0</v>
      </c>
      <c r="X155" s="94">
        <v>0</v>
      </c>
    </row>
    <row r="156" spans="1:24" x14ac:dyDescent="0.35">
      <c r="A156">
        <v>152</v>
      </c>
      <c r="B156">
        <v>153</v>
      </c>
      <c r="C156">
        <v>146.126465002</v>
      </c>
      <c r="D156">
        <v>-17.607999905300002</v>
      </c>
      <c r="F156" t="str">
        <f>HYPERLINK("D:\Data From Lucan\2024\Moresby\Frames_for_Analysis/153_20240611_0012_R_1524.jpg","153_20240611_0012_R_1524.jpg")</f>
        <v>153_20240611_0012_R_1524.jpg</v>
      </c>
      <c r="G156" s="92" t="s">
        <v>4091</v>
      </c>
      <c r="I156">
        <v>1</v>
      </c>
      <c r="K156" s="95">
        <v>1</v>
      </c>
      <c r="L156" s="31"/>
      <c r="M156" s="31"/>
      <c r="N156" s="31"/>
      <c r="O156" s="31"/>
      <c r="P156" s="4">
        <v>1</v>
      </c>
      <c r="Q156" s="57">
        <v>0</v>
      </c>
      <c r="R156" s="57">
        <v>0</v>
      </c>
      <c r="S156" s="97">
        <v>0</v>
      </c>
      <c r="T156" s="57">
        <v>0</v>
      </c>
      <c r="U156" s="57">
        <v>0</v>
      </c>
      <c r="V156" s="57">
        <v>0</v>
      </c>
      <c r="W156" s="5">
        <v>0</v>
      </c>
      <c r="X156" s="94">
        <v>0</v>
      </c>
    </row>
    <row r="157" spans="1:24" x14ac:dyDescent="0.35">
      <c r="A157">
        <v>153</v>
      </c>
      <c r="B157">
        <v>154</v>
      </c>
      <c r="C157">
        <v>146.12650092300001</v>
      </c>
      <c r="D157">
        <v>-17.608078384799899</v>
      </c>
      <c r="F157" t="str">
        <f>HYPERLINK("D:\Data From Lucan\2024\Moresby\Frames_for_Analysis/154_20240611_0012_R_1523.jpg","154_20240611_0012_R_1523.jpg")</f>
        <v>154_20240611_0012_R_1523.jpg</v>
      </c>
      <c r="G157" s="92" t="s">
        <v>4092</v>
      </c>
      <c r="I157">
        <v>1</v>
      </c>
      <c r="K157" s="95">
        <v>1</v>
      </c>
      <c r="L157" s="31"/>
      <c r="M157" s="31"/>
      <c r="N157" s="31"/>
      <c r="O157" s="31"/>
      <c r="P157" s="4">
        <v>1</v>
      </c>
      <c r="Q157" s="57">
        <v>0</v>
      </c>
      <c r="R157" s="57">
        <v>0</v>
      </c>
      <c r="S157" s="97">
        <v>0</v>
      </c>
      <c r="T157" s="57">
        <v>0</v>
      </c>
      <c r="U157" s="57">
        <v>0</v>
      </c>
      <c r="V157" s="57">
        <v>0</v>
      </c>
      <c r="W157" s="5">
        <v>0</v>
      </c>
      <c r="X157" s="94">
        <v>0</v>
      </c>
    </row>
    <row r="158" spans="1:24" x14ac:dyDescent="0.35">
      <c r="A158">
        <v>154</v>
      </c>
      <c r="B158">
        <v>155</v>
      </c>
      <c r="C158">
        <v>146.126516780999</v>
      </c>
      <c r="D158">
        <v>-17.608162159900001</v>
      </c>
      <c r="E158">
        <v>50</v>
      </c>
      <c r="F158" t="str">
        <f>HYPERLINK("D:\Data From Lucan\2024\Moresby\Frames_for_Analysis/155_20240611_0012_R_1521.jpg","155_20240611_0012_R_1521.jpg")</f>
        <v>155_20240611_0012_R_1521.jpg</v>
      </c>
      <c r="G158" s="92" t="s">
        <v>4093</v>
      </c>
      <c r="I158">
        <v>1</v>
      </c>
      <c r="K158" s="95">
        <v>1</v>
      </c>
      <c r="L158" s="31"/>
      <c r="M158" s="31"/>
      <c r="N158" s="31"/>
      <c r="O158" s="31"/>
      <c r="P158" s="4">
        <v>1</v>
      </c>
      <c r="Q158" s="57">
        <v>0</v>
      </c>
      <c r="R158" s="57">
        <v>0</v>
      </c>
      <c r="S158" s="97">
        <v>0</v>
      </c>
      <c r="T158" s="57">
        <v>0</v>
      </c>
      <c r="U158" s="57">
        <v>0</v>
      </c>
      <c r="V158" s="57">
        <v>0</v>
      </c>
      <c r="W158" s="5">
        <v>0</v>
      </c>
      <c r="X158" s="94">
        <v>0</v>
      </c>
    </row>
    <row r="159" spans="1:24" x14ac:dyDescent="0.35">
      <c r="A159">
        <v>155</v>
      </c>
      <c r="B159">
        <v>156</v>
      </c>
      <c r="C159">
        <v>146.12652833000001</v>
      </c>
      <c r="D159">
        <v>-17.6082470718999</v>
      </c>
      <c r="F159" t="str">
        <f>HYPERLINK("D:\Data From Lucan\2024\Moresby\Frames_for_Analysis/156_20240611_0012_R_1519.jpg","156_20240611_0012_R_1519.jpg")</f>
        <v>156_20240611_0012_R_1519.jpg</v>
      </c>
      <c r="G159" s="92" t="s">
        <v>4094</v>
      </c>
      <c r="I159">
        <v>1</v>
      </c>
      <c r="K159" s="95">
        <v>1</v>
      </c>
      <c r="L159" s="31"/>
      <c r="M159" s="31"/>
      <c r="N159" s="31"/>
      <c r="O159" s="31"/>
      <c r="P159" s="4">
        <v>1</v>
      </c>
      <c r="Q159" s="57">
        <v>0</v>
      </c>
      <c r="R159" s="57">
        <v>0</v>
      </c>
      <c r="S159" s="97">
        <v>0</v>
      </c>
      <c r="T159" s="57">
        <v>0</v>
      </c>
      <c r="U159" s="57">
        <v>0</v>
      </c>
      <c r="V159" s="57">
        <v>0</v>
      </c>
      <c r="W159" s="5">
        <v>0</v>
      </c>
      <c r="X159" s="94">
        <v>0</v>
      </c>
    </row>
    <row r="160" spans="1:24" x14ac:dyDescent="0.35">
      <c r="A160">
        <v>156</v>
      </c>
      <c r="B160">
        <v>157</v>
      </c>
      <c r="C160">
        <v>146.126539879999</v>
      </c>
      <c r="D160">
        <v>-17.608331983900001</v>
      </c>
      <c r="F160" t="str">
        <f>HYPERLINK("D:\Data From Lucan\2024\Moresby\Frames_for_Analysis/157_20240611_0012_R_1518.jpg","157_20240611_0012_R_1518.jpg")</f>
        <v>157_20240611_0012_R_1518.jpg</v>
      </c>
      <c r="G160" s="92" t="s">
        <v>4095</v>
      </c>
      <c r="I160">
        <v>1</v>
      </c>
      <c r="K160" s="95">
        <v>1</v>
      </c>
      <c r="L160" s="31"/>
      <c r="M160" s="31"/>
      <c r="N160" s="31"/>
      <c r="O160" s="31"/>
      <c r="P160" s="4">
        <v>1</v>
      </c>
      <c r="Q160" s="57">
        <v>0</v>
      </c>
      <c r="R160" s="57">
        <v>0</v>
      </c>
      <c r="S160" s="97">
        <v>0</v>
      </c>
      <c r="T160" s="57">
        <v>0</v>
      </c>
      <c r="U160" s="57">
        <v>0</v>
      </c>
      <c r="V160" s="57">
        <v>0</v>
      </c>
      <c r="W160" s="5">
        <v>0</v>
      </c>
      <c r="X160" s="94">
        <v>0</v>
      </c>
    </row>
    <row r="161" spans="1:24" x14ac:dyDescent="0.35">
      <c r="A161">
        <v>157</v>
      </c>
      <c r="B161">
        <v>158</v>
      </c>
      <c r="C161">
        <v>146.12654153099899</v>
      </c>
      <c r="D161">
        <v>-17.6084175704</v>
      </c>
      <c r="F161" t="str">
        <f>HYPERLINK("D:\Data From Lucan\2024\Moresby\Frames_for_Analysis/158_20240611_0012_R_1516.jpg","158_20240611_0012_R_1516.jpg")</f>
        <v>158_20240611_0012_R_1516.jpg</v>
      </c>
      <c r="G161" s="92" t="s">
        <v>4096</v>
      </c>
      <c r="I161">
        <v>1</v>
      </c>
      <c r="K161" s="95">
        <v>1</v>
      </c>
      <c r="L161" s="31"/>
      <c r="M161" s="31"/>
      <c r="N161" s="31"/>
      <c r="O161" s="31"/>
      <c r="P161" s="4">
        <v>1</v>
      </c>
      <c r="Q161" s="57">
        <v>0</v>
      </c>
      <c r="R161" s="57">
        <v>0</v>
      </c>
      <c r="S161" s="97">
        <v>0</v>
      </c>
      <c r="T161" s="57">
        <v>0</v>
      </c>
      <c r="U161" s="57">
        <v>0</v>
      </c>
      <c r="V161" s="57">
        <v>0</v>
      </c>
      <c r="W161" s="5">
        <v>0</v>
      </c>
      <c r="X161" s="94">
        <v>0</v>
      </c>
    </row>
    <row r="162" spans="1:24" x14ac:dyDescent="0.35">
      <c r="A162">
        <v>158</v>
      </c>
      <c r="B162">
        <v>159</v>
      </c>
      <c r="C162">
        <v>146.12654277300001</v>
      </c>
      <c r="D162">
        <v>-17.6085031848</v>
      </c>
      <c r="F162" t="str">
        <f>HYPERLINK("D:\Data From Lucan\2024\Moresby\Frames_for_Analysis/159_20240611_0012_R_1513.jpg","159_20240611_0012_R_1513.jpg")</f>
        <v>159_20240611_0012_R_1513.jpg</v>
      </c>
      <c r="G162" s="92" t="s">
        <v>4097</v>
      </c>
      <c r="I162">
        <v>1</v>
      </c>
      <c r="K162" s="95">
        <v>1</v>
      </c>
      <c r="L162" s="31"/>
      <c r="M162" s="31"/>
      <c r="N162" s="31"/>
      <c r="O162" s="31"/>
      <c r="P162" s="4">
        <v>1</v>
      </c>
      <c r="Q162" s="57">
        <v>0</v>
      </c>
      <c r="R162" s="57">
        <v>0</v>
      </c>
      <c r="S162" s="97">
        <v>0</v>
      </c>
      <c r="T162" s="57">
        <v>0</v>
      </c>
      <c r="U162" s="57">
        <v>0</v>
      </c>
      <c r="V162" s="57">
        <v>0</v>
      </c>
      <c r="W162" s="5">
        <v>0</v>
      </c>
      <c r="X162" s="94">
        <v>0</v>
      </c>
    </row>
    <row r="163" spans="1:24" x14ac:dyDescent="0.35">
      <c r="A163">
        <v>159</v>
      </c>
      <c r="B163">
        <v>160</v>
      </c>
      <c r="C163">
        <v>146.12654401399899</v>
      </c>
      <c r="D163">
        <v>-17.6085887992</v>
      </c>
      <c r="E163">
        <v>50</v>
      </c>
      <c r="F163" t="str">
        <f>HYPERLINK("D:\Data From Lucan\2024\Moresby\Frames_for_Analysis/160_20240611_0012_R_1509.jpg","160_20240611_0012_R_1509.jpg")</f>
        <v>160_20240611_0012_R_1509.jpg</v>
      </c>
      <c r="G163" s="92" t="s">
        <v>4098</v>
      </c>
      <c r="I163">
        <v>1</v>
      </c>
      <c r="K163" s="95">
        <v>1</v>
      </c>
      <c r="L163" s="31"/>
      <c r="M163" s="31"/>
      <c r="N163" s="31"/>
      <c r="O163" s="31"/>
      <c r="P163" s="4">
        <v>1</v>
      </c>
      <c r="Q163" s="57">
        <v>0</v>
      </c>
      <c r="R163" s="57">
        <v>0</v>
      </c>
      <c r="S163" s="97">
        <v>0</v>
      </c>
      <c r="T163" s="57">
        <v>0</v>
      </c>
      <c r="U163" s="57">
        <v>0</v>
      </c>
      <c r="V163" s="57">
        <v>0</v>
      </c>
      <c r="W163" s="5">
        <v>0</v>
      </c>
      <c r="X163" s="94">
        <v>0</v>
      </c>
    </row>
    <row r="164" spans="1:24" x14ac:dyDescent="0.35">
      <c r="A164">
        <v>160</v>
      </c>
      <c r="B164">
        <v>161</v>
      </c>
      <c r="C164">
        <v>146.126545254999</v>
      </c>
      <c r="D164">
        <v>-17.608674413500001</v>
      </c>
      <c r="F164" t="str">
        <f>HYPERLINK("D:\Data From Lucan\2024\Moresby\Frames_for_Analysis/161_20240611_0012_R_1506.jpg","161_20240611_0012_R_1506.jpg")</f>
        <v>161_20240611_0012_R_1506.jpg</v>
      </c>
      <c r="G164" s="92" t="s">
        <v>4099</v>
      </c>
      <c r="I164">
        <v>1</v>
      </c>
      <c r="K164" s="95">
        <v>1</v>
      </c>
      <c r="L164" s="31"/>
      <c r="M164" s="31"/>
      <c r="N164" s="31"/>
      <c r="O164" s="31"/>
      <c r="P164" s="4">
        <v>1</v>
      </c>
      <c r="Q164" s="57">
        <v>0</v>
      </c>
      <c r="R164" s="57">
        <v>0</v>
      </c>
      <c r="S164" s="97">
        <v>0</v>
      </c>
      <c r="T164" s="57">
        <v>0</v>
      </c>
      <c r="U164" s="57">
        <v>0</v>
      </c>
      <c r="V164" s="57">
        <v>0</v>
      </c>
      <c r="W164" s="5">
        <v>0</v>
      </c>
      <c r="X164" s="94">
        <v>0</v>
      </c>
    </row>
    <row r="165" spans="1:24" x14ac:dyDescent="0.35">
      <c r="A165">
        <v>161</v>
      </c>
      <c r="B165">
        <v>162</v>
      </c>
      <c r="C165">
        <v>146.12654723</v>
      </c>
      <c r="D165">
        <v>-17.608760014600001</v>
      </c>
      <c r="F165" t="str">
        <f>HYPERLINK("D:\Data From Lucan\2024\Moresby\Frames_for_Analysis/162_20240611_0012_R_1498.jpg","162_20240611_0012_R_1498.jpg")</f>
        <v>162_20240611_0012_R_1498.jpg</v>
      </c>
      <c r="G165" s="92" t="s">
        <v>4100</v>
      </c>
      <c r="I165">
        <v>1</v>
      </c>
      <c r="K165" s="95">
        <v>1</v>
      </c>
      <c r="L165" s="31"/>
      <c r="M165" s="31"/>
      <c r="N165" s="31"/>
      <c r="O165" s="31"/>
      <c r="P165" s="4">
        <v>1</v>
      </c>
      <c r="Q165" s="57">
        <v>0</v>
      </c>
      <c r="R165" s="57">
        <v>0</v>
      </c>
      <c r="S165" s="97">
        <v>0</v>
      </c>
      <c r="T165" s="57">
        <v>0</v>
      </c>
      <c r="U165" s="57">
        <v>0</v>
      </c>
      <c r="V165" s="57">
        <v>0</v>
      </c>
      <c r="W165" s="5">
        <v>0</v>
      </c>
      <c r="X165" s="94">
        <v>0</v>
      </c>
    </row>
    <row r="166" spans="1:24" x14ac:dyDescent="0.35">
      <c r="A166">
        <v>162</v>
      </c>
      <c r="B166">
        <v>163</v>
      </c>
      <c r="C166">
        <v>146.12654936800001</v>
      </c>
      <c r="D166">
        <v>-17.6088456128</v>
      </c>
      <c r="F166" t="str">
        <f>HYPERLINK("D:\Data From Lucan\2024\Moresby\Frames_for_Analysis/163_20240611_0012_R_1488.jpg","163_20240611_0012_R_1488.jpg")</f>
        <v>163_20240611_0012_R_1488.jpg</v>
      </c>
      <c r="G166" s="92" t="s">
        <v>4101</v>
      </c>
      <c r="I166">
        <v>1</v>
      </c>
      <c r="K166" s="95">
        <v>1</v>
      </c>
      <c r="L166" s="31"/>
      <c r="M166" s="31"/>
      <c r="N166" s="31"/>
      <c r="O166" s="31"/>
      <c r="P166" s="4">
        <v>1</v>
      </c>
      <c r="Q166" s="57">
        <v>0</v>
      </c>
      <c r="R166" s="57">
        <v>0</v>
      </c>
      <c r="S166" s="97">
        <v>0</v>
      </c>
      <c r="T166" s="57">
        <v>0</v>
      </c>
      <c r="U166" s="57">
        <v>0</v>
      </c>
      <c r="V166" s="57">
        <v>0</v>
      </c>
      <c r="W166" s="5">
        <v>0</v>
      </c>
      <c r="X166" s="94">
        <v>0</v>
      </c>
    </row>
    <row r="167" spans="1:24" x14ac:dyDescent="0.35">
      <c r="A167">
        <v>163</v>
      </c>
      <c r="B167">
        <v>164</v>
      </c>
      <c r="C167">
        <v>146.126552717999</v>
      </c>
      <c r="D167">
        <v>-17.6089311245</v>
      </c>
      <c r="F167" t="str">
        <f>HYPERLINK("D:\Data From Lucan\2024\Moresby\Frames_for_Analysis/164_20240611_0012_R_1492.jpg","164_20240611_0012_R_1492.jpg")</f>
        <v>164_20240611_0012_R_1492.jpg</v>
      </c>
      <c r="G167" s="92" t="s">
        <v>4102</v>
      </c>
      <c r="I167">
        <v>1</v>
      </c>
      <c r="K167" s="95">
        <v>1</v>
      </c>
      <c r="L167" s="31"/>
      <c r="M167" s="31"/>
      <c r="N167" s="31"/>
      <c r="O167" s="31"/>
      <c r="P167" s="4">
        <v>1</v>
      </c>
      <c r="Q167" s="57">
        <v>0</v>
      </c>
      <c r="R167" s="57">
        <v>0</v>
      </c>
      <c r="S167" s="97">
        <v>0</v>
      </c>
      <c r="T167" s="57">
        <v>0</v>
      </c>
      <c r="U167" s="57">
        <v>0</v>
      </c>
      <c r="V167" s="57">
        <v>0</v>
      </c>
      <c r="W167" s="5">
        <v>0</v>
      </c>
      <c r="X167" s="94">
        <v>0</v>
      </c>
    </row>
    <row r="168" spans="1:24" x14ac:dyDescent="0.35">
      <c r="A168">
        <v>164</v>
      </c>
      <c r="B168">
        <v>165</v>
      </c>
      <c r="C168">
        <v>146.126563957999</v>
      </c>
      <c r="D168">
        <v>-17.609016073900001</v>
      </c>
      <c r="E168">
        <v>50</v>
      </c>
      <c r="F168" t="str">
        <f>HYPERLINK("D:\Data From Lucan\2024\Moresby\Frames_for_Analysis/165_20240611_0012_R_1494.jpg","165_20240611_0012_R_1494.jpg")</f>
        <v>165_20240611_0012_R_1494.jpg</v>
      </c>
      <c r="G168" s="92" t="s">
        <v>4103</v>
      </c>
      <c r="I168">
        <v>1</v>
      </c>
      <c r="K168" s="95">
        <v>1</v>
      </c>
      <c r="L168" s="31"/>
      <c r="M168" s="31"/>
      <c r="N168" s="31"/>
      <c r="O168" s="31"/>
      <c r="P168" s="4">
        <v>1</v>
      </c>
      <c r="Q168" s="57">
        <v>0</v>
      </c>
      <c r="R168" s="57">
        <v>0</v>
      </c>
      <c r="S168" s="97">
        <v>0</v>
      </c>
      <c r="T168" s="57">
        <v>0</v>
      </c>
      <c r="U168" s="57">
        <v>0</v>
      </c>
      <c r="V168" s="57">
        <v>0</v>
      </c>
      <c r="W168" s="5">
        <v>0</v>
      </c>
      <c r="X168" s="94">
        <v>0</v>
      </c>
    </row>
    <row r="169" spans="1:24" x14ac:dyDescent="0.35">
      <c r="A169">
        <v>165</v>
      </c>
      <c r="B169">
        <v>166</v>
      </c>
      <c r="C169">
        <v>146.126575199</v>
      </c>
      <c r="D169">
        <v>-17.609101023200001</v>
      </c>
      <c r="F169" t="str">
        <f>HYPERLINK("D:\Data From Lucan\2024\Moresby\Frames_for_Analysis/166_20240611_0012_R_1479.jpg","166_20240611_0012_R_1479.jpg")</f>
        <v>166_20240611_0012_R_1479.jpg</v>
      </c>
      <c r="G169" s="92" t="s">
        <v>4104</v>
      </c>
      <c r="I169">
        <v>1</v>
      </c>
      <c r="K169" s="95">
        <v>1</v>
      </c>
      <c r="L169" s="31"/>
      <c r="M169" s="31"/>
      <c r="N169" s="31"/>
      <c r="O169" s="31"/>
      <c r="P169" s="4">
        <v>1</v>
      </c>
      <c r="Q169" s="57">
        <v>0</v>
      </c>
      <c r="R169" s="57">
        <v>0</v>
      </c>
      <c r="S169" s="97">
        <v>0</v>
      </c>
      <c r="T169" s="57">
        <v>0</v>
      </c>
      <c r="U169" s="57">
        <v>0</v>
      </c>
      <c r="V169" s="57">
        <v>0</v>
      </c>
      <c r="W169" s="5">
        <v>0</v>
      </c>
      <c r="X169" s="94">
        <v>0</v>
      </c>
    </row>
    <row r="170" spans="1:24" x14ac:dyDescent="0.35">
      <c r="A170">
        <v>166</v>
      </c>
      <c r="B170">
        <v>167</v>
      </c>
      <c r="C170">
        <v>146.126584702</v>
      </c>
      <c r="D170">
        <v>-17.6091860977</v>
      </c>
      <c r="F170" t="str">
        <f>HYPERLINK("D:\Data From Lucan\2024\Moresby\Frames_for_Analysis/167_20240611_0012_R_1477.jpg","167_20240611_0012_R_1477.jpg")</f>
        <v>167_20240611_0012_R_1477.jpg</v>
      </c>
      <c r="G170" s="92" t="s">
        <v>4105</v>
      </c>
      <c r="I170">
        <v>1</v>
      </c>
      <c r="K170" s="95">
        <v>1</v>
      </c>
      <c r="L170" s="31"/>
      <c r="M170" s="31"/>
      <c r="N170" s="31"/>
      <c r="O170" s="31"/>
      <c r="P170" s="4">
        <v>1</v>
      </c>
      <c r="Q170" s="57">
        <v>0</v>
      </c>
      <c r="R170" s="57">
        <v>0</v>
      </c>
      <c r="S170" s="97">
        <v>0</v>
      </c>
      <c r="T170" s="57">
        <v>0</v>
      </c>
      <c r="U170" s="57">
        <v>0</v>
      </c>
      <c r="V170" s="57">
        <v>0</v>
      </c>
      <c r="W170" s="5">
        <v>0</v>
      </c>
      <c r="X170" s="94">
        <v>0</v>
      </c>
    </row>
    <row r="171" spans="1:24" x14ac:dyDescent="0.35">
      <c r="A171">
        <v>167</v>
      </c>
      <c r="B171">
        <v>168</v>
      </c>
      <c r="C171">
        <v>146.126586994999</v>
      </c>
      <c r="D171">
        <v>-17.609271692099899</v>
      </c>
      <c r="F171" t="str">
        <f>HYPERLINK("D:\Data From Lucan\2024\Moresby\Frames_for_Analysis/168_20240611_0012_R_1476.jpg","168_20240611_0012_R_1476.jpg")</f>
        <v>168_20240611_0012_R_1476.jpg</v>
      </c>
      <c r="G171" s="92" t="s">
        <v>4106</v>
      </c>
      <c r="I171">
        <v>1</v>
      </c>
      <c r="K171" s="95">
        <v>1</v>
      </c>
      <c r="L171" s="31"/>
      <c r="M171" s="31"/>
      <c r="N171" s="31"/>
      <c r="O171" s="31"/>
      <c r="P171" s="4">
        <v>1</v>
      </c>
      <c r="Q171" s="57">
        <v>0</v>
      </c>
      <c r="R171" s="57">
        <v>0</v>
      </c>
      <c r="S171" s="97">
        <v>0</v>
      </c>
      <c r="T171" s="57">
        <v>0</v>
      </c>
      <c r="U171" s="57">
        <v>0</v>
      </c>
      <c r="V171" s="57">
        <v>0</v>
      </c>
      <c r="W171" s="5">
        <v>0</v>
      </c>
      <c r="X171" s="94">
        <v>0</v>
      </c>
    </row>
    <row r="172" spans="1:24" x14ac:dyDescent="0.35">
      <c r="A172">
        <v>168</v>
      </c>
      <c r="B172">
        <v>169</v>
      </c>
      <c r="C172">
        <v>146.126589287</v>
      </c>
      <c r="D172">
        <v>-17.6093572863</v>
      </c>
      <c r="F172" t="str">
        <f>HYPERLINK("D:\Data From Lucan\2024\Moresby\Frames_for_Analysis/169_20240611_0012_R_1472.jpg","169_20240611_0012_R_1472.jpg")</f>
        <v>169_20240611_0012_R_1472.jpg</v>
      </c>
      <c r="G172" s="92" t="s">
        <v>4107</v>
      </c>
      <c r="I172">
        <v>1</v>
      </c>
      <c r="K172" s="95">
        <v>1</v>
      </c>
      <c r="L172" s="31"/>
      <c r="M172" s="31"/>
      <c r="N172" s="31"/>
      <c r="O172" s="31"/>
      <c r="P172" s="4">
        <v>1</v>
      </c>
      <c r="Q172" s="57">
        <v>0</v>
      </c>
      <c r="R172" s="57">
        <v>0</v>
      </c>
      <c r="S172" s="97">
        <v>0</v>
      </c>
      <c r="T172" s="57">
        <v>0</v>
      </c>
      <c r="U172" s="57">
        <v>0</v>
      </c>
      <c r="V172" s="57">
        <v>0</v>
      </c>
      <c r="W172" s="5">
        <v>0</v>
      </c>
      <c r="X172" s="94">
        <v>0</v>
      </c>
    </row>
    <row r="173" spans="1:24" x14ac:dyDescent="0.35">
      <c r="A173">
        <v>169</v>
      </c>
      <c r="B173">
        <v>170</v>
      </c>
      <c r="C173">
        <v>146.12657740200001</v>
      </c>
      <c r="D173">
        <v>-17.609441600299899</v>
      </c>
      <c r="E173">
        <v>50</v>
      </c>
      <c r="F173" t="str">
        <f>HYPERLINK("D:\Data From Lucan\2024\Moresby\Frames_for_Analysis/170_20240611_0012_R_1471.jpg","170_20240611_0012_R_1471.jpg")</f>
        <v>170_20240611_0012_R_1471.jpg</v>
      </c>
      <c r="G173" s="92" t="s">
        <v>4108</v>
      </c>
      <c r="I173">
        <v>1</v>
      </c>
      <c r="K173" s="95">
        <v>1</v>
      </c>
      <c r="L173" s="31"/>
      <c r="M173" s="31"/>
      <c r="N173" s="31"/>
      <c r="O173" s="31"/>
      <c r="P173" s="4">
        <v>1</v>
      </c>
      <c r="Q173" s="57">
        <v>0</v>
      </c>
      <c r="R173" s="57">
        <v>0</v>
      </c>
      <c r="S173" s="97">
        <v>0</v>
      </c>
      <c r="T173" s="57">
        <v>0</v>
      </c>
      <c r="U173" s="57">
        <v>0</v>
      </c>
      <c r="V173" s="57">
        <v>0</v>
      </c>
      <c r="W173" s="5">
        <v>0</v>
      </c>
      <c r="X173" s="94">
        <v>0</v>
      </c>
    </row>
    <row r="174" spans="1:24" x14ac:dyDescent="0.35">
      <c r="A174">
        <v>170</v>
      </c>
      <c r="B174">
        <v>171</v>
      </c>
      <c r="C174">
        <v>146.126558286999</v>
      </c>
      <c r="D174">
        <v>-17.609525261400002</v>
      </c>
      <c r="F174" t="str">
        <f>HYPERLINK("D:\Data From Lucan\2024\Moresby\Frames_for_Analysis/171_20240611_0012_R_1467.jpg","171_20240611_0012_R_1467.jpg")</f>
        <v>171_20240611_0012_R_1467.jpg</v>
      </c>
      <c r="G174" s="92" t="s">
        <v>4109</v>
      </c>
      <c r="I174">
        <v>1</v>
      </c>
      <c r="K174" s="95">
        <v>1</v>
      </c>
      <c r="L174" s="31"/>
      <c r="M174" s="31"/>
      <c r="N174" s="31"/>
      <c r="O174" s="31"/>
      <c r="P174" s="4">
        <v>1</v>
      </c>
      <c r="Q174" s="57">
        <v>0</v>
      </c>
      <c r="R174" s="57">
        <v>0</v>
      </c>
      <c r="S174" s="97">
        <v>0</v>
      </c>
      <c r="T174" s="57">
        <v>0</v>
      </c>
      <c r="U174" s="57">
        <v>0</v>
      </c>
      <c r="V174" s="57">
        <v>0</v>
      </c>
      <c r="W174" s="5">
        <v>0</v>
      </c>
      <c r="X174" s="94">
        <v>0</v>
      </c>
    </row>
    <row r="175" spans="1:24" x14ac:dyDescent="0.35">
      <c r="A175">
        <v>171</v>
      </c>
      <c r="B175">
        <v>172</v>
      </c>
      <c r="C175">
        <v>146.12654375599899</v>
      </c>
      <c r="D175">
        <v>-17.609609623400001</v>
      </c>
      <c r="F175" t="str">
        <f>HYPERLINK("D:\Data From Lucan\2024\Moresby\Frames_for_Analysis/172_20240611_0012_R_1468.jpg","172_20240611_0012_R_1468.jpg")</f>
        <v>172_20240611_0012_R_1468.jpg</v>
      </c>
      <c r="G175" s="92" t="s">
        <v>4110</v>
      </c>
      <c r="I175">
        <v>1</v>
      </c>
      <c r="K175" s="95">
        <v>1</v>
      </c>
      <c r="L175" s="31"/>
      <c r="M175" s="31"/>
      <c r="N175" s="31"/>
      <c r="O175" s="31"/>
      <c r="P175" s="4">
        <v>1</v>
      </c>
      <c r="Q175" s="57">
        <v>0</v>
      </c>
      <c r="R175" s="57">
        <v>0</v>
      </c>
      <c r="S175" s="97">
        <v>0</v>
      </c>
      <c r="T175" s="57">
        <v>0</v>
      </c>
      <c r="U175" s="57">
        <v>0</v>
      </c>
      <c r="V175" s="57">
        <v>0</v>
      </c>
      <c r="W175" s="5">
        <v>0</v>
      </c>
      <c r="X175" s="94">
        <v>0</v>
      </c>
    </row>
    <row r="176" spans="1:24" x14ac:dyDescent="0.35">
      <c r="A176">
        <v>172</v>
      </c>
      <c r="B176">
        <v>173</v>
      </c>
      <c r="C176">
        <v>146.126534461999</v>
      </c>
      <c r="D176">
        <v>-17.6096947859</v>
      </c>
      <c r="G176" s="92"/>
      <c r="I176">
        <v>1</v>
      </c>
      <c r="J176" t="s">
        <v>26</v>
      </c>
      <c r="K176" s="95" t="s">
        <v>26</v>
      </c>
      <c r="L176" s="31"/>
      <c r="M176" s="31"/>
      <c r="N176" s="31"/>
      <c r="O176" s="31"/>
      <c r="P176" s="4"/>
      <c r="W176" s="5"/>
      <c r="X176" s="94"/>
    </row>
    <row r="177" spans="1:24" x14ac:dyDescent="0.35">
      <c r="A177">
        <v>173</v>
      </c>
      <c r="B177">
        <v>174</v>
      </c>
      <c r="C177">
        <v>146.12653201200001</v>
      </c>
      <c r="D177">
        <v>-17.6097803559</v>
      </c>
      <c r="G177" s="92"/>
      <c r="I177">
        <v>1</v>
      </c>
      <c r="J177" t="s">
        <v>26</v>
      </c>
      <c r="K177" s="95" t="s">
        <v>26</v>
      </c>
      <c r="L177" s="31"/>
      <c r="M177" s="31"/>
      <c r="N177" s="31"/>
      <c r="O177" s="31"/>
      <c r="P177" s="4"/>
      <c r="W177" s="5"/>
      <c r="X177" s="94"/>
    </row>
    <row r="178" spans="1:24" x14ac:dyDescent="0.35">
      <c r="A178">
        <v>174</v>
      </c>
      <c r="B178">
        <v>175</v>
      </c>
      <c r="C178">
        <v>146.126530113</v>
      </c>
      <c r="D178">
        <v>-17.609865958699899</v>
      </c>
      <c r="E178">
        <v>50</v>
      </c>
      <c r="F178" t="str">
        <f>HYPERLINK("D:\Data From Lucan\2024\Moresby\Frames_for_Analysis/175_20240611_0012_R_1460.jpg","175_20240611_0012_R_1460.jpg")</f>
        <v>175_20240611_0012_R_1460.jpg</v>
      </c>
      <c r="G178" s="92" t="s">
        <v>4111</v>
      </c>
      <c r="I178">
        <v>1</v>
      </c>
      <c r="K178" s="95">
        <v>1</v>
      </c>
      <c r="L178" s="31"/>
      <c r="M178" s="31"/>
      <c r="N178" s="31"/>
      <c r="O178" s="31"/>
      <c r="P178" s="4">
        <v>1</v>
      </c>
      <c r="Q178" s="57">
        <v>0</v>
      </c>
      <c r="R178" s="57">
        <v>0</v>
      </c>
      <c r="S178" s="97">
        <v>0</v>
      </c>
      <c r="T178" s="57">
        <v>0</v>
      </c>
      <c r="U178" s="57">
        <v>0</v>
      </c>
      <c r="V178" s="57">
        <v>0</v>
      </c>
      <c r="W178" s="57">
        <v>0</v>
      </c>
      <c r="X178" s="94">
        <v>0</v>
      </c>
    </row>
    <row r="179" spans="1:24" x14ac:dyDescent="0.35">
      <c r="A179">
        <v>175</v>
      </c>
      <c r="B179">
        <v>176</v>
      </c>
      <c r="C179">
        <v>146.126528213</v>
      </c>
      <c r="D179">
        <v>-17.6099515613999</v>
      </c>
      <c r="F179" t="str">
        <f>HYPERLINK("D:\Data From Lucan\2024\Moresby\Frames_for_Analysis/176_20240611_0012_R_1446.jpg","176_20240611_0012_R_1446.jpg")</f>
        <v>176_20240611_0012_R_1446.jpg</v>
      </c>
      <c r="G179" s="92" t="s">
        <v>4112</v>
      </c>
      <c r="I179">
        <v>1</v>
      </c>
      <c r="K179" s="95">
        <v>1</v>
      </c>
      <c r="L179" s="31"/>
      <c r="M179" s="31"/>
      <c r="N179" s="31"/>
      <c r="O179" s="31"/>
      <c r="P179" s="4">
        <v>1</v>
      </c>
      <c r="Q179" s="57">
        <v>0</v>
      </c>
      <c r="R179" s="57">
        <v>0</v>
      </c>
      <c r="S179" s="97">
        <v>0</v>
      </c>
      <c r="T179" s="57">
        <v>0</v>
      </c>
      <c r="U179" s="57">
        <v>0</v>
      </c>
      <c r="V179" s="57">
        <v>0</v>
      </c>
      <c r="W179" s="57">
        <v>0</v>
      </c>
      <c r="X179" s="94">
        <v>0</v>
      </c>
    </row>
    <row r="180" spans="1:24" x14ac:dyDescent="0.35">
      <c r="A180">
        <v>176</v>
      </c>
      <c r="B180">
        <v>177</v>
      </c>
      <c r="C180">
        <v>146.126526312999</v>
      </c>
      <c r="D180">
        <v>-17.6100371641</v>
      </c>
      <c r="F180" t="str">
        <f>HYPERLINK("D:\Data From Lucan\2024\Moresby\Frames_for_Analysis/177_20240611_0012_R_1458.jpg","177_20240611_0012_R_1458.jpg")</f>
        <v>177_20240611_0012_R_1458.jpg</v>
      </c>
      <c r="G180" s="92" t="s">
        <v>4113</v>
      </c>
      <c r="I180">
        <v>1</v>
      </c>
      <c r="K180" s="95">
        <v>1</v>
      </c>
      <c r="L180" s="31"/>
      <c r="M180" s="31"/>
      <c r="N180" s="31"/>
      <c r="O180" s="31"/>
      <c r="P180" s="4">
        <v>1</v>
      </c>
      <c r="Q180" s="57">
        <v>0</v>
      </c>
      <c r="R180" s="57">
        <v>0</v>
      </c>
      <c r="S180" s="97">
        <v>0</v>
      </c>
      <c r="T180" s="57">
        <v>0</v>
      </c>
      <c r="U180" s="57">
        <v>0</v>
      </c>
      <c r="V180" s="57">
        <v>0</v>
      </c>
      <c r="W180" s="57">
        <v>0</v>
      </c>
      <c r="X180" s="94">
        <v>0</v>
      </c>
    </row>
    <row r="181" spans="1:24" x14ac:dyDescent="0.35">
      <c r="A181">
        <v>177</v>
      </c>
      <c r="B181">
        <v>178</v>
      </c>
      <c r="C181">
        <v>146.12651659599899</v>
      </c>
      <c r="D181">
        <v>-17.610121581400001</v>
      </c>
      <c r="F181" t="str">
        <f>HYPERLINK("D:\Data From Lucan\2024\Moresby\Frames_for_Analysis/178_20240611_0012_R_1457.jpg","178_20240611_0012_R_1457.jpg")</f>
        <v>178_20240611_0012_R_1457.jpg</v>
      </c>
      <c r="G181" s="92" t="s">
        <v>4114</v>
      </c>
      <c r="I181">
        <v>1</v>
      </c>
      <c r="K181" s="95">
        <v>1</v>
      </c>
      <c r="L181" s="31"/>
      <c r="M181" s="31"/>
      <c r="N181" s="31"/>
      <c r="O181" s="31"/>
      <c r="P181" s="4">
        <v>1</v>
      </c>
      <c r="Q181" s="57">
        <v>0</v>
      </c>
      <c r="R181" s="57">
        <v>0</v>
      </c>
      <c r="S181" s="97">
        <v>0</v>
      </c>
      <c r="T181" s="57">
        <v>0</v>
      </c>
      <c r="U181" s="57">
        <v>0</v>
      </c>
      <c r="V181" s="57">
        <v>0</v>
      </c>
      <c r="W181" s="57">
        <v>0</v>
      </c>
      <c r="X181" s="94">
        <v>0</v>
      </c>
    </row>
    <row r="182" spans="1:24" x14ac:dyDescent="0.35">
      <c r="A182">
        <v>178</v>
      </c>
      <c r="B182">
        <v>179</v>
      </c>
      <c r="C182">
        <v>146.126490531999</v>
      </c>
      <c r="D182">
        <v>-17.610203520100001</v>
      </c>
      <c r="F182" t="str">
        <f>HYPERLINK("D:\Data From Lucan\2024\Moresby\Frames_for_Analysis/179_20240611_0012_R_1456.jpg","179_20240611_0012_R_1456.jpg")</f>
        <v>179_20240611_0012_R_1456.jpg</v>
      </c>
      <c r="G182" s="92" t="s">
        <v>4115</v>
      </c>
      <c r="I182">
        <v>1</v>
      </c>
      <c r="K182" s="95">
        <v>1</v>
      </c>
      <c r="L182" s="31"/>
      <c r="M182" s="31"/>
      <c r="N182" s="31"/>
      <c r="O182" s="31"/>
      <c r="P182" s="4">
        <v>1</v>
      </c>
      <c r="Q182" s="57">
        <v>0</v>
      </c>
      <c r="R182" s="57">
        <v>0</v>
      </c>
      <c r="S182" s="97">
        <v>0</v>
      </c>
      <c r="T182" s="57">
        <v>0</v>
      </c>
      <c r="U182" s="57">
        <v>0</v>
      </c>
      <c r="V182" s="57">
        <v>0</v>
      </c>
      <c r="W182" s="57">
        <v>0</v>
      </c>
      <c r="X182" s="94">
        <v>0</v>
      </c>
    </row>
    <row r="183" spans="1:24" x14ac:dyDescent="0.35">
      <c r="A183">
        <v>179</v>
      </c>
      <c r="B183">
        <v>180</v>
      </c>
      <c r="C183">
        <v>146.12646446900001</v>
      </c>
      <c r="D183">
        <v>-17.6102854588</v>
      </c>
      <c r="E183">
        <v>50</v>
      </c>
      <c r="F183" t="str">
        <f>HYPERLINK("D:\Data From Lucan\2024\Moresby\Frames_for_Analysis/180_20240611_0012_R_1453.jpg","180_20240611_0012_R_1453.jpg")</f>
        <v>180_20240611_0012_R_1453.jpg</v>
      </c>
      <c r="G183" s="92" t="s">
        <v>4116</v>
      </c>
      <c r="I183">
        <v>1</v>
      </c>
      <c r="K183" s="95">
        <v>1</v>
      </c>
      <c r="L183" s="31"/>
      <c r="M183" s="31"/>
      <c r="N183" s="31"/>
      <c r="O183" s="31"/>
      <c r="P183" s="4">
        <v>1</v>
      </c>
      <c r="Q183" s="57">
        <v>0</v>
      </c>
      <c r="R183" s="57">
        <v>0</v>
      </c>
      <c r="S183" s="97">
        <v>0</v>
      </c>
      <c r="T183" s="57">
        <v>0</v>
      </c>
      <c r="U183" s="57">
        <v>0</v>
      </c>
      <c r="V183" s="57">
        <v>0</v>
      </c>
      <c r="W183" s="57">
        <v>0</v>
      </c>
      <c r="X183" s="94">
        <v>0</v>
      </c>
    </row>
    <row r="184" spans="1:24" x14ac:dyDescent="0.35">
      <c r="A184">
        <v>180</v>
      </c>
      <c r="B184">
        <v>181</v>
      </c>
      <c r="C184">
        <v>146.12643868800001</v>
      </c>
      <c r="D184">
        <v>-17.610367475099899</v>
      </c>
      <c r="F184" t="str">
        <f>HYPERLINK("D:\Data From Lucan\2024\Moresby\Frames_for_Analysis/181_20240611_0012_R_1445.jpg","181_20240611_0012_R_1445.jpg")</f>
        <v>181_20240611_0012_R_1445.jpg</v>
      </c>
      <c r="G184" s="92" t="s">
        <v>4117</v>
      </c>
      <c r="I184">
        <v>1</v>
      </c>
      <c r="K184" s="95">
        <v>1</v>
      </c>
      <c r="L184" s="31"/>
      <c r="M184" s="31"/>
      <c r="N184" s="31"/>
      <c r="O184" s="31"/>
      <c r="P184" s="4">
        <v>1</v>
      </c>
      <c r="Q184" s="57">
        <v>0</v>
      </c>
      <c r="R184" s="57">
        <v>0</v>
      </c>
      <c r="S184" s="97">
        <v>0</v>
      </c>
      <c r="T184" s="57">
        <v>0</v>
      </c>
      <c r="U184" s="57">
        <v>0</v>
      </c>
      <c r="V184" s="57">
        <v>0</v>
      </c>
      <c r="W184" s="57">
        <v>0</v>
      </c>
      <c r="X184" s="94">
        <v>0</v>
      </c>
    </row>
    <row r="185" spans="1:24" x14ac:dyDescent="0.35">
      <c r="A185">
        <v>181</v>
      </c>
      <c r="B185">
        <v>182</v>
      </c>
      <c r="C185">
        <v>146.126414928</v>
      </c>
      <c r="D185">
        <v>-17.610450047600001</v>
      </c>
      <c r="F185" t="str">
        <f>HYPERLINK("D:\Data From Lucan\2024\Moresby\Frames_for_Analysis/182_20240611_0012_R_1416.jpg","182_20240611_0012_R_1416.jpg")</f>
        <v>182_20240611_0012_R_1416.jpg</v>
      </c>
      <c r="G185" s="92" t="s">
        <v>4118</v>
      </c>
      <c r="I185">
        <v>1</v>
      </c>
      <c r="K185" s="95">
        <v>1</v>
      </c>
      <c r="L185" s="31"/>
      <c r="M185" s="31"/>
      <c r="N185" s="31"/>
      <c r="O185" s="31"/>
      <c r="P185" s="4">
        <v>1</v>
      </c>
      <c r="Q185" s="57">
        <v>0</v>
      </c>
      <c r="R185" s="57">
        <v>0</v>
      </c>
      <c r="S185" s="97">
        <v>0</v>
      </c>
      <c r="T185" s="57">
        <v>0</v>
      </c>
      <c r="U185" s="57">
        <v>0</v>
      </c>
      <c r="V185" s="57">
        <v>0</v>
      </c>
      <c r="W185" s="57">
        <v>0</v>
      </c>
      <c r="X185" s="94">
        <v>0</v>
      </c>
    </row>
    <row r="186" spans="1:24" x14ac:dyDescent="0.35">
      <c r="A186">
        <v>182</v>
      </c>
      <c r="B186">
        <v>183</v>
      </c>
      <c r="C186">
        <v>146.12639116899899</v>
      </c>
      <c r="D186">
        <v>-17.6105326200999</v>
      </c>
      <c r="G186" s="92"/>
      <c r="I186">
        <v>1</v>
      </c>
      <c r="J186" t="s">
        <v>26</v>
      </c>
      <c r="K186" s="95" t="s">
        <v>26</v>
      </c>
      <c r="L186" s="31"/>
      <c r="M186" s="31"/>
      <c r="N186" s="31"/>
      <c r="O186" s="31"/>
      <c r="P186" s="4"/>
      <c r="X186" s="94"/>
    </row>
    <row r="187" spans="1:24" x14ac:dyDescent="0.35">
      <c r="A187">
        <v>183</v>
      </c>
      <c r="B187">
        <v>184</v>
      </c>
      <c r="C187">
        <v>146.12636740900001</v>
      </c>
      <c r="D187">
        <v>-17.610615192600001</v>
      </c>
      <c r="F187" t="str">
        <f>HYPERLINK("D:\Data From Lucan\2024\Moresby\Frames_for_Analysis/184_20240611_0012_R_1415.jpg","184_20240611_0012_R_1415.jpg")</f>
        <v>184_20240611_0012_R_1415.jpg</v>
      </c>
      <c r="G187" s="92" t="s">
        <v>4119</v>
      </c>
      <c r="I187">
        <v>1</v>
      </c>
      <c r="K187" s="95">
        <v>1</v>
      </c>
      <c r="L187" s="31"/>
      <c r="M187" s="31"/>
      <c r="N187" s="31"/>
      <c r="O187" s="31"/>
      <c r="P187" s="4">
        <v>1</v>
      </c>
      <c r="Q187" s="57">
        <v>0</v>
      </c>
      <c r="R187" s="57">
        <v>0</v>
      </c>
      <c r="S187" s="97">
        <v>0</v>
      </c>
      <c r="T187" s="57">
        <v>0</v>
      </c>
      <c r="U187" s="57">
        <v>0</v>
      </c>
      <c r="V187" s="57">
        <v>0</v>
      </c>
      <c r="W187" s="57">
        <v>0</v>
      </c>
      <c r="X187" s="94">
        <v>0</v>
      </c>
    </row>
    <row r="188" spans="1:24" x14ac:dyDescent="0.35">
      <c r="A188">
        <v>184</v>
      </c>
      <c r="B188">
        <v>185</v>
      </c>
      <c r="C188">
        <v>146.126352722999</v>
      </c>
      <c r="D188">
        <v>-17.610699300699899</v>
      </c>
      <c r="E188">
        <v>50</v>
      </c>
      <c r="F188" t="str">
        <f>HYPERLINK("D:\Data From Lucan\2024\Moresby\Frames_for_Analysis/185_20240611_0012_R_1389.jpg","185_20240611_0012_R_1389.jpg")</f>
        <v>185_20240611_0012_R_1389.jpg</v>
      </c>
      <c r="G188" s="92" t="s">
        <v>4120</v>
      </c>
      <c r="I188">
        <v>1</v>
      </c>
      <c r="K188" s="95">
        <v>1</v>
      </c>
      <c r="L188" s="31"/>
      <c r="M188" s="31"/>
      <c r="N188" s="31"/>
      <c r="O188" s="31"/>
      <c r="P188" s="4">
        <v>1</v>
      </c>
      <c r="Q188" s="57">
        <v>0</v>
      </c>
      <c r="R188" s="57">
        <v>0</v>
      </c>
      <c r="S188" s="97">
        <v>0</v>
      </c>
      <c r="T188" s="57">
        <v>0</v>
      </c>
      <c r="U188" s="57">
        <v>0</v>
      </c>
      <c r="V188" s="57">
        <v>0</v>
      </c>
      <c r="W188" s="57">
        <v>0</v>
      </c>
      <c r="X188" s="94">
        <v>0</v>
      </c>
    </row>
    <row r="189" spans="1:24" x14ac:dyDescent="0.35">
      <c r="A189">
        <v>185</v>
      </c>
      <c r="B189">
        <v>186</v>
      </c>
      <c r="C189">
        <v>146.12634422900001</v>
      </c>
      <c r="D189">
        <v>-17.610784538600001</v>
      </c>
      <c r="F189" t="str">
        <f>HYPERLINK("D:\Data From Lucan\2024\Moresby\Frames_for_Analysis/186_20240611_0012_R_1393.jpg","186_20240611_0012_R_1393.jpg")</f>
        <v>186_20240611_0012_R_1393.jpg</v>
      </c>
      <c r="G189" s="92" t="s">
        <v>4121</v>
      </c>
      <c r="I189">
        <v>1</v>
      </c>
      <c r="K189" s="95">
        <v>1</v>
      </c>
      <c r="L189" s="31"/>
      <c r="M189" s="31"/>
      <c r="N189" s="31"/>
      <c r="O189" s="31"/>
      <c r="P189" s="4">
        <v>1</v>
      </c>
      <c r="Q189" s="57">
        <v>0</v>
      </c>
      <c r="R189" s="57">
        <v>0</v>
      </c>
      <c r="S189" s="97">
        <v>0</v>
      </c>
      <c r="T189" s="57">
        <v>0</v>
      </c>
      <c r="U189" s="57">
        <v>0</v>
      </c>
      <c r="V189" s="57">
        <v>0</v>
      </c>
      <c r="W189" s="57">
        <v>0</v>
      </c>
      <c r="X189" s="94">
        <v>0</v>
      </c>
    </row>
    <row r="190" spans="1:24" x14ac:dyDescent="0.35">
      <c r="A190">
        <v>186</v>
      </c>
      <c r="B190">
        <v>187</v>
      </c>
      <c r="C190">
        <v>146.12633588200001</v>
      </c>
      <c r="D190">
        <v>-17.6108697883</v>
      </c>
      <c r="F190" t="str">
        <f>HYPERLINK("D:\Data From Lucan\2024\Moresby\Frames_for_Analysis/187_20240611_0012_R_1419.jpg","187_20240611_0012_R_1419.jpg")</f>
        <v>187_20240611_0012_R_1419.jpg</v>
      </c>
      <c r="G190" s="92" t="s">
        <v>4122</v>
      </c>
      <c r="I190">
        <v>1</v>
      </c>
      <c r="K190" s="95">
        <v>1</v>
      </c>
      <c r="L190" s="31"/>
      <c r="M190" s="31"/>
      <c r="N190" s="31"/>
      <c r="O190" s="31"/>
      <c r="P190" s="4">
        <v>1</v>
      </c>
      <c r="Q190" s="57">
        <v>0</v>
      </c>
      <c r="R190" s="57">
        <v>0</v>
      </c>
      <c r="S190" s="97">
        <v>0</v>
      </c>
      <c r="T190" s="57">
        <v>0</v>
      </c>
      <c r="U190" s="57">
        <v>0</v>
      </c>
      <c r="V190" s="57">
        <v>0</v>
      </c>
      <c r="W190" s="57">
        <v>0</v>
      </c>
      <c r="X190" s="94">
        <v>0</v>
      </c>
    </row>
    <row r="191" spans="1:24" x14ac:dyDescent="0.35">
      <c r="A191">
        <v>187</v>
      </c>
      <c r="B191">
        <v>188</v>
      </c>
      <c r="C191">
        <v>146.12632910900001</v>
      </c>
      <c r="D191">
        <v>-17.610955166099899</v>
      </c>
      <c r="F191" t="str">
        <f>HYPERLINK("D:\Data From Lucan\2024\Moresby\Frames_for_Analysis/188_20240611_0012_R_1394.jpg","188_20240611_0012_R_1394.jpg")</f>
        <v>188_20240611_0012_R_1394.jpg</v>
      </c>
      <c r="G191" s="92" t="s">
        <v>4123</v>
      </c>
      <c r="I191">
        <v>1</v>
      </c>
      <c r="K191" s="95">
        <v>1</v>
      </c>
      <c r="L191" s="31"/>
      <c r="M191" s="31"/>
      <c r="N191" s="31"/>
      <c r="O191" s="31"/>
      <c r="P191" s="4">
        <v>1</v>
      </c>
      <c r="Q191" s="57">
        <v>0</v>
      </c>
      <c r="R191" s="57">
        <v>0</v>
      </c>
      <c r="S191" s="97">
        <v>0</v>
      </c>
      <c r="T191" s="57">
        <v>0</v>
      </c>
      <c r="U191" s="57">
        <v>0</v>
      </c>
      <c r="V191" s="57">
        <v>0</v>
      </c>
      <c r="W191" s="57">
        <v>0</v>
      </c>
      <c r="X191" s="94">
        <v>0</v>
      </c>
    </row>
    <row r="192" spans="1:24" x14ac:dyDescent="0.35">
      <c r="A192">
        <v>188</v>
      </c>
      <c r="B192">
        <v>189</v>
      </c>
      <c r="C192">
        <v>146.126322337</v>
      </c>
      <c r="D192">
        <v>-17.6110405437</v>
      </c>
      <c r="F192" t="str">
        <f>HYPERLINK("D:\Data From Lucan\2024\Moresby\Frames_for_Analysis/189_20240611_0012_R_1384.jpg","189_20240611_0012_R_1384.jpg")</f>
        <v>189_20240611_0012_R_1384.jpg</v>
      </c>
      <c r="G192" s="92" t="s">
        <v>4124</v>
      </c>
      <c r="I192">
        <v>1</v>
      </c>
      <c r="K192" s="95">
        <v>1</v>
      </c>
      <c r="L192" s="31"/>
      <c r="M192" s="31"/>
      <c r="N192" s="31"/>
      <c r="O192" s="31"/>
      <c r="P192" s="4">
        <v>1</v>
      </c>
      <c r="Q192" s="57">
        <v>0</v>
      </c>
      <c r="R192" s="57">
        <v>0</v>
      </c>
      <c r="S192" s="97">
        <v>0</v>
      </c>
      <c r="T192" s="57">
        <v>0</v>
      </c>
      <c r="U192" s="57">
        <v>0</v>
      </c>
      <c r="V192" s="57">
        <v>0</v>
      </c>
      <c r="W192" s="57">
        <v>0</v>
      </c>
      <c r="X192" s="94">
        <v>0</v>
      </c>
    </row>
    <row r="193" spans="1:24" x14ac:dyDescent="0.35">
      <c r="A193">
        <v>189</v>
      </c>
      <c r="B193">
        <v>190</v>
      </c>
      <c r="C193">
        <v>146.126321496</v>
      </c>
      <c r="D193">
        <v>-17.6111261478</v>
      </c>
      <c r="E193">
        <v>50</v>
      </c>
      <c r="F193" t="str">
        <f>HYPERLINK("D:\Data From Lucan\2024\Moresby\Frames_for_Analysis/190_20240611_0012_R_1408.jpg","190_20240611_0012_R_1408.jpg")</f>
        <v>190_20240611_0012_R_1408.jpg</v>
      </c>
      <c r="G193" s="92" t="s">
        <v>4125</v>
      </c>
      <c r="I193">
        <v>1</v>
      </c>
      <c r="K193" s="95">
        <v>1</v>
      </c>
      <c r="L193" s="31"/>
      <c r="M193" s="31"/>
      <c r="N193" s="31"/>
      <c r="O193" s="31"/>
      <c r="P193" s="4">
        <v>1</v>
      </c>
      <c r="Q193" s="57">
        <v>0</v>
      </c>
      <c r="R193" s="57">
        <v>0</v>
      </c>
      <c r="S193" s="97">
        <v>0</v>
      </c>
      <c r="T193" s="57">
        <v>0</v>
      </c>
      <c r="U193" s="57">
        <v>0</v>
      </c>
      <c r="V193" s="57">
        <v>0</v>
      </c>
      <c r="W193" s="57">
        <v>0</v>
      </c>
      <c r="X193" s="94">
        <v>0</v>
      </c>
    </row>
    <row r="194" spans="1:24" x14ac:dyDescent="0.35">
      <c r="A194">
        <v>190</v>
      </c>
      <c r="B194">
        <v>191</v>
      </c>
      <c r="C194">
        <v>146.12631543800001</v>
      </c>
      <c r="D194">
        <v>-17.611211042000001</v>
      </c>
      <c r="F194" t="str">
        <f>HYPERLINK("D:\Data From Lucan\2024\Moresby\Frames_for_Analysis/191_20240611_0012_R_1354.jpg","191_20240611_0012_R_1354.jpg")</f>
        <v>191_20240611_0012_R_1354.jpg</v>
      </c>
      <c r="G194" s="92" t="s">
        <v>4126</v>
      </c>
      <c r="I194">
        <v>1</v>
      </c>
      <c r="K194" s="95">
        <v>1</v>
      </c>
      <c r="L194" s="31"/>
      <c r="M194" s="31"/>
      <c r="N194" s="31"/>
      <c r="O194" s="31"/>
      <c r="P194" s="4">
        <v>1</v>
      </c>
      <c r="Q194" s="57">
        <v>0</v>
      </c>
      <c r="R194" s="57">
        <v>0</v>
      </c>
      <c r="S194" s="97">
        <v>0</v>
      </c>
      <c r="T194" s="57">
        <v>0</v>
      </c>
      <c r="U194" s="57">
        <v>0</v>
      </c>
      <c r="V194" s="57">
        <v>0</v>
      </c>
      <c r="W194" s="57">
        <v>0</v>
      </c>
      <c r="X194" s="94">
        <v>0</v>
      </c>
    </row>
    <row r="195" spans="1:24" x14ac:dyDescent="0.35">
      <c r="A195">
        <v>191</v>
      </c>
      <c r="B195">
        <v>192</v>
      </c>
      <c r="C195">
        <v>146.12629080599899</v>
      </c>
      <c r="D195">
        <v>-17.611293217099899</v>
      </c>
      <c r="F195" t="str">
        <f>HYPERLINK("D:\Data From Lucan\2024\Moresby\Frames_for_Analysis/192_20240611_0012_R_1372.jpg","192_20240611_0012_R_1372.jpg")</f>
        <v>192_20240611_0012_R_1372.jpg</v>
      </c>
      <c r="G195" s="92" t="s">
        <v>4127</v>
      </c>
      <c r="I195">
        <v>1</v>
      </c>
      <c r="K195" s="95">
        <v>1</v>
      </c>
      <c r="L195" s="31"/>
      <c r="M195" s="31"/>
      <c r="N195" s="31"/>
      <c r="O195" s="31"/>
      <c r="P195" s="4">
        <v>1</v>
      </c>
      <c r="Q195" s="57">
        <v>0</v>
      </c>
      <c r="R195" s="57">
        <v>0</v>
      </c>
      <c r="S195" s="97">
        <v>0</v>
      </c>
      <c r="T195" s="57">
        <v>0</v>
      </c>
      <c r="U195" s="57">
        <v>0</v>
      </c>
      <c r="V195" s="57">
        <v>0</v>
      </c>
      <c r="W195" s="57">
        <v>0</v>
      </c>
      <c r="X195" s="94">
        <v>0</v>
      </c>
    </row>
    <row r="196" spans="1:24" x14ac:dyDescent="0.35">
      <c r="A196">
        <v>192</v>
      </c>
      <c r="B196">
        <v>193</v>
      </c>
      <c r="C196">
        <v>146.126245390999</v>
      </c>
      <c r="D196">
        <v>-17.6113670901</v>
      </c>
      <c r="F196" t="str">
        <f>HYPERLINK("D:\Data From Lucan\2024\Moresby\Frames_for_Analysis/193_20240611_0012_R_1379.jpg","193_20240611_0012_R_1379.jpg")</f>
        <v>193_20240611_0012_R_1379.jpg</v>
      </c>
      <c r="G196" s="92" t="s">
        <v>4128</v>
      </c>
      <c r="I196">
        <v>1</v>
      </c>
      <c r="K196" s="95">
        <v>1</v>
      </c>
      <c r="L196" s="31"/>
      <c r="M196" s="31"/>
      <c r="N196" s="31"/>
      <c r="O196" s="31"/>
      <c r="P196" s="4">
        <v>1</v>
      </c>
      <c r="Q196" s="57">
        <v>0</v>
      </c>
      <c r="R196" s="57">
        <v>0</v>
      </c>
      <c r="S196" s="97">
        <v>0</v>
      </c>
      <c r="T196" s="57">
        <v>0</v>
      </c>
      <c r="U196" s="57">
        <v>0</v>
      </c>
      <c r="V196" s="57">
        <v>0</v>
      </c>
      <c r="W196" s="57">
        <v>0</v>
      </c>
      <c r="X196" s="94">
        <v>0</v>
      </c>
    </row>
    <row r="197" spans="1:24" x14ac:dyDescent="0.35">
      <c r="A197">
        <v>193</v>
      </c>
      <c r="B197">
        <v>194</v>
      </c>
      <c r="C197">
        <v>146.12622922099899</v>
      </c>
      <c r="D197">
        <v>-17.6114512688</v>
      </c>
      <c r="F197" t="str">
        <f>HYPERLINK("D:\Data From Lucan\2024\Moresby\Frames_for_Analysis/194_20240611_0012_R_1356.jpg","194_20240611_0012_R_1356.jpg")</f>
        <v>194_20240611_0012_R_1356.jpg</v>
      </c>
      <c r="G197" s="92" t="s">
        <v>4129</v>
      </c>
      <c r="I197">
        <v>1</v>
      </c>
      <c r="K197" s="95">
        <v>1</v>
      </c>
      <c r="L197" s="31"/>
      <c r="M197" s="31"/>
      <c r="N197" s="31"/>
      <c r="O197" s="31"/>
      <c r="P197" s="4">
        <v>1</v>
      </c>
      <c r="Q197" s="57">
        <v>0</v>
      </c>
      <c r="R197" s="57">
        <v>0</v>
      </c>
      <c r="S197" s="97">
        <v>0</v>
      </c>
      <c r="T197" s="57">
        <v>0</v>
      </c>
      <c r="U197" s="57">
        <v>0</v>
      </c>
      <c r="V197" s="57">
        <v>0</v>
      </c>
      <c r="W197" s="57">
        <v>0</v>
      </c>
      <c r="X197" s="94">
        <v>0</v>
      </c>
    </row>
    <row r="198" spans="1:24" x14ac:dyDescent="0.35">
      <c r="A198">
        <v>194</v>
      </c>
      <c r="B198">
        <v>195</v>
      </c>
      <c r="C198">
        <v>146.12620919700001</v>
      </c>
      <c r="D198">
        <v>-17.611534687900001</v>
      </c>
      <c r="E198">
        <v>50</v>
      </c>
      <c r="F198" t="str">
        <f>HYPERLINK("D:\Data From Lucan\2024\Moresby\Frames_for_Analysis/195_20240611_0012_R_1402.jpg","195_20240611_0012_R_1402.jpg")</f>
        <v>195_20240611_0012_R_1402.jpg</v>
      </c>
      <c r="G198" s="92" t="s">
        <v>4130</v>
      </c>
      <c r="I198">
        <v>1</v>
      </c>
      <c r="K198" s="95">
        <v>1</v>
      </c>
      <c r="L198" s="31"/>
      <c r="M198" s="31"/>
      <c r="N198" s="31"/>
      <c r="O198" s="31"/>
      <c r="P198" s="4">
        <v>1</v>
      </c>
      <c r="Q198" s="57">
        <v>0</v>
      </c>
      <c r="R198" s="57">
        <v>0</v>
      </c>
      <c r="S198" s="97">
        <v>0</v>
      </c>
      <c r="T198" s="57">
        <v>0</v>
      </c>
      <c r="U198" s="57">
        <v>0</v>
      </c>
      <c r="V198" s="57">
        <v>0</v>
      </c>
      <c r="W198" s="57">
        <v>0</v>
      </c>
      <c r="X198" s="94">
        <v>0</v>
      </c>
    </row>
    <row r="199" spans="1:24" x14ac:dyDescent="0.35">
      <c r="A199">
        <v>195</v>
      </c>
      <c r="B199">
        <v>196</v>
      </c>
      <c r="C199">
        <v>146.12617498700001</v>
      </c>
      <c r="D199">
        <v>-17.6116134833999</v>
      </c>
      <c r="F199" t="str">
        <f>HYPERLINK("D:\Data From Lucan\2024\Moresby\Frames_for_Analysis/196_20240611_0012_R_1359.jpg","196_20240611_0012_R_1359.jpg")</f>
        <v>196_20240611_0012_R_1359.jpg</v>
      </c>
      <c r="G199" s="92" t="s">
        <v>4131</v>
      </c>
      <c r="I199">
        <v>1</v>
      </c>
      <c r="K199" s="95">
        <v>1</v>
      </c>
      <c r="L199" s="31"/>
      <c r="M199" s="31"/>
      <c r="N199" s="31"/>
      <c r="O199" s="31"/>
      <c r="P199" s="4">
        <v>1</v>
      </c>
      <c r="Q199" s="57">
        <v>0</v>
      </c>
      <c r="R199" s="57">
        <v>0</v>
      </c>
      <c r="S199" s="97">
        <v>0</v>
      </c>
      <c r="T199" s="57">
        <v>0</v>
      </c>
      <c r="U199" s="57">
        <v>0</v>
      </c>
      <c r="V199" s="57">
        <v>0</v>
      </c>
      <c r="W199" s="57">
        <v>0</v>
      </c>
      <c r="X199" s="94">
        <v>0</v>
      </c>
    </row>
    <row r="200" spans="1:24" x14ac:dyDescent="0.35">
      <c r="A200">
        <v>196</v>
      </c>
      <c r="B200">
        <v>197</v>
      </c>
      <c r="C200">
        <v>146.12613604800001</v>
      </c>
      <c r="D200">
        <v>-17.6116906427999</v>
      </c>
      <c r="F200" t="str">
        <f>HYPERLINK("D:\Data From Lucan\2024\Moresby\Frames_for_Analysis/197_20240611_0012_R_1345.jpg","197_20240611_0012_R_1345.jpg")</f>
        <v>197_20240611_0012_R_1345.jpg</v>
      </c>
      <c r="G200" s="92" t="s">
        <v>4132</v>
      </c>
      <c r="I200">
        <v>1</v>
      </c>
      <c r="K200" s="95">
        <v>1</v>
      </c>
      <c r="L200" s="31"/>
      <c r="M200" s="31"/>
      <c r="N200" s="31"/>
      <c r="O200" s="31"/>
      <c r="P200" s="4">
        <v>1</v>
      </c>
      <c r="Q200" s="57">
        <v>0</v>
      </c>
      <c r="R200" s="57">
        <v>0</v>
      </c>
      <c r="S200" s="97">
        <v>0</v>
      </c>
      <c r="T200" s="57">
        <v>0</v>
      </c>
      <c r="U200" s="57">
        <v>0</v>
      </c>
      <c r="V200" s="57">
        <v>0</v>
      </c>
      <c r="W200" s="57">
        <v>0</v>
      </c>
      <c r="X200" s="94">
        <v>0</v>
      </c>
    </row>
    <row r="201" spans="1:24" x14ac:dyDescent="0.35">
      <c r="A201">
        <v>197</v>
      </c>
      <c r="B201">
        <v>198</v>
      </c>
      <c r="C201">
        <v>146.12609319000001</v>
      </c>
      <c r="D201">
        <v>-17.611765855200002</v>
      </c>
      <c r="F201" t="str">
        <f>HYPERLINK("D:\Data From Lucan\2024\Moresby\Frames_for_Analysis/198_20240611_0012_R_1404.jpg","198_20240611_0012_R_1404.jpg")</f>
        <v>198_20240611_0012_R_1404.jpg</v>
      </c>
      <c r="G201" s="92" t="s">
        <v>4133</v>
      </c>
      <c r="I201">
        <v>1</v>
      </c>
      <c r="K201" s="95">
        <v>1</v>
      </c>
      <c r="L201" s="31"/>
      <c r="M201" s="31"/>
      <c r="N201" s="31"/>
      <c r="O201" s="31"/>
      <c r="P201" s="4">
        <v>1</v>
      </c>
      <c r="Q201" s="57">
        <v>0</v>
      </c>
      <c r="R201" s="57">
        <v>0</v>
      </c>
      <c r="S201" s="97">
        <v>0</v>
      </c>
      <c r="T201" s="57">
        <v>0</v>
      </c>
      <c r="U201" s="57">
        <v>0</v>
      </c>
      <c r="V201" s="57">
        <v>0</v>
      </c>
      <c r="W201" s="57">
        <v>0</v>
      </c>
      <c r="X201" s="94">
        <v>0</v>
      </c>
    </row>
    <row r="202" spans="1:24" x14ac:dyDescent="0.35">
      <c r="A202">
        <v>198</v>
      </c>
      <c r="B202">
        <v>199</v>
      </c>
      <c r="C202">
        <v>146.12604914100001</v>
      </c>
      <c r="D202">
        <v>-17.6118404756999</v>
      </c>
      <c r="G202" s="92"/>
      <c r="I202">
        <v>1</v>
      </c>
      <c r="J202" t="s">
        <v>26</v>
      </c>
      <c r="K202" s="95" t="s">
        <v>26</v>
      </c>
      <c r="L202" s="31"/>
      <c r="M202" s="31"/>
      <c r="N202" s="31"/>
      <c r="O202" s="31"/>
      <c r="P202" s="4"/>
      <c r="X202" s="94"/>
    </row>
    <row r="203" spans="1:24" x14ac:dyDescent="0.35">
      <c r="A203">
        <v>199</v>
      </c>
      <c r="B203">
        <v>200</v>
      </c>
      <c r="C203">
        <v>146.126018372999</v>
      </c>
      <c r="D203">
        <v>-17.611920055799899</v>
      </c>
      <c r="E203">
        <v>50</v>
      </c>
      <c r="F203" t="str">
        <f>HYPERLINK("D:\Data From Lucan\2024\Moresby\Frames_for_Analysis/200_20240611_0012_R_1405.jpg","200_20240611_0012_R_1405.jpg")</f>
        <v>200_20240611_0012_R_1405.jpg</v>
      </c>
      <c r="G203" s="92" t="s">
        <v>4134</v>
      </c>
      <c r="I203">
        <v>1</v>
      </c>
      <c r="K203" s="95">
        <v>1</v>
      </c>
      <c r="L203" s="31"/>
      <c r="M203" s="31"/>
      <c r="N203" s="31"/>
      <c r="O203" s="31"/>
      <c r="P203" s="4">
        <v>1</v>
      </c>
      <c r="Q203" s="57">
        <v>0</v>
      </c>
      <c r="R203" s="57">
        <v>0</v>
      </c>
      <c r="S203" s="97">
        <v>0</v>
      </c>
      <c r="T203" s="57">
        <v>0</v>
      </c>
      <c r="U203" s="57">
        <v>0</v>
      </c>
      <c r="V203" s="57">
        <v>0</v>
      </c>
      <c r="W203" s="57">
        <v>0</v>
      </c>
      <c r="X203" s="94">
        <v>0</v>
      </c>
    </row>
    <row r="204" spans="1:24" x14ac:dyDescent="0.35">
      <c r="A204">
        <v>200</v>
      </c>
      <c r="B204">
        <v>201</v>
      </c>
      <c r="C204">
        <v>146.125997552999</v>
      </c>
      <c r="D204">
        <v>-17.6120033455</v>
      </c>
      <c r="F204" t="str">
        <f>HYPERLINK("D:\Data From Lucan\2024\Moresby\Frames_for_Analysis/201_20240611_0012_R_1344.jpg","201_20240611_0012_R_1344.jpg")</f>
        <v>201_20240611_0012_R_1344.jpg</v>
      </c>
      <c r="G204" s="92" t="s">
        <v>4135</v>
      </c>
      <c r="I204">
        <v>1</v>
      </c>
      <c r="K204" s="95">
        <v>1</v>
      </c>
      <c r="L204" s="31"/>
      <c r="M204" s="31"/>
      <c r="N204" s="31"/>
      <c r="O204" s="31"/>
      <c r="P204" s="4">
        <v>1</v>
      </c>
      <c r="Q204" s="57">
        <v>0</v>
      </c>
      <c r="R204" s="57">
        <v>0</v>
      </c>
      <c r="S204" s="97">
        <v>0</v>
      </c>
      <c r="T204" s="57">
        <v>0</v>
      </c>
      <c r="U204" s="57">
        <v>0</v>
      </c>
      <c r="V204" s="57">
        <v>0</v>
      </c>
      <c r="W204" s="57">
        <v>0</v>
      </c>
      <c r="X204" s="94">
        <v>0</v>
      </c>
    </row>
    <row r="205" spans="1:24" x14ac:dyDescent="0.35">
      <c r="A205">
        <v>201</v>
      </c>
      <c r="B205">
        <v>202</v>
      </c>
      <c r="C205">
        <v>146.12597685700001</v>
      </c>
      <c r="D205">
        <v>-17.612086663100001</v>
      </c>
      <c r="G205" s="92"/>
      <c r="I205">
        <v>1</v>
      </c>
      <c r="J205" t="s">
        <v>26</v>
      </c>
      <c r="K205" s="95" t="s">
        <v>26</v>
      </c>
      <c r="L205" s="31"/>
      <c r="M205" s="31"/>
      <c r="N205" s="31"/>
      <c r="O205" s="31"/>
      <c r="P205" s="4"/>
      <c r="X205" s="94"/>
    </row>
    <row r="206" spans="1:24" x14ac:dyDescent="0.35">
      <c r="A206">
        <v>202</v>
      </c>
      <c r="B206">
        <v>203</v>
      </c>
      <c r="C206">
        <v>146.125956161</v>
      </c>
      <c r="D206">
        <v>-17.612169980600001</v>
      </c>
      <c r="F206" t="str">
        <f>HYPERLINK("D:\Data From Lucan\2024\Moresby\Frames_for_Analysis/203_20240611_0012_R_1343.jpg","203_20240611_0012_R_1343.jpg")</f>
        <v>203_20240611_0012_R_1343.jpg</v>
      </c>
      <c r="G206" s="92" t="s">
        <v>4136</v>
      </c>
      <c r="I206">
        <v>1</v>
      </c>
      <c r="K206" s="95">
        <v>1</v>
      </c>
      <c r="L206" s="31"/>
      <c r="M206" s="31"/>
      <c r="N206" s="31"/>
      <c r="O206" s="31"/>
      <c r="P206" s="4">
        <v>1</v>
      </c>
      <c r="Q206" s="57">
        <v>0</v>
      </c>
      <c r="R206" s="57">
        <v>0</v>
      </c>
      <c r="S206" s="97">
        <v>0</v>
      </c>
      <c r="T206" s="57">
        <v>0</v>
      </c>
      <c r="U206" s="57">
        <v>0</v>
      </c>
      <c r="V206" s="57">
        <v>0</v>
      </c>
      <c r="W206" s="57">
        <v>0</v>
      </c>
      <c r="X206" s="94">
        <v>0</v>
      </c>
    </row>
    <row r="207" spans="1:24" x14ac:dyDescent="0.35">
      <c r="A207">
        <v>203</v>
      </c>
      <c r="B207">
        <v>204</v>
      </c>
      <c r="C207">
        <v>146.12593590200001</v>
      </c>
      <c r="D207">
        <v>-17.6122533954</v>
      </c>
      <c r="G207" s="92"/>
      <c r="I207">
        <v>1</v>
      </c>
      <c r="J207" t="s">
        <v>26</v>
      </c>
      <c r="K207" s="95" t="s">
        <v>26</v>
      </c>
      <c r="L207" s="31"/>
      <c r="M207" s="31"/>
      <c r="N207" s="31"/>
      <c r="O207" s="31"/>
      <c r="P207" s="4"/>
      <c r="X207" s="94"/>
    </row>
    <row r="208" spans="1:24" x14ac:dyDescent="0.35">
      <c r="A208">
        <v>204</v>
      </c>
      <c r="B208">
        <v>205</v>
      </c>
      <c r="C208">
        <v>146.125910242999</v>
      </c>
      <c r="D208">
        <v>-17.612334189199899</v>
      </c>
      <c r="E208">
        <v>50</v>
      </c>
      <c r="G208" s="92"/>
      <c r="I208">
        <v>1</v>
      </c>
      <c r="J208" t="s">
        <v>26</v>
      </c>
      <c r="K208" s="95" t="s">
        <v>26</v>
      </c>
      <c r="L208" s="31"/>
      <c r="M208" s="31"/>
      <c r="N208" s="31"/>
      <c r="O208" s="31"/>
      <c r="P208" s="4"/>
      <c r="X208" s="94"/>
    </row>
    <row r="209" spans="1:24" x14ac:dyDescent="0.35">
      <c r="A209">
        <v>205</v>
      </c>
      <c r="B209">
        <v>206</v>
      </c>
      <c r="C209">
        <v>146.125851673</v>
      </c>
      <c r="D209">
        <v>-17.612399108000002</v>
      </c>
      <c r="F209" t="str">
        <f>HYPERLINK("D:\Data From Lucan\2024\Moresby\Frames_for_Analysis/206_20240611_0012_R_1342.jpg","206_20240611_0012_R_1342.jpg")</f>
        <v>206_20240611_0012_R_1342.jpg</v>
      </c>
      <c r="G209" s="92" t="s">
        <v>4137</v>
      </c>
      <c r="I209">
        <v>1</v>
      </c>
      <c r="K209" s="95">
        <v>1</v>
      </c>
      <c r="L209" s="31"/>
      <c r="M209" s="31"/>
      <c r="N209" s="31"/>
      <c r="O209" s="31"/>
      <c r="P209" s="4">
        <v>1</v>
      </c>
      <c r="Q209" s="57">
        <v>0</v>
      </c>
      <c r="R209" s="57">
        <v>0</v>
      </c>
      <c r="S209" s="97">
        <v>0</v>
      </c>
      <c r="T209" s="57">
        <v>0</v>
      </c>
      <c r="U209" s="57">
        <v>0</v>
      </c>
      <c r="V209" s="57">
        <v>0</v>
      </c>
      <c r="W209" s="57">
        <v>0</v>
      </c>
      <c r="X209" s="94">
        <v>0</v>
      </c>
    </row>
    <row r="210" spans="1:24" x14ac:dyDescent="0.35">
      <c r="A210">
        <v>206</v>
      </c>
      <c r="B210">
        <v>207</v>
      </c>
      <c r="C210">
        <v>146.125782729999</v>
      </c>
      <c r="D210">
        <v>-17.612453283200001</v>
      </c>
      <c r="F210" t="str">
        <f>HYPERLINK("D:\Data From Lucan\2024\Moresby\Frames_for_Analysis/207_20240611_0012_R_1341.jpg","207_20240611_0012_R_1341.jpg")</f>
        <v>207_20240611_0012_R_1341.jpg</v>
      </c>
      <c r="G210" s="92" t="s">
        <v>4138</v>
      </c>
      <c r="I210">
        <v>1</v>
      </c>
      <c r="K210" s="95">
        <v>1</v>
      </c>
      <c r="L210" s="31"/>
      <c r="M210" s="31"/>
      <c r="N210" s="31"/>
      <c r="O210" s="31"/>
      <c r="P210" s="4">
        <v>1</v>
      </c>
      <c r="Q210" s="57">
        <v>0</v>
      </c>
      <c r="R210" s="57">
        <v>0</v>
      </c>
      <c r="S210" s="97">
        <v>0</v>
      </c>
      <c r="T210" s="57">
        <v>0</v>
      </c>
      <c r="U210" s="57">
        <v>0</v>
      </c>
      <c r="V210" s="57">
        <v>0</v>
      </c>
      <c r="W210" s="57">
        <v>0</v>
      </c>
      <c r="X210" s="94">
        <v>0</v>
      </c>
    </row>
    <row r="211" spans="1:24" x14ac:dyDescent="0.35">
      <c r="A211">
        <v>207</v>
      </c>
      <c r="B211">
        <v>208</v>
      </c>
      <c r="C211">
        <v>146.125709989999</v>
      </c>
      <c r="D211">
        <v>-17.612503523800001</v>
      </c>
      <c r="G211" s="92"/>
      <c r="I211">
        <v>1</v>
      </c>
      <c r="J211" t="s">
        <v>26</v>
      </c>
      <c r="K211" s="95" t="s">
        <v>26</v>
      </c>
      <c r="L211" s="31"/>
      <c r="M211" s="31"/>
      <c r="N211" s="31"/>
      <c r="O211" s="31"/>
      <c r="P211" s="4"/>
      <c r="X211" s="94"/>
    </row>
    <row r="212" spans="1:24" x14ac:dyDescent="0.35">
      <c r="A212">
        <v>208</v>
      </c>
      <c r="B212">
        <v>209</v>
      </c>
      <c r="C212">
        <v>146.125639409999</v>
      </c>
      <c r="D212">
        <v>-17.612556433999899</v>
      </c>
      <c r="F212" t="str">
        <f>HYPERLINK("D:\Data From Lucan\2024\Moresby\Frames_for_Analysis/209_20240611_0012_R_1340.jpg","209_20240611_0012_R_1340.jpg")</f>
        <v>209_20240611_0012_R_1340.jpg</v>
      </c>
      <c r="G212" s="92" t="s">
        <v>4139</v>
      </c>
      <c r="I212">
        <v>1</v>
      </c>
      <c r="K212" s="95">
        <v>1</v>
      </c>
      <c r="L212" s="31"/>
      <c r="M212" s="31"/>
      <c r="N212" s="31"/>
      <c r="O212" s="31"/>
      <c r="P212" s="4">
        <v>1</v>
      </c>
      <c r="Q212" s="57">
        <v>0</v>
      </c>
      <c r="R212" s="57">
        <v>0</v>
      </c>
      <c r="S212" s="97">
        <v>0</v>
      </c>
      <c r="T212" s="57">
        <v>0</v>
      </c>
      <c r="U212" s="57">
        <v>0</v>
      </c>
      <c r="V212" s="57">
        <v>0</v>
      </c>
      <c r="W212" s="57">
        <v>0</v>
      </c>
      <c r="X212" s="94">
        <v>0</v>
      </c>
    </row>
    <row r="213" spans="1:24" x14ac:dyDescent="0.35">
      <c r="A213">
        <v>209</v>
      </c>
      <c r="B213">
        <v>210</v>
      </c>
      <c r="C213">
        <v>146.125569974</v>
      </c>
      <c r="D213">
        <v>-17.612610756199899</v>
      </c>
      <c r="E213">
        <v>50</v>
      </c>
      <c r="G213" s="92"/>
      <c r="I213">
        <v>1</v>
      </c>
      <c r="J213" t="s">
        <v>26</v>
      </c>
      <c r="K213" s="95" t="s">
        <v>26</v>
      </c>
      <c r="L213" s="31"/>
      <c r="M213" s="31"/>
      <c r="N213" s="31"/>
      <c r="O213" s="31"/>
      <c r="P213" s="4"/>
      <c r="X213" s="94"/>
    </row>
    <row r="214" spans="1:24" x14ac:dyDescent="0.35">
      <c r="A214">
        <v>210</v>
      </c>
      <c r="B214">
        <v>211</v>
      </c>
      <c r="C214">
        <v>146.12551842299899</v>
      </c>
      <c r="D214">
        <v>-17.612680762499899</v>
      </c>
      <c r="G214" s="92"/>
      <c r="I214">
        <v>1</v>
      </c>
      <c r="J214" t="s">
        <v>26</v>
      </c>
      <c r="K214" s="95" t="s">
        <v>26</v>
      </c>
      <c r="L214" s="31"/>
      <c r="M214" s="31"/>
      <c r="N214" s="31"/>
      <c r="O214" s="31"/>
      <c r="P214" s="4"/>
      <c r="X214" s="94"/>
    </row>
    <row r="215" spans="1:24" x14ac:dyDescent="0.35">
      <c r="A215">
        <v>211</v>
      </c>
      <c r="B215">
        <v>212</v>
      </c>
      <c r="C215">
        <v>146.125473905999</v>
      </c>
      <c r="D215">
        <v>-17.6127547657</v>
      </c>
      <c r="F215" t="str">
        <f>HYPERLINK("D:\Data From Lucan\2024\Moresby\Frames_for_Analysis/212_20240611_0012_R_1189.jpg","212_20240611_0012_R_1189.jpg")</f>
        <v>212_20240611_0012_R_1189.jpg</v>
      </c>
      <c r="G215" s="92" t="s">
        <v>4140</v>
      </c>
      <c r="I215">
        <v>1</v>
      </c>
      <c r="K215" s="95">
        <v>1</v>
      </c>
      <c r="L215" s="31"/>
      <c r="M215" s="31"/>
      <c r="N215" s="31"/>
      <c r="O215" s="31"/>
      <c r="P215" s="4">
        <v>1</v>
      </c>
      <c r="Q215" s="57">
        <v>0</v>
      </c>
      <c r="R215" s="57">
        <v>0</v>
      </c>
      <c r="S215" s="97">
        <v>0</v>
      </c>
      <c r="T215" s="57">
        <v>0</v>
      </c>
      <c r="U215" s="57">
        <v>0</v>
      </c>
      <c r="V215" s="57">
        <v>0</v>
      </c>
      <c r="W215" s="57">
        <v>0</v>
      </c>
      <c r="X215" s="94">
        <v>0</v>
      </c>
    </row>
    <row r="216" spans="1:24" x14ac:dyDescent="0.35">
      <c r="A216">
        <v>212</v>
      </c>
      <c r="B216">
        <v>213</v>
      </c>
      <c r="C216">
        <v>146.12543629000001</v>
      </c>
      <c r="D216">
        <v>-17.6128325184999</v>
      </c>
      <c r="F216" t="str">
        <f>HYPERLINK("D:\Data From Lucan\2024\Moresby\Frames_for_Analysis/213_20240611_0012_R_1190.jpg","213_20240611_0012_R_1190.jpg")</f>
        <v>213_20240611_0012_R_1190.jpg</v>
      </c>
      <c r="G216" s="92" t="s">
        <v>4141</v>
      </c>
      <c r="I216">
        <v>1</v>
      </c>
      <c r="K216" s="95">
        <v>1</v>
      </c>
      <c r="L216" s="31"/>
      <c r="M216" s="31"/>
      <c r="N216" s="31"/>
      <c r="O216" s="31"/>
      <c r="P216" s="4">
        <v>1</v>
      </c>
      <c r="Q216" s="57">
        <v>0</v>
      </c>
      <c r="R216" s="57">
        <v>0</v>
      </c>
      <c r="S216" s="97">
        <v>0</v>
      </c>
      <c r="T216" s="57">
        <v>0</v>
      </c>
      <c r="U216" s="57">
        <v>0</v>
      </c>
      <c r="V216" s="57">
        <v>0</v>
      </c>
      <c r="W216" s="57">
        <v>0</v>
      </c>
      <c r="X216" s="94">
        <v>0</v>
      </c>
    </row>
    <row r="217" spans="1:24" x14ac:dyDescent="0.35">
      <c r="A217">
        <v>213</v>
      </c>
      <c r="B217">
        <v>214</v>
      </c>
      <c r="C217">
        <v>146.12541588900001</v>
      </c>
      <c r="D217">
        <v>-17.6129139112</v>
      </c>
      <c r="F217" t="str">
        <f>HYPERLINK("D:\Data From Lucan\2024\Moresby\Frames_for_Analysis/214_20240611_0012_R_1194.jpg","214_20240611_0012_R_1194.jpg")</f>
        <v>214_20240611_0012_R_1194.jpg</v>
      </c>
      <c r="G217" s="92" t="s">
        <v>4142</v>
      </c>
      <c r="I217">
        <v>1</v>
      </c>
      <c r="K217" s="95">
        <v>1</v>
      </c>
      <c r="L217" s="31"/>
      <c r="M217" s="31"/>
      <c r="N217" s="31"/>
      <c r="O217" s="31"/>
      <c r="P217" s="4">
        <v>1</v>
      </c>
      <c r="Q217" s="57">
        <v>0</v>
      </c>
      <c r="R217" s="57">
        <v>0</v>
      </c>
      <c r="S217" s="97">
        <v>0</v>
      </c>
      <c r="T217" s="57">
        <v>0</v>
      </c>
      <c r="U217" s="57">
        <v>0</v>
      </c>
      <c r="V217" s="57">
        <v>0</v>
      </c>
      <c r="W217" s="57">
        <v>0</v>
      </c>
      <c r="X217" s="94">
        <v>0</v>
      </c>
    </row>
    <row r="218" spans="1:24" x14ac:dyDescent="0.35">
      <c r="A218">
        <v>214</v>
      </c>
      <c r="B218">
        <v>215</v>
      </c>
      <c r="C218">
        <v>146.125407951</v>
      </c>
      <c r="D218">
        <v>-17.612997448600002</v>
      </c>
      <c r="E218">
        <v>50</v>
      </c>
      <c r="F218" t="str">
        <f>HYPERLINK("D:\Data From Lucan\2024\Moresby\Frames_for_Analysis/215_20240611_0012_R_1191.jpg","215_20240611_0012_R_1191.jpg")</f>
        <v>215_20240611_0012_R_1191.jpg</v>
      </c>
      <c r="G218" s="92" t="s">
        <v>4143</v>
      </c>
      <c r="I218">
        <v>1</v>
      </c>
      <c r="K218" s="95">
        <v>1</v>
      </c>
      <c r="L218" s="31"/>
      <c r="M218" s="31"/>
      <c r="N218" s="31"/>
      <c r="O218" s="31"/>
      <c r="P218" s="4">
        <v>1</v>
      </c>
      <c r="Q218" s="57">
        <v>0</v>
      </c>
      <c r="R218" s="57">
        <v>0</v>
      </c>
      <c r="S218" s="97">
        <v>0</v>
      </c>
      <c r="T218" s="57">
        <v>0</v>
      </c>
      <c r="U218" s="57">
        <v>0</v>
      </c>
      <c r="V218" s="57">
        <v>0</v>
      </c>
      <c r="W218" s="57">
        <v>0</v>
      </c>
      <c r="X218" s="94">
        <v>0</v>
      </c>
    </row>
    <row r="219" spans="1:24" x14ac:dyDescent="0.35">
      <c r="A219">
        <v>215</v>
      </c>
      <c r="B219">
        <v>216</v>
      </c>
      <c r="C219">
        <v>146.12536019800001</v>
      </c>
      <c r="D219">
        <v>-17.613069969600001</v>
      </c>
      <c r="F219" t="str">
        <f>HYPERLINK("D:\Data From Lucan\2024\Moresby\Frames_for_Analysis/216_20240611_0012_R_1338.jpg","216_20240611_0012_R_1338.jpg")</f>
        <v>216_20240611_0012_R_1338.jpg</v>
      </c>
      <c r="G219" s="92" t="s">
        <v>4144</v>
      </c>
      <c r="I219">
        <v>1</v>
      </c>
      <c r="K219" s="95">
        <v>1</v>
      </c>
      <c r="L219" s="31"/>
      <c r="M219" s="31"/>
      <c r="N219" s="31"/>
      <c r="O219" s="31"/>
      <c r="P219" s="4">
        <v>1</v>
      </c>
      <c r="Q219" s="57">
        <v>0</v>
      </c>
      <c r="R219" s="57">
        <v>0</v>
      </c>
      <c r="S219" s="97">
        <v>0</v>
      </c>
      <c r="T219" s="57">
        <v>0</v>
      </c>
      <c r="U219" s="57">
        <v>0</v>
      </c>
      <c r="V219" s="57">
        <v>0</v>
      </c>
      <c r="W219" s="57">
        <v>0</v>
      </c>
      <c r="X219" s="94">
        <v>0</v>
      </c>
    </row>
    <row r="220" spans="1:24" x14ac:dyDescent="0.35">
      <c r="A220">
        <v>216</v>
      </c>
      <c r="B220">
        <v>217</v>
      </c>
      <c r="C220">
        <v>146.12530011300001</v>
      </c>
      <c r="D220">
        <v>-17.613132891300001</v>
      </c>
      <c r="F220" t="str">
        <f>HYPERLINK("D:\Data From Lucan\2024\Moresby\Frames_for_Analysis/217_20240611_0012_R_1196.jpg","217_20240611_0012_R_1196.jpg")</f>
        <v>217_20240611_0012_R_1196.jpg</v>
      </c>
      <c r="G220" s="92" t="s">
        <v>4145</v>
      </c>
      <c r="I220">
        <v>1</v>
      </c>
      <c r="K220" s="95">
        <v>1</v>
      </c>
      <c r="L220" s="31"/>
      <c r="M220" s="31"/>
      <c r="N220" s="31"/>
      <c r="O220" s="31"/>
      <c r="P220" s="4">
        <v>1</v>
      </c>
      <c r="Q220" s="57">
        <v>0</v>
      </c>
      <c r="R220" s="57">
        <v>0</v>
      </c>
      <c r="S220" s="97">
        <v>0</v>
      </c>
      <c r="T220" s="57">
        <v>0</v>
      </c>
      <c r="U220" s="57">
        <v>0</v>
      </c>
      <c r="V220" s="57">
        <v>0</v>
      </c>
      <c r="W220" s="57">
        <v>0</v>
      </c>
      <c r="X220" s="94">
        <v>0</v>
      </c>
    </row>
    <row r="221" spans="1:24" x14ac:dyDescent="0.35">
      <c r="A221">
        <v>217</v>
      </c>
      <c r="B221">
        <v>218</v>
      </c>
      <c r="C221">
        <v>146.12523509900001</v>
      </c>
      <c r="D221">
        <v>-17.6131919766</v>
      </c>
      <c r="F221" t="str">
        <f>HYPERLINK("D:\Data From Lucan\2024\Moresby\Frames_for_Analysis/218_20240611_0012_R_1184.jpg","218_20240611_0012_R_1184.jpg")</f>
        <v>218_20240611_0012_R_1184.jpg</v>
      </c>
      <c r="G221" s="92" t="s">
        <v>4146</v>
      </c>
      <c r="I221">
        <v>1</v>
      </c>
      <c r="K221" s="95">
        <v>1</v>
      </c>
      <c r="L221" s="31"/>
      <c r="M221" s="31"/>
      <c r="N221" s="31"/>
      <c r="O221" s="31"/>
      <c r="P221" s="4">
        <v>1</v>
      </c>
      <c r="Q221" s="57">
        <v>0</v>
      </c>
      <c r="R221" s="57">
        <v>0</v>
      </c>
      <c r="S221" s="97">
        <v>0</v>
      </c>
      <c r="T221" s="57">
        <v>0</v>
      </c>
      <c r="U221" s="57">
        <v>0</v>
      </c>
      <c r="V221" s="57">
        <v>0</v>
      </c>
      <c r="W221" s="57">
        <v>0</v>
      </c>
      <c r="X221" s="94">
        <v>0</v>
      </c>
    </row>
    <row r="222" spans="1:24" x14ac:dyDescent="0.35">
      <c r="A222">
        <v>218</v>
      </c>
      <c r="B222">
        <v>219</v>
      </c>
      <c r="C222">
        <v>146.125167417</v>
      </c>
      <c r="D222">
        <v>-17.6132478992999</v>
      </c>
      <c r="F222" t="str">
        <f>HYPERLINK("D:\Data From Lucan\2024\Moresby\Frames_for_Analysis/219_20240611_0012_R_1299.jpg","219_20240611_0012_R_1299.jpg")</f>
        <v>219_20240611_0012_R_1299.jpg</v>
      </c>
      <c r="G222" s="92" t="s">
        <v>4147</v>
      </c>
      <c r="I222">
        <v>1</v>
      </c>
      <c r="K222" s="95">
        <v>1</v>
      </c>
      <c r="L222" s="31"/>
      <c r="M222" s="31"/>
      <c r="N222" s="31"/>
      <c r="O222" s="31"/>
      <c r="P222" s="4">
        <v>1</v>
      </c>
      <c r="Q222" s="57">
        <v>0</v>
      </c>
      <c r="R222" s="57">
        <v>0</v>
      </c>
      <c r="S222" s="97">
        <v>0</v>
      </c>
      <c r="T222" s="57">
        <v>0</v>
      </c>
      <c r="U222" s="57">
        <v>0</v>
      </c>
      <c r="V222" s="57">
        <v>0</v>
      </c>
      <c r="W222" s="57">
        <v>0</v>
      </c>
      <c r="X222" s="94">
        <v>0</v>
      </c>
    </row>
    <row r="223" spans="1:24" x14ac:dyDescent="0.35">
      <c r="A223">
        <v>219</v>
      </c>
      <c r="B223">
        <v>220</v>
      </c>
      <c r="C223">
        <v>146.125092921</v>
      </c>
      <c r="D223">
        <v>-17.613295745599899</v>
      </c>
      <c r="E223">
        <v>50</v>
      </c>
      <c r="F223" t="str">
        <f>HYPERLINK("D:\Data From Lucan\2024\Moresby\Frames_for_Analysis/220_20240611_0012_R_1178.jpg","220_20240611_0012_R_1178.jpg")</f>
        <v>220_20240611_0012_R_1178.jpg</v>
      </c>
      <c r="G223" s="92" t="s">
        <v>4148</v>
      </c>
      <c r="I223">
        <v>1</v>
      </c>
      <c r="K223" s="95">
        <v>1</v>
      </c>
      <c r="L223" s="31"/>
      <c r="M223" s="31"/>
      <c r="N223" s="31"/>
      <c r="O223" s="31"/>
      <c r="P223" s="4">
        <v>1</v>
      </c>
      <c r="Q223" s="57">
        <v>0</v>
      </c>
      <c r="R223" s="57">
        <v>0</v>
      </c>
      <c r="S223" s="97">
        <v>0</v>
      </c>
      <c r="T223" s="57">
        <v>0</v>
      </c>
      <c r="U223" s="57">
        <v>0</v>
      </c>
      <c r="V223" s="57">
        <v>0</v>
      </c>
      <c r="W223" s="57">
        <v>0</v>
      </c>
      <c r="X223" s="94">
        <v>0</v>
      </c>
    </row>
    <row r="224" spans="1:24" x14ac:dyDescent="0.35">
      <c r="A224">
        <v>220</v>
      </c>
      <c r="B224">
        <v>221</v>
      </c>
      <c r="C224">
        <v>146.12501842500001</v>
      </c>
      <c r="D224">
        <v>-17.613343592</v>
      </c>
      <c r="F224" t="str">
        <f>HYPERLINK("D:\Data From Lucan\2024\Moresby\Frames_for_Analysis/221_20240611_0012_R_1171.jpg","221_20240611_0012_R_1171.jpg")</f>
        <v>221_20240611_0012_R_1171.jpg</v>
      </c>
      <c r="G224" s="92" t="s">
        <v>4149</v>
      </c>
      <c r="I224">
        <v>1</v>
      </c>
      <c r="K224" s="95">
        <v>1</v>
      </c>
      <c r="L224" s="31"/>
      <c r="M224" s="31"/>
      <c r="N224" s="31"/>
      <c r="O224" s="31"/>
      <c r="P224" s="4">
        <v>1</v>
      </c>
      <c r="Q224" s="57">
        <v>0</v>
      </c>
      <c r="R224" s="57">
        <v>0</v>
      </c>
      <c r="S224" s="97">
        <v>0</v>
      </c>
      <c r="T224" s="57">
        <v>0</v>
      </c>
      <c r="U224" s="57">
        <v>0</v>
      </c>
      <c r="V224" s="57">
        <v>0</v>
      </c>
      <c r="W224" s="57">
        <v>0</v>
      </c>
      <c r="X224" s="94">
        <v>0</v>
      </c>
    </row>
    <row r="225" spans="1:24" x14ac:dyDescent="0.35">
      <c r="A225">
        <v>221</v>
      </c>
      <c r="B225">
        <v>222</v>
      </c>
      <c r="C225">
        <v>146.124944440999</v>
      </c>
      <c r="D225">
        <v>-17.6133921134</v>
      </c>
      <c r="F225" t="str">
        <f>HYPERLINK("D:\Data From Lucan\2024\Moresby\Frames_for_Analysis/222_20240611_0012_R_1294.jpg","222_20240611_0012_R_1294.jpg")</f>
        <v>222_20240611_0012_R_1294.jpg</v>
      </c>
      <c r="G225" s="92" t="s">
        <v>4150</v>
      </c>
      <c r="I225">
        <v>1</v>
      </c>
      <c r="K225" s="95">
        <v>1</v>
      </c>
      <c r="L225" s="31"/>
      <c r="M225" s="31"/>
      <c r="N225" s="31"/>
      <c r="O225" s="31"/>
      <c r="P225" s="4">
        <v>1</v>
      </c>
      <c r="Q225" s="57">
        <v>0</v>
      </c>
      <c r="R225" s="57">
        <v>0</v>
      </c>
      <c r="S225" s="97">
        <v>0</v>
      </c>
      <c r="T225" s="57">
        <v>0</v>
      </c>
      <c r="U225" s="57">
        <v>0</v>
      </c>
      <c r="V225" s="57">
        <v>0</v>
      </c>
      <c r="W225" s="57">
        <v>0</v>
      </c>
      <c r="X225" s="94">
        <v>0</v>
      </c>
    </row>
    <row r="226" spans="1:24" x14ac:dyDescent="0.35">
      <c r="A226">
        <v>222</v>
      </c>
      <c r="B226">
        <v>223</v>
      </c>
      <c r="C226">
        <v>146.12487343999899</v>
      </c>
      <c r="D226">
        <v>-17.6134445661</v>
      </c>
      <c r="F226" t="str">
        <f>HYPERLINK("D:\Data From Lucan\2024\Moresby\Frames_for_Analysis/223_20240611_0012_R_1289.jpg","223_20240611_0012_R_1289.jpg")</f>
        <v>223_20240611_0012_R_1289.jpg</v>
      </c>
      <c r="G226" s="92" t="s">
        <v>4151</v>
      </c>
      <c r="I226">
        <v>1</v>
      </c>
      <c r="K226" s="95">
        <v>1</v>
      </c>
      <c r="L226" s="31"/>
      <c r="M226" s="31"/>
      <c r="N226" s="31"/>
      <c r="O226" s="31"/>
      <c r="P226" s="4">
        <v>1</v>
      </c>
      <c r="Q226" s="57">
        <v>0</v>
      </c>
      <c r="R226" s="57">
        <v>0</v>
      </c>
      <c r="S226" s="97">
        <v>0</v>
      </c>
      <c r="T226" s="57">
        <v>0</v>
      </c>
      <c r="U226" s="57">
        <v>0</v>
      </c>
      <c r="V226" s="57">
        <v>0</v>
      </c>
      <c r="W226" s="57">
        <v>0</v>
      </c>
      <c r="X226" s="94">
        <v>0</v>
      </c>
    </row>
    <row r="227" spans="1:24" x14ac:dyDescent="0.35">
      <c r="A227">
        <v>223</v>
      </c>
      <c r="B227">
        <v>224</v>
      </c>
      <c r="C227">
        <v>146.12480973500001</v>
      </c>
      <c r="D227">
        <v>-17.6135037743</v>
      </c>
      <c r="F227" t="str">
        <f>HYPERLINK("D:\Data From Lucan\2024\Moresby\Frames_for_Analysis/224_20240611_0012_R_1286.jpg","224_20240611_0012_R_1286.jpg")</f>
        <v>224_20240611_0012_R_1286.jpg</v>
      </c>
      <c r="G227" s="92" t="s">
        <v>4152</v>
      </c>
      <c r="I227">
        <v>1</v>
      </c>
      <c r="K227" s="95">
        <v>1</v>
      </c>
      <c r="L227" s="31"/>
      <c r="M227" s="31"/>
      <c r="N227" s="31"/>
      <c r="O227" s="31"/>
      <c r="P227" s="4">
        <v>1</v>
      </c>
      <c r="Q227" s="57">
        <v>0</v>
      </c>
      <c r="R227" s="57">
        <v>0</v>
      </c>
      <c r="S227" s="97">
        <v>0</v>
      </c>
      <c r="T227" s="57">
        <v>0</v>
      </c>
      <c r="U227" s="57">
        <v>0</v>
      </c>
      <c r="V227" s="57">
        <v>0</v>
      </c>
      <c r="W227" s="57">
        <v>0</v>
      </c>
      <c r="X227" s="94">
        <v>0</v>
      </c>
    </row>
    <row r="228" spans="1:24" x14ac:dyDescent="0.35">
      <c r="A228">
        <v>224</v>
      </c>
      <c r="B228">
        <v>225</v>
      </c>
      <c r="C228">
        <v>146.12476800600001</v>
      </c>
      <c r="D228">
        <v>-17.6135779630999</v>
      </c>
      <c r="E228">
        <v>50</v>
      </c>
      <c r="F228" t="str">
        <f>HYPERLINK("D:\Data From Lucan\2024\Moresby\Frames_for_Analysis/225_20240611_0012_R_1166.jpg","225_20240611_0012_R_1166.jpg")</f>
        <v>225_20240611_0012_R_1166.jpg</v>
      </c>
      <c r="G228" s="92" t="s">
        <v>4153</v>
      </c>
      <c r="I228">
        <v>1</v>
      </c>
      <c r="K228" s="95">
        <v>1</v>
      </c>
      <c r="L228" s="31"/>
      <c r="M228" s="31"/>
      <c r="N228" s="31"/>
      <c r="O228" s="31"/>
      <c r="P228" s="4">
        <v>1</v>
      </c>
      <c r="Q228" s="57">
        <v>0</v>
      </c>
      <c r="R228" s="57">
        <v>0</v>
      </c>
      <c r="S228" s="97">
        <v>0</v>
      </c>
      <c r="T228" s="57">
        <v>0</v>
      </c>
      <c r="U228" s="57">
        <v>0</v>
      </c>
      <c r="V228" s="57">
        <v>0</v>
      </c>
      <c r="W228" s="57">
        <v>0</v>
      </c>
      <c r="X228" s="94">
        <v>0</v>
      </c>
    </row>
    <row r="229" spans="1:24" x14ac:dyDescent="0.35">
      <c r="A229">
        <v>225</v>
      </c>
      <c r="B229">
        <v>226</v>
      </c>
      <c r="C229">
        <v>146.12474606200001</v>
      </c>
      <c r="D229">
        <v>-17.613660988700001</v>
      </c>
      <c r="F229" t="str">
        <f>HYPERLINK("D:\Data From Lucan\2024\Moresby\Frames_for_Analysis/226_20240611_0012_R_1155.jpg","226_20240611_0012_R_1155.jpg")</f>
        <v>226_20240611_0012_R_1155.jpg</v>
      </c>
      <c r="G229" s="92" t="s">
        <v>4154</v>
      </c>
      <c r="I229">
        <v>1</v>
      </c>
      <c r="K229" s="95">
        <v>1</v>
      </c>
      <c r="L229" s="31"/>
      <c r="M229" s="31"/>
      <c r="N229" s="31"/>
      <c r="O229" s="31"/>
      <c r="P229" s="4">
        <v>1</v>
      </c>
      <c r="Q229" s="57">
        <v>0</v>
      </c>
      <c r="R229" s="57">
        <v>0</v>
      </c>
      <c r="S229" s="97">
        <v>0</v>
      </c>
      <c r="T229" s="57">
        <v>0</v>
      </c>
      <c r="U229" s="57">
        <v>0</v>
      </c>
      <c r="V229" s="57">
        <v>0</v>
      </c>
      <c r="W229" s="57">
        <v>0</v>
      </c>
      <c r="X229" s="94">
        <v>0</v>
      </c>
    </row>
    <row r="230" spans="1:24" x14ac:dyDescent="0.35">
      <c r="A230">
        <v>226</v>
      </c>
      <c r="B230">
        <v>227</v>
      </c>
      <c r="C230">
        <v>146.12472520399899</v>
      </c>
      <c r="D230">
        <v>-17.6137442687</v>
      </c>
      <c r="F230" t="str">
        <f>HYPERLINK("D:\Data From Lucan\2024\Moresby\Frames_for_Analysis/227_20240611_0012_R_1281.jpg","227_20240611_0012_R_1281.jpg")</f>
        <v>227_20240611_0012_R_1281.jpg</v>
      </c>
      <c r="G230" s="92" t="s">
        <v>4155</v>
      </c>
      <c r="I230">
        <v>1</v>
      </c>
      <c r="K230" s="95">
        <v>1</v>
      </c>
      <c r="L230" s="31"/>
      <c r="M230" s="31"/>
      <c r="N230" s="31"/>
      <c r="O230" s="31"/>
      <c r="P230" s="4">
        <v>1</v>
      </c>
      <c r="Q230" s="57">
        <v>0</v>
      </c>
      <c r="R230" s="57">
        <v>0</v>
      </c>
      <c r="S230" s="97">
        <v>0</v>
      </c>
      <c r="T230" s="57">
        <v>0</v>
      </c>
      <c r="U230" s="57">
        <v>0</v>
      </c>
      <c r="V230" s="57">
        <v>0</v>
      </c>
      <c r="W230" s="57">
        <v>0</v>
      </c>
      <c r="X230" s="94">
        <v>0</v>
      </c>
    </row>
    <row r="231" spans="1:24" x14ac:dyDescent="0.35">
      <c r="A231">
        <v>227</v>
      </c>
      <c r="B231">
        <v>228</v>
      </c>
      <c r="C231">
        <v>146.124686601999</v>
      </c>
      <c r="D231">
        <v>-17.613820904200001</v>
      </c>
      <c r="F231" t="str">
        <f>HYPERLINK("D:\Data From Lucan\2024\Moresby\Frames_for_Analysis/228_20240611_0012_R_1146.jpg","228_20240611_0012_R_1146.jpg")</f>
        <v>228_20240611_0012_R_1146.jpg</v>
      </c>
      <c r="G231" s="92" t="s">
        <v>4156</v>
      </c>
      <c r="I231">
        <v>1</v>
      </c>
      <c r="K231" s="95">
        <v>1</v>
      </c>
      <c r="L231" s="31"/>
      <c r="M231" s="31"/>
      <c r="N231" s="31"/>
      <c r="O231" s="31"/>
      <c r="P231" s="4">
        <v>1</v>
      </c>
      <c r="Q231" s="57">
        <v>0</v>
      </c>
      <c r="R231" s="57">
        <v>0</v>
      </c>
      <c r="S231" s="97">
        <v>0</v>
      </c>
      <c r="T231" s="57">
        <v>0</v>
      </c>
      <c r="U231" s="57">
        <v>0</v>
      </c>
      <c r="V231" s="57">
        <v>0</v>
      </c>
      <c r="W231" s="57">
        <v>0</v>
      </c>
      <c r="X231" s="94">
        <v>0</v>
      </c>
    </row>
    <row r="232" spans="1:24" x14ac:dyDescent="0.35">
      <c r="A232">
        <v>228</v>
      </c>
      <c r="B232">
        <v>229</v>
      </c>
      <c r="C232">
        <v>146.12463185799899</v>
      </c>
      <c r="D232">
        <v>-17.6138862526</v>
      </c>
      <c r="F232" t="str">
        <f>HYPERLINK("D:\Data From Lucan\2024\Moresby\Frames_for_Analysis/229_20240611_0012_R_1278.jpg","229_20240611_0012_R_1278.jpg")</f>
        <v>229_20240611_0012_R_1278.jpg</v>
      </c>
      <c r="G232" s="92" t="s">
        <v>4157</v>
      </c>
      <c r="I232">
        <v>1</v>
      </c>
      <c r="K232" s="95">
        <v>1</v>
      </c>
      <c r="L232" s="31"/>
      <c r="M232" s="31"/>
      <c r="N232" s="31"/>
      <c r="O232" s="31"/>
      <c r="P232" s="4">
        <v>1</v>
      </c>
      <c r="Q232" s="57">
        <v>0</v>
      </c>
      <c r="R232" s="57">
        <v>0</v>
      </c>
      <c r="S232" s="97">
        <v>0</v>
      </c>
      <c r="T232" s="57">
        <v>0</v>
      </c>
      <c r="U232" s="57">
        <v>0</v>
      </c>
      <c r="V232" s="57">
        <v>0</v>
      </c>
      <c r="W232" s="57">
        <v>0</v>
      </c>
      <c r="X232" s="94">
        <v>0</v>
      </c>
    </row>
    <row r="233" spans="1:24" x14ac:dyDescent="0.35">
      <c r="A233">
        <v>229</v>
      </c>
      <c r="B233">
        <v>230</v>
      </c>
      <c r="C233">
        <v>146.124556544999</v>
      </c>
      <c r="D233">
        <v>-17.613932455899899</v>
      </c>
      <c r="E233">
        <v>50</v>
      </c>
      <c r="F233" t="str">
        <f>HYPERLINK("D:\Data From Lucan\2024\Moresby\Frames_for_Analysis/230_20240611_0012_R_1212.jpg","230_20240611_0012_R_1212.jpg")</f>
        <v>230_20240611_0012_R_1212.jpg</v>
      </c>
      <c r="G233" s="92" t="s">
        <v>4158</v>
      </c>
      <c r="I233">
        <v>1</v>
      </c>
      <c r="K233" s="95">
        <v>1</v>
      </c>
      <c r="L233" s="31"/>
      <c r="M233" s="31"/>
      <c r="N233" s="31"/>
      <c r="O233" s="31"/>
      <c r="P233" s="4">
        <v>1</v>
      </c>
      <c r="Q233" s="57">
        <v>0</v>
      </c>
      <c r="R233" s="57">
        <v>0</v>
      </c>
      <c r="S233" s="97">
        <v>0</v>
      </c>
      <c r="T233" s="57">
        <v>0</v>
      </c>
      <c r="U233" s="57">
        <v>0</v>
      </c>
      <c r="V233" s="57">
        <v>0</v>
      </c>
      <c r="W233" s="57">
        <v>0</v>
      </c>
      <c r="X233" s="94">
        <v>0</v>
      </c>
    </row>
    <row r="234" spans="1:24" x14ac:dyDescent="0.35">
      <c r="A234">
        <v>230</v>
      </c>
      <c r="B234">
        <v>231</v>
      </c>
      <c r="C234">
        <v>146.124473316999</v>
      </c>
      <c r="D234">
        <v>-17.6139646763</v>
      </c>
      <c r="F234" t="str">
        <f>HYPERLINK("D:\Data From Lucan\2024\Moresby\Frames_for_Analysis/231_20240611_0012_R_1273.jpg","231_20240611_0012_R_1273.jpg")</f>
        <v>231_20240611_0012_R_1273.jpg</v>
      </c>
      <c r="G234" s="92" t="s">
        <v>4159</v>
      </c>
      <c r="I234">
        <v>1</v>
      </c>
      <c r="K234" s="95">
        <v>1</v>
      </c>
      <c r="L234" s="31"/>
      <c r="M234" s="31"/>
      <c r="N234" s="31"/>
      <c r="O234" s="31"/>
      <c r="P234" s="4">
        <v>1</v>
      </c>
      <c r="Q234" s="57">
        <v>0</v>
      </c>
      <c r="R234" s="57">
        <v>0</v>
      </c>
      <c r="S234" s="97">
        <v>0</v>
      </c>
      <c r="T234" s="57">
        <v>0</v>
      </c>
      <c r="U234" s="57">
        <v>0</v>
      </c>
      <c r="V234" s="57">
        <v>0</v>
      </c>
      <c r="W234" s="57">
        <v>0</v>
      </c>
      <c r="X234" s="94">
        <v>0</v>
      </c>
    </row>
    <row r="235" spans="1:24" x14ac:dyDescent="0.35">
      <c r="A235">
        <v>231</v>
      </c>
      <c r="B235">
        <v>232</v>
      </c>
      <c r="C235">
        <v>146.12439080799899</v>
      </c>
      <c r="D235">
        <v>-17.6139984494</v>
      </c>
      <c r="F235" t="str">
        <f>HYPERLINK("D:\Data From Lucan\2024\Moresby\Frames_for_Analysis/232_20240611_0012_R_1244.jpg","232_20240611_0012_R_1244.jpg")</f>
        <v>232_20240611_0012_R_1244.jpg</v>
      </c>
      <c r="G235" s="92" t="s">
        <v>4160</v>
      </c>
      <c r="I235">
        <v>1</v>
      </c>
      <c r="K235" s="95">
        <v>1</v>
      </c>
      <c r="L235" s="31"/>
      <c r="M235" s="31"/>
      <c r="N235" s="31"/>
      <c r="O235" s="31"/>
      <c r="P235" s="4">
        <v>1</v>
      </c>
      <c r="Q235" s="57">
        <v>0</v>
      </c>
      <c r="R235" s="57">
        <v>0</v>
      </c>
      <c r="S235" s="97">
        <v>0</v>
      </c>
      <c r="T235" s="57">
        <v>0</v>
      </c>
      <c r="U235" s="57">
        <v>0</v>
      </c>
      <c r="V235" s="57">
        <v>0</v>
      </c>
      <c r="W235" s="57">
        <v>0</v>
      </c>
      <c r="X235" s="94">
        <v>0</v>
      </c>
    </row>
    <row r="236" spans="1:24" x14ac:dyDescent="0.35">
      <c r="A236">
        <v>232</v>
      </c>
      <c r="B236">
        <v>233</v>
      </c>
      <c r="C236">
        <v>146.124309734999</v>
      </c>
      <c r="D236">
        <v>-17.614035325300001</v>
      </c>
      <c r="F236" t="str">
        <f>HYPERLINK("D:\Data From Lucan\2024\Moresby\Frames_for_Analysis/233_20240611_0012_R_1249.jpg","233_20240611_0012_R_1249.jpg")</f>
        <v>233_20240611_0012_R_1249.jpg</v>
      </c>
      <c r="G236" s="92" t="s">
        <v>4161</v>
      </c>
      <c r="I236">
        <v>1</v>
      </c>
      <c r="K236" s="95">
        <v>1</v>
      </c>
      <c r="L236" s="31"/>
      <c r="M236" s="31"/>
      <c r="N236" s="31"/>
      <c r="O236" s="31"/>
      <c r="P236" s="4">
        <v>1</v>
      </c>
      <c r="Q236" s="57">
        <v>0</v>
      </c>
      <c r="R236" s="57">
        <v>0</v>
      </c>
      <c r="S236" s="97">
        <v>0</v>
      </c>
      <c r="T236" s="57">
        <v>0</v>
      </c>
      <c r="U236" s="57">
        <v>0</v>
      </c>
      <c r="V236" s="57">
        <v>0</v>
      </c>
      <c r="W236" s="57">
        <v>0</v>
      </c>
      <c r="X236" s="94">
        <v>0</v>
      </c>
    </row>
    <row r="237" spans="1:24" x14ac:dyDescent="0.35">
      <c r="A237">
        <v>233</v>
      </c>
      <c r="B237">
        <v>234</v>
      </c>
      <c r="C237">
        <v>146.12423081399899</v>
      </c>
      <c r="D237">
        <v>-17.6140755405</v>
      </c>
      <c r="F237" t="str">
        <f>HYPERLINK("D:\Data From Lucan\2024\Moresby\Frames_for_Analysis/234_20240611_0012_R_1252.jpg","234_20240611_0012_R_1252.jpg")</f>
        <v>234_20240611_0012_R_1252.jpg</v>
      </c>
      <c r="G237" s="92" t="s">
        <v>4162</v>
      </c>
      <c r="I237">
        <v>1</v>
      </c>
      <c r="K237" s="95">
        <v>1</v>
      </c>
      <c r="L237" s="31"/>
      <c r="M237" s="31"/>
      <c r="N237" s="31"/>
      <c r="O237" s="31"/>
      <c r="P237" s="4">
        <v>1</v>
      </c>
      <c r="Q237" s="57">
        <v>0</v>
      </c>
      <c r="R237" s="57">
        <v>0</v>
      </c>
      <c r="S237" s="97">
        <v>0</v>
      </c>
      <c r="T237" s="57">
        <v>0</v>
      </c>
      <c r="U237" s="57">
        <v>0</v>
      </c>
      <c r="V237" s="57">
        <v>0</v>
      </c>
      <c r="W237" s="57">
        <v>0</v>
      </c>
      <c r="X237" s="94">
        <v>0</v>
      </c>
    </row>
    <row r="238" spans="1:24" x14ac:dyDescent="0.35">
      <c r="A238">
        <v>234</v>
      </c>
      <c r="B238">
        <v>235</v>
      </c>
      <c r="C238">
        <v>146.124159638999</v>
      </c>
      <c r="D238">
        <v>-17.6141277786</v>
      </c>
      <c r="E238">
        <v>50</v>
      </c>
      <c r="F238" t="str">
        <f>HYPERLINK("D:\Data From Lucan\2024\Moresby\Frames_for_Analysis/235_20240611_0012_R_1219.jpg","235_20240611_0012_R_1219.jpg")</f>
        <v>235_20240611_0012_R_1219.jpg</v>
      </c>
      <c r="G238" s="92" t="s">
        <v>4163</v>
      </c>
      <c r="I238">
        <v>1</v>
      </c>
      <c r="K238" s="95">
        <v>1</v>
      </c>
      <c r="L238" s="31"/>
      <c r="M238" s="31"/>
      <c r="N238" s="31"/>
      <c r="O238" s="31"/>
      <c r="P238" s="4">
        <v>1</v>
      </c>
      <c r="Q238" s="57">
        <v>0</v>
      </c>
      <c r="R238" s="57">
        <v>0</v>
      </c>
      <c r="S238" s="97">
        <v>0</v>
      </c>
      <c r="T238" s="57">
        <v>0</v>
      </c>
      <c r="U238" s="57">
        <v>0</v>
      </c>
      <c r="V238" s="57">
        <v>0</v>
      </c>
      <c r="W238" s="57">
        <v>0</v>
      </c>
      <c r="X238" s="94">
        <v>0</v>
      </c>
    </row>
    <row r="239" spans="1:24" x14ac:dyDescent="0.35">
      <c r="A239">
        <v>235</v>
      </c>
      <c r="B239">
        <v>236</v>
      </c>
      <c r="C239">
        <v>146.12409061700001</v>
      </c>
      <c r="D239">
        <v>-17.614181889400001</v>
      </c>
      <c r="F239" t="str">
        <f>HYPERLINK("D:\Data From Lucan\2024\Moresby\Frames_for_Analysis/236_20240611_0012_R_1130.jpg","236_20240611_0012_R_1130.jpg")</f>
        <v>236_20240611_0012_R_1130.jpg</v>
      </c>
      <c r="G239" s="92" t="s">
        <v>4164</v>
      </c>
      <c r="I239">
        <v>1</v>
      </c>
      <c r="K239" s="95">
        <v>1</v>
      </c>
      <c r="L239" s="31"/>
      <c r="M239" s="31"/>
      <c r="N239" s="31"/>
      <c r="O239" s="31"/>
      <c r="P239" s="4">
        <v>1</v>
      </c>
      <c r="Q239" s="57">
        <v>0</v>
      </c>
      <c r="R239" s="57">
        <v>0</v>
      </c>
      <c r="S239" s="97">
        <v>0</v>
      </c>
      <c r="T239" s="57">
        <v>0</v>
      </c>
      <c r="U239" s="57">
        <v>0</v>
      </c>
      <c r="V239" s="57">
        <v>0</v>
      </c>
      <c r="W239" s="57">
        <v>0</v>
      </c>
      <c r="X239" s="94">
        <v>0</v>
      </c>
    </row>
    <row r="240" spans="1:24" x14ac:dyDescent="0.35">
      <c r="A240">
        <v>236</v>
      </c>
      <c r="B240">
        <v>237</v>
      </c>
      <c r="C240">
        <v>146.124042505999</v>
      </c>
      <c r="D240">
        <v>-17.6142541946999</v>
      </c>
      <c r="F240" t="str">
        <f>HYPERLINK("D:\Data From Lucan\2024\Moresby\Frames_for_Analysis/237_20240611_0012_R_1232.jpg","237_20240611_0012_R_1232.jpg")</f>
        <v>237_20240611_0012_R_1232.jpg</v>
      </c>
      <c r="G240" s="92" t="s">
        <v>4165</v>
      </c>
      <c r="I240">
        <v>1</v>
      </c>
      <c r="K240" s="95">
        <v>1</v>
      </c>
      <c r="L240" s="31"/>
      <c r="M240" s="31"/>
      <c r="N240" s="31"/>
      <c r="O240" s="31"/>
      <c r="P240" s="4">
        <v>1</v>
      </c>
      <c r="Q240" s="57">
        <v>0</v>
      </c>
      <c r="R240" s="57">
        <v>0</v>
      </c>
      <c r="S240" s="97">
        <v>0</v>
      </c>
      <c r="T240" s="57">
        <v>0</v>
      </c>
      <c r="U240" s="57">
        <v>0</v>
      </c>
      <c r="V240" s="57">
        <v>0</v>
      </c>
      <c r="W240" s="57">
        <v>0</v>
      </c>
      <c r="X240" s="94">
        <v>0</v>
      </c>
    </row>
    <row r="241" spans="1:24" x14ac:dyDescent="0.35">
      <c r="A241">
        <v>237</v>
      </c>
      <c r="B241">
        <v>238</v>
      </c>
      <c r="C241">
        <v>146.12399312100001</v>
      </c>
      <c r="D241">
        <v>-17.6143256898999</v>
      </c>
      <c r="F241" t="str">
        <f>HYPERLINK("D:\Data From Lucan\2024\Moresby\Frames_for_Analysis/238_20240611_0012_R_1229.jpg","238_20240611_0012_R_1229.jpg")</f>
        <v>238_20240611_0012_R_1229.jpg</v>
      </c>
      <c r="G241" s="92" t="s">
        <v>4166</v>
      </c>
      <c r="I241">
        <v>1</v>
      </c>
      <c r="K241" s="95">
        <v>1</v>
      </c>
      <c r="L241" s="31"/>
      <c r="M241" s="31"/>
      <c r="N241" s="31"/>
      <c r="O241" s="31"/>
      <c r="P241" s="4">
        <v>1</v>
      </c>
      <c r="Q241" s="57">
        <v>0</v>
      </c>
      <c r="R241" s="57">
        <v>0</v>
      </c>
      <c r="S241" s="97">
        <v>0</v>
      </c>
      <c r="T241" s="57">
        <v>0</v>
      </c>
      <c r="U241" s="57">
        <v>0</v>
      </c>
      <c r="V241" s="57">
        <v>0</v>
      </c>
      <c r="W241" s="57">
        <v>0</v>
      </c>
      <c r="X241" s="94">
        <v>0</v>
      </c>
    </row>
    <row r="242" spans="1:24" x14ac:dyDescent="0.35">
      <c r="A242">
        <v>238</v>
      </c>
      <c r="B242">
        <v>239</v>
      </c>
      <c r="C242">
        <v>146.123941591</v>
      </c>
      <c r="D242">
        <v>-17.614395822799899</v>
      </c>
      <c r="F242" t="str">
        <f>HYPERLINK("D:\Data From Lucan\2024\Moresby\Frames_for_Analysis/239_20240611_0012_R_1119.jpg","239_20240611_0012_R_1119.jpg")</f>
        <v>239_20240611_0012_R_1119.jpg</v>
      </c>
      <c r="G242" s="92" t="s">
        <v>4167</v>
      </c>
      <c r="I242">
        <v>1</v>
      </c>
      <c r="K242" s="95">
        <v>1</v>
      </c>
      <c r="L242" s="31"/>
      <c r="M242" s="31"/>
      <c r="N242" s="31"/>
      <c r="O242" s="31"/>
      <c r="P242" s="4">
        <v>1</v>
      </c>
      <c r="Q242" s="57">
        <v>0</v>
      </c>
      <c r="R242" s="57">
        <v>0</v>
      </c>
      <c r="S242" s="97">
        <v>0</v>
      </c>
      <c r="T242" s="57">
        <v>0</v>
      </c>
      <c r="U242" s="57">
        <v>0</v>
      </c>
      <c r="V242" s="57">
        <v>0</v>
      </c>
      <c r="W242" s="57">
        <v>0</v>
      </c>
      <c r="X242" s="94">
        <v>0</v>
      </c>
    </row>
    <row r="243" spans="1:24" x14ac:dyDescent="0.35">
      <c r="A243">
        <v>239</v>
      </c>
      <c r="B243">
        <v>240</v>
      </c>
      <c r="C243">
        <v>146.12389006199899</v>
      </c>
      <c r="D243">
        <v>-17.6144659558</v>
      </c>
      <c r="E243">
        <v>50</v>
      </c>
      <c r="F243" t="str">
        <f>HYPERLINK("D:\Data From Lucan\2024\Moresby\Frames_for_Analysis/240_20240611_0012_R_1113.jpg","240_20240611_0012_R_1113.jpg")</f>
        <v>240_20240611_0012_R_1113.jpg</v>
      </c>
      <c r="G243" s="92" t="s">
        <v>4168</v>
      </c>
      <c r="I243">
        <v>1</v>
      </c>
      <c r="K243" s="95">
        <v>1</v>
      </c>
      <c r="L243" s="31"/>
      <c r="M243" s="31"/>
      <c r="N243" s="31"/>
      <c r="O243" s="31"/>
      <c r="P243" s="4">
        <v>1</v>
      </c>
      <c r="Q243" s="57">
        <v>0</v>
      </c>
      <c r="R243" s="57">
        <v>0</v>
      </c>
      <c r="S243" s="97">
        <v>0</v>
      </c>
      <c r="T243" s="57">
        <v>0</v>
      </c>
      <c r="U243" s="57">
        <v>0</v>
      </c>
      <c r="V243" s="57">
        <v>0</v>
      </c>
      <c r="W243" s="57">
        <v>0</v>
      </c>
      <c r="X243" s="94">
        <v>0</v>
      </c>
    </row>
    <row r="244" spans="1:24" x14ac:dyDescent="0.35">
      <c r="A244">
        <v>240</v>
      </c>
      <c r="B244">
        <v>241</v>
      </c>
      <c r="C244">
        <v>146.123838532999</v>
      </c>
      <c r="D244">
        <v>-17.6145360887</v>
      </c>
      <c r="F244" t="str">
        <f>HYPERLINK("D:\Data From Lucan\2024\Moresby\Frames_for_Analysis/241_20240611_0012_R_1104.jpg","241_20240611_0012_R_1104.jpg")</f>
        <v>241_20240611_0012_R_1104.jpg</v>
      </c>
      <c r="G244" s="92" t="s">
        <v>4169</v>
      </c>
      <c r="I244">
        <v>1</v>
      </c>
      <c r="K244" s="95">
        <v>1</v>
      </c>
      <c r="L244" s="31"/>
      <c r="M244" s="31"/>
      <c r="N244" s="31"/>
      <c r="O244" s="31"/>
      <c r="P244" s="4">
        <v>1</v>
      </c>
      <c r="Q244" s="57">
        <v>0</v>
      </c>
      <c r="R244" s="57">
        <v>0</v>
      </c>
      <c r="S244" s="97">
        <v>0</v>
      </c>
      <c r="T244" s="57">
        <v>0</v>
      </c>
      <c r="U244" s="57">
        <v>0</v>
      </c>
      <c r="V244" s="57">
        <v>0</v>
      </c>
      <c r="W244" s="57">
        <v>0</v>
      </c>
      <c r="X244" s="94">
        <v>0</v>
      </c>
    </row>
    <row r="245" spans="1:24" x14ac:dyDescent="0.35">
      <c r="A245">
        <v>241</v>
      </c>
      <c r="B245">
        <v>242</v>
      </c>
      <c r="C245">
        <v>146.123796806</v>
      </c>
      <c r="D245">
        <v>-17.614610647700001</v>
      </c>
      <c r="F245" t="str">
        <f>HYPERLINK("D:\Data From Lucan\2024\Moresby\Frames_for_Analysis/242_20240611_0012_R_1105.jpg","242_20240611_0012_R_1105.jpg")</f>
        <v>242_20240611_0012_R_1105.jpg</v>
      </c>
      <c r="G245" s="92" t="s">
        <v>4170</v>
      </c>
      <c r="I245">
        <v>1</v>
      </c>
      <c r="K245" s="95">
        <v>1</v>
      </c>
      <c r="L245" s="31"/>
      <c r="M245" s="31"/>
      <c r="N245" s="31"/>
      <c r="O245" s="31"/>
      <c r="P245" s="4">
        <v>1</v>
      </c>
      <c r="Q245" s="57">
        <v>0</v>
      </c>
      <c r="R245" s="57">
        <v>0</v>
      </c>
      <c r="S245" s="97">
        <v>0</v>
      </c>
      <c r="T245" s="57">
        <v>0</v>
      </c>
      <c r="U245" s="57">
        <v>0</v>
      </c>
      <c r="V245" s="57">
        <v>0</v>
      </c>
      <c r="W245" s="57">
        <v>0</v>
      </c>
      <c r="X245" s="94">
        <v>0</v>
      </c>
    </row>
    <row r="246" spans="1:24" x14ac:dyDescent="0.35">
      <c r="A246">
        <v>242</v>
      </c>
      <c r="B246">
        <v>243</v>
      </c>
      <c r="C246">
        <v>146.123772500999</v>
      </c>
      <c r="D246">
        <v>-17.6146930739</v>
      </c>
      <c r="F246" t="str">
        <f>HYPERLINK("D:\Data From Lucan\2024\Moresby\Frames_for_Analysis/243_20240611_0012_R_1106.jpg","243_20240611_0012_R_1106.jpg")</f>
        <v>243_20240611_0012_R_1106.jpg</v>
      </c>
      <c r="G246" s="92" t="s">
        <v>4171</v>
      </c>
      <c r="I246">
        <v>1</v>
      </c>
      <c r="K246" s="95">
        <v>1</v>
      </c>
      <c r="L246" s="31"/>
      <c r="M246" s="31"/>
      <c r="N246" s="31"/>
      <c r="O246" s="31"/>
      <c r="P246" s="4">
        <v>1</v>
      </c>
      <c r="Q246" s="57">
        <v>0</v>
      </c>
      <c r="R246" s="57">
        <v>0</v>
      </c>
      <c r="S246" s="97">
        <v>0</v>
      </c>
      <c r="T246" s="57">
        <v>0</v>
      </c>
      <c r="U246" s="57">
        <v>0</v>
      </c>
      <c r="V246" s="57">
        <v>0</v>
      </c>
      <c r="W246" s="57">
        <v>0</v>
      </c>
      <c r="X246" s="94">
        <v>0</v>
      </c>
    </row>
    <row r="247" spans="1:24" x14ac:dyDescent="0.35">
      <c r="A247">
        <v>243</v>
      </c>
      <c r="B247">
        <v>244</v>
      </c>
      <c r="C247">
        <v>146.123770366</v>
      </c>
      <c r="D247">
        <v>-17.614778462699899</v>
      </c>
      <c r="F247" t="str">
        <f>HYPERLINK("D:\Data From Lucan\2024\Moresby\Frames_for_Analysis/244_20240611_0012_R_1110.jpg","244_20240611_0012_R_1110.jpg")</f>
        <v>244_20240611_0012_R_1110.jpg</v>
      </c>
      <c r="G247" s="92" t="s">
        <v>4172</v>
      </c>
      <c r="I247">
        <v>1</v>
      </c>
      <c r="K247" s="95">
        <v>1</v>
      </c>
      <c r="L247" s="31"/>
      <c r="M247" s="31"/>
      <c r="N247" s="31"/>
      <c r="O247" s="31"/>
      <c r="P247" s="4">
        <v>1</v>
      </c>
      <c r="Q247" s="57">
        <v>0</v>
      </c>
      <c r="R247" s="57">
        <v>0</v>
      </c>
      <c r="S247" s="97">
        <v>0</v>
      </c>
      <c r="T247" s="57">
        <v>0</v>
      </c>
      <c r="U247" s="57">
        <v>0</v>
      </c>
      <c r="V247" s="57">
        <v>0</v>
      </c>
      <c r="W247" s="57">
        <v>0</v>
      </c>
      <c r="X247" s="94">
        <v>0</v>
      </c>
    </row>
    <row r="248" spans="1:24" x14ac:dyDescent="0.35">
      <c r="A248">
        <v>244</v>
      </c>
      <c r="B248">
        <v>245</v>
      </c>
      <c r="C248">
        <v>146.12378015799899</v>
      </c>
      <c r="D248">
        <v>-17.6148629365</v>
      </c>
      <c r="E248">
        <v>50</v>
      </c>
      <c r="G248" s="92"/>
      <c r="I248">
        <v>1</v>
      </c>
      <c r="J248" t="s">
        <v>26</v>
      </c>
      <c r="K248" s="95" t="s">
        <v>26</v>
      </c>
      <c r="L248" s="31"/>
      <c r="M248" s="31"/>
      <c r="N248" s="31"/>
      <c r="O248" s="31"/>
      <c r="P248" s="4"/>
      <c r="X248" s="94"/>
    </row>
    <row r="249" spans="1:24" x14ac:dyDescent="0.35">
      <c r="A249">
        <v>245</v>
      </c>
      <c r="B249">
        <v>246</v>
      </c>
      <c r="C249">
        <v>146.12377119000001</v>
      </c>
      <c r="D249">
        <v>-17.614945410000001</v>
      </c>
      <c r="F249" t="str">
        <f>HYPERLINK("D:\Data From Lucan\2024\Moresby\Frames_for_Analysis/246_20240611_0012_R_1006.jpg","246_20240611_0012_R_1006.jpg")</f>
        <v>246_20240611_0012_R_1006.jpg</v>
      </c>
      <c r="G249" s="92" t="s">
        <v>4173</v>
      </c>
      <c r="I249">
        <v>1</v>
      </c>
      <c r="K249" s="95">
        <v>1</v>
      </c>
      <c r="L249" s="31"/>
      <c r="M249" s="31"/>
      <c r="N249" s="31"/>
      <c r="O249" s="31"/>
      <c r="P249" s="4">
        <v>1</v>
      </c>
      <c r="Q249" s="57">
        <v>0</v>
      </c>
      <c r="R249" s="57">
        <v>0</v>
      </c>
      <c r="S249" s="97">
        <v>0</v>
      </c>
      <c r="T249" s="57">
        <v>0</v>
      </c>
      <c r="U249" s="57">
        <v>0</v>
      </c>
      <c r="V249" s="57">
        <v>0</v>
      </c>
      <c r="W249" s="57">
        <v>0</v>
      </c>
      <c r="X249" s="94">
        <v>0</v>
      </c>
    </row>
    <row r="250" spans="1:24" x14ac:dyDescent="0.35">
      <c r="A250">
        <v>246</v>
      </c>
      <c r="B250">
        <v>247</v>
      </c>
      <c r="C250">
        <v>146.12372540000001</v>
      </c>
      <c r="D250">
        <v>-17.615018357699899</v>
      </c>
      <c r="G250" s="92"/>
      <c r="I250">
        <v>1</v>
      </c>
      <c r="J250" t="s">
        <v>26</v>
      </c>
      <c r="K250" s="95" t="s">
        <v>26</v>
      </c>
      <c r="L250" s="31"/>
      <c r="M250" s="31"/>
      <c r="N250" s="31"/>
      <c r="O250" s="31"/>
      <c r="P250" s="4"/>
      <c r="X250" s="94"/>
    </row>
    <row r="251" spans="1:24" x14ac:dyDescent="0.35">
      <c r="A251">
        <v>247</v>
      </c>
      <c r="B251">
        <v>248</v>
      </c>
      <c r="C251">
        <v>146.123667893999</v>
      </c>
      <c r="D251">
        <v>-17.6150838878999</v>
      </c>
      <c r="G251" s="92"/>
      <c r="I251">
        <v>1</v>
      </c>
      <c r="J251" t="s">
        <v>26</v>
      </c>
      <c r="K251" s="95" t="s">
        <v>26</v>
      </c>
      <c r="L251" s="31"/>
      <c r="M251" s="31"/>
      <c r="N251" s="31"/>
      <c r="O251" s="31"/>
      <c r="P251" s="4"/>
      <c r="X251" s="94"/>
    </row>
    <row r="252" spans="1:24" x14ac:dyDescent="0.35">
      <c r="A252">
        <v>248</v>
      </c>
      <c r="B252">
        <v>249</v>
      </c>
      <c r="C252">
        <v>146.12361868400001</v>
      </c>
      <c r="D252">
        <v>-17.615155517600002</v>
      </c>
      <c r="F252" t="str">
        <f>HYPERLINK("D:\Data From Lucan\2024\Moresby\Frames_for_Analysis/249_20240611_0012_R_1007.jpg","249_20240611_0012_R_1007.jpg")</f>
        <v>249_20240611_0012_R_1007.jpg</v>
      </c>
      <c r="G252" s="92" t="s">
        <v>4174</v>
      </c>
      <c r="I252">
        <v>1</v>
      </c>
      <c r="K252" s="95">
        <v>1</v>
      </c>
      <c r="L252" s="31"/>
      <c r="M252" s="31"/>
      <c r="N252" s="31"/>
      <c r="O252" s="31"/>
      <c r="P252" s="4">
        <v>1</v>
      </c>
      <c r="Q252" s="57">
        <v>0</v>
      </c>
      <c r="R252" s="57">
        <v>0</v>
      </c>
      <c r="S252" s="97">
        <v>0</v>
      </c>
      <c r="T252" s="57">
        <v>0</v>
      </c>
      <c r="U252" s="57">
        <v>0</v>
      </c>
      <c r="V252" s="57">
        <v>0</v>
      </c>
      <c r="W252" s="57">
        <v>0</v>
      </c>
      <c r="X252" s="94">
        <v>0</v>
      </c>
    </row>
    <row r="253" spans="1:24" x14ac:dyDescent="0.35">
      <c r="A253">
        <v>249</v>
      </c>
      <c r="B253">
        <v>250</v>
      </c>
      <c r="C253">
        <v>146.123571972999</v>
      </c>
      <c r="D253">
        <v>-17.615228359300001</v>
      </c>
      <c r="E253">
        <v>50</v>
      </c>
      <c r="G253" s="92"/>
      <c r="I253">
        <v>1</v>
      </c>
      <c r="J253" t="s">
        <v>26</v>
      </c>
      <c r="K253" s="95" t="s">
        <v>26</v>
      </c>
      <c r="L253" s="31"/>
      <c r="M253" s="31"/>
      <c r="N253" s="31"/>
      <c r="O253" s="31"/>
      <c r="P253" s="4"/>
      <c r="X253" s="94"/>
    </row>
    <row r="254" spans="1:24" x14ac:dyDescent="0.35">
      <c r="A254">
        <v>250</v>
      </c>
      <c r="B254">
        <v>251</v>
      </c>
      <c r="C254">
        <v>146.123540211999</v>
      </c>
      <c r="D254">
        <v>-17.6153084486</v>
      </c>
      <c r="F254" t="str">
        <f>HYPERLINK("D:\Data From Lucan\2024\Moresby\Frames_for_Analysis/251_20240611_0012_R_1008.jpg","251_20240611_0012_R_1008.jpg")</f>
        <v>251_20240611_0012_R_1008.jpg</v>
      </c>
      <c r="G254" s="92" t="s">
        <v>4175</v>
      </c>
      <c r="I254">
        <v>1</v>
      </c>
      <c r="K254" s="95">
        <v>1</v>
      </c>
      <c r="L254" s="31"/>
      <c r="M254" s="31"/>
      <c r="N254" s="31"/>
      <c r="O254" s="31"/>
      <c r="P254" s="4">
        <v>1</v>
      </c>
      <c r="Q254" s="57">
        <v>0</v>
      </c>
      <c r="R254" s="57">
        <v>0</v>
      </c>
      <c r="S254" s="97">
        <v>0</v>
      </c>
      <c r="T254" s="57">
        <v>0</v>
      </c>
      <c r="U254" s="57">
        <v>0</v>
      </c>
      <c r="V254" s="57">
        <v>0</v>
      </c>
      <c r="W254" s="57">
        <v>0</v>
      </c>
      <c r="X254" s="94">
        <v>0</v>
      </c>
    </row>
    <row r="255" spans="1:24" x14ac:dyDescent="0.35">
      <c r="A255">
        <v>251</v>
      </c>
      <c r="B255">
        <v>252</v>
      </c>
      <c r="C255">
        <v>146.123508450999</v>
      </c>
      <c r="D255">
        <v>-17.615388537800001</v>
      </c>
      <c r="G255" s="92"/>
      <c r="I255">
        <v>1</v>
      </c>
      <c r="J255" t="s">
        <v>26</v>
      </c>
      <c r="K255" s="95" t="s">
        <v>26</v>
      </c>
      <c r="L255" s="31"/>
      <c r="M255" s="31"/>
      <c r="N255" s="31"/>
      <c r="O255" s="31"/>
      <c r="P255" s="4"/>
      <c r="X255" s="94"/>
    </row>
    <row r="256" spans="1:24" x14ac:dyDescent="0.35">
      <c r="A256">
        <v>252</v>
      </c>
      <c r="B256">
        <v>253</v>
      </c>
      <c r="C256">
        <v>146.123479787999</v>
      </c>
      <c r="D256">
        <v>-17.6154696272</v>
      </c>
      <c r="F256" t="str">
        <f>HYPERLINK("D:\Data From Lucan\2024\Moresby\Frames_for_Analysis/253_20240611_0012_R_1027.jpg","253_20240611_0012_R_1027.jpg")</f>
        <v>253_20240611_0012_R_1027.jpg</v>
      </c>
      <c r="G256" s="92" t="s">
        <v>4176</v>
      </c>
      <c r="I256">
        <v>1</v>
      </c>
      <c r="K256" s="95">
        <v>1</v>
      </c>
      <c r="L256" s="31"/>
      <c r="M256" s="31"/>
      <c r="N256" s="31"/>
      <c r="O256" s="31"/>
      <c r="P256" s="4">
        <v>1</v>
      </c>
      <c r="Q256" s="57">
        <v>0</v>
      </c>
      <c r="R256" s="57">
        <v>0</v>
      </c>
      <c r="S256" s="97">
        <v>0</v>
      </c>
      <c r="T256" s="57">
        <v>0</v>
      </c>
      <c r="U256" s="57">
        <v>0</v>
      </c>
      <c r="V256" s="57">
        <v>0</v>
      </c>
      <c r="W256" s="57">
        <v>0</v>
      </c>
      <c r="X256" s="94">
        <v>0</v>
      </c>
    </row>
    <row r="257" spans="1:24" x14ac:dyDescent="0.35">
      <c r="A257">
        <v>253</v>
      </c>
      <c r="B257">
        <v>254</v>
      </c>
      <c r="C257">
        <v>146.12345393499899</v>
      </c>
      <c r="D257">
        <v>-17.615551624199899</v>
      </c>
      <c r="F257" t="str">
        <f>HYPERLINK("D:\Data From Lucan\2024\Moresby\Frames_for_Analysis/254_20240611_0012_R_1015.jpg","254_20240611_0012_R_1015.jpg")</f>
        <v>254_20240611_0012_R_1015.jpg</v>
      </c>
      <c r="G257" s="92" t="s">
        <v>4177</v>
      </c>
      <c r="I257">
        <v>1</v>
      </c>
      <c r="K257" s="95">
        <v>1</v>
      </c>
      <c r="L257" s="31"/>
      <c r="M257" s="31"/>
      <c r="N257" s="31"/>
      <c r="O257" s="31"/>
      <c r="P257" s="4">
        <v>1</v>
      </c>
      <c r="Q257" s="57">
        <v>0</v>
      </c>
      <c r="R257" s="57">
        <v>0</v>
      </c>
      <c r="S257" s="97">
        <v>0</v>
      </c>
      <c r="T257" s="57">
        <v>0</v>
      </c>
      <c r="U257" s="57">
        <v>0</v>
      </c>
      <c r="V257" s="57">
        <v>0</v>
      </c>
      <c r="W257" s="57">
        <v>0</v>
      </c>
      <c r="X257" s="94">
        <v>0</v>
      </c>
    </row>
    <row r="258" spans="1:24" x14ac:dyDescent="0.35">
      <c r="A258">
        <v>254</v>
      </c>
      <c r="B258">
        <v>255</v>
      </c>
      <c r="C258">
        <v>146.123428082</v>
      </c>
      <c r="D258">
        <v>-17.615633621099899</v>
      </c>
      <c r="E258">
        <v>50</v>
      </c>
      <c r="F258" t="str">
        <f>HYPERLINK("D:\Data From Lucan\2024\Moresby\Frames_for_Analysis/255_20240611_0012_R_1023.jpg","255_20240611_0012_R_1023.jpg")</f>
        <v>255_20240611_0012_R_1023.jpg</v>
      </c>
      <c r="G258" s="92" t="s">
        <v>4178</v>
      </c>
      <c r="I258">
        <v>1</v>
      </c>
      <c r="K258" s="95">
        <v>1</v>
      </c>
      <c r="L258" s="31"/>
      <c r="M258" s="31"/>
      <c r="N258" s="31"/>
      <c r="O258" s="31"/>
      <c r="P258" s="4">
        <v>1</v>
      </c>
      <c r="Q258" s="57">
        <v>0</v>
      </c>
      <c r="R258" s="57">
        <v>0</v>
      </c>
      <c r="S258" s="97">
        <v>0</v>
      </c>
      <c r="T258" s="57">
        <v>0</v>
      </c>
      <c r="U258" s="57">
        <v>0</v>
      </c>
      <c r="V258" s="57">
        <v>0</v>
      </c>
      <c r="W258" s="57">
        <v>0</v>
      </c>
      <c r="X258" s="94">
        <v>0</v>
      </c>
    </row>
    <row r="259" spans="1:24" x14ac:dyDescent="0.35">
      <c r="A259">
        <v>255</v>
      </c>
      <c r="B259">
        <v>256</v>
      </c>
      <c r="C259">
        <v>146.12341088100001</v>
      </c>
      <c r="D259">
        <v>-17.615717330900001</v>
      </c>
      <c r="F259" t="str">
        <f>HYPERLINK("D:\Data From Lucan\2024\Moresby\Frames_for_Analysis/256_20240611_0012_R_1029.jpg","256_20240611_0012_R_1029.jpg")</f>
        <v>256_20240611_0012_R_1029.jpg</v>
      </c>
      <c r="G259" s="92" t="s">
        <v>4179</v>
      </c>
      <c r="I259">
        <v>1</v>
      </c>
      <c r="K259" s="95">
        <v>1</v>
      </c>
      <c r="L259" s="31"/>
      <c r="M259" s="31"/>
      <c r="N259" s="31"/>
      <c r="O259" s="31"/>
      <c r="P259" s="4">
        <v>1</v>
      </c>
      <c r="Q259" s="57">
        <v>0</v>
      </c>
      <c r="R259" s="57">
        <v>0</v>
      </c>
      <c r="S259" s="97">
        <v>0</v>
      </c>
      <c r="T259" s="57">
        <v>0</v>
      </c>
      <c r="U259" s="57">
        <v>0</v>
      </c>
      <c r="V259" s="57">
        <v>0</v>
      </c>
      <c r="W259" s="57">
        <v>0</v>
      </c>
      <c r="X259" s="94">
        <v>0</v>
      </c>
    </row>
    <row r="260" spans="1:24" x14ac:dyDescent="0.35">
      <c r="A260">
        <v>256</v>
      </c>
      <c r="B260">
        <v>257</v>
      </c>
      <c r="C260">
        <v>146.123400330999</v>
      </c>
      <c r="D260">
        <v>-17.615802357500002</v>
      </c>
      <c r="F260" t="str">
        <f>HYPERLINK("D:\Data From Lucan\2024\Moresby\Frames_for_Analysis/257_20240611_0012_R_1020.jpg","257_20240611_0012_R_1020.jpg")</f>
        <v>257_20240611_0012_R_1020.jpg</v>
      </c>
      <c r="G260" s="92" t="s">
        <v>4180</v>
      </c>
      <c r="I260">
        <v>1</v>
      </c>
      <c r="K260" s="95">
        <v>1</v>
      </c>
      <c r="L260" s="31"/>
      <c r="M260" s="31"/>
      <c r="N260" s="31"/>
      <c r="O260" s="31"/>
      <c r="P260" s="4">
        <v>1</v>
      </c>
      <c r="Q260" s="57">
        <v>0</v>
      </c>
      <c r="R260" s="57">
        <v>0</v>
      </c>
      <c r="S260" s="97">
        <v>0</v>
      </c>
      <c r="T260" s="57">
        <v>0</v>
      </c>
      <c r="U260" s="57">
        <v>0</v>
      </c>
      <c r="V260" s="57">
        <v>0</v>
      </c>
      <c r="W260" s="57">
        <v>0</v>
      </c>
      <c r="X260" s="94">
        <v>0</v>
      </c>
    </row>
    <row r="261" spans="1:24" x14ac:dyDescent="0.35">
      <c r="A261">
        <v>257</v>
      </c>
      <c r="B261">
        <v>258</v>
      </c>
      <c r="C261">
        <v>146.12338978099899</v>
      </c>
      <c r="D261">
        <v>-17.615887384099899</v>
      </c>
      <c r="F261" t="str">
        <f>HYPERLINK("D:\Data From Lucan\2024\Moresby\Frames_for_Analysis/258_20240611_0012_R_1013.jpg","258_20240611_0012_R_1013.jpg")</f>
        <v>258_20240611_0012_R_1013.jpg</v>
      </c>
      <c r="G261" s="92" t="s">
        <v>4181</v>
      </c>
      <c r="I261">
        <v>1</v>
      </c>
      <c r="K261" s="95">
        <v>1</v>
      </c>
      <c r="L261" s="31"/>
      <c r="M261" s="31"/>
      <c r="N261" s="31"/>
      <c r="O261" s="31"/>
      <c r="P261" s="4">
        <v>1</v>
      </c>
      <c r="Q261" s="57">
        <v>0</v>
      </c>
      <c r="R261" s="57">
        <v>0</v>
      </c>
      <c r="S261" s="97">
        <v>0</v>
      </c>
      <c r="T261" s="57">
        <v>0</v>
      </c>
      <c r="U261" s="57">
        <v>0</v>
      </c>
      <c r="V261" s="57">
        <v>0</v>
      </c>
      <c r="W261" s="57">
        <v>0</v>
      </c>
      <c r="X261" s="94">
        <v>0</v>
      </c>
    </row>
    <row r="262" spans="1:24" x14ac:dyDescent="0.35">
      <c r="A262">
        <v>258</v>
      </c>
      <c r="B262">
        <v>259</v>
      </c>
      <c r="C262">
        <v>146.12338798900001</v>
      </c>
      <c r="D262">
        <v>-17.6159729216999</v>
      </c>
      <c r="F262" t="str">
        <f>HYPERLINK("D:\Data From Lucan\2024\Moresby\Frames_for_Analysis/259_20240611_0012_R_1098.jpg","259_20240611_0012_R_1098.jpg")</f>
        <v>259_20240611_0012_R_1098.jpg</v>
      </c>
      <c r="G262" s="92" t="s">
        <v>4182</v>
      </c>
      <c r="I262">
        <v>1</v>
      </c>
      <c r="K262" s="95">
        <v>1</v>
      </c>
      <c r="L262" s="31"/>
      <c r="M262" s="31"/>
      <c r="N262" s="31"/>
      <c r="O262" s="31"/>
      <c r="P262" s="4">
        <v>1</v>
      </c>
      <c r="Q262" s="57">
        <v>0</v>
      </c>
      <c r="R262" s="57">
        <v>0</v>
      </c>
      <c r="S262" s="97">
        <v>0</v>
      </c>
      <c r="T262" s="57">
        <v>0</v>
      </c>
      <c r="U262" s="57">
        <v>0</v>
      </c>
      <c r="V262" s="57">
        <v>0</v>
      </c>
      <c r="W262" s="57">
        <v>0</v>
      </c>
      <c r="X262" s="94">
        <v>0</v>
      </c>
    </row>
    <row r="263" spans="1:24" x14ac:dyDescent="0.35">
      <c r="A263">
        <v>259</v>
      </c>
      <c r="B263">
        <v>260</v>
      </c>
      <c r="C263">
        <v>146.123354997999</v>
      </c>
      <c r="D263">
        <v>-17.616046943899899</v>
      </c>
      <c r="E263">
        <v>50</v>
      </c>
      <c r="F263" t="str">
        <f>HYPERLINK("D:\Data From Lucan\2024\Moresby\Frames_for_Analysis/260_20240611_0012_R_0972.jpg","260_20240611_0012_R_0972.jpg")</f>
        <v>260_20240611_0012_R_0972.jpg</v>
      </c>
      <c r="G263" s="92" t="s">
        <v>4183</v>
      </c>
      <c r="I263">
        <v>1</v>
      </c>
      <c r="K263" s="95">
        <v>1</v>
      </c>
      <c r="L263" s="31"/>
      <c r="M263" s="31"/>
      <c r="N263" s="31"/>
      <c r="O263" s="31"/>
      <c r="P263" s="4">
        <v>1</v>
      </c>
      <c r="Q263" s="57">
        <v>0</v>
      </c>
      <c r="R263" s="57">
        <v>0</v>
      </c>
      <c r="S263" s="97">
        <v>0</v>
      </c>
      <c r="T263" s="57">
        <v>0</v>
      </c>
      <c r="U263" s="57">
        <v>0</v>
      </c>
      <c r="V263" s="57">
        <v>0</v>
      </c>
      <c r="W263" s="57">
        <v>0</v>
      </c>
      <c r="X263" s="94">
        <v>0</v>
      </c>
    </row>
    <row r="264" spans="1:24" x14ac:dyDescent="0.35">
      <c r="A264">
        <v>260</v>
      </c>
      <c r="B264">
        <v>261</v>
      </c>
      <c r="C264">
        <v>146.12327173099899</v>
      </c>
      <c r="D264">
        <v>-17.616065479700001</v>
      </c>
      <c r="F264" t="str">
        <f>HYPERLINK("D:\Data From Lucan\2024\Moresby\Frames_for_Analysis/261_20240611_0012_R_1097.jpg","261_20240611_0012_R_1097.jpg")</f>
        <v>261_20240611_0012_R_1097.jpg</v>
      </c>
      <c r="G264" s="92" t="s">
        <v>4184</v>
      </c>
      <c r="I264">
        <v>1</v>
      </c>
      <c r="K264" s="95">
        <v>1</v>
      </c>
      <c r="L264" s="31"/>
      <c r="M264" s="31"/>
      <c r="N264" s="31"/>
      <c r="O264" s="31"/>
      <c r="P264" s="4">
        <v>1</v>
      </c>
      <c r="Q264" s="57">
        <v>0</v>
      </c>
      <c r="R264" s="57">
        <v>0</v>
      </c>
      <c r="S264" s="97">
        <v>0</v>
      </c>
      <c r="T264" s="57">
        <v>0</v>
      </c>
      <c r="U264" s="57">
        <v>0</v>
      </c>
      <c r="V264" s="57">
        <v>0</v>
      </c>
      <c r="W264" s="57">
        <v>0</v>
      </c>
      <c r="X264" s="94">
        <v>0</v>
      </c>
    </row>
    <row r="265" spans="1:24" x14ac:dyDescent="0.35">
      <c r="A265">
        <v>261</v>
      </c>
      <c r="B265">
        <v>262</v>
      </c>
      <c r="C265">
        <v>146.12318361800001</v>
      </c>
      <c r="D265">
        <v>-17.6160488133999</v>
      </c>
      <c r="G265" s="92"/>
      <c r="I265">
        <v>1</v>
      </c>
      <c r="J265" t="s">
        <v>26</v>
      </c>
      <c r="K265" s="95" t="s">
        <v>26</v>
      </c>
      <c r="L265" s="31"/>
      <c r="M265" s="31"/>
      <c r="N265" s="31"/>
      <c r="O265" s="31"/>
      <c r="P265" s="4"/>
      <c r="X265" s="94"/>
    </row>
    <row r="266" spans="1:24" x14ac:dyDescent="0.35">
      <c r="A266">
        <v>262</v>
      </c>
      <c r="B266">
        <v>263</v>
      </c>
      <c r="C266">
        <v>146.123096742999</v>
      </c>
      <c r="D266">
        <v>-17.616056440800001</v>
      </c>
      <c r="F266" t="str">
        <f>HYPERLINK("D:\Data From Lucan\2024\Moresby\Frames_for_Analysis/263_20240611_0012_R_1030.jpg","263_20240611_0012_R_1030.jpg")</f>
        <v>263_20240611_0012_R_1030.jpg</v>
      </c>
      <c r="G266" s="92" t="s">
        <v>4185</v>
      </c>
      <c r="I266">
        <v>1</v>
      </c>
      <c r="K266" s="95">
        <v>1</v>
      </c>
      <c r="L266" s="31"/>
      <c r="M266" s="31"/>
      <c r="N266" s="31"/>
      <c r="O266" s="31"/>
      <c r="P266" s="4">
        <v>1</v>
      </c>
      <c r="Q266" s="57">
        <v>0</v>
      </c>
      <c r="R266" s="57">
        <v>0</v>
      </c>
      <c r="S266" s="97">
        <v>0</v>
      </c>
      <c r="T266" s="57">
        <v>0</v>
      </c>
      <c r="U266" s="57">
        <v>0</v>
      </c>
      <c r="V266" s="57">
        <v>0</v>
      </c>
      <c r="W266" s="57">
        <v>0</v>
      </c>
      <c r="X266" s="94">
        <v>0</v>
      </c>
    </row>
    <row r="267" spans="1:24" x14ac:dyDescent="0.35">
      <c r="A267">
        <v>263</v>
      </c>
      <c r="B267">
        <v>264</v>
      </c>
      <c r="C267">
        <v>146.123010773999</v>
      </c>
      <c r="D267">
        <v>-17.6160812199</v>
      </c>
      <c r="F267" t="str">
        <f>HYPERLINK("D:\Data From Lucan\2024\Moresby\Frames_for_Analysis/264_20240611_0012_R_1011.jpg","264_20240611_0012_R_1011.jpg")</f>
        <v>264_20240611_0012_R_1011.jpg</v>
      </c>
      <c r="G267" s="92" t="s">
        <v>4186</v>
      </c>
      <c r="I267">
        <v>1</v>
      </c>
      <c r="K267" s="95">
        <v>1</v>
      </c>
      <c r="L267" s="31"/>
      <c r="M267" s="31"/>
      <c r="N267" s="31"/>
      <c r="O267" s="31"/>
      <c r="P267" s="4">
        <v>1</v>
      </c>
      <c r="Q267" s="57">
        <v>0</v>
      </c>
      <c r="R267" s="57">
        <v>0</v>
      </c>
      <c r="S267" s="97">
        <v>0</v>
      </c>
      <c r="T267" s="57">
        <v>0</v>
      </c>
      <c r="U267" s="57">
        <v>0</v>
      </c>
      <c r="V267" s="57">
        <v>0</v>
      </c>
      <c r="W267" s="57">
        <v>0</v>
      </c>
      <c r="X267" s="94">
        <v>0</v>
      </c>
    </row>
    <row r="268" spans="1:24" x14ac:dyDescent="0.35">
      <c r="A268">
        <v>264</v>
      </c>
      <c r="B268">
        <v>265</v>
      </c>
      <c r="C268">
        <v>146.12294996700001</v>
      </c>
      <c r="D268">
        <v>-17.616144241800001</v>
      </c>
      <c r="E268">
        <v>50</v>
      </c>
      <c r="F268" t="str">
        <f>HYPERLINK("D:\Data From Lucan\2024\Moresby\Frames_for_Analysis/265_20240611_0012_R_1095.jpg","265_20240611_0012_R_1095.jpg")</f>
        <v>265_20240611_0012_R_1095.jpg</v>
      </c>
      <c r="G268" s="92" t="s">
        <v>4187</v>
      </c>
      <c r="I268">
        <v>1</v>
      </c>
      <c r="K268" s="95">
        <v>1</v>
      </c>
      <c r="L268" s="31"/>
      <c r="M268" s="31"/>
      <c r="N268" s="31"/>
      <c r="O268" s="31"/>
      <c r="P268" s="4">
        <v>1</v>
      </c>
      <c r="Q268" s="57">
        <v>0</v>
      </c>
      <c r="R268" s="57">
        <v>0</v>
      </c>
      <c r="S268" s="97">
        <v>0</v>
      </c>
      <c r="T268" s="57">
        <v>0</v>
      </c>
      <c r="U268" s="57">
        <v>0</v>
      </c>
      <c r="V268" s="57">
        <v>0</v>
      </c>
      <c r="W268" s="57">
        <v>0</v>
      </c>
      <c r="X268" s="94">
        <v>0</v>
      </c>
    </row>
    <row r="269" spans="1:24" x14ac:dyDescent="0.35">
      <c r="A269">
        <v>265</v>
      </c>
      <c r="B269">
        <v>266</v>
      </c>
      <c r="C269">
        <v>146.12290305299899</v>
      </c>
      <c r="D269">
        <v>-17.616216673099899</v>
      </c>
      <c r="F269" t="str">
        <f>HYPERLINK("D:\Data From Lucan\2024\Moresby\Frames_for_Analysis/266_20240611_0012_R_1031.jpg","266_20240611_0012_R_1031.jpg")</f>
        <v>266_20240611_0012_R_1031.jpg</v>
      </c>
      <c r="G269" s="92" t="s">
        <v>4188</v>
      </c>
      <c r="I269">
        <v>1</v>
      </c>
      <c r="K269" s="95">
        <v>1</v>
      </c>
      <c r="L269" s="31"/>
      <c r="M269" s="31"/>
      <c r="N269" s="31"/>
      <c r="O269" s="31"/>
      <c r="P269" s="4">
        <v>1</v>
      </c>
      <c r="Q269" s="57">
        <v>0</v>
      </c>
      <c r="R269" s="57">
        <v>0</v>
      </c>
      <c r="S269" s="97">
        <v>0</v>
      </c>
      <c r="T269" s="57">
        <v>0</v>
      </c>
      <c r="U269" s="57">
        <v>0</v>
      </c>
      <c r="V269" s="57">
        <v>0</v>
      </c>
      <c r="W269" s="57">
        <v>0</v>
      </c>
      <c r="X269" s="94">
        <v>0</v>
      </c>
    </row>
    <row r="270" spans="1:24" x14ac:dyDescent="0.35">
      <c r="A270">
        <v>266</v>
      </c>
      <c r="B270">
        <v>267</v>
      </c>
      <c r="C270">
        <v>146.122875864999</v>
      </c>
      <c r="D270">
        <v>-17.616296559999899</v>
      </c>
      <c r="F270" t="str">
        <f>HYPERLINK("D:\Data From Lucan\2024\Moresby\Frames_for_Analysis/267_20240611_0012_R_0970.jpg","267_20240611_0012_R_0970.jpg")</f>
        <v>267_20240611_0012_R_0970.jpg</v>
      </c>
      <c r="G270" s="92" t="s">
        <v>4189</v>
      </c>
      <c r="I270">
        <v>1</v>
      </c>
      <c r="K270" s="95">
        <v>1</v>
      </c>
      <c r="L270" s="31"/>
      <c r="M270" s="31"/>
      <c r="N270" s="31"/>
      <c r="O270" s="31"/>
      <c r="P270" s="4">
        <v>1</v>
      </c>
      <c r="Q270" s="57">
        <v>0</v>
      </c>
      <c r="R270" s="57">
        <v>0</v>
      </c>
      <c r="S270" s="97">
        <v>0</v>
      </c>
      <c r="T270" s="57">
        <v>0</v>
      </c>
      <c r="U270" s="57">
        <v>0</v>
      </c>
      <c r="V270" s="57">
        <v>0</v>
      </c>
      <c r="W270" s="57">
        <v>0</v>
      </c>
      <c r="X270" s="94">
        <v>0</v>
      </c>
    </row>
    <row r="271" spans="1:24" x14ac:dyDescent="0.35">
      <c r="A271">
        <v>267</v>
      </c>
      <c r="B271">
        <v>268</v>
      </c>
      <c r="C271">
        <v>146.122866987999</v>
      </c>
      <c r="D271">
        <v>-17.616381759700001</v>
      </c>
      <c r="F271" t="str">
        <f>HYPERLINK("D:\Data From Lucan\2024\Moresby\Frames_for_Analysis/268_20240611_0012_R_1093.jpg","268_20240611_0012_R_1093.jpg")</f>
        <v>268_20240611_0012_R_1093.jpg</v>
      </c>
      <c r="G271" s="92" t="s">
        <v>4190</v>
      </c>
      <c r="I271">
        <v>1</v>
      </c>
      <c r="K271" s="95">
        <v>1</v>
      </c>
      <c r="L271" s="31"/>
      <c r="M271" s="31"/>
      <c r="N271" s="31"/>
      <c r="O271" s="31"/>
      <c r="P271" s="4">
        <v>1</v>
      </c>
      <c r="Q271" s="57">
        <v>0</v>
      </c>
      <c r="R271" s="57">
        <v>0</v>
      </c>
      <c r="S271" s="97">
        <v>0</v>
      </c>
      <c r="T271" s="57">
        <v>0</v>
      </c>
      <c r="U271" s="57">
        <v>0</v>
      </c>
      <c r="V271" s="57">
        <v>0</v>
      </c>
      <c r="W271" s="57">
        <v>0</v>
      </c>
      <c r="X271" s="94">
        <v>0</v>
      </c>
    </row>
    <row r="272" spans="1:24" x14ac:dyDescent="0.35">
      <c r="A272">
        <v>268</v>
      </c>
      <c r="B272">
        <v>269</v>
      </c>
      <c r="C272">
        <v>146.122860223999</v>
      </c>
      <c r="D272">
        <v>-17.6164671308</v>
      </c>
      <c r="F272" t="str">
        <f>HYPERLINK("D:\Data From Lucan\2024\Moresby\Frames_for_Analysis/269_20240611_0012_R_1091.jpg","269_20240611_0012_R_1091.jpg")</f>
        <v>269_20240611_0012_R_1091.jpg</v>
      </c>
      <c r="G272" s="92" t="s">
        <v>4191</v>
      </c>
      <c r="I272">
        <v>1</v>
      </c>
      <c r="K272" s="95">
        <v>1</v>
      </c>
      <c r="L272" s="31"/>
      <c r="M272" s="31"/>
      <c r="N272" s="31"/>
      <c r="O272" s="31"/>
      <c r="P272" s="4">
        <v>1</v>
      </c>
      <c r="Q272" s="57">
        <v>0</v>
      </c>
      <c r="R272" s="57">
        <v>0</v>
      </c>
      <c r="S272" s="97">
        <v>0</v>
      </c>
      <c r="T272" s="57">
        <v>0</v>
      </c>
      <c r="U272" s="57">
        <v>0</v>
      </c>
      <c r="V272" s="57">
        <v>0</v>
      </c>
      <c r="W272" s="57">
        <v>0</v>
      </c>
      <c r="X272" s="94">
        <v>0</v>
      </c>
    </row>
    <row r="273" spans="1:24" x14ac:dyDescent="0.35">
      <c r="A273">
        <v>269</v>
      </c>
      <c r="B273">
        <v>270</v>
      </c>
      <c r="C273">
        <v>146.122832345999</v>
      </c>
      <c r="D273">
        <v>-17.616547236500001</v>
      </c>
      <c r="E273">
        <v>50</v>
      </c>
      <c r="F273" t="str">
        <f>HYPERLINK("D:\Data From Lucan\2024\Moresby\Frames_for_Analysis/270_20240611_0012_R_1078.jpg","270_20240611_0012_R_1078.jpg")</f>
        <v>270_20240611_0012_R_1078.jpg</v>
      </c>
      <c r="G273" s="92" t="s">
        <v>4192</v>
      </c>
      <c r="I273">
        <v>1</v>
      </c>
      <c r="K273" s="95">
        <v>1</v>
      </c>
      <c r="L273" s="31"/>
      <c r="M273" s="31"/>
      <c r="N273" s="31"/>
      <c r="O273" s="31"/>
      <c r="P273" s="4">
        <v>1</v>
      </c>
      <c r="Q273" s="57">
        <v>0</v>
      </c>
      <c r="R273" s="57">
        <v>0</v>
      </c>
      <c r="S273" s="97">
        <v>0</v>
      </c>
      <c r="T273" s="57">
        <v>0</v>
      </c>
      <c r="U273" s="57">
        <v>0</v>
      </c>
      <c r="V273" s="57">
        <v>0</v>
      </c>
      <c r="W273" s="57">
        <v>0</v>
      </c>
      <c r="X273" s="94">
        <v>0</v>
      </c>
    </row>
    <row r="274" spans="1:24" x14ac:dyDescent="0.35">
      <c r="A274">
        <v>270</v>
      </c>
      <c r="B274">
        <v>271</v>
      </c>
      <c r="C274">
        <v>146.12277487399899</v>
      </c>
      <c r="D274">
        <v>-17.6166098859999</v>
      </c>
      <c r="F274" t="str">
        <f>HYPERLINK("D:\Data From Lucan\2024\Moresby\Frames_for_Analysis/271_20240611_0012_R_1073.jpg","271_20240611_0012_R_1073.jpg")</f>
        <v>271_20240611_0012_R_1073.jpg</v>
      </c>
      <c r="G274" s="92" t="s">
        <v>4193</v>
      </c>
      <c r="I274">
        <v>1</v>
      </c>
      <c r="K274" s="95">
        <v>1</v>
      </c>
      <c r="L274" s="31"/>
      <c r="M274" s="31"/>
      <c r="N274" s="31"/>
      <c r="O274" s="31"/>
      <c r="P274" s="4">
        <v>1</v>
      </c>
      <c r="Q274" s="57">
        <v>0</v>
      </c>
      <c r="R274" s="57">
        <v>0</v>
      </c>
      <c r="S274" s="97">
        <v>0</v>
      </c>
      <c r="T274" s="57">
        <v>0</v>
      </c>
      <c r="U274" s="57">
        <v>0</v>
      </c>
      <c r="V274" s="57">
        <v>0</v>
      </c>
      <c r="W274" s="57">
        <v>0</v>
      </c>
      <c r="X274" s="94">
        <v>0</v>
      </c>
    </row>
    <row r="275" spans="1:24" x14ac:dyDescent="0.35">
      <c r="A275">
        <v>271</v>
      </c>
      <c r="B275">
        <v>272</v>
      </c>
      <c r="C275">
        <v>146.122702731</v>
      </c>
      <c r="D275">
        <v>-17.616660865499899</v>
      </c>
      <c r="F275" t="str">
        <f>HYPERLINK("D:\Data From Lucan\2024\Moresby\Frames_for_Analysis/272_20240611_0012_R_1072.jpg","272_20240611_0012_R_1072.jpg")</f>
        <v>272_20240611_0012_R_1072.jpg</v>
      </c>
      <c r="G275" s="92" t="s">
        <v>4194</v>
      </c>
      <c r="I275">
        <v>1</v>
      </c>
      <c r="K275" s="95">
        <v>1</v>
      </c>
      <c r="L275" s="31"/>
      <c r="M275" s="31"/>
      <c r="N275" s="31"/>
      <c r="O275" s="31"/>
      <c r="P275" s="4">
        <v>1</v>
      </c>
      <c r="Q275" s="57">
        <v>0</v>
      </c>
      <c r="R275" s="57">
        <v>0</v>
      </c>
      <c r="S275" s="97">
        <v>0</v>
      </c>
      <c r="T275" s="57">
        <v>0</v>
      </c>
      <c r="U275" s="57">
        <v>0</v>
      </c>
      <c r="V275" s="57">
        <v>0</v>
      </c>
      <c r="W275" s="57">
        <v>0</v>
      </c>
      <c r="X275" s="94">
        <v>0</v>
      </c>
    </row>
    <row r="276" spans="1:24" x14ac:dyDescent="0.35">
      <c r="A276">
        <v>272</v>
      </c>
      <c r="B276">
        <v>273</v>
      </c>
      <c r="C276">
        <v>146.12262889600001</v>
      </c>
      <c r="D276">
        <v>-17.6167096339999</v>
      </c>
      <c r="F276" t="str">
        <f>HYPERLINK("D:\Data From Lucan\2024\Moresby\Frames_for_Analysis/273_20240611_0012_R_1070.jpg","273_20240611_0012_R_1070.jpg")</f>
        <v>273_20240611_0012_R_1070.jpg</v>
      </c>
      <c r="G276" s="92" t="s">
        <v>4195</v>
      </c>
      <c r="I276">
        <v>1</v>
      </c>
      <c r="K276" s="95">
        <v>1</v>
      </c>
      <c r="L276" s="31"/>
      <c r="M276" s="31"/>
      <c r="N276" s="31"/>
      <c r="O276" s="31"/>
      <c r="P276" s="4">
        <v>1</v>
      </c>
      <c r="Q276" s="57">
        <v>0</v>
      </c>
      <c r="R276" s="57">
        <v>0</v>
      </c>
      <c r="S276" s="97">
        <v>0</v>
      </c>
      <c r="T276" s="57">
        <v>0</v>
      </c>
      <c r="U276" s="57">
        <v>0</v>
      </c>
      <c r="V276" s="57">
        <v>0</v>
      </c>
      <c r="W276" s="57">
        <v>0</v>
      </c>
      <c r="X276" s="94">
        <v>0</v>
      </c>
    </row>
    <row r="277" spans="1:24" x14ac:dyDescent="0.35">
      <c r="A277">
        <v>273</v>
      </c>
      <c r="B277">
        <v>274</v>
      </c>
      <c r="C277">
        <v>146.12255847700001</v>
      </c>
      <c r="D277">
        <v>-17.616761894900002</v>
      </c>
      <c r="F277" t="str">
        <f>HYPERLINK("D:\Data From Lucan\2024\Moresby\Frames_for_Analysis/274_20240611_0012_R_1033.jpg","274_20240611_0012_R_1033.jpg")</f>
        <v>274_20240611_0012_R_1033.jpg</v>
      </c>
      <c r="G277" s="92" t="s">
        <v>4196</v>
      </c>
      <c r="I277">
        <v>1</v>
      </c>
      <c r="K277" s="95">
        <v>1</v>
      </c>
      <c r="L277" s="31"/>
      <c r="M277" s="31"/>
      <c r="N277" s="31"/>
      <c r="O277" s="31"/>
      <c r="P277" s="4">
        <v>1</v>
      </c>
      <c r="Q277" s="57">
        <v>0</v>
      </c>
      <c r="R277" s="57">
        <v>0</v>
      </c>
      <c r="S277" s="97">
        <v>0</v>
      </c>
      <c r="T277" s="57">
        <v>0</v>
      </c>
      <c r="U277" s="57">
        <v>0</v>
      </c>
      <c r="V277" s="57">
        <v>0</v>
      </c>
      <c r="W277" s="57">
        <v>0</v>
      </c>
      <c r="X277" s="94">
        <v>0</v>
      </c>
    </row>
    <row r="278" spans="1:24" x14ac:dyDescent="0.35">
      <c r="A278">
        <v>274</v>
      </c>
      <c r="B278">
        <v>275</v>
      </c>
      <c r="C278">
        <v>146.122505988999</v>
      </c>
      <c r="D278">
        <v>-17.616830907200001</v>
      </c>
      <c r="E278">
        <v>50</v>
      </c>
      <c r="F278" t="str">
        <f>HYPERLINK("D:\Data From Lucan\2024\Moresby\Frames_for_Analysis/275_20240611_0012_R_0916.jpg","275_20240611_0012_R_0916.jpg")</f>
        <v>275_20240611_0012_R_0916.jpg</v>
      </c>
      <c r="G278" s="92" t="s">
        <v>4197</v>
      </c>
      <c r="I278">
        <v>1</v>
      </c>
      <c r="K278" s="95">
        <v>1</v>
      </c>
      <c r="L278" s="31"/>
      <c r="M278" s="31"/>
      <c r="N278" s="31"/>
      <c r="O278" s="31"/>
      <c r="P278" s="4">
        <v>1</v>
      </c>
      <c r="Q278" s="57">
        <v>0</v>
      </c>
      <c r="R278" s="57">
        <v>0</v>
      </c>
      <c r="S278" s="97">
        <v>0</v>
      </c>
      <c r="T278" s="57">
        <v>0</v>
      </c>
      <c r="U278" s="57">
        <v>0</v>
      </c>
      <c r="V278" s="57">
        <v>0</v>
      </c>
      <c r="W278" s="57">
        <v>0</v>
      </c>
      <c r="X278" s="94">
        <v>0</v>
      </c>
    </row>
    <row r="279" spans="1:24" x14ac:dyDescent="0.35">
      <c r="A279">
        <v>275</v>
      </c>
      <c r="B279">
        <v>276</v>
      </c>
      <c r="C279">
        <v>146.12246723600001</v>
      </c>
      <c r="D279">
        <v>-17.616908149099899</v>
      </c>
      <c r="F279" t="str">
        <f>HYPERLINK("D:\Data From Lucan\2024\Moresby\Frames_for_Analysis/276_20240611_0012_R_0902.jpg","276_20240611_0012_R_0902.jpg")</f>
        <v>276_20240611_0012_R_0902.jpg</v>
      </c>
      <c r="G279" s="92" t="s">
        <v>4198</v>
      </c>
      <c r="I279">
        <v>1</v>
      </c>
      <c r="K279" s="95">
        <v>1</v>
      </c>
      <c r="L279" s="31"/>
      <c r="M279" s="31"/>
      <c r="N279" s="31"/>
      <c r="O279" s="31"/>
      <c r="P279" s="4">
        <v>1</v>
      </c>
      <c r="Q279" s="57">
        <v>0</v>
      </c>
      <c r="R279" s="57">
        <v>0</v>
      </c>
      <c r="S279" s="97">
        <v>0</v>
      </c>
      <c r="T279" s="57">
        <v>0</v>
      </c>
      <c r="U279" s="57">
        <v>0</v>
      </c>
      <c r="V279" s="57">
        <v>0</v>
      </c>
      <c r="W279" s="57">
        <v>0</v>
      </c>
      <c r="X279" s="94">
        <v>0</v>
      </c>
    </row>
    <row r="280" spans="1:24" x14ac:dyDescent="0.35">
      <c r="A280">
        <v>276</v>
      </c>
      <c r="B280">
        <v>277</v>
      </c>
      <c r="C280">
        <v>146.12242292299899</v>
      </c>
      <c r="D280">
        <v>-17.616981845600002</v>
      </c>
      <c r="F280" t="str">
        <f>HYPERLINK("D:\Data From Lucan\2024\Moresby\Frames_for_Analysis/277_20240611_0012_R_1066.jpg","277_20240611_0012_R_1066.jpg")</f>
        <v>277_20240611_0012_R_1066.jpg</v>
      </c>
      <c r="G280" s="92" t="s">
        <v>4199</v>
      </c>
      <c r="I280">
        <v>1</v>
      </c>
      <c r="K280" s="95">
        <v>1</v>
      </c>
      <c r="L280" s="31"/>
      <c r="M280" s="31"/>
      <c r="N280" s="31"/>
      <c r="O280" s="31"/>
      <c r="P280" s="4">
        <v>1</v>
      </c>
      <c r="Q280" s="57">
        <v>0</v>
      </c>
      <c r="R280" s="57">
        <v>0</v>
      </c>
      <c r="S280" s="97">
        <v>0</v>
      </c>
      <c r="T280" s="57">
        <v>0</v>
      </c>
      <c r="U280" s="57">
        <v>0</v>
      </c>
      <c r="V280" s="57">
        <v>0</v>
      </c>
      <c r="W280" s="57">
        <v>0</v>
      </c>
      <c r="X280" s="94">
        <v>0</v>
      </c>
    </row>
    <row r="281" spans="1:24" x14ac:dyDescent="0.35">
      <c r="A281">
        <v>277</v>
      </c>
      <c r="B281">
        <v>278</v>
      </c>
      <c r="C281">
        <v>146.122355502</v>
      </c>
      <c r="D281">
        <v>-17.617035997599899</v>
      </c>
      <c r="F281" t="str">
        <f>HYPERLINK("D:\Data From Lucan\2024\Moresby\Frames_for_Analysis/278_20240611_0012_R_0907.jpg","278_20240611_0012_R_0907.jpg")</f>
        <v>278_20240611_0012_R_0907.jpg</v>
      </c>
      <c r="G281" s="92" t="s">
        <v>4200</v>
      </c>
      <c r="I281">
        <v>1</v>
      </c>
      <c r="K281" s="95">
        <v>1</v>
      </c>
      <c r="L281" s="31"/>
      <c r="M281" s="31"/>
      <c r="N281" s="31"/>
      <c r="O281" s="31"/>
      <c r="P281" s="4">
        <v>1</v>
      </c>
      <c r="Q281" s="57">
        <v>0</v>
      </c>
      <c r="R281" s="57">
        <v>0</v>
      </c>
      <c r="S281" s="97">
        <v>0</v>
      </c>
      <c r="T281" s="57">
        <v>0</v>
      </c>
      <c r="U281" s="57">
        <v>0</v>
      </c>
      <c r="V281" s="57">
        <v>0</v>
      </c>
      <c r="W281" s="57">
        <v>0</v>
      </c>
      <c r="X281" s="94">
        <v>0</v>
      </c>
    </row>
    <row r="282" spans="1:24" x14ac:dyDescent="0.35">
      <c r="A282">
        <v>278</v>
      </c>
      <c r="B282">
        <v>279</v>
      </c>
      <c r="C282">
        <v>146.122275776999</v>
      </c>
      <c r="D282">
        <v>-17.6170749158</v>
      </c>
      <c r="F282" t="str">
        <f>HYPERLINK("D:\Data From Lucan\2024\Moresby\Frames_for_Analysis/279_20240611_0012_R_0901.jpg","279_20240611_0012_R_0901.jpg")</f>
        <v>279_20240611_0012_R_0901.jpg</v>
      </c>
      <c r="G282" s="92" t="s">
        <v>4201</v>
      </c>
      <c r="I282">
        <v>1</v>
      </c>
      <c r="K282" s="95">
        <v>1</v>
      </c>
      <c r="L282" s="31"/>
      <c r="M282" s="31"/>
      <c r="N282" s="31"/>
      <c r="O282" s="31"/>
      <c r="P282" s="4">
        <v>1</v>
      </c>
      <c r="Q282" s="57">
        <v>0</v>
      </c>
      <c r="R282" s="57">
        <v>0</v>
      </c>
      <c r="S282" s="97">
        <v>0</v>
      </c>
      <c r="T282" s="57">
        <v>0</v>
      </c>
      <c r="U282" s="57">
        <v>0</v>
      </c>
      <c r="V282" s="57">
        <v>0</v>
      </c>
      <c r="W282" s="57">
        <v>0</v>
      </c>
      <c r="X282" s="94">
        <v>0</v>
      </c>
    </row>
    <row r="283" spans="1:24" x14ac:dyDescent="0.35">
      <c r="A283">
        <v>279</v>
      </c>
      <c r="B283">
        <v>280</v>
      </c>
      <c r="C283">
        <v>146.122201942999</v>
      </c>
      <c r="D283">
        <v>-17.617123684500001</v>
      </c>
      <c r="E283">
        <v>50</v>
      </c>
      <c r="F283" t="str">
        <f>HYPERLINK("D:\Data From Lucan\2024\Moresby\Frames_for_Analysis/280_20240611_0012_R_1035.jpg","280_20240611_0012_R_1035.jpg")</f>
        <v>280_20240611_0012_R_1035.jpg</v>
      </c>
      <c r="G283" s="92" t="s">
        <v>4202</v>
      </c>
      <c r="I283">
        <v>1</v>
      </c>
      <c r="K283" s="95">
        <v>1</v>
      </c>
      <c r="L283" s="31"/>
      <c r="M283" s="31"/>
      <c r="N283" s="31"/>
      <c r="O283" s="31"/>
      <c r="P283" s="4">
        <v>1</v>
      </c>
      <c r="Q283" s="57">
        <v>0</v>
      </c>
      <c r="R283" s="57">
        <v>0</v>
      </c>
      <c r="S283" s="97">
        <v>0</v>
      </c>
      <c r="T283" s="57">
        <v>0</v>
      </c>
      <c r="U283" s="57">
        <v>0</v>
      </c>
      <c r="V283" s="57">
        <v>0</v>
      </c>
      <c r="W283" s="57">
        <v>0</v>
      </c>
      <c r="X283" s="94">
        <v>0</v>
      </c>
    </row>
    <row r="284" spans="1:24" x14ac:dyDescent="0.35">
      <c r="A284">
        <v>280</v>
      </c>
      <c r="B284">
        <v>281</v>
      </c>
      <c r="C284">
        <v>146.12212825500001</v>
      </c>
      <c r="D284">
        <v>-17.617172648099899</v>
      </c>
      <c r="F284" t="str">
        <f>HYPERLINK("D:\Data From Lucan\2024\Moresby\Frames_for_Analysis/281_20240611_0012_R_0906.jpg","281_20240611_0012_R_0906.jpg")</f>
        <v>281_20240611_0012_R_0906.jpg</v>
      </c>
      <c r="G284" s="92" t="s">
        <v>4203</v>
      </c>
      <c r="I284">
        <v>1</v>
      </c>
      <c r="K284" s="95">
        <v>1</v>
      </c>
      <c r="L284" s="31"/>
      <c r="M284" s="31"/>
      <c r="N284" s="31"/>
      <c r="O284" s="31"/>
      <c r="P284" s="4">
        <v>1</v>
      </c>
      <c r="Q284" s="57">
        <v>0</v>
      </c>
      <c r="R284" s="57">
        <v>0</v>
      </c>
      <c r="S284" s="97">
        <v>0</v>
      </c>
      <c r="T284" s="57">
        <v>0</v>
      </c>
      <c r="U284" s="57">
        <v>0</v>
      </c>
      <c r="V284" s="57">
        <v>0</v>
      </c>
      <c r="W284" s="57">
        <v>0</v>
      </c>
      <c r="X284" s="94">
        <v>0</v>
      </c>
    </row>
    <row r="285" spans="1:24" x14ac:dyDescent="0.35">
      <c r="A285">
        <v>281</v>
      </c>
      <c r="B285">
        <v>282</v>
      </c>
      <c r="C285">
        <v>146.122055789999</v>
      </c>
      <c r="D285">
        <v>-17.617223247999899</v>
      </c>
      <c r="F285" t="str">
        <f>HYPERLINK("D:\Data From Lucan\2024\Moresby\Frames_for_Analysis/282_20240611_0012_R_1061.jpg","282_20240611_0012_R_1061.jpg")</f>
        <v>282_20240611_0012_R_1061.jpg</v>
      </c>
      <c r="G285" s="92" t="s">
        <v>4204</v>
      </c>
      <c r="I285">
        <v>1</v>
      </c>
      <c r="K285" s="95">
        <v>1</v>
      </c>
      <c r="L285" s="31"/>
      <c r="M285" s="31"/>
      <c r="N285" s="31"/>
      <c r="O285" s="31"/>
      <c r="P285" s="4">
        <v>1</v>
      </c>
      <c r="Q285" s="57">
        <v>0</v>
      </c>
      <c r="R285" s="57">
        <v>0</v>
      </c>
      <c r="S285" s="97">
        <v>0</v>
      </c>
      <c r="T285" s="57">
        <v>0</v>
      </c>
      <c r="U285" s="57">
        <v>0</v>
      </c>
      <c r="V285" s="57">
        <v>0</v>
      </c>
      <c r="W285" s="57">
        <v>0</v>
      </c>
      <c r="X285" s="94">
        <v>0</v>
      </c>
    </row>
    <row r="286" spans="1:24" x14ac:dyDescent="0.35">
      <c r="A286">
        <v>282</v>
      </c>
      <c r="B286">
        <v>283</v>
      </c>
      <c r="C286">
        <v>146.121983325</v>
      </c>
      <c r="D286">
        <v>-17.6172738478</v>
      </c>
      <c r="F286" t="str">
        <f>HYPERLINK("D:\Data From Lucan\2024\Moresby\Frames_for_Analysis/283_20240611_0012_R_0918.jpg","283_20240611_0012_R_0918.jpg")</f>
        <v>283_20240611_0012_R_0918.jpg</v>
      </c>
      <c r="G286" s="92" t="s">
        <v>4205</v>
      </c>
      <c r="I286">
        <v>1</v>
      </c>
      <c r="K286" s="95">
        <v>1</v>
      </c>
      <c r="L286" s="31"/>
      <c r="M286" s="31"/>
      <c r="N286" s="31"/>
      <c r="O286" s="31"/>
      <c r="P286" s="4">
        <v>1</v>
      </c>
      <c r="Q286" s="57">
        <v>0</v>
      </c>
      <c r="R286" s="57">
        <v>0</v>
      </c>
      <c r="S286" s="97">
        <v>0</v>
      </c>
      <c r="T286" s="57">
        <v>0</v>
      </c>
      <c r="U286" s="57">
        <v>0</v>
      </c>
      <c r="V286" s="57">
        <v>0</v>
      </c>
      <c r="W286" s="57">
        <v>0</v>
      </c>
      <c r="X286" s="94">
        <v>0</v>
      </c>
    </row>
    <row r="287" spans="1:24" x14ac:dyDescent="0.35">
      <c r="A287">
        <v>283</v>
      </c>
      <c r="B287">
        <v>284</v>
      </c>
      <c r="C287">
        <v>146.12191086000001</v>
      </c>
      <c r="D287">
        <v>-17.617324447600001</v>
      </c>
      <c r="F287" t="str">
        <f>HYPERLINK("D:\Data From Lucan\2024\Moresby\Frames_for_Analysis/284_20240611_0012_R_1059.jpg","284_20240611_0012_R_1059.jpg")</f>
        <v>284_20240611_0012_R_1059.jpg</v>
      </c>
      <c r="G287" s="92" t="s">
        <v>4206</v>
      </c>
      <c r="I287">
        <v>1</v>
      </c>
      <c r="K287" s="95">
        <v>1</v>
      </c>
      <c r="L287" s="31"/>
      <c r="M287" s="31"/>
      <c r="N287" s="31"/>
      <c r="O287" s="31"/>
      <c r="P287" s="4">
        <v>1</v>
      </c>
      <c r="Q287" s="57">
        <v>0</v>
      </c>
      <c r="R287" s="57">
        <v>0</v>
      </c>
      <c r="S287" s="97">
        <v>0</v>
      </c>
      <c r="T287" s="57">
        <v>0</v>
      </c>
      <c r="U287" s="57">
        <v>0</v>
      </c>
      <c r="V287" s="57">
        <v>0</v>
      </c>
      <c r="W287" s="57">
        <v>0</v>
      </c>
      <c r="X287" s="94">
        <v>0</v>
      </c>
    </row>
    <row r="288" spans="1:24" x14ac:dyDescent="0.35">
      <c r="A288">
        <v>284</v>
      </c>
      <c r="B288">
        <v>285</v>
      </c>
      <c r="C288">
        <v>146.12184136100001</v>
      </c>
      <c r="D288">
        <v>-17.617378670200001</v>
      </c>
      <c r="E288">
        <v>50</v>
      </c>
      <c r="F288" t="str">
        <f>HYPERLINK("D:\Data From Lucan\2024\Moresby\Frames_for_Analysis/285_20240611_0012_R_0967.jpg","285_20240611_0012_R_0967.jpg")</f>
        <v>285_20240611_0012_R_0967.jpg</v>
      </c>
      <c r="G288" s="92" t="s">
        <v>4207</v>
      </c>
      <c r="I288">
        <v>1</v>
      </c>
      <c r="K288" s="95">
        <v>1</v>
      </c>
      <c r="L288" s="31"/>
      <c r="M288" s="31"/>
      <c r="N288" s="31"/>
      <c r="O288" s="31"/>
      <c r="P288" s="4">
        <v>1</v>
      </c>
      <c r="Q288" s="57">
        <v>0</v>
      </c>
      <c r="R288" s="57">
        <v>0</v>
      </c>
      <c r="S288" s="97">
        <v>0</v>
      </c>
      <c r="T288" s="57">
        <v>0</v>
      </c>
      <c r="U288" s="57">
        <v>0</v>
      </c>
      <c r="V288" s="57">
        <v>0</v>
      </c>
      <c r="W288" s="57">
        <v>0</v>
      </c>
      <c r="X288" s="94">
        <v>0</v>
      </c>
    </row>
    <row r="289" spans="1:24" x14ac:dyDescent="0.35">
      <c r="A289">
        <v>285</v>
      </c>
      <c r="B289">
        <v>286</v>
      </c>
      <c r="C289">
        <v>146.12177225600001</v>
      </c>
      <c r="D289">
        <v>-17.6174333736999</v>
      </c>
      <c r="F289" t="str">
        <f>HYPERLINK("D:\Data From Lucan\2024\Moresby\Frames_for_Analysis/286_20240611_0012_R_1042.jpg","286_20240611_0012_R_1042.jpg")</f>
        <v>286_20240611_0012_R_1042.jpg</v>
      </c>
      <c r="G289" s="92" t="s">
        <v>4208</v>
      </c>
      <c r="I289">
        <v>1</v>
      </c>
      <c r="K289" s="95">
        <v>1</v>
      </c>
      <c r="L289" s="31"/>
      <c r="M289" s="31"/>
      <c r="N289" s="31"/>
      <c r="O289" s="31"/>
      <c r="P289" s="4">
        <v>1</v>
      </c>
      <c r="Q289" s="57">
        <v>0</v>
      </c>
      <c r="R289" s="57">
        <v>0</v>
      </c>
      <c r="S289" s="97">
        <v>0</v>
      </c>
      <c r="T289" s="57">
        <v>0</v>
      </c>
      <c r="U289" s="57">
        <v>0</v>
      </c>
      <c r="V289" s="57">
        <v>0</v>
      </c>
      <c r="W289" s="57">
        <v>0</v>
      </c>
      <c r="X289" s="94">
        <v>0</v>
      </c>
    </row>
    <row r="290" spans="1:24" x14ac:dyDescent="0.35">
      <c r="A290">
        <v>286</v>
      </c>
      <c r="B290">
        <v>287</v>
      </c>
      <c r="C290">
        <v>146.12170440899899</v>
      </c>
      <c r="D290">
        <v>-17.6174894585</v>
      </c>
      <c r="F290" t="str">
        <f>HYPERLINK("D:\Data From Lucan\2024\Moresby\Frames_for_Analysis/287_20240611_0012_R_1056.jpg","287_20240611_0012_R_1056.jpg")</f>
        <v>287_20240611_0012_R_1056.jpg</v>
      </c>
      <c r="G290" s="92" t="s">
        <v>4209</v>
      </c>
      <c r="I290">
        <v>1</v>
      </c>
      <c r="K290" s="95">
        <v>1</v>
      </c>
      <c r="L290" s="31"/>
      <c r="M290" s="31"/>
      <c r="N290" s="31"/>
      <c r="O290" s="31"/>
      <c r="P290" s="4">
        <v>1</v>
      </c>
      <c r="Q290" s="57">
        <v>0</v>
      </c>
      <c r="R290" s="57">
        <v>0</v>
      </c>
      <c r="S290" s="97">
        <v>0</v>
      </c>
      <c r="T290" s="57">
        <v>0</v>
      </c>
      <c r="U290" s="57">
        <v>0</v>
      </c>
      <c r="V290" s="57">
        <v>0</v>
      </c>
      <c r="W290" s="57">
        <v>0</v>
      </c>
      <c r="X290" s="94">
        <v>0</v>
      </c>
    </row>
    <row r="291" spans="1:24" x14ac:dyDescent="0.35">
      <c r="A291">
        <v>287</v>
      </c>
      <c r="B291">
        <v>288</v>
      </c>
      <c r="C291">
        <v>146.12163286000001</v>
      </c>
      <c r="D291">
        <v>-17.6175399912999</v>
      </c>
      <c r="F291" t="str">
        <f>HYPERLINK("D:\Data From Lucan\2024\Moresby\Frames_for_Analysis/288_20240611_0012_R_1047.jpg","288_20240611_0012_R_1047.jpg")</f>
        <v>288_20240611_0012_R_1047.jpg</v>
      </c>
      <c r="G291" s="92" t="s">
        <v>4210</v>
      </c>
      <c r="I291">
        <v>1</v>
      </c>
      <c r="K291" s="95">
        <v>1</v>
      </c>
      <c r="L291" s="31"/>
      <c r="M291" s="31"/>
      <c r="N291" s="31"/>
      <c r="O291" s="31"/>
      <c r="P291" s="4">
        <v>1</v>
      </c>
      <c r="Q291" s="57">
        <v>0</v>
      </c>
      <c r="R291" s="57">
        <v>0</v>
      </c>
      <c r="S291" s="97">
        <v>0</v>
      </c>
      <c r="T291" s="57">
        <v>0</v>
      </c>
      <c r="U291" s="57">
        <v>0</v>
      </c>
      <c r="V291" s="57">
        <v>0</v>
      </c>
      <c r="W291" s="57">
        <v>0</v>
      </c>
      <c r="X291" s="94">
        <v>0</v>
      </c>
    </row>
    <row r="292" spans="1:24" x14ac:dyDescent="0.35">
      <c r="A292">
        <v>288</v>
      </c>
      <c r="B292">
        <v>289</v>
      </c>
      <c r="C292">
        <v>146.121549498999</v>
      </c>
      <c r="D292">
        <v>-17.617561821900001</v>
      </c>
      <c r="F292" t="str">
        <f>HYPERLINK("D:\Data From Lucan\2024\Moresby\Frames_for_Analysis/289_20240611_0012_R_1046.jpg","289_20240611_0012_R_1046.jpg")</f>
        <v>289_20240611_0012_R_1046.jpg</v>
      </c>
      <c r="G292" s="92" t="s">
        <v>4211</v>
      </c>
      <c r="I292">
        <v>1</v>
      </c>
      <c r="K292" s="95">
        <v>1</v>
      </c>
      <c r="L292" s="31"/>
      <c r="M292" s="31"/>
      <c r="N292" s="31"/>
      <c r="O292" s="31"/>
      <c r="P292" s="4">
        <v>1</v>
      </c>
      <c r="Q292" s="57">
        <v>0</v>
      </c>
      <c r="R292" s="57">
        <v>0</v>
      </c>
      <c r="S292" s="97">
        <v>0</v>
      </c>
      <c r="T292" s="57">
        <v>0</v>
      </c>
      <c r="U292" s="57">
        <v>0</v>
      </c>
      <c r="V292" s="57">
        <v>0</v>
      </c>
      <c r="W292" s="57">
        <v>0</v>
      </c>
      <c r="X292" s="94">
        <v>0</v>
      </c>
    </row>
    <row r="293" spans="1:24" x14ac:dyDescent="0.35">
      <c r="A293">
        <v>289</v>
      </c>
      <c r="B293">
        <v>290</v>
      </c>
      <c r="C293">
        <v>146.12146032000001</v>
      </c>
      <c r="D293">
        <v>-17.617551666600001</v>
      </c>
      <c r="E293">
        <v>50</v>
      </c>
      <c r="F293" t="str">
        <f>HYPERLINK("D:\Data From Lucan\2024\Moresby\Frames_for_Analysis/290_20240611_0012_R_1053.jpg","290_20240611_0012_R_1053.jpg")</f>
        <v>290_20240611_0012_R_1053.jpg</v>
      </c>
      <c r="G293" s="92" t="s">
        <v>4212</v>
      </c>
      <c r="I293">
        <v>1</v>
      </c>
      <c r="K293" s="95">
        <v>1</v>
      </c>
      <c r="L293" s="31"/>
      <c r="M293" s="31"/>
      <c r="N293" s="31"/>
      <c r="O293" s="31"/>
      <c r="P293" s="4">
        <v>1</v>
      </c>
      <c r="Q293" s="57">
        <v>0</v>
      </c>
      <c r="R293" s="57">
        <v>0</v>
      </c>
      <c r="S293" s="97">
        <v>0</v>
      </c>
      <c r="T293" s="57">
        <v>0</v>
      </c>
      <c r="U293" s="57">
        <v>0</v>
      </c>
      <c r="V293" s="57">
        <v>0</v>
      </c>
      <c r="W293" s="57">
        <v>0</v>
      </c>
      <c r="X293" s="94">
        <v>0</v>
      </c>
    </row>
    <row r="294" spans="1:24" x14ac:dyDescent="0.35">
      <c r="A294">
        <v>290</v>
      </c>
      <c r="B294">
        <v>291</v>
      </c>
      <c r="C294">
        <v>146.12137048899899</v>
      </c>
      <c r="D294">
        <v>-17.617551267500001</v>
      </c>
      <c r="F294" t="str">
        <f>HYPERLINK("D:\Data From Lucan\2024\Moresby\Frames_for_Analysis/291_20240611_0012_R_1051.jpg","291_20240611_0012_R_1051.jpg")</f>
        <v>291_20240611_0012_R_1051.jpg</v>
      </c>
      <c r="G294" s="92" t="s">
        <v>4213</v>
      </c>
      <c r="I294">
        <v>1</v>
      </c>
      <c r="K294" s="95">
        <v>1</v>
      </c>
      <c r="L294" s="31"/>
      <c r="M294" s="31"/>
      <c r="N294" s="31"/>
      <c r="O294" s="31"/>
      <c r="P294" s="4">
        <v>1</v>
      </c>
      <c r="Q294" s="57">
        <v>0</v>
      </c>
      <c r="R294" s="57">
        <v>0</v>
      </c>
      <c r="S294" s="97">
        <v>0</v>
      </c>
      <c r="T294" s="57">
        <v>0</v>
      </c>
      <c r="U294" s="57">
        <v>0</v>
      </c>
      <c r="V294" s="57">
        <v>0</v>
      </c>
      <c r="W294" s="57">
        <v>0</v>
      </c>
      <c r="X294" s="94">
        <v>0</v>
      </c>
    </row>
    <row r="295" spans="1:24" x14ac:dyDescent="0.35">
      <c r="A295">
        <v>291</v>
      </c>
      <c r="B295">
        <v>292</v>
      </c>
      <c r="C295">
        <v>146.121282898999</v>
      </c>
      <c r="D295">
        <v>-17.617560817800001</v>
      </c>
      <c r="G295" s="92"/>
      <c r="I295">
        <v>1</v>
      </c>
      <c r="J295" t="s">
        <v>26</v>
      </c>
      <c r="K295" s="95" t="s">
        <v>26</v>
      </c>
      <c r="L295" s="31"/>
      <c r="M295" s="31"/>
      <c r="N295" s="31"/>
      <c r="O295" s="31"/>
      <c r="P295" s="4"/>
      <c r="X295" s="94"/>
    </row>
    <row r="296" spans="1:24" x14ac:dyDescent="0.35">
      <c r="A296">
        <v>292</v>
      </c>
      <c r="B296">
        <v>293</v>
      </c>
      <c r="C296">
        <v>146.12120114800001</v>
      </c>
      <c r="D296">
        <v>-17.617596308300001</v>
      </c>
      <c r="F296" t="str">
        <f>HYPERLINK("D:\Data From Lucan\2024\Moresby\Frames_for_Analysis/293_20240611_0012_R_0965.jpg","293_20240611_0012_R_0965.jpg")</f>
        <v>293_20240611_0012_R_0965.jpg</v>
      </c>
      <c r="G296" s="92" t="s">
        <v>4214</v>
      </c>
      <c r="I296">
        <v>1</v>
      </c>
      <c r="K296" s="95">
        <v>1</v>
      </c>
      <c r="L296" s="31"/>
      <c r="M296" s="31"/>
      <c r="N296" s="31"/>
      <c r="O296" s="31"/>
      <c r="P296" s="4">
        <v>1</v>
      </c>
      <c r="Q296" s="57">
        <v>0</v>
      </c>
      <c r="R296" s="57">
        <v>0</v>
      </c>
      <c r="S296" s="97">
        <v>0</v>
      </c>
      <c r="T296" s="57">
        <v>0</v>
      </c>
      <c r="U296" s="57">
        <v>0</v>
      </c>
      <c r="V296" s="57">
        <v>0</v>
      </c>
      <c r="W296" s="57">
        <v>0</v>
      </c>
      <c r="X296" s="94">
        <v>0</v>
      </c>
    </row>
    <row r="297" spans="1:24" x14ac:dyDescent="0.35">
      <c r="A297">
        <v>293</v>
      </c>
      <c r="B297">
        <v>294</v>
      </c>
      <c r="C297">
        <v>146.121118940999</v>
      </c>
      <c r="D297">
        <v>-17.617630774999899</v>
      </c>
      <c r="G297" s="92"/>
      <c r="I297">
        <v>1</v>
      </c>
      <c r="J297" t="s">
        <v>26</v>
      </c>
      <c r="K297" s="95" t="s">
        <v>26</v>
      </c>
      <c r="L297" s="31"/>
      <c r="M297" s="31"/>
      <c r="N297" s="31"/>
      <c r="O297" s="31"/>
      <c r="P297" s="4"/>
      <c r="X297" s="94"/>
    </row>
    <row r="298" spans="1:24" x14ac:dyDescent="0.35">
      <c r="A298">
        <v>294</v>
      </c>
      <c r="B298">
        <v>295</v>
      </c>
      <c r="C298">
        <v>146.12103294900001</v>
      </c>
      <c r="D298">
        <v>-17.6176438205</v>
      </c>
      <c r="E298">
        <v>50</v>
      </c>
      <c r="F298" t="str">
        <f>HYPERLINK("D:\Data From Lucan\2024\Moresby\Frames_for_Analysis/295_20240611_0012_R_0921.jpg","295_20240611_0012_R_0921.jpg")</f>
        <v>295_20240611_0012_R_0921.jpg</v>
      </c>
      <c r="G298" s="92" t="s">
        <v>4215</v>
      </c>
      <c r="I298">
        <v>1</v>
      </c>
      <c r="K298" s="95">
        <v>1</v>
      </c>
      <c r="L298" s="31"/>
      <c r="M298" s="31"/>
      <c r="N298" s="31"/>
      <c r="O298" s="31"/>
      <c r="P298" s="4">
        <v>1</v>
      </c>
      <c r="Q298" s="57">
        <v>0</v>
      </c>
      <c r="R298" s="57">
        <v>0</v>
      </c>
      <c r="S298" s="97">
        <v>0</v>
      </c>
      <c r="T298" s="57">
        <v>0</v>
      </c>
      <c r="U298" s="57">
        <v>0</v>
      </c>
      <c r="V298" s="57">
        <v>0</v>
      </c>
      <c r="W298" s="57">
        <v>0</v>
      </c>
      <c r="X298" s="94">
        <v>0</v>
      </c>
    </row>
    <row r="299" spans="1:24" x14ac:dyDescent="0.35">
      <c r="A299">
        <v>295</v>
      </c>
      <c r="B299">
        <v>296</v>
      </c>
      <c r="C299">
        <v>146.12094388899899</v>
      </c>
      <c r="D299">
        <v>-17.617636828399899</v>
      </c>
      <c r="G299" s="92"/>
      <c r="I299">
        <v>1</v>
      </c>
      <c r="J299" t="s">
        <v>26</v>
      </c>
      <c r="K299" s="95" t="s">
        <v>26</v>
      </c>
      <c r="L299" s="31"/>
      <c r="M299" s="31"/>
      <c r="N299" s="31"/>
      <c r="O299" s="31"/>
      <c r="P299" s="4"/>
      <c r="X299" s="94"/>
    </row>
    <row r="300" spans="1:24" x14ac:dyDescent="0.35">
      <c r="A300">
        <v>296</v>
      </c>
      <c r="B300">
        <v>297</v>
      </c>
      <c r="C300">
        <v>146.120855449</v>
      </c>
      <c r="D300">
        <v>-17.617651841400001</v>
      </c>
      <c r="F300" t="str">
        <f>HYPERLINK("D:\Data From Lucan\2024\Moresby\Frames_for_Analysis/297_20240611_0012_R_0964.jpg","297_20240611_0012_R_0964.jpg")</f>
        <v>297_20240611_0012_R_0964.jpg</v>
      </c>
      <c r="G300" s="92" t="s">
        <v>4216</v>
      </c>
      <c r="I300">
        <v>1</v>
      </c>
      <c r="K300" s="95">
        <v>1</v>
      </c>
      <c r="L300" s="31"/>
      <c r="M300" s="31"/>
      <c r="N300" s="31"/>
      <c r="O300" s="31"/>
      <c r="P300" s="4">
        <v>1</v>
      </c>
      <c r="Q300" s="57">
        <v>0</v>
      </c>
      <c r="R300" s="57">
        <v>0</v>
      </c>
      <c r="S300" s="97">
        <v>0</v>
      </c>
      <c r="T300" s="57">
        <v>0</v>
      </c>
      <c r="U300" s="57">
        <v>0</v>
      </c>
      <c r="V300" s="57">
        <v>0</v>
      </c>
      <c r="W300" s="57">
        <v>0</v>
      </c>
      <c r="X300" s="94">
        <v>0</v>
      </c>
    </row>
    <row r="301" spans="1:24" x14ac:dyDescent="0.35">
      <c r="A301">
        <v>297</v>
      </c>
      <c r="B301">
        <v>298</v>
      </c>
      <c r="C301">
        <v>146.12076811700001</v>
      </c>
      <c r="D301">
        <v>-17.617671221799899</v>
      </c>
      <c r="G301" s="92"/>
      <c r="I301">
        <v>1</v>
      </c>
      <c r="J301" t="s">
        <v>26</v>
      </c>
      <c r="K301" s="95" t="s">
        <v>26</v>
      </c>
      <c r="L301" s="31"/>
      <c r="M301" s="31"/>
      <c r="N301" s="31"/>
      <c r="O301" s="31"/>
      <c r="P301" s="4"/>
      <c r="X301" s="94"/>
    </row>
    <row r="302" spans="1:24" x14ac:dyDescent="0.35">
      <c r="A302">
        <v>298</v>
      </c>
      <c r="B302">
        <v>299</v>
      </c>
      <c r="C302">
        <v>146.120682243999</v>
      </c>
      <c r="D302">
        <v>-17.6176963588</v>
      </c>
      <c r="G302" s="92"/>
      <c r="I302">
        <v>1</v>
      </c>
      <c r="J302" t="s">
        <v>26</v>
      </c>
      <c r="K302" s="95" t="s">
        <v>26</v>
      </c>
      <c r="L302" s="31"/>
      <c r="M302" s="31"/>
      <c r="N302" s="31"/>
      <c r="O302" s="31"/>
      <c r="P302" s="4"/>
      <c r="X302" s="94"/>
    </row>
    <row r="303" spans="1:24" x14ac:dyDescent="0.35">
      <c r="A303">
        <v>299</v>
      </c>
      <c r="B303">
        <v>300</v>
      </c>
      <c r="C303">
        <v>146.120595965999</v>
      </c>
      <c r="D303">
        <v>-17.617717598999899</v>
      </c>
      <c r="E303">
        <v>50</v>
      </c>
      <c r="G303" s="92"/>
      <c r="I303">
        <v>1</v>
      </c>
      <c r="J303" t="s">
        <v>26</v>
      </c>
      <c r="K303" s="95" t="s">
        <v>26</v>
      </c>
      <c r="L303" s="31"/>
      <c r="M303" s="31"/>
      <c r="N303" s="31"/>
      <c r="O303" s="31"/>
      <c r="P303" s="4"/>
      <c r="X303" s="94"/>
    </row>
    <row r="304" spans="1:24" x14ac:dyDescent="0.35">
      <c r="A304">
        <v>300</v>
      </c>
      <c r="B304">
        <v>301</v>
      </c>
      <c r="C304">
        <v>146.12050658499899</v>
      </c>
      <c r="D304">
        <v>-17.617709034099899</v>
      </c>
      <c r="G304" s="92"/>
      <c r="I304">
        <v>1</v>
      </c>
      <c r="J304" t="s">
        <v>26</v>
      </c>
      <c r="K304" s="95" t="s">
        <v>26</v>
      </c>
      <c r="L304" s="31"/>
      <c r="M304" s="31"/>
      <c r="N304" s="31"/>
      <c r="O304" s="31"/>
      <c r="P304" s="4"/>
      <c r="X304" s="94"/>
    </row>
    <row r="305" spans="1:24" x14ac:dyDescent="0.35">
      <c r="A305">
        <v>301</v>
      </c>
      <c r="B305">
        <v>302</v>
      </c>
      <c r="C305">
        <v>146.12041703899899</v>
      </c>
      <c r="D305">
        <v>-17.617707107400001</v>
      </c>
      <c r="G305" s="92"/>
      <c r="I305">
        <v>1</v>
      </c>
      <c r="J305" t="s">
        <v>26</v>
      </c>
      <c r="K305" s="95" t="s">
        <v>26</v>
      </c>
      <c r="L305" s="31"/>
      <c r="M305" s="31"/>
      <c r="N305" s="31"/>
      <c r="O305" s="31"/>
      <c r="P305" s="4"/>
      <c r="X305" s="94"/>
    </row>
    <row r="306" spans="1:24" x14ac:dyDescent="0.35">
      <c r="A306">
        <v>302</v>
      </c>
      <c r="B306">
        <v>303</v>
      </c>
      <c r="C306">
        <v>146.12032733199899</v>
      </c>
      <c r="D306">
        <v>-17.6177116217</v>
      </c>
      <c r="G306" s="92"/>
      <c r="I306">
        <v>1</v>
      </c>
      <c r="J306" t="s">
        <v>26</v>
      </c>
      <c r="K306" s="95" t="s">
        <v>26</v>
      </c>
      <c r="L306" s="31"/>
      <c r="M306" s="31"/>
      <c r="N306" s="31"/>
      <c r="O306" s="31"/>
      <c r="P306" s="4"/>
      <c r="X306" s="94"/>
    </row>
    <row r="307" spans="1:24" x14ac:dyDescent="0.35">
      <c r="A307">
        <v>303</v>
      </c>
      <c r="B307">
        <v>304</v>
      </c>
      <c r="C307">
        <v>146.12023762600001</v>
      </c>
      <c r="D307">
        <v>-17.6177161359</v>
      </c>
      <c r="G307" s="92"/>
      <c r="I307">
        <v>1</v>
      </c>
      <c r="J307" t="s">
        <v>26</v>
      </c>
      <c r="K307" s="95" t="s">
        <v>26</v>
      </c>
      <c r="L307" s="31"/>
      <c r="M307" s="31"/>
      <c r="N307" s="31"/>
      <c r="O307" s="31"/>
      <c r="P307" s="4"/>
      <c r="X307" s="94"/>
    </row>
    <row r="308" spans="1:24" x14ac:dyDescent="0.35">
      <c r="A308">
        <v>304</v>
      </c>
      <c r="B308">
        <v>305</v>
      </c>
      <c r="C308">
        <v>146.12014798300001</v>
      </c>
      <c r="D308">
        <v>-17.617721672399899</v>
      </c>
      <c r="E308">
        <v>50</v>
      </c>
      <c r="G308" s="92"/>
      <c r="I308">
        <v>1</v>
      </c>
      <c r="J308" t="s">
        <v>26</v>
      </c>
      <c r="K308" s="95" t="s">
        <v>26</v>
      </c>
      <c r="L308" s="31"/>
      <c r="M308" s="31"/>
      <c r="N308" s="31"/>
      <c r="O308" s="31"/>
      <c r="P308" s="4"/>
      <c r="X308" s="94"/>
    </row>
    <row r="309" spans="1:24" x14ac:dyDescent="0.35">
      <c r="A309">
        <v>305</v>
      </c>
      <c r="B309">
        <v>306</v>
      </c>
      <c r="C309">
        <v>146.12005835400001</v>
      </c>
      <c r="D309">
        <v>-17.617727410499899</v>
      </c>
      <c r="G309" s="92"/>
      <c r="I309">
        <v>1</v>
      </c>
      <c r="J309" t="s">
        <v>26</v>
      </c>
      <c r="K309" s="95" t="s">
        <v>26</v>
      </c>
      <c r="L309" s="31"/>
      <c r="M309" s="31"/>
      <c r="N309" s="31"/>
      <c r="O309" s="31"/>
      <c r="P309" s="4"/>
      <c r="X309" s="94"/>
    </row>
    <row r="310" spans="1:24" x14ac:dyDescent="0.35">
      <c r="A310">
        <v>306</v>
      </c>
      <c r="B310">
        <v>307</v>
      </c>
      <c r="C310">
        <v>146.11996982400001</v>
      </c>
      <c r="D310">
        <v>-17.6177409625999</v>
      </c>
      <c r="G310" s="92"/>
      <c r="I310">
        <v>1</v>
      </c>
      <c r="J310" t="s">
        <v>26</v>
      </c>
      <c r="K310" s="95" t="s">
        <v>26</v>
      </c>
      <c r="L310" s="31"/>
      <c r="M310" s="31"/>
      <c r="N310" s="31"/>
      <c r="O310" s="31"/>
      <c r="P310" s="4"/>
      <c r="X310" s="94"/>
    </row>
    <row r="311" spans="1:24" x14ac:dyDescent="0.35">
      <c r="A311">
        <v>307</v>
      </c>
      <c r="B311">
        <v>308</v>
      </c>
      <c r="C311">
        <v>146.11988177500001</v>
      </c>
      <c r="D311">
        <v>-17.617757937</v>
      </c>
      <c r="G311" s="92"/>
      <c r="I311">
        <v>1</v>
      </c>
      <c r="J311" t="s">
        <v>26</v>
      </c>
      <c r="K311" s="95" t="s">
        <v>26</v>
      </c>
      <c r="L311" s="31"/>
      <c r="M311" s="31"/>
      <c r="N311" s="31"/>
      <c r="O311" s="31"/>
      <c r="P311" s="4"/>
      <c r="X311" s="94"/>
    </row>
    <row r="312" spans="1:24" x14ac:dyDescent="0.35">
      <c r="A312">
        <v>308</v>
      </c>
      <c r="B312">
        <v>309</v>
      </c>
      <c r="C312">
        <v>146.119793646999</v>
      </c>
      <c r="D312">
        <v>-17.617774326300001</v>
      </c>
      <c r="G312" s="92"/>
      <c r="I312">
        <v>1</v>
      </c>
      <c r="J312" t="s">
        <v>26</v>
      </c>
      <c r="K312" s="95" t="s">
        <v>26</v>
      </c>
      <c r="L312" s="31"/>
      <c r="M312" s="31"/>
      <c r="N312" s="31"/>
      <c r="O312" s="31"/>
      <c r="P312" s="4"/>
      <c r="X312" s="94"/>
    </row>
    <row r="313" spans="1:24" x14ac:dyDescent="0.35">
      <c r="A313">
        <v>309</v>
      </c>
      <c r="B313">
        <v>310</v>
      </c>
      <c r="C313">
        <v>146.11970396800001</v>
      </c>
      <c r="D313">
        <v>-17.6177792997</v>
      </c>
      <c r="E313">
        <v>50</v>
      </c>
      <c r="G313" s="92"/>
      <c r="I313">
        <v>1</v>
      </c>
      <c r="J313" t="s">
        <v>26</v>
      </c>
      <c r="K313" s="95" t="s">
        <v>26</v>
      </c>
      <c r="L313" s="31"/>
      <c r="M313" s="31"/>
      <c r="N313" s="31"/>
      <c r="O313" s="31"/>
      <c r="P313" s="4"/>
      <c r="X313" s="94"/>
    </row>
    <row r="314" spans="1:24" x14ac:dyDescent="0.35">
      <c r="A314">
        <v>310</v>
      </c>
      <c r="B314">
        <v>311</v>
      </c>
      <c r="C314">
        <v>146.11961428800001</v>
      </c>
      <c r="D314">
        <v>-17.6177842731</v>
      </c>
      <c r="G314" s="92"/>
      <c r="I314">
        <v>1</v>
      </c>
      <c r="J314" t="s">
        <v>26</v>
      </c>
      <c r="K314" s="95" t="s">
        <v>26</v>
      </c>
      <c r="L314" s="31"/>
      <c r="M314" s="31"/>
      <c r="N314" s="31"/>
      <c r="O314" s="31"/>
      <c r="P314" s="4"/>
      <c r="X314" s="94"/>
    </row>
    <row r="315" spans="1:24" x14ac:dyDescent="0.35">
      <c r="A315">
        <v>311</v>
      </c>
      <c r="B315">
        <v>312</v>
      </c>
      <c r="C315">
        <v>146.119524764</v>
      </c>
      <c r="D315">
        <v>-17.617791180800001</v>
      </c>
      <c r="G315" s="92"/>
      <c r="I315">
        <v>1</v>
      </c>
      <c r="J315" t="s">
        <v>26</v>
      </c>
      <c r="K315" s="95" t="s">
        <v>26</v>
      </c>
      <c r="L315" s="31"/>
      <c r="M315" s="31"/>
      <c r="N315" s="31"/>
      <c r="O315" s="31"/>
      <c r="P315" s="4"/>
      <c r="X315" s="94"/>
    </row>
    <row r="316" spans="1:24" x14ac:dyDescent="0.35">
      <c r="A316">
        <v>312</v>
      </c>
      <c r="B316">
        <v>313</v>
      </c>
      <c r="C316">
        <v>146.11943542500001</v>
      </c>
      <c r="D316">
        <v>-17.617797614800001</v>
      </c>
      <c r="G316" s="92"/>
      <c r="I316">
        <v>1</v>
      </c>
      <c r="J316" t="s">
        <v>26</v>
      </c>
      <c r="K316" s="95" t="s">
        <v>26</v>
      </c>
      <c r="L316" s="31"/>
      <c r="M316" s="31"/>
      <c r="N316" s="31"/>
      <c r="O316" s="31"/>
      <c r="P316" s="4"/>
      <c r="X316" s="94"/>
    </row>
    <row r="317" spans="1:24" x14ac:dyDescent="0.35">
      <c r="A317">
        <v>313</v>
      </c>
      <c r="B317">
        <v>314</v>
      </c>
      <c r="C317">
        <v>146.119348946999</v>
      </c>
      <c r="D317">
        <v>-17.617776745</v>
      </c>
      <c r="G317" s="92"/>
      <c r="I317">
        <v>1</v>
      </c>
      <c r="J317" t="s">
        <v>26</v>
      </c>
      <c r="K317" s="95" t="s">
        <v>26</v>
      </c>
      <c r="L317" s="31"/>
      <c r="M317" s="31"/>
      <c r="N317" s="31"/>
      <c r="O317" s="31"/>
      <c r="P317" s="4"/>
      <c r="X317" s="94"/>
    </row>
    <row r="318" spans="1:24" x14ac:dyDescent="0.35">
      <c r="A318">
        <v>314</v>
      </c>
      <c r="B318">
        <v>315</v>
      </c>
      <c r="C318">
        <v>146.11926158099899</v>
      </c>
      <c r="D318">
        <v>-17.617758538</v>
      </c>
      <c r="E318">
        <v>50</v>
      </c>
      <c r="G318" s="92"/>
      <c r="I318">
        <v>1</v>
      </c>
      <c r="J318" t="s">
        <v>26</v>
      </c>
      <c r="K318" s="95" t="s">
        <v>26</v>
      </c>
      <c r="L318" s="31"/>
      <c r="M318" s="31"/>
      <c r="N318" s="31"/>
      <c r="O318" s="31"/>
      <c r="P318" s="4"/>
      <c r="X318" s="94"/>
    </row>
    <row r="319" spans="1:24" x14ac:dyDescent="0.35">
      <c r="A319">
        <v>315</v>
      </c>
      <c r="B319">
        <v>316</v>
      </c>
      <c r="C319">
        <v>146.11926029200001</v>
      </c>
      <c r="D319">
        <v>-17.6176962913</v>
      </c>
      <c r="G319" s="92"/>
      <c r="I319">
        <v>1</v>
      </c>
      <c r="J319" t="s">
        <v>26</v>
      </c>
      <c r="K319" s="95" t="s">
        <v>26</v>
      </c>
      <c r="L319" s="31"/>
      <c r="M319" s="31"/>
      <c r="N319" s="31"/>
      <c r="O319" s="31"/>
      <c r="P319" s="4"/>
      <c r="X319" s="94"/>
    </row>
    <row r="320" spans="1:24" x14ac:dyDescent="0.35">
      <c r="A320">
        <v>316</v>
      </c>
      <c r="B320">
        <v>317</v>
      </c>
      <c r="C320">
        <v>146.119292105</v>
      </c>
      <c r="D320">
        <v>-17.617616222100001</v>
      </c>
      <c r="G320" s="92"/>
      <c r="I320">
        <v>1</v>
      </c>
      <c r="J320" t="s">
        <v>26</v>
      </c>
      <c r="K320" s="95" t="s">
        <v>26</v>
      </c>
      <c r="L320" s="31"/>
      <c r="M320" s="31"/>
      <c r="N320" s="31"/>
      <c r="O320" s="31"/>
      <c r="P320" s="4"/>
      <c r="X320" s="94"/>
    </row>
    <row r="321" spans="1:24" x14ac:dyDescent="0.35">
      <c r="A321">
        <v>317</v>
      </c>
      <c r="B321">
        <v>318</v>
      </c>
      <c r="C321">
        <v>146.11935962000001</v>
      </c>
      <c r="D321">
        <v>-17.617562878200001</v>
      </c>
      <c r="G321" s="92"/>
      <c r="I321">
        <v>1</v>
      </c>
      <c r="J321" t="s">
        <v>26</v>
      </c>
      <c r="K321" s="95" t="s">
        <v>26</v>
      </c>
      <c r="L321" s="31"/>
      <c r="M321" s="31"/>
      <c r="N321" s="31"/>
      <c r="O321" s="31"/>
      <c r="P321" s="4"/>
      <c r="X321" s="94"/>
    </row>
    <row r="322" spans="1:24" x14ac:dyDescent="0.35">
      <c r="A322">
        <v>318</v>
      </c>
      <c r="B322">
        <v>319</v>
      </c>
      <c r="C322">
        <v>146.11943369900001</v>
      </c>
      <c r="D322">
        <v>-17.6175144479</v>
      </c>
      <c r="G322" s="92"/>
      <c r="I322">
        <v>1</v>
      </c>
      <c r="J322" t="s">
        <v>26</v>
      </c>
      <c r="K322" s="95" t="s">
        <v>26</v>
      </c>
      <c r="L322" s="31"/>
      <c r="M322" s="31"/>
      <c r="N322" s="31"/>
      <c r="O322" s="31"/>
      <c r="P322" s="4"/>
      <c r="X322" s="94"/>
    </row>
    <row r="323" spans="1:24" x14ac:dyDescent="0.35">
      <c r="A323">
        <v>319</v>
      </c>
      <c r="B323">
        <v>320</v>
      </c>
      <c r="C323">
        <v>146.119503465999</v>
      </c>
      <c r="D323">
        <v>-17.6174605247</v>
      </c>
      <c r="E323">
        <v>50</v>
      </c>
      <c r="G323" s="92"/>
      <c r="I323">
        <v>1</v>
      </c>
      <c r="J323" t="s">
        <v>26</v>
      </c>
      <c r="K323" s="95" t="s">
        <v>26</v>
      </c>
      <c r="L323" s="31"/>
      <c r="M323" s="31"/>
      <c r="N323" s="31"/>
      <c r="O323" s="31"/>
      <c r="P323" s="4"/>
      <c r="X323" s="94"/>
    </row>
    <row r="324" spans="1:24" x14ac:dyDescent="0.35">
      <c r="A324">
        <v>320</v>
      </c>
      <c r="B324">
        <v>321</v>
      </c>
      <c r="C324">
        <v>146.119573113999</v>
      </c>
      <c r="D324">
        <v>-17.6174064510999</v>
      </c>
      <c r="G324" s="92"/>
      <c r="I324">
        <v>1</v>
      </c>
      <c r="J324" t="s">
        <v>26</v>
      </c>
      <c r="K324" s="95" t="s">
        <v>26</v>
      </c>
      <c r="L324" s="31"/>
      <c r="M324" s="31"/>
      <c r="N324" s="31"/>
      <c r="O324" s="31"/>
      <c r="P324" s="4"/>
      <c r="X324" s="94"/>
    </row>
    <row r="325" spans="1:24" x14ac:dyDescent="0.35">
      <c r="A325">
        <v>321</v>
      </c>
      <c r="B325">
        <v>322</v>
      </c>
      <c r="C325">
        <v>146.119637874999</v>
      </c>
      <c r="D325">
        <v>-17.6173482326999</v>
      </c>
      <c r="G325" s="92"/>
      <c r="I325">
        <v>1</v>
      </c>
      <c r="J325" t="s">
        <v>26</v>
      </c>
      <c r="K325" s="95" t="s">
        <v>26</v>
      </c>
      <c r="L325" s="31"/>
      <c r="M325" s="31"/>
      <c r="N325" s="31"/>
      <c r="O325" s="31"/>
      <c r="P325" s="4"/>
      <c r="X325" s="94"/>
    </row>
    <row r="326" spans="1:24" x14ac:dyDescent="0.35">
      <c r="A326">
        <v>322</v>
      </c>
      <c r="B326">
        <v>323</v>
      </c>
      <c r="C326">
        <v>146.11968612499899</v>
      </c>
      <c r="D326">
        <v>-17.617276012800001</v>
      </c>
      <c r="G326" s="92"/>
      <c r="I326">
        <v>1</v>
      </c>
      <c r="J326" t="s">
        <v>26</v>
      </c>
      <c r="K326" s="95" t="s">
        <v>26</v>
      </c>
      <c r="L326" s="31"/>
      <c r="M326" s="31"/>
      <c r="N326" s="31"/>
      <c r="O326" s="31"/>
      <c r="P326" s="4"/>
      <c r="X326" s="94"/>
    </row>
    <row r="327" spans="1:24" x14ac:dyDescent="0.35">
      <c r="A327">
        <v>323</v>
      </c>
      <c r="B327">
        <v>324</v>
      </c>
      <c r="C327">
        <v>146.11973437399899</v>
      </c>
      <c r="D327">
        <v>-17.617203792800002</v>
      </c>
      <c r="G327" s="92"/>
      <c r="I327">
        <v>1</v>
      </c>
      <c r="J327" t="s">
        <v>26</v>
      </c>
      <c r="K327" s="95" t="s">
        <v>26</v>
      </c>
      <c r="L327" s="31"/>
      <c r="M327" s="31"/>
      <c r="N327" s="31"/>
      <c r="O327" s="31"/>
      <c r="P327" s="4"/>
      <c r="X327" s="94"/>
    </row>
    <row r="328" spans="1:24" x14ac:dyDescent="0.35">
      <c r="A328">
        <v>324</v>
      </c>
      <c r="B328">
        <v>325</v>
      </c>
      <c r="C328">
        <v>146.11978262400001</v>
      </c>
      <c r="D328">
        <v>-17.617131572800002</v>
      </c>
      <c r="E328">
        <v>50</v>
      </c>
      <c r="G328" s="92"/>
      <c r="I328">
        <v>1</v>
      </c>
      <c r="J328" t="s">
        <v>26</v>
      </c>
      <c r="K328" s="95" t="s">
        <v>26</v>
      </c>
      <c r="L328" s="31"/>
      <c r="M328" s="31"/>
      <c r="N328" s="31"/>
      <c r="O328" s="31"/>
      <c r="P328" s="4"/>
      <c r="X328" s="94"/>
    </row>
    <row r="329" spans="1:24" x14ac:dyDescent="0.35">
      <c r="A329">
        <v>325</v>
      </c>
      <c r="B329">
        <v>326</v>
      </c>
      <c r="C329">
        <v>146.11983446900001</v>
      </c>
      <c r="D329">
        <v>-17.617061698299899</v>
      </c>
      <c r="G329" s="92"/>
      <c r="I329">
        <v>1</v>
      </c>
      <c r="J329" t="s">
        <v>26</v>
      </c>
      <c r="K329" s="95" t="s">
        <v>26</v>
      </c>
      <c r="L329" s="31"/>
      <c r="M329" s="31"/>
      <c r="N329" s="31"/>
      <c r="O329" s="31"/>
      <c r="P329" s="4"/>
      <c r="X329" s="94"/>
    </row>
    <row r="330" spans="1:24" x14ac:dyDescent="0.35">
      <c r="A330">
        <v>326</v>
      </c>
      <c r="B330">
        <v>327</v>
      </c>
      <c r="C330">
        <v>146.119887648</v>
      </c>
      <c r="D330">
        <v>-17.616992694099899</v>
      </c>
      <c r="G330" s="92"/>
      <c r="I330">
        <v>1</v>
      </c>
      <c r="J330" t="s">
        <v>26</v>
      </c>
      <c r="K330" s="95" t="s">
        <v>26</v>
      </c>
      <c r="L330" s="31"/>
      <c r="M330" s="31"/>
      <c r="N330" s="31"/>
      <c r="O330" s="31"/>
      <c r="P330" s="4"/>
      <c r="X330" s="94"/>
    </row>
    <row r="331" spans="1:24" x14ac:dyDescent="0.35">
      <c r="A331">
        <v>327</v>
      </c>
      <c r="B331">
        <v>328</v>
      </c>
      <c r="C331">
        <v>146.119940826999</v>
      </c>
      <c r="D331">
        <v>-17.616923689899899</v>
      </c>
      <c r="G331" s="92"/>
      <c r="I331">
        <v>1</v>
      </c>
      <c r="J331" t="s">
        <v>26</v>
      </c>
      <c r="K331" s="95" t="s">
        <v>26</v>
      </c>
      <c r="L331" s="31"/>
      <c r="M331" s="31"/>
      <c r="N331" s="31"/>
      <c r="O331" s="31"/>
      <c r="P331" s="4"/>
      <c r="X331" s="94"/>
    </row>
    <row r="332" spans="1:24" x14ac:dyDescent="0.35">
      <c r="A332">
        <v>328</v>
      </c>
      <c r="B332">
        <v>329</v>
      </c>
      <c r="C332">
        <v>146.11998475300001</v>
      </c>
      <c r="D332">
        <v>-17.6168492000999</v>
      </c>
      <c r="G332" s="92"/>
      <c r="I332">
        <v>1</v>
      </c>
      <c r="J332" t="s">
        <v>26</v>
      </c>
      <c r="K332" s="95" t="s">
        <v>26</v>
      </c>
      <c r="L332" s="31"/>
      <c r="M332" s="31"/>
      <c r="N332" s="31"/>
      <c r="O332" s="31"/>
      <c r="P332" s="4"/>
      <c r="X332" s="94"/>
    </row>
    <row r="333" spans="1:24" x14ac:dyDescent="0.35">
      <c r="A333">
        <v>329</v>
      </c>
      <c r="B333">
        <v>330</v>
      </c>
      <c r="C333">
        <v>146.120026193999</v>
      </c>
      <c r="D333">
        <v>-17.6167732362</v>
      </c>
      <c r="E333">
        <v>50</v>
      </c>
      <c r="G333" s="92"/>
      <c r="I333">
        <v>1</v>
      </c>
      <c r="J333" t="s">
        <v>26</v>
      </c>
      <c r="K333" s="95" t="s">
        <v>26</v>
      </c>
      <c r="L333" s="31"/>
      <c r="M333" s="31"/>
      <c r="N333" s="31"/>
      <c r="O333" s="31"/>
      <c r="P333" s="4"/>
      <c r="X333" s="94"/>
    </row>
    <row r="334" spans="1:24" x14ac:dyDescent="0.35">
      <c r="A334">
        <v>330</v>
      </c>
      <c r="B334">
        <v>331</v>
      </c>
      <c r="C334">
        <v>146.120067634999</v>
      </c>
      <c r="D334">
        <v>-17.6166972724</v>
      </c>
      <c r="G334" s="92"/>
      <c r="I334">
        <v>1</v>
      </c>
      <c r="J334" t="s">
        <v>26</v>
      </c>
      <c r="K334" s="95" t="s">
        <v>26</v>
      </c>
      <c r="L334" s="31"/>
      <c r="M334" s="31"/>
      <c r="N334" s="31"/>
      <c r="O334" s="31"/>
      <c r="P334" s="4"/>
      <c r="X334" s="94"/>
    </row>
    <row r="335" spans="1:24" x14ac:dyDescent="0.35">
      <c r="A335">
        <v>331</v>
      </c>
      <c r="B335">
        <v>332</v>
      </c>
      <c r="C335">
        <v>146.120093322</v>
      </c>
      <c r="D335">
        <v>-17.616618914299899</v>
      </c>
      <c r="G335" s="92"/>
      <c r="I335">
        <v>1</v>
      </c>
      <c r="J335" t="s">
        <v>26</v>
      </c>
      <c r="K335" s="95" t="s">
        <v>26</v>
      </c>
      <c r="L335" s="31"/>
      <c r="M335" s="31"/>
      <c r="N335" s="31"/>
      <c r="O335" s="31"/>
      <c r="P335" s="4"/>
      <c r="X335" s="94"/>
    </row>
    <row r="336" spans="1:24" x14ac:dyDescent="0.35">
      <c r="A336">
        <v>332</v>
      </c>
      <c r="B336">
        <v>333</v>
      </c>
      <c r="C336">
        <v>146.12007872300001</v>
      </c>
      <c r="D336">
        <v>-17.6165344339</v>
      </c>
      <c r="G336" s="92"/>
      <c r="I336">
        <v>1</v>
      </c>
      <c r="J336" t="s">
        <v>26</v>
      </c>
      <c r="K336" s="95" t="s">
        <v>26</v>
      </c>
      <c r="L336" s="31"/>
      <c r="M336" s="31"/>
      <c r="N336" s="31"/>
      <c r="O336" s="31"/>
      <c r="P336" s="4"/>
      <c r="X336" s="94"/>
    </row>
    <row r="337" spans="1:24" x14ac:dyDescent="0.35">
      <c r="A337">
        <v>333</v>
      </c>
      <c r="B337">
        <v>334</v>
      </c>
      <c r="C337">
        <v>146.120064122999</v>
      </c>
      <c r="D337">
        <v>-17.6164499534</v>
      </c>
      <c r="G337" s="92"/>
      <c r="I337">
        <v>1</v>
      </c>
      <c r="J337" t="s">
        <v>26</v>
      </c>
      <c r="K337" s="95" t="s">
        <v>26</v>
      </c>
      <c r="L337" s="31"/>
      <c r="M337" s="31"/>
      <c r="N337" s="31"/>
      <c r="O337" s="31"/>
      <c r="P337" s="4"/>
      <c r="X337" s="94"/>
    </row>
    <row r="338" spans="1:24" x14ac:dyDescent="0.35">
      <c r="A338">
        <v>334</v>
      </c>
      <c r="B338">
        <v>335</v>
      </c>
      <c r="C338">
        <v>146.120035838999</v>
      </c>
      <c r="D338">
        <v>-17.6163722732</v>
      </c>
      <c r="E338">
        <v>50</v>
      </c>
      <c r="G338" s="92"/>
      <c r="I338">
        <v>1</v>
      </c>
      <c r="J338" t="s">
        <v>26</v>
      </c>
      <c r="K338" s="95" t="s">
        <v>26</v>
      </c>
      <c r="L338" s="31"/>
      <c r="M338" s="31"/>
      <c r="N338" s="31"/>
      <c r="O338" s="31"/>
      <c r="P338" s="4"/>
      <c r="X338" s="94"/>
    </row>
    <row r="339" spans="1:24" x14ac:dyDescent="0.35">
      <c r="A339">
        <v>335</v>
      </c>
      <c r="B339">
        <v>336</v>
      </c>
      <c r="C339">
        <v>146.119971526</v>
      </c>
      <c r="D339">
        <v>-17.616312496900001</v>
      </c>
      <c r="F339" t="str">
        <f>HYPERLINK("D:\Data From Lucan\2024\Moresby\Frames_for_Analysis/336_20240611_0012_R_0922.jpg","336_20240611_0012_R_0922.jpg")</f>
        <v>336_20240611_0012_R_0922.jpg</v>
      </c>
      <c r="G339" s="92" t="s">
        <v>4217</v>
      </c>
      <c r="I339">
        <v>1</v>
      </c>
      <c r="K339" s="95">
        <v>1</v>
      </c>
      <c r="L339" s="31" t="s">
        <v>3959</v>
      </c>
      <c r="M339" s="31" t="s">
        <v>3959</v>
      </c>
      <c r="N339" s="31" t="s">
        <v>3959</v>
      </c>
      <c r="O339" s="31" t="s">
        <v>3959</v>
      </c>
      <c r="P339" s="4">
        <v>1</v>
      </c>
      <c r="Q339" s="57">
        <v>0</v>
      </c>
      <c r="R339" s="57">
        <v>0</v>
      </c>
      <c r="S339" s="97">
        <v>0</v>
      </c>
      <c r="T339" s="57">
        <v>0</v>
      </c>
      <c r="U339" s="57">
        <v>0</v>
      </c>
      <c r="V339" s="57">
        <v>0</v>
      </c>
      <c r="W339" s="57">
        <v>0</v>
      </c>
      <c r="X339" s="94">
        <v>0</v>
      </c>
    </row>
    <row r="340" spans="1:24" x14ac:dyDescent="0.35">
      <c r="A340">
        <v>336</v>
      </c>
      <c r="B340">
        <v>337</v>
      </c>
      <c r="C340">
        <v>146.119907256</v>
      </c>
      <c r="D340">
        <v>-17.616252678599899</v>
      </c>
      <c r="F340" t="str">
        <f>HYPERLINK("D:\Data From Lucan\2024\Moresby\Frames_for_Analysis/337_20240611_0012_R_0962.jpg","337_20240611_0012_R_0962.jpg")</f>
        <v>337_20240611_0012_R_0962.jpg</v>
      </c>
      <c r="G340" s="92" t="s">
        <v>4218</v>
      </c>
      <c r="I340">
        <v>1</v>
      </c>
      <c r="K340" s="95">
        <v>1</v>
      </c>
      <c r="L340" s="31" t="s">
        <v>3959</v>
      </c>
      <c r="M340" s="31" t="s">
        <v>3959</v>
      </c>
      <c r="N340" s="31" t="s">
        <v>3959</v>
      </c>
      <c r="O340" s="31" t="s">
        <v>3959</v>
      </c>
      <c r="P340" s="4">
        <v>1</v>
      </c>
      <c r="Q340" s="57">
        <v>0</v>
      </c>
      <c r="R340" s="57">
        <v>0</v>
      </c>
      <c r="S340" s="97">
        <v>0</v>
      </c>
      <c r="T340" s="57">
        <v>0</v>
      </c>
      <c r="U340" s="57">
        <v>0</v>
      </c>
      <c r="V340" s="57">
        <v>0</v>
      </c>
      <c r="W340" s="57">
        <v>0</v>
      </c>
      <c r="X340" s="94">
        <v>0</v>
      </c>
    </row>
    <row r="341" spans="1:24" x14ac:dyDescent="0.35">
      <c r="A341">
        <v>337</v>
      </c>
      <c r="B341">
        <v>338</v>
      </c>
      <c r="C341">
        <v>146.119839431999</v>
      </c>
      <c r="D341">
        <v>-17.616201584100001</v>
      </c>
      <c r="F341" t="str">
        <f>HYPERLINK("D:\Data From Lucan\2024\Moresby\Frames_for_Analysis/338_20240611_0012_R_0895.jpg","338_20240611_0012_R_0895.jpg")</f>
        <v>338_20240611_0012_R_0895.jpg</v>
      </c>
      <c r="G341" s="92" t="s">
        <v>4219</v>
      </c>
      <c r="I341">
        <v>1</v>
      </c>
      <c r="K341" s="95">
        <v>1</v>
      </c>
      <c r="L341" s="31" t="s">
        <v>3959</v>
      </c>
      <c r="M341" s="31" t="s">
        <v>3959</v>
      </c>
      <c r="N341" s="31" t="s">
        <v>3959</v>
      </c>
      <c r="O341" s="31" t="s">
        <v>3959</v>
      </c>
      <c r="P341" s="4">
        <v>1</v>
      </c>
      <c r="Q341" s="57">
        <v>0</v>
      </c>
      <c r="R341" s="57">
        <v>0</v>
      </c>
      <c r="S341" s="97">
        <v>0</v>
      </c>
      <c r="T341" s="57">
        <v>0</v>
      </c>
      <c r="U341" s="57">
        <v>0</v>
      </c>
      <c r="V341" s="57">
        <v>0</v>
      </c>
      <c r="W341" s="57">
        <v>0</v>
      </c>
      <c r="X341" s="94">
        <v>0</v>
      </c>
    </row>
    <row r="342" spans="1:24" x14ac:dyDescent="0.35">
      <c r="A342">
        <v>338</v>
      </c>
      <c r="B342">
        <v>339</v>
      </c>
      <c r="C342">
        <v>146.11974966400001</v>
      </c>
      <c r="D342">
        <v>-17.6161983615</v>
      </c>
      <c r="F342" t="str">
        <f>HYPERLINK("D:\Data From Lucan\2024\Moresby\Frames_for_Analysis/339_20240611_0012_R_0923.jpg","339_20240611_0012_R_0923.jpg")</f>
        <v>339_20240611_0012_R_0923.jpg</v>
      </c>
      <c r="G342" s="92" t="s">
        <v>4220</v>
      </c>
      <c r="I342">
        <v>1</v>
      </c>
      <c r="K342" s="95">
        <v>1</v>
      </c>
      <c r="L342" s="31" t="s">
        <v>3959</v>
      </c>
      <c r="M342" s="31" t="s">
        <v>3959</v>
      </c>
      <c r="N342" s="31" t="s">
        <v>3959</v>
      </c>
      <c r="O342" s="31" t="s">
        <v>3959</v>
      </c>
      <c r="P342" s="4">
        <v>1</v>
      </c>
      <c r="Q342" s="57">
        <v>0</v>
      </c>
      <c r="R342" s="57">
        <v>0</v>
      </c>
      <c r="S342" s="97">
        <v>0</v>
      </c>
      <c r="T342" s="57">
        <v>0</v>
      </c>
      <c r="U342" s="57">
        <v>0</v>
      </c>
      <c r="V342" s="57">
        <v>0</v>
      </c>
      <c r="W342" s="57">
        <v>0</v>
      </c>
      <c r="X342" s="94">
        <v>0</v>
      </c>
    </row>
    <row r="343" spans="1:24" x14ac:dyDescent="0.35">
      <c r="A343">
        <v>339</v>
      </c>
      <c r="B343">
        <v>340</v>
      </c>
      <c r="C343">
        <v>146.119659896</v>
      </c>
      <c r="D343">
        <v>-17.616195138799899</v>
      </c>
      <c r="E343">
        <v>50</v>
      </c>
      <c r="F343" t="str">
        <f>HYPERLINK("D:\Data From Lucan\2024\Moresby\Frames_for_Analysis/340_20240611_0012_R_0924.jpg","340_20240611_0012_R_0924.jpg")</f>
        <v>340_20240611_0012_R_0924.jpg</v>
      </c>
      <c r="G343" s="92" t="s">
        <v>4221</v>
      </c>
      <c r="I343">
        <v>1</v>
      </c>
      <c r="K343" s="95">
        <v>1</v>
      </c>
      <c r="L343" s="31"/>
      <c r="M343" s="31"/>
      <c r="N343" s="31"/>
      <c r="O343" s="31"/>
      <c r="P343" s="4">
        <v>1</v>
      </c>
      <c r="Q343" s="57">
        <v>0</v>
      </c>
      <c r="R343" s="57">
        <v>0</v>
      </c>
      <c r="S343" s="97">
        <v>0</v>
      </c>
      <c r="T343" s="57">
        <v>0</v>
      </c>
      <c r="U343" s="57">
        <v>0</v>
      </c>
      <c r="V343" s="57">
        <v>0</v>
      </c>
      <c r="W343" s="57">
        <v>0</v>
      </c>
      <c r="X343" s="94">
        <v>0</v>
      </c>
    </row>
    <row r="344" spans="1:24" x14ac:dyDescent="0.35">
      <c r="A344">
        <v>340</v>
      </c>
      <c r="B344">
        <v>341</v>
      </c>
      <c r="C344">
        <v>146.119570127999</v>
      </c>
      <c r="D344">
        <v>-17.6161919161</v>
      </c>
      <c r="F344" t="str">
        <f>HYPERLINK("D:\Data From Lucan\2024\Moresby\Frames_for_Analysis/341_20240611_0012_R_0892.jpg","341_20240611_0012_R_0892.jpg")</f>
        <v>341_20240611_0012_R_0892.jpg</v>
      </c>
      <c r="G344" s="92" t="s">
        <v>4222</v>
      </c>
      <c r="I344">
        <v>1</v>
      </c>
      <c r="K344" s="95">
        <v>1</v>
      </c>
      <c r="L344" s="31"/>
      <c r="M344" s="31"/>
      <c r="N344" s="31"/>
      <c r="O344" s="31"/>
      <c r="P344" s="4">
        <v>1</v>
      </c>
      <c r="Q344" s="57">
        <v>0</v>
      </c>
      <c r="R344" s="57">
        <v>0</v>
      </c>
      <c r="S344" s="97">
        <v>0</v>
      </c>
      <c r="T344" s="57">
        <v>0</v>
      </c>
      <c r="U344" s="57">
        <v>0</v>
      </c>
      <c r="V344" s="57">
        <v>0</v>
      </c>
      <c r="W344" s="57">
        <v>0</v>
      </c>
      <c r="X344" s="94">
        <v>0</v>
      </c>
    </row>
    <row r="345" spans="1:24" x14ac:dyDescent="0.35">
      <c r="A345">
        <v>341</v>
      </c>
      <c r="B345">
        <v>342</v>
      </c>
      <c r="C345">
        <v>146.119485744</v>
      </c>
      <c r="D345">
        <v>-17.616218801300001</v>
      </c>
      <c r="F345" t="str">
        <f>HYPERLINK("D:\Data From Lucan\2024\Moresby\Frames_for_Analysis/342_20240611_0012_R_0926.jpg","342_20240611_0012_R_0926.jpg")</f>
        <v>342_20240611_0012_R_0926.jpg</v>
      </c>
      <c r="G345" s="92" t="s">
        <v>4223</v>
      </c>
      <c r="I345">
        <v>1</v>
      </c>
      <c r="K345" s="95">
        <v>1</v>
      </c>
      <c r="L345" s="31"/>
      <c r="M345" s="31"/>
      <c r="N345" s="31"/>
      <c r="O345" s="31"/>
      <c r="P345" s="4">
        <v>1</v>
      </c>
      <c r="Q345" s="57">
        <v>0</v>
      </c>
      <c r="R345" s="57">
        <v>0</v>
      </c>
      <c r="S345" s="97">
        <v>0</v>
      </c>
      <c r="T345" s="57">
        <v>0</v>
      </c>
      <c r="U345" s="57">
        <v>0</v>
      </c>
      <c r="V345" s="57">
        <v>0</v>
      </c>
      <c r="W345" s="57">
        <v>0</v>
      </c>
      <c r="X345" s="94">
        <v>0</v>
      </c>
    </row>
    <row r="346" spans="1:24" x14ac:dyDescent="0.35">
      <c r="A346">
        <v>342</v>
      </c>
      <c r="B346">
        <v>343</v>
      </c>
      <c r="C346">
        <v>146.119402164999</v>
      </c>
      <c r="D346">
        <v>-17.6162501835</v>
      </c>
      <c r="F346" t="str">
        <f>HYPERLINK("D:\Data From Lucan\2024\Moresby\Frames_for_Analysis/343_20240611_0012_R_0887.jpg","343_20240611_0012_R_0887.jpg")</f>
        <v>343_20240611_0012_R_0887.jpg</v>
      </c>
      <c r="G346" s="92" t="s">
        <v>4224</v>
      </c>
      <c r="I346">
        <v>1</v>
      </c>
      <c r="K346" s="95">
        <v>1</v>
      </c>
      <c r="L346" s="31"/>
      <c r="M346" s="31"/>
      <c r="N346" s="31"/>
      <c r="O346" s="31"/>
      <c r="P346" s="4">
        <v>1</v>
      </c>
      <c r="Q346" s="57">
        <v>0</v>
      </c>
      <c r="R346" s="57">
        <v>0</v>
      </c>
      <c r="S346" s="97">
        <v>0</v>
      </c>
      <c r="T346" s="57">
        <v>0</v>
      </c>
      <c r="U346" s="57">
        <v>0</v>
      </c>
      <c r="V346" s="57">
        <v>0</v>
      </c>
      <c r="W346" s="57">
        <v>0</v>
      </c>
      <c r="X346" s="94">
        <v>0</v>
      </c>
    </row>
    <row r="347" spans="1:24" x14ac:dyDescent="0.35">
      <c r="A347">
        <v>343</v>
      </c>
      <c r="B347">
        <v>344</v>
      </c>
      <c r="C347">
        <v>146.11931881800001</v>
      </c>
      <c r="D347">
        <v>-17.6162819826</v>
      </c>
      <c r="F347" t="str">
        <f>HYPERLINK("D:\Data From Lucan\2024\Moresby\Frames_for_Analysis/344_20240611_0012_R_0886.jpg","344_20240611_0012_R_0886.jpg")</f>
        <v>344_20240611_0012_R_0886.jpg</v>
      </c>
      <c r="G347" s="92" t="s">
        <v>4225</v>
      </c>
      <c r="I347">
        <v>1</v>
      </c>
      <c r="K347" s="95">
        <v>1</v>
      </c>
      <c r="L347" s="31"/>
      <c r="M347" s="31"/>
      <c r="N347" s="31"/>
      <c r="O347" s="31"/>
      <c r="P347" s="4">
        <v>1</v>
      </c>
      <c r="Q347" s="57">
        <v>0</v>
      </c>
      <c r="R347" s="57">
        <v>0</v>
      </c>
      <c r="S347" s="97">
        <v>0</v>
      </c>
      <c r="T347" s="57">
        <v>0</v>
      </c>
      <c r="U347" s="57">
        <v>0</v>
      </c>
      <c r="V347" s="57">
        <v>0</v>
      </c>
      <c r="W347" s="57">
        <v>0</v>
      </c>
      <c r="X347" s="94">
        <v>0</v>
      </c>
    </row>
    <row r="348" spans="1:24" x14ac:dyDescent="0.35">
      <c r="A348">
        <v>344</v>
      </c>
      <c r="B348">
        <v>345</v>
      </c>
      <c r="C348">
        <v>146.119244909999</v>
      </c>
      <c r="D348">
        <v>-17.616330649399899</v>
      </c>
      <c r="E348">
        <v>50</v>
      </c>
      <c r="F348" t="str">
        <f>HYPERLINK("D:\Data From Lucan\2024\Moresby\Frames_for_Analysis/345_20240611_0012_R_0929.jpg","345_20240611_0012_R_0929.jpg")</f>
        <v>345_20240611_0012_R_0929.jpg</v>
      </c>
      <c r="G348" s="92" t="s">
        <v>4226</v>
      </c>
      <c r="I348">
        <v>1</v>
      </c>
      <c r="K348" s="95">
        <v>1</v>
      </c>
      <c r="L348" s="31"/>
      <c r="M348" s="31"/>
      <c r="N348" s="31"/>
      <c r="O348" s="31"/>
      <c r="P348" s="4">
        <v>1</v>
      </c>
      <c r="Q348" s="57">
        <v>0</v>
      </c>
      <c r="R348" s="57">
        <v>0</v>
      </c>
      <c r="S348" s="97">
        <v>0</v>
      </c>
      <c r="T348" s="57">
        <v>0</v>
      </c>
      <c r="U348" s="57">
        <v>0</v>
      </c>
      <c r="V348" s="57">
        <v>0</v>
      </c>
      <c r="W348" s="57">
        <v>0</v>
      </c>
      <c r="X348" s="94">
        <v>0</v>
      </c>
    </row>
    <row r="349" spans="1:24" x14ac:dyDescent="0.35">
      <c r="A349">
        <v>345</v>
      </c>
      <c r="B349">
        <v>346</v>
      </c>
      <c r="C349">
        <v>146.119171002</v>
      </c>
      <c r="D349">
        <v>-17.6163793162</v>
      </c>
      <c r="F349" t="str">
        <f>HYPERLINK("D:\Data From Lucan\2024\Moresby\Frames_for_Analysis/346_20240611_0012_R_0883.jpg","346_20240611_0012_R_0883.jpg")</f>
        <v>346_20240611_0012_R_0883.jpg</v>
      </c>
      <c r="G349" s="92" t="s">
        <v>4227</v>
      </c>
      <c r="I349">
        <v>1</v>
      </c>
      <c r="K349" s="95">
        <v>1</v>
      </c>
      <c r="L349" s="31"/>
      <c r="M349" s="31"/>
      <c r="N349" s="31"/>
      <c r="O349" s="31"/>
      <c r="P349" s="4">
        <v>1</v>
      </c>
      <c r="Q349" s="57">
        <v>0</v>
      </c>
      <c r="R349" s="57">
        <v>0</v>
      </c>
      <c r="S349" s="97">
        <v>0</v>
      </c>
      <c r="T349" s="57">
        <v>0</v>
      </c>
      <c r="U349" s="57">
        <v>0</v>
      </c>
      <c r="V349" s="57">
        <v>0</v>
      </c>
      <c r="W349" s="57">
        <v>0</v>
      </c>
      <c r="X349" s="94">
        <v>0</v>
      </c>
    </row>
    <row r="350" spans="1:24" x14ac:dyDescent="0.35">
      <c r="A350">
        <v>346</v>
      </c>
      <c r="B350">
        <v>347</v>
      </c>
      <c r="C350">
        <v>146.119097092999</v>
      </c>
      <c r="D350">
        <v>-17.616427983000001</v>
      </c>
      <c r="F350" t="str">
        <f>HYPERLINK("D:\Data From Lucan\2024\Moresby\Frames_for_Analysis/347_20240611_0012_R_0881.jpg","347_20240611_0012_R_0881.jpg")</f>
        <v>347_20240611_0012_R_0881.jpg</v>
      </c>
      <c r="G350" s="92" t="s">
        <v>4228</v>
      </c>
      <c r="I350">
        <v>1</v>
      </c>
      <c r="K350" s="95">
        <v>1</v>
      </c>
      <c r="L350" s="31"/>
      <c r="M350" s="31"/>
      <c r="N350" s="31"/>
      <c r="O350" s="31"/>
      <c r="P350" s="4">
        <v>1</v>
      </c>
      <c r="Q350" s="57">
        <v>0</v>
      </c>
      <c r="R350" s="57">
        <v>0</v>
      </c>
      <c r="S350" s="97">
        <v>0</v>
      </c>
      <c r="T350" s="57">
        <v>0</v>
      </c>
      <c r="U350" s="57">
        <v>0</v>
      </c>
      <c r="V350" s="57">
        <v>0</v>
      </c>
      <c r="W350" s="57">
        <v>0</v>
      </c>
      <c r="X350" s="94">
        <v>0</v>
      </c>
    </row>
    <row r="351" spans="1:24" x14ac:dyDescent="0.35">
      <c r="A351">
        <v>347</v>
      </c>
      <c r="B351">
        <v>348</v>
      </c>
      <c r="C351">
        <v>146.119025222</v>
      </c>
      <c r="D351">
        <v>-17.616479318500001</v>
      </c>
      <c r="F351" t="str">
        <f>HYPERLINK("D:\Data From Lucan\2024\Moresby\Frames_for_Analysis/348_20240611_0012_R_0958.jpg","348_20240611_0012_R_0958.jpg")</f>
        <v>348_20240611_0012_R_0958.jpg</v>
      </c>
      <c r="G351" s="92" t="s">
        <v>4229</v>
      </c>
      <c r="I351">
        <v>1</v>
      </c>
      <c r="K351" s="95">
        <v>1</v>
      </c>
      <c r="L351" s="31"/>
      <c r="M351" s="31"/>
      <c r="N351" s="31"/>
      <c r="O351" s="31"/>
      <c r="P351" s="4">
        <v>1</v>
      </c>
      <c r="Q351" s="57">
        <v>0</v>
      </c>
      <c r="R351" s="57">
        <v>0</v>
      </c>
      <c r="S351" s="97">
        <v>0</v>
      </c>
      <c r="T351" s="57">
        <v>0</v>
      </c>
      <c r="U351" s="57">
        <v>0</v>
      </c>
      <c r="V351" s="57">
        <v>0</v>
      </c>
      <c r="W351" s="57">
        <v>0</v>
      </c>
      <c r="X351" s="94">
        <v>0</v>
      </c>
    </row>
    <row r="352" spans="1:24" x14ac:dyDescent="0.35">
      <c r="A352">
        <v>348</v>
      </c>
      <c r="B352">
        <v>349</v>
      </c>
      <c r="C352">
        <v>146.11895388100001</v>
      </c>
      <c r="D352">
        <v>-17.616531349199899</v>
      </c>
      <c r="F352" t="str">
        <f>HYPERLINK("D:\Data From Lucan\2024\Moresby\Frames_for_Analysis/349_20240611_0012_R_0875.jpg","349_20240611_0012_R_0875.jpg")</f>
        <v>349_20240611_0012_R_0875.jpg</v>
      </c>
      <c r="G352" s="92" t="s">
        <v>4230</v>
      </c>
      <c r="I352">
        <v>1</v>
      </c>
      <c r="K352" s="95">
        <v>1</v>
      </c>
      <c r="L352" s="31"/>
      <c r="M352" s="31"/>
      <c r="N352" s="31"/>
      <c r="O352" s="31"/>
      <c r="P352" s="4">
        <v>1</v>
      </c>
      <c r="Q352" s="57">
        <v>0</v>
      </c>
      <c r="R352" s="57">
        <v>0</v>
      </c>
      <c r="S352" s="97">
        <v>0</v>
      </c>
      <c r="T352" s="57">
        <v>0</v>
      </c>
      <c r="U352" s="57">
        <v>0</v>
      </c>
      <c r="V352" s="57">
        <v>0</v>
      </c>
      <c r="W352" s="57">
        <v>0</v>
      </c>
      <c r="X352" s="94">
        <v>0</v>
      </c>
    </row>
    <row r="353" spans="1:24" x14ac:dyDescent="0.35">
      <c r="A353">
        <v>349</v>
      </c>
      <c r="B353">
        <v>350</v>
      </c>
      <c r="C353">
        <v>146.11888254799899</v>
      </c>
      <c r="D353">
        <v>-17.616583390199899</v>
      </c>
      <c r="E353">
        <v>50</v>
      </c>
      <c r="F353" t="str">
        <f>HYPERLINK("D:\Data From Lucan\2024\Moresby\Frames_for_Analysis/350_20240611_0012_R_0871.jpg","350_20240611_0012_R_0871.jpg")</f>
        <v>350_20240611_0012_R_0871.jpg</v>
      </c>
      <c r="G353" s="92" t="s">
        <v>4231</v>
      </c>
      <c r="I353">
        <v>1</v>
      </c>
      <c r="K353" s="95">
        <v>1</v>
      </c>
      <c r="L353" s="31"/>
      <c r="M353" s="31"/>
      <c r="N353" s="31"/>
      <c r="O353" s="31"/>
      <c r="P353" s="4">
        <v>1</v>
      </c>
      <c r="Q353" s="57">
        <v>0</v>
      </c>
      <c r="R353" s="57">
        <v>0</v>
      </c>
      <c r="S353" s="97">
        <v>0</v>
      </c>
      <c r="T353" s="57">
        <v>0</v>
      </c>
      <c r="U353" s="57">
        <v>0</v>
      </c>
      <c r="V353" s="57">
        <v>0</v>
      </c>
      <c r="W353" s="57">
        <v>0</v>
      </c>
      <c r="X353" s="94">
        <v>0</v>
      </c>
    </row>
    <row r="354" spans="1:24" x14ac:dyDescent="0.35">
      <c r="A354">
        <v>350</v>
      </c>
      <c r="B354">
        <v>351</v>
      </c>
      <c r="C354">
        <v>146.118811278999</v>
      </c>
      <c r="D354">
        <v>-17.6166355105</v>
      </c>
      <c r="F354" t="str">
        <f>HYPERLINK("D:\Data From Lucan\2024\Moresby\Frames_for_Analysis/351_20240611_0012_R_0868.jpg","351_20240611_0012_R_0868.jpg")</f>
        <v>351_20240611_0012_R_0868.jpg</v>
      </c>
      <c r="G354" s="92" t="s">
        <v>4232</v>
      </c>
      <c r="I354">
        <v>1</v>
      </c>
      <c r="K354" s="95">
        <v>1</v>
      </c>
      <c r="L354" s="31"/>
      <c r="M354" s="31"/>
      <c r="N354" s="31"/>
      <c r="O354" s="31"/>
      <c r="P354" s="4">
        <v>1</v>
      </c>
      <c r="Q354" s="57">
        <v>0</v>
      </c>
      <c r="R354" s="57">
        <v>0</v>
      </c>
      <c r="S354" s="97">
        <v>0</v>
      </c>
      <c r="T354" s="57">
        <v>0</v>
      </c>
      <c r="U354" s="57">
        <v>0</v>
      </c>
      <c r="V354" s="57">
        <v>0</v>
      </c>
      <c r="W354" s="57">
        <v>0</v>
      </c>
      <c r="X354" s="94">
        <v>0</v>
      </c>
    </row>
    <row r="355" spans="1:24" x14ac:dyDescent="0.35">
      <c r="A355">
        <v>351</v>
      </c>
      <c r="B355">
        <v>352</v>
      </c>
      <c r="C355">
        <v>146.11874001000001</v>
      </c>
      <c r="D355">
        <v>-17.616687630800001</v>
      </c>
      <c r="F355" t="str">
        <f>HYPERLINK("D:\Data From Lucan\2024\Moresby\Frames_for_Analysis/352_20240611_0012_R_0956.jpg","352_20240611_0012_R_0956.jpg")</f>
        <v>352_20240611_0012_R_0956.jpg</v>
      </c>
      <c r="G355" s="92" t="s">
        <v>4233</v>
      </c>
      <c r="I355">
        <v>1</v>
      </c>
      <c r="K355" s="95">
        <v>1</v>
      </c>
      <c r="L355" s="31"/>
      <c r="M355" s="31"/>
      <c r="N355" s="31"/>
      <c r="O355" s="31"/>
      <c r="P355" s="4">
        <v>1</v>
      </c>
      <c r="Q355" s="57">
        <v>0</v>
      </c>
      <c r="R355" s="57">
        <v>0</v>
      </c>
      <c r="S355" s="97">
        <v>0</v>
      </c>
      <c r="T355" s="57">
        <v>0</v>
      </c>
      <c r="U355" s="57">
        <v>0</v>
      </c>
      <c r="V355" s="57">
        <v>0</v>
      </c>
      <c r="W355" s="57">
        <v>0</v>
      </c>
      <c r="X355" s="94">
        <v>0</v>
      </c>
    </row>
    <row r="356" spans="1:24" x14ac:dyDescent="0.35">
      <c r="A356">
        <v>352</v>
      </c>
      <c r="B356">
        <v>353</v>
      </c>
      <c r="C356">
        <v>146.118668837</v>
      </c>
      <c r="D356">
        <v>-17.6167398676</v>
      </c>
      <c r="F356" t="str">
        <f>HYPERLINK("D:\Data From Lucan\2024\Moresby\Frames_for_Analysis/353_20240611_0012_R_0862.jpg","353_20240611_0012_R_0862.jpg")</f>
        <v>353_20240611_0012_R_0862.jpg</v>
      </c>
      <c r="G356" s="92" t="s">
        <v>4234</v>
      </c>
      <c r="I356">
        <v>1</v>
      </c>
      <c r="K356" s="95">
        <v>1</v>
      </c>
      <c r="L356" s="31"/>
      <c r="M356" s="31"/>
      <c r="N356" s="31"/>
      <c r="O356" s="31"/>
      <c r="P356" s="4">
        <v>1</v>
      </c>
      <c r="Q356" s="57">
        <v>0</v>
      </c>
      <c r="R356" s="57">
        <v>0</v>
      </c>
      <c r="S356" s="97">
        <v>0</v>
      </c>
      <c r="T356" s="57">
        <v>0</v>
      </c>
      <c r="U356" s="57">
        <v>0</v>
      </c>
      <c r="V356" s="57">
        <v>0</v>
      </c>
      <c r="W356" s="57">
        <v>0</v>
      </c>
      <c r="X356" s="94">
        <v>0</v>
      </c>
    </row>
    <row r="357" spans="1:24" x14ac:dyDescent="0.35">
      <c r="A357">
        <v>353</v>
      </c>
      <c r="B357">
        <v>354</v>
      </c>
      <c r="C357">
        <v>146.11859856800001</v>
      </c>
      <c r="D357">
        <v>-17.616793207600001</v>
      </c>
      <c r="F357" t="str">
        <f>HYPERLINK("D:\Data From Lucan\2024\Moresby\Frames_for_Analysis/354_20240611_0012_R_0853.jpg","354_20240611_0012_R_0853.jpg")</f>
        <v>354_20240611_0012_R_0853.jpg</v>
      </c>
      <c r="G357" s="92" t="s">
        <v>4235</v>
      </c>
      <c r="I357">
        <v>1</v>
      </c>
      <c r="K357" s="95">
        <v>1</v>
      </c>
      <c r="L357" s="31"/>
      <c r="M357" s="31"/>
      <c r="N357" s="31"/>
      <c r="O357" s="31"/>
      <c r="P357" s="4">
        <v>1</v>
      </c>
      <c r="Q357" s="57">
        <v>0</v>
      </c>
      <c r="R357" s="57">
        <v>0</v>
      </c>
      <c r="S357" s="97">
        <v>0</v>
      </c>
      <c r="T357" s="57">
        <v>0</v>
      </c>
      <c r="U357" s="57">
        <v>0</v>
      </c>
      <c r="V357" s="57">
        <v>0</v>
      </c>
      <c r="W357" s="57">
        <v>0</v>
      </c>
      <c r="X357" s="94">
        <v>0</v>
      </c>
    </row>
    <row r="358" spans="1:24" x14ac:dyDescent="0.35">
      <c r="A358">
        <v>354</v>
      </c>
      <c r="B358">
        <v>355</v>
      </c>
      <c r="C358">
        <v>146.11852830000001</v>
      </c>
      <c r="D358">
        <v>-17.616846547600002</v>
      </c>
      <c r="E358">
        <v>50</v>
      </c>
      <c r="F358" t="str">
        <f>HYPERLINK("D:\Data From Lucan\2024\Moresby\Frames_for_Analysis/355_20240611_0012_R_0849.jpg","355_20240611_0012_R_0849.jpg")</f>
        <v>355_20240611_0012_R_0849.jpg</v>
      </c>
      <c r="G358" s="92" t="s">
        <v>4236</v>
      </c>
      <c r="I358">
        <v>1</v>
      </c>
      <c r="K358" s="95">
        <v>1</v>
      </c>
      <c r="L358" s="31"/>
      <c r="M358" s="31"/>
      <c r="N358" s="31"/>
      <c r="O358" s="31"/>
      <c r="P358" s="4">
        <v>1</v>
      </c>
      <c r="Q358" s="57">
        <v>0</v>
      </c>
      <c r="R358" s="57">
        <v>0</v>
      </c>
      <c r="S358" s="97">
        <v>0</v>
      </c>
      <c r="T358" s="57">
        <v>0</v>
      </c>
      <c r="U358" s="57">
        <v>0</v>
      </c>
      <c r="V358" s="57">
        <v>0</v>
      </c>
      <c r="W358" s="57">
        <v>0</v>
      </c>
      <c r="X358" s="94">
        <v>0</v>
      </c>
    </row>
    <row r="359" spans="1:24" x14ac:dyDescent="0.35">
      <c r="A359">
        <v>355</v>
      </c>
      <c r="B359">
        <v>356</v>
      </c>
      <c r="C359">
        <v>146.11845803099899</v>
      </c>
      <c r="D359">
        <v>-17.616899887599899</v>
      </c>
      <c r="F359" t="str">
        <f>HYPERLINK("D:\Data From Lucan\2024\Moresby\Frames_for_Analysis/356_20240611_0012_R_0812.jpg","356_20240611_0012_R_0812.jpg")</f>
        <v>356_20240611_0012_R_0812.jpg</v>
      </c>
      <c r="G359" s="92" t="s">
        <v>4237</v>
      </c>
      <c r="I359">
        <v>1</v>
      </c>
      <c r="K359" s="95">
        <v>1</v>
      </c>
      <c r="L359" s="31"/>
      <c r="M359" s="31"/>
      <c r="N359" s="31"/>
      <c r="O359" s="31"/>
      <c r="P359" s="4">
        <v>1</v>
      </c>
      <c r="Q359" s="57">
        <v>0</v>
      </c>
      <c r="R359" s="57">
        <v>0</v>
      </c>
      <c r="S359" s="97">
        <v>0</v>
      </c>
      <c r="T359" s="57">
        <v>0</v>
      </c>
      <c r="U359" s="57">
        <v>0</v>
      </c>
      <c r="V359" s="57">
        <v>0</v>
      </c>
      <c r="W359" s="57">
        <v>0</v>
      </c>
      <c r="X359" s="94">
        <v>0</v>
      </c>
    </row>
    <row r="360" spans="1:24" x14ac:dyDescent="0.35">
      <c r="A360">
        <v>356</v>
      </c>
      <c r="B360">
        <v>357</v>
      </c>
      <c r="C360">
        <v>146.118387761999</v>
      </c>
      <c r="D360">
        <v>-17.616953227500002</v>
      </c>
      <c r="F360" t="str">
        <f>HYPERLINK("D:\Data From Lucan\2024\Moresby\Frames_for_Analysis/357_20240611_0012_R_0836.jpg","357_20240611_0012_R_0836.jpg")</f>
        <v>357_20240611_0012_R_0836.jpg</v>
      </c>
      <c r="G360" s="92" t="s">
        <v>4238</v>
      </c>
      <c r="I360">
        <v>1</v>
      </c>
      <c r="K360" s="95">
        <v>1</v>
      </c>
      <c r="L360" s="31"/>
      <c r="M360" s="31"/>
      <c r="N360" s="31"/>
      <c r="O360" s="31"/>
      <c r="P360" s="4">
        <v>1</v>
      </c>
      <c r="Q360" s="57">
        <v>0</v>
      </c>
      <c r="R360" s="57">
        <v>0</v>
      </c>
      <c r="S360" s="97">
        <v>0</v>
      </c>
      <c r="T360" s="57">
        <v>0</v>
      </c>
      <c r="U360" s="57">
        <v>0</v>
      </c>
      <c r="V360" s="57">
        <v>0</v>
      </c>
      <c r="W360" s="57">
        <v>0</v>
      </c>
      <c r="X360" s="94">
        <v>0</v>
      </c>
    </row>
    <row r="361" spans="1:24" x14ac:dyDescent="0.35">
      <c r="A361">
        <v>357</v>
      </c>
      <c r="B361">
        <v>358</v>
      </c>
      <c r="C361">
        <v>146.11835037700001</v>
      </c>
      <c r="D361">
        <v>-17.617028619500001</v>
      </c>
      <c r="F361" t="str">
        <f>HYPERLINK("D:\Data From Lucan\2024\Moresby\Frames_for_Analysis/358_20240611_0012_R_0831.jpg","358_20240611_0012_R_0831.jpg")</f>
        <v>358_20240611_0012_R_0831.jpg</v>
      </c>
      <c r="G361" s="92" t="s">
        <v>4239</v>
      </c>
      <c r="I361">
        <v>1</v>
      </c>
      <c r="K361" s="95">
        <v>1</v>
      </c>
      <c r="L361" s="31"/>
      <c r="M361" s="31"/>
      <c r="N361" s="31"/>
      <c r="O361" s="31"/>
      <c r="P361" s="4">
        <v>1</v>
      </c>
      <c r="Q361" s="57">
        <v>0</v>
      </c>
      <c r="R361" s="57">
        <v>0</v>
      </c>
      <c r="S361" s="97">
        <v>0</v>
      </c>
      <c r="T361" s="57">
        <v>0</v>
      </c>
      <c r="U361" s="57">
        <v>0</v>
      </c>
      <c r="V361" s="57">
        <v>0</v>
      </c>
      <c r="W361" s="57">
        <v>0</v>
      </c>
      <c r="X361" s="94">
        <v>0</v>
      </c>
    </row>
    <row r="362" spans="1:24" x14ac:dyDescent="0.35">
      <c r="A362">
        <v>358</v>
      </c>
      <c r="B362">
        <v>359</v>
      </c>
      <c r="C362">
        <v>146.11832143199899</v>
      </c>
      <c r="D362">
        <v>-17.617109671600002</v>
      </c>
      <c r="F362" t="str">
        <f>HYPERLINK("D:\Data From Lucan\2024\Moresby\Frames_for_Analysis/359_20240611_0012_R_0805.jpg","359_20240611_0012_R_0805.jpg")</f>
        <v>359_20240611_0012_R_0805.jpg</v>
      </c>
      <c r="G362" s="92" t="s">
        <v>4240</v>
      </c>
      <c r="I362">
        <v>1</v>
      </c>
      <c r="K362" s="95">
        <v>1</v>
      </c>
      <c r="L362" s="31"/>
      <c r="M362" s="31"/>
      <c r="N362" s="31"/>
      <c r="O362" s="31"/>
      <c r="P362" s="4">
        <v>1</v>
      </c>
      <c r="Q362" s="57">
        <v>0</v>
      </c>
      <c r="R362" s="57">
        <v>0</v>
      </c>
      <c r="S362" s="97">
        <v>0</v>
      </c>
      <c r="T362" s="57">
        <v>0</v>
      </c>
      <c r="U362" s="57">
        <v>0</v>
      </c>
      <c r="V362" s="57">
        <v>0</v>
      </c>
      <c r="W362" s="57">
        <v>0</v>
      </c>
      <c r="X362" s="94">
        <v>0</v>
      </c>
    </row>
    <row r="363" spans="1:24" x14ac:dyDescent="0.35">
      <c r="A363">
        <v>359</v>
      </c>
      <c r="B363">
        <v>360</v>
      </c>
      <c r="C363">
        <v>146.118292486999</v>
      </c>
      <c r="D363">
        <v>-17.617190723699899</v>
      </c>
      <c r="E363">
        <v>50</v>
      </c>
      <c r="F363" t="str">
        <f>HYPERLINK("D:\Data From Lucan\2024\Moresby\Frames_for_Analysis/360_20240611_0012_R_0802.jpg","360_20240611_0012_R_0802.jpg")</f>
        <v>360_20240611_0012_R_0802.jpg</v>
      </c>
      <c r="G363" s="92" t="s">
        <v>4241</v>
      </c>
      <c r="I363">
        <v>1</v>
      </c>
      <c r="K363" s="95">
        <v>1</v>
      </c>
      <c r="L363" s="31"/>
      <c r="M363" s="31"/>
      <c r="N363" s="31"/>
      <c r="O363" s="31"/>
      <c r="P363" s="4">
        <v>1</v>
      </c>
      <c r="Q363" s="57">
        <v>0</v>
      </c>
      <c r="R363" s="57">
        <v>0</v>
      </c>
      <c r="S363" s="97">
        <v>0</v>
      </c>
      <c r="T363" s="57">
        <v>0</v>
      </c>
      <c r="U363" s="57">
        <v>0</v>
      </c>
      <c r="V363" s="57">
        <v>0</v>
      </c>
      <c r="W363" s="57">
        <v>0</v>
      </c>
      <c r="X363" s="94">
        <v>0</v>
      </c>
    </row>
    <row r="364" spans="1:24" x14ac:dyDescent="0.35">
      <c r="A364">
        <v>360</v>
      </c>
      <c r="B364">
        <v>361</v>
      </c>
      <c r="C364">
        <v>146.11831490200001</v>
      </c>
      <c r="D364">
        <v>-17.617272896500001</v>
      </c>
      <c r="F364" t="str">
        <f>HYPERLINK("D:\Data From Lucan\2024\Moresby\Frames_for_Analysis/361_20240611_0012_R_0798.jpg","361_20240611_0012_R_0798.jpg")</f>
        <v>361_20240611_0012_R_0798.jpg</v>
      </c>
      <c r="G364" s="92" t="s">
        <v>4242</v>
      </c>
      <c r="I364">
        <v>1</v>
      </c>
      <c r="K364" s="95">
        <v>1</v>
      </c>
      <c r="L364" s="31"/>
      <c r="M364" s="31"/>
      <c r="N364" s="31"/>
      <c r="O364" s="31"/>
      <c r="P364" s="4">
        <v>1</v>
      </c>
      <c r="Q364" s="57">
        <v>0</v>
      </c>
      <c r="R364" s="57">
        <v>0</v>
      </c>
      <c r="S364" s="97">
        <v>0</v>
      </c>
      <c r="T364" s="57">
        <v>0</v>
      </c>
      <c r="U364" s="57">
        <v>0</v>
      </c>
      <c r="V364" s="57">
        <v>0</v>
      </c>
      <c r="W364" s="57">
        <v>0</v>
      </c>
      <c r="X364" s="94">
        <v>0</v>
      </c>
    </row>
    <row r="365" spans="1:24" x14ac:dyDescent="0.35">
      <c r="A365">
        <v>361</v>
      </c>
      <c r="B365">
        <v>362</v>
      </c>
      <c r="C365">
        <v>146.11833570300001</v>
      </c>
      <c r="D365">
        <v>-17.6173555363</v>
      </c>
      <c r="G365" s="92"/>
      <c r="I365">
        <v>1</v>
      </c>
      <c r="J365" t="s">
        <v>26</v>
      </c>
      <c r="K365" s="95" t="s">
        <v>26</v>
      </c>
      <c r="L365" s="31"/>
      <c r="M365" s="31"/>
      <c r="N365" s="31"/>
      <c r="O365" s="31"/>
      <c r="P365" s="4"/>
      <c r="X365" s="94"/>
    </row>
    <row r="366" spans="1:24" x14ac:dyDescent="0.35">
      <c r="A366">
        <v>362</v>
      </c>
      <c r="B366">
        <v>363</v>
      </c>
      <c r="C366">
        <v>146.11832859800001</v>
      </c>
      <c r="D366">
        <v>-17.617440886499899</v>
      </c>
      <c r="F366" t="str">
        <f>HYPERLINK("D:\Data From Lucan\2024\Moresby\Frames_for_Analysis/363_20240611_0012_R_0794.jpg","363_20240611_0012_R_0794.jpg")</f>
        <v>363_20240611_0012_R_0794.jpg</v>
      </c>
      <c r="G366" s="92" t="s">
        <v>4243</v>
      </c>
      <c r="I366">
        <v>1</v>
      </c>
      <c r="K366" s="95">
        <v>1</v>
      </c>
      <c r="L366" s="31"/>
      <c r="M366" s="31"/>
      <c r="N366" s="31"/>
      <c r="O366" s="31"/>
      <c r="P366" s="4">
        <v>1</v>
      </c>
      <c r="Q366" s="57">
        <v>0</v>
      </c>
      <c r="R366" s="57">
        <v>0</v>
      </c>
      <c r="S366" s="97">
        <v>0</v>
      </c>
      <c r="T366" s="57">
        <v>0</v>
      </c>
      <c r="U366" s="57">
        <v>0</v>
      </c>
      <c r="V366" s="57">
        <v>0</v>
      </c>
      <c r="W366" s="57">
        <v>0</v>
      </c>
      <c r="X366" s="94">
        <v>0</v>
      </c>
    </row>
    <row r="367" spans="1:24" x14ac:dyDescent="0.35">
      <c r="A367">
        <v>363</v>
      </c>
      <c r="B367">
        <v>364</v>
      </c>
      <c r="C367">
        <v>146.118321492999</v>
      </c>
      <c r="D367">
        <v>-17.6175262366</v>
      </c>
      <c r="F367" t="str">
        <f>HYPERLINK("D:\Data From Lucan\2024\Moresby\Frames_for_Analysis/364_20240611_0012_R_0796.jpg","364_20240611_0012_R_0796.jpg")</f>
        <v>364_20240611_0012_R_0796.jpg</v>
      </c>
      <c r="G367" s="92" t="s">
        <v>4244</v>
      </c>
      <c r="I367">
        <v>1</v>
      </c>
      <c r="K367" s="95">
        <v>1</v>
      </c>
      <c r="L367" s="31"/>
      <c r="M367" s="31"/>
      <c r="N367" s="31"/>
      <c r="O367" s="31"/>
      <c r="P367" s="4">
        <v>1</v>
      </c>
      <c r="Q367" s="57">
        <v>0</v>
      </c>
      <c r="R367" s="57">
        <v>0</v>
      </c>
      <c r="S367" s="97">
        <v>0</v>
      </c>
      <c r="T367" s="57">
        <v>0</v>
      </c>
      <c r="U367" s="57">
        <v>0</v>
      </c>
      <c r="V367" s="57">
        <v>0</v>
      </c>
      <c r="W367" s="57">
        <v>0</v>
      </c>
      <c r="X367" s="94">
        <v>0</v>
      </c>
    </row>
    <row r="368" spans="1:24" x14ac:dyDescent="0.35">
      <c r="A368">
        <v>364</v>
      </c>
      <c r="B368">
        <v>365</v>
      </c>
      <c r="C368">
        <v>146.11831438799899</v>
      </c>
      <c r="D368">
        <v>-17.617611586599899</v>
      </c>
      <c r="E368">
        <v>50</v>
      </c>
      <c r="F368" t="str">
        <f>HYPERLINK("D:\Data From Lucan\2024\Moresby\Frames_for_Analysis/365_20240611_0012_R_0791.jpg","365_20240611_0012_R_0791.jpg")</f>
        <v>365_20240611_0012_R_0791.jpg</v>
      </c>
      <c r="G368" s="92" t="s">
        <v>4245</v>
      </c>
      <c r="I368">
        <v>1</v>
      </c>
      <c r="K368" s="95">
        <v>1</v>
      </c>
      <c r="L368" s="31"/>
      <c r="M368" s="31"/>
      <c r="N368" s="31"/>
      <c r="O368" s="31"/>
      <c r="P368" s="4">
        <v>1</v>
      </c>
      <c r="Q368" s="57">
        <v>0</v>
      </c>
      <c r="R368" s="57">
        <v>0</v>
      </c>
      <c r="S368" s="97">
        <v>0</v>
      </c>
      <c r="T368" s="57">
        <v>0</v>
      </c>
      <c r="U368" s="57">
        <v>0</v>
      </c>
      <c r="V368" s="57">
        <v>0</v>
      </c>
      <c r="W368" s="57">
        <v>0</v>
      </c>
      <c r="X368" s="94">
        <v>0</v>
      </c>
    </row>
    <row r="369" spans="1:24" x14ac:dyDescent="0.35">
      <c r="A369">
        <v>365</v>
      </c>
      <c r="B369">
        <v>366</v>
      </c>
      <c r="C369">
        <v>146.118307283999</v>
      </c>
      <c r="D369">
        <v>-17.617696936600002</v>
      </c>
      <c r="F369" t="str">
        <f>HYPERLINK("D:\Data From Lucan\2024\Moresby\Frames_for_Analysis/366_20240611_0012_R_0787.jpg","366_20240611_0012_R_0787.jpg")</f>
        <v>366_20240611_0012_R_0787.jpg</v>
      </c>
      <c r="G369" s="92" t="s">
        <v>4246</v>
      </c>
      <c r="I369">
        <v>1</v>
      </c>
      <c r="K369" s="95">
        <v>1</v>
      </c>
      <c r="L369" s="31"/>
      <c r="M369" s="31"/>
      <c r="N369" s="31"/>
      <c r="O369" s="31"/>
      <c r="P369" s="4">
        <v>1</v>
      </c>
      <c r="Q369" s="57">
        <v>0</v>
      </c>
      <c r="R369" s="57">
        <v>0</v>
      </c>
      <c r="S369" s="97">
        <v>0</v>
      </c>
      <c r="T369" s="57">
        <v>0</v>
      </c>
      <c r="U369" s="57">
        <v>0</v>
      </c>
      <c r="V369" s="57">
        <v>0</v>
      </c>
      <c r="W369" s="57">
        <v>0</v>
      </c>
      <c r="X369" s="94">
        <v>0</v>
      </c>
    </row>
    <row r="370" spans="1:24" x14ac:dyDescent="0.35">
      <c r="A370">
        <v>366</v>
      </c>
      <c r="B370">
        <v>367</v>
      </c>
      <c r="C370">
        <v>146.11830017899899</v>
      </c>
      <c r="D370">
        <v>-17.617782286600001</v>
      </c>
      <c r="F370" t="str">
        <f>HYPERLINK("D:\Data From Lucan\2024\Moresby\Frames_for_Analysis/367_20240611_0012_R_0786.jpg","367_20240611_0012_R_0786.jpg")</f>
        <v>367_20240611_0012_R_0786.jpg</v>
      </c>
      <c r="G370" s="92" t="s">
        <v>4247</v>
      </c>
      <c r="I370">
        <v>1</v>
      </c>
      <c r="K370" s="95">
        <v>1</v>
      </c>
      <c r="L370" s="31"/>
      <c r="M370" s="31"/>
      <c r="N370" s="31"/>
      <c r="O370" s="31"/>
      <c r="P370" s="4">
        <v>1</v>
      </c>
      <c r="Q370" s="57">
        <v>0</v>
      </c>
      <c r="R370" s="57">
        <v>0</v>
      </c>
      <c r="S370" s="97">
        <v>0</v>
      </c>
      <c r="T370" s="57">
        <v>0</v>
      </c>
      <c r="U370" s="57">
        <v>0</v>
      </c>
      <c r="V370" s="57">
        <v>0</v>
      </c>
      <c r="W370" s="57">
        <v>0</v>
      </c>
      <c r="X370" s="94">
        <v>0</v>
      </c>
    </row>
    <row r="371" spans="1:24" x14ac:dyDescent="0.35">
      <c r="A371">
        <v>367</v>
      </c>
      <c r="B371">
        <v>368</v>
      </c>
      <c r="C371">
        <v>146.118245685999</v>
      </c>
      <c r="D371">
        <v>-17.617826253</v>
      </c>
      <c r="F371" t="str">
        <f>HYPERLINK("D:\Data From Lucan\2024\Moresby\Frames_for_Analysis/368_20240611_0012_R_0784.jpg","368_20240611_0012_R_0784.jpg")</f>
        <v>368_20240611_0012_R_0784.jpg</v>
      </c>
      <c r="G371" s="92" t="s">
        <v>4248</v>
      </c>
      <c r="I371">
        <v>1</v>
      </c>
      <c r="K371" s="95">
        <v>1</v>
      </c>
      <c r="L371" s="31"/>
      <c r="M371" s="31"/>
      <c r="N371" s="31"/>
      <c r="O371" s="31"/>
      <c r="P371" s="4">
        <v>1</v>
      </c>
      <c r="Q371" s="57">
        <v>0</v>
      </c>
      <c r="R371" s="57">
        <v>0</v>
      </c>
      <c r="S371" s="97">
        <v>0</v>
      </c>
      <c r="T371" s="57">
        <v>0</v>
      </c>
      <c r="U371" s="57">
        <v>0</v>
      </c>
      <c r="V371" s="57">
        <v>0</v>
      </c>
      <c r="W371" s="57">
        <v>0</v>
      </c>
      <c r="X371" s="94">
        <v>0</v>
      </c>
    </row>
    <row r="372" spans="1:24" x14ac:dyDescent="0.35">
      <c r="A372">
        <v>368</v>
      </c>
      <c r="B372">
        <v>369</v>
      </c>
      <c r="C372">
        <v>146.118155854999</v>
      </c>
      <c r="D372">
        <v>-17.6178258511999</v>
      </c>
      <c r="F372" t="str">
        <f>HYPERLINK("D:\Data From Lucan\2024\Moresby\Frames_for_Analysis/369_20240611_0012_R_0783.jpg","369_20240611_0012_R_0783.jpg")</f>
        <v>369_20240611_0012_R_0783.jpg</v>
      </c>
      <c r="G372" s="92" t="s">
        <v>4249</v>
      </c>
      <c r="I372">
        <v>1</v>
      </c>
      <c r="K372" s="95">
        <v>1</v>
      </c>
      <c r="L372" s="31"/>
      <c r="M372" s="31"/>
      <c r="N372" s="31"/>
      <c r="O372" s="31"/>
      <c r="P372" s="4">
        <v>1</v>
      </c>
      <c r="Q372" s="57">
        <v>0</v>
      </c>
      <c r="R372" s="57">
        <v>0</v>
      </c>
      <c r="S372" s="97">
        <v>0</v>
      </c>
      <c r="T372" s="57">
        <v>0</v>
      </c>
      <c r="U372" s="57">
        <v>0</v>
      </c>
      <c r="V372" s="57">
        <v>0</v>
      </c>
      <c r="W372" s="57">
        <v>0</v>
      </c>
      <c r="X372" s="94">
        <v>0</v>
      </c>
    </row>
    <row r="373" spans="1:24" x14ac:dyDescent="0.35">
      <c r="A373">
        <v>369</v>
      </c>
      <c r="B373">
        <v>370</v>
      </c>
      <c r="C373">
        <v>146.11806819700001</v>
      </c>
      <c r="D373">
        <v>-17.6178410943999</v>
      </c>
      <c r="E373">
        <v>50</v>
      </c>
      <c r="F373" t="str">
        <f>HYPERLINK("D:\Data From Lucan\2024\Moresby\Frames_for_Analysis/370_20240611_0012_R_0782.jpg","370_20240611_0012_R_0782.jpg")</f>
        <v>370_20240611_0012_R_0782.jpg</v>
      </c>
      <c r="G373" s="92" t="s">
        <v>4250</v>
      </c>
      <c r="I373">
        <v>1</v>
      </c>
      <c r="K373" s="95">
        <v>1</v>
      </c>
      <c r="L373" s="31"/>
      <c r="M373" s="31"/>
      <c r="N373" s="31"/>
      <c r="O373" s="31"/>
      <c r="P373" s="4">
        <v>1</v>
      </c>
      <c r="Q373" s="57">
        <v>0</v>
      </c>
      <c r="R373" s="57">
        <v>0</v>
      </c>
      <c r="S373" s="97">
        <v>0</v>
      </c>
      <c r="T373" s="57">
        <v>0</v>
      </c>
      <c r="U373" s="57">
        <v>0</v>
      </c>
      <c r="V373" s="57">
        <v>0</v>
      </c>
      <c r="W373" s="57">
        <v>0</v>
      </c>
      <c r="X373" s="94">
        <v>0</v>
      </c>
    </row>
    <row r="374" spans="1:24" x14ac:dyDescent="0.35">
      <c r="A374">
        <v>370</v>
      </c>
      <c r="B374">
        <v>371</v>
      </c>
      <c r="C374">
        <v>146.117985602999</v>
      </c>
      <c r="D374">
        <v>-17.6178713983</v>
      </c>
      <c r="F374" t="str">
        <f>HYPERLINK("D:\Data From Lucan\2024\Moresby\Frames_for_Analysis/371_20240611_0012_R_0780.jpg","371_20240611_0012_R_0780.jpg")</f>
        <v>371_20240611_0012_R_0780.jpg</v>
      </c>
      <c r="G374" s="92" t="s">
        <v>4251</v>
      </c>
      <c r="I374">
        <v>1</v>
      </c>
      <c r="K374" s="95">
        <v>1</v>
      </c>
      <c r="L374" s="31"/>
      <c r="M374" s="31"/>
      <c r="N374" s="31"/>
      <c r="O374" s="31"/>
      <c r="P374" s="4">
        <v>1</v>
      </c>
      <c r="Q374" s="57">
        <v>0</v>
      </c>
      <c r="R374" s="57">
        <v>0</v>
      </c>
      <c r="S374" s="97">
        <v>0</v>
      </c>
      <c r="T374" s="57">
        <v>0</v>
      </c>
      <c r="U374" s="57">
        <v>0</v>
      </c>
      <c r="V374" s="57">
        <v>0</v>
      </c>
      <c r="W374" s="57">
        <v>0</v>
      </c>
      <c r="X374" s="94">
        <v>0</v>
      </c>
    </row>
    <row r="375" spans="1:24" x14ac:dyDescent="0.35">
      <c r="A375">
        <v>371</v>
      </c>
      <c r="B375">
        <v>372</v>
      </c>
      <c r="C375">
        <v>146.11791487299899</v>
      </c>
      <c r="D375">
        <v>-17.617924180300001</v>
      </c>
      <c r="F375" t="str">
        <f>HYPERLINK("D:\Data From Lucan\2024\Moresby\Frames_for_Analysis/372_20240611_0012_R_0775.jpg","372_20240611_0012_R_0775.jpg")</f>
        <v>372_20240611_0012_R_0775.jpg</v>
      </c>
      <c r="G375" s="92" t="s">
        <v>4252</v>
      </c>
      <c r="I375">
        <v>1</v>
      </c>
      <c r="K375" s="95">
        <v>1</v>
      </c>
      <c r="L375" s="31"/>
      <c r="M375" s="31"/>
      <c r="N375" s="31"/>
      <c r="O375" s="31"/>
      <c r="P375" s="4">
        <v>1</v>
      </c>
      <c r="Q375" s="57">
        <v>0</v>
      </c>
      <c r="R375" s="57">
        <v>0</v>
      </c>
      <c r="S375" s="97">
        <v>0</v>
      </c>
      <c r="T375" s="57">
        <v>0</v>
      </c>
      <c r="U375" s="57">
        <v>0</v>
      </c>
      <c r="V375" s="57">
        <v>0</v>
      </c>
      <c r="W375" s="57">
        <v>0</v>
      </c>
      <c r="X375" s="94">
        <v>0</v>
      </c>
    </row>
    <row r="376" spans="1:24" x14ac:dyDescent="0.35">
      <c r="A376">
        <v>372</v>
      </c>
      <c r="B376">
        <v>373</v>
      </c>
      <c r="C376">
        <v>146.117859613999</v>
      </c>
      <c r="D376">
        <v>-17.617991308600001</v>
      </c>
      <c r="F376" t="str">
        <f>HYPERLINK("D:\Data From Lucan\2024\Moresby\Frames_for_Analysis/373_20240611_0012_R_0773.jpg","373_20240611_0012_R_0773.jpg")</f>
        <v>373_20240611_0012_R_0773.jpg</v>
      </c>
      <c r="G376" s="92" t="s">
        <v>4253</v>
      </c>
      <c r="I376">
        <v>1</v>
      </c>
      <c r="K376" s="95">
        <v>1</v>
      </c>
      <c r="L376" s="31"/>
      <c r="M376" s="31"/>
      <c r="N376" s="31"/>
      <c r="O376" s="31"/>
      <c r="P376" s="4">
        <v>1</v>
      </c>
      <c r="Q376" s="57">
        <v>0</v>
      </c>
      <c r="R376" s="57">
        <v>0</v>
      </c>
      <c r="S376" s="97">
        <v>0</v>
      </c>
      <c r="T376" s="57">
        <v>0</v>
      </c>
      <c r="U376" s="57">
        <v>0</v>
      </c>
      <c r="V376" s="57">
        <v>0</v>
      </c>
      <c r="W376" s="57">
        <v>0</v>
      </c>
      <c r="X376" s="94">
        <v>0</v>
      </c>
    </row>
    <row r="377" spans="1:24" x14ac:dyDescent="0.35">
      <c r="A377">
        <v>373</v>
      </c>
      <c r="B377">
        <v>374</v>
      </c>
      <c r="C377">
        <v>146.11780694800001</v>
      </c>
      <c r="D377">
        <v>-17.6180606138999</v>
      </c>
      <c r="F377" t="str">
        <f>HYPERLINK("D:\Data From Lucan\2024\Moresby\Frames_for_Analysis/374_20240611_0012_R_0771.jpg","374_20240611_0012_R_0771.jpg")</f>
        <v>374_20240611_0012_R_0771.jpg</v>
      </c>
      <c r="G377" s="92" t="s">
        <v>4254</v>
      </c>
      <c r="I377">
        <v>1</v>
      </c>
      <c r="K377" s="95">
        <v>1</v>
      </c>
      <c r="L377" s="31"/>
      <c r="M377" s="31"/>
      <c r="N377" s="31"/>
      <c r="O377" s="31"/>
      <c r="P377" s="4">
        <v>1</v>
      </c>
      <c r="Q377" s="57">
        <v>0</v>
      </c>
      <c r="R377" s="57">
        <v>0</v>
      </c>
      <c r="S377" s="97">
        <v>0</v>
      </c>
      <c r="T377" s="57">
        <v>0</v>
      </c>
      <c r="U377" s="57">
        <v>0</v>
      </c>
      <c r="V377" s="57">
        <v>0</v>
      </c>
      <c r="W377" s="57">
        <v>0</v>
      </c>
      <c r="X377" s="94">
        <v>0</v>
      </c>
    </row>
    <row r="378" spans="1:24" x14ac:dyDescent="0.35">
      <c r="A378">
        <v>374</v>
      </c>
      <c r="B378">
        <v>375</v>
      </c>
      <c r="C378">
        <v>146.117762083999</v>
      </c>
      <c r="D378">
        <v>-17.618134790100001</v>
      </c>
      <c r="E378">
        <v>50</v>
      </c>
      <c r="F378" t="str">
        <f>HYPERLINK("D:\Data From Lucan\2024\Moresby\Frames_for_Analysis/375_20240611_0012_R_0768.jpg","375_20240611_0012_R_0768.jpg")</f>
        <v>375_20240611_0012_R_0768.jpg</v>
      </c>
      <c r="G378" s="92" t="s">
        <v>4255</v>
      </c>
      <c r="I378">
        <v>1</v>
      </c>
      <c r="K378" s="95">
        <v>1</v>
      </c>
      <c r="L378" s="31"/>
      <c r="M378" s="31"/>
      <c r="N378" s="31"/>
      <c r="O378" s="31"/>
      <c r="P378" s="4">
        <v>1</v>
      </c>
      <c r="Q378" s="57">
        <v>0</v>
      </c>
      <c r="R378" s="57">
        <v>0</v>
      </c>
      <c r="S378" s="97">
        <v>0</v>
      </c>
      <c r="T378" s="57">
        <v>0</v>
      </c>
      <c r="U378" s="57">
        <v>0</v>
      </c>
      <c r="V378" s="57">
        <v>0</v>
      </c>
      <c r="W378" s="57">
        <v>0</v>
      </c>
      <c r="X378" s="94">
        <v>0</v>
      </c>
    </row>
    <row r="379" spans="1:24" x14ac:dyDescent="0.35">
      <c r="A379">
        <v>375</v>
      </c>
      <c r="B379">
        <v>376</v>
      </c>
      <c r="C379">
        <v>146.117717220999</v>
      </c>
      <c r="D379">
        <v>-17.618208966200001</v>
      </c>
      <c r="F379" t="str">
        <f>HYPERLINK("D:\Data From Lucan\2024\Moresby\Frames_for_Analysis/376_20240611_0012_R_0766.jpg","376_20240611_0012_R_0766.jpg")</f>
        <v>376_20240611_0012_R_0766.jpg</v>
      </c>
      <c r="G379" s="92" t="s">
        <v>4256</v>
      </c>
      <c r="I379">
        <v>1</v>
      </c>
      <c r="K379" s="95">
        <v>1</v>
      </c>
      <c r="L379" s="31"/>
      <c r="M379" s="31"/>
      <c r="N379" s="31"/>
      <c r="O379" s="31"/>
      <c r="P379" s="4">
        <v>1</v>
      </c>
      <c r="Q379" s="57">
        <v>0</v>
      </c>
      <c r="R379" s="57">
        <v>0</v>
      </c>
      <c r="S379" s="97">
        <v>0</v>
      </c>
      <c r="T379" s="57">
        <v>0</v>
      </c>
      <c r="U379" s="57">
        <v>0</v>
      </c>
      <c r="V379" s="57">
        <v>0</v>
      </c>
      <c r="W379" s="57">
        <v>0</v>
      </c>
      <c r="X379" s="94">
        <v>0</v>
      </c>
    </row>
    <row r="380" spans="1:24" x14ac:dyDescent="0.35">
      <c r="A380">
        <v>376</v>
      </c>
      <c r="B380">
        <v>377</v>
      </c>
      <c r="C380">
        <v>146.117672357999</v>
      </c>
      <c r="D380">
        <v>-17.6182831421999</v>
      </c>
      <c r="F380" t="str">
        <f>HYPERLINK("D:\Data From Lucan\2024\Moresby\Frames_for_Analysis/377_20240611_0012_R_0764.jpg","377_20240611_0012_R_0764.jpg")</f>
        <v>377_20240611_0012_R_0764.jpg</v>
      </c>
      <c r="G380" s="92" t="s">
        <v>4257</v>
      </c>
      <c r="I380">
        <v>1</v>
      </c>
      <c r="K380" s="95">
        <v>1</v>
      </c>
      <c r="L380" s="31"/>
      <c r="M380" s="31"/>
      <c r="N380" s="31"/>
      <c r="O380" s="31"/>
      <c r="P380" s="4">
        <v>1</v>
      </c>
      <c r="Q380" s="57">
        <v>0</v>
      </c>
      <c r="R380" s="57">
        <v>0</v>
      </c>
      <c r="S380" s="97">
        <v>0</v>
      </c>
      <c r="T380" s="57">
        <v>0</v>
      </c>
      <c r="U380" s="57">
        <v>0</v>
      </c>
      <c r="V380" s="57">
        <v>0</v>
      </c>
      <c r="W380" s="57">
        <v>0</v>
      </c>
      <c r="X380" s="94">
        <v>0</v>
      </c>
    </row>
    <row r="381" spans="1:24" x14ac:dyDescent="0.35">
      <c r="A381">
        <v>377</v>
      </c>
      <c r="B381">
        <v>378</v>
      </c>
      <c r="C381">
        <v>146.117627494</v>
      </c>
      <c r="D381">
        <v>-17.6183573182999</v>
      </c>
      <c r="F381" t="str">
        <f>HYPERLINK("D:\Data From Lucan\2024\Moresby\Frames_for_Analysis/378_20240611_0012_R_0761.jpg","378_20240611_0012_R_0761.jpg")</f>
        <v>378_20240611_0012_R_0761.jpg</v>
      </c>
      <c r="G381" s="92" t="s">
        <v>4258</v>
      </c>
      <c r="I381">
        <v>1</v>
      </c>
      <c r="K381" s="95">
        <v>1</v>
      </c>
      <c r="L381" s="31"/>
      <c r="M381" s="31"/>
      <c r="N381" s="31"/>
      <c r="O381" s="31"/>
      <c r="P381" s="4">
        <v>1</v>
      </c>
      <c r="Q381" s="57">
        <v>0</v>
      </c>
      <c r="R381" s="57">
        <v>0</v>
      </c>
      <c r="S381" s="97">
        <v>0</v>
      </c>
      <c r="T381" s="57">
        <v>0</v>
      </c>
      <c r="U381" s="57">
        <v>0</v>
      </c>
      <c r="V381" s="57">
        <v>0</v>
      </c>
      <c r="W381" s="57">
        <v>0</v>
      </c>
      <c r="X381" s="94">
        <v>0</v>
      </c>
    </row>
    <row r="382" spans="1:24" x14ac:dyDescent="0.35">
      <c r="A382">
        <v>378</v>
      </c>
      <c r="B382">
        <v>379</v>
      </c>
      <c r="C382">
        <v>146.117582631</v>
      </c>
      <c r="D382">
        <v>-17.618431494300001</v>
      </c>
      <c r="F382" t="str">
        <f>HYPERLINK("D:\Data From Lucan\2024\Moresby\Frames_for_Analysis/379_20240611_0012_R_0758.jpg","379_20240611_0012_R_0758.jpg")</f>
        <v>379_20240611_0012_R_0758.jpg</v>
      </c>
      <c r="G382" s="92" t="s">
        <v>4259</v>
      </c>
      <c r="I382">
        <v>1</v>
      </c>
      <c r="K382" s="95">
        <v>1</v>
      </c>
      <c r="L382" s="31"/>
      <c r="M382" s="31"/>
      <c r="N382" s="31"/>
      <c r="O382" s="31"/>
      <c r="P382" s="4">
        <v>1</v>
      </c>
      <c r="Q382" s="57">
        <v>0</v>
      </c>
      <c r="R382" s="57">
        <v>0</v>
      </c>
      <c r="S382" s="97">
        <v>0</v>
      </c>
      <c r="T382" s="57">
        <v>0</v>
      </c>
      <c r="U382" s="57">
        <v>0</v>
      </c>
      <c r="V382" s="57">
        <v>0</v>
      </c>
      <c r="W382" s="57">
        <v>0</v>
      </c>
      <c r="X382" s="94">
        <v>0</v>
      </c>
    </row>
    <row r="383" spans="1:24" x14ac:dyDescent="0.35">
      <c r="A383">
        <v>379</v>
      </c>
      <c r="B383">
        <v>380</v>
      </c>
      <c r="C383">
        <v>146.117537486999</v>
      </c>
      <c r="D383">
        <v>-17.618505515199899</v>
      </c>
      <c r="E383">
        <v>50</v>
      </c>
      <c r="F383" t="str">
        <f>HYPERLINK("D:\Data From Lucan\2024\Moresby\Frames_for_Analysis/380_20240611_0012_R_0756.jpg","380_20240611_0012_R_0756.jpg")</f>
        <v>380_20240611_0012_R_0756.jpg</v>
      </c>
      <c r="G383" s="92" t="s">
        <v>4260</v>
      </c>
      <c r="I383">
        <v>1</v>
      </c>
      <c r="K383" s="95">
        <v>1</v>
      </c>
      <c r="L383" s="31"/>
      <c r="M383" s="31"/>
      <c r="N383" s="31"/>
      <c r="O383" s="31"/>
      <c r="P383" s="4">
        <v>1</v>
      </c>
      <c r="Q383" s="57">
        <v>0</v>
      </c>
      <c r="R383" s="57">
        <v>0</v>
      </c>
      <c r="S383" s="97">
        <v>0</v>
      </c>
      <c r="T383" s="57">
        <v>0</v>
      </c>
      <c r="U383" s="57">
        <v>0</v>
      </c>
      <c r="V383" s="57">
        <v>0</v>
      </c>
      <c r="W383" s="57">
        <v>0</v>
      </c>
      <c r="X383" s="94">
        <v>0</v>
      </c>
    </row>
    <row r="384" spans="1:24" x14ac:dyDescent="0.35">
      <c r="A384">
        <v>380</v>
      </c>
      <c r="B384">
        <v>381</v>
      </c>
      <c r="C384">
        <v>146.117492222999</v>
      </c>
      <c r="D384">
        <v>-17.6185794702</v>
      </c>
      <c r="F384" t="str">
        <f>HYPERLINK("D:\Data From Lucan\2024\Moresby\Frames_for_Analysis/381_20240611_0012_R_0752.jpg","381_20240611_0012_R_0752.jpg")</f>
        <v>381_20240611_0012_R_0752.jpg</v>
      </c>
      <c r="G384" s="92" t="s">
        <v>4261</v>
      </c>
      <c r="I384">
        <v>1</v>
      </c>
      <c r="K384" s="95">
        <v>1</v>
      </c>
      <c r="L384" s="31"/>
      <c r="M384" s="31"/>
      <c r="N384" s="31"/>
      <c r="O384" s="31"/>
      <c r="P384" s="4">
        <v>1</v>
      </c>
      <c r="Q384" s="57">
        <v>0</v>
      </c>
      <c r="R384" s="57">
        <v>0</v>
      </c>
      <c r="S384" s="97">
        <v>0</v>
      </c>
      <c r="T384" s="57">
        <v>0</v>
      </c>
      <c r="U384" s="57">
        <v>0</v>
      </c>
      <c r="V384" s="57">
        <v>0</v>
      </c>
      <c r="W384" s="57">
        <v>0</v>
      </c>
      <c r="X384" s="94">
        <v>0</v>
      </c>
    </row>
    <row r="385" spans="1:24" x14ac:dyDescent="0.35">
      <c r="A385">
        <v>381</v>
      </c>
      <c r="B385">
        <v>382</v>
      </c>
      <c r="C385">
        <v>146.117446959999</v>
      </c>
      <c r="D385">
        <v>-17.618653425200002</v>
      </c>
      <c r="F385" t="str">
        <f>HYPERLINK("D:\Data From Lucan\2024\Moresby\Frames_for_Analysis/382_20240611_0012_R_0749.jpg","382_20240611_0012_R_0749.jpg")</f>
        <v>382_20240611_0012_R_0749.jpg</v>
      </c>
      <c r="G385" s="92" t="s">
        <v>4262</v>
      </c>
      <c r="I385">
        <v>1</v>
      </c>
      <c r="K385" s="95">
        <v>1</v>
      </c>
      <c r="L385" s="31"/>
      <c r="M385" s="31"/>
      <c r="N385" s="31"/>
      <c r="O385" s="31"/>
      <c r="P385" s="4">
        <v>1</v>
      </c>
      <c r="Q385" s="57">
        <v>0</v>
      </c>
      <c r="R385" s="57">
        <v>0</v>
      </c>
      <c r="S385" s="97">
        <v>0</v>
      </c>
      <c r="T385" s="57">
        <v>0</v>
      </c>
      <c r="U385" s="57">
        <v>0</v>
      </c>
      <c r="V385" s="57">
        <v>0</v>
      </c>
      <c r="W385" s="57">
        <v>0</v>
      </c>
      <c r="X385" s="94">
        <v>0</v>
      </c>
    </row>
    <row r="386" spans="1:24" x14ac:dyDescent="0.35">
      <c r="A386">
        <v>382</v>
      </c>
      <c r="B386">
        <v>383</v>
      </c>
      <c r="C386">
        <v>146.117401696999</v>
      </c>
      <c r="D386">
        <v>-17.6187273801999</v>
      </c>
      <c r="F386" t="str">
        <f>HYPERLINK("D:\Data From Lucan\2024\Moresby\Frames_for_Analysis/383_20240611_0012_R_0746.jpg","383_20240611_0012_R_0746.jpg")</f>
        <v>383_20240611_0012_R_0746.jpg</v>
      </c>
      <c r="G386" s="92" t="s">
        <v>4263</v>
      </c>
      <c r="I386">
        <v>1</v>
      </c>
      <c r="K386" s="95">
        <v>1</v>
      </c>
      <c r="L386" s="31"/>
      <c r="M386" s="31"/>
      <c r="N386" s="31"/>
      <c r="O386" s="31"/>
      <c r="P386" s="4">
        <v>1</v>
      </c>
      <c r="Q386" s="57">
        <v>0</v>
      </c>
      <c r="R386" s="57">
        <v>0</v>
      </c>
      <c r="S386" s="97">
        <v>0</v>
      </c>
      <c r="T386" s="57">
        <v>0</v>
      </c>
      <c r="U386" s="57">
        <v>0</v>
      </c>
      <c r="V386" s="57">
        <v>0</v>
      </c>
      <c r="W386" s="57">
        <v>0</v>
      </c>
      <c r="X386" s="94">
        <v>0</v>
      </c>
    </row>
    <row r="387" spans="1:24" x14ac:dyDescent="0.35">
      <c r="A387">
        <v>383</v>
      </c>
      <c r="B387">
        <v>384</v>
      </c>
      <c r="C387">
        <v>146.11735643399899</v>
      </c>
      <c r="D387">
        <v>-17.618801335099899</v>
      </c>
      <c r="F387" t="str">
        <f>HYPERLINK("D:\Data From Lucan\2024\Moresby\Frames_for_Analysis/384_20240611_0012_R_0728.jpg","384_20240611_0012_R_0728.jpg")</f>
        <v>384_20240611_0012_R_0728.jpg</v>
      </c>
      <c r="G387" s="92" t="s">
        <v>4264</v>
      </c>
      <c r="I387">
        <v>1</v>
      </c>
      <c r="K387" s="95">
        <v>1</v>
      </c>
      <c r="L387" s="31"/>
      <c r="M387" s="31"/>
      <c r="N387" s="31"/>
      <c r="O387" s="31"/>
      <c r="P387" s="4">
        <v>1</v>
      </c>
      <c r="Q387" s="57">
        <v>0</v>
      </c>
      <c r="R387" s="57">
        <v>0</v>
      </c>
      <c r="S387" s="97">
        <v>0</v>
      </c>
      <c r="T387" s="57">
        <v>0</v>
      </c>
      <c r="U387" s="57">
        <v>0</v>
      </c>
      <c r="V387" s="57">
        <v>0</v>
      </c>
      <c r="W387" s="57">
        <v>0</v>
      </c>
      <c r="X387" s="94">
        <v>0</v>
      </c>
    </row>
    <row r="388" spans="1:24" x14ac:dyDescent="0.35">
      <c r="A388">
        <v>384</v>
      </c>
      <c r="B388">
        <v>385</v>
      </c>
      <c r="C388">
        <v>146.11731117100001</v>
      </c>
      <c r="D388">
        <v>-17.618875289999899</v>
      </c>
      <c r="E388">
        <v>50</v>
      </c>
      <c r="F388" t="str">
        <f>HYPERLINK("D:\Data From Lucan\2024\Moresby\Frames_for_Analysis/385_20240611_0012_R_0734.jpg","385_20240611_0012_R_0734.jpg")</f>
        <v>385_20240611_0012_R_0734.jpg</v>
      </c>
      <c r="G388" s="92" t="s">
        <v>4265</v>
      </c>
      <c r="I388">
        <v>1</v>
      </c>
      <c r="K388" s="95">
        <v>1</v>
      </c>
      <c r="L388" s="31"/>
      <c r="M388" s="31"/>
      <c r="N388" s="31"/>
      <c r="O388" s="31"/>
      <c r="P388" s="4">
        <v>1</v>
      </c>
      <c r="Q388" s="57">
        <v>0</v>
      </c>
      <c r="R388" s="57">
        <v>0</v>
      </c>
      <c r="S388" s="97">
        <v>0</v>
      </c>
      <c r="T388" s="57">
        <v>0</v>
      </c>
      <c r="U388" s="57">
        <v>0</v>
      </c>
      <c r="V388" s="57">
        <v>0</v>
      </c>
      <c r="W388" s="57">
        <v>0</v>
      </c>
      <c r="X388" s="94">
        <v>0</v>
      </c>
    </row>
    <row r="389" spans="1:24" x14ac:dyDescent="0.35">
      <c r="A389">
        <v>385</v>
      </c>
      <c r="B389">
        <v>386</v>
      </c>
      <c r="C389">
        <v>146.11726590800001</v>
      </c>
      <c r="D389">
        <v>-17.6189492448</v>
      </c>
      <c r="F389" t="str">
        <f>HYPERLINK("D:\Data From Lucan\2024\Moresby\Frames_for_Analysis/386_20240611_0012_R_0723.jpg","386_20240611_0012_R_0723.jpg")</f>
        <v>386_20240611_0012_R_0723.jpg</v>
      </c>
      <c r="G389" s="92" t="s">
        <v>4266</v>
      </c>
      <c r="I389">
        <v>1</v>
      </c>
      <c r="K389" s="95">
        <v>1</v>
      </c>
      <c r="L389" s="31"/>
      <c r="M389" s="31"/>
      <c r="N389" s="31"/>
      <c r="O389" s="31"/>
      <c r="P389" s="4">
        <v>1</v>
      </c>
      <c r="Q389" s="57">
        <v>0</v>
      </c>
      <c r="R389" s="57">
        <v>0</v>
      </c>
      <c r="S389" s="97">
        <v>0</v>
      </c>
      <c r="T389" s="57">
        <v>0</v>
      </c>
      <c r="U389" s="57">
        <v>0</v>
      </c>
      <c r="V389" s="57">
        <v>0</v>
      </c>
      <c r="W389" s="57">
        <v>0</v>
      </c>
      <c r="X389" s="94">
        <v>0</v>
      </c>
    </row>
    <row r="390" spans="1:24" x14ac:dyDescent="0.35">
      <c r="A390">
        <v>386</v>
      </c>
      <c r="B390">
        <v>387</v>
      </c>
      <c r="C390">
        <v>146.11722064400001</v>
      </c>
      <c r="D390">
        <v>-17.6190231996999</v>
      </c>
      <c r="F390" t="str">
        <f>HYPERLINK("D:\Data From Lucan\2024\Moresby\Frames_for_Analysis/387_20240611_0012_R_0721.jpg","387_20240611_0012_R_0721.jpg")</f>
        <v>387_20240611_0012_R_0721.jpg</v>
      </c>
      <c r="G390" s="92" t="s">
        <v>4267</v>
      </c>
      <c r="I390">
        <v>1</v>
      </c>
      <c r="K390" s="95">
        <v>1</v>
      </c>
      <c r="L390" s="31"/>
      <c r="M390" s="31"/>
      <c r="N390" s="31"/>
      <c r="O390" s="31"/>
      <c r="P390" s="4">
        <v>1</v>
      </c>
      <c r="Q390" s="57">
        <v>0</v>
      </c>
      <c r="R390" s="57">
        <v>0</v>
      </c>
      <c r="S390" s="97">
        <v>0</v>
      </c>
      <c r="T390" s="57">
        <v>0</v>
      </c>
      <c r="U390" s="57">
        <v>0</v>
      </c>
      <c r="V390" s="57">
        <v>0</v>
      </c>
      <c r="W390" s="57">
        <v>0</v>
      </c>
      <c r="X390" s="94">
        <v>0</v>
      </c>
    </row>
    <row r="391" spans="1:24" x14ac:dyDescent="0.35">
      <c r="A391">
        <v>387</v>
      </c>
      <c r="B391">
        <v>388</v>
      </c>
      <c r="C391">
        <v>146.11717538100001</v>
      </c>
      <c r="D391">
        <v>-17.6190971545</v>
      </c>
      <c r="F391" t="str">
        <f>HYPERLINK("D:\Data From Lucan\2024\Moresby\Frames_for_Analysis/388_20240611_0012_R_0719.jpg","388_20240611_0012_R_0719.jpg")</f>
        <v>388_20240611_0012_R_0719.jpg</v>
      </c>
      <c r="G391" s="92" t="s">
        <v>4268</v>
      </c>
      <c r="I391">
        <v>1</v>
      </c>
      <c r="K391" s="95">
        <v>1</v>
      </c>
      <c r="L391" s="31"/>
      <c r="M391" s="31"/>
      <c r="N391" s="31"/>
      <c r="O391" s="31"/>
      <c r="P391" s="4">
        <v>1</v>
      </c>
      <c r="Q391" s="57">
        <v>0</v>
      </c>
      <c r="R391" s="57">
        <v>0</v>
      </c>
      <c r="S391" s="97">
        <v>0</v>
      </c>
      <c r="T391" s="57">
        <v>0</v>
      </c>
      <c r="U391" s="57">
        <v>0</v>
      </c>
      <c r="V391" s="57">
        <v>0</v>
      </c>
      <c r="W391" s="57">
        <v>0</v>
      </c>
      <c r="X391" s="94">
        <v>0</v>
      </c>
    </row>
    <row r="392" spans="1:24" x14ac:dyDescent="0.35">
      <c r="A392">
        <v>388</v>
      </c>
      <c r="B392">
        <v>389</v>
      </c>
      <c r="C392">
        <v>146.11713011800001</v>
      </c>
      <c r="D392">
        <v>-17.619171109300002</v>
      </c>
      <c r="F392" t="str">
        <f>HYPERLINK("D:\Data From Lucan\2024\Moresby\Frames_for_Analysis/389_20240611_0012_R_0716.jpg","389_20240611_0012_R_0716.jpg")</f>
        <v>389_20240611_0012_R_0716.jpg</v>
      </c>
      <c r="G392" s="92" t="s">
        <v>4269</v>
      </c>
      <c r="I392">
        <v>1</v>
      </c>
      <c r="K392" s="95">
        <v>1</v>
      </c>
      <c r="L392" s="31"/>
      <c r="M392" s="31"/>
      <c r="N392" s="31"/>
      <c r="O392" s="31"/>
      <c r="P392" s="4">
        <v>1</v>
      </c>
      <c r="Q392" s="57">
        <v>0</v>
      </c>
      <c r="R392" s="57">
        <v>0</v>
      </c>
      <c r="S392" s="97">
        <v>0</v>
      </c>
      <c r="T392" s="57">
        <v>0</v>
      </c>
      <c r="U392" s="57">
        <v>0</v>
      </c>
      <c r="V392" s="57">
        <v>0</v>
      </c>
      <c r="W392" s="57">
        <v>0</v>
      </c>
      <c r="X392" s="94">
        <v>0</v>
      </c>
    </row>
    <row r="393" spans="1:24" x14ac:dyDescent="0.35">
      <c r="A393">
        <v>389</v>
      </c>
      <c r="B393">
        <v>390</v>
      </c>
      <c r="C393">
        <v>146.117084855</v>
      </c>
      <c r="D393">
        <v>-17.619245064000001</v>
      </c>
      <c r="E393">
        <v>50</v>
      </c>
      <c r="F393" t="str">
        <f>HYPERLINK("D:\Data From Lucan\2024\Moresby\Frames_for_Analysis/390_20240611_0012_R_0715.jpg","390_20240611_0012_R_0715.jpg")</f>
        <v>390_20240611_0012_R_0715.jpg</v>
      </c>
      <c r="G393" s="92" t="s">
        <v>4270</v>
      </c>
      <c r="I393">
        <v>1</v>
      </c>
      <c r="K393" s="95">
        <v>1</v>
      </c>
      <c r="L393" s="31"/>
      <c r="M393" s="31"/>
      <c r="N393" s="31"/>
      <c r="O393" s="31"/>
      <c r="P393" s="4">
        <v>1</v>
      </c>
      <c r="Q393" s="57">
        <v>0</v>
      </c>
      <c r="R393" s="57">
        <v>0</v>
      </c>
      <c r="S393" s="97">
        <v>0</v>
      </c>
      <c r="T393" s="57">
        <v>0</v>
      </c>
      <c r="U393" s="57">
        <v>0</v>
      </c>
      <c r="V393" s="57">
        <v>0</v>
      </c>
      <c r="W393" s="57">
        <v>0</v>
      </c>
      <c r="X393" s="94">
        <v>0</v>
      </c>
    </row>
    <row r="394" spans="1:24" x14ac:dyDescent="0.35">
      <c r="A394">
        <v>390</v>
      </c>
      <c r="B394">
        <v>391</v>
      </c>
      <c r="C394">
        <v>146.117039591999</v>
      </c>
      <c r="D394">
        <v>-17.619319018700001</v>
      </c>
      <c r="F394" t="str">
        <f>HYPERLINK("D:\Data From Lucan\2024\Moresby\Frames_for_Analysis/391_20240611_0012_R_0713.jpg","391_20240611_0012_R_0713.jpg")</f>
        <v>391_20240611_0012_R_0713.jpg</v>
      </c>
      <c r="G394" s="92" t="s">
        <v>4271</v>
      </c>
      <c r="I394">
        <v>1</v>
      </c>
      <c r="K394" s="95">
        <v>1</v>
      </c>
      <c r="L394" s="31"/>
      <c r="M394" s="31"/>
      <c r="N394" s="31"/>
      <c r="O394" s="31"/>
      <c r="P394" s="4">
        <v>1</v>
      </c>
      <c r="Q394" s="57">
        <v>0</v>
      </c>
      <c r="R394" s="57">
        <v>0</v>
      </c>
      <c r="S394" s="97">
        <v>0</v>
      </c>
      <c r="T394" s="57">
        <v>0</v>
      </c>
      <c r="U394" s="57">
        <v>0</v>
      </c>
      <c r="V394" s="57">
        <v>0</v>
      </c>
      <c r="W394" s="57">
        <v>0</v>
      </c>
      <c r="X394" s="94">
        <v>0</v>
      </c>
    </row>
    <row r="395" spans="1:24" x14ac:dyDescent="0.35">
      <c r="A395">
        <v>391</v>
      </c>
      <c r="B395">
        <v>392</v>
      </c>
      <c r="C395">
        <v>146.116994328999</v>
      </c>
      <c r="D395">
        <v>-17.6193929734</v>
      </c>
      <c r="F395" t="str">
        <f>HYPERLINK("D:\Data From Lucan\2024\Moresby\Frames_for_Analysis/392_20240611_0012_R_0709.jpg","392_20240611_0012_R_0709.jpg")</f>
        <v>392_20240611_0012_R_0709.jpg</v>
      </c>
      <c r="G395" s="92" t="s">
        <v>4272</v>
      </c>
      <c r="I395">
        <v>1</v>
      </c>
      <c r="K395" s="95">
        <v>1</v>
      </c>
      <c r="L395" s="31"/>
      <c r="M395" s="31"/>
      <c r="N395" s="31"/>
      <c r="O395" s="31"/>
      <c r="P395" s="4">
        <v>1</v>
      </c>
      <c r="Q395" s="57">
        <v>0</v>
      </c>
      <c r="R395" s="57">
        <v>0</v>
      </c>
      <c r="S395" s="97">
        <v>0</v>
      </c>
      <c r="T395" s="57">
        <v>0</v>
      </c>
      <c r="U395" s="57">
        <v>0</v>
      </c>
      <c r="V395" s="57">
        <v>0</v>
      </c>
      <c r="W395" s="57">
        <v>0</v>
      </c>
      <c r="X395" s="94">
        <v>0</v>
      </c>
    </row>
    <row r="396" spans="1:24" x14ac:dyDescent="0.35">
      <c r="A396">
        <v>392</v>
      </c>
      <c r="B396">
        <v>393</v>
      </c>
      <c r="C396">
        <v>146.116949065</v>
      </c>
      <c r="D396">
        <v>-17.619466928000001</v>
      </c>
      <c r="F396" t="str">
        <f>HYPERLINK("D:\Data From Lucan\2024\Moresby\Frames_for_Analysis/393_20240611_0012_R_0705.jpg","393_20240611_0012_R_0705.jpg")</f>
        <v>393_20240611_0012_R_0705.jpg</v>
      </c>
      <c r="G396" s="92" t="s">
        <v>4273</v>
      </c>
      <c r="I396">
        <v>1</v>
      </c>
      <c r="K396" s="95">
        <v>1</v>
      </c>
      <c r="L396" s="31"/>
      <c r="M396" s="31"/>
      <c r="N396" s="31"/>
      <c r="O396" s="31"/>
      <c r="P396" s="4">
        <v>1</v>
      </c>
      <c r="Q396" s="57">
        <v>0</v>
      </c>
      <c r="R396" s="57">
        <v>0</v>
      </c>
      <c r="S396" s="97">
        <v>0</v>
      </c>
      <c r="T396" s="57">
        <v>0</v>
      </c>
      <c r="U396" s="57">
        <v>0</v>
      </c>
      <c r="V396" s="57">
        <v>0</v>
      </c>
      <c r="W396" s="57">
        <v>0</v>
      </c>
      <c r="X396" s="94">
        <v>0</v>
      </c>
    </row>
    <row r="397" spans="1:24" x14ac:dyDescent="0.35">
      <c r="A397">
        <v>393</v>
      </c>
      <c r="B397">
        <v>394</v>
      </c>
      <c r="C397">
        <v>146.11690415300001</v>
      </c>
      <c r="D397">
        <v>-17.6195410764999</v>
      </c>
      <c r="F397" t="str">
        <f>HYPERLINK("D:\Data From Lucan\2024\Moresby\Frames_for_Analysis/394_20240611_0012_R_0702.jpg","394_20240611_0012_R_0702.jpg")</f>
        <v>394_20240611_0012_R_0702.jpg</v>
      </c>
      <c r="G397" s="92" t="s">
        <v>4274</v>
      </c>
      <c r="I397">
        <v>1</v>
      </c>
      <c r="K397" s="95">
        <v>1</v>
      </c>
      <c r="L397" s="31"/>
      <c r="M397" s="31"/>
      <c r="N397" s="31"/>
      <c r="O397" s="31"/>
      <c r="P397" s="4">
        <v>1</v>
      </c>
      <c r="Q397" s="57">
        <v>0</v>
      </c>
      <c r="R397" s="57">
        <v>0</v>
      </c>
      <c r="S397" s="97">
        <v>0</v>
      </c>
      <c r="T397" s="57">
        <v>0</v>
      </c>
      <c r="U397" s="57">
        <v>0</v>
      </c>
      <c r="V397" s="57">
        <v>0</v>
      </c>
      <c r="W397" s="57">
        <v>0</v>
      </c>
      <c r="X397" s="94">
        <v>0</v>
      </c>
    </row>
    <row r="398" spans="1:24" x14ac:dyDescent="0.35">
      <c r="A398">
        <v>394</v>
      </c>
      <c r="B398">
        <v>395</v>
      </c>
      <c r="C398">
        <v>146.116859247999</v>
      </c>
      <c r="D398">
        <v>-17.619615229400001</v>
      </c>
      <c r="E398">
        <v>50</v>
      </c>
      <c r="F398" t="str">
        <f>HYPERLINK("D:\Data From Lucan\2024\Moresby\Frames_for_Analysis/395_20240611_0012_R_0699.jpg","395_20240611_0012_R_0699.jpg")</f>
        <v>395_20240611_0012_R_0699.jpg</v>
      </c>
      <c r="G398" s="92" t="s">
        <v>4275</v>
      </c>
      <c r="I398">
        <v>1</v>
      </c>
      <c r="K398" s="95">
        <v>1</v>
      </c>
      <c r="L398" s="31"/>
      <c r="M398" s="31"/>
      <c r="N398" s="31"/>
      <c r="O398" s="31"/>
      <c r="P398" s="4">
        <v>1</v>
      </c>
      <c r="Q398" s="57">
        <v>0</v>
      </c>
      <c r="R398" s="57">
        <v>0</v>
      </c>
      <c r="S398" s="97">
        <v>0</v>
      </c>
      <c r="T398" s="57">
        <v>0</v>
      </c>
      <c r="U398" s="57">
        <v>0</v>
      </c>
      <c r="V398" s="57">
        <v>0</v>
      </c>
      <c r="W398" s="57">
        <v>0</v>
      </c>
      <c r="X398" s="94">
        <v>0</v>
      </c>
    </row>
    <row r="399" spans="1:24" x14ac:dyDescent="0.35">
      <c r="A399">
        <v>395</v>
      </c>
      <c r="B399">
        <v>396</v>
      </c>
      <c r="C399">
        <v>146.11681434299899</v>
      </c>
      <c r="D399">
        <v>-17.619689382200001</v>
      </c>
      <c r="F399" t="str">
        <f>HYPERLINK("D:\Data From Lucan\2024\Moresby\Frames_for_Analysis/396_20240611_0012_R_0695.jpg","396_20240611_0012_R_0695.jpg")</f>
        <v>396_20240611_0012_R_0695.jpg</v>
      </c>
      <c r="G399" s="92" t="s">
        <v>4276</v>
      </c>
      <c r="I399">
        <v>1</v>
      </c>
      <c r="K399" s="95">
        <v>1</v>
      </c>
      <c r="L399" s="31"/>
      <c r="M399" s="31"/>
      <c r="N399" s="31"/>
      <c r="O399" s="31"/>
      <c r="P399" s="4">
        <v>1</v>
      </c>
      <c r="Q399" s="57">
        <v>0</v>
      </c>
      <c r="R399" s="57">
        <v>0</v>
      </c>
      <c r="S399" s="97">
        <v>0</v>
      </c>
      <c r="T399" s="57">
        <v>0</v>
      </c>
      <c r="U399" s="57">
        <v>0</v>
      </c>
      <c r="V399" s="57">
        <v>0</v>
      </c>
      <c r="W399" s="57">
        <v>0</v>
      </c>
      <c r="X399" s="94">
        <v>0</v>
      </c>
    </row>
    <row r="400" spans="1:24" x14ac:dyDescent="0.35">
      <c r="A400">
        <v>396</v>
      </c>
      <c r="B400">
        <v>397</v>
      </c>
      <c r="C400">
        <v>146.116769438999</v>
      </c>
      <c r="D400">
        <v>-17.619763535000001</v>
      </c>
      <c r="F400" t="str">
        <f>HYPERLINK("D:\Data From Lucan\2024\Moresby\Frames_for_Analysis/397_20240611_0012_R_0691.jpg","397_20240611_0012_R_0691.jpg")</f>
        <v>397_20240611_0012_R_0691.jpg</v>
      </c>
      <c r="G400" s="92" t="s">
        <v>4277</v>
      </c>
      <c r="I400">
        <v>1</v>
      </c>
      <c r="K400" s="95">
        <v>1</v>
      </c>
      <c r="L400" s="31"/>
      <c r="M400" s="31"/>
      <c r="N400" s="31"/>
      <c r="O400" s="31"/>
      <c r="P400" s="4">
        <v>1</v>
      </c>
      <c r="Q400" s="57">
        <v>0</v>
      </c>
      <c r="R400" s="57">
        <v>0</v>
      </c>
      <c r="S400" s="97">
        <v>0</v>
      </c>
      <c r="T400" s="57">
        <v>0</v>
      </c>
      <c r="U400" s="57">
        <v>0</v>
      </c>
      <c r="V400" s="57">
        <v>0</v>
      </c>
      <c r="W400" s="57">
        <v>0</v>
      </c>
      <c r="X400" s="94">
        <v>0</v>
      </c>
    </row>
    <row r="401" spans="1:24" x14ac:dyDescent="0.35">
      <c r="A401">
        <v>397</v>
      </c>
      <c r="B401">
        <v>398</v>
      </c>
      <c r="C401">
        <v>146.11672453400001</v>
      </c>
      <c r="D401">
        <v>-17.6198376878</v>
      </c>
      <c r="F401" t="str">
        <f>HYPERLINK("D:\Data From Lucan\2024\Moresby\Frames_for_Analysis/398_20240611_0012_R_0687.jpg","398_20240611_0012_R_0687.jpg")</f>
        <v>398_20240611_0012_R_0687.jpg</v>
      </c>
      <c r="G401" s="92" t="s">
        <v>4278</v>
      </c>
      <c r="I401">
        <v>1</v>
      </c>
      <c r="K401" s="95">
        <v>1</v>
      </c>
      <c r="L401" s="31"/>
      <c r="M401" s="31"/>
      <c r="N401" s="31"/>
      <c r="O401" s="31"/>
      <c r="P401" s="4">
        <v>1</v>
      </c>
      <c r="Q401" s="57">
        <v>0</v>
      </c>
      <c r="R401" s="57">
        <v>0</v>
      </c>
      <c r="S401" s="97">
        <v>0</v>
      </c>
      <c r="T401" s="57">
        <v>0</v>
      </c>
      <c r="U401" s="57">
        <v>0</v>
      </c>
      <c r="V401" s="57">
        <v>0</v>
      </c>
      <c r="W401" s="57">
        <v>0</v>
      </c>
      <c r="X401" s="94">
        <v>0</v>
      </c>
    </row>
    <row r="402" spans="1:24" x14ac:dyDescent="0.35">
      <c r="A402">
        <v>398</v>
      </c>
      <c r="B402">
        <v>399</v>
      </c>
      <c r="C402">
        <v>146.116679629999</v>
      </c>
      <c r="D402">
        <v>-17.6199118406</v>
      </c>
      <c r="F402" t="str">
        <f>HYPERLINK("D:\Data From Lucan\2024\Moresby\Frames_for_Analysis/399_20240611_0012_R_0683.jpg","399_20240611_0012_R_0683.jpg")</f>
        <v>399_20240611_0012_R_0683.jpg</v>
      </c>
      <c r="G402" s="92" t="s">
        <v>4279</v>
      </c>
      <c r="I402">
        <v>1</v>
      </c>
      <c r="K402" s="95">
        <v>1</v>
      </c>
      <c r="L402" s="31"/>
      <c r="M402" s="31"/>
      <c r="N402" s="31"/>
      <c r="O402" s="31"/>
      <c r="P402" s="4">
        <v>1</v>
      </c>
      <c r="Q402" s="57">
        <v>0</v>
      </c>
      <c r="R402" s="57">
        <v>0</v>
      </c>
      <c r="S402" s="97">
        <v>0</v>
      </c>
      <c r="T402" s="57">
        <v>0</v>
      </c>
      <c r="U402" s="57">
        <v>0</v>
      </c>
      <c r="V402" s="57">
        <v>0</v>
      </c>
      <c r="W402" s="57">
        <v>0</v>
      </c>
      <c r="X402" s="94">
        <v>0</v>
      </c>
    </row>
    <row r="403" spans="1:24" x14ac:dyDescent="0.35">
      <c r="A403">
        <v>399</v>
      </c>
      <c r="B403">
        <v>400</v>
      </c>
      <c r="C403">
        <v>146.11663472500001</v>
      </c>
      <c r="D403">
        <v>-17.619985993299899</v>
      </c>
      <c r="E403">
        <v>50</v>
      </c>
      <c r="F403" t="str">
        <f>HYPERLINK("D:\Data From Lucan\2024\Moresby\Frames_for_Analysis/400_20240611_0012_R_0680.jpg","400_20240611_0012_R_0680.jpg")</f>
        <v>400_20240611_0012_R_0680.jpg</v>
      </c>
      <c r="G403" s="92" t="s">
        <v>4280</v>
      </c>
      <c r="I403">
        <v>1</v>
      </c>
      <c r="K403" s="95">
        <v>1</v>
      </c>
      <c r="L403" s="31"/>
      <c r="M403" s="31"/>
      <c r="N403" s="31"/>
      <c r="O403" s="31"/>
      <c r="P403" s="4">
        <v>1</v>
      </c>
      <c r="Q403" s="57">
        <v>0</v>
      </c>
      <c r="R403" s="57">
        <v>0</v>
      </c>
      <c r="S403" s="97">
        <v>0</v>
      </c>
      <c r="T403" s="57">
        <v>0</v>
      </c>
      <c r="U403" s="57">
        <v>0</v>
      </c>
      <c r="V403" s="57">
        <v>0</v>
      </c>
      <c r="W403" s="57">
        <v>0</v>
      </c>
      <c r="X403" s="94">
        <v>0</v>
      </c>
    </row>
    <row r="404" spans="1:24" x14ac:dyDescent="0.35">
      <c r="A404">
        <v>400</v>
      </c>
      <c r="B404">
        <v>401</v>
      </c>
      <c r="C404">
        <v>146.11658982</v>
      </c>
      <c r="D404">
        <v>-17.620060146</v>
      </c>
      <c r="F404" t="str">
        <f>HYPERLINK("D:\Data From Lucan\2024\Moresby\Frames_for_Analysis/401_20240611_0012_R_0676.jpg","401_20240611_0012_R_0676.jpg")</f>
        <v>401_20240611_0012_R_0676.jpg</v>
      </c>
      <c r="G404" s="92" t="s">
        <v>4281</v>
      </c>
      <c r="I404">
        <v>1</v>
      </c>
      <c r="K404" s="95">
        <v>1</v>
      </c>
      <c r="L404" s="31"/>
      <c r="M404" s="31"/>
      <c r="N404" s="31"/>
      <c r="O404" s="31"/>
      <c r="P404" s="4">
        <v>1</v>
      </c>
      <c r="Q404" s="57">
        <v>0</v>
      </c>
      <c r="R404" s="57">
        <v>0</v>
      </c>
      <c r="S404" s="97">
        <v>0</v>
      </c>
      <c r="T404" s="57">
        <v>0</v>
      </c>
      <c r="U404" s="57">
        <v>0</v>
      </c>
      <c r="V404" s="57">
        <v>0</v>
      </c>
      <c r="W404" s="57">
        <v>0</v>
      </c>
      <c r="X404" s="94">
        <v>0</v>
      </c>
    </row>
    <row r="405" spans="1:24" x14ac:dyDescent="0.35">
      <c r="A405">
        <v>401</v>
      </c>
      <c r="B405">
        <v>402</v>
      </c>
      <c r="C405">
        <v>146.11655283299899</v>
      </c>
      <c r="D405">
        <v>-17.6201379526</v>
      </c>
      <c r="F405" t="str">
        <f>HYPERLINK("D:\Data From Lucan\2024\Moresby\Frames_for_Analysis/402_20240611_0012_R_0673.jpg","402_20240611_0012_R_0673.jpg")</f>
        <v>402_20240611_0012_R_0673.jpg</v>
      </c>
      <c r="G405" s="92" t="s">
        <v>4282</v>
      </c>
      <c r="I405">
        <v>1</v>
      </c>
      <c r="K405" s="95">
        <v>1</v>
      </c>
      <c r="L405" s="31"/>
      <c r="M405" s="31"/>
      <c r="N405" s="31"/>
      <c r="O405" s="31"/>
      <c r="P405" s="4">
        <v>1</v>
      </c>
      <c r="Q405" s="57">
        <v>0</v>
      </c>
      <c r="R405" s="57">
        <v>0</v>
      </c>
      <c r="S405" s="97">
        <v>0</v>
      </c>
      <c r="T405" s="57">
        <v>0</v>
      </c>
      <c r="U405" s="57">
        <v>0</v>
      </c>
      <c r="V405" s="57">
        <v>0</v>
      </c>
      <c r="W405" s="57">
        <v>0</v>
      </c>
      <c r="X405" s="94">
        <v>0</v>
      </c>
    </row>
    <row r="406" spans="1:24" x14ac:dyDescent="0.35">
      <c r="A406">
        <v>402</v>
      </c>
      <c r="B406">
        <v>403</v>
      </c>
      <c r="C406">
        <v>146.11651963899899</v>
      </c>
      <c r="D406">
        <v>-17.620217510100002</v>
      </c>
      <c r="F406" t="str">
        <f>HYPERLINK("D:\Data From Lucan\2024\Moresby\Frames_for_Analysis/403_20240611_0012_R_0670.jpg","403_20240611_0012_R_0670.jpg")</f>
        <v>403_20240611_0012_R_0670.jpg</v>
      </c>
      <c r="G406" s="92" t="s">
        <v>4283</v>
      </c>
      <c r="I406">
        <v>1</v>
      </c>
      <c r="K406" s="95">
        <v>1</v>
      </c>
      <c r="L406" s="31"/>
      <c r="M406" s="31"/>
      <c r="N406" s="31"/>
      <c r="O406" s="31"/>
      <c r="P406" s="4">
        <v>1</v>
      </c>
      <c r="Q406" s="57">
        <v>0</v>
      </c>
      <c r="R406" s="57">
        <v>0</v>
      </c>
      <c r="S406" s="97">
        <v>0</v>
      </c>
      <c r="T406" s="57">
        <v>0</v>
      </c>
      <c r="U406" s="57">
        <v>0</v>
      </c>
      <c r="V406" s="57">
        <v>0</v>
      </c>
      <c r="W406" s="57">
        <v>0</v>
      </c>
      <c r="X406" s="94">
        <v>0</v>
      </c>
    </row>
    <row r="407" spans="1:24" x14ac:dyDescent="0.35">
      <c r="A407">
        <v>403</v>
      </c>
      <c r="B407">
        <v>404</v>
      </c>
      <c r="C407">
        <v>146.116486444999</v>
      </c>
      <c r="D407">
        <v>-17.6202970675999</v>
      </c>
      <c r="F407" t="str">
        <f>HYPERLINK("D:\Data From Lucan\2024\Moresby\Frames_for_Analysis/404_20240611_0012_R_0667.jpg","404_20240611_0012_R_0667.jpg")</f>
        <v>404_20240611_0012_R_0667.jpg</v>
      </c>
      <c r="G407" s="92" t="s">
        <v>4284</v>
      </c>
      <c r="I407">
        <v>1</v>
      </c>
      <c r="K407" s="95">
        <v>1</v>
      </c>
      <c r="L407" s="31"/>
      <c r="M407" s="31"/>
      <c r="N407" s="31"/>
      <c r="O407" s="31"/>
      <c r="P407" s="4">
        <v>1</v>
      </c>
      <c r="Q407" s="57">
        <v>0</v>
      </c>
      <c r="R407" s="57">
        <v>0</v>
      </c>
      <c r="S407" s="97">
        <v>0</v>
      </c>
      <c r="T407" s="57">
        <v>0</v>
      </c>
      <c r="U407" s="57">
        <v>0</v>
      </c>
      <c r="V407" s="57">
        <v>0</v>
      </c>
      <c r="W407" s="57">
        <v>0</v>
      </c>
      <c r="X407" s="94">
        <v>0</v>
      </c>
    </row>
    <row r="408" spans="1:24" x14ac:dyDescent="0.35">
      <c r="A408">
        <v>404</v>
      </c>
      <c r="B408">
        <v>405</v>
      </c>
      <c r="C408">
        <v>146.116453250999</v>
      </c>
      <c r="D408">
        <v>-17.620376624999899</v>
      </c>
      <c r="E408">
        <v>50</v>
      </c>
      <c r="F408" t="str">
        <f>HYPERLINK("D:\Data From Lucan\2024\Moresby\Frames_for_Analysis/405_20240611_0012_R_0664.jpg","405_20240611_0012_R_0664.jpg")</f>
        <v>405_20240611_0012_R_0664.jpg</v>
      </c>
      <c r="G408" s="92" t="s">
        <v>4285</v>
      </c>
      <c r="I408">
        <v>1</v>
      </c>
      <c r="K408" s="95">
        <v>1</v>
      </c>
      <c r="L408" s="31"/>
      <c r="M408" s="31"/>
      <c r="N408" s="31"/>
      <c r="O408" s="31"/>
      <c r="P408" s="4">
        <v>1</v>
      </c>
      <c r="Q408" s="57">
        <v>0</v>
      </c>
      <c r="R408" s="57">
        <v>0</v>
      </c>
      <c r="S408" s="97">
        <v>0</v>
      </c>
      <c r="T408" s="57">
        <v>0</v>
      </c>
      <c r="U408" s="57">
        <v>0</v>
      </c>
      <c r="V408" s="57">
        <v>0</v>
      </c>
      <c r="W408" s="57">
        <v>0</v>
      </c>
      <c r="X408" s="94">
        <v>0</v>
      </c>
    </row>
    <row r="409" spans="1:24" x14ac:dyDescent="0.35">
      <c r="A409">
        <v>405</v>
      </c>
      <c r="B409">
        <v>406</v>
      </c>
      <c r="C409">
        <v>146.116418879999</v>
      </c>
      <c r="D409">
        <v>-17.620455706000001</v>
      </c>
      <c r="F409" t="str">
        <f>HYPERLINK("D:\Data From Lucan\2024\Moresby\Frames_for_Analysis/406_20240611_0012_R_0661.jpg","406_20240611_0012_R_0661.jpg")</f>
        <v>406_20240611_0012_R_0661.jpg</v>
      </c>
      <c r="G409" s="92" t="s">
        <v>4286</v>
      </c>
      <c r="I409">
        <v>1</v>
      </c>
      <c r="K409" s="95">
        <v>1</v>
      </c>
      <c r="L409" s="31"/>
      <c r="M409" s="31"/>
      <c r="N409" s="31"/>
      <c r="O409" s="31"/>
      <c r="P409" s="4">
        <v>1</v>
      </c>
      <c r="Q409" s="57">
        <v>0</v>
      </c>
      <c r="R409" s="57">
        <v>0</v>
      </c>
      <c r="S409" s="97">
        <v>0</v>
      </c>
      <c r="T409" s="57">
        <v>0</v>
      </c>
      <c r="U409" s="57">
        <v>0</v>
      </c>
      <c r="V409" s="57">
        <v>0</v>
      </c>
      <c r="W409" s="57">
        <v>0</v>
      </c>
      <c r="X409" s="94">
        <v>0</v>
      </c>
    </row>
    <row r="410" spans="1:24" x14ac:dyDescent="0.35">
      <c r="A410">
        <v>406</v>
      </c>
      <c r="B410">
        <v>407</v>
      </c>
      <c r="C410">
        <v>146.11638185199899</v>
      </c>
      <c r="D410">
        <v>-17.6205337112</v>
      </c>
      <c r="F410" t="str">
        <f>HYPERLINK("D:\Data From Lucan\2024\Moresby\Frames_for_Analysis/407_20240611_0012_R_0658.jpg","407_20240611_0012_R_0658.jpg")</f>
        <v>407_20240611_0012_R_0658.jpg</v>
      </c>
      <c r="G410" s="92" t="s">
        <v>4287</v>
      </c>
      <c r="I410">
        <v>1</v>
      </c>
      <c r="K410" s="95">
        <v>1</v>
      </c>
      <c r="L410" s="31"/>
      <c r="M410" s="31"/>
      <c r="N410" s="31"/>
      <c r="O410" s="31"/>
      <c r="P410" s="4">
        <v>1</v>
      </c>
      <c r="Q410" s="57">
        <v>0</v>
      </c>
      <c r="R410" s="57">
        <v>0</v>
      </c>
      <c r="S410" s="97">
        <v>0</v>
      </c>
      <c r="T410" s="57">
        <v>0</v>
      </c>
      <c r="U410" s="57">
        <v>0</v>
      </c>
      <c r="V410" s="57">
        <v>0</v>
      </c>
      <c r="W410" s="57">
        <v>0</v>
      </c>
      <c r="X410" s="94">
        <v>0</v>
      </c>
    </row>
    <row r="411" spans="1:24" x14ac:dyDescent="0.35">
      <c r="A411">
        <v>407</v>
      </c>
      <c r="B411">
        <v>408</v>
      </c>
      <c r="C411">
        <v>146.11634976299899</v>
      </c>
      <c r="D411">
        <v>-17.620613640199899</v>
      </c>
      <c r="F411" t="str">
        <f>HYPERLINK("D:\Data From Lucan\2024\Moresby\Frames_for_Analysis/408_20240611_0012_R_0656.jpg","408_20240611_0012_R_0656.jpg")</f>
        <v>408_20240611_0012_R_0656.jpg</v>
      </c>
      <c r="G411" s="92" t="s">
        <v>4288</v>
      </c>
      <c r="I411">
        <v>1</v>
      </c>
      <c r="K411" s="95">
        <v>1</v>
      </c>
      <c r="L411" s="31"/>
      <c r="M411" s="31"/>
      <c r="N411" s="31"/>
      <c r="O411" s="31"/>
      <c r="P411" s="4">
        <v>1</v>
      </c>
      <c r="Q411" s="57">
        <v>0</v>
      </c>
      <c r="R411" s="57">
        <v>0</v>
      </c>
      <c r="S411" s="97">
        <v>0</v>
      </c>
      <c r="T411" s="57">
        <v>0</v>
      </c>
      <c r="U411" s="57">
        <v>0</v>
      </c>
      <c r="V411" s="57">
        <v>0</v>
      </c>
      <c r="W411" s="57">
        <v>0</v>
      </c>
      <c r="X411" s="94">
        <v>0</v>
      </c>
    </row>
    <row r="412" spans="1:24" x14ac:dyDescent="0.35">
      <c r="A412">
        <v>408</v>
      </c>
      <c r="B412">
        <v>409</v>
      </c>
      <c r="C412">
        <v>146.116318860999</v>
      </c>
      <c r="D412">
        <v>-17.620694031700001</v>
      </c>
      <c r="F412" t="str">
        <f>HYPERLINK("D:\Data From Lucan\2024\Moresby\Frames_for_Analysis/409_20240611_0012_R_0653.jpg","409_20240611_0012_R_0653.jpg")</f>
        <v>409_20240611_0012_R_0653.jpg</v>
      </c>
      <c r="G412" s="92" t="s">
        <v>4289</v>
      </c>
      <c r="I412">
        <v>1</v>
      </c>
      <c r="K412" s="95">
        <v>1</v>
      </c>
      <c r="L412" s="31"/>
      <c r="M412" s="31"/>
      <c r="N412" s="31"/>
      <c r="O412" s="31"/>
      <c r="P412" s="4">
        <v>1</v>
      </c>
      <c r="Q412" s="57">
        <v>0</v>
      </c>
      <c r="R412" s="57">
        <v>0</v>
      </c>
      <c r="S412" s="97">
        <v>0</v>
      </c>
      <c r="T412" s="57">
        <v>0</v>
      </c>
      <c r="U412" s="57">
        <v>0</v>
      </c>
      <c r="V412" s="57">
        <v>0</v>
      </c>
      <c r="W412" s="57">
        <v>0</v>
      </c>
      <c r="X412" s="94">
        <v>0</v>
      </c>
    </row>
    <row r="413" spans="1:24" x14ac:dyDescent="0.35">
      <c r="A413">
        <v>409</v>
      </c>
      <c r="B413">
        <v>410</v>
      </c>
      <c r="C413">
        <v>146.116287959</v>
      </c>
      <c r="D413">
        <v>-17.6207744232</v>
      </c>
      <c r="E413">
        <v>50</v>
      </c>
      <c r="F413" t="str">
        <f>HYPERLINK("D:\Data From Lucan\2024\Moresby\Frames_for_Analysis/410_20240611_0012_R_0650.jpg","410_20240611_0012_R_0650.jpg")</f>
        <v>410_20240611_0012_R_0650.jpg</v>
      </c>
      <c r="G413" s="92" t="s">
        <v>4290</v>
      </c>
      <c r="I413">
        <v>1</v>
      </c>
      <c r="K413" s="95">
        <v>1</v>
      </c>
      <c r="L413" s="31"/>
      <c r="M413" s="31"/>
      <c r="N413" s="31"/>
      <c r="O413" s="31"/>
      <c r="P413" s="4">
        <v>1</v>
      </c>
      <c r="Q413" s="57">
        <v>0</v>
      </c>
      <c r="R413" s="57">
        <v>0</v>
      </c>
      <c r="S413" s="97">
        <v>0</v>
      </c>
      <c r="T413" s="57">
        <v>0</v>
      </c>
      <c r="U413" s="57">
        <v>0</v>
      </c>
      <c r="V413" s="57">
        <v>0</v>
      </c>
      <c r="W413" s="57">
        <v>0</v>
      </c>
      <c r="X413" s="94">
        <v>0</v>
      </c>
    </row>
    <row r="414" spans="1:24" x14ac:dyDescent="0.35">
      <c r="A414">
        <v>410</v>
      </c>
      <c r="B414">
        <v>411</v>
      </c>
      <c r="C414">
        <v>146.116257055999</v>
      </c>
      <c r="D414">
        <v>-17.6208548146999</v>
      </c>
      <c r="F414" t="str">
        <f>HYPERLINK("D:\Data From Lucan\2024\Moresby\Frames_for_Analysis/411_20240611_0012_R_0647.jpg","411_20240611_0012_R_0647.jpg")</f>
        <v>411_20240611_0012_R_0647.jpg</v>
      </c>
      <c r="G414" s="92" t="s">
        <v>4291</v>
      </c>
      <c r="I414">
        <v>1</v>
      </c>
      <c r="K414" s="95">
        <v>1</v>
      </c>
      <c r="L414" s="31"/>
      <c r="M414" s="31"/>
      <c r="N414" s="31"/>
      <c r="O414" s="31"/>
      <c r="P414" s="4">
        <v>1</v>
      </c>
      <c r="Q414" s="57">
        <v>0</v>
      </c>
      <c r="R414" s="57">
        <v>0</v>
      </c>
      <c r="S414" s="97">
        <v>0</v>
      </c>
      <c r="T414" s="57">
        <v>0</v>
      </c>
      <c r="U414" s="57">
        <v>0</v>
      </c>
      <c r="V414" s="57">
        <v>0</v>
      </c>
      <c r="W414" s="57">
        <v>0</v>
      </c>
      <c r="X414" s="94">
        <v>0</v>
      </c>
    </row>
    <row r="415" spans="1:24" x14ac:dyDescent="0.35">
      <c r="A415">
        <v>411</v>
      </c>
      <c r="B415">
        <v>412</v>
      </c>
      <c r="C415">
        <v>146.116228159999</v>
      </c>
      <c r="D415">
        <v>-17.6209358555999</v>
      </c>
      <c r="F415" t="str">
        <f>HYPERLINK("D:\Data From Lucan\2024\Moresby\Frames_for_Analysis/412_20240611_0012_R_0645.jpg","412_20240611_0012_R_0645.jpg")</f>
        <v>412_20240611_0012_R_0645.jpg</v>
      </c>
      <c r="G415" s="92" t="s">
        <v>4292</v>
      </c>
      <c r="I415">
        <v>1</v>
      </c>
      <c r="K415" s="95">
        <v>1</v>
      </c>
      <c r="L415" s="31"/>
      <c r="M415" s="31"/>
      <c r="N415" s="31"/>
      <c r="O415" s="31"/>
      <c r="P415" s="4">
        <v>1</v>
      </c>
      <c r="Q415" s="57">
        <v>0</v>
      </c>
      <c r="R415" s="57">
        <v>0</v>
      </c>
      <c r="S415" s="97">
        <v>0</v>
      </c>
      <c r="T415" s="57">
        <v>0</v>
      </c>
      <c r="U415" s="57">
        <v>0</v>
      </c>
      <c r="V415" s="57">
        <v>0</v>
      </c>
      <c r="W415" s="57">
        <v>0</v>
      </c>
      <c r="X415" s="94">
        <v>0</v>
      </c>
    </row>
    <row r="416" spans="1:24" x14ac:dyDescent="0.35">
      <c r="A416">
        <v>412</v>
      </c>
      <c r="B416">
        <v>413</v>
      </c>
      <c r="C416">
        <v>146.116201283999</v>
      </c>
      <c r="D416">
        <v>-17.6210175505</v>
      </c>
      <c r="F416" t="str">
        <f>HYPERLINK("D:\Data From Lucan\2024\Moresby\Frames_for_Analysis/413_20240611_0012_R_0642.jpg","413_20240611_0012_R_0642.jpg")</f>
        <v>413_20240611_0012_R_0642.jpg</v>
      </c>
      <c r="G416" s="92" t="s">
        <v>4293</v>
      </c>
      <c r="I416">
        <v>1</v>
      </c>
      <c r="K416" s="95">
        <v>1</v>
      </c>
      <c r="L416" s="31"/>
      <c r="M416" s="31"/>
      <c r="N416" s="31"/>
      <c r="O416" s="31"/>
      <c r="P416" s="4">
        <v>1</v>
      </c>
      <c r="Q416" s="57">
        <v>0</v>
      </c>
      <c r="R416" s="57">
        <v>0</v>
      </c>
      <c r="S416" s="97">
        <v>0</v>
      </c>
      <c r="T416" s="57">
        <v>0</v>
      </c>
      <c r="U416" s="57">
        <v>0</v>
      </c>
      <c r="V416" s="57">
        <v>0</v>
      </c>
      <c r="W416" s="57">
        <v>0</v>
      </c>
      <c r="X416" s="94">
        <v>0</v>
      </c>
    </row>
    <row r="417" spans="1:24" x14ac:dyDescent="0.35">
      <c r="A417">
        <v>413</v>
      </c>
      <c r="B417">
        <v>414</v>
      </c>
      <c r="C417">
        <v>146.116178945</v>
      </c>
      <c r="D417">
        <v>-17.621100342399899</v>
      </c>
      <c r="F417" t="str">
        <f>HYPERLINK("D:\Data From Lucan\2024\Moresby\Frames_for_Analysis/414_20240611_0012_R_0639.jpg","414_20240611_0012_R_0639.jpg")</f>
        <v>414_20240611_0012_R_0639.jpg</v>
      </c>
      <c r="G417" s="92" t="s">
        <v>4294</v>
      </c>
      <c r="I417">
        <v>1</v>
      </c>
      <c r="K417" s="95">
        <v>1</v>
      </c>
      <c r="L417" s="31"/>
      <c r="M417" s="31"/>
      <c r="N417" s="31"/>
      <c r="O417" s="31"/>
      <c r="P417" s="4">
        <v>1</v>
      </c>
      <c r="Q417" s="57">
        <v>0</v>
      </c>
      <c r="R417" s="57">
        <v>0</v>
      </c>
      <c r="S417" s="97">
        <v>0</v>
      </c>
      <c r="T417" s="57">
        <v>0</v>
      </c>
      <c r="U417" s="57">
        <v>0</v>
      </c>
      <c r="V417" s="57">
        <v>0</v>
      </c>
      <c r="W417" s="57">
        <v>0</v>
      </c>
      <c r="X417" s="94">
        <v>0</v>
      </c>
    </row>
    <row r="418" spans="1:24" x14ac:dyDescent="0.35">
      <c r="A418">
        <v>414</v>
      </c>
      <c r="B418">
        <v>415</v>
      </c>
      <c r="C418">
        <v>146.116161715</v>
      </c>
      <c r="D418">
        <v>-17.621184369400002</v>
      </c>
      <c r="E418">
        <v>50</v>
      </c>
      <c r="F418" t="str">
        <f>HYPERLINK("D:\Data From Lucan\2024\Moresby\Frames_for_Analysis/415_20240611_0012_R_0636.jpg","415_20240611_0012_R_0636.jpg")</f>
        <v>415_20240611_0012_R_0636.jpg</v>
      </c>
      <c r="G418" s="92" t="s">
        <v>4295</v>
      </c>
      <c r="I418">
        <v>1</v>
      </c>
      <c r="K418" s="95">
        <v>1</v>
      </c>
      <c r="L418" s="31"/>
      <c r="M418" s="31"/>
      <c r="N418" s="31"/>
      <c r="O418" s="31"/>
      <c r="P418" s="4">
        <v>1</v>
      </c>
      <c r="Q418" s="57">
        <v>0</v>
      </c>
      <c r="R418" s="57">
        <v>0</v>
      </c>
      <c r="S418" s="97">
        <v>0</v>
      </c>
      <c r="T418" s="57">
        <v>0</v>
      </c>
      <c r="U418" s="57">
        <v>0</v>
      </c>
      <c r="V418" s="57">
        <v>0</v>
      </c>
      <c r="W418" s="57">
        <v>0</v>
      </c>
      <c r="X418" s="94">
        <v>0</v>
      </c>
    </row>
    <row r="419" spans="1:24" x14ac:dyDescent="0.35">
      <c r="A419">
        <v>415</v>
      </c>
      <c r="B419">
        <v>416</v>
      </c>
      <c r="C419">
        <v>146.11614448500001</v>
      </c>
      <c r="D419">
        <v>-17.6212683963</v>
      </c>
      <c r="F419" t="str">
        <f>HYPERLINK("D:\Data From Lucan\2024\Moresby\Frames_for_Analysis/416_20240611_0012_R_0633.jpg","416_20240611_0012_R_0633.jpg")</f>
        <v>416_20240611_0012_R_0633.jpg</v>
      </c>
      <c r="G419" s="92" t="s">
        <v>4296</v>
      </c>
      <c r="I419">
        <v>1</v>
      </c>
      <c r="K419" s="95">
        <v>1</v>
      </c>
      <c r="L419" s="31"/>
      <c r="M419" s="31"/>
      <c r="N419" s="31"/>
      <c r="O419" s="31"/>
      <c r="P419" s="4">
        <v>1</v>
      </c>
      <c r="Q419" s="57">
        <v>0</v>
      </c>
      <c r="R419" s="57">
        <v>0</v>
      </c>
      <c r="S419" s="97">
        <v>0</v>
      </c>
      <c r="T419" s="57">
        <v>0</v>
      </c>
      <c r="U419" s="57">
        <v>0</v>
      </c>
      <c r="V419" s="57">
        <v>0</v>
      </c>
      <c r="W419" s="57">
        <v>0</v>
      </c>
      <c r="X419" s="94">
        <v>0</v>
      </c>
    </row>
    <row r="420" spans="1:24" x14ac:dyDescent="0.35">
      <c r="A420">
        <v>416</v>
      </c>
      <c r="B420">
        <v>417</v>
      </c>
      <c r="C420">
        <v>146.11612725500001</v>
      </c>
      <c r="D420">
        <v>-17.621352423200001</v>
      </c>
      <c r="F420" t="str">
        <f>HYPERLINK("D:\Data From Lucan\2024\Moresby\Frames_for_Analysis/417_20240611_0012_R_0630.jpg","417_20240611_0012_R_0630.jpg")</f>
        <v>417_20240611_0012_R_0630.jpg</v>
      </c>
      <c r="G420" s="92" t="s">
        <v>4297</v>
      </c>
      <c r="I420">
        <v>1</v>
      </c>
      <c r="K420" s="95">
        <v>1</v>
      </c>
      <c r="L420" s="31"/>
      <c r="M420" s="31"/>
      <c r="N420" s="31"/>
      <c r="O420" s="31"/>
      <c r="P420" s="4">
        <v>1</v>
      </c>
      <c r="Q420" s="57">
        <v>0</v>
      </c>
      <c r="R420" s="57">
        <v>0</v>
      </c>
      <c r="S420" s="97">
        <v>0</v>
      </c>
      <c r="T420" s="57">
        <v>0</v>
      </c>
      <c r="U420" s="57">
        <v>0</v>
      </c>
      <c r="V420" s="57">
        <v>0</v>
      </c>
      <c r="W420" s="57">
        <v>0</v>
      </c>
      <c r="X420" s="94">
        <v>0</v>
      </c>
    </row>
    <row r="421" spans="1:24" x14ac:dyDescent="0.35">
      <c r="A421">
        <v>417</v>
      </c>
      <c r="B421">
        <v>418</v>
      </c>
      <c r="C421">
        <v>146.11611002500001</v>
      </c>
      <c r="D421">
        <v>-17.621436450000001</v>
      </c>
      <c r="F421" t="str">
        <f>HYPERLINK("D:\Data From Lucan\2024\Moresby\Frames_for_Analysis/418_20240611_0012_R_0627.jpg","418_20240611_0012_R_0627.jpg")</f>
        <v>418_20240611_0012_R_0627.jpg</v>
      </c>
      <c r="G421" s="92" t="s">
        <v>4298</v>
      </c>
      <c r="I421">
        <v>1</v>
      </c>
      <c r="K421" s="95">
        <v>1</v>
      </c>
      <c r="L421" s="31"/>
      <c r="M421" s="31"/>
      <c r="N421" s="31"/>
      <c r="O421" s="31"/>
      <c r="P421" s="4">
        <v>1</v>
      </c>
      <c r="Q421" s="57">
        <v>0</v>
      </c>
      <c r="R421" s="57">
        <v>0</v>
      </c>
      <c r="S421" s="97">
        <v>0</v>
      </c>
      <c r="T421" s="57">
        <v>0</v>
      </c>
      <c r="U421" s="57">
        <v>0</v>
      </c>
      <c r="V421" s="57">
        <v>0</v>
      </c>
      <c r="W421" s="57">
        <v>0</v>
      </c>
      <c r="X421" s="94">
        <v>0</v>
      </c>
    </row>
    <row r="422" spans="1:24" x14ac:dyDescent="0.35">
      <c r="A422">
        <v>418</v>
      </c>
      <c r="B422">
        <v>419</v>
      </c>
      <c r="C422">
        <v>146.116092796</v>
      </c>
      <c r="D422">
        <v>-17.621520476800001</v>
      </c>
      <c r="F422" t="str">
        <f>HYPERLINK("D:\Data From Lucan\2024\Moresby\Frames_for_Analysis/419_20240611_0012_R_0624.jpg","419_20240611_0012_R_0624.jpg")</f>
        <v>419_20240611_0012_R_0624.jpg</v>
      </c>
      <c r="G422" s="92" t="s">
        <v>4299</v>
      </c>
      <c r="I422">
        <v>1</v>
      </c>
      <c r="K422" s="95">
        <v>1</v>
      </c>
      <c r="L422" s="31"/>
      <c r="M422" s="31"/>
      <c r="N422" s="31"/>
      <c r="O422" s="31"/>
      <c r="P422" s="4">
        <v>1</v>
      </c>
      <c r="Q422" s="57">
        <v>0</v>
      </c>
      <c r="R422" s="57">
        <v>0</v>
      </c>
      <c r="S422" s="97">
        <v>0</v>
      </c>
      <c r="T422" s="57">
        <v>0</v>
      </c>
      <c r="U422" s="57">
        <v>0</v>
      </c>
      <c r="V422" s="57">
        <v>0</v>
      </c>
      <c r="W422" s="57">
        <v>0</v>
      </c>
      <c r="X422" s="94">
        <v>0</v>
      </c>
    </row>
    <row r="423" spans="1:24" x14ac:dyDescent="0.35">
      <c r="A423">
        <v>419</v>
      </c>
      <c r="B423">
        <v>420</v>
      </c>
      <c r="C423">
        <v>146.11607556600001</v>
      </c>
      <c r="D423">
        <v>-17.621604503499899</v>
      </c>
      <c r="E423">
        <v>50</v>
      </c>
      <c r="F423" t="str">
        <f>HYPERLINK("D:\Data From Lucan\2024\Moresby\Frames_for_Analysis/420_20240611_0012_R_0622.jpg","420_20240611_0012_R_0622.jpg")</f>
        <v>420_20240611_0012_R_0622.jpg</v>
      </c>
      <c r="G423" s="92" t="s">
        <v>4300</v>
      </c>
      <c r="I423">
        <v>1</v>
      </c>
      <c r="K423" s="95">
        <v>1</v>
      </c>
      <c r="L423" s="31"/>
      <c r="M423" s="31"/>
      <c r="N423" s="31"/>
      <c r="O423" s="31"/>
      <c r="P423" s="4">
        <v>1</v>
      </c>
      <c r="Q423" s="57">
        <v>0</v>
      </c>
      <c r="R423" s="57">
        <v>0</v>
      </c>
      <c r="S423" s="97">
        <v>0</v>
      </c>
      <c r="T423" s="57">
        <v>0</v>
      </c>
      <c r="U423" s="57">
        <v>0</v>
      </c>
      <c r="V423" s="57">
        <v>0</v>
      </c>
      <c r="W423" s="57">
        <v>0</v>
      </c>
      <c r="X423" s="94">
        <v>0</v>
      </c>
    </row>
    <row r="424" spans="1:24" x14ac:dyDescent="0.35">
      <c r="A424">
        <v>420</v>
      </c>
      <c r="B424">
        <v>421</v>
      </c>
      <c r="C424">
        <v>146.11605833600001</v>
      </c>
      <c r="D424">
        <v>-17.621688530299899</v>
      </c>
      <c r="F424" t="str">
        <f>HYPERLINK("D:\Data From Lucan\2024\Moresby\Frames_for_Analysis/421_20240611_0012_R_0619.jpg","421_20240611_0012_R_0619.jpg")</f>
        <v>421_20240611_0012_R_0619.jpg</v>
      </c>
      <c r="G424" s="92" t="s">
        <v>4301</v>
      </c>
      <c r="I424">
        <v>1</v>
      </c>
      <c r="K424" s="95">
        <v>1</v>
      </c>
      <c r="L424" s="31"/>
      <c r="M424" s="31"/>
      <c r="N424" s="31"/>
      <c r="O424" s="31"/>
      <c r="P424" s="4">
        <v>1</v>
      </c>
      <c r="Q424" s="57">
        <v>0</v>
      </c>
      <c r="R424" s="57">
        <v>0</v>
      </c>
      <c r="S424" s="97">
        <v>0</v>
      </c>
      <c r="T424" s="57">
        <v>0</v>
      </c>
      <c r="U424" s="57">
        <v>0</v>
      </c>
      <c r="V424" s="57">
        <v>0</v>
      </c>
      <c r="W424" s="57">
        <v>0</v>
      </c>
      <c r="X424" s="94">
        <v>0</v>
      </c>
    </row>
    <row r="425" spans="1:24" x14ac:dyDescent="0.35">
      <c r="A425">
        <v>421</v>
      </c>
      <c r="B425">
        <v>422</v>
      </c>
      <c r="C425">
        <v>146.11604110600001</v>
      </c>
      <c r="D425">
        <v>-17.621772556900002</v>
      </c>
      <c r="F425" t="str">
        <f>HYPERLINK("D:\Data From Lucan\2024\Moresby\Frames_for_Analysis/422_20240611_0012_R_0616.jpg","422_20240611_0012_R_0616.jpg")</f>
        <v>422_20240611_0012_R_0616.jpg</v>
      </c>
      <c r="G425" s="92" t="s">
        <v>4302</v>
      </c>
      <c r="I425">
        <v>1</v>
      </c>
      <c r="K425" s="95">
        <v>1</v>
      </c>
      <c r="L425" s="31"/>
      <c r="M425" s="31"/>
      <c r="N425" s="31"/>
      <c r="O425" s="31"/>
      <c r="P425" s="4">
        <v>1</v>
      </c>
      <c r="Q425" s="57">
        <v>0</v>
      </c>
      <c r="R425" s="57">
        <v>0</v>
      </c>
      <c r="S425" s="97">
        <v>0</v>
      </c>
      <c r="T425" s="57">
        <v>0</v>
      </c>
      <c r="U425" s="57">
        <v>0</v>
      </c>
      <c r="V425" s="57">
        <v>0</v>
      </c>
      <c r="W425" s="57">
        <v>0</v>
      </c>
      <c r="X425" s="94">
        <v>0</v>
      </c>
    </row>
    <row r="426" spans="1:24" x14ac:dyDescent="0.35">
      <c r="A426">
        <v>422</v>
      </c>
      <c r="B426">
        <v>423</v>
      </c>
      <c r="C426">
        <v>146.11602387600001</v>
      </c>
      <c r="D426">
        <v>-17.6218565836</v>
      </c>
      <c r="F426" t="str">
        <f>HYPERLINK("D:\Data From Lucan\2024\Moresby\Frames_for_Analysis/423_20240611_0012_R_0614.jpg","423_20240611_0012_R_0614.jpg")</f>
        <v>423_20240611_0012_R_0614.jpg</v>
      </c>
      <c r="G426" s="92" t="s">
        <v>4303</v>
      </c>
      <c r="I426">
        <v>1</v>
      </c>
      <c r="K426" s="95">
        <v>1</v>
      </c>
      <c r="L426" s="31"/>
      <c r="M426" s="31"/>
      <c r="N426" s="31"/>
      <c r="O426" s="31"/>
      <c r="P426" s="4">
        <v>1</v>
      </c>
      <c r="Q426" s="57">
        <v>0</v>
      </c>
      <c r="R426" s="57">
        <v>0</v>
      </c>
      <c r="S426" s="97">
        <v>0</v>
      </c>
      <c r="T426" s="57">
        <v>0</v>
      </c>
      <c r="U426" s="57">
        <v>0</v>
      </c>
      <c r="V426" s="57">
        <v>0</v>
      </c>
      <c r="W426" s="57">
        <v>0</v>
      </c>
      <c r="X426" s="94">
        <v>0</v>
      </c>
    </row>
    <row r="427" spans="1:24" x14ac:dyDescent="0.35">
      <c r="A427">
        <v>423</v>
      </c>
      <c r="B427">
        <v>424</v>
      </c>
      <c r="C427">
        <v>146.11600664599899</v>
      </c>
      <c r="D427">
        <v>-17.6219406101999</v>
      </c>
      <c r="F427" t="str">
        <f>HYPERLINK("D:\Data From Lucan\2024\Moresby\Frames_for_Analysis/424_20240611_0012_R_0611.jpg","424_20240611_0012_R_0611.jpg")</f>
        <v>424_20240611_0012_R_0611.jpg</v>
      </c>
      <c r="G427" s="92" t="s">
        <v>4304</v>
      </c>
      <c r="I427">
        <v>1</v>
      </c>
      <c r="K427" s="95">
        <v>1</v>
      </c>
      <c r="L427" s="31"/>
      <c r="M427" s="31"/>
      <c r="N427" s="31"/>
      <c r="O427" s="31"/>
      <c r="P427" s="4">
        <v>1</v>
      </c>
      <c r="Q427" s="57">
        <v>0</v>
      </c>
      <c r="R427" s="57">
        <v>0</v>
      </c>
      <c r="S427" s="97">
        <v>0</v>
      </c>
      <c r="T427" s="57">
        <v>0</v>
      </c>
      <c r="U427" s="57">
        <v>0</v>
      </c>
      <c r="V427" s="57">
        <v>0</v>
      </c>
      <c r="W427" s="57">
        <v>0</v>
      </c>
      <c r="X427" s="94">
        <v>0</v>
      </c>
    </row>
    <row r="428" spans="1:24" x14ac:dyDescent="0.35">
      <c r="A428">
        <v>424</v>
      </c>
      <c r="B428">
        <v>425</v>
      </c>
      <c r="C428">
        <v>146.11598927700001</v>
      </c>
      <c r="D428">
        <v>-17.6220246094</v>
      </c>
      <c r="E428">
        <v>50</v>
      </c>
      <c r="F428" t="str">
        <f>HYPERLINK("D:\Data From Lucan\2024\Moresby\Frames_for_Analysis/425_20240611_0012_R_0608.jpg","425_20240611_0012_R_0608.jpg")</f>
        <v>425_20240611_0012_R_0608.jpg</v>
      </c>
      <c r="G428" s="92" t="s">
        <v>4305</v>
      </c>
      <c r="I428">
        <v>1</v>
      </c>
      <c r="K428" s="95">
        <v>1</v>
      </c>
      <c r="L428" s="31"/>
      <c r="M428" s="31"/>
      <c r="N428" s="31"/>
      <c r="O428" s="31"/>
      <c r="P428" s="4">
        <v>1</v>
      </c>
      <c r="Q428" s="57">
        <v>0</v>
      </c>
      <c r="R428" s="57">
        <v>0</v>
      </c>
      <c r="S428" s="97">
        <v>0</v>
      </c>
      <c r="T428" s="57">
        <v>0</v>
      </c>
      <c r="U428" s="57">
        <v>0</v>
      </c>
      <c r="V428" s="57">
        <v>0</v>
      </c>
      <c r="W428" s="57">
        <v>0</v>
      </c>
      <c r="X428" s="94">
        <v>0</v>
      </c>
    </row>
    <row r="429" spans="1:24" x14ac:dyDescent="0.35">
      <c r="A429">
        <v>425</v>
      </c>
      <c r="B429">
        <v>426</v>
      </c>
      <c r="C429">
        <v>146.11597011200001</v>
      </c>
      <c r="D429">
        <v>-17.622108254400001</v>
      </c>
      <c r="F429" t="str">
        <f>HYPERLINK("D:\Data From Lucan\2024\Moresby\Frames_for_Analysis/426_20240611_0012_R_0606.jpg","426_20240611_0012_R_0606.jpg")</f>
        <v>426_20240611_0012_R_0606.jpg</v>
      </c>
      <c r="G429" s="92" t="s">
        <v>4306</v>
      </c>
      <c r="I429">
        <v>1</v>
      </c>
      <c r="K429" s="95">
        <v>1</v>
      </c>
      <c r="L429" s="31"/>
      <c r="M429" s="31"/>
      <c r="N429" s="31"/>
      <c r="O429" s="31"/>
      <c r="P429" s="4">
        <v>1</v>
      </c>
      <c r="Q429" s="57">
        <v>0</v>
      </c>
      <c r="R429" s="57">
        <v>0</v>
      </c>
      <c r="S429" s="97">
        <v>0</v>
      </c>
      <c r="T429" s="57">
        <v>0</v>
      </c>
      <c r="U429" s="57">
        <v>0</v>
      </c>
      <c r="V429" s="57">
        <v>0</v>
      </c>
      <c r="W429" s="57">
        <v>0</v>
      </c>
      <c r="X429" s="94">
        <v>0</v>
      </c>
    </row>
    <row r="430" spans="1:24" x14ac:dyDescent="0.35">
      <c r="A430">
        <v>426</v>
      </c>
      <c r="B430">
        <v>427</v>
      </c>
      <c r="C430">
        <v>146.11595094699899</v>
      </c>
      <c r="D430">
        <v>-17.622191899299899</v>
      </c>
      <c r="F430" t="str">
        <f>HYPERLINK("D:\Data From Lucan\2024\Moresby\Frames_for_Analysis/427_20240611_0012_R_0603.jpg","427_20240611_0012_R_0603.jpg")</f>
        <v>427_20240611_0012_R_0603.jpg</v>
      </c>
      <c r="G430" s="92" t="s">
        <v>4307</v>
      </c>
      <c r="I430">
        <v>1</v>
      </c>
      <c r="K430" s="95">
        <v>1</v>
      </c>
      <c r="L430" s="31"/>
      <c r="M430" s="31"/>
      <c r="N430" s="31"/>
      <c r="O430" s="31"/>
      <c r="P430" s="4">
        <v>1</v>
      </c>
      <c r="Q430" s="57">
        <v>0</v>
      </c>
      <c r="R430" s="57">
        <v>0</v>
      </c>
      <c r="S430" s="97">
        <v>0</v>
      </c>
      <c r="T430" s="57">
        <v>0</v>
      </c>
      <c r="U430" s="57">
        <v>0</v>
      </c>
      <c r="V430" s="57">
        <v>0</v>
      </c>
      <c r="W430" s="57">
        <v>0</v>
      </c>
      <c r="X430" s="94">
        <v>0</v>
      </c>
    </row>
    <row r="431" spans="1:24" x14ac:dyDescent="0.35">
      <c r="A431">
        <v>427</v>
      </c>
      <c r="B431">
        <v>428</v>
      </c>
      <c r="C431">
        <v>146.11593178300001</v>
      </c>
      <c r="D431">
        <v>-17.6222755442999</v>
      </c>
      <c r="F431" t="str">
        <f>HYPERLINK("D:\Data From Lucan\2024\Moresby\Frames_for_Analysis/428_20240611_0012_R_0600.jpg","428_20240611_0012_R_0600.jpg")</f>
        <v>428_20240611_0012_R_0600.jpg</v>
      </c>
      <c r="G431" s="92" t="s">
        <v>4308</v>
      </c>
      <c r="I431">
        <v>1</v>
      </c>
      <c r="K431" s="95">
        <v>1</v>
      </c>
      <c r="L431" s="31"/>
      <c r="M431" s="31"/>
      <c r="N431" s="31"/>
      <c r="O431" s="31"/>
      <c r="P431" s="4">
        <v>1</v>
      </c>
      <c r="Q431" s="57">
        <v>0</v>
      </c>
      <c r="R431" s="57">
        <v>0</v>
      </c>
      <c r="S431" s="97">
        <v>0</v>
      </c>
      <c r="T431" s="57">
        <v>0</v>
      </c>
      <c r="U431" s="57">
        <v>0</v>
      </c>
      <c r="V431" s="57">
        <v>0</v>
      </c>
      <c r="W431" s="57">
        <v>0</v>
      </c>
      <c r="X431" s="94">
        <v>0</v>
      </c>
    </row>
    <row r="432" spans="1:24" x14ac:dyDescent="0.35">
      <c r="A432">
        <v>428</v>
      </c>
      <c r="B432">
        <v>429</v>
      </c>
      <c r="C432">
        <v>146.11591261800001</v>
      </c>
      <c r="D432">
        <v>-17.6223591890999</v>
      </c>
      <c r="F432" t="str">
        <f>HYPERLINK("D:\Data From Lucan\2024\Moresby\Frames_for_Analysis/429_20240611_0012_R_0598.jpg","429_20240611_0012_R_0598.jpg")</f>
        <v>429_20240611_0012_R_0598.jpg</v>
      </c>
      <c r="G432" s="92" t="s">
        <v>4309</v>
      </c>
      <c r="I432">
        <v>1</v>
      </c>
      <c r="K432" s="95">
        <v>1</v>
      </c>
      <c r="L432" s="31"/>
      <c r="M432" s="31"/>
      <c r="N432" s="31"/>
      <c r="O432" s="31"/>
      <c r="P432" s="4">
        <v>1</v>
      </c>
      <c r="Q432" s="57">
        <v>0</v>
      </c>
      <c r="R432" s="57">
        <v>0</v>
      </c>
      <c r="S432" s="97">
        <v>0</v>
      </c>
      <c r="T432" s="57">
        <v>0</v>
      </c>
      <c r="U432" s="57">
        <v>0</v>
      </c>
      <c r="V432" s="57">
        <v>0</v>
      </c>
      <c r="W432" s="57">
        <v>0</v>
      </c>
      <c r="X432" s="94">
        <v>0</v>
      </c>
    </row>
    <row r="433" spans="1:24" x14ac:dyDescent="0.35">
      <c r="A433">
        <v>429</v>
      </c>
      <c r="B433">
        <v>430</v>
      </c>
      <c r="C433">
        <v>146.11589345300001</v>
      </c>
      <c r="D433">
        <v>-17.622442834000001</v>
      </c>
      <c r="E433">
        <v>50</v>
      </c>
      <c r="F433" t="str">
        <f>HYPERLINK("D:\Data From Lucan\2024\Moresby\Frames_for_Analysis/430_20240611_0012_R_0595.jpg","430_20240611_0012_R_0595.jpg")</f>
        <v>430_20240611_0012_R_0595.jpg</v>
      </c>
      <c r="G433" s="92" t="s">
        <v>4310</v>
      </c>
      <c r="I433">
        <v>1</v>
      </c>
      <c r="K433" s="95">
        <v>1</v>
      </c>
      <c r="L433" s="31"/>
      <c r="M433" s="31"/>
      <c r="N433" s="31"/>
      <c r="O433" s="31"/>
      <c r="P433" s="4">
        <v>1</v>
      </c>
      <c r="Q433" s="57">
        <v>0</v>
      </c>
      <c r="R433" s="57">
        <v>0</v>
      </c>
      <c r="S433" s="97">
        <v>0</v>
      </c>
      <c r="T433" s="57">
        <v>0</v>
      </c>
      <c r="U433" s="57">
        <v>0</v>
      </c>
      <c r="V433" s="57">
        <v>0</v>
      </c>
      <c r="W433" s="57">
        <v>0</v>
      </c>
      <c r="X433" s="94">
        <v>0</v>
      </c>
    </row>
    <row r="434" spans="1:24" x14ac:dyDescent="0.35">
      <c r="A434">
        <v>430</v>
      </c>
      <c r="B434">
        <v>431</v>
      </c>
      <c r="C434">
        <v>146.11587428799899</v>
      </c>
      <c r="D434">
        <v>-17.622526478800001</v>
      </c>
      <c r="F434" t="str">
        <f>HYPERLINK("D:\Data From Lucan\2024\Moresby\Frames_for_Analysis/431_20240611_0012_R_0592.jpg","431_20240611_0012_R_0592.jpg")</f>
        <v>431_20240611_0012_R_0592.jpg</v>
      </c>
      <c r="G434" s="92" t="s">
        <v>4311</v>
      </c>
      <c r="I434">
        <v>1</v>
      </c>
      <c r="K434" s="95">
        <v>1</v>
      </c>
      <c r="L434" s="31"/>
      <c r="M434" s="31"/>
      <c r="N434" s="31"/>
      <c r="O434" s="31"/>
      <c r="P434" s="4">
        <v>1</v>
      </c>
      <c r="Q434" s="57">
        <v>0</v>
      </c>
      <c r="R434" s="57">
        <v>0</v>
      </c>
      <c r="S434" s="97">
        <v>0</v>
      </c>
      <c r="T434" s="57">
        <v>0</v>
      </c>
      <c r="U434" s="57">
        <v>0</v>
      </c>
      <c r="V434" s="57">
        <v>0</v>
      </c>
      <c r="W434" s="57">
        <v>0</v>
      </c>
      <c r="X434" s="94">
        <v>0</v>
      </c>
    </row>
    <row r="435" spans="1:24" x14ac:dyDescent="0.35">
      <c r="A435">
        <v>431</v>
      </c>
      <c r="B435">
        <v>432</v>
      </c>
      <c r="C435">
        <v>146.11585512299899</v>
      </c>
      <c r="D435">
        <v>-17.622610123600001</v>
      </c>
      <c r="F435" t="str">
        <f>HYPERLINK("D:\Data From Lucan\2024\Moresby\Frames_for_Analysis/432_20240611_0012_R_0590.jpg","432_20240611_0012_R_0590.jpg")</f>
        <v>432_20240611_0012_R_0590.jpg</v>
      </c>
      <c r="G435" s="92" t="s">
        <v>4312</v>
      </c>
      <c r="I435">
        <v>1</v>
      </c>
      <c r="K435" s="95">
        <v>1</v>
      </c>
      <c r="L435" s="31"/>
      <c r="M435" s="31"/>
      <c r="N435" s="31"/>
      <c r="O435" s="31"/>
      <c r="P435" s="4">
        <v>1</v>
      </c>
      <c r="Q435" s="57">
        <v>0</v>
      </c>
      <c r="R435" s="57">
        <v>0</v>
      </c>
      <c r="S435" s="97">
        <v>0</v>
      </c>
      <c r="T435" s="57">
        <v>0</v>
      </c>
      <c r="U435" s="57">
        <v>0</v>
      </c>
      <c r="V435" s="57">
        <v>0</v>
      </c>
      <c r="W435" s="57">
        <v>0</v>
      </c>
      <c r="X435" s="94">
        <v>0</v>
      </c>
    </row>
    <row r="436" spans="1:24" x14ac:dyDescent="0.35">
      <c r="A436">
        <v>432</v>
      </c>
      <c r="B436">
        <v>433</v>
      </c>
      <c r="C436">
        <v>146.115835957999</v>
      </c>
      <c r="D436">
        <v>-17.6226937683</v>
      </c>
      <c r="F436" t="str">
        <f>HYPERLINK("D:\Data From Lucan\2024\Moresby\Frames_for_Analysis/433_20240611_0012_R_0587.jpg","433_20240611_0012_R_0587.jpg")</f>
        <v>433_20240611_0012_R_0587.jpg</v>
      </c>
      <c r="G436" s="92" t="s">
        <v>4313</v>
      </c>
      <c r="I436">
        <v>1</v>
      </c>
      <c r="K436" s="95">
        <v>1</v>
      </c>
      <c r="L436" s="31"/>
      <c r="M436" s="31"/>
      <c r="N436" s="31"/>
      <c r="O436" s="31"/>
      <c r="P436" s="4">
        <v>1</v>
      </c>
      <c r="Q436" s="57">
        <v>0</v>
      </c>
      <c r="R436" s="57">
        <v>0</v>
      </c>
      <c r="S436" s="97">
        <v>0</v>
      </c>
      <c r="T436" s="57">
        <v>0</v>
      </c>
      <c r="U436" s="57">
        <v>0</v>
      </c>
      <c r="V436" s="57">
        <v>0</v>
      </c>
      <c r="W436" s="57">
        <v>0</v>
      </c>
      <c r="X436" s="94">
        <v>0</v>
      </c>
    </row>
    <row r="437" spans="1:24" x14ac:dyDescent="0.35">
      <c r="A437">
        <v>433</v>
      </c>
      <c r="B437">
        <v>434</v>
      </c>
      <c r="C437">
        <v>146.115816792999</v>
      </c>
      <c r="D437">
        <v>-17.622777413000001</v>
      </c>
      <c r="F437" t="str">
        <f>HYPERLINK("D:\Data From Lucan\2024\Moresby\Frames_for_Analysis/434_20240611_0012_R_0585.jpg","434_20240611_0012_R_0585.jpg")</f>
        <v>434_20240611_0012_R_0585.jpg</v>
      </c>
      <c r="G437" s="92" t="s">
        <v>4314</v>
      </c>
      <c r="I437">
        <v>1</v>
      </c>
      <c r="K437" s="95">
        <v>1</v>
      </c>
      <c r="L437" s="31"/>
      <c r="M437" s="31"/>
      <c r="N437" s="31"/>
      <c r="O437" s="31"/>
      <c r="P437" s="4">
        <v>1</v>
      </c>
      <c r="Q437" s="57">
        <v>0</v>
      </c>
      <c r="R437" s="57">
        <v>0</v>
      </c>
      <c r="S437" s="97">
        <v>0</v>
      </c>
      <c r="T437" s="57">
        <v>0</v>
      </c>
      <c r="U437" s="57">
        <v>0</v>
      </c>
      <c r="V437" s="57">
        <v>0</v>
      </c>
      <c r="W437" s="57">
        <v>0</v>
      </c>
      <c r="X437" s="94">
        <v>0</v>
      </c>
    </row>
    <row r="438" spans="1:24" x14ac:dyDescent="0.35">
      <c r="A438">
        <v>434</v>
      </c>
      <c r="B438">
        <v>435</v>
      </c>
      <c r="C438">
        <v>146.115797627999</v>
      </c>
      <c r="D438">
        <v>-17.622861057600002</v>
      </c>
      <c r="E438">
        <v>50</v>
      </c>
      <c r="F438" t="str">
        <f>HYPERLINK("D:\Data From Lucan\2024\Moresby\Frames_for_Analysis/435_20240611_0012_R_0582.jpg","435_20240611_0012_R_0582.jpg")</f>
        <v>435_20240611_0012_R_0582.jpg</v>
      </c>
      <c r="G438" s="92" t="s">
        <v>4315</v>
      </c>
      <c r="I438">
        <v>1</v>
      </c>
      <c r="K438" s="95">
        <v>1</v>
      </c>
      <c r="L438" s="31"/>
      <c r="M438" s="31"/>
      <c r="N438" s="31"/>
      <c r="O438" s="31"/>
      <c r="P438" s="4">
        <v>1</v>
      </c>
      <c r="Q438" s="57">
        <v>0</v>
      </c>
      <c r="R438" s="57">
        <v>0</v>
      </c>
      <c r="S438" s="97">
        <v>0</v>
      </c>
      <c r="T438" s="57">
        <v>0</v>
      </c>
      <c r="U438" s="57">
        <v>0</v>
      </c>
      <c r="V438" s="57">
        <v>0</v>
      </c>
      <c r="W438" s="57">
        <v>0</v>
      </c>
      <c r="X438" s="94">
        <v>0</v>
      </c>
    </row>
    <row r="439" spans="1:24" x14ac:dyDescent="0.35">
      <c r="A439">
        <v>435</v>
      </c>
      <c r="B439">
        <v>436</v>
      </c>
      <c r="C439">
        <v>146.11578288499899</v>
      </c>
      <c r="D439">
        <v>-17.622945397500001</v>
      </c>
      <c r="F439" t="str">
        <f>HYPERLINK("D:\Data From Lucan\2024\Moresby\Frames_for_Analysis/436_20240611_0012_R_0579.jpg","436_20240611_0012_R_0579.jpg")</f>
        <v>436_20240611_0012_R_0579.jpg</v>
      </c>
      <c r="G439" s="92" t="s">
        <v>4316</v>
      </c>
      <c r="I439">
        <v>1</v>
      </c>
      <c r="K439" s="95">
        <v>1</v>
      </c>
      <c r="L439" s="31"/>
      <c r="M439" s="31"/>
      <c r="N439" s="31"/>
      <c r="O439" s="31"/>
      <c r="P439" s="4">
        <v>1</v>
      </c>
      <c r="Q439" s="57">
        <v>0</v>
      </c>
      <c r="R439" s="57">
        <v>0</v>
      </c>
      <c r="S439" s="97">
        <v>0</v>
      </c>
      <c r="T439" s="57">
        <v>0</v>
      </c>
      <c r="U439" s="57">
        <v>0</v>
      </c>
      <c r="V439" s="57">
        <v>0</v>
      </c>
      <c r="W439" s="57">
        <v>0</v>
      </c>
      <c r="X439" s="94">
        <v>0</v>
      </c>
    </row>
    <row r="440" spans="1:24" x14ac:dyDescent="0.35">
      <c r="A440">
        <v>436</v>
      </c>
      <c r="B440">
        <v>437</v>
      </c>
      <c r="C440">
        <v>146.11577284500001</v>
      </c>
      <c r="D440">
        <v>-17.623030476699899</v>
      </c>
      <c r="F440" t="str">
        <f>HYPERLINK("D:\Data From Lucan\2024\Moresby\Frames_for_Analysis/437_20240611_0012_R_0577.jpg","437_20240611_0012_R_0577.jpg")</f>
        <v>437_20240611_0012_R_0577.jpg</v>
      </c>
      <c r="G440" s="92" t="s">
        <v>4317</v>
      </c>
      <c r="I440">
        <v>1</v>
      </c>
      <c r="K440" s="95">
        <v>1</v>
      </c>
      <c r="L440" s="31"/>
      <c r="M440" s="31"/>
      <c r="N440" s="31"/>
      <c r="O440" s="31"/>
      <c r="P440" s="4">
        <v>1</v>
      </c>
      <c r="Q440" s="57">
        <v>0</v>
      </c>
      <c r="R440" s="57">
        <v>0</v>
      </c>
      <c r="S440" s="97">
        <v>0</v>
      </c>
      <c r="T440" s="57">
        <v>0</v>
      </c>
      <c r="U440" s="57">
        <v>0</v>
      </c>
      <c r="V440" s="57">
        <v>0</v>
      </c>
      <c r="W440" s="57">
        <v>0</v>
      </c>
      <c r="X440" s="94">
        <v>0</v>
      </c>
    </row>
    <row r="441" spans="1:24" x14ac:dyDescent="0.35">
      <c r="A441">
        <v>437</v>
      </c>
      <c r="B441">
        <v>438</v>
      </c>
      <c r="C441">
        <v>146.11576280400001</v>
      </c>
      <c r="D441">
        <v>-17.6231155559</v>
      </c>
      <c r="F441" t="str">
        <f>HYPERLINK("D:\Data From Lucan\2024\Moresby\Frames_for_Analysis/438_20240611_0012_R_0574.jpg","438_20240611_0012_R_0574.jpg")</f>
        <v>438_20240611_0012_R_0574.jpg</v>
      </c>
      <c r="G441" s="92" t="s">
        <v>4318</v>
      </c>
      <c r="I441">
        <v>1</v>
      </c>
      <c r="K441" s="95">
        <v>1</v>
      </c>
      <c r="L441" s="31"/>
      <c r="M441" s="31"/>
      <c r="N441" s="31"/>
      <c r="O441" s="31"/>
      <c r="P441" s="4">
        <v>1</v>
      </c>
      <c r="Q441" s="57">
        <v>0</v>
      </c>
      <c r="R441" s="57">
        <v>0</v>
      </c>
      <c r="S441" s="97">
        <v>0</v>
      </c>
      <c r="T441" s="57">
        <v>0</v>
      </c>
      <c r="U441" s="57">
        <v>0</v>
      </c>
      <c r="V441" s="57">
        <v>0</v>
      </c>
      <c r="W441" s="57">
        <v>0</v>
      </c>
      <c r="X441" s="94">
        <v>0</v>
      </c>
    </row>
    <row r="442" spans="1:24" x14ac:dyDescent="0.35">
      <c r="A442">
        <v>438</v>
      </c>
      <c r="B442">
        <v>439</v>
      </c>
      <c r="C442">
        <v>146.11575276400001</v>
      </c>
      <c r="D442">
        <v>-17.623200635</v>
      </c>
      <c r="F442" t="str">
        <f>HYPERLINK("D:\Data From Lucan\2024\Moresby\Frames_for_Analysis/439_20240611_0012_R_0571.jpg","439_20240611_0012_R_0571.jpg")</f>
        <v>439_20240611_0012_R_0571.jpg</v>
      </c>
      <c r="G442" s="92" t="s">
        <v>4319</v>
      </c>
      <c r="I442">
        <v>1</v>
      </c>
      <c r="K442" s="95">
        <v>1</v>
      </c>
      <c r="L442" s="31"/>
      <c r="M442" s="31"/>
      <c r="N442" s="31"/>
      <c r="O442" s="31"/>
      <c r="P442" s="4">
        <v>1</v>
      </c>
      <c r="Q442" s="57">
        <v>0</v>
      </c>
      <c r="R442" s="57">
        <v>0</v>
      </c>
      <c r="S442" s="97">
        <v>0</v>
      </c>
      <c r="T442" s="57">
        <v>0</v>
      </c>
      <c r="U442" s="57">
        <v>0</v>
      </c>
      <c r="V442" s="57">
        <v>0</v>
      </c>
      <c r="W442" s="57">
        <v>0</v>
      </c>
      <c r="X442" s="94">
        <v>0</v>
      </c>
    </row>
    <row r="443" spans="1:24" x14ac:dyDescent="0.35">
      <c r="A443">
        <v>439</v>
      </c>
      <c r="B443">
        <v>440</v>
      </c>
      <c r="C443">
        <v>146.11574272300001</v>
      </c>
      <c r="D443">
        <v>-17.6232857141</v>
      </c>
      <c r="E443">
        <v>50</v>
      </c>
      <c r="F443" t="str">
        <f>HYPERLINK("D:\Data From Lucan\2024\Moresby\Frames_for_Analysis/440_20240611_0012_R_0569.jpg","440_20240611_0012_R_0569.jpg")</f>
        <v>440_20240611_0012_R_0569.jpg</v>
      </c>
      <c r="G443" s="92" t="s">
        <v>4320</v>
      </c>
      <c r="I443">
        <v>1</v>
      </c>
      <c r="K443" s="95">
        <v>1</v>
      </c>
      <c r="L443" s="31"/>
      <c r="M443" s="31"/>
      <c r="N443" s="31"/>
      <c r="O443" s="31"/>
      <c r="P443" s="4">
        <v>1</v>
      </c>
      <c r="Q443" s="57">
        <v>0</v>
      </c>
      <c r="R443" s="57">
        <v>0</v>
      </c>
      <c r="S443" s="97">
        <v>0</v>
      </c>
      <c r="T443" s="57">
        <v>0</v>
      </c>
      <c r="U443" s="57">
        <v>0</v>
      </c>
      <c r="V443" s="57">
        <v>0</v>
      </c>
      <c r="W443" s="57">
        <v>0</v>
      </c>
      <c r="X443" s="94">
        <v>0</v>
      </c>
    </row>
    <row r="444" spans="1:24" x14ac:dyDescent="0.35">
      <c r="A444">
        <v>440</v>
      </c>
      <c r="B444">
        <v>441</v>
      </c>
      <c r="C444">
        <v>146.115732683</v>
      </c>
      <c r="D444">
        <v>-17.623370793100001</v>
      </c>
      <c r="F444" t="str">
        <f>HYPERLINK("D:\Data From Lucan\2024\Moresby\Frames_for_Analysis/441_20240611_0012_R_0566.jpg","441_20240611_0012_R_0566.jpg")</f>
        <v>441_20240611_0012_R_0566.jpg</v>
      </c>
      <c r="G444" s="92" t="s">
        <v>4321</v>
      </c>
      <c r="I444">
        <v>1</v>
      </c>
      <c r="K444" s="95">
        <v>1</v>
      </c>
      <c r="L444" s="31"/>
      <c r="M444" s="31"/>
      <c r="N444" s="31"/>
      <c r="O444" s="31"/>
      <c r="P444" s="4">
        <v>1</v>
      </c>
      <c r="Q444" s="57">
        <v>0</v>
      </c>
      <c r="R444" s="57">
        <v>0</v>
      </c>
      <c r="S444" s="97">
        <v>0</v>
      </c>
      <c r="T444" s="57">
        <v>0</v>
      </c>
      <c r="U444" s="57">
        <v>0</v>
      </c>
      <c r="V444" s="57">
        <v>0</v>
      </c>
      <c r="W444" s="57">
        <v>0</v>
      </c>
      <c r="X444" s="94">
        <v>0</v>
      </c>
    </row>
    <row r="445" spans="1:24" x14ac:dyDescent="0.35">
      <c r="A445">
        <v>441</v>
      </c>
      <c r="B445">
        <v>442</v>
      </c>
      <c r="C445">
        <v>146.11572263900001</v>
      </c>
      <c r="D445">
        <v>-17.623455871800001</v>
      </c>
      <c r="F445" t="str">
        <f>HYPERLINK("D:\Data From Lucan\2024\Moresby\Frames_for_Analysis/442_20240611_0012_R_0563.jpg","442_20240611_0012_R_0563.jpg")</f>
        <v>442_20240611_0012_R_0563.jpg</v>
      </c>
      <c r="G445" s="92" t="s">
        <v>4322</v>
      </c>
      <c r="I445">
        <v>1</v>
      </c>
      <c r="K445" s="95">
        <v>1</v>
      </c>
      <c r="L445" s="31"/>
      <c r="M445" s="31"/>
      <c r="N445" s="31"/>
      <c r="O445" s="31"/>
      <c r="P445" s="4">
        <v>1</v>
      </c>
      <c r="Q445" s="57">
        <v>0</v>
      </c>
      <c r="R445" s="57">
        <v>0</v>
      </c>
      <c r="S445" s="97">
        <v>0</v>
      </c>
      <c r="T445" s="57">
        <v>0</v>
      </c>
      <c r="U445" s="57">
        <v>0</v>
      </c>
      <c r="V445" s="57">
        <v>0</v>
      </c>
      <c r="W445" s="57">
        <v>0</v>
      </c>
      <c r="X445" s="94">
        <v>0</v>
      </c>
    </row>
    <row r="446" spans="1:24" x14ac:dyDescent="0.35">
      <c r="A446">
        <v>442</v>
      </c>
      <c r="B446">
        <v>443</v>
      </c>
      <c r="C446">
        <v>146.11571256299899</v>
      </c>
      <c r="D446">
        <v>-17.6235409469</v>
      </c>
      <c r="F446" t="str">
        <f>HYPERLINK("D:\Data From Lucan\2024\Moresby\Frames_for_Analysis/443_20240611_0012_R_0561.jpg","443_20240611_0012_R_0561.jpg")</f>
        <v>443_20240611_0012_R_0561.jpg</v>
      </c>
      <c r="G446" s="92" t="s">
        <v>4323</v>
      </c>
      <c r="I446">
        <v>1</v>
      </c>
      <c r="K446" s="95">
        <v>1</v>
      </c>
      <c r="L446" s="31"/>
      <c r="M446" s="31"/>
      <c r="N446" s="31"/>
      <c r="O446" s="31"/>
      <c r="P446" s="4">
        <v>1</v>
      </c>
      <c r="Q446" s="57">
        <v>0</v>
      </c>
      <c r="R446" s="57">
        <v>0</v>
      </c>
      <c r="S446" s="97">
        <v>0</v>
      </c>
      <c r="T446" s="57">
        <v>0</v>
      </c>
      <c r="U446" s="57">
        <v>0</v>
      </c>
      <c r="V446" s="57">
        <v>0</v>
      </c>
      <c r="W446" s="57">
        <v>0</v>
      </c>
      <c r="X446" s="94">
        <v>0</v>
      </c>
    </row>
    <row r="447" spans="1:24" x14ac:dyDescent="0.35">
      <c r="A447">
        <v>443</v>
      </c>
      <c r="B447">
        <v>444</v>
      </c>
      <c r="C447">
        <v>146.115702486</v>
      </c>
      <c r="D447">
        <v>-17.623626022</v>
      </c>
      <c r="F447" t="str">
        <f>HYPERLINK("D:\Data From Lucan\2024\Moresby\Frames_for_Analysis/444_20240611_0012_R_0558.jpg","444_20240611_0012_R_0558.jpg")</f>
        <v>444_20240611_0012_R_0558.jpg</v>
      </c>
      <c r="G447" s="92" t="s">
        <v>4324</v>
      </c>
      <c r="I447">
        <v>1</v>
      </c>
      <c r="K447" s="95">
        <v>1</v>
      </c>
      <c r="L447" s="31"/>
      <c r="M447" s="31"/>
      <c r="N447" s="31"/>
      <c r="O447" s="31"/>
      <c r="P447" s="4">
        <v>1</v>
      </c>
      <c r="Q447" s="57">
        <v>0</v>
      </c>
      <c r="R447" s="57">
        <v>0</v>
      </c>
      <c r="S447" s="97">
        <v>0</v>
      </c>
      <c r="T447" s="57">
        <v>0</v>
      </c>
      <c r="U447" s="57">
        <v>0</v>
      </c>
      <c r="V447" s="57">
        <v>0</v>
      </c>
      <c r="W447" s="57">
        <v>0</v>
      </c>
      <c r="X447" s="94">
        <v>0</v>
      </c>
    </row>
    <row r="448" spans="1:24" x14ac:dyDescent="0.35">
      <c r="A448">
        <v>444</v>
      </c>
      <c r="B448">
        <v>445</v>
      </c>
      <c r="C448">
        <v>146.11569241000001</v>
      </c>
      <c r="D448">
        <v>-17.6237110970999</v>
      </c>
      <c r="E448">
        <v>50</v>
      </c>
      <c r="F448" t="str">
        <f>HYPERLINK("D:\Data From Lucan\2024\Moresby\Frames_for_Analysis/445_20240611_0012_R_0555.jpg","445_20240611_0012_R_0555.jpg")</f>
        <v>445_20240611_0012_R_0555.jpg</v>
      </c>
      <c r="G448" s="92" t="s">
        <v>4325</v>
      </c>
      <c r="I448">
        <v>1</v>
      </c>
      <c r="K448" s="95">
        <v>1</v>
      </c>
      <c r="L448" s="31"/>
      <c r="M448" s="31"/>
      <c r="N448" s="31"/>
      <c r="O448" s="31"/>
      <c r="P448" s="4">
        <v>1</v>
      </c>
      <c r="Q448" s="57">
        <v>0</v>
      </c>
      <c r="R448" s="57">
        <v>0</v>
      </c>
      <c r="S448" s="97">
        <v>0</v>
      </c>
      <c r="T448" s="57">
        <v>0</v>
      </c>
      <c r="U448" s="57">
        <v>0</v>
      </c>
      <c r="V448" s="57">
        <v>0</v>
      </c>
      <c r="W448" s="57">
        <v>0</v>
      </c>
      <c r="X448" s="94">
        <v>0</v>
      </c>
    </row>
    <row r="449" spans="1:24" x14ac:dyDescent="0.35">
      <c r="A449">
        <v>445</v>
      </c>
      <c r="B449">
        <v>446</v>
      </c>
      <c r="C449">
        <v>146.11568233400001</v>
      </c>
      <c r="D449">
        <v>-17.6237961721</v>
      </c>
      <c r="F449" t="str">
        <f>HYPERLINK("D:\Data From Lucan\2024\Moresby\Frames_for_Analysis/446_20240611_0012_R_0553.jpg","446_20240611_0012_R_0553.jpg")</f>
        <v>446_20240611_0012_R_0553.jpg</v>
      </c>
      <c r="G449" s="92" t="s">
        <v>4326</v>
      </c>
      <c r="I449">
        <v>1</v>
      </c>
      <c r="K449" s="95">
        <v>1</v>
      </c>
      <c r="L449" s="31"/>
      <c r="M449" s="31"/>
      <c r="N449" s="31"/>
      <c r="O449" s="31"/>
      <c r="P449" s="4">
        <v>1</v>
      </c>
      <c r="Q449" s="57">
        <v>0</v>
      </c>
      <c r="R449" s="57">
        <v>0</v>
      </c>
      <c r="S449" s="97">
        <v>0</v>
      </c>
      <c r="T449" s="57">
        <v>0</v>
      </c>
      <c r="U449" s="57">
        <v>0</v>
      </c>
      <c r="V449" s="57">
        <v>0</v>
      </c>
      <c r="W449" s="57">
        <v>0</v>
      </c>
      <c r="X449" s="94">
        <v>0</v>
      </c>
    </row>
    <row r="450" spans="1:24" x14ac:dyDescent="0.35">
      <c r="A450">
        <v>446</v>
      </c>
      <c r="B450">
        <v>447</v>
      </c>
      <c r="C450">
        <v>146.115672257</v>
      </c>
      <c r="D450">
        <v>-17.623881247</v>
      </c>
      <c r="F450" t="str">
        <f>HYPERLINK("D:\Data From Lucan\2024\Moresby\Frames_for_Analysis/447_20240611_0012_R_0550.jpg","447_20240611_0012_R_0550.jpg")</f>
        <v>447_20240611_0012_R_0550.jpg</v>
      </c>
      <c r="G450" s="92" t="s">
        <v>4327</v>
      </c>
      <c r="I450">
        <v>1</v>
      </c>
      <c r="K450" s="95">
        <v>1</v>
      </c>
      <c r="L450" s="31"/>
      <c r="M450" s="31"/>
      <c r="N450" s="31"/>
      <c r="O450" s="31"/>
      <c r="P450" s="4">
        <v>1</v>
      </c>
      <c r="Q450" s="57">
        <v>0</v>
      </c>
      <c r="R450" s="57">
        <v>0</v>
      </c>
      <c r="S450" s="97">
        <v>0</v>
      </c>
      <c r="T450" s="57">
        <v>0</v>
      </c>
      <c r="U450" s="57">
        <v>0</v>
      </c>
      <c r="V450" s="57">
        <v>0</v>
      </c>
      <c r="W450" s="57">
        <v>0</v>
      </c>
      <c r="X450" s="94">
        <v>0</v>
      </c>
    </row>
    <row r="451" spans="1:24" x14ac:dyDescent="0.35">
      <c r="A451">
        <v>447</v>
      </c>
      <c r="B451">
        <v>448</v>
      </c>
      <c r="C451">
        <v>146.115662181</v>
      </c>
      <c r="D451">
        <v>-17.6239663218999</v>
      </c>
      <c r="F451" t="str">
        <f>HYPERLINK("D:\Data From Lucan\2024\Moresby\Frames_for_Analysis/448_20240611_0012_R_0548.jpg","448_20240611_0012_R_0548.jpg")</f>
        <v>448_20240611_0012_R_0548.jpg</v>
      </c>
      <c r="G451" s="92" t="s">
        <v>4328</v>
      </c>
      <c r="I451">
        <v>1</v>
      </c>
      <c r="K451" s="95">
        <v>1</v>
      </c>
      <c r="L451" s="31"/>
      <c r="M451" s="31"/>
      <c r="N451" s="31"/>
      <c r="O451" s="31"/>
      <c r="P451" s="4">
        <v>1</v>
      </c>
      <c r="Q451" s="57">
        <v>0</v>
      </c>
      <c r="R451" s="57">
        <v>0</v>
      </c>
      <c r="S451" s="97">
        <v>0</v>
      </c>
      <c r="T451" s="57">
        <v>0</v>
      </c>
      <c r="U451" s="57">
        <v>0</v>
      </c>
      <c r="V451" s="57">
        <v>0</v>
      </c>
      <c r="W451" s="57">
        <v>0</v>
      </c>
      <c r="X451" s="94">
        <v>0</v>
      </c>
    </row>
    <row r="452" spans="1:24" x14ac:dyDescent="0.35">
      <c r="A452">
        <v>448</v>
      </c>
      <c r="B452">
        <v>449</v>
      </c>
      <c r="C452">
        <v>146.11565210500001</v>
      </c>
      <c r="D452">
        <v>-17.624051396799899</v>
      </c>
      <c r="F452" t="str">
        <f>HYPERLINK("D:\Data From Lucan\2024\Moresby\Frames_for_Analysis/449_20240611_0012_R_0545.jpg","449_20240611_0012_R_0545.jpg")</f>
        <v>449_20240611_0012_R_0545.jpg</v>
      </c>
      <c r="G452" s="92" t="s">
        <v>4329</v>
      </c>
      <c r="I452">
        <v>1</v>
      </c>
      <c r="K452" s="95">
        <v>1</v>
      </c>
      <c r="L452" s="31"/>
      <c r="M452" s="31"/>
      <c r="N452" s="31"/>
      <c r="O452" s="31"/>
      <c r="P452" s="4">
        <v>1</v>
      </c>
      <c r="Q452" s="57">
        <v>0</v>
      </c>
      <c r="R452" s="57">
        <v>0</v>
      </c>
      <c r="S452" s="97">
        <v>0</v>
      </c>
      <c r="T452" s="57">
        <v>0</v>
      </c>
      <c r="U452" s="57">
        <v>0</v>
      </c>
      <c r="V452" s="57">
        <v>0</v>
      </c>
      <c r="W452" s="57">
        <v>0</v>
      </c>
      <c r="X452" s="94">
        <v>0</v>
      </c>
    </row>
    <row r="453" spans="1:24" x14ac:dyDescent="0.35">
      <c r="A453">
        <v>449</v>
      </c>
      <c r="B453">
        <v>450</v>
      </c>
      <c r="C453">
        <v>146.115642027999</v>
      </c>
      <c r="D453">
        <v>-17.6241364716</v>
      </c>
      <c r="E453">
        <v>50</v>
      </c>
      <c r="F453" t="str">
        <f>HYPERLINK("D:\Data From Lucan\2024\Moresby\Frames_for_Analysis/450_20240611_0012_R_0543.jpg","450_20240611_0012_R_0543.jpg")</f>
        <v>450_20240611_0012_R_0543.jpg</v>
      </c>
      <c r="G453" s="92" t="s">
        <v>4330</v>
      </c>
      <c r="I453">
        <v>1</v>
      </c>
      <c r="K453" s="95">
        <v>1</v>
      </c>
      <c r="L453" s="31"/>
      <c r="M453" s="31"/>
      <c r="N453" s="31"/>
      <c r="O453" s="31"/>
      <c r="P453" s="4">
        <v>1</v>
      </c>
      <c r="Q453" s="57">
        <v>0</v>
      </c>
      <c r="R453" s="57">
        <v>0</v>
      </c>
      <c r="S453" s="97">
        <v>0</v>
      </c>
      <c r="T453" s="57">
        <v>0</v>
      </c>
      <c r="U453" s="57">
        <v>0</v>
      </c>
      <c r="V453" s="57">
        <v>0</v>
      </c>
      <c r="W453" s="57">
        <v>0</v>
      </c>
      <c r="X453" s="94">
        <v>0</v>
      </c>
    </row>
    <row r="454" spans="1:24" x14ac:dyDescent="0.35">
      <c r="A454">
        <v>450</v>
      </c>
      <c r="B454">
        <v>451</v>
      </c>
      <c r="C454">
        <v>146.115631952</v>
      </c>
      <c r="D454">
        <v>-17.624221546400001</v>
      </c>
      <c r="F454" t="str">
        <f>HYPERLINK("D:\Data From Lucan\2024\Moresby\Frames_for_Analysis/451_20240611_0012_R_0540.jpg","451_20240611_0012_R_0540.jpg")</f>
        <v>451_20240611_0012_R_0540.jpg</v>
      </c>
      <c r="G454" s="92" t="s">
        <v>4331</v>
      </c>
      <c r="I454">
        <v>1</v>
      </c>
      <c r="K454" s="95">
        <v>1</v>
      </c>
      <c r="L454" s="31"/>
      <c r="M454" s="31"/>
      <c r="N454" s="31"/>
      <c r="O454" s="31"/>
      <c r="P454" s="4">
        <v>1</v>
      </c>
      <c r="Q454" s="57">
        <v>0</v>
      </c>
      <c r="R454" s="57">
        <v>0</v>
      </c>
      <c r="S454" s="97">
        <v>0</v>
      </c>
      <c r="T454" s="57">
        <v>0</v>
      </c>
      <c r="U454" s="57">
        <v>0</v>
      </c>
      <c r="V454" s="57">
        <v>0</v>
      </c>
      <c r="W454" s="57">
        <v>0</v>
      </c>
      <c r="X454" s="94">
        <v>0</v>
      </c>
    </row>
    <row r="455" spans="1:24" x14ac:dyDescent="0.35">
      <c r="A455">
        <v>451</v>
      </c>
      <c r="B455">
        <v>452</v>
      </c>
      <c r="C455">
        <v>146.11562187499899</v>
      </c>
      <c r="D455">
        <v>-17.624306621100001</v>
      </c>
      <c r="F455" t="str">
        <f>HYPERLINK("D:\Data From Lucan\2024\Moresby\Frames_for_Analysis/452_20240611_0012_R_0537.jpg","452_20240611_0012_R_0537.jpg")</f>
        <v>452_20240611_0012_R_0537.jpg</v>
      </c>
      <c r="G455" s="92" t="s">
        <v>4332</v>
      </c>
      <c r="I455">
        <v>1</v>
      </c>
      <c r="K455" s="95">
        <v>1</v>
      </c>
      <c r="L455" s="31"/>
      <c r="M455" s="31"/>
      <c r="N455" s="31"/>
      <c r="O455" s="31"/>
      <c r="P455" s="4">
        <v>1</v>
      </c>
      <c r="Q455" s="57">
        <v>0</v>
      </c>
      <c r="R455" s="57">
        <v>0</v>
      </c>
      <c r="S455" s="97">
        <v>0</v>
      </c>
      <c r="T455" s="57">
        <v>0</v>
      </c>
      <c r="U455" s="57">
        <v>0</v>
      </c>
      <c r="V455" s="57">
        <v>0</v>
      </c>
      <c r="W455" s="57">
        <v>0</v>
      </c>
      <c r="X455" s="94">
        <v>0</v>
      </c>
    </row>
    <row r="456" spans="1:24" x14ac:dyDescent="0.35">
      <c r="A456">
        <v>452</v>
      </c>
      <c r="B456">
        <v>453</v>
      </c>
      <c r="C456">
        <v>146.115611798999</v>
      </c>
      <c r="D456">
        <v>-17.6243916958</v>
      </c>
      <c r="F456" t="str">
        <f>HYPERLINK("D:\Data From Lucan\2024\Moresby\Frames_for_Analysis/453_20240611_0012_R_0535.jpg","453_20240611_0012_R_0535.jpg")</f>
        <v>453_20240611_0012_R_0535.jpg</v>
      </c>
      <c r="G456" s="92" t="s">
        <v>4333</v>
      </c>
      <c r="I456">
        <v>1</v>
      </c>
      <c r="K456" s="95">
        <v>1</v>
      </c>
      <c r="L456" s="31"/>
      <c r="M456" s="31"/>
      <c r="N456" s="31"/>
      <c r="O456" s="31"/>
      <c r="P456" s="4">
        <v>1</v>
      </c>
      <c r="Q456" s="57">
        <v>0</v>
      </c>
      <c r="R456" s="57">
        <v>0</v>
      </c>
      <c r="S456" s="97">
        <v>0</v>
      </c>
      <c r="T456" s="57">
        <v>0</v>
      </c>
      <c r="U456" s="57">
        <v>0</v>
      </c>
      <c r="V456" s="57">
        <v>0</v>
      </c>
      <c r="W456" s="57">
        <v>0</v>
      </c>
      <c r="X456" s="94">
        <v>0</v>
      </c>
    </row>
    <row r="457" spans="1:24" x14ac:dyDescent="0.35">
      <c r="A457">
        <v>453</v>
      </c>
      <c r="B457">
        <v>454</v>
      </c>
      <c r="C457">
        <v>146.115603351</v>
      </c>
      <c r="D457">
        <v>-17.624476926500002</v>
      </c>
      <c r="F457" t="str">
        <f>HYPERLINK("D:\Data From Lucan\2024\Moresby\Frames_for_Analysis/454_20240611_0012_R_0532.jpg","454_20240611_0012_R_0532.jpg")</f>
        <v>454_20240611_0012_R_0532.jpg</v>
      </c>
      <c r="G457" s="92" t="s">
        <v>4334</v>
      </c>
      <c r="I457">
        <v>1</v>
      </c>
      <c r="K457" s="95">
        <v>1</v>
      </c>
      <c r="L457" s="31"/>
      <c r="M457" s="31"/>
      <c r="N457" s="31"/>
      <c r="O457" s="31"/>
      <c r="P457" s="4">
        <v>1</v>
      </c>
      <c r="Q457" s="57">
        <v>0</v>
      </c>
      <c r="R457" s="57">
        <v>0</v>
      </c>
      <c r="S457" s="97">
        <v>0</v>
      </c>
      <c r="T457" s="57">
        <v>0</v>
      </c>
      <c r="U457" s="57">
        <v>0</v>
      </c>
      <c r="V457" s="57">
        <v>0</v>
      </c>
      <c r="W457" s="57">
        <v>0</v>
      </c>
      <c r="X457" s="94">
        <v>0</v>
      </c>
    </row>
    <row r="458" spans="1:24" x14ac:dyDescent="0.35">
      <c r="A458">
        <v>454</v>
      </c>
      <c r="B458">
        <v>455</v>
      </c>
      <c r="C458">
        <v>146.115595468999</v>
      </c>
      <c r="D458">
        <v>-17.624562211200001</v>
      </c>
      <c r="E458">
        <v>50</v>
      </c>
      <c r="F458" t="str">
        <f>HYPERLINK("D:\Data From Lucan\2024\Moresby\Frames_for_Analysis/455_20240611_0012_R_0530.jpg","455_20240611_0012_R_0530.jpg")</f>
        <v>455_20240611_0012_R_0530.jpg</v>
      </c>
      <c r="G458" s="92" t="s">
        <v>4335</v>
      </c>
      <c r="I458">
        <v>1</v>
      </c>
      <c r="K458" s="95">
        <v>1</v>
      </c>
      <c r="L458" s="31"/>
      <c r="M458" s="31"/>
      <c r="N458" s="31"/>
      <c r="O458" s="31"/>
      <c r="P458" s="4">
        <v>1</v>
      </c>
      <c r="Q458" s="57">
        <v>0</v>
      </c>
      <c r="R458" s="57">
        <v>0</v>
      </c>
      <c r="S458" s="97">
        <v>0</v>
      </c>
      <c r="T458" s="57">
        <v>0</v>
      </c>
      <c r="U458" s="57">
        <v>0</v>
      </c>
      <c r="V458" s="57">
        <v>0</v>
      </c>
      <c r="W458" s="57">
        <v>0</v>
      </c>
      <c r="X458" s="94">
        <v>0</v>
      </c>
    </row>
    <row r="459" spans="1:24" x14ac:dyDescent="0.35">
      <c r="A459">
        <v>455</v>
      </c>
      <c r="B459">
        <v>456</v>
      </c>
      <c r="C459">
        <v>146.115587586999</v>
      </c>
      <c r="D459">
        <v>-17.6246474959</v>
      </c>
      <c r="F459" t="str">
        <f>HYPERLINK("D:\Data From Lucan\2024\Moresby\Frames_for_Analysis/456_20240611_0012_R_0527.jpg","456_20240611_0012_R_0527.jpg")</f>
        <v>456_20240611_0012_R_0527.jpg</v>
      </c>
      <c r="G459" s="92" t="s">
        <v>4336</v>
      </c>
      <c r="I459">
        <v>1</v>
      </c>
      <c r="K459" s="95">
        <v>1</v>
      </c>
      <c r="L459" s="31"/>
      <c r="M459" s="31"/>
      <c r="N459" s="31"/>
      <c r="O459" s="31"/>
      <c r="P459" s="4">
        <v>1</v>
      </c>
      <c r="Q459" s="57">
        <v>0</v>
      </c>
      <c r="R459" s="57">
        <v>0</v>
      </c>
      <c r="S459" s="97">
        <v>0</v>
      </c>
      <c r="T459" s="57">
        <v>0</v>
      </c>
      <c r="U459" s="57">
        <v>0</v>
      </c>
      <c r="V459" s="57">
        <v>0</v>
      </c>
      <c r="W459" s="57">
        <v>0</v>
      </c>
      <c r="X459" s="94">
        <v>0</v>
      </c>
    </row>
    <row r="460" spans="1:24" x14ac:dyDescent="0.35">
      <c r="A460">
        <v>456</v>
      </c>
      <c r="B460">
        <v>457</v>
      </c>
      <c r="C460">
        <v>146.115579703999</v>
      </c>
      <c r="D460">
        <v>-17.6247327805</v>
      </c>
      <c r="F460" t="str">
        <f>HYPERLINK("D:\Data From Lucan\2024\Moresby\Frames_for_Analysis/457_20240611_0012_R_0524.jpg","457_20240611_0012_R_0524.jpg")</f>
        <v>457_20240611_0012_R_0524.jpg</v>
      </c>
      <c r="G460" s="92" t="s">
        <v>4337</v>
      </c>
      <c r="I460">
        <v>1</v>
      </c>
      <c r="K460" s="95">
        <v>1</v>
      </c>
      <c r="L460" s="31"/>
      <c r="M460" s="31"/>
      <c r="N460" s="31"/>
      <c r="O460" s="31"/>
      <c r="P460" s="4">
        <v>1</v>
      </c>
      <c r="Q460" s="57">
        <v>0</v>
      </c>
      <c r="R460" s="57">
        <v>0</v>
      </c>
      <c r="S460" s="97">
        <v>0</v>
      </c>
      <c r="T460" s="57">
        <v>0</v>
      </c>
      <c r="U460" s="57">
        <v>0</v>
      </c>
      <c r="V460" s="57">
        <v>0</v>
      </c>
      <c r="W460" s="57">
        <v>0</v>
      </c>
      <c r="X460" s="94">
        <v>0</v>
      </c>
    </row>
    <row r="461" spans="1:24" x14ac:dyDescent="0.35">
      <c r="A461">
        <v>457</v>
      </c>
      <c r="B461">
        <v>458</v>
      </c>
      <c r="C461">
        <v>146.115571821</v>
      </c>
      <c r="D461">
        <v>-17.624818065100001</v>
      </c>
      <c r="F461" t="str">
        <f>HYPERLINK("D:\Data From Lucan\2024\Moresby\Frames_for_Analysis/458_20240611_0012_R_0521.jpg","458_20240611_0012_R_0521.jpg")</f>
        <v>458_20240611_0012_R_0521.jpg</v>
      </c>
      <c r="G461" s="92" t="s">
        <v>4338</v>
      </c>
      <c r="I461">
        <v>1</v>
      </c>
      <c r="K461" s="95">
        <v>1</v>
      </c>
      <c r="L461" s="31"/>
      <c r="M461" s="31"/>
      <c r="N461" s="31"/>
      <c r="O461" s="31"/>
      <c r="P461" s="4">
        <v>1</v>
      </c>
      <c r="Q461" s="57">
        <v>0</v>
      </c>
      <c r="R461" s="57">
        <v>0</v>
      </c>
      <c r="S461" s="97">
        <v>0</v>
      </c>
      <c r="T461" s="57">
        <v>0</v>
      </c>
      <c r="U461" s="57">
        <v>0</v>
      </c>
      <c r="V461" s="57">
        <v>0</v>
      </c>
      <c r="W461" s="57">
        <v>0</v>
      </c>
      <c r="X461" s="94">
        <v>0</v>
      </c>
    </row>
    <row r="462" spans="1:24" x14ac:dyDescent="0.35">
      <c r="A462">
        <v>458</v>
      </c>
      <c r="B462">
        <v>459</v>
      </c>
      <c r="C462">
        <v>146.115563938999</v>
      </c>
      <c r="D462">
        <v>-17.6249033496</v>
      </c>
      <c r="F462" t="str">
        <f>HYPERLINK("D:\Data From Lucan\2024\Moresby\Frames_for_Analysis/459_20240611_0012_R_0518.jpg","459_20240611_0012_R_0518.jpg")</f>
        <v>459_20240611_0012_R_0518.jpg</v>
      </c>
      <c r="G462" s="92" t="s">
        <v>4339</v>
      </c>
      <c r="I462">
        <v>1</v>
      </c>
      <c r="K462" s="95">
        <v>1</v>
      </c>
      <c r="L462" s="31"/>
      <c r="M462" s="31"/>
      <c r="N462" s="31"/>
      <c r="O462" s="31"/>
      <c r="P462" s="4">
        <v>1</v>
      </c>
      <c r="Q462" s="57">
        <v>0</v>
      </c>
      <c r="R462" s="57">
        <v>0</v>
      </c>
      <c r="S462" s="97">
        <v>0</v>
      </c>
      <c r="T462" s="57">
        <v>0</v>
      </c>
      <c r="U462" s="57">
        <v>0</v>
      </c>
      <c r="V462" s="57">
        <v>0</v>
      </c>
      <c r="W462" s="57">
        <v>0</v>
      </c>
      <c r="X462" s="94">
        <v>0</v>
      </c>
    </row>
    <row r="463" spans="1:24" x14ac:dyDescent="0.35">
      <c r="A463">
        <v>459</v>
      </c>
      <c r="B463">
        <v>460</v>
      </c>
      <c r="C463">
        <v>146.115556056</v>
      </c>
      <c r="D463">
        <v>-17.6249886340999</v>
      </c>
      <c r="E463">
        <v>50</v>
      </c>
      <c r="F463" t="str">
        <f>HYPERLINK("D:\Data From Lucan\2024\Moresby\Frames_for_Analysis/460_20240611_0012_R_0516.jpg","460_20240611_0012_R_0516.jpg")</f>
        <v>460_20240611_0012_R_0516.jpg</v>
      </c>
      <c r="G463" s="92" t="s">
        <v>4340</v>
      </c>
      <c r="I463">
        <v>1</v>
      </c>
      <c r="K463" s="95">
        <v>1</v>
      </c>
      <c r="L463" s="31"/>
      <c r="M463" s="31"/>
      <c r="N463" s="31"/>
      <c r="O463" s="31"/>
      <c r="P463" s="4">
        <v>1</v>
      </c>
      <c r="Q463" s="57">
        <v>0</v>
      </c>
      <c r="R463" s="57">
        <v>0</v>
      </c>
      <c r="S463" s="97">
        <v>0</v>
      </c>
      <c r="T463" s="57">
        <v>0</v>
      </c>
      <c r="U463" s="57">
        <v>0</v>
      </c>
      <c r="V463" s="57">
        <v>0</v>
      </c>
      <c r="W463" s="57">
        <v>0</v>
      </c>
      <c r="X463" s="94">
        <v>0</v>
      </c>
    </row>
    <row r="464" spans="1:24" x14ac:dyDescent="0.35">
      <c r="A464">
        <v>460</v>
      </c>
      <c r="B464">
        <v>461</v>
      </c>
      <c r="C464">
        <v>146.115548173999</v>
      </c>
      <c r="D464">
        <v>-17.625073918599899</v>
      </c>
      <c r="F464" t="str">
        <f>HYPERLINK("D:\Data From Lucan\2024\Moresby\Frames_for_Analysis/461_20240611_0012_R_0513.jpg","461_20240611_0012_R_0513.jpg")</f>
        <v>461_20240611_0012_R_0513.jpg</v>
      </c>
      <c r="G464" s="92" t="s">
        <v>4341</v>
      </c>
      <c r="I464">
        <v>1</v>
      </c>
      <c r="K464" s="95">
        <v>1</v>
      </c>
      <c r="L464" s="31"/>
      <c r="M464" s="31"/>
      <c r="N464" s="31"/>
      <c r="O464" s="31"/>
      <c r="P464" s="4">
        <v>1</v>
      </c>
      <c r="Q464" s="57">
        <v>0</v>
      </c>
      <c r="R464" s="57">
        <v>0</v>
      </c>
      <c r="S464" s="97">
        <v>0</v>
      </c>
      <c r="T464" s="57">
        <v>0</v>
      </c>
      <c r="U464" s="57">
        <v>0</v>
      </c>
      <c r="V464" s="57">
        <v>0</v>
      </c>
      <c r="W464" s="57">
        <v>0</v>
      </c>
      <c r="X464" s="94">
        <v>0</v>
      </c>
    </row>
    <row r="465" spans="1:24" x14ac:dyDescent="0.35">
      <c r="A465">
        <v>461</v>
      </c>
      <c r="B465">
        <v>462</v>
      </c>
      <c r="C465">
        <v>146.115540291</v>
      </c>
      <c r="D465">
        <v>-17.6251592029999</v>
      </c>
      <c r="F465" t="str">
        <f>HYPERLINK("D:\Data From Lucan\2024\Moresby\Frames_for_Analysis/462_20240611_0012_R_0510.jpg","462_20240611_0012_R_0510.jpg")</f>
        <v>462_20240611_0012_R_0510.jpg</v>
      </c>
      <c r="G465" s="92" t="s">
        <v>4342</v>
      </c>
      <c r="I465">
        <v>1</v>
      </c>
      <c r="K465" s="95">
        <v>1</v>
      </c>
      <c r="L465" s="31"/>
      <c r="M465" s="31"/>
      <c r="N465" s="31"/>
      <c r="O465" s="31"/>
      <c r="P465" s="4">
        <v>1</v>
      </c>
      <c r="Q465" s="57">
        <v>0</v>
      </c>
      <c r="R465" s="57">
        <v>0</v>
      </c>
      <c r="S465" s="97">
        <v>0</v>
      </c>
      <c r="T465" s="57">
        <v>0</v>
      </c>
      <c r="U465" s="57">
        <v>0</v>
      </c>
      <c r="V465" s="57">
        <v>0</v>
      </c>
      <c r="W465" s="57">
        <v>0</v>
      </c>
      <c r="X465" s="94">
        <v>0</v>
      </c>
    </row>
    <row r="466" spans="1:24" x14ac:dyDescent="0.35">
      <c r="A466">
        <v>462</v>
      </c>
      <c r="B466">
        <v>463</v>
      </c>
      <c r="C466">
        <v>146.11553240800001</v>
      </c>
      <c r="D466">
        <v>-17.625244487300002</v>
      </c>
      <c r="F466" t="str">
        <f>HYPERLINK("D:\Data From Lucan\2024\Moresby\Frames_for_Analysis/463_20240611_0012_R_0508.jpg","463_20240611_0012_R_0508.jpg")</f>
        <v>463_20240611_0012_R_0508.jpg</v>
      </c>
      <c r="G466" s="92" t="s">
        <v>4343</v>
      </c>
      <c r="I466">
        <v>1</v>
      </c>
      <c r="K466" s="95">
        <v>1</v>
      </c>
      <c r="L466" s="31"/>
      <c r="M466" s="31"/>
      <c r="N466" s="31"/>
      <c r="O466" s="31"/>
      <c r="P466" s="4">
        <v>1</v>
      </c>
      <c r="Q466" s="57">
        <v>0</v>
      </c>
      <c r="R466" s="57">
        <v>0</v>
      </c>
      <c r="S466" s="97">
        <v>0</v>
      </c>
      <c r="T466" s="57">
        <v>0</v>
      </c>
      <c r="U466" s="57">
        <v>0</v>
      </c>
      <c r="V466" s="57">
        <v>0</v>
      </c>
      <c r="W466" s="57">
        <v>0</v>
      </c>
      <c r="X466" s="94">
        <v>0</v>
      </c>
    </row>
    <row r="467" spans="1:24" x14ac:dyDescent="0.35">
      <c r="A467">
        <v>463</v>
      </c>
      <c r="B467">
        <v>464</v>
      </c>
      <c r="C467">
        <v>146.115524526</v>
      </c>
      <c r="D467">
        <v>-17.625329771699899</v>
      </c>
      <c r="F467" t="str">
        <f>HYPERLINK("D:\Data From Lucan\2024\Moresby\Frames_for_Analysis/464_20240611_0012_R_0505.jpg","464_20240611_0012_R_0505.jpg")</f>
        <v>464_20240611_0012_R_0505.jpg</v>
      </c>
      <c r="G467" s="92" t="s">
        <v>4344</v>
      </c>
      <c r="I467">
        <v>1</v>
      </c>
      <c r="K467" s="95">
        <v>1</v>
      </c>
      <c r="L467" s="31"/>
      <c r="M467" s="31"/>
      <c r="N467" s="31"/>
      <c r="O467" s="31"/>
      <c r="P467" s="4">
        <v>1</v>
      </c>
      <c r="Q467" s="57">
        <v>0</v>
      </c>
      <c r="R467" s="57">
        <v>0</v>
      </c>
      <c r="S467" s="97">
        <v>0</v>
      </c>
      <c r="T467" s="57">
        <v>0</v>
      </c>
      <c r="U467" s="57">
        <v>0</v>
      </c>
      <c r="V467" s="57">
        <v>0</v>
      </c>
      <c r="W467" s="57">
        <v>0</v>
      </c>
      <c r="X467" s="94">
        <v>0</v>
      </c>
    </row>
    <row r="468" spans="1:24" x14ac:dyDescent="0.35">
      <c r="A468">
        <v>464</v>
      </c>
      <c r="B468">
        <v>465</v>
      </c>
      <c r="C468">
        <v>146.11551673100001</v>
      </c>
      <c r="D468">
        <v>-17.6254150633</v>
      </c>
      <c r="E468">
        <v>50</v>
      </c>
      <c r="F468" t="str">
        <f>HYPERLINK("D:\Data From Lucan\2024\Moresby\Frames_for_Analysis/465_20240611_0012_R_0502.jpg","465_20240611_0012_R_0502.jpg")</f>
        <v>465_20240611_0012_R_0502.jpg</v>
      </c>
      <c r="G468" s="92" t="s">
        <v>4345</v>
      </c>
      <c r="I468">
        <v>1</v>
      </c>
      <c r="K468" s="95">
        <v>1</v>
      </c>
      <c r="L468" s="31"/>
      <c r="M468" s="31"/>
      <c r="N468" s="31"/>
      <c r="O468" s="31"/>
      <c r="P468" s="4">
        <v>1</v>
      </c>
      <c r="Q468" s="57">
        <v>0</v>
      </c>
      <c r="R468" s="57">
        <v>0</v>
      </c>
      <c r="S468" s="97">
        <v>0</v>
      </c>
      <c r="T468" s="57">
        <v>0</v>
      </c>
      <c r="U468" s="57">
        <v>0</v>
      </c>
      <c r="V468" s="57">
        <v>0</v>
      </c>
      <c r="W468" s="57">
        <v>0</v>
      </c>
      <c r="X468" s="94">
        <v>0</v>
      </c>
    </row>
    <row r="469" spans="1:24" x14ac:dyDescent="0.35">
      <c r="A469">
        <v>465</v>
      </c>
      <c r="B469">
        <v>466</v>
      </c>
      <c r="C469">
        <v>146.115508968</v>
      </c>
      <c r="D469">
        <v>-17.625500357500002</v>
      </c>
      <c r="F469" t="str">
        <f>HYPERLINK("D:\Data From Lucan\2024\Moresby\Frames_for_Analysis/466_20240611_0012_R_0500.jpg","466_20240611_0012_R_0500.jpg")</f>
        <v>466_20240611_0012_R_0500.jpg</v>
      </c>
      <c r="G469" s="92" t="s">
        <v>4346</v>
      </c>
      <c r="I469">
        <v>1</v>
      </c>
      <c r="K469" s="95">
        <v>1</v>
      </c>
      <c r="L469" s="31"/>
      <c r="M469" s="31"/>
      <c r="N469" s="31"/>
      <c r="O469" s="31"/>
      <c r="P469" s="4">
        <v>1</v>
      </c>
      <c r="Q469" s="57">
        <v>0</v>
      </c>
      <c r="R469" s="57">
        <v>0</v>
      </c>
      <c r="S469" s="97">
        <v>0</v>
      </c>
      <c r="T469" s="57">
        <v>0</v>
      </c>
      <c r="U469" s="57">
        <v>0</v>
      </c>
      <c r="V469" s="57">
        <v>0</v>
      </c>
      <c r="W469" s="57">
        <v>0</v>
      </c>
      <c r="X469" s="94">
        <v>0</v>
      </c>
    </row>
    <row r="470" spans="1:24" x14ac:dyDescent="0.35">
      <c r="A470">
        <v>466</v>
      </c>
      <c r="B470">
        <v>467</v>
      </c>
      <c r="C470">
        <v>146.11550120499899</v>
      </c>
      <c r="D470">
        <v>-17.6255856517</v>
      </c>
      <c r="F470" t="str">
        <f>HYPERLINK("D:\Data From Lucan\2024\Moresby\Frames_for_Analysis/467_20240611_0012_R_0497.jpg","467_20240611_0012_R_0497.jpg")</f>
        <v>467_20240611_0012_R_0497.jpg</v>
      </c>
      <c r="G470" s="92" t="s">
        <v>4347</v>
      </c>
      <c r="I470">
        <v>1</v>
      </c>
      <c r="K470" s="95">
        <v>1</v>
      </c>
      <c r="L470" s="31"/>
      <c r="M470" s="31"/>
      <c r="N470" s="31"/>
      <c r="O470" s="31"/>
      <c r="P470" s="4">
        <v>1</v>
      </c>
      <c r="Q470" s="57">
        <v>0</v>
      </c>
      <c r="R470" s="57">
        <v>0</v>
      </c>
      <c r="S470" s="97">
        <v>0</v>
      </c>
      <c r="T470" s="57">
        <v>0</v>
      </c>
      <c r="U470" s="57">
        <v>0</v>
      </c>
      <c r="V470" s="57">
        <v>0</v>
      </c>
      <c r="W470" s="57">
        <v>0</v>
      </c>
      <c r="X470" s="94">
        <v>0</v>
      </c>
    </row>
    <row r="471" spans="1:24" x14ac:dyDescent="0.35">
      <c r="A471">
        <v>467</v>
      </c>
      <c r="B471">
        <v>468</v>
      </c>
      <c r="C471">
        <v>146.115493442</v>
      </c>
      <c r="D471">
        <v>-17.6256709458</v>
      </c>
      <c r="F471" t="str">
        <f>HYPERLINK("D:\Data From Lucan\2024\Moresby\Frames_for_Analysis/468_20240611_0012_R_0495.jpg","468_20240611_0012_R_0495.jpg")</f>
        <v>468_20240611_0012_R_0495.jpg</v>
      </c>
      <c r="G471" s="92" t="s">
        <v>4348</v>
      </c>
      <c r="I471">
        <v>1</v>
      </c>
      <c r="K471" s="95">
        <v>1</v>
      </c>
      <c r="L471" s="31"/>
      <c r="M471" s="31"/>
      <c r="N471" s="31"/>
      <c r="O471" s="31"/>
      <c r="P471" s="4">
        <v>1</v>
      </c>
      <c r="Q471" s="57">
        <v>0</v>
      </c>
      <c r="R471" s="57">
        <v>0</v>
      </c>
      <c r="S471" s="97">
        <v>0</v>
      </c>
      <c r="T471" s="57">
        <v>0</v>
      </c>
      <c r="U471" s="57">
        <v>0</v>
      </c>
      <c r="V471" s="57">
        <v>0</v>
      </c>
      <c r="W471" s="57">
        <v>0</v>
      </c>
      <c r="X471" s="94">
        <v>0</v>
      </c>
    </row>
    <row r="472" spans="1:24" x14ac:dyDescent="0.35">
      <c r="A472">
        <v>468</v>
      </c>
      <c r="B472">
        <v>469</v>
      </c>
      <c r="C472">
        <v>146.115485677999</v>
      </c>
      <c r="D472">
        <v>-17.625756239800001</v>
      </c>
      <c r="F472" t="str">
        <f>HYPERLINK("D:\Data From Lucan\2024\Moresby\Frames_for_Analysis/469_20240611_0012_R_0492.jpg","469_20240611_0012_R_0492.jpg")</f>
        <v>469_20240611_0012_R_0492.jpg</v>
      </c>
      <c r="G472" s="92" t="s">
        <v>4349</v>
      </c>
      <c r="I472">
        <v>1</v>
      </c>
      <c r="K472" s="95">
        <v>1</v>
      </c>
      <c r="L472" s="31"/>
      <c r="M472" s="31"/>
      <c r="N472" s="31"/>
      <c r="O472" s="31"/>
      <c r="P472" s="4">
        <v>1</v>
      </c>
      <c r="Q472" s="57">
        <v>0</v>
      </c>
      <c r="R472" s="57">
        <v>0</v>
      </c>
      <c r="S472" s="97">
        <v>0</v>
      </c>
      <c r="T472" s="57">
        <v>0</v>
      </c>
      <c r="U472" s="57">
        <v>0</v>
      </c>
      <c r="V472" s="57">
        <v>0</v>
      </c>
      <c r="W472" s="57">
        <v>0</v>
      </c>
      <c r="X472" s="94">
        <v>0</v>
      </c>
    </row>
    <row r="473" spans="1:24" x14ac:dyDescent="0.35">
      <c r="A473">
        <v>469</v>
      </c>
      <c r="B473">
        <v>470</v>
      </c>
      <c r="C473">
        <v>146.11547791500001</v>
      </c>
      <c r="D473">
        <v>-17.625841533900001</v>
      </c>
      <c r="E473">
        <v>50</v>
      </c>
      <c r="F473" t="str">
        <f>HYPERLINK("D:\Data From Lucan\2024\Moresby\Frames_for_Analysis/470_20240611_0012_R_0490.jpg","470_20240611_0012_R_0490.jpg")</f>
        <v>470_20240611_0012_R_0490.jpg</v>
      </c>
      <c r="G473" s="92" t="s">
        <v>4350</v>
      </c>
      <c r="I473">
        <v>1</v>
      </c>
      <c r="K473" s="95">
        <v>1</v>
      </c>
      <c r="L473" s="31"/>
      <c r="M473" s="31"/>
      <c r="N473" s="31"/>
      <c r="O473" s="31"/>
      <c r="P473" s="4">
        <v>1</v>
      </c>
      <c r="Q473" s="57">
        <v>0</v>
      </c>
      <c r="R473" s="57">
        <v>0</v>
      </c>
      <c r="S473" s="97">
        <v>0</v>
      </c>
      <c r="T473" s="57">
        <v>0</v>
      </c>
      <c r="U473" s="57">
        <v>0</v>
      </c>
      <c r="V473" s="57">
        <v>0</v>
      </c>
      <c r="W473" s="57">
        <v>0</v>
      </c>
      <c r="X473" s="94">
        <v>0</v>
      </c>
    </row>
    <row r="474" spans="1:24" x14ac:dyDescent="0.35">
      <c r="A474">
        <v>470</v>
      </c>
      <c r="B474">
        <v>471</v>
      </c>
      <c r="C474">
        <v>146.115470152</v>
      </c>
      <c r="D474">
        <v>-17.6259268278999</v>
      </c>
      <c r="F474" t="str">
        <f>HYPERLINK("D:\Data From Lucan\2024\Moresby\Frames_for_Analysis/471_20240611_0012_R_0488.jpg","471_20240611_0012_R_0488.jpg")</f>
        <v>471_20240611_0012_R_0488.jpg</v>
      </c>
      <c r="G474" s="92" t="s">
        <v>4351</v>
      </c>
      <c r="I474">
        <v>1</v>
      </c>
      <c r="K474" s="95">
        <v>1</v>
      </c>
      <c r="L474" s="31"/>
      <c r="M474" s="31"/>
      <c r="N474" s="31"/>
      <c r="O474" s="31"/>
      <c r="P474" s="4">
        <v>1</v>
      </c>
      <c r="Q474" s="57">
        <v>0</v>
      </c>
      <c r="R474" s="57">
        <v>0</v>
      </c>
      <c r="S474" s="97">
        <v>0</v>
      </c>
      <c r="T474" s="57">
        <v>0</v>
      </c>
      <c r="U474" s="57">
        <v>0</v>
      </c>
      <c r="V474" s="57">
        <v>0</v>
      </c>
      <c r="W474" s="57">
        <v>0</v>
      </c>
      <c r="X474" s="94">
        <v>0</v>
      </c>
    </row>
    <row r="475" spans="1:24" x14ac:dyDescent="0.35">
      <c r="A475">
        <v>471</v>
      </c>
      <c r="B475">
        <v>472</v>
      </c>
      <c r="C475">
        <v>146.11546238899899</v>
      </c>
      <c r="D475">
        <v>-17.626012121799899</v>
      </c>
      <c r="F475" t="str">
        <f>HYPERLINK("D:\Data From Lucan\2024\Moresby\Frames_for_Analysis/472_20240611_0012_R_0485.jpg","472_20240611_0012_R_0485.jpg")</f>
        <v>472_20240611_0012_R_0485.jpg</v>
      </c>
      <c r="G475" s="92" t="s">
        <v>4352</v>
      </c>
      <c r="I475">
        <v>1</v>
      </c>
      <c r="K475" s="95">
        <v>1</v>
      </c>
      <c r="L475" s="31"/>
      <c r="M475" s="31"/>
      <c r="N475" s="31"/>
      <c r="O475" s="31"/>
      <c r="P475" s="4">
        <v>1</v>
      </c>
      <c r="Q475" s="57">
        <v>0</v>
      </c>
      <c r="R475" s="57">
        <v>0</v>
      </c>
      <c r="S475" s="97">
        <v>0</v>
      </c>
      <c r="T475" s="57">
        <v>0</v>
      </c>
      <c r="U475" s="57">
        <v>0</v>
      </c>
      <c r="V475" s="57">
        <v>0</v>
      </c>
      <c r="W475" s="57">
        <v>0</v>
      </c>
      <c r="X475" s="94">
        <v>0</v>
      </c>
    </row>
    <row r="476" spans="1:24" x14ac:dyDescent="0.35">
      <c r="A476">
        <v>472</v>
      </c>
      <c r="B476">
        <v>473</v>
      </c>
      <c r="C476">
        <v>146.11545465</v>
      </c>
      <c r="D476">
        <v>-17.6260974178</v>
      </c>
      <c r="F476" t="str">
        <f>HYPERLINK("D:\Data From Lucan\2024\Moresby\Frames_for_Analysis/473_20240611_0012_R_0483.jpg","473_20240611_0012_R_0483.jpg")</f>
        <v>473_20240611_0012_R_0483.jpg</v>
      </c>
      <c r="G476" s="92" t="s">
        <v>4353</v>
      </c>
      <c r="I476">
        <v>1</v>
      </c>
      <c r="K476" s="95">
        <v>1</v>
      </c>
      <c r="L476" s="31"/>
      <c r="M476" s="31"/>
      <c r="N476" s="31"/>
      <c r="O476" s="31"/>
      <c r="P476" s="4">
        <v>1</v>
      </c>
      <c r="Q476" s="57">
        <v>0</v>
      </c>
      <c r="R476" s="57">
        <v>0</v>
      </c>
      <c r="S476" s="97">
        <v>0</v>
      </c>
      <c r="T476" s="57">
        <v>0</v>
      </c>
      <c r="U476" s="57">
        <v>0</v>
      </c>
      <c r="V476" s="57">
        <v>0</v>
      </c>
      <c r="W476" s="57">
        <v>0</v>
      </c>
      <c r="X476" s="94">
        <v>0</v>
      </c>
    </row>
    <row r="477" spans="1:24" x14ac:dyDescent="0.35">
      <c r="A477">
        <v>473</v>
      </c>
      <c r="B477">
        <v>474</v>
      </c>
      <c r="C477">
        <v>146.11544695800001</v>
      </c>
      <c r="D477">
        <v>-17.626182717500001</v>
      </c>
      <c r="F477" t="str">
        <f>HYPERLINK("D:\Data From Lucan\2024\Moresby\Frames_for_Analysis/474_20240611_0012_R_0480.jpg","474_20240611_0012_R_0480.jpg")</f>
        <v>474_20240611_0012_R_0480.jpg</v>
      </c>
      <c r="G477" s="92" t="s">
        <v>4354</v>
      </c>
      <c r="I477">
        <v>1</v>
      </c>
      <c r="K477" s="95">
        <v>1</v>
      </c>
      <c r="L477" s="31"/>
      <c r="M477" s="31"/>
      <c r="N477" s="31"/>
      <c r="O477" s="31"/>
      <c r="P477" s="4">
        <v>1</v>
      </c>
      <c r="Q477" s="57">
        <v>0</v>
      </c>
      <c r="R477" s="57">
        <v>0</v>
      </c>
      <c r="S477" s="97">
        <v>0</v>
      </c>
      <c r="T477" s="57">
        <v>0</v>
      </c>
      <c r="U477" s="57">
        <v>0</v>
      </c>
      <c r="V477" s="57">
        <v>0</v>
      </c>
      <c r="W477" s="57">
        <v>0</v>
      </c>
      <c r="X477" s="94">
        <v>0</v>
      </c>
    </row>
    <row r="478" spans="1:24" x14ac:dyDescent="0.35">
      <c r="A478">
        <v>474</v>
      </c>
      <c r="B478">
        <v>475</v>
      </c>
      <c r="C478">
        <v>146.11543926600001</v>
      </c>
      <c r="D478">
        <v>-17.626268017200001</v>
      </c>
      <c r="E478">
        <v>50</v>
      </c>
      <c r="F478" t="str">
        <f>HYPERLINK("D:\Data From Lucan\2024\Moresby\Frames_for_Analysis/475_20240611_0012_R_0478.jpg","475_20240611_0012_R_0478.jpg")</f>
        <v>475_20240611_0012_R_0478.jpg</v>
      </c>
      <c r="G478" s="92" t="s">
        <v>4355</v>
      </c>
      <c r="I478">
        <v>1</v>
      </c>
      <c r="K478" s="95">
        <v>1</v>
      </c>
      <c r="L478" s="31"/>
      <c r="M478" s="31"/>
      <c r="N478" s="31"/>
      <c r="O478" s="31"/>
      <c r="P478" s="4">
        <v>1</v>
      </c>
      <c r="Q478" s="57">
        <v>0</v>
      </c>
      <c r="R478" s="57">
        <v>0</v>
      </c>
      <c r="S478" s="97">
        <v>0</v>
      </c>
      <c r="T478" s="57">
        <v>0</v>
      </c>
      <c r="U478" s="57">
        <v>0</v>
      </c>
      <c r="V478" s="57">
        <v>0</v>
      </c>
      <c r="W478" s="57">
        <v>0</v>
      </c>
      <c r="X478" s="94">
        <v>0</v>
      </c>
    </row>
    <row r="479" spans="1:24" x14ac:dyDescent="0.35">
      <c r="A479">
        <v>475</v>
      </c>
      <c r="B479">
        <v>476</v>
      </c>
      <c r="C479">
        <v>146.11543157400001</v>
      </c>
      <c r="D479">
        <v>-17.626353316900001</v>
      </c>
      <c r="F479" t="str">
        <f>HYPERLINK("D:\Data From Lucan\2024\Moresby\Frames_for_Analysis/476_20240611_0012_R_0476.jpg","476_20240611_0012_R_0476.jpg")</f>
        <v>476_20240611_0012_R_0476.jpg</v>
      </c>
      <c r="G479" s="92" t="s">
        <v>4356</v>
      </c>
      <c r="I479">
        <v>1</v>
      </c>
      <c r="K479" s="95">
        <v>1</v>
      </c>
      <c r="L479" s="31"/>
      <c r="M479" s="31"/>
      <c r="N479" s="31"/>
      <c r="O479" s="31"/>
      <c r="P479" s="4">
        <v>1</v>
      </c>
      <c r="Q479" s="57">
        <v>0</v>
      </c>
      <c r="R479" s="57">
        <v>0</v>
      </c>
      <c r="S479" s="97">
        <v>0</v>
      </c>
      <c r="T479" s="57">
        <v>0</v>
      </c>
      <c r="U479" s="57">
        <v>0</v>
      </c>
      <c r="V479" s="57">
        <v>0</v>
      </c>
      <c r="W479" s="57">
        <v>0</v>
      </c>
      <c r="X479" s="94">
        <v>0</v>
      </c>
    </row>
    <row r="480" spans="1:24" x14ac:dyDescent="0.35">
      <c r="A480">
        <v>476</v>
      </c>
      <c r="B480">
        <v>477</v>
      </c>
      <c r="C480">
        <v>146.11542388199899</v>
      </c>
      <c r="D480">
        <v>-17.6264386165</v>
      </c>
      <c r="F480" t="str">
        <f>HYPERLINK("D:\Data From Lucan\2024\Moresby\Frames_for_Analysis/477_20240611_0012_R_0473.jpg","477_20240611_0012_R_0473.jpg")</f>
        <v>477_20240611_0012_R_0473.jpg</v>
      </c>
      <c r="G480" s="92" t="s">
        <v>4357</v>
      </c>
      <c r="I480">
        <v>1</v>
      </c>
      <c r="K480" s="95">
        <v>1</v>
      </c>
      <c r="L480" s="31"/>
      <c r="M480" s="31"/>
      <c r="N480" s="31"/>
      <c r="O480" s="31"/>
      <c r="P480" s="4">
        <v>1</v>
      </c>
      <c r="Q480" s="57">
        <v>0</v>
      </c>
      <c r="R480" s="57">
        <v>0</v>
      </c>
      <c r="S480" s="97">
        <v>0</v>
      </c>
      <c r="T480" s="57">
        <v>0</v>
      </c>
      <c r="U480" s="57">
        <v>0</v>
      </c>
      <c r="V480" s="57">
        <v>0</v>
      </c>
      <c r="W480" s="57">
        <v>0</v>
      </c>
      <c r="X480" s="94">
        <v>0</v>
      </c>
    </row>
    <row r="481" spans="1:24" x14ac:dyDescent="0.35">
      <c r="A481">
        <v>477</v>
      </c>
      <c r="B481">
        <v>478</v>
      </c>
      <c r="C481">
        <v>146.115416189999</v>
      </c>
      <c r="D481">
        <v>-17.626523916</v>
      </c>
      <c r="F481" t="str">
        <f>HYPERLINK("D:\Data From Lucan\2024\Moresby\Frames_for_Analysis/478_20240611_0012_R_0471.jpg","478_20240611_0012_R_0471.jpg")</f>
        <v>478_20240611_0012_R_0471.jpg</v>
      </c>
      <c r="G481" s="92" t="s">
        <v>4358</v>
      </c>
      <c r="I481">
        <v>1</v>
      </c>
      <c r="K481" s="95">
        <v>1</v>
      </c>
      <c r="L481" s="31"/>
      <c r="M481" s="31"/>
      <c r="N481" s="31"/>
      <c r="O481" s="31"/>
      <c r="P481" s="4">
        <v>1</v>
      </c>
      <c r="Q481" s="57">
        <v>0</v>
      </c>
      <c r="R481" s="57">
        <v>0</v>
      </c>
      <c r="S481" s="97">
        <v>0</v>
      </c>
      <c r="T481" s="57">
        <v>0</v>
      </c>
      <c r="U481" s="57">
        <v>0</v>
      </c>
      <c r="V481" s="57">
        <v>0</v>
      </c>
      <c r="W481" s="57">
        <v>0</v>
      </c>
      <c r="X481" s="94">
        <v>0</v>
      </c>
    </row>
    <row r="482" spans="1:24" x14ac:dyDescent="0.35">
      <c r="A482">
        <v>478</v>
      </c>
      <c r="B482">
        <v>479</v>
      </c>
      <c r="C482">
        <v>146.115408497999</v>
      </c>
      <c r="D482">
        <v>-17.6266092155</v>
      </c>
      <c r="F482" t="str">
        <f>HYPERLINK("D:\Data From Lucan\2024\Moresby\Frames_for_Analysis/479_20240611_0012_R_0468.jpg","479_20240611_0012_R_0468.jpg")</f>
        <v>479_20240611_0012_R_0468.jpg</v>
      </c>
      <c r="G482" s="92" t="s">
        <v>4359</v>
      </c>
      <c r="I482">
        <v>1</v>
      </c>
      <c r="K482" s="95">
        <v>1</v>
      </c>
      <c r="L482" s="31"/>
      <c r="M482" s="31"/>
      <c r="N482" s="31"/>
      <c r="O482" s="31"/>
      <c r="P482" s="4">
        <v>1</v>
      </c>
      <c r="Q482" s="57">
        <v>0</v>
      </c>
      <c r="R482" s="57">
        <v>0</v>
      </c>
      <c r="S482" s="97">
        <v>0</v>
      </c>
      <c r="T482" s="57">
        <v>0</v>
      </c>
      <c r="U482" s="57">
        <v>0</v>
      </c>
      <c r="V482" s="57">
        <v>0</v>
      </c>
      <c r="W482" s="57">
        <v>0</v>
      </c>
      <c r="X482" s="94">
        <v>0</v>
      </c>
    </row>
    <row r="483" spans="1:24" x14ac:dyDescent="0.35">
      <c r="A483">
        <v>479</v>
      </c>
      <c r="B483">
        <v>480</v>
      </c>
      <c r="C483">
        <v>146.115400805999</v>
      </c>
      <c r="D483">
        <v>-17.626694515000001</v>
      </c>
      <c r="E483">
        <v>50</v>
      </c>
      <c r="F483" t="str">
        <f>HYPERLINK("D:\Data From Lucan\2024\Moresby\Frames_for_Analysis/480_20240611_0012_R_0466.jpg","480_20240611_0012_R_0466.jpg")</f>
        <v>480_20240611_0012_R_0466.jpg</v>
      </c>
      <c r="G483" s="92" t="s">
        <v>4360</v>
      </c>
      <c r="I483">
        <v>1</v>
      </c>
      <c r="K483" s="95">
        <v>1</v>
      </c>
      <c r="L483" s="31"/>
      <c r="M483" s="31"/>
      <c r="N483" s="31"/>
      <c r="O483" s="31"/>
      <c r="P483" s="4">
        <v>1</v>
      </c>
      <c r="Q483" s="57">
        <v>0</v>
      </c>
      <c r="R483" s="57">
        <v>0</v>
      </c>
      <c r="S483" s="97">
        <v>0</v>
      </c>
      <c r="T483" s="57">
        <v>0</v>
      </c>
      <c r="U483" s="57">
        <v>0</v>
      </c>
      <c r="V483" s="57">
        <v>0</v>
      </c>
      <c r="W483" s="57">
        <v>0</v>
      </c>
      <c r="X483" s="94">
        <v>0</v>
      </c>
    </row>
    <row r="484" spans="1:24" x14ac:dyDescent="0.35">
      <c r="A484">
        <v>480</v>
      </c>
      <c r="B484">
        <v>481</v>
      </c>
      <c r="C484">
        <v>146.11539311300001</v>
      </c>
      <c r="D484">
        <v>-17.626779814500001</v>
      </c>
      <c r="F484" t="str">
        <f>HYPERLINK("D:\Data From Lucan\2024\Moresby\Frames_for_Analysis/481_20240611_0012_R_0464.jpg","481_20240611_0012_R_0464.jpg")</f>
        <v>481_20240611_0012_R_0464.jpg</v>
      </c>
      <c r="G484" s="92" t="s">
        <v>4361</v>
      </c>
      <c r="I484">
        <v>1</v>
      </c>
      <c r="K484" s="95">
        <v>1</v>
      </c>
      <c r="L484" s="31"/>
      <c r="M484" s="31"/>
      <c r="N484" s="31"/>
      <c r="O484" s="31"/>
      <c r="P484" s="4">
        <v>1</v>
      </c>
      <c r="Q484" s="57">
        <v>0</v>
      </c>
      <c r="R484" s="57">
        <v>0</v>
      </c>
      <c r="S484" s="97">
        <v>0</v>
      </c>
      <c r="T484" s="57">
        <v>0</v>
      </c>
      <c r="U484" s="57">
        <v>0</v>
      </c>
      <c r="V484" s="57">
        <v>0</v>
      </c>
      <c r="W484" s="57">
        <v>0</v>
      </c>
      <c r="X484" s="94">
        <v>0</v>
      </c>
    </row>
    <row r="485" spans="1:24" x14ac:dyDescent="0.35">
      <c r="A485">
        <v>481</v>
      </c>
      <c r="B485">
        <v>482</v>
      </c>
      <c r="C485">
        <v>146.11538542100001</v>
      </c>
      <c r="D485">
        <v>-17.6268651138999</v>
      </c>
      <c r="F485" t="str">
        <f>HYPERLINK("D:\Data From Lucan\2024\Moresby\Frames_for_Analysis/482_20240611_0012_R_0461.jpg","482_20240611_0012_R_0461.jpg")</f>
        <v>482_20240611_0012_R_0461.jpg</v>
      </c>
      <c r="G485" s="92" t="s">
        <v>4362</v>
      </c>
      <c r="I485">
        <v>1</v>
      </c>
      <c r="K485" s="95">
        <v>1</v>
      </c>
      <c r="L485" s="31"/>
      <c r="M485" s="31"/>
      <c r="N485" s="31"/>
      <c r="O485" s="31"/>
      <c r="P485" s="4">
        <v>1</v>
      </c>
      <c r="Q485" s="57">
        <v>0</v>
      </c>
      <c r="R485" s="57">
        <v>0</v>
      </c>
      <c r="S485" s="97">
        <v>0</v>
      </c>
      <c r="T485" s="57">
        <v>0</v>
      </c>
      <c r="U485" s="57">
        <v>0</v>
      </c>
      <c r="V485" s="57">
        <v>0</v>
      </c>
      <c r="W485" s="57">
        <v>0</v>
      </c>
      <c r="X485" s="94">
        <v>0</v>
      </c>
    </row>
    <row r="486" spans="1:24" x14ac:dyDescent="0.35">
      <c r="A486">
        <v>482</v>
      </c>
      <c r="B486">
        <v>483</v>
      </c>
      <c r="C486">
        <v>146.11537772899899</v>
      </c>
      <c r="D486">
        <v>-17.6269504131999</v>
      </c>
      <c r="F486" t="str">
        <f>HYPERLINK("D:\Data From Lucan\2024\Moresby\Frames_for_Analysis/483_20240611_0012_R_0459.jpg","483_20240611_0012_R_0459.jpg")</f>
        <v>483_20240611_0012_R_0459.jpg</v>
      </c>
      <c r="G486" s="92" t="s">
        <v>4363</v>
      </c>
      <c r="I486">
        <v>1</v>
      </c>
      <c r="K486" s="95">
        <v>1</v>
      </c>
      <c r="L486" s="31"/>
      <c r="M486" s="31"/>
      <c r="N486" s="31"/>
      <c r="O486" s="31"/>
      <c r="P486" s="4">
        <v>1</v>
      </c>
      <c r="Q486" s="57">
        <v>0</v>
      </c>
      <c r="R486" s="57">
        <v>0</v>
      </c>
      <c r="S486" s="97">
        <v>0</v>
      </c>
      <c r="T486" s="57">
        <v>0</v>
      </c>
      <c r="U486" s="57">
        <v>0</v>
      </c>
      <c r="V486" s="57">
        <v>0</v>
      </c>
      <c r="W486" s="57">
        <v>0</v>
      </c>
      <c r="X486" s="94">
        <v>0</v>
      </c>
    </row>
    <row r="487" spans="1:24" x14ac:dyDescent="0.35">
      <c r="A487">
        <v>483</v>
      </c>
      <c r="B487">
        <v>484</v>
      </c>
      <c r="C487">
        <v>146.115370036999</v>
      </c>
      <c r="D487">
        <v>-17.627035712600001</v>
      </c>
      <c r="F487" t="str">
        <f>HYPERLINK("D:\Data From Lucan\2024\Moresby\Frames_for_Analysis/484_20240611_0012_R_0457.jpg","484_20240611_0012_R_0457.jpg")</f>
        <v>484_20240611_0012_R_0457.jpg</v>
      </c>
      <c r="G487" s="92" t="s">
        <v>4364</v>
      </c>
      <c r="I487">
        <v>2</v>
      </c>
      <c r="K487" s="95">
        <v>1</v>
      </c>
      <c r="L487" s="31" t="s">
        <v>3959</v>
      </c>
      <c r="M487" s="31" t="s">
        <v>3959</v>
      </c>
      <c r="N487" s="31" t="s">
        <v>3959</v>
      </c>
      <c r="O487" s="31" t="s">
        <v>3959</v>
      </c>
      <c r="P487" s="4">
        <v>1</v>
      </c>
      <c r="Q487" s="57">
        <v>0</v>
      </c>
      <c r="R487" s="57">
        <v>0</v>
      </c>
      <c r="S487" s="97">
        <v>0</v>
      </c>
      <c r="T487" s="57">
        <v>0</v>
      </c>
      <c r="U487" s="57">
        <v>0</v>
      </c>
      <c r="V487" s="57">
        <v>0</v>
      </c>
      <c r="W487" s="57">
        <v>0</v>
      </c>
      <c r="X487" s="94">
        <v>0</v>
      </c>
    </row>
    <row r="488" spans="1:24" x14ac:dyDescent="0.35">
      <c r="A488">
        <v>484</v>
      </c>
      <c r="B488">
        <v>485</v>
      </c>
      <c r="C488">
        <v>146.11536220400001</v>
      </c>
      <c r="D488">
        <v>-17.627120999399899</v>
      </c>
      <c r="E488">
        <v>50</v>
      </c>
      <c r="F488" t="str">
        <f>HYPERLINK("D:\Data From Lucan\2024\Moresby\Frames_for_Analysis/485_20240611_0012_R_0454.jpg","485_20240611_0012_R_0454.jpg")</f>
        <v>485_20240611_0012_R_0454.jpg</v>
      </c>
      <c r="G488" s="92" t="s">
        <v>4365</v>
      </c>
      <c r="I488">
        <v>2</v>
      </c>
      <c r="K488" s="95">
        <v>1</v>
      </c>
      <c r="L488" s="31" t="s">
        <v>3959</v>
      </c>
      <c r="M488" s="31" t="s">
        <v>3959</v>
      </c>
      <c r="N488" s="31" t="s">
        <v>3959</v>
      </c>
      <c r="O488" s="31" t="s">
        <v>3959</v>
      </c>
      <c r="P488" s="4">
        <v>1</v>
      </c>
      <c r="Q488" s="57">
        <v>0</v>
      </c>
      <c r="R488" s="57">
        <v>0</v>
      </c>
      <c r="S488" s="97">
        <v>0</v>
      </c>
      <c r="T488" s="57">
        <v>0</v>
      </c>
      <c r="U488" s="57">
        <v>0</v>
      </c>
      <c r="V488" s="57">
        <v>0</v>
      </c>
      <c r="W488" s="57">
        <v>0</v>
      </c>
      <c r="X488" s="94">
        <v>0</v>
      </c>
    </row>
    <row r="489" spans="1:24" x14ac:dyDescent="0.35">
      <c r="A489">
        <v>485</v>
      </c>
      <c r="B489">
        <v>486</v>
      </c>
      <c r="C489">
        <v>146.115353279</v>
      </c>
      <c r="D489">
        <v>-17.627206189399899</v>
      </c>
      <c r="F489" t="str">
        <f>HYPERLINK("D:\Data From Lucan\2024\Moresby\Frames_for_Analysis/486_20240611_0012_R_0452.jpg","486_20240611_0012_R_0452.jpg")</f>
        <v>486_20240611_0012_R_0452.jpg</v>
      </c>
      <c r="G489" s="92" t="s">
        <v>4366</v>
      </c>
      <c r="I489">
        <v>2</v>
      </c>
      <c r="K489" s="95">
        <v>1</v>
      </c>
      <c r="L489" s="31" t="s">
        <v>3959</v>
      </c>
      <c r="M489" s="31" t="s">
        <v>3959</v>
      </c>
      <c r="N489" s="31" t="s">
        <v>3959</v>
      </c>
      <c r="O489" s="31" t="s">
        <v>3959</v>
      </c>
      <c r="P489" s="4">
        <v>1</v>
      </c>
      <c r="Q489" s="57">
        <v>0</v>
      </c>
      <c r="R489" s="57">
        <v>0</v>
      </c>
      <c r="S489" s="97">
        <v>0</v>
      </c>
      <c r="T489" s="57">
        <v>0</v>
      </c>
      <c r="U489" s="57">
        <v>0</v>
      </c>
      <c r="V489" s="57">
        <v>0</v>
      </c>
      <c r="W489" s="57">
        <v>0</v>
      </c>
      <c r="X489" s="94">
        <v>0</v>
      </c>
    </row>
    <row r="490" spans="1:24" x14ac:dyDescent="0.35">
      <c r="A490">
        <v>486</v>
      </c>
      <c r="B490">
        <v>487</v>
      </c>
      <c r="C490">
        <v>146.11534435300001</v>
      </c>
      <c r="D490">
        <v>-17.6272913793999</v>
      </c>
      <c r="F490" t="str">
        <f>HYPERLINK("D:\Data From Lucan\2024\Moresby\Frames_for_Analysis/487_20240611_0012_R_0450.jpg","487_20240611_0012_R_0450.jpg")</f>
        <v>487_20240611_0012_R_0450.jpg</v>
      </c>
      <c r="G490" s="92" t="s">
        <v>4367</v>
      </c>
      <c r="I490">
        <v>2</v>
      </c>
      <c r="K490" s="95">
        <v>1</v>
      </c>
      <c r="L490" s="31" t="s">
        <v>3959</v>
      </c>
      <c r="M490" s="31" t="s">
        <v>3959</v>
      </c>
      <c r="N490" s="31" t="s">
        <v>3959</v>
      </c>
      <c r="O490" s="31" t="s">
        <v>3959</v>
      </c>
      <c r="P490" s="4">
        <v>1</v>
      </c>
      <c r="Q490" s="57">
        <v>0</v>
      </c>
      <c r="R490" s="57">
        <v>0</v>
      </c>
      <c r="S490" s="97">
        <v>0</v>
      </c>
      <c r="T490" s="57">
        <v>0</v>
      </c>
      <c r="U490" s="57">
        <v>0</v>
      </c>
      <c r="V490" s="57">
        <v>0</v>
      </c>
      <c r="W490" s="57">
        <v>0</v>
      </c>
      <c r="X490" s="94">
        <v>0</v>
      </c>
    </row>
    <row r="491" spans="1:24" x14ac:dyDescent="0.35">
      <c r="A491">
        <v>487</v>
      </c>
      <c r="B491">
        <v>488</v>
      </c>
      <c r="C491">
        <v>146.11533542800001</v>
      </c>
      <c r="D491">
        <v>-17.6273765693999</v>
      </c>
      <c r="F491" t="str">
        <f>HYPERLINK("D:\Data From Lucan\2024\Moresby\Frames_for_Analysis/488_20240611_0012_R_0447.jpg","488_20240611_0012_R_0447.jpg")</f>
        <v>488_20240611_0012_R_0447.jpg</v>
      </c>
      <c r="G491" s="92" t="s">
        <v>4368</v>
      </c>
      <c r="I491">
        <v>2</v>
      </c>
      <c r="K491" s="95">
        <v>1</v>
      </c>
      <c r="L491" s="31" t="s">
        <v>3959</v>
      </c>
      <c r="M491" s="31" t="s">
        <v>3959</v>
      </c>
      <c r="N491" s="31" t="s">
        <v>3959</v>
      </c>
      <c r="O491" s="31" t="s">
        <v>3959</v>
      </c>
      <c r="P491" s="4">
        <v>1</v>
      </c>
      <c r="Q491" s="57">
        <v>0</v>
      </c>
      <c r="R491" s="57">
        <v>0</v>
      </c>
      <c r="S491" s="97">
        <v>0</v>
      </c>
      <c r="T491" s="57">
        <v>0</v>
      </c>
      <c r="U491" s="57">
        <v>0</v>
      </c>
      <c r="V491" s="57">
        <v>0</v>
      </c>
      <c r="W491" s="57">
        <v>0</v>
      </c>
      <c r="X491" s="94">
        <v>0</v>
      </c>
    </row>
    <row r="492" spans="1:24" x14ac:dyDescent="0.35">
      <c r="A492">
        <v>488</v>
      </c>
      <c r="B492">
        <v>489</v>
      </c>
      <c r="C492">
        <v>146.11532650199899</v>
      </c>
      <c r="D492">
        <v>-17.627461759300001</v>
      </c>
      <c r="F492" t="str">
        <f>HYPERLINK("D:\Data From Lucan\2024\Moresby\Frames_for_Analysis/489_20240611_0012_R_0445.jpg","489_20240611_0012_R_0445.jpg")</f>
        <v>489_20240611_0012_R_0445.jpg</v>
      </c>
      <c r="G492" s="92" t="s">
        <v>4369</v>
      </c>
      <c r="I492">
        <v>2</v>
      </c>
      <c r="K492" s="95">
        <v>1</v>
      </c>
      <c r="L492" s="31" t="s">
        <v>3959</v>
      </c>
      <c r="M492" s="31" t="s">
        <v>3959</v>
      </c>
      <c r="N492" s="31" t="s">
        <v>3959</v>
      </c>
      <c r="O492" s="31" t="s">
        <v>3959</v>
      </c>
      <c r="P492" s="4">
        <v>1</v>
      </c>
      <c r="Q492" s="57">
        <v>0</v>
      </c>
      <c r="R492" s="57">
        <v>0</v>
      </c>
      <c r="S492" s="97">
        <v>0</v>
      </c>
      <c r="T492" s="57">
        <v>0</v>
      </c>
      <c r="U492" s="57">
        <v>0</v>
      </c>
      <c r="V492" s="57">
        <v>0</v>
      </c>
      <c r="W492" s="57">
        <v>0</v>
      </c>
      <c r="X492" s="94">
        <v>0</v>
      </c>
    </row>
    <row r="493" spans="1:24" x14ac:dyDescent="0.35">
      <c r="A493">
        <v>489</v>
      </c>
      <c r="B493">
        <v>490</v>
      </c>
      <c r="C493">
        <v>146.11531757700001</v>
      </c>
      <c r="D493">
        <v>-17.6275469491999</v>
      </c>
      <c r="E493">
        <v>50</v>
      </c>
      <c r="F493" t="str">
        <f>HYPERLINK("D:\Data From Lucan\2024\Moresby\Frames_for_Analysis/490_20240611_0012_R_0442.jpg","490_20240611_0012_R_0442.jpg")</f>
        <v>490_20240611_0012_R_0442.jpg</v>
      </c>
      <c r="G493" s="92" t="s">
        <v>4370</v>
      </c>
      <c r="I493">
        <v>2</v>
      </c>
      <c r="K493" s="95">
        <v>1</v>
      </c>
      <c r="L493" s="31" t="s">
        <v>3959</v>
      </c>
      <c r="M493" s="31" t="s">
        <v>3959</v>
      </c>
      <c r="N493" s="31" t="s">
        <v>3959</v>
      </c>
      <c r="O493" s="31" t="s">
        <v>3959</v>
      </c>
      <c r="P493" s="4">
        <v>1</v>
      </c>
      <c r="Q493" s="57">
        <v>0</v>
      </c>
      <c r="R493" s="57">
        <v>0</v>
      </c>
      <c r="S493" s="97">
        <v>0</v>
      </c>
      <c r="T493" s="57">
        <v>0</v>
      </c>
      <c r="U493" s="57">
        <v>0</v>
      </c>
      <c r="V493" s="57">
        <v>0</v>
      </c>
      <c r="W493" s="57">
        <v>0</v>
      </c>
      <c r="X493" s="94">
        <v>0</v>
      </c>
    </row>
    <row r="494" spans="1:24" x14ac:dyDescent="0.35">
      <c r="A494">
        <v>490</v>
      </c>
      <c r="B494">
        <v>491</v>
      </c>
      <c r="C494">
        <v>146.115308650999</v>
      </c>
      <c r="D494">
        <v>-17.6276321389999</v>
      </c>
      <c r="F494" t="str">
        <f>HYPERLINK("D:\Data From Lucan\2024\Moresby\Frames_for_Analysis/491_20240611_0012_R_0440.jpg","491_20240611_0012_R_0440.jpg")</f>
        <v>491_20240611_0012_R_0440.jpg</v>
      </c>
      <c r="G494" s="92" t="s">
        <v>4371</v>
      </c>
      <c r="I494">
        <v>2</v>
      </c>
      <c r="K494" s="95">
        <v>1</v>
      </c>
      <c r="L494" s="31" t="s">
        <v>3959</v>
      </c>
      <c r="M494" s="31" t="s">
        <v>3959</v>
      </c>
      <c r="N494" s="31" t="s">
        <v>3959</v>
      </c>
      <c r="O494" s="31" t="s">
        <v>3959</v>
      </c>
      <c r="P494" s="4">
        <v>1</v>
      </c>
      <c r="Q494" s="57">
        <v>0</v>
      </c>
      <c r="R494" s="57">
        <v>0</v>
      </c>
      <c r="S494" s="97">
        <v>0</v>
      </c>
      <c r="T494" s="57">
        <v>0</v>
      </c>
      <c r="U494" s="57">
        <v>0</v>
      </c>
      <c r="V494" s="57">
        <v>0</v>
      </c>
      <c r="W494" s="57">
        <v>0</v>
      </c>
      <c r="X494" s="94">
        <v>0</v>
      </c>
    </row>
    <row r="495" spans="1:24" x14ac:dyDescent="0.35">
      <c r="A495">
        <v>491</v>
      </c>
      <c r="B495">
        <v>492</v>
      </c>
      <c r="C495">
        <v>146.115299725</v>
      </c>
      <c r="D495">
        <v>-17.627717328900001</v>
      </c>
      <c r="F495" t="str">
        <f>HYPERLINK("D:\Data From Lucan\2024\Moresby\Frames_for_Analysis/492_20240611_0012_R_0437.jpg","492_20240611_0012_R_0437.jpg")</f>
        <v>492_20240611_0012_R_0437.jpg</v>
      </c>
      <c r="G495" s="92" t="s">
        <v>4372</v>
      </c>
      <c r="I495">
        <v>2</v>
      </c>
      <c r="K495" s="95">
        <v>1</v>
      </c>
      <c r="L495" s="31" t="s">
        <v>3959</v>
      </c>
      <c r="M495" s="31" t="s">
        <v>3959</v>
      </c>
      <c r="N495" s="31" t="s">
        <v>3959</v>
      </c>
      <c r="O495" s="31" t="s">
        <v>3959</v>
      </c>
      <c r="P495" s="4">
        <v>1</v>
      </c>
      <c r="Q495" s="57">
        <v>0</v>
      </c>
      <c r="R495" s="57">
        <v>0</v>
      </c>
      <c r="S495" s="97">
        <v>0</v>
      </c>
      <c r="T495" s="57">
        <v>0</v>
      </c>
      <c r="U495" s="57">
        <v>0</v>
      </c>
      <c r="V495" s="57">
        <v>0</v>
      </c>
      <c r="W495" s="57">
        <v>0</v>
      </c>
      <c r="X495" s="94">
        <v>0</v>
      </c>
    </row>
    <row r="496" spans="1:24" x14ac:dyDescent="0.35">
      <c r="A496">
        <v>492</v>
      </c>
      <c r="B496">
        <v>493</v>
      </c>
      <c r="C496">
        <v>146.115281624</v>
      </c>
      <c r="D496">
        <v>-17.627801117600001</v>
      </c>
      <c r="F496" t="str">
        <f>HYPERLINK("D:\Data From Lucan\2024\Moresby\Frames_for_Analysis/493_20240611_0012_R_0435.jpg","493_20240611_0012_R_0435.jpg")</f>
        <v>493_20240611_0012_R_0435.jpg</v>
      </c>
      <c r="G496" s="92" t="s">
        <v>4373</v>
      </c>
      <c r="I496">
        <v>2</v>
      </c>
      <c r="K496" s="95">
        <v>1</v>
      </c>
      <c r="L496" s="31" t="s">
        <v>3959</v>
      </c>
      <c r="M496" s="31" t="s">
        <v>3959</v>
      </c>
      <c r="N496" s="31" t="s">
        <v>3959</v>
      </c>
      <c r="O496" s="31" t="s">
        <v>3959</v>
      </c>
      <c r="P496" s="4">
        <v>1</v>
      </c>
      <c r="Q496" s="57">
        <v>0</v>
      </c>
      <c r="R496" s="57">
        <v>0</v>
      </c>
      <c r="S496" s="97">
        <v>0</v>
      </c>
      <c r="T496" s="57">
        <v>0</v>
      </c>
      <c r="U496" s="57">
        <v>0</v>
      </c>
      <c r="V496" s="57">
        <v>0</v>
      </c>
      <c r="W496" s="57">
        <v>0</v>
      </c>
      <c r="X496" s="94">
        <v>0</v>
      </c>
    </row>
    <row r="497" spans="1:24" x14ac:dyDescent="0.35">
      <c r="A497">
        <v>493</v>
      </c>
      <c r="B497">
        <v>494</v>
      </c>
      <c r="C497">
        <v>146.115262177999</v>
      </c>
      <c r="D497">
        <v>-17.627884700900001</v>
      </c>
      <c r="F497" t="str">
        <f>HYPERLINK("D:\Data From Lucan\2024\Moresby\Frames_for_Analysis/494_20240611_0012_R_0432.jpg","494_20240611_0012_R_0432.jpg")</f>
        <v>494_20240611_0012_R_0432.jpg</v>
      </c>
      <c r="G497" s="92" t="s">
        <v>4374</v>
      </c>
      <c r="I497">
        <v>2</v>
      </c>
      <c r="K497" s="95">
        <v>1</v>
      </c>
      <c r="L497" s="31" t="s">
        <v>3959</v>
      </c>
      <c r="M497" s="31" t="s">
        <v>3959</v>
      </c>
      <c r="N497" s="31" t="s">
        <v>3959</v>
      </c>
      <c r="O497" s="31" t="s">
        <v>3959</v>
      </c>
      <c r="P497" s="4">
        <v>1</v>
      </c>
      <c r="Q497" s="57">
        <v>0</v>
      </c>
      <c r="R497" s="57">
        <v>0</v>
      </c>
      <c r="S497" s="97">
        <v>0</v>
      </c>
      <c r="T497" s="57">
        <v>0</v>
      </c>
      <c r="U497" s="57">
        <v>0</v>
      </c>
      <c r="V497" s="57">
        <v>0</v>
      </c>
      <c r="W497" s="57">
        <v>0</v>
      </c>
      <c r="X497" s="94">
        <v>0</v>
      </c>
    </row>
    <row r="498" spans="1:24" x14ac:dyDescent="0.35">
      <c r="A498">
        <v>494</v>
      </c>
      <c r="B498">
        <v>495</v>
      </c>
      <c r="C498">
        <v>146.11524273200001</v>
      </c>
      <c r="D498">
        <v>-17.627968284200001</v>
      </c>
      <c r="E498">
        <v>50</v>
      </c>
      <c r="F498" t="str">
        <f>HYPERLINK("D:\Data From Lucan\2024\Moresby\Frames_for_Analysis/495_20240611_0012_R_0430.jpg","495_20240611_0012_R_0430.jpg")</f>
        <v>495_20240611_0012_R_0430.jpg</v>
      </c>
      <c r="G498" s="92" t="s">
        <v>4375</v>
      </c>
      <c r="I498">
        <v>2</v>
      </c>
      <c r="K498" s="95">
        <v>1</v>
      </c>
      <c r="L498" s="31" t="s">
        <v>3959</v>
      </c>
      <c r="M498" s="31" t="s">
        <v>3959</v>
      </c>
      <c r="N498" s="31" t="s">
        <v>3959</v>
      </c>
      <c r="O498" s="31" t="s">
        <v>3959</v>
      </c>
      <c r="P498" s="4">
        <v>1</v>
      </c>
      <c r="Q498" s="57">
        <v>0</v>
      </c>
      <c r="R498" s="57">
        <v>0</v>
      </c>
      <c r="S498" s="97">
        <v>0</v>
      </c>
      <c r="T498" s="57">
        <v>0</v>
      </c>
      <c r="U498" s="57">
        <v>0</v>
      </c>
      <c r="V498" s="57">
        <v>0</v>
      </c>
      <c r="W498" s="57">
        <v>0</v>
      </c>
      <c r="X498" s="94">
        <v>0</v>
      </c>
    </row>
    <row r="499" spans="1:24" x14ac:dyDescent="0.35">
      <c r="A499">
        <v>495</v>
      </c>
      <c r="B499">
        <v>496</v>
      </c>
      <c r="C499">
        <v>146.115223286</v>
      </c>
      <c r="D499">
        <v>-17.628051867500002</v>
      </c>
      <c r="F499" t="str">
        <f>HYPERLINK("D:\Data From Lucan\2024\Moresby\Frames_for_Analysis/496_20240611_0012_R_0427.jpg","496_20240611_0012_R_0427.jpg")</f>
        <v>496_20240611_0012_R_0427.jpg</v>
      </c>
      <c r="G499" s="92" t="s">
        <v>4376</v>
      </c>
      <c r="I499">
        <v>2</v>
      </c>
      <c r="K499" s="95">
        <v>1</v>
      </c>
      <c r="L499" s="31" t="s">
        <v>3959</v>
      </c>
      <c r="M499" s="31" t="s">
        <v>3959</v>
      </c>
      <c r="N499" s="31" t="s">
        <v>3959</v>
      </c>
      <c r="O499" s="31" t="s">
        <v>3959</v>
      </c>
      <c r="P499" s="4">
        <v>1</v>
      </c>
      <c r="Q499" s="57">
        <v>0</v>
      </c>
      <c r="R499" s="57">
        <v>0</v>
      </c>
      <c r="S499" s="97">
        <v>0</v>
      </c>
      <c r="T499" s="57">
        <v>0</v>
      </c>
      <c r="U499" s="57">
        <v>0</v>
      </c>
      <c r="V499" s="57">
        <v>0</v>
      </c>
      <c r="W499" s="57">
        <v>0</v>
      </c>
      <c r="X499" s="94">
        <v>0</v>
      </c>
    </row>
    <row r="500" spans="1:24" x14ac:dyDescent="0.35">
      <c r="A500">
        <v>496</v>
      </c>
      <c r="B500">
        <v>497</v>
      </c>
      <c r="C500">
        <v>146.11520346</v>
      </c>
      <c r="D500">
        <v>-17.628135368900001</v>
      </c>
      <c r="F500" t="str">
        <f>HYPERLINK("D:\Data From Lucan\2024\Moresby\Frames_for_Analysis/497_20240611_0012_R_0425.jpg","497_20240611_0012_R_0425.jpg")</f>
        <v>497_20240611_0012_R_0425.jpg</v>
      </c>
      <c r="G500" s="92" t="s">
        <v>4377</v>
      </c>
      <c r="I500">
        <v>2</v>
      </c>
      <c r="K500" s="95">
        <v>1</v>
      </c>
      <c r="L500" s="31" t="s">
        <v>3959</v>
      </c>
      <c r="M500" s="31" t="s">
        <v>3959</v>
      </c>
      <c r="N500" s="31" t="s">
        <v>3959</v>
      </c>
      <c r="O500" s="31" t="s">
        <v>3959</v>
      </c>
      <c r="P500" s="4">
        <v>1</v>
      </c>
      <c r="Q500" s="57">
        <v>0</v>
      </c>
      <c r="R500" s="57">
        <v>0</v>
      </c>
      <c r="S500" s="97">
        <v>0</v>
      </c>
      <c r="T500" s="57">
        <v>0</v>
      </c>
      <c r="U500" s="57">
        <v>0</v>
      </c>
      <c r="V500" s="57">
        <v>0</v>
      </c>
      <c r="W500" s="57">
        <v>0</v>
      </c>
      <c r="X500" s="94">
        <v>0</v>
      </c>
    </row>
    <row r="501" spans="1:24" x14ac:dyDescent="0.35">
      <c r="A501">
        <v>497</v>
      </c>
      <c r="B501">
        <v>498</v>
      </c>
      <c r="C501">
        <v>146.11518333000001</v>
      </c>
      <c r="D501">
        <v>-17.6282188049999</v>
      </c>
      <c r="F501" t="str">
        <f>HYPERLINK("D:\Data From Lucan\2024\Moresby\Frames_for_Analysis/498_20240611_0012_R_0422.jpg","498_20240611_0012_R_0422.jpg")</f>
        <v>498_20240611_0012_R_0422.jpg</v>
      </c>
      <c r="G501" s="92" t="s">
        <v>4378</v>
      </c>
      <c r="I501">
        <v>2</v>
      </c>
      <c r="K501" s="95">
        <v>1</v>
      </c>
      <c r="L501" s="31" t="s">
        <v>3959</v>
      </c>
      <c r="M501" s="31" t="s">
        <v>3959</v>
      </c>
      <c r="N501" s="31" t="s">
        <v>3959</v>
      </c>
      <c r="O501" s="31" t="s">
        <v>3959</v>
      </c>
      <c r="P501" s="4">
        <v>1</v>
      </c>
      <c r="Q501" s="57">
        <v>0</v>
      </c>
      <c r="R501" s="57">
        <v>0</v>
      </c>
      <c r="S501" s="97">
        <v>0</v>
      </c>
      <c r="T501" s="57">
        <v>0</v>
      </c>
      <c r="U501" s="57">
        <v>0</v>
      </c>
      <c r="V501" s="57">
        <v>0</v>
      </c>
      <c r="W501" s="57">
        <v>0</v>
      </c>
      <c r="X501" s="94">
        <v>0</v>
      </c>
    </row>
    <row r="502" spans="1:24" x14ac:dyDescent="0.35">
      <c r="A502">
        <v>498</v>
      </c>
      <c r="B502">
        <v>499</v>
      </c>
      <c r="C502">
        <v>146.11516320000001</v>
      </c>
      <c r="D502">
        <v>-17.628302241</v>
      </c>
      <c r="F502" t="str">
        <f>HYPERLINK("D:\Data From Lucan\2024\Moresby\Frames_for_Analysis/499_20240611_0012_R_0419.jpg","499_20240611_0012_R_0419.jpg")</f>
        <v>499_20240611_0012_R_0419.jpg</v>
      </c>
      <c r="G502" s="92" t="s">
        <v>4379</v>
      </c>
      <c r="I502">
        <v>2</v>
      </c>
      <c r="K502" s="95">
        <v>1</v>
      </c>
      <c r="L502" s="31" t="s">
        <v>3959</v>
      </c>
      <c r="M502" s="31" t="s">
        <v>3959</v>
      </c>
      <c r="N502" s="31" t="s">
        <v>3959</v>
      </c>
      <c r="O502" s="31" t="s">
        <v>3959</v>
      </c>
      <c r="P502" s="4">
        <v>1</v>
      </c>
      <c r="Q502" s="57">
        <v>0</v>
      </c>
      <c r="R502" s="57">
        <v>0</v>
      </c>
      <c r="S502" s="97">
        <v>0</v>
      </c>
      <c r="T502" s="57">
        <v>0</v>
      </c>
      <c r="U502" s="57">
        <v>0</v>
      </c>
      <c r="V502" s="57">
        <v>0</v>
      </c>
      <c r="W502" s="57">
        <v>0</v>
      </c>
      <c r="X502" s="94">
        <v>0</v>
      </c>
    </row>
    <row r="503" spans="1:24" x14ac:dyDescent="0.35">
      <c r="A503">
        <v>499</v>
      </c>
      <c r="B503">
        <v>500</v>
      </c>
      <c r="C503">
        <v>146.11514306999899</v>
      </c>
      <c r="D503">
        <v>-17.628385676899899</v>
      </c>
      <c r="E503">
        <v>50</v>
      </c>
      <c r="F503" t="str">
        <f>HYPERLINK("D:\Data From Lucan\2024\Moresby\Frames_for_Analysis/500_20240611_0012_R_0417.jpg","500_20240611_0012_R_0417.jpg")</f>
        <v>500_20240611_0012_R_0417.jpg</v>
      </c>
      <c r="G503" s="92" t="s">
        <v>4380</v>
      </c>
      <c r="I503">
        <v>2</v>
      </c>
      <c r="K503" s="95">
        <v>1</v>
      </c>
      <c r="L503" s="31" t="s">
        <v>3959</v>
      </c>
      <c r="M503" s="31" t="s">
        <v>3959</v>
      </c>
      <c r="N503" s="31" t="s">
        <v>3959</v>
      </c>
      <c r="O503" s="31" t="s">
        <v>3959</v>
      </c>
      <c r="P503" s="4">
        <v>1</v>
      </c>
      <c r="Q503" s="57">
        <v>0</v>
      </c>
      <c r="R503" s="57">
        <v>0</v>
      </c>
      <c r="S503" s="97">
        <v>0</v>
      </c>
      <c r="T503" s="57">
        <v>0</v>
      </c>
      <c r="U503" s="57">
        <v>0</v>
      </c>
      <c r="V503" s="57">
        <v>0</v>
      </c>
      <c r="W503" s="57">
        <v>0</v>
      </c>
      <c r="X503" s="94">
        <v>0</v>
      </c>
    </row>
    <row r="504" spans="1:24" x14ac:dyDescent="0.35">
      <c r="A504">
        <v>500</v>
      </c>
      <c r="B504">
        <v>501</v>
      </c>
      <c r="C504">
        <v>146.115121522999</v>
      </c>
      <c r="D504">
        <v>-17.628468772400002</v>
      </c>
      <c r="F504" t="str">
        <f>HYPERLINK("D:\Data From Lucan\2024\Moresby\Frames_for_Analysis/501_20240611_0012_R_0414.jpg","501_20240611_0012_R_0414.jpg")</f>
        <v>501_20240611_0012_R_0414.jpg</v>
      </c>
      <c r="G504" s="92" t="s">
        <v>4381</v>
      </c>
      <c r="I504">
        <v>2</v>
      </c>
      <c r="K504" s="95">
        <v>1</v>
      </c>
      <c r="L504" s="31" t="s">
        <v>3959</v>
      </c>
      <c r="M504" s="31" t="s">
        <v>3959</v>
      </c>
      <c r="N504" s="31" t="s">
        <v>3959</v>
      </c>
      <c r="O504" s="31" t="s">
        <v>3959</v>
      </c>
      <c r="P504" s="4">
        <v>1</v>
      </c>
      <c r="Q504" s="57">
        <v>0</v>
      </c>
      <c r="R504" s="57">
        <v>0</v>
      </c>
      <c r="S504" s="97">
        <v>0</v>
      </c>
      <c r="T504" s="57">
        <v>0</v>
      </c>
      <c r="U504" s="57">
        <v>0</v>
      </c>
      <c r="V504" s="57">
        <v>0</v>
      </c>
      <c r="W504" s="57">
        <v>0</v>
      </c>
      <c r="X504" s="94">
        <v>0</v>
      </c>
    </row>
    <row r="505" spans="1:24" x14ac:dyDescent="0.35">
      <c r="A505">
        <v>501</v>
      </c>
      <c r="B505">
        <v>502</v>
      </c>
      <c r="C505">
        <v>146.115097751999</v>
      </c>
      <c r="D505">
        <v>-17.6285513336999</v>
      </c>
      <c r="F505" t="str">
        <f>HYPERLINK("D:\Data From Lucan\2024\Moresby\Frames_for_Analysis/502_20240611_0012_R_0411.jpg","502_20240611_0012_R_0411.jpg")</f>
        <v>502_20240611_0012_R_0411.jpg</v>
      </c>
      <c r="G505" s="92" t="s">
        <v>4382</v>
      </c>
      <c r="I505">
        <v>2</v>
      </c>
      <c r="K505" s="95">
        <v>1</v>
      </c>
      <c r="L505" s="31" t="s">
        <v>3959</v>
      </c>
      <c r="M505" s="31" t="s">
        <v>3959</v>
      </c>
      <c r="N505" s="31" t="s">
        <v>3959</v>
      </c>
      <c r="O505" s="31" t="s">
        <v>3959</v>
      </c>
      <c r="P505" s="4">
        <v>1</v>
      </c>
      <c r="Q505" s="57">
        <v>0</v>
      </c>
      <c r="R505" s="57">
        <v>0</v>
      </c>
      <c r="S505" s="97">
        <v>0</v>
      </c>
      <c r="T505" s="57">
        <v>0</v>
      </c>
      <c r="U505" s="57">
        <v>0</v>
      </c>
      <c r="V505" s="57">
        <v>0</v>
      </c>
      <c r="W505" s="57">
        <v>0</v>
      </c>
      <c r="X505" s="94">
        <v>0</v>
      </c>
    </row>
    <row r="506" spans="1:24" x14ac:dyDescent="0.35">
      <c r="A506">
        <v>502</v>
      </c>
      <c r="B506">
        <v>503</v>
      </c>
      <c r="C506">
        <v>146.115073980999</v>
      </c>
      <c r="D506">
        <v>-17.628633895</v>
      </c>
      <c r="F506" t="str">
        <f>HYPERLINK("D:\Data From Lucan\2024\Moresby\Frames_for_Analysis/503_20240611_0012_R_0408.jpg","503_20240611_0012_R_0408.jpg")</f>
        <v>503_20240611_0012_R_0408.jpg</v>
      </c>
      <c r="G506" s="92" t="s">
        <v>4383</v>
      </c>
      <c r="I506">
        <v>2</v>
      </c>
      <c r="K506" s="95">
        <v>1</v>
      </c>
      <c r="L506" s="31" t="s">
        <v>3959</v>
      </c>
      <c r="M506" s="31" t="s">
        <v>3959</v>
      </c>
      <c r="N506" s="31" t="s">
        <v>3959</v>
      </c>
      <c r="O506" s="31" t="s">
        <v>3959</v>
      </c>
      <c r="P506" s="4">
        <v>1</v>
      </c>
      <c r="Q506" s="57">
        <v>0</v>
      </c>
      <c r="R506" s="57">
        <v>0</v>
      </c>
      <c r="S506" s="97">
        <v>0</v>
      </c>
      <c r="T506" s="57">
        <v>0</v>
      </c>
      <c r="U506" s="57">
        <v>0</v>
      </c>
      <c r="V506" s="57">
        <v>0</v>
      </c>
      <c r="W506" s="57">
        <v>0</v>
      </c>
      <c r="X506" s="94">
        <v>0</v>
      </c>
    </row>
    <row r="507" spans="1:24" x14ac:dyDescent="0.35">
      <c r="A507">
        <v>503</v>
      </c>
      <c r="B507">
        <v>504</v>
      </c>
      <c r="C507">
        <v>146.11505021100001</v>
      </c>
      <c r="D507">
        <v>-17.6287164561999</v>
      </c>
      <c r="F507" t="str">
        <f>HYPERLINK("D:\Data From Lucan\2024\Moresby\Frames_for_Analysis/504_20240611_0012_R_0405.jpg","504_20240611_0012_R_0405.jpg")</f>
        <v>504_20240611_0012_R_0405.jpg</v>
      </c>
      <c r="G507" s="92" t="s">
        <v>4384</v>
      </c>
      <c r="I507">
        <v>2</v>
      </c>
      <c r="K507" s="95">
        <v>1</v>
      </c>
      <c r="L507" s="31" t="s">
        <v>3959</v>
      </c>
      <c r="M507" s="31" t="s">
        <v>3959</v>
      </c>
      <c r="N507" s="31" t="s">
        <v>3959</v>
      </c>
      <c r="O507" s="31" t="s">
        <v>3959</v>
      </c>
      <c r="P507" s="4">
        <v>1</v>
      </c>
      <c r="Q507" s="57">
        <v>0</v>
      </c>
      <c r="R507" s="57">
        <v>0</v>
      </c>
      <c r="S507" s="97">
        <v>0</v>
      </c>
      <c r="T507" s="57">
        <v>0</v>
      </c>
      <c r="U507" s="57">
        <v>0</v>
      </c>
      <c r="V507" s="57">
        <v>0</v>
      </c>
      <c r="W507" s="57">
        <v>0</v>
      </c>
      <c r="X507" s="94">
        <v>0</v>
      </c>
    </row>
    <row r="508" spans="1:24" x14ac:dyDescent="0.35">
      <c r="A508">
        <v>504</v>
      </c>
      <c r="B508">
        <v>505</v>
      </c>
      <c r="C508">
        <v>146.11502644000001</v>
      </c>
      <c r="D508">
        <v>-17.628799017399899</v>
      </c>
      <c r="E508">
        <v>50</v>
      </c>
      <c r="F508" t="str">
        <f>HYPERLINK("D:\Data From Lucan\2024\Moresby\Frames_for_Analysis/505_20240611_0012_R_0403.jpg","505_20240611_0012_R_0403.jpg")</f>
        <v>505_20240611_0012_R_0403.jpg</v>
      </c>
      <c r="G508" s="92" t="s">
        <v>4385</v>
      </c>
      <c r="I508">
        <v>2</v>
      </c>
      <c r="K508" s="95">
        <v>1</v>
      </c>
      <c r="L508" s="31" t="s">
        <v>3959</v>
      </c>
      <c r="M508" s="31" t="s">
        <v>3959</v>
      </c>
      <c r="N508" s="31" t="s">
        <v>3959</v>
      </c>
      <c r="O508" s="31" t="s">
        <v>3959</v>
      </c>
      <c r="P508" s="4">
        <v>1</v>
      </c>
      <c r="Q508" s="57">
        <v>0</v>
      </c>
      <c r="R508" s="57">
        <v>0</v>
      </c>
      <c r="S508" s="97">
        <v>0</v>
      </c>
      <c r="T508" s="57">
        <v>0</v>
      </c>
      <c r="U508" s="57">
        <v>0</v>
      </c>
      <c r="V508" s="57">
        <v>0</v>
      </c>
      <c r="W508" s="57">
        <v>0</v>
      </c>
      <c r="X508" s="94">
        <v>0</v>
      </c>
    </row>
    <row r="509" spans="1:24" x14ac:dyDescent="0.35">
      <c r="A509">
        <v>505</v>
      </c>
      <c r="B509">
        <v>506</v>
      </c>
      <c r="C509">
        <v>146.11500266900001</v>
      </c>
      <c r="D509">
        <v>-17.6288815785</v>
      </c>
      <c r="F509" t="str">
        <f>HYPERLINK("D:\Data From Lucan\2024\Moresby\Frames_for_Analysis/506_20240611_0012_R_0400.jpg","506_20240611_0012_R_0400.jpg")</f>
        <v>506_20240611_0012_R_0400.jpg</v>
      </c>
      <c r="G509" s="92" t="s">
        <v>4386</v>
      </c>
      <c r="I509">
        <v>2</v>
      </c>
      <c r="K509" s="95">
        <v>1</v>
      </c>
      <c r="L509" s="31" t="s">
        <v>3959</v>
      </c>
      <c r="M509" s="31" t="s">
        <v>3959</v>
      </c>
      <c r="N509" s="31" t="s">
        <v>3959</v>
      </c>
      <c r="O509" s="31" t="s">
        <v>3959</v>
      </c>
      <c r="P509" s="4">
        <v>1</v>
      </c>
      <c r="Q509" s="57">
        <v>0</v>
      </c>
      <c r="R509" s="57">
        <v>0</v>
      </c>
      <c r="S509" s="97">
        <v>0</v>
      </c>
      <c r="T509" s="57">
        <v>0</v>
      </c>
      <c r="U509" s="57">
        <v>0</v>
      </c>
      <c r="V509" s="57">
        <v>0</v>
      </c>
      <c r="W509" s="57">
        <v>0</v>
      </c>
      <c r="X509" s="94">
        <v>0</v>
      </c>
    </row>
    <row r="510" spans="1:24" x14ac:dyDescent="0.35">
      <c r="A510">
        <v>506</v>
      </c>
      <c r="B510">
        <v>507</v>
      </c>
      <c r="C510">
        <v>146.114978898</v>
      </c>
      <c r="D510">
        <v>-17.6289641396999</v>
      </c>
      <c r="F510" t="str">
        <f>HYPERLINK("D:\Data From Lucan\2024\Moresby\Frames_for_Analysis/507_20240611_0012_R_0397.jpg","507_20240611_0012_R_0397.jpg")</f>
        <v>507_20240611_0012_R_0397.jpg</v>
      </c>
      <c r="G510" s="92" t="s">
        <v>4387</v>
      </c>
      <c r="I510">
        <v>2</v>
      </c>
      <c r="K510" s="95">
        <v>1</v>
      </c>
      <c r="L510" s="31" t="s">
        <v>3959</v>
      </c>
      <c r="M510" s="31" t="s">
        <v>3959</v>
      </c>
      <c r="N510" s="31" t="s">
        <v>3959</v>
      </c>
      <c r="O510" s="31" t="s">
        <v>3959</v>
      </c>
      <c r="P510" s="4">
        <v>1</v>
      </c>
      <c r="Q510" s="57">
        <v>0</v>
      </c>
      <c r="R510" s="57">
        <v>0</v>
      </c>
      <c r="S510" s="97">
        <v>0</v>
      </c>
      <c r="T510" s="57">
        <v>0</v>
      </c>
      <c r="U510" s="57">
        <v>0</v>
      </c>
      <c r="V510" s="57">
        <v>0</v>
      </c>
      <c r="W510" s="57">
        <v>0</v>
      </c>
      <c r="X510" s="94">
        <v>0</v>
      </c>
    </row>
    <row r="511" spans="1:24" x14ac:dyDescent="0.35">
      <c r="A511">
        <v>507</v>
      </c>
      <c r="B511">
        <v>508</v>
      </c>
      <c r="C511">
        <v>146.114955127999</v>
      </c>
      <c r="D511">
        <v>-17.629046700699899</v>
      </c>
      <c r="F511" t="str">
        <f>HYPERLINK("D:\Data From Lucan\2024\Moresby\Frames_for_Analysis/508_20240611_0012_R_0394.jpg","508_20240611_0012_R_0394.jpg")</f>
        <v>508_20240611_0012_R_0394.jpg</v>
      </c>
      <c r="G511" s="92" t="s">
        <v>4388</v>
      </c>
      <c r="I511">
        <v>2</v>
      </c>
      <c r="K511" s="95">
        <v>1</v>
      </c>
      <c r="L511" s="31" t="s">
        <v>3959</v>
      </c>
      <c r="M511" s="31" t="s">
        <v>3959</v>
      </c>
      <c r="N511" s="31" t="s">
        <v>3959</v>
      </c>
      <c r="O511" s="31" t="s">
        <v>3959</v>
      </c>
      <c r="P511" s="4">
        <v>1</v>
      </c>
      <c r="Q511" s="57">
        <v>0</v>
      </c>
      <c r="R511" s="57">
        <v>0</v>
      </c>
      <c r="S511" s="97">
        <v>0</v>
      </c>
      <c r="T511" s="57">
        <v>0</v>
      </c>
      <c r="U511" s="57">
        <v>0</v>
      </c>
      <c r="V511" s="57">
        <v>0</v>
      </c>
      <c r="W511" s="57">
        <v>0</v>
      </c>
      <c r="X511" s="94">
        <v>0</v>
      </c>
    </row>
    <row r="512" spans="1:24" x14ac:dyDescent="0.35">
      <c r="A512">
        <v>508</v>
      </c>
      <c r="B512">
        <v>509</v>
      </c>
      <c r="C512">
        <v>146.11493135699899</v>
      </c>
      <c r="D512">
        <v>-17.6291292617999</v>
      </c>
      <c r="F512" t="str">
        <f>HYPERLINK("D:\Data From Lucan\2024\Moresby\Frames_for_Analysis/509_20240611_0012_R_0392.jpg","509_20240611_0012_R_0392.jpg")</f>
        <v>509_20240611_0012_R_0392.jpg</v>
      </c>
      <c r="G512" s="92" t="s">
        <v>4389</v>
      </c>
      <c r="I512">
        <v>2</v>
      </c>
      <c r="K512" s="95">
        <v>1</v>
      </c>
      <c r="L512" s="31" t="s">
        <v>3959</v>
      </c>
      <c r="M512" s="31" t="s">
        <v>3959</v>
      </c>
      <c r="N512" s="31" t="s">
        <v>3959</v>
      </c>
      <c r="O512" s="31" t="s">
        <v>3959</v>
      </c>
      <c r="P512" s="4">
        <v>1</v>
      </c>
      <c r="Q512" s="57">
        <v>0</v>
      </c>
      <c r="R512" s="57">
        <v>0</v>
      </c>
      <c r="S512" s="97">
        <v>0</v>
      </c>
      <c r="T512" s="57">
        <v>0</v>
      </c>
      <c r="U512" s="57">
        <v>0</v>
      </c>
      <c r="V512" s="57">
        <v>0</v>
      </c>
      <c r="W512" s="57">
        <v>0</v>
      </c>
      <c r="X512" s="94">
        <v>0</v>
      </c>
    </row>
    <row r="513" spans="1:24" x14ac:dyDescent="0.35">
      <c r="A513">
        <v>509</v>
      </c>
      <c r="B513">
        <v>510</v>
      </c>
      <c r="C513">
        <v>146.11490758599899</v>
      </c>
      <c r="D513">
        <v>-17.629211822799899</v>
      </c>
      <c r="E513">
        <v>50</v>
      </c>
      <c r="F513" t="str">
        <f>HYPERLINK("D:\Data From Lucan\2024\Moresby\Frames_for_Analysis/510_20240611_0012_R_0389.jpg","510_20240611_0012_R_0389.jpg")</f>
        <v>510_20240611_0012_R_0389.jpg</v>
      </c>
      <c r="G513" s="92" t="s">
        <v>4390</v>
      </c>
      <c r="I513">
        <v>2</v>
      </c>
      <c r="K513" s="95">
        <v>1</v>
      </c>
      <c r="L513" s="31" t="s">
        <v>3959</v>
      </c>
      <c r="M513" s="31" t="s">
        <v>3959</v>
      </c>
      <c r="N513" s="31" t="s">
        <v>3959</v>
      </c>
      <c r="O513" s="31" t="s">
        <v>3959</v>
      </c>
      <c r="P513" s="4">
        <v>1</v>
      </c>
      <c r="Q513" s="57">
        <v>0</v>
      </c>
      <c r="R513" s="57">
        <v>0</v>
      </c>
      <c r="S513" s="97">
        <v>0</v>
      </c>
      <c r="T513" s="57">
        <v>0</v>
      </c>
      <c r="U513" s="57">
        <v>0</v>
      </c>
      <c r="V513" s="57">
        <v>0</v>
      </c>
      <c r="W513" s="57">
        <v>0</v>
      </c>
      <c r="X513" s="94">
        <v>0</v>
      </c>
    </row>
    <row r="514" spans="1:24" x14ac:dyDescent="0.35">
      <c r="A514">
        <v>510</v>
      </c>
      <c r="B514">
        <v>511</v>
      </c>
      <c r="C514">
        <v>146.114883816</v>
      </c>
      <c r="D514">
        <v>-17.629294383800001</v>
      </c>
      <c r="F514" t="str">
        <f>HYPERLINK("D:\Data From Lucan\2024\Moresby\Frames_for_Analysis/511_20240611_0012_R_0386.jpg","511_20240611_0012_R_0386.jpg")</f>
        <v>511_20240611_0012_R_0386.jpg</v>
      </c>
      <c r="G514" s="92" t="s">
        <v>4391</v>
      </c>
      <c r="I514">
        <v>2</v>
      </c>
      <c r="K514" s="95">
        <v>1</v>
      </c>
      <c r="L514" s="31" t="s">
        <v>3959</v>
      </c>
      <c r="M514" s="31" t="s">
        <v>3959</v>
      </c>
      <c r="N514" s="31" t="s">
        <v>3959</v>
      </c>
      <c r="O514" s="31" t="s">
        <v>3959</v>
      </c>
      <c r="P514" s="4">
        <v>1</v>
      </c>
      <c r="Q514" s="57">
        <v>0</v>
      </c>
      <c r="R514" s="57">
        <v>0</v>
      </c>
      <c r="S514" s="97">
        <v>0</v>
      </c>
      <c r="T514" s="57">
        <v>0</v>
      </c>
      <c r="U514" s="57">
        <v>0</v>
      </c>
      <c r="V514" s="57">
        <v>0</v>
      </c>
      <c r="W514" s="57">
        <v>0</v>
      </c>
      <c r="X514" s="94">
        <v>0</v>
      </c>
    </row>
    <row r="515" spans="1:24" x14ac:dyDescent="0.35">
      <c r="A515">
        <v>511</v>
      </c>
      <c r="B515">
        <v>512</v>
      </c>
      <c r="C515">
        <v>146.114859628</v>
      </c>
      <c r="D515">
        <v>-17.6293768345</v>
      </c>
      <c r="F515" t="str">
        <f>HYPERLINK("D:\Data From Lucan\2024\Moresby\Frames_for_Analysis/512_20240611_0012_R_0383.jpg","512_20240611_0012_R_0383.jpg")</f>
        <v>512_20240611_0012_R_0383.jpg</v>
      </c>
      <c r="G515" s="92" t="s">
        <v>4392</v>
      </c>
      <c r="I515">
        <v>2</v>
      </c>
      <c r="K515" s="95">
        <v>1</v>
      </c>
      <c r="L515" s="31" t="s">
        <v>3959</v>
      </c>
      <c r="M515" s="31" t="s">
        <v>3959</v>
      </c>
      <c r="N515" s="31" t="s">
        <v>3959</v>
      </c>
      <c r="O515" s="31" t="s">
        <v>3959</v>
      </c>
      <c r="P515" s="4">
        <v>1</v>
      </c>
      <c r="Q515" s="57">
        <v>0</v>
      </c>
      <c r="R515" s="57">
        <v>0</v>
      </c>
      <c r="S515" s="97">
        <v>0</v>
      </c>
      <c r="T515" s="57">
        <v>0</v>
      </c>
      <c r="U515" s="57">
        <v>0</v>
      </c>
      <c r="V515" s="57">
        <v>0</v>
      </c>
      <c r="W515" s="57">
        <v>0</v>
      </c>
      <c r="X515" s="94">
        <v>0</v>
      </c>
    </row>
    <row r="516" spans="1:24" x14ac:dyDescent="0.35">
      <c r="A516">
        <v>512</v>
      </c>
      <c r="B516">
        <v>513</v>
      </c>
      <c r="C516">
        <v>146.114838096</v>
      </c>
      <c r="D516">
        <v>-17.629459949200001</v>
      </c>
      <c r="F516" t="str">
        <f>HYPERLINK("D:\Data From Lucan\2024\Moresby\Frames_for_Analysis/513_20240611_0012_R_0380.jpg","513_20240611_0012_R_0380.jpg")</f>
        <v>513_20240611_0012_R_0380.jpg</v>
      </c>
      <c r="G516" s="92" t="s">
        <v>4393</v>
      </c>
      <c r="I516">
        <v>2</v>
      </c>
      <c r="K516" s="95">
        <v>1</v>
      </c>
      <c r="L516" s="31" t="s">
        <v>3959</v>
      </c>
      <c r="M516" s="31" t="s">
        <v>3959</v>
      </c>
      <c r="N516" s="31" t="s">
        <v>3959</v>
      </c>
      <c r="O516" s="31" t="s">
        <v>3959</v>
      </c>
      <c r="P516" s="4">
        <v>1</v>
      </c>
      <c r="Q516" s="57">
        <v>0</v>
      </c>
      <c r="R516" s="57">
        <v>0</v>
      </c>
      <c r="S516" s="97">
        <v>0</v>
      </c>
      <c r="T516" s="57">
        <v>0</v>
      </c>
      <c r="U516" s="57">
        <v>0</v>
      </c>
      <c r="V516" s="57">
        <v>0</v>
      </c>
      <c r="W516" s="57">
        <v>0</v>
      </c>
      <c r="X516" s="94">
        <v>0</v>
      </c>
    </row>
    <row r="517" spans="1:24" x14ac:dyDescent="0.35">
      <c r="A517">
        <v>513</v>
      </c>
      <c r="B517">
        <v>514</v>
      </c>
      <c r="C517">
        <v>146.11481670200001</v>
      </c>
      <c r="D517">
        <v>-17.6295430983999</v>
      </c>
      <c r="F517" t="str">
        <f>HYPERLINK("D:\Data From Lucan\2024\Moresby\Frames_for_Analysis/514_20240611_0012_R_0377.jpg","514_20240611_0012_R_0377.jpg")</f>
        <v>514_20240611_0012_R_0377.jpg</v>
      </c>
      <c r="G517" s="92" t="s">
        <v>4394</v>
      </c>
      <c r="I517">
        <v>2</v>
      </c>
      <c r="K517" s="95">
        <v>1</v>
      </c>
      <c r="L517" s="31" t="s">
        <v>3959</v>
      </c>
      <c r="M517" s="31" t="s">
        <v>3959</v>
      </c>
      <c r="N517" s="31" t="s">
        <v>3959</v>
      </c>
      <c r="O517" s="31" t="s">
        <v>3959</v>
      </c>
      <c r="P517" s="4">
        <v>1</v>
      </c>
      <c r="Q517" s="57">
        <v>0</v>
      </c>
      <c r="R517" s="57">
        <v>0</v>
      </c>
      <c r="S517" s="97">
        <v>0</v>
      </c>
      <c r="T517" s="57">
        <v>0</v>
      </c>
      <c r="U517" s="57">
        <v>0</v>
      </c>
      <c r="V517" s="57">
        <v>0</v>
      </c>
      <c r="W517" s="57">
        <v>0</v>
      </c>
      <c r="X517" s="94">
        <v>0</v>
      </c>
    </row>
    <row r="518" spans="1:24" x14ac:dyDescent="0.35">
      <c r="A518">
        <v>514</v>
      </c>
      <c r="B518">
        <v>515</v>
      </c>
      <c r="C518">
        <v>146.114795307999</v>
      </c>
      <c r="D518">
        <v>-17.629626247600001</v>
      </c>
      <c r="E518">
        <v>50</v>
      </c>
      <c r="F518" t="str">
        <f>HYPERLINK("D:\Data From Lucan\2024\Moresby\Frames_for_Analysis/515_20240611_0012_R_0374.jpg","515_20240611_0012_R_0374.jpg")</f>
        <v>515_20240611_0012_R_0374.jpg</v>
      </c>
      <c r="G518" s="92" t="s">
        <v>4395</v>
      </c>
      <c r="I518">
        <v>2</v>
      </c>
      <c r="K518" s="95">
        <v>1</v>
      </c>
      <c r="L518" s="31" t="s">
        <v>3959</v>
      </c>
      <c r="M518" s="31" t="s">
        <v>3959</v>
      </c>
      <c r="N518" s="31" t="s">
        <v>3959</v>
      </c>
      <c r="O518" s="31" t="s">
        <v>3959</v>
      </c>
      <c r="P518" s="4">
        <v>1</v>
      </c>
      <c r="Q518" s="57">
        <v>0</v>
      </c>
      <c r="R518" s="57">
        <v>0</v>
      </c>
      <c r="S518" s="97">
        <v>0</v>
      </c>
      <c r="T518" s="57">
        <v>0</v>
      </c>
      <c r="U518" s="57">
        <v>0</v>
      </c>
      <c r="V518" s="57">
        <v>0</v>
      </c>
      <c r="W518" s="57">
        <v>0</v>
      </c>
      <c r="X518" s="94">
        <v>0</v>
      </c>
    </row>
    <row r="519" spans="1:24" x14ac:dyDescent="0.35">
      <c r="A519">
        <v>515</v>
      </c>
      <c r="B519">
        <v>516</v>
      </c>
      <c r="C519">
        <v>146.11477391400001</v>
      </c>
      <c r="D519">
        <v>-17.629709396700001</v>
      </c>
      <c r="F519" t="str">
        <f>HYPERLINK("D:\Data From Lucan\2024\Moresby\Frames_for_Analysis/516_20240611_0012_R_0371.jpg","516_20240611_0012_R_0371.jpg")</f>
        <v>516_20240611_0012_R_0371.jpg</v>
      </c>
      <c r="G519" s="92" t="s">
        <v>4396</v>
      </c>
      <c r="I519">
        <v>2</v>
      </c>
      <c r="K519" s="95">
        <v>1</v>
      </c>
      <c r="L519" s="31" t="s">
        <v>3959</v>
      </c>
      <c r="M519" s="31" t="s">
        <v>3959</v>
      </c>
      <c r="N519" s="31" t="s">
        <v>3959</v>
      </c>
      <c r="O519" s="31" t="s">
        <v>3959</v>
      </c>
      <c r="P519" s="4">
        <v>1</v>
      </c>
      <c r="Q519" s="57">
        <v>0</v>
      </c>
      <c r="R519" s="57">
        <v>0</v>
      </c>
      <c r="S519" s="97">
        <v>0</v>
      </c>
      <c r="T519" s="57">
        <v>0</v>
      </c>
      <c r="U519" s="57">
        <v>0</v>
      </c>
      <c r="V519" s="57">
        <v>0</v>
      </c>
      <c r="W519" s="57">
        <v>0</v>
      </c>
      <c r="X519" s="94">
        <v>0</v>
      </c>
    </row>
    <row r="520" spans="1:24" x14ac:dyDescent="0.35">
      <c r="A520">
        <v>516</v>
      </c>
      <c r="B520">
        <v>517</v>
      </c>
      <c r="C520">
        <v>146.114752519999</v>
      </c>
      <c r="D520">
        <v>-17.629792545800001</v>
      </c>
      <c r="F520" t="str">
        <f>HYPERLINK("D:\Data From Lucan\2024\Moresby\Frames_for_Analysis/517_20240611_0012_R_0368.jpg","517_20240611_0012_R_0368.jpg")</f>
        <v>517_20240611_0012_R_0368.jpg</v>
      </c>
      <c r="G520" s="92" t="s">
        <v>4397</v>
      </c>
      <c r="I520">
        <v>2</v>
      </c>
      <c r="K520" s="95">
        <v>1</v>
      </c>
      <c r="L520" s="31" t="s">
        <v>3959</v>
      </c>
      <c r="M520" s="31" t="s">
        <v>3959</v>
      </c>
      <c r="N520" s="31" t="s">
        <v>3959</v>
      </c>
      <c r="O520" s="31" t="s">
        <v>3959</v>
      </c>
      <c r="P520" s="4">
        <v>1</v>
      </c>
      <c r="Q520" s="57">
        <v>0</v>
      </c>
      <c r="R520" s="57">
        <v>0</v>
      </c>
      <c r="S520" s="97">
        <v>0</v>
      </c>
      <c r="T520" s="57">
        <v>0</v>
      </c>
      <c r="U520" s="57">
        <v>0</v>
      </c>
      <c r="V520" s="57">
        <v>0</v>
      </c>
      <c r="W520" s="57">
        <v>0</v>
      </c>
      <c r="X520" s="94">
        <v>0</v>
      </c>
    </row>
    <row r="521" spans="1:24" x14ac:dyDescent="0.35">
      <c r="A521">
        <v>517</v>
      </c>
      <c r="B521">
        <v>518</v>
      </c>
      <c r="C521">
        <v>146.11473112600001</v>
      </c>
      <c r="D521">
        <v>-17.629875694900001</v>
      </c>
      <c r="F521" t="str">
        <f>HYPERLINK("D:\Data From Lucan\2024\Moresby\Frames_for_Analysis/518_20240611_0012_R_0366.jpg","518_20240611_0012_R_0366.jpg")</f>
        <v>518_20240611_0012_R_0366.jpg</v>
      </c>
      <c r="G521" s="92" t="s">
        <v>4398</v>
      </c>
      <c r="I521">
        <v>2</v>
      </c>
      <c r="K521" s="95">
        <v>1</v>
      </c>
      <c r="L521" s="31" t="s">
        <v>3959</v>
      </c>
      <c r="M521" s="31" t="s">
        <v>3959</v>
      </c>
      <c r="N521" s="31" t="s">
        <v>3959</v>
      </c>
      <c r="O521" s="31" t="s">
        <v>3959</v>
      </c>
      <c r="P521" s="4">
        <v>1</v>
      </c>
      <c r="Q521" s="57">
        <v>0</v>
      </c>
      <c r="R521" s="57">
        <v>0</v>
      </c>
      <c r="S521" s="97">
        <v>0</v>
      </c>
      <c r="T521" s="57">
        <v>0</v>
      </c>
      <c r="U521" s="57">
        <v>0</v>
      </c>
      <c r="V521" s="57">
        <v>0</v>
      </c>
      <c r="W521" s="57">
        <v>0</v>
      </c>
      <c r="X521" s="94">
        <v>0</v>
      </c>
    </row>
    <row r="522" spans="1:24" x14ac:dyDescent="0.35">
      <c r="A522">
        <v>518</v>
      </c>
      <c r="B522">
        <v>519</v>
      </c>
      <c r="C522">
        <v>146.114709731999</v>
      </c>
      <c r="D522">
        <v>-17.6299588438999</v>
      </c>
      <c r="F522" t="str">
        <f>HYPERLINK("D:\Data From Lucan\2024\Moresby\Frames_for_Analysis/519_20240611_0012_R_0363.jpg","519_20240611_0012_R_0363.jpg")</f>
        <v>519_20240611_0012_R_0363.jpg</v>
      </c>
      <c r="G522" s="92" t="s">
        <v>4399</v>
      </c>
      <c r="I522">
        <v>2</v>
      </c>
      <c r="K522" s="95">
        <v>1</v>
      </c>
      <c r="L522" s="31" t="s">
        <v>3959</v>
      </c>
      <c r="M522" s="31" t="s">
        <v>3959</v>
      </c>
      <c r="N522" s="31" t="s">
        <v>3959</v>
      </c>
      <c r="O522" s="31" t="s">
        <v>3959</v>
      </c>
      <c r="P522" s="4">
        <v>1</v>
      </c>
      <c r="Q522" s="57">
        <v>0</v>
      </c>
      <c r="R522" s="57">
        <v>0</v>
      </c>
      <c r="S522" s="97">
        <v>0</v>
      </c>
      <c r="T522" s="57">
        <v>0</v>
      </c>
      <c r="U522" s="57">
        <v>0</v>
      </c>
      <c r="V522" s="57">
        <v>0</v>
      </c>
      <c r="W522" s="57">
        <v>0</v>
      </c>
      <c r="X522" s="94">
        <v>0</v>
      </c>
    </row>
    <row r="523" spans="1:24" x14ac:dyDescent="0.35">
      <c r="A523">
        <v>519</v>
      </c>
      <c r="B523">
        <v>520</v>
      </c>
      <c r="C523">
        <v>146.11468833800001</v>
      </c>
      <c r="D523">
        <v>-17.630041992900001</v>
      </c>
      <c r="E523">
        <v>50</v>
      </c>
      <c r="F523" t="str">
        <f>HYPERLINK("D:\Data From Lucan\2024\Moresby\Frames_for_Analysis/520_20240611_0012_R_0361.jpg","520_20240611_0012_R_0361.jpg")</f>
        <v>520_20240611_0012_R_0361.jpg</v>
      </c>
      <c r="G523" s="92" t="s">
        <v>4400</v>
      </c>
      <c r="I523">
        <v>2</v>
      </c>
      <c r="K523" s="95">
        <v>1</v>
      </c>
      <c r="L523" s="31" t="s">
        <v>3959</v>
      </c>
      <c r="M523" s="31" t="s">
        <v>3959</v>
      </c>
      <c r="N523" s="31" t="s">
        <v>3959</v>
      </c>
      <c r="O523" s="31" t="s">
        <v>3959</v>
      </c>
      <c r="P523" s="4">
        <v>1</v>
      </c>
      <c r="Q523" s="57">
        <v>0</v>
      </c>
      <c r="R523" s="57">
        <v>0</v>
      </c>
      <c r="S523" s="97">
        <v>0</v>
      </c>
      <c r="T523" s="57">
        <v>0</v>
      </c>
      <c r="U523" s="57">
        <v>0</v>
      </c>
      <c r="V523" s="57">
        <v>0</v>
      </c>
      <c r="W523" s="57">
        <v>0</v>
      </c>
      <c r="X523" s="94">
        <v>0</v>
      </c>
    </row>
    <row r="524" spans="1:24" x14ac:dyDescent="0.35">
      <c r="A524">
        <v>520</v>
      </c>
      <c r="B524">
        <v>521</v>
      </c>
      <c r="C524">
        <v>146.11466660599899</v>
      </c>
      <c r="D524">
        <v>-17.6301250620999</v>
      </c>
      <c r="F524" t="str">
        <f>HYPERLINK("D:\Data From Lucan\2024\Moresby\Frames_for_Analysis/521_20240611_0012_R_0358.jpg","521_20240611_0012_R_0358.jpg")</f>
        <v>521_20240611_0012_R_0358.jpg</v>
      </c>
      <c r="G524" s="92" t="s">
        <v>4401</v>
      </c>
      <c r="I524">
        <v>2</v>
      </c>
      <c r="K524" s="95">
        <v>1</v>
      </c>
      <c r="L524" s="31" t="s">
        <v>3959</v>
      </c>
      <c r="M524" s="31" t="s">
        <v>3959</v>
      </c>
      <c r="N524" s="31" t="s">
        <v>3959</v>
      </c>
      <c r="O524" s="31" t="s">
        <v>3959</v>
      </c>
      <c r="P524" s="4">
        <v>1</v>
      </c>
      <c r="Q524" s="57">
        <v>0</v>
      </c>
      <c r="R524" s="57">
        <v>0</v>
      </c>
      <c r="S524" s="97">
        <v>0</v>
      </c>
      <c r="T524" s="57">
        <v>0</v>
      </c>
      <c r="U524" s="57">
        <v>0</v>
      </c>
      <c r="V524" s="57">
        <v>0</v>
      </c>
      <c r="W524" s="57">
        <v>0</v>
      </c>
      <c r="X524" s="94">
        <v>0</v>
      </c>
    </row>
    <row r="525" spans="1:24" x14ac:dyDescent="0.35">
      <c r="A525">
        <v>521</v>
      </c>
      <c r="B525">
        <v>522</v>
      </c>
      <c r="C525">
        <v>146.114644803</v>
      </c>
      <c r="D525">
        <v>-17.6302081145</v>
      </c>
      <c r="F525" t="str">
        <f>HYPERLINK("D:\Data From Lucan\2024\Moresby\Frames_for_Analysis/522_20240611_0012_R_0356.jpg","522_20240611_0012_R_0356.jpg")</f>
        <v>522_20240611_0012_R_0356.jpg</v>
      </c>
      <c r="G525" s="92" t="s">
        <v>4402</v>
      </c>
      <c r="I525">
        <v>2</v>
      </c>
      <c r="K525" s="95">
        <v>1</v>
      </c>
      <c r="L525" s="31" t="s">
        <v>3959</v>
      </c>
      <c r="M525" s="31" t="s">
        <v>3959</v>
      </c>
      <c r="N525" s="31" t="s">
        <v>3959</v>
      </c>
      <c r="O525" s="31" t="s">
        <v>3959</v>
      </c>
      <c r="P525" s="4">
        <v>1</v>
      </c>
      <c r="Q525" s="57">
        <v>0</v>
      </c>
      <c r="R525" s="57">
        <v>0</v>
      </c>
      <c r="S525" s="97">
        <v>0</v>
      </c>
      <c r="T525" s="57">
        <v>0</v>
      </c>
      <c r="U525" s="57">
        <v>0</v>
      </c>
      <c r="V525" s="57">
        <v>0</v>
      </c>
      <c r="W525" s="57">
        <v>0</v>
      </c>
      <c r="X525" s="94">
        <v>0</v>
      </c>
    </row>
    <row r="526" spans="1:24" x14ac:dyDescent="0.35">
      <c r="A526">
        <v>522</v>
      </c>
      <c r="B526">
        <v>523</v>
      </c>
      <c r="C526">
        <v>146.114622999999</v>
      </c>
      <c r="D526">
        <v>-17.6302911667999</v>
      </c>
      <c r="F526" t="str">
        <f>HYPERLINK("D:\Data From Lucan\2024\Moresby\Frames_for_Analysis/523_20240611_0012_R_0353.jpg","523_20240611_0012_R_0353.jpg")</f>
        <v>523_20240611_0012_R_0353.jpg</v>
      </c>
      <c r="G526" s="92" t="s">
        <v>4403</v>
      </c>
      <c r="I526">
        <v>2</v>
      </c>
      <c r="K526" s="95">
        <v>1</v>
      </c>
      <c r="L526" s="31" t="s">
        <v>3959</v>
      </c>
      <c r="M526" s="31" t="s">
        <v>3959</v>
      </c>
      <c r="N526" s="31" t="s">
        <v>3959</v>
      </c>
      <c r="O526" s="31" t="s">
        <v>3959</v>
      </c>
      <c r="P526" s="4">
        <v>1</v>
      </c>
      <c r="Q526" s="57">
        <v>0</v>
      </c>
      <c r="R526" s="57">
        <v>0</v>
      </c>
      <c r="S526" s="97">
        <v>0</v>
      </c>
      <c r="T526" s="57">
        <v>0</v>
      </c>
      <c r="U526" s="57">
        <v>0</v>
      </c>
      <c r="V526" s="57">
        <v>0</v>
      </c>
      <c r="W526" s="57">
        <v>0</v>
      </c>
      <c r="X526" s="94">
        <v>0</v>
      </c>
    </row>
    <row r="527" spans="1:24" x14ac:dyDescent="0.35">
      <c r="A527">
        <v>523</v>
      </c>
      <c r="B527">
        <v>524</v>
      </c>
      <c r="C527">
        <v>146.11460119700001</v>
      </c>
      <c r="D527">
        <v>-17.630374219099899</v>
      </c>
      <c r="F527" t="str">
        <f>HYPERLINK("D:\Data From Lucan\2024\Moresby\Frames_for_Analysis/524_20240611_0012_R_0351.jpg","524_20240611_0012_R_0351.jpg")</f>
        <v>524_20240611_0012_R_0351.jpg</v>
      </c>
      <c r="G527" s="92" t="s">
        <v>4404</v>
      </c>
      <c r="I527">
        <v>2</v>
      </c>
      <c r="K527" s="95">
        <v>1</v>
      </c>
      <c r="L527" s="31" t="s">
        <v>3959</v>
      </c>
      <c r="M527" s="31" t="s">
        <v>3959</v>
      </c>
      <c r="N527" s="31" t="s">
        <v>3959</v>
      </c>
      <c r="O527" s="31" t="s">
        <v>3959</v>
      </c>
      <c r="P527" s="4">
        <v>1</v>
      </c>
      <c r="Q527" s="57">
        <v>0</v>
      </c>
      <c r="R527" s="57">
        <v>0</v>
      </c>
      <c r="S527" s="97">
        <v>0</v>
      </c>
      <c r="T527" s="57">
        <v>0</v>
      </c>
      <c r="U527" s="57">
        <v>0</v>
      </c>
      <c r="V527" s="57">
        <v>0</v>
      </c>
      <c r="W527" s="57">
        <v>0</v>
      </c>
      <c r="X527" s="94">
        <v>0</v>
      </c>
    </row>
    <row r="528" spans="1:24" x14ac:dyDescent="0.35">
      <c r="A528">
        <v>524</v>
      </c>
      <c r="B528">
        <v>525</v>
      </c>
      <c r="C528">
        <v>146.114579394</v>
      </c>
      <c r="D528">
        <v>-17.6304572712999</v>
      </c>
      <c r="E528">
        <v>50</v>
      </c>
      <c r="F528" t="str">
        <f>HYPERLINK("D:\Data From Lucan\2024\Moresby\Frames_for_Analysis/525_20240611_0012_R_0348.jpg","525_20240611_0012_R_0348.jpg")</f>
        <v>525_20240611_0012_R_0348.jpg</v>
      </c>
      <c r="G528" s="92" t="s">
        <v>4405</v>
      </c>
      <c r="I528">
        <v>2</v>
      </c>
      <c r="K528" s="95">
        <v>1</v>
      </c>
      <c r="L528" s="31" t="s">
        <v>3959</v>
      </c>
      <c r="M528" s="31" t="s">
        <v>3959</v>
      </c>
      <c r="N528" s="31" t="s">
        <v>3959</v>
      </c>
      <c r="O528" s="31" t="s">
        <v>3959</v>
      </c>
      <c r="P528" s="4">
        <v>1</v>
      </c>
      <c r="Q528" s="57">
        <v>0</v>
      </c>
      <c r="R528" s="57">
        <v>0</v>
      </c>
      <c r="S528" s="97">
        <v>0</v>
      </c>
      <c r="T528" s="57">
        <v>0</v>
      </c>
      <c r="U528" s="57">
        <v>0</v>
      </c>
      <c r="V528" s="57">
        <v>0</v>
      </c>
      <c r="W528" s="57">
        <v>0</v>
      </c>
      <c r="X528" s="94">
        <v>0</v>
      </c>
    </row>
    <row r="529" spans="1:24" x14ac:dyDescent="0.35">
      <c r="A529">
        <v>525</v>
      </c>
      <c r="B529">
        <v>526</v>
      </c>
      <c r="C529">
        <v>146.114557590999</v>
      </c>
      <c r="D529">
        <v>-17.6305403235</v>
      </c>
      <c r="F529" t="str">
        <f>HYPERLINK("D:\Data From Lucan\2024\Moresby\Frames_for_Analysis/526_20240611_0012_R_0346.jpg","526_20240611_0012_R_0346.jpg")</f>
        <v>526_20240611_0012_R_0346.jpg</v>
      </c>
      <c r="G529" s="92" t="s">
        <v>4406</v>
      </c>
      <c r="I529">
        <v>2</v>
      </c>
      <c r="K529" s="95">
        <v>1</v>
      </c>
      <c r="L529" s="31" t="s">
        <v>3959</v>
      </c>
      <c r="M529" s="31" t="s">
        <v>3959</v>
      </c>
      <c r="N529" s="31" t="s">
        <v>3959</v>
      </c>
      <c r="O529" s="31" t="s">
        <v>3959</v>
      </c>
      <c r="P529" s="4">
        <v>1</v>
      </c>
      <c r="Q529" s="57">
        <v>0</v>
      </c>
      <c r="R529" s="57">
        <v>0</v>
      </c>
      <c r="S529" s="97">
        <v>0</v>
      </c>
      <c r="T529" s="57">
        <v>0</v>
      </c>
      <c r="U529" s="57">
        <v>0</v>
      </c>
      <c r="V529" s="57">
        <v>0</v>
      </c>
      <c r="W529" s="57">
        <v>0</v>
      </c>
      <c r="X529" s="94">
        <v>0</v>
      </c>
    </row>
    <row r="530" spans="1:24" x14ac:dyDescent="0.35">
      <c r="A530">
        <v>526</v>
      </c>
      <c r="B530">
        <v>527</v>
      </c>
      <c r="C530">
        <v>146.114548106</v>
      </c>
      <c r="D530">
        <v>-17.630625172599899</v>
      </c>
      <c r="F530" t="str">
        <f>HYPERLINK("D:\Data From Lucan\2024\Moresby\Frames_for_Analysis/527_20240611_0012_R_0343.jpg","527_20240611_0012_R_0343.jpg")</f>
        <v>527_20240611_0012_R_0343.jpg</v>
      </c>
      <c r="G530" s="92" t="s">
        <v>4407</v>
      </c>
      <c r="I530">
        <v>2</v>
      </c>
      <c r="K530" s="95">
        <v>1</v>
      </c>
      <c r="L530" s="31" t="s">
        <v>3959</v>
      </c>
      <c r="M530" s="31" t="s">
        <v>3959</v>
      </c>
      <c r="N530" s="31" t="s">
        <v>3959</v>
      </c>
      <c r="O530" s="31" t="s">
        <v>3959</v>
      </c>
      <c r="P530" s="4">
        <v>1</v>
      </c>
      <c r="Q530" s="57">
        <v>0</v>
      </c>
      <c r="R530" s="57">
        <v>0</v>
      </c>
      <c r="S530" s="97">
        <v>0</v>
      </c>
      <c r="T530" s="57">
        <v>0</v>
      </c>
      <c r="U530" s="57">
        <v>0</v>
      </c>
      <c r="V530" s="57">
        <v>0</v>
      </c>
      <c r="W530" s="57">
        <v>0</v>
      </c>
      <c r="X530" s="94">
        <v>0</v>
      </c>
    </row>
    <row r="531" spans="1:24" x14ac:dyDescent="0.35">
      <c r="A531">
        <v>527</v>
      </c>
      <c r="B531">
        <v>528</v>
      </c>
      <c r="C531">
        <v>146.11454284300001</v>
      </c>
      <c r="D531">
        <v>-17.6307106376</v>
      </c>
      <c r="F531" t="str">
        <f>HYPERLINK("D:\Data From Lucan\2024\Moresby\Frames_for_Analysis/528_20240611_0012_R_0340.jpg","528_20240611_0012_R_0340.jpg")</f>
        <v>528_20240611_0012_R_0340.jpg</v>
      </c>
      <c r="G531" s="92" t="s">
        <v>4408</v>
      </c>
      <c r="I531">
        <v>2</v>
      </c>
      <c r="K531" s="95">
        <v>1</v>
      </c>
      <c r="L531" s="31" t="s">
        <v>3959</v>
      </c>
      <c r="M531" s="31" t="s">
        <v>3959</v>
      </c>
      <c r="N531" s="31" t="s">
        <v>3959</v>
      </c>
      <c r="O531" s="31" t="s">
        <v>3959</v>
      </c>
      <c r="P531" s="4">
        <v>1</v>
      </c>
      <c r="Q531" s="57">
        <v>0</v>
      </c>
      <c r="R531" s="57">
        <v>0</v>
      </c>
      <c r="S531" s="97">
        <v>0</v>
      </c>
      <c r="T531" s="57">
        <v>0</v>
      </c>
      <c r="U531" s="57">
        <v>0</v>
      </c>
      <c r="V531" s="57">
        <v>0</v>
      </c>
      <c r="W531" s="57">
        <v>0</v>
      </c>
      <c r="X531" s="94">
        <v>0</v>
      </c>
    </row>
    <row r="532" spans="1:24" x14ac:dyDescent="0.35">
      <c r="A532">
        <v>528</v>
      </c>
      <c r="B532">
        <v>529</v>
      </c>
      <c r="C532">
        <v>146.11453758100001</v>
      </c>
      <c r="D532">
        <v>-17.6307961025</v>
      </c>
      <c r="F532" t="str">
        <f>HYPERLINK("D:\Data From Lucan\2024\Moresby\Frames_for_Analysis/529_20240611_0012_R_0338.jpg","529_20240611_0012_R_0338.jpg")</f>
        <v>529_20240611_0012_R_0338.jpg</v>
      </c>
      <c r="G532" s="92" t="s">
        <v>4409</v>
      </c>
      <c r="I532">
        <v>2</v>
      </c>
      <c r="K532" s="95">
        <v>1</v>
      </c>
      <c r="L532" s="31" t="s">
        <v>3959</v>
      </c>
      <c r="M532" s="31" t="s">
        <v>3959</v>
      </c>
      <c r="N532" s="31" t="s">
        <v>3959</v>
      </c>
      <c r="O532" s="31" t="s">
        <v>3959</v>
      </c>
      <c r="P532" s="4">
        <v>1</v>
      </c>
      <c r="Q532" s="57">
        <v>0</v>
      </c>
      <c r="R532" s="57">
        <v>0</v>
      </c>
      <c r="S532" s="97">
        <v>0</v>
      </c>
      <c r="T532" s="57">
        <v>0</v>
      </c>
      <c r="U532" s="57">
        <v>0</v>
      </c>
      <c r="V532" s="57">
        <v>0</v>
      </c>
      <c r="W532" s="57">
        <v>0</v>
      </c>
      <c r="X532" s="94">
        <v>0</v>
      </c>
    </row>
    <row r="533" spans="1:24" x14ac:dyDescent="0.35">
      <c r="A533">
        <v>529</v>
      </c>
      <c r="B533">
        <v>530</v>
      </c>
      <c r="C533">
        <v>146.11453231799899</v>
      </c>
      <c r="D533">
        <v>-17.6308815673999</v>
      </c>
      <c r="E533">
        <v>50</v>
      </c>
      <c r="F533" t="str">
        <f>HYPERLINK("D:\Data From Lucan\2024\Moresby\Frames_for_Analysis/530_20240611_0012_R_0335.jpg","530_20240611_0012_R_0335.jpg")</f>
        <v>530_20240611_0012_R_0335.jpg</v>
      </c>
      <c r="G533" s="92" t="s">
        <v>4410</v>
      </c>
      <c r="I533">
        <v>2</v>
      </c>
      <c r="K533" s="95">
        <v>1</v>
      </c>
      <c r="L533" s="31" t="s">
        <v>3959</v>
      </c>
      <c r="M533" s="31" t="s">
        <v>3959</v>
      </c>
      <c r="N533" s="31" t="s">
        <v>3959</v>
      </c>
      <c r="O533" s="31" t="s">
        <v>3959</v>
      </c>
      <c r="P533" s="4">
        <v>1</v>
      </c>
      <c r="Q533" s="57">
        <v>0</v>
      </c>
      <c r="R533" s="57">
        <v>0</v>
      </c>
      <c r="S533" s="97">
        <v>0</v>
      </c>
      <c r="T533" s="57">
        <v>0</v>
      </c>
      <c r="U533" s="57">
        <v>0</v>
      </c>
      <c r="V533" s="57">
        <v>0</v>
      </c>
      <c r="W533" s="57">
        <v>0</v>
      </c>
      <c r="X533" s="94">
        <v>0</v>
      </c>
    </row>
    <row r="534" spans="1:24" x14ac:dyDescent="0.35">
      <c r="A534">
        <v>530</v>
      </c>
      <c r="B534">
        <v>531</v>
      </c>
      <c r="C534">
        <v>146.114527054999</v>
      </c>
      <c r="D534">
        <v>-17.6309670322999</v>
      </c>
      <c r="F534" t="str">
        <f>HYPERLINK("D:\Data From Lucan\2024\Moresby\Frames_for_Analysis/531_20240611_0012_R_0332.jpg","531_20240611_0012_R_0332.jpg")</f>
        <v>531_20240611_0012_R_0332.jpg</v>
      </c>
      <c r="G534" s="92" t="s">
        <v>4411</v>
      </c>
      <c r="I534">
        <v>2</v>
      </c>
      <c r="K534" s="95">
        <v>1</v>
      </c>
      <c r="L534" s="31" t="s">
        <v>3959</v>
      </c>
      <c r="M534" s="31" t="s">
        <v>3959</v>
      </c>
      <c r="N534" s="31" t="s">
        <v>3959</v>
      </c>
      <c r="O534" s="31" t="s">
        <v>3959</v>
      </c>
      <c r="P534" s="4">
        <v>1</v>
      </c>
      <c r="Q534" s="57">
        <v>0</v>
      </c>
      <c r="R534" s="57">
        <v>0</v>
      </c>
      <c r="S534" s="97">
        <v>0</v>
      </c>
      <c r="T534" s="57">
        <v>0</v>
      </c>
      <c r="U534" s="57">
        <v>0</v>
      </c>
      <c r="V534" s="57">
        <v>0</v>
      </c>
      <c r="W534" s="57">
        <v>0</v>
      </c>
      <c r="X534" s="94">
        <v>0</v>
      </c>
    </row>
    <row r="535" spans="1:24" x14ac:dyDescent="0.35">
      <c r="A535">
        <v>531</v>
      </c>
      <c r="B535">
        <v>532</v>
      </c>
      <c r="C535">
        <v>146.114521792999</v>
      </c>
      <c r="D535">
        <v>-17.631052497100001</v>
      </c>
      <c r="F535" t="str">
        <f>HYPERLINK("D:\Data From Lucan\2024\Moresby\Frames_for_Analysis/532_20240611_0012_R_0330.jpg","532_20240611_0012_R_0330.jpg")</f>
        <v>532_20240611_0012_R_0330.jpg</v>
      </c>
      <c r="G535" s="92" t="s">
        <v>4412</v>
      </c>
      <c r="I535">
        <v>2</v>
      </c>
      <c r="K535" s="95">
        <v>1</v>
      </c>
      <c r="L535" s="31" t="s">
        <v>3959</v>
      </c>
      <c r="M535" s="31" t="s">
        <v>3959</v>
      </c>
      <c r="N535" s="31" t="s">
        <v>3959</v>
      </c>
      <c r="O535" s="31" t="s">
        <v>3959</v>
      </c>
      <c r="P535" s="4">
        <v>1</v>
      </c>
      <c r="Q535" s="57">
        <v>0</v>
      </c>
      <c r="R535" s="57">
        <v>0</v>
      </c>
      <c r="S535" s="97">
        <v>0</v>
      </c>
      <c r="T535" s="57">
        <v>0</v>
      </c>
      <c r="U535" s="57">
        <v>0</v>
      </c>
      <c r="V535" s="57">
        <v>0</v>
      </c>
      <c r="W535" s="57">
        <v>0</v>
      </c>
      <c r="X535" s="94">
        <v>0</v>
      </c>
    </row>
    <row r="536" spans="1:24" x14ac:dyDescent="0.35">
      <c r="A536">
        <v>532</v>
      </c>
      <c r="B536">
        <v>533</v>
      </c>
      <c r="C536">
        <v>146.11451653</v>
      </c>
      <c r="D536">
        <v>-17.631137961899899</v>
      </c>
      <c r="F536" t="str">
        <f>HYPERLINK("D:\Data From Lucan\2024\Moresby\Frames_for_Analysis/533_20240611_0012_R_0328.jpg","533_20240611_0012_R_0328.jpg")</f>
        <v>533_20240611_0012_R_0328.jpg</v>
      </c>
      <c r="G536" s="92" t="s">
        <v>4413</v>
      </c>
      <c r="I536">
        <v>2</v>
      </c>
      <c r="K536" s="95">
        <v>1</v>
      </c>
      <c r="L536" s="31" t="s">
        <v>3959</v>
      </c>
      <c r="M536" s="31" t="s">
        <v>3959</v>
      </c>
      <c r="N536" s="31" t="s">
        <v>3959</v>
      </c>
      <c r="O536" s="31" t="s">
        <v>3959</v>
      </c>
      <c r="P536" s="4">
        <v>1</v>
      </c>
      <c r="Q536" s="57">
        <v>0</v>
      </c>
      <c r="R536" s="57">
        <v>0</v>
      </c>
      <c r="S536" s="97">
        <v>0</v>
      </c>
      <c r="T536" s="57">
        <v>0</v>
      </c>
      <c r="U536" s="57">
        <v>0</v>
      </c>
      <c r="V536" s="57">
        <v>0</v>
      </c>
      <c r="W536" s="57">
        <v>0</v>
      </c>
      <c r="X536" s="94">
        <v>0</v>
      </c>
    </row>
    <row r="537" spans="1:24" x14ac:dyDescent="0.35">
      <c r="A537">
        <v>533</v>
      </c>
      <c r="B537">
        <v>534</v>
      </c>
      <c r="C537">
        <v>146.114507613</v>
      </c>
      <c r="D537">
        <v>-17.631223116800001</v>
      </c>
      <c r="F537" t="str">
        <f>HYPERLINK("D:\Data From Lucan\2024\Moresby\Frames_for_Analysis/534_20240611_0012_R_0325.jpg","534_20240611_0012_R_0325.jpg")</f>
        <v>534_20240611_0012_R_0325.jpg</v>
      </c>
      <c r="G537" s="92" t="s">
        <v>4414</v>
      </c>
      <c r="I537">
        <v>2</v>
      </c>
      <c r="K537" s="95">
        <v>1</v>
      </c>
      <c r="L537" s="31" t="s">
        <v>3959</v>
      </c>
      <c r="M537" s="31" t="s">
        <v>3959</v>
      </c>
      <c r="N537" s="31" t="s">
        <v>3959</v>
      </c>
      <c r="O537" s="31" t="s">
        <v>3959</v>
      </c>
      <c r="P537" s="4">
        <v>1</v>
      </c>
      <c r="Q537" s="57">
        <v>0</v>
      </c>
      <c r="R537" s="57">
        <v>0</v>
      </c>
      <c r="S537" s="97">
        <v>0</v>
      </c>
      <c r="T537" s="57">
        <v>0</v>
      </c>
      <c r="U537" s="57">
        <v>0</v>
      </c>
      <c r="V537" s="57">
        <v>0</v>
      </c>
      <c r="W537" s="57">
        <v>0</v>
      </c>
      <c r="X537" s="94">
        <v>0</v>
      </c>
    </row>
    <row r="538" spans="1:24" x14ac:dyDescent="0.35">
      <c r="A538">
        <v>534</v>
      </c>
      <c r="B538">
        <v>535</v>
      </c>
      <c r="C538">
        <v>146.114496962999</v>
      </c>
      <c r="D538">
        <v>-17.631308124699899</v>
      </c>
      <c r="E538">
        <v>50</v>
      </c>
      <c r="F538" t="str">
        <f>HYPERLINK("D:\Data From Lucan\2024\Moresby\Frames_for_Analysis/535_20240611_0012_R_0323.jpg","535_20240611_0012_R_0323.jpg")</f>
        <v>535_20240611_0012_R_0323.jpg</v>
      </c>
      <c r="G538" s="92" t="s">
        <v>4415</v>
      </c>
      <c r="I538">
        <v>2</v>
      </c>
      <c r="K538" s="95">
        <v>1</v>
      </c>
      <c r="L538" s="31" t="s">
        <v>3959</v>
      </c>
      <c r="M538" s="31" t="s">
        <v>3959</v>
      </c>
      <c r="N538" s="31" t="s">
        <v>3959</v>
      </c>
      <c r="O538" s="31" t="s">
        <v>3959</v>
      </c>
      <c r="P538" s="4">
        <v>1</v>
      </c>
      <c r="Q538" s="57">
        <v>0</v>
      </c>
      <c r="R538" s="57">
        <v>0</v>
      </c>
      <c r="S538" s="97">
        <v>0</v>
      </c>
      <c r="T538" s="57">
        <v>0</v>
      </c>
      <c r="U538" s="57">
        <v>0</v>
      </c>
      <c r="V538" s="57">
        <v>0</v>
      </c>
      <c r="W538" s="57">
        <v>0</v>
      </c>
      <c r="X538" s="94">
        <v>0</v>
      </c>
    </row>
    <row r="539" spans="1:24" x14ac:dyDescent="0.35">
      <c r="A539">
        <v>535</v>
      </c>
      <c r="B539">
        <v>536</v>
      </c>
      <c r="C539">
        <v>146.11448631299899</v>
      </c>
      <c r="D539">
        <v>-17.6313931326</v>
      </c>
      <c r="F539" t="str">
        <f>HYPERLINK("D:\Data From Lucan\2024\Moresby\Frames_for_Analysis/536_20240611_0012_R_0320.jpg","536_20240611_0012_R_0320.jpg")</f>
        <v>536_20240611_0012_R_0320.jpg</v>
      </c>
      <c r="G539" s="92" t="s">
        <v>4416</v>
      </c>
      <c r="I539">
        <v>2</v>
      </c>
      <c r="K539" s="95">
        <v>1</v>
      </c>
      <c r="L539" s="31" t="s">
        <v>3959</v>
      </c>
      <c r="M539" s="31" t="s">
        <v>3959</v>
      </c>
      <c r="N539" s="31" t="s">
        <v>3959</v>
      </c>
      <c r="O539" s="31" t="s">
        <v>3959</v>
      </c>
      <c r="P539" s="4">
        <v>1</v>
      </c>
      <c r="Q539" s="57">
        <v>0</v>
      </c>
      <c r="R539" s="57">
        <v>0</v>
      </c>
      <c r="S539" s="97">
        <v>0</v>
      </c>
      <c r="T539" s="57">
        <v>0</v>
      </c>
      <c r="U539" s="57">
        <v>0</v>
      </c>
      <c r="V539" s="57">
        <v>0</v>
      </c>
      <c r="W539" s="57">
        <v>0</v>
      </c>
      <c r="X539" s="94">
        <v>0</v>
      </c>
    </row>
    <row r="540" spans="1:24" x14ac:dyDescent="0.35">
      <c r="A540">
        <v>536</v>
      </c>
      <c r="B540">
        <v>537</v>
      </c>
      <c r="C540">
        <v>146.11447566300001</v>
      </c>
      <c r="D540">
        <v>-17.631478140500001</v>
      </c>
      <c r="F540" t="str">
        <f>HYPERLINK("D:\Data From Lucan\2024\Moresby\Frames_for_Analysis/537_20240611_0012_R_0318.jpg","537_20240611_0012_R_0318.jpg")</f>
        <v>537_20240611_0012_R_0318.jpg</v>
      </c>
      <c r="G540" s="92" t="s">
        <v>4417</v>
      </c>
      <c r="I540">
        <v>2</v>
      </c>
      <c r="K540" s="95">
        <v>1</v>
      </c>
      <c r="L540" s="31" t="s">
        <v>3959</v>
      </c>
      <c r="M540" s="31" t="s">
        <v>3959</v>
      </c>
      <c r="N540" s="31" t="s">
        <v>3959</v>
      </c>
      <c r="O540" s="31" t="s">
        <v>3959</v>
      </c>
      <c r="P540" s="4">
        <v>1</v>
      </c>
      <c r="Q540" s="57">
        <v>0</v>
      </c>
      <c r="R540" s="57">
        <v>0</v>
      </c>
      <c r="S540" s="97">
        <v>0</v>
      </c>
      <c r="T540" s="57">
        <v>0</v>
      </c>
      <c r="U540" s="57">
        <v>0</v>
      </c>
      <c r="V540" s="57">
        <v>0</v>
      </c>
      <c r="W540" s="57">
        <v>0</v>
      </c>
      <c r="X540" s="94">
        <v>0</v>
      </c>
    </row>
    <row r="541" spans="1:24" x14ac:dyDescent="0.35">
      <c r="A541">
        <v>537</v>
      </c>
      <c r="B541">
        <v>538</v>
      </c>
      <c r="C541">
        <v>146.114465013</v>
      </c>
      <c r="D541">
        <v>-17.6315631483</v>
      </c>
      <c r="F541" t="str">
        <f>HYPERLINK("D:\Data From Lucan\2024\Moresby\Frames_for_Analysis/538_20240611_0012_R_0316.jpg","538_20240611_0012_R_0316.jpg")</f>
        <v>538_20240611_0012_R_0316.jpg</v>
      </c>
      <c r="G541" s="92" t="s">
        <v>4418</v>
      </c>
      <c r="I541">
        <v>2</v>
      </c>
      <c r="K541" s="95">
        <v>1</v>
      </c>
      <c r="L541" s="31" t="s">
        <v>3959</v>
      </c>
      <c r="M541" s="31" t="s">
        <v>3959</v>
      </c>
      <c r="N541" s="31" t="s">
        <v>3959</v>
      </c>
      <c r="O541" s="31" t="s">
        <v>3959</v>
      </c>
      <c r="P541" s="4">
        <v>1</v>
      </c>
      <c r="Q541" s="57">
        <v>0</v>
      </c>
      <c r="R541" s="57">
        <v>0</v>
      </c>
      <c r="S541" s="97">
        <v>0</v>
      </c>
      <c r="T541" s="57">
        <v>0</v>
      </c>
      <c r="U541" s="57">
        <v>0</v>
      </c>
      <c r="V541" s="57">
        <v>0</v>
      </c>
      <c r="W541" s="57">
        <v>0</v>
      </c>
      <c r="X541" s="94">
        <v>0</v>
      </c>
    </row>
    <row r="542" spans="1:24" x14ac:dyDescent="0.35">
      <c r="A542">
        <v>538</v>
      </c>
      <c r="B542">
        <v>539</v>
      </c>
      <c r="C542">
        <v>146.114454362999</v>
      </c>
      <c r="D542">
        <v>-17.631648156099899</v>
      </c>
      <c r="F542" t="str">
        <f>HYPERLINK("D:\Data From Lucan\2024\Moresby\Frames_for_Analysis/539_20240611_0012_R_0313.jpg","539_20240611_0012_R_0313.jpg")</f>
        <v>539_20240611_0012_R_0313.jpg</v>
      </c>
      <c r="G542" s="92" t="s">
        <v>4419</v>
      </c>
      <c r="I542">
        <v>2</v>
      </c>
      <c r="K542" s="95">
        <v>1</v>
      </c>
      <c r="L542" s="31" t="s">
        <v>3959</v>
      </c>
      <c r="M542" s="31" t="s">
        <v>3959</v>
      </c>
      <c r="N542" s="31" t="s">
        <v>3959</v>
      </c>
      <c r="O542" s="31" t="s">
        <v>3959</v>
      </c>
      <c r="P542" s="4">
        <v>1</v>
      </c>
      <c r="Q542" s="57">
        <v>0</v>
      </c>
      <c r="R542" s="57">
        <v>0</v>
      </c>
      <c r="S542" s="97">
        <v>0</v>
      </c>
      <c r="T542" s="57">
        <v>0</v>
      </c>
      <c r="U542" s="57">
        <v>0</v>
      </c>
      <c r="V542" s="57">
        <v>0</v>
      </c>
      <c r="W542" s="57">
        <v>0</v>
      </c>
      <c r="X542" s="94">
        <v>0</v>
      </c>
    </row>
    <row r="543" spans="1:24" x14ac:dyDescent="0.35">
      <c r="A543">
        <v>539</v>
      </c>
      <c r="B543">
        <v>540</v>
      </c>
      <c r="C543">
        <v>146.11444820700001</v>
      </c>
      <c r="D543">
        <v>-17.631733509899899</v>
      </c>
      <c r="E543">
        <v>50</v>
      </c>
      <c r="F543" t="str">
        <f>HYPERLINK("D:\Data From Lucan\2024\Moresby\Frames_for_Analysis/540_20240611_0012_R_0311.jpg","540_20240611_0012_R_0311.jpg")</f>
        <v>540_20240611_0012_R_0311.jpg</v>
      </c>
      <c r="G543" s="92" t="s">
        <v>4420</v>
      </c>
      <c r="I543">
        <v>2</v>
      </c>
      <c r="K543" s="95">
        <v>1</v>
      </c>
      <c r="L543" s="31" t="s">
        <v>3959</v>
      </c>
      <c r="M543" s="31" t="s">
        <v>3959</v>
      </c>
      <c r="N543" s="31" t="s">
        <v>3959</v>
      </c>
      <c r="O543" s="31" t="s">
        <v>3959</v>
      </c>
      <c r="P543" s="4">
        <v>1</v>
      </c>
      <c r="Q543" s="57">
        <v>0</v>
      </c>
      <c r="R543" s="57">
        <v>0</v>
      </c>
      <c r="S543" s="97">
        <v>0</v>
      </c>
      <c r="T543" s="57">
        <v>0</v>
      </c>
      <c r="U543" s="57">
        <v>0</v>
      </c>
      <c r="V543" s="57">
        <v>0</v>
      </c>
      <c r="W543" s="57">
        <v>0</v>
      </c>
      <c r="X543" s="94">
        <v>0</v>
      </c>
    </row>
    <row r="544" spans="1:24" x14ac:dyDescent="0.35">
      <c r="A544">
        <v>540</v>
      </c>
      <c r="B544">
        <v>541</v>
      </c>
      <c r="C544">
        <v>146.11444440099899</v>
      </c>
      <c r="D544">
        <v>-17.631819044499899</v>
      </c>
      <c r="F544" t="str">
        <f>HYPERLINK("D:\Data From Lucan\2024\Moresby\Frames_for_Analysis/541_20240611_0012_R_0309.jpg","541_20240611_0012_R_0309.jpg")</f>
        <v>541_20240611_0012_R_0309.jpg</v>
      </c>
      <c r="G544" s="92" t="s">
        <v>4421</v>
      </c>
      <c r="I544">
        <v>2</v>
      </c>
      <c r="K544" s="95">
        <v>1</v>
      </c>
      <c r="L544" s="31" t="s">
        <v>3959</v>
      </c>
      <c r="M544" s="31" t="s">
        <v>3959</v>
      </c>
      <c r="N544" s="31" t="s">
        <v>3959</v>
      </c>
      <c r="O544" s="31" t="s">
        <v>3959</v>
      </c>
      <c r="P544" s="4">
        <v>1</v>
      </c>
      <c r="Q544" s="57">
        <v>0</v>
      </c>
      <c r="R544" s="57">
        <v>0</v>
      </c>
      <c r="S544" s="97">
        <v>0</v>
      </c>
      <c r="T544" s="57">
        <v>0</v>
      </c>
      <c r="U544" s="57">
        <v>0</v>
      </c>
      <c r="V544" s="57">
        <v>0</v>
      </c>
      <c r="W544" s="57">
        <v>0</v>
      </c>
      <c r="X544" s="94">
        <v>0</v>
      </c>
    </row>
    <row r="545" spans="1:24" x14ac:dyDescent="0.35">
      <c r="A545">
        <v>541</v>
      </c>
      <c r="B545">
        <v>542</v>
      </c>
      <c r="C545">
        <v>146.114440594</v>
      </c>
      <c r="D545">
        <v>-17.631904579099899</v>
      </c>
      <c r="F545" t="str">
        <f>HYPERLINK("D:\Data From Lucan\2024\Moresby\Frames_for_Analysis/542_20240611_0012_R_0306.jpg","542_20240611_0012_R_0306.jpg")</f>
        <v>542_20240611_0012_R_0306.jpg</v>
      </c>
      <c r="G545" s="92" t="s">
        <v>4422</v>
      </c>
      <c r="I545">
        <v>2</v>
      </c>
      <c r="K545" s="95">
        <v>1</v>
      </c>
      <c r="L545" s="31" t="s">
        <v>3959</v>
      </c>
      <c r="M545" s="31" t="s">
        <v>3959</v>
      </c>
      <c r="N545" s="31" t="s">
        <v>3959</v>
      </c>
      <c r="O545" s="31" t="s">
        <v>3959</v>
      </c>
      <c r="P545" s="4">
        <v>1</v>
      </c>
      <c r="Q545" s="57">
        <v>0</v>
      </c>
      <c r="R545" s="57">
        <v>0</v>
      </c>
      <c r="S545" s="97">
        <v>0</v>
      </c>
      <c r="T545" s="57">
        <v>0</v>
      </c>
      <c r="U545" s="57">
        <v>0</v>
      </c>
      <c r="V545" s="57">
        <v>0</v>
      </c>
      <c r="W545" s="57">
        <v>0</v>
      </c>
      <c r="X545" s="94">
        <v>0</v>
      </c>
    </row>
    <row r="546" spans="1:24" x14ac:dyDescent="0.35">
      <c r="A546">
        <v>542</v>
      </c>
      <c r="B546">
        <v>543</v>
      </c>
      <c r="C546">
        <v>146.11443678800001</v>
      </c>
      <c r="D546">
        <v>-17.631990113600001</v>
      </c>
      <c r="F546" t="str">
        <f>HYPERLINK("D:\Data From Lucan\2024\Moresby\Frames_for_Analysis/543_20240611_0012_R_0304.jpg","543_20240611_0012_R_0304.jpg")</f>
        <v>543_20240611_0012_R_0304.jpg</v>
      </c>
      <c r="G546" s="92" t="s">
        <v>4423</v>
      </c>
      <c r="I546">
        <v>2</v>
      </c>
      <c r="K546" s="95">
        <v>1</v>
      </c>
      <c r="L546" s="31" t="s">
        <v>3959</v>
      </c>
      <c r="M546" s="31" t="s">
        <v>3959</v>
      </c>
      <c r="N546" s="31" t="s">
        <v>3959</v>
      </c>
      <c r="O546" s="31" t="s">
        <v>3959</v>
      </c>
      <c r="P546" s="4">
        <v>1</v>
      </c>
      <c r="Q546" s="57">
        <v>0</v>
      </c>
      <c r="R546" s="57">
        <v>0</v>
      </c>
      <c r="S546" s="97">
        <v>0</v>
      </c>
      <c r="T546" s="57">
        <v>0</v>
      </c>
      <c r="U546" s="57">
        <v>0</v>
      </c>
      <c r="V546" s="57">
        <v>0</v>
      </c>
      <c r="W546" s="57">
        <v>0</v>
      </c>
      <c r="X546" s="94">
        <v>0</v>
      </c>
    </row>
    <row r="547" spans="1:24" x14ac:dyDescent="0.35">
      <c r="A547">
        <v>543</v>
      </c>
      <c r="B547">
        <v>544</v>
      </c>
      <c r="C547">
        <v>146.11443298200001</v>
      </c>
      <c r="D547">
        <v>-17.632075648099899</v>
      </c>
      <c r="F547" t="str">
        <f>HYPERLINK("D:\Data From Lucan\2024\Moresby\Frames_for_Analysis/544_20240611_0012_R_0301.jpg","544_20240611_0012_R_0301.jpg")</f>
        <v>544_20240611_0012_R_0301.jpg</v>
      </c>
      <c r="G547" s="92" t="s">
        <v>4424</v>
      </c>
      <c r="I547">
        <v>2</v>
      </c>
      <c r="K547" s="95">
        <v>1</v>
      </c>
      <c r="L547" s="31" t="s">
        <v>3959</v>
      </c>
      <c r="M547" s="31" t="s">
        <v>3959</v>
      </c>
      <c r="N547" s="31" t="s">
        <v>3959</v>
      </c>
      <c r="O547" s="31" t="s">
        <v>3959</v>
      </c>
      <c r="P547" s="4">
        <v>1</v>
      </c>
      <c r="Q547" s="57">
        <v>0</v>
      </c>
      <c r="R547" s="57">
        <v>0</v>
      </c>
      <c r="S547" s="97">
        <v>0</v>
      </c>
      <c r="T547" s="57">
        <v>0</v>
      </c>
      <c r="U547" s="57">
        <v>0</v>
      </c>
      <c r="V547" s="57">
        <v>0</v>
      </c>
      <c r="W547" s="57">
        <v>0</v>
      </c>
      <c r="X547" s="94">
        <v>0</v>
      </c>
    </row>
    <row r="548" spans="1:24" x14ac:dyDescent="0.35">
      <c r="A548">
        <v>544</v>
      </c>
      <c r="B548">
        <v>545</v>
      </c>
      <c r="C548">
        <v>146.11442917599899</v>
      </c>
      <c r="D548">
        <v>-17.632161182600001</v>
      </c>
      <c r="E548">
        <v>50</v>
      </c>
      <c r="F548" t="str">
        <f>HYPERLINK("D:\Data From Lucan\2024\Moresby\Frames_for_Analysis/545_20240611_0012_R_0299.jpg","545_20240611_0012_R_0299.jpg")</f>
        <v>545_20240611_0012_R_0299.jpg</v>
      </c>
      <c r="G548" s="92" t="s">
        <v>4425</v>
      </c>
      <c r="I548">
        <v>2</v>
      </c>
      <c r="K548" s="95">
        <v>1</v>
      </c>
      <c r="L548" s="31" t="s">
        <v>3959</v>
      </c>
      <c r="M548" s="31" t="s">
        <v>3959</v>
      </c>
      <c r="N548" s="31" t="s">
        <v>3959</v>
      </c>
      <c r="O548" s="31" t="s">
        <v>3959</v>
      </c>
      <c r="P548" s="4">
        <v>1</v>
      </c>
      <c r="Q548" s="57">
        <v>0</v>
      </c>
      <c r="R548" s="57">
        <v>0</v>
      </c>
      <c r="S548" s="97">
        <v>0</v>
      </c>
      <c r="T548" s="57">
        <v>0</v>
      </c>
      <c r="U548" s="57">
        <v>0</v>
      </c>
      <c r="V548" s="57">
        <v>0</v>
      </c>
      <c r="W548" s="57">
        <v>0</v>
      </c>
      <c r="X548" s="94">
        <v>0</v>
      </c>
    </row>
    <row r="549" spans="1:24" x14ac:dyDescent="0.35">
      <c r="A549">
        <v>545</v>
      </c>
      <c r="B549">
        <v>546</v>
      </c>
      <c r="C549">
        <v>146.11442567200001</v>
      </c>
      <c r="D549">
        <v>-17.632246728399899</v>
      </c>
      <c r="F549" t="str">
        <f>HYPERLINK("D:\Data From Lucan\2024\Moresby\Frames_for_Analysis/546_20240611_0012_R_0296.jpg","546_20240611_0012_R_0296.jpg")</f>
        <v>546_20240611_0012_R_0296.jpg</v>
      </c>
      <c r="G549" s="92" t="s">
        <v>4426</v>
      </c>
      <c r="I549">
        <v>2</v>
      </c>
      <c r="K549" s="95">
        <v>1</v>
      </c>
      <c r="L549" s="31" t="s">
        <v>3959</v>
      </c>
      <c r="M549" s="31" t="s">
        <v>3959</v>
      </c>
      <c r="N549" s="31" t="s">
        <v>3959</v>
      </c>
      <c r="O549" s="31" t="s">
        <v>3959</v>
      </c>
      <c r="P549" s="4">
        <v>1</v>
      </c>
      <c r="Q549" s="57">
        <v>0</v>
      </c>
      <c r="R549" s="57">
        <v>0</v>
      </c>
      <c r="S549" s="97">
        <v>0</v>
      </c>
      <c r="T549" s="57">
        <v>0</v>
      </c>
      <c r="U549" s="57">
        <v>0</v>
      </c>
      <c r="V549" s="57">
        <v>0</v>
      </c>
      <c r="W549" s="57">
        <v>0</v>
      </c>
      <c r="X549" s="94">
        <v>0</v>
      </c>
    </row>
    <row r="550" spans="1:24" x14ac:dyDescent="0.35">
      <c r="A550">
        <v>546</v>
      </c>
      <c r="B550">
        <v>547</v>
      </c>
      <c r="C550">
        <v>146.114422375999</v>
      </c>
      <c r="D550">
        <v>-17.632332282</v>
      </c>
      <c r="F550" t="str">
        <f>HYPERLINK("D:\Data From Lucan\2024\Moresby\Frames_for_Analysis/547_20240611_0012_R_0294.jpg","547_20240611_0012_R_0294.jpg")</f>
        <v>547_20240611_0012_R_0294.jpg</v>
      </c>
      <c r="G550" s="92" t="s">
        <v>4427</v>
      </c>
      <c r="I550">
        <v>2</v>
      </c>
      <c r="K550" s="95">
        <v>1</v>
      </c>
      <c r="L550" s="31" t="s">
        <v>3959</v>
      </c>
      <c r="M550" s="31" t="s">
        <v>3959</v>
      </c>
      <c r="N550" s="31" t="s">
        <v>3959</v>
      </c>
      <c r="O550" s="31" t="s">
        <v>3959</v>
      </c>
      <c r="P550" s="4">
        <v>1</v>
      </c>
      <c r="Q550" s="57">
        <v>0</v>
      </c>
      <c r="R550" s="57">
        <v>0</v>
      </c>
      <c r="S550" s="97">
        <v>0</v>
      </c>
      <c r="T550" s="57">
        <v>0</v>
      </c>
      <c r="U550" s="57">
        <v>0</v>
      </c>
      <c r="V550" s="57">
        <v>0</v>
      </c>
      <c r="W550" s="57">
        <v>0</v>
      </c>
      <c r="X550" s="94">
        <v>0</v>
      </c>
    </row>
    <row r="551" spans="1:24" x14ac:dyDescent="0.35">
      <c r="A551">
        <v>547</v>
      </c>
      <c r="B551">
        <v>548</v>
      </c>
      <c r="C551">
        <v>146.11441907899899</v>
      </c>
      <c r="D551">
        <v>-17.6324178355</v>
      </c>
      <c r="F551" t="str">
        <f>HYPERLINK("D:\Data From Lucan\2024\Moresby\Frames_for_Analysis/548_20240611_0012_R_0292.jpg","548_20240611_0012_R_0292.jpg")</f>
        <v>548_20240611_0012_R_0292.jpg</v>
      </c>
      <c r="G551" s="92" t="s">
        <v>4428</v>
      </c>
      <c r="I551">
        <v>2</v>
      </c>
      <c r="K551" s="95">
        <v>1</v>
      </c>
      <c r="L551" s="31" t="s">
        <v>3959</v>
      </c>
      <c r="M551" s="31" t="s">
        <v>3959</v>
      </c>
      <c r="N551" s="31" t="s">
        <v>3959</v>
      </c>
      <c r="O551" s="31" t="s">
        <v>3959</v>
      </c>
      <c r="P551" s="4">
        <v>1</v>
      </c>
      <c r="Q551" s="57">
        <v>0</v>
      </c>
      <c r="R551" s="57">
        <v>0</v>
      </c>
      <c r="S551" s="97">
        <v>0</v>
      </c>
      <c r="T551" s="57">
        <v>0</v>
      </c>
      <c r="U551" s="57">
        <v>0</v>
      </c>
      <c r="V551" s="57">
        <v>0</v>
      </c>
      <c r="W551" s="57">
        <v>0</v>
      </c>
      <c r="X551" s="94">
        <v>0</v>
      </c>
    </row>
    <row r="552" spans="1:24" x14ac:dyDescent="0.35">
      <c r="A552">
        <v>548</v>
      </c>
      <c r="B552">
        <v>549</v>
      </c>
      <c r="C552">
        <v>146.114415782999</v>
      </c>
      <c r="D552">
        <v>-17.632503389</v>
      </c>
      <c r="F552" t="str">
        <f>HYPERLINK("D:\Data From Lucan\2024\Moresby\Frames_for_Analysis/549_20240611_0012_R_0289.jpg","549_20240611_0012_R_0289.jpg")</f>
        <v>549_20240611_0012_R_0289.jpg</v>
      </c>
      <c r="G552" s="92" t="s">
        <v>4429</v>
      </c>
      <c r="I552">
        <v>2</v>
      </c>
      <c r="K552" s="95">
        <v>1</v>
      </c>
      <c r="L552" s="31" t="s">
        <v>3959</v>
      </c>
      <c r="M552" s="31" t="s">
        <v>3959</v>
      </c>
      <c r="N552" s="31" t="s">
        <v>3959</v>
      </c>
      <c r="O552" s="31" t="s">
        <v>3959</v>
      </c>
      <c r="P552" s="4">
        <v>1</v>
      </c>
      <c r="Q552" s="57">
        <v>0</v>
      </c>
      <c r="R552" s="57">
        <v>0</v>
      </c>
      <c r="S552" s="97">
        <v>0</v>
      </c>
      <c r="T552" s="57">
        <v>0</v>
      </c>
      <c r="U552" s="57">
        <v>0</v>
      </c>
      <c r="V552" s="57">
        <v>0</v>
      </c>
      <c r="W552" s="57">
        <v>0</v>
      </c>
      <c r="X552" s="94">
        <v>0</v>
      </c>
    </row>
    <row r="553" spans="1:24" x14ac:dyDescent="0.35">
      <c r="A553">
        <v>549</v>
      </c>
      <c r="B553">
        <v>550</v>
      </c>
      <c r="C553">
        <v>146.114412485999</v>
      </c>
      <c r="D553">
        <v>-17.6325889425</v>
      </c>
      <c r="E553">
        <v>50</v>
      </c>
      <c r="F553" t="str">
        <f>HYPERLINK("D:\Data From Lucan\2024\Moresby\Frames_for_Analysis/550_20240611_0012_R_0287.jpg","550_20240611_0012_R_0287.jpg")</f>
        <v>550_20240611_0012_R_0287.jpg</v>
      </c>
      <c r="G553" s="92" t="s">
        <v>4430</v>
      </c>
      <c r="I553">
        <v>2</v>
      </c>
      <c r="K553" s="95">
        <v>1</v>
      </c>
      <c r="L553" s="31" t="s">
        <v>3959</v>
      </c>
      <c r="M553" s="31" t="s">
        <v>3959</v>
      </c>
      <c r="N553" s="31" t="s">
        <v>3959</v>
      </c>
      <c r="O553" s="31" t="s">
        <v>3959</v>
      </c>
      <c r="P553" s="4">
        <v>1</v>
      </c>
      <c r="Q553" s="57">
        <v>0</v>
      </c>
      <c r="R553" s="57">
        <v>0</v>
      </c>
      <c r="S553" s="97">
        <v>0</v>
      </c>
      <c r="T553" s="57">
        <v>0</v>
      </c>
      <c r="U553" s="57">
        <v>0</v>
      </c>
      <c r="V553" s="57">
        <v>0</v>
      </c>
      <c r="W553" s="57">
        <v>0</v>
      </c>
      <c r="X553" s="94">
        <v>0</v>
      </c>
    </row>
    <row r="554" spans="1:24" x14ac:dyDescent="0.35">
      <c r="A554">
        <v>550</v>
      </c>
      <c r="B554">
        <v>551</v>
      </c>
      <c r="C554">
        <v>146.11440763300001</v>
      </c>
      <c r="D554">
        <v>-17.632674426000001</v>
      </c>
      <c r="F554" t="str">
        <f>HYPERLINK("D:\Data From Lucan\2024\Moresby\Frames_for_Analysis/551_20240611_0012_R_0284.jpg","551_20240611_0012_R_0284.jpg")</f>
        <v>551_20240611_0012_R_0284.jpg</v>
      </c>
      <c r="G554" s="92" t="s">
        <v>4431</v>
      </c>
      <c r="I554">
        <v>2</v>
      </c>
      <c r="K554" s="95">
        <v>1</v>
      </c>
      <c r="L554" s="31" t="s">
        <v>3959</v>
      </c>
      <c r="M554" s="31" t="s">
        <v>3959</v>
      </c>
      <c r="N554" s="31" t="s">
        <v>3959</v>
      </c>
      <c r="O554" s="31" t="s">
        <v>3959</v>
      </c>
      <c r="P554" s="4">
        <v>1</v>
      </c>
      <c r="Q554" s="57">
        <v>0</v>
      </c>
      <c r="R554" s="57">
        <v>0</v>
      </c>
      <c r="S554" s="97">
        <v>0</v>
      </c>
      <c r="T554" s="57">
        <v>0</v>
      </c>
      <c r="U554" s="57">
        <v>0</v>
      </c>
      <c r="V554" s="57">
        <v>0</v>
      </c>
      <c r="W554" s="57">
        <v>0</v>
      </c>
      <c r="X554" s="94">
        <v>0</v>
      </c>
    </row>
    <row r="555" spans="1:24" x14ac:dyDescent="0.35">
      <c r="A555">
        <v>551</v>
      </c>
      <c r="B555">
        <v>552</v>
      </c>
      <c r="C555">
        <v>146.11440247300001</v>
      </c>
      <c r="D555">
        <v>-17.632759895700001</v>
      </c>
      <c r="F555" t="str">
        <f>HYPERLINK("D:\Data From Lucan\2024\Moresby\Frames_for_Analysis/552_20240611_0012_R_0282.jpg","552_20240611_0012_R_0282.jpg")</f>
        <v>552_20240611_0012_R_0282.jpg</v>
      </c>
      <c r="G555" s="92" t="s">
        <v>4432</v>
      </c>
      <c r="I555">
        <v>2</v>
      </c>
      <c r="K555" s="95">
        <v>1</v>
      </c>
      <c r="L555" s="31" t="s">
        <v>3959</v>
      </c>
      <c r="M555" s="31" t="s">
        <v>3959</v>
      </c>
      <c r="N555" s="31" t="s">
        <v>3959</v>
      </c>
      <c r="O555" s="31" t="s">
        <v>3959</v>
      </c>
      <c r="P555" s="4">
        <v>1</v>
      </c>
      <c r="Q555" s="57">
        <v>0</v>
      </c>
      <c r="R555" s="57">
        <v>0</v>
      </c>
      <c r="S555" s="97">
        <v>0</v>
      </c>
      <c r="T555" s="57">
        <v>0</v>
      </c>
      <c r="U555" s="57">
        <v>0</v>
      </c>
      <c r="V555" s="57">
        <v>0</v>
      </c>
      <c r="W555" s="57">
        <v>0</v>
      </c>
      <c r="X555" s="94">
        <v>0</v>
      </c>
    </row>
    <row r="556" spans="1:24" x14ac:dyDescent="0.35">
      <c r="A556">
        <v>552</v>
      </c>
      <c r="B556">
        <v>553</v>
      </c>
      <c r="C556">
        <v>146.11439731300001</v>
      </c>
      <c r="D556">
        <v>-17.632845365400001</v>
      </c>
      <c r="F556" t="str">
        <f>HYPERLINK("D:\Data From Lucan\2024\Moresby\Frames_for_Analysis/553_20240611_0012_R_0280.jpg","553_20240611_0012_R_0280.jpg")</f>
        <v>553_20240611_0012_R_0280.jpg</v>
      </c>
      <c r="G556" s="92" t="s">
        <v>4433</v>
      </c>
      <c r="I556">
        <v>2</v>
      </c>
      <c r="K556" s="95">
        <v>1</v>
      </c>
      <c r="L556" s="31" t="s">
        <v>3959</v>
      </c>
      <c r="M556" s="31" t="s">
        <v>3959</v>
      </c>
      <c r="N556" s="31" t="s">
        <v>3959</v>
      </c>
      <c r="O556" s="31" t="s">
        <v>3959</v>
      </c>
      <c r="P556" s="4">
        <v>1</v>
      </c>
      <c r="Q556" s="57">
        <v>0</v>
      </c>
      <c r="R556" s="57">
        <v>0</v>
      </c>
      <c r="S556" s="97">
        <v>0</v>
      </c>
      <c r="T556" s="57">
        <v>0</v>
      </c>
      <c r="U556" s="57">
        <v>0</v>
      </c>
      <c r="V556" s="57">
        <v>0</v>
      </c>
      <c r="W556" s="57">
        <v>0</v>
      </c>
      <c r="X556" s="94">
        <v>0</v>
      </c>
    </row>
    <row r="557" spans="1:24" x14ac:dyDescent="0.35">
      <c r="A557">
        <v>553</v>
      </c>
      <c r="B557">
        <v>554</v>
      </c>
      <c r="C557">
        <v>146.114392154</v>
      </c>
      <c r="D557">
        <v>-17.632930835</v>
      </c>
      <c r="F557" t="str">
        <f>HYPERLINK("D:\Data From Lucan\2024\Moresby\Frames_for_Analysis/554_20240611_0012_R_0277.jpg","554_20240611_0012_R_0277.jpg")</f>
        <v>554_20240611_0012_R_0277.jpg</v>
      </c>
      <c r="G557" s="92" t="s">
        <v>4434</v>
      </c>
      <c r="I557">
        <v>2</v>
      </c>
      <c r="K557" s="95">
        <v>1</v>
      </c>
      <c r="L557" s="31" t="s">
        <v>3959</v>
      </c>
      <c r="M557" s="31" t="s">
        <v>3959</v>
      </c>
      <c r="N557" s="31" t="s">
        <v>3959</v>
      </c>
      <c r="O557" s="31" t="s">
        <v>3959</v>
      </c>
      <c r="P557" s="4">
        <v>1</v>
      </c>
      <c r="Q557" s="57">
        <v>0</v>
      </c>
      <c r="R557" s="57">
        <v>0</v>
      </c>
      <c r="S557" s="97">
        <v>0</v>
      </c>
      <c r="T557" s="57">
        <v>0</v>
      </c>
      <c r="U557" s="57">
        <v>0</v>
      </c>
      <c r="V557" s="57">
        <v>0</v>
      </c>
      <c r="W557" s="57">
        <v>0</v>
      </c>
      <c r="X557" s="94">
        <v>0</v>
      </c>
    </row>
    <row r="558" spans="1:24" x14ac:dyDescent="0.35">
      <c r="A558">
        <v>554</v>
      </c>
      <c r="B558">
        <v>555</v>
      </c>
      <c r="C558">
        <v>146.114386994</v>
      </c>
      <c r="D558">
        <v>-17.633016304600002</v>
      </c>
      <c r="E558">
        <v>50</v>
      </c>
      <c r="F558" t="str">
        <f>HYPERLINK("D:\Data From Lucan\2024\Moresby\Frames_for_Analysis/555_20240611_0012_R_0275.jpg","555_20240611_0012_R_0275.jpg")</f>
        <v>555_20240611_0012_R_0275.jpg</v>
      </c>
      <c r="G558" s="92" t="s">
        <v>4435</v>
      </c>
      <c r="I558">
        <v>2</v>
      </c>
      <c r="K558" s="95">
        <v>1</v>
      </c>
      <c r="L558" s="31" t="s">
        <v>3959</v>
      </c>
      <c r="M558" s="31" t="s">
        <v>3959</v>
      </c>
      <c r="N558" s="31" t="s">
        <v>3959</v>
      </c>
      <c r="O558" s="31" t="s">
        <v>3959</v>
      </c>
      <c r="P558" s="4">
        <v>1</v>
      </c>
      <c r="Q558" s="57">
        <v>0</v>
      </c>
      <c r="R558" s="57">
        <v>0</v>
      </c>
      <c r="S558" s="97">
        <v>0</v>
      </c>
      <c r="T558" s="57">
        <v>0</v>
      </c>
      <c r="U558" s="57">
        <v>0</v>
      </c>
      <c r="V558" s="57">
        <v>0</v>
      </c>
      <c r="W558" s="57">
        <v>0</v>
      </c>
      <c r="X558" s="94">
        <v>0</v>
      </c>
    </row>
    <row r="559" spans="1:24" x14ac:dyDescent="0.35">
      <c r="A559">
        <v>555</v>
      </c>
      <c r="B559">
        <v>556</v>
      </c>
      <c r="C559">
        <v>146.114381834</v>
      </c>
      <c r="D559">
        <v>-17.6331017742</v>
      </c>
      <c r="F559" t="str">
        <f>HYPERLINK("D:\Data From Lucan\2024\Moresby\Frames_for_Analysis/556_20240611_0012_R_0273.jpg","556_20240611_0012_R_0273.jpg")</f>
        <v>556_20240611_0012_R_0273.jpg</v>
      </c>
      <c r="G559" s="92" t="s">
        <v>4436</v>
      </c>
      <c r="I559">
        <v>2</v>
      </c>
      <c r="K559" s="95">
        <v>1</v>
      </c>
      <c r="L559" s="31" t="s">
        <v>3959</v>
      </c>
      <c r="M559" s="31" t="s">
        <v>3959</v>
      </c>
      <c r="N559" s="31" t="s">
        <v>3959</v>
      </c>
      <c r="O559" s="31" t="s">
        <v>3959</v>
      </c>
      <c r="P559" s="4">
        <v>1</v>
      </c>
      <c r="Q559" s="57">
        <v>0</v>
      </c>
      <c r="R559" s="57">
        <v>0</v>
      </c>
      <c r="S559" s="97">
        <v>0</v>
      </c>
      <c r="T559" s="57">
        <v>0</v>
      </c>
      <c r="U559" s="57">
        <v>0</v>
      </c>
      <c r="V559" s="57">
        <v>0</v>
      </c>
      <c r="W559" s="57">
        <v>0</v>
      </c>
      <c r="X559" s="94">
        <v>0</v>
      </c>
    </row>
    <row r="560" spans="1:24" x14ac:dyDescent="0.35">
      <c r="A560">
        <v>556</v>
      </c>
      <c r="B560">
        <v>557</v>
      </c>
      <c r="C560">
        <v>146.114376673999</v>
      </c>
      <c r="D560">
        <v>-17.6331872437</v>
      </c>
      <c r="F560" t="str">
        <f>HYPERLINK("D:\Data From Lucan\2024\Moresby\Frames_for_Analysis/557_20240611_0012_R_0271.jpg","557_20240611_0012_R_0271.jpg")</f>
        <v>557_20240611_0012_R_0271.jpg</v>
      </c>
      <c r="G560" s="92" t="s">
        <v>4437</v>
      </c>
      <c r="I560">
        <v>2</v>
      </c>
      <c r="K560" s="95">
        <v>1</v>
      </c>
      <c r="L560" s="31" t="s">
        <v>3959</v>
      </c>
      <c r="M560" s="31" t="s">
        <v>3959</v>
      </c>
      <c r="N560" s="31" t="s">
        <v>3959</v>
      </c>
      <c r="O560" s="31" t="s">
        <v>3959</v>
      </c>
      <c r="P560" s="4">
        <v>1</v>
      </c>
      <c r="Q560" s="57">
        <v>0</v>
      </c>
      <c r="R560" s="57">
        <v>0</v>
      </c>
      <c r="S560" s="97">
        <v>0</v>
      </c>
      <c r="T560" s="57">
        <v>0</v>
      </c>
      <c r="U560" s="57">
        <v>0</v>
      </c>
      <c r="V560" s="57">
        <v>0</v>
      </c>
      <c r="W560" s="57">
        <v>0</v>
      </c>
      <c r="X560" s="94">
        <v>0</v>
      </c>
    </row>
    <row r="561" spans="1:24" x14ac:dyDescent="0.35">
      <c r="A561">
        <v>557</v>
      </c>
      <c r="B561">
        <v>558</v>
      </c>
      <c r="C561">
        <v>146.114361102999</v>
      </c>
      <c r="D561">
        <v>-17.633271184800002</v>
      </c>
      <c r="F561" t="str">
        <f>HYPERLINK("D:\Data From Lucan\2024\Moresby\Frames_for_Analysis/558_20240611_0012_R_0268.jpg","558_20240611_0012_R_0268.jpg")</f>
        <v>558_20240611_0012_R_0268.jpg</v>
      </c>
      <c r="G561" s="92" t="s">
        <v>4438</v>
      </c>
      <c r="I561">
        <v>2</v>
      </c>
      <c r="K561" s="95">
        <v>1</v>
      </c>
      <c r="L561" s="31" t="s">
        <v>3959</v>
      </c>
      <c r="M561" s="31" t="s">
        <v>3959</v>
      </c>
      <c r="N561" s="31" t="s">
        <v>3959</v>
      </c>
      <c r="O561" s="31" t="s">
        <v>3959</v>
      </c>
      <c r="P561" s="4">
        <v>1</v>
      </c>
      <c r="Q561" s="57">
        <v>0</v>
      </c>
      <c r="R561" s="57">
        <v>0</v>
      </c>
      <c r="S561" s="97">
        <v>0</v>
      </c>
      <c r="T561" s="57">
        <v>0</v>
      </c>
      <c r="U561" s="57">
        <v>0</v>
      </c>
      <c r="V561" s="57">
        <v>0</v>
      </c>
      <c r="W561" s="57">
        <v>0</v>
      </c>
      <c r="X561" s="94">
        <v>0</v>
      </c>
    </row>
    <row r="562" spans="1:24" x14ac:dyDescent="0.35">
      <c r="A562">
        <v>558</v>
      </c>
      <c r="B562">
        <v>559</v>
      </c>
      <c r="C562">
        <v>146.11433903400001</v>
      </c>
      <c r="D562">
        <v>-17.633354172099899</v>
      </c>
      <c r="F562" t="str">
        <f>HYPERLINK("D:\Data From Lucan\2024\Moresby\Frames_for_Analysis/559_20240611_0012_R_0266.jpg","559_20240611_0012_R_0266.jpg")</f>
        <v>559_20240611_0012_R_0266.jpg</v>
      </c>
      <c r="G562" s="92" t="s">
        <v>4439</v>
      </c>
      <c r="I562">
        <v>2</v>
      </c>
      <c r="K562" s="95">
        <v>1</v>
      </c>
      <c r="L562" s="31" t="s">
        <v>3959</v>
      </c>
      <c r="M562" s="31" t="s">
        <v>3959</v>
      </c>
      <c r="N562" s="31" t="s">
        <v>3959</v>
      </c>
      <c r="O562" s="31" t="s">
        <v>3959</v>
      </c>
      <c r="P562" s="4">
        <v>1</v>
      </c>
      <c r="Q562" s="57">
        <v>0</v>
      </c>
      <c r="R562" s="57">
        <v>0</v>
      </c>
      <c r="S562" s="97">
        <v>0</v>
      </c>
      <c r="T562" s="57">
        <v>0</v>
      </c>
      <c r="U562" s="57">
        <v>0</v>
      </c>
      <c r="V562" s="57">
        <v>0</v>
      </c>
      <c r="W562" s="57">
        <v>0</v>
      </c>
      <c r="X562" s="94">
        <v>0</v>
      </c>
    </row>
    <row r="563" spans="1:24" x14ac:dyDescent="0.35">
      <c r="A563">
        <v>559</v>
      </c>
      <c r="B563">
        <v>560</v>
      </c>
      <c r="C563">
        <v>146.114316965999</v>
      </c>
      <c r="D563">
        <v>-17.633437159300001</v>
      </c>
      <c r="E563">
        <v>50</v>
      </c>
      <c r="F563" t="str">
        <f>HYPERLINK("D:\Data From Lucan\2024\Moresby\Frames_for_Analysis/560_20240611_0012_R_0264.jpg","560_20240611_0012_R_0264.jpg")</f>
        <v>560_20240611_0012_R_0264.jpg</v>
      </c>
      <c r="G563" s="92" t="s">
        <v>4440</v>
      </c>
      <c r="I563">
        <v>2</v>
      </c>
      <c r="K563" s="95">
        <v>1</v>
      </c>
      <c r="L563" s="31" t="s">
        <v>3959</v>
      </c>
      <c r="M563" s="31" t="s">
        <v>3959</v>
      </c>
      <c r="N563" s="31" t="s">
        <v>3959</v>
      </c>
      <c r="O563" s="31" t="s">
        <v>3959</v>
      </c>
      <c r="P563" s="4">
        <v>1</v>
      </c>
      <c r="Q563" s="57">
        <v>0</v>
      </c>
      <c r="R563" s="57">
        <v>0</v>
      </c>
      <c r="S563" s="97">
        <v>0</v>
      </c>
      <c r="T563" s="57">
        <v>0</v>
      </c>
      <c r="U563" s="57">
        <v>0</v>
      </c>
      <c r="V563" s="57">
        <v>0</v>
      </c>
      <c r="W563" s="57">
        <v>0</v>
      </c>
      <c r="X563" s="94">
        <v>0</v>
      </c>
    </row>
    <row r="564" spans="1:24" x14ac:dyDescent="0.35">
      <c r="A564">
        <v>560</v>
      </c>
      <c r="B564">
        <v>561</v>
      </c>
      <c r="C564">
        <v>146.114294897999</v>
      </c>
      <c r="D564">
        <v>-17.6335201465</v>
      </c>
      <c r="F564" t="str">
        <f>HYPERLINK("D:\Data From Lucan\2024\Moresby\Frames_for_Analysis/561_20240611_0012_R_0261.jpg","561_20240611_0012_R_0261.jpg")</f>
        <v>561_20240611_0012_R_0261.jpg</v>
      </c>
      <c r="G564" s="92" t="s">
        <v>4441</v>
      </c>
      <c r="I564">
        <v>2</v>
      </c>
      <c r="K564" s="95">
        <v>1</v>
      </c>
      <c r="L564" s="31" t="s">
        <v>3959</v>
      </c>
      <c r="M564" s="31" t="s">
        <v>3959</v>
      </c>
      <c r="N564" s="31" t="s">
        <v>3959</v>
      </c>
      <c r="O564" s="31" t="s">
        <v>3959</v>
      </c>
      <c r="P564" s="4">
        <v>1</v>
      </c>
      <c r="Q564" s="57">
        <v>0</v>
      </c>
      <c r="R564" s="57">
        <v>0</v>
      </c>
      <c r="S564" s="97">
        <v>0</v>
      </c>
      <c r="T564" s="57">
        <v>0</v>
      </c>
      <c r="U564" s="57">
        <v>0</v>
      </c>
      <c r="V564" s="57">
        <v>0</v>
      </c>
      <c r="W564" s="57">
        <v>0</v>
      </c>
      <c r="X564" s="94">
        <v>0</v>
      </c>
    </row>
    <row r="565" spans="1:24" x14ac:dyDescent="0.35">
      <c r="A565">
        <v>561</v>
      </c>
      <c r="B565">
        <v>562</v>
      </c>
      <c r="C565">
        <v>146.114270632</v>
      </c>
      <c r="D565">
        <v>-17.633602546399899</v>
      </c>
      <c r="F565" t="str">
        <f>HYPERLINK("D:\Data From Lucan\2024\Moresby\Frames_for_Analysis/562_20240611_0012_R_0259.jpg","562_20240611_0012_R_0259.jpg")</f>
        <v>562_20240611_0012_R_0259.jpg</v>
      </c>
      <c r="G565" s="92" t="s">
        <v>4442</v>
      </c>
      <c r="I565">
        <v>2</v>
      </c>
      <c r="K565" s="95">
        <v>1</v>
      </c>
      <c r="L565" s="31" t="s">
        <v>3959</v>
      </c>
      <c r="M565" s="31" t="s">
        <v>3959</v>
      </c>
      <c r="N565" s="31" t="s">
        <v>3959</v>
      </c>
      <c r="O565" s="31" t="s">
        <v>3959</v>
      </c>
      <c r="P565" s="4">
        <v>1</v>
      </c>
      <c r="Q565" s="57">
        <v>0</v>
      </c>
      <c r="R565" s="57">
        <v>0</v>
      </c>
      <c r="S565" s="97">
        <v>0</v>
      </c>
      <c r="T565" s="57">
        <v>0</v>
      </c>
      <c r="U565" s="57">
        <v>0</v>
      </c>
      <c r="V565" s="57">
        <v>0</v>
      </c>
      <c r="W565" s="57">
        <v>0</v>
      </c>
      <c r="X565" s="94">
        <v>0</v>
      </c>
    </row>
    <row r="566" spans="1:24" x14ac:dyDescent="0.35">
      <c r="A566">
        <v>562</v>
      </c>
      <c r="B566">
        <v>563</v>
      </c>
      <c r="C566">
        <v>146.11424422100001</v>
      </c>
      <c r="D566">
        <v>-17.633684373400001</v>
      </c>
      <c r="F566" t="str">
        <f>HYPERLINK("D:\Data From Lucan\2024\Moresby\Frames_for_Analysis/563_20240611_0012_R_0256.jpg","563_20240611_0012_R_0256.jpg")</f>
        <v>563_20240611_0012_R_0256.jpg</v>
      </c>
      <c r="G566" s="92" t="s">
        <v>4443</v>
      </c>
      <c r="I566">
        <v>2</v>
      </c>
      <c r="K566" s="95">
        <v>1</v>
      </c>
      <c r="L566" s="31" t="s">
        <v>3959</v>
      </c>
      <c r="M566" s="31" t="s">
        <v>3959</v>
      </c>
      <c r="N566" s="31" t="s">
        <v>3959</v>
      </c>
      <c r="O566" s="31" t="s">
        <v>3959</v>
      </c>
      <c r="P566" s="4">
        <v>1</v>
      </c>
      <c r="Q566" s="57">
        <v>0</v>
      </c>
      <c r="R566" s="57">
        <v>0</v>
      </c>
      <c r="S566" s="97">
        <v>0</v>
      </c>
      <c r="T566" s="57">
        <v>0</v>
      </c>
      <c r="U566" s="57">
        <v>0</v>
      </c>
      <c r="V566" s="57">
        <v>0</v>
      </c>
      <c r="W566" s="57">
        <v>0</v>
      </c>
      <c r="X566" s="94">
        <v>0</v>
      </c>
    </row>
    <row r="567" spans="1:24" x14ac:dyDescent="0.35">
      <c r="A567">
        <v>563</v>
      </c>
      <c r="B567">
        <v>564</v>
      </c>
      <c r="C567">
        <v>146.11421781000001</v>
      </c>
      <c r="D567">
        <v>-17.6337662004</v>
      </c>
      <c r="F567" t="str">
        <f>HYPERLINK("D:\Data From Lucan\2024\Moresby\Frames_for_Analysis/564_20240611_0012_R_0254.jpg","564_20240611_0012_R_0254.jpg")</f>
        <v>564_20240611_0012_R_0254.jpg</v>
      </c>
      <c r="G567" s="92" t="s">
        <v>4444</v>
      </c>
      <c r="I567">
        <v>2</v>
      </c>
      <c r="K567" s="95">
        <v>1</v>
      </c>
      <c r="L567" s="31" t="s">
        <v>3959</v>
      </c>
      <c r="M567" s="31" t="s">
        <v>3959</v>
      </c>
      <c r="N567" s="31" t="s">
        <v>3959</v>
      </c>
      <c r="O567" s="31" t="s">
        <v>3959</v>
      </c>
      <c r="P567" s="4">
        <v>1</v>
      </c>
      <c r="Q567" s="57">
        <v>0</v>
      </c>
      <c r="R567" s="57">
        <v>0</v>
      </c>
      <c r="S567" s="97">
        <v>0</v>
      </c>
      <c r="T567" s="57">
        <v>0</v>
      </c>
      <c r="U567" s="57">
        <v>0</v>
      </c>
      <c r="V567" s="57">
        <v>0</v>
      </c>
      <c r="W567" s="57">
        <v>0</v>
      </c>
      <c r="X567" s="94">
        <v>0</v>
      </c>
    </row>
    <row r="568" spans="1:24" x14ac:dyDescent="0.35">
      <c r="A568">
        <v>564</v>
      </c>
      <c r="B568">
        <v>565</v>
      </c>
      <c r="C568">
        <v>146.11419140000001</v>
      </c>
      <c r="D568">
        <v>-17.633848027500001</v>
      </c>
      <c r="E568">
        <v>50</v>
      </c>
      <c r="F568" t="str">
        <f>HYPERLINK("D:\Data From Lucan\2024\Moresby\Frames_for_Analysis/565_20240611_0012_R_0252.jpg","565_20240611_0012_R_0252.jpg")</f>
        <v>565_20240611_0012_R_0252.jpg</v>
      </c>
      <c r="G568" s="92" t="s">
        <v>4445</v>
      </c>
      <c r="I568">
        <v>2</v>
      </c>
      <c r="K568" s="95">
        <v>1</v>
      </c>
      <c r="L568" s="31" t="s">
        <v>3959</v>
      </c>
      <c r="M568" s="31" t="s">
        <v>3959</v>
      </c>
      <c r="N568" s="31" t="s">
        <v>3959</v>
      </c>
      <c r="O568" s="31" t="s">
        <v>3959</v>
      </c>
      <c r="P568" s="4">
        <v>1</v>
      </c>
      <c r="Q568" s="57">
        <v>0</v>
      </c>
      <c r="R568" s="57">
        <v>0</v>
      </c>
      <c r="S568" s="97">
        <v>0</v>
      </c>
      <c r="T568" s="57">
        <v>0</v>
      </c>
      <c r="U568" s="57">
        <v>0</v>
      </c>
      <c r="V568" s="57">
        <v>0</v>
      </c>
      <c r="W568" s="57">
        <v>0</v>
      </c>
      <c r="X568" s="94">
        <v>0</v>
      </c>
    </row>
    <row r="569" spans="1:24" x14ac:dyDescent="0.35">
      <c r="A569">
        <v>565</v>
      </c>
      <c r="B569">
        <v>566</v>
      </c>
      <c r="C569">
        <v>146.11416499000001</v>
      </c>
      <c r="D569">
        <v>-17.6339298545</v>
      </c>
      <c r="F569" t="str">
        <f>HYPERLINK("D:\Data From Lucan\2024\Moresby\Frames_for_Analysis/566_20240611_0012_R_0249.jpg","566_20240611_0012_R_0249.jpg")</f>
        <v>566_20240611_0012_R_0249.jpg</v>
      </c>
      <c r="G569" s="92" t="s">
        <v>4446</v>
      </c>
      <c r="I569">
        <v>2</v>
      </c>
      <c r="K569" s="95">
        <v>1</v>
      </c>
      <c r="L569" s="31" t="s">
        <v>3959</v>
      </c>
      <c r="M569" s="31" t="s">
        <v>3959</v>
      </c>
      <c r="N569" s="31" t="s">
        <v>3959</v>
      </c>
      <c r="O569" s="31" t="s">
        <v>3959</v>
      </c>
      <c r="P569" s="4">
        <v>1</v>
      </c>
      <c r="Q569" s="57">
        <v>0</v>
      </c>
      <c r="R569" s="57">
        <v>0</v>
      </c>
      <c r="S569" s="97">
        <v>0</v>
      </c>
      <c r="T569" s="57">
        <v>0</v>
      </c>
      <c r="U569" s="57">
        <v>0</v>
      </c>
      <c r="V569" s="57">
        <v>0</v>
      </c>
      <c r="W569" s="57">
        <v>0</v>
      </c>
      <c r="X569" s="94">
        <v>0</v>
      </c>
    </row>
    <row r="570" spans="1:24" x14ac:dyDescent="0.35">
      <c r="A570">
        <v>566</v>
      </c>
      <c r="B570">
        <v>567</v>
      </c>
      <c r="C570">
        <v>146.11413857900001</v>
      </c>
      <c r="D570">
        <v>-17.634011681499899</v>
      </c>
      <c r="F570" t="str">
        <f>HYPERLINK("D:\Data From Lucan\2024\Moresby\Frames_for_Analysis/567_20240611_0012_R_0247.jpg","567_20240611_0012_R_0247.jpg")</f>
        <v>567_20240611_0012_R_0247.jpg</v>
      </c>
      <c r="G570" s="92" t="s">
        <v>4447</v>
      </c>
      <c r="I570">
        <v>2</v>
      </c>
      <c r="K570" s="95">
        <v>1</v>
      </c>
      <c r="L570" s="31" t="s">
        <v>3959</v>
      </c>
      <c r="M570" s="31" t="s">
        <v>3959</v>
      </c>
      <c r="N570" s="31" t="s">
        <v>3959</v>
      </c>
      <c r="O570" s="31" t="s">
        <v>3959</v>
      </c>
      <c r="P570" s="4">
        <v>1</v>
      </c>
      <c r="Q570" s="57">
        <v>0</v>
      </c>
      <c r="R570" s="57">
        <v>0</v>
      </c>
      <c r="S570" s="97">
        <v>0</v>
      </c>
      <c r="T570" s="57">
        <v>0</v>
      </c>
      <c r="U570" s="57">
        <v>0</v>
      </c>
      <c r="V570" s="57">
        <v>0</v>
      </c>
      <c r="W570" s="57">
        <v>0</v>
      </c>
      <c r="X570" s="94">
        <v>0</v>
      </c>
    </row>
    <row r="571" spans="1:24" x14ac:dyDescent="0.35">
      <c r="A571">
        <v>567</v>
      </c>
      <c r="B571">
        <v>568</v>
      </c>
      <c r="C571">
        <v>146.114121492999</v>
      </c>
      <c r="D571">
        <v>-17.6340957174999</v>
      </c>
      <c r="F571" t="str">
        <f>HYPERLINK("D:\Data From Lucan\2024\Moresby\Frames_for_Analysis/568_20240611_0012_R_0245.jpg","568_20240611_0012_R_0245.jpg")</f>
        <v>568_20240611_0012_R_0245.jpg</v>
      </c>
      <c r="G571" s="92" t="s">
        <v>4448</v>
      </c>
      <c r="I571">
        <v>2</v>
      </c>
      <c r="K571" s="95">
        <v>1</v>
      </c>
      <c r="L571" s="31" t="s">
        <v>3959</v>
      </c>
      <c r="M571" s="31" t="s">
        <v>3959</v>
      </c>
      <c r="N571" s="31" t="s">
        <v>3959</v>
      </c>
      <c r="O571" s="31" t="s">
        <v>3959</v>
      </c>
      <c r="P571" s="4">
        <v>1</v>
      </c>
      <c r="Q571" s="57">
        <v>0</v>
      </c>
      <c r="R571" s="57">
        <v>0</v>
      </c>
      <c r="S571" s="97">
        <v>0</v>
      </c>
      <c r="T571" s="57">
        <v>0</v>
      </c>
      <c r="U571" s="57">
        <v>0</v>
      </c>
      <c r="V571" s="57">
        <v>0</v>
      </c>
      <c r="W571" s="57">
        <v>0</v>
      </c>
      <c r="X571" s="94">
        <v>0</v>
      </c>
    </row>
    <row r="572" spans="1:24" x14ac:dyDescent="0.35">
      <c r="A572">
        <v>568</v>
      </c>
      <c r="B572">
        <v>569</v>
      </c>
      <c r="C572">
        <v>146.11410462500001</v>
      </c>
      <c r="D572">
        <v>-17.6341798049</v>
      </c>
      <c r="F572" t="str">
        <f>HYPERLINK("D:\Data From Lucan\2024\Moresby\Frames_for_Analysis/569_20240611_0012_R_0242.jpg","569_20240611_0012_R_0242.jpg")</f>
        <v>569_20240611_0012_R_0242.jpg</v>
      </c>
      <c r="G572" s="92" t="s">
        <v>4449</v>
      </c>
      <c r="I572">
        <v>2</v>
      </c>
      <c r="K572" s="95">
        <v>1</v>
      </c>
      <c r="L572" s="31" t="s">
        <v>3959</v>
      </c>
      <c r="M572" s="31" t="s">
        <v>3959</v>
      </c>
      <c r="N572" s="31" t="s">
        <v>3959</v>
      </c>
      <c r="O572" s="31" t="s">
        <v>3959</v>
      </c>
      <c r="P572" s="4">
        <v>1</v>
      </c>
      <c r="Q572" s="57">
        <v>0</v>
      </c>
      <c r="R572" s="57">
        <v>0</v>
      </c>
      <c r="S572" s="97">
        <v>0</v>
      </c>
      <c r="T572" s="57">
        <v>0</v>
      </c>
      <c r="U572" s="57">
        <v>0</v>
      </c>
      <c r="V572" s="57">
        <v>0</v>
      </c>
      <c r="W572" s="57">
        <v>0</v>
      </c>
      <c r="X572" s="94">
        <v>0</v>
      </c>
    </row>
    <row r="573" spans="1:24" x14ac:dyDescent="0.35">
      <c r="A573">
        <v>569</v>
      </c>
      <c r="B573">
        <v>570</v>
      </c>
      <c r="C573">
        <v>146.114087756</v>
      </c>
      <c r="D573">
        <v>-17.634263892300002</v>
      </c>
      <c r="E573">
        <v>50</v>
      </c>
      <c r="F573" t="str">
        <f>HYPERLINK("D:\Data From Lucan\2024\Moresby\Frames_for_Analysis/570_20240611_0012_R_0240.jpg","570_20240611_0012_R_0240.jpg")</f>
        <v>570_20240611_0012_R_0240.jpg</v>
      </c>
      <c r="G573" s="92" t="s">
        <v>4450</v>
      </c>
      <c r="I573">
        <v>2</v>
      </c>
      <c r="K573" s="95">
        <v>1</v>
      </c>
      <c r="L573" s="31" t="s">
        <v>3959</v>
      </c>
      <c r="M573" s="31" t="s">
        <v>3959</v>
      </c>
      <c r="N573" s="31" t="s">
        <v>3959</v>
      </c>
      <c r="O573" s="31" t="s">
        <v>3959</v>
      </c>
      <c r="P573" s="4">
        <v>1</v>
      </c>
      <c r="Q573" s="57">
        <v>0</v>
      </c>
      <c r="R573" s="57">
        <v>0</v>
      </c>
      <c r="S573" s="97">
        <v>0</v>
      </c>
      <c r="T573" s="57">
        <v>0</v>
      </c>
      <c r="U573" s="57">
        <v>0</v>
      </c>
      <c r="V573" s="57">
        <v>0</v>
      </c>
      <c r="W573" s="57">
        <v>0</v>
      </c>
      <c r="X573" s="94">
        <v>0</v>
      </c>
    </row>
    <row r="574" spans="1:24" x14ac:dyDescent="0.35">
      <c r="A574">
        <v>570</v>
      </c>
      <c r="B574">
        <v>571</v>
      </c>
      <c r="C574">
        <v>146.11407088799899</v>
      </c>
      <c r="D574">
        <v>-17.6343479796999</v>
      </c>
      <c r="F574" t="str">
        <f>HYPERLINK("D:\Data From Lucan\2024\Moresby\Frames_for_Analysis/571_20240611_0012_R_0237.jpg","571_20240611_0012_R_0237.jpg")</f>
        <v>571_20240611_0012_R_0237.jpg</v>
      </c>
      <c r="G574" s="92" t="s">
        <v>4451</v>
      </c>
      <c r="I574">
        <v>2</v>
      </c>
      <c r="K574" s="95">
        <v>1</v>
      </c>
      <c r="L574" s="31" t="s">
        <v>3959</v>
      </c>
      <c r="M574" s="31" t="s">
        <v>3959</v>
      </c>
      <c r="N574" s="31" t="s">
        <v>3959</v>
      </c>
      <c r="O574" s="31" t="s">
        <v>3959</v>
      </c>
      <c r="P574" s="4">
        <v>1</v>
      </c>
      <c r="Q574" s="57">
        <v>0</v>
      </c>
      <c r="R574" s="57">
        <v>0</v>
      </c>
      <c r="S574" s="97">
        <v>0</v>
      </c>
      <c r="T574" s="57">
        <v>0</v>
      </c>
      <c r="U574" s="57">
        <v>0</v>
      </c>
      <c r="V574" s="57">
        <v>0</v>
      </c>
      <c r="W574" s="57">
        <v>0</v>
      </c>
      <c r="X574" s="94">
        <v>0</v>
      </c>
    </row>
    <row r="575" spans="1:24" x14ac:dyDescent="0.35">
      <c r="A575">
        <v>571</v>
      </c>
      <c r="B575">
        <v>572</v>
      </c>
      <c r="C575">
        <v>146.11405401900001</v>
      </c>
      <c r="D575">
        <v>-17.634432066999899</v>
      </c>
      <c r="F575" t="str">
        <f>HYPERLINK("D:\Data From Lucan\2024\Moresby\Frames_for_Analysis/572_20240611_0012_R_0235.jpg","572_20240611_0012_R_0235.jpg")</f>
        <v>572_20240611_0012_R_0235.jpg</v>
      </c>
      <c r="G575" s="92" t="s">
        <v>4452</v>
      </c>
      <c r="I575">
        <v>2</v>
      </c>
      <c r="K575" s="95">
        <v>1</v>
      </c>
      <c r="L575" s="31" t="s">
        <v>3959</v>
      </c>
      <c r="M575" s="31" t="s">
        <v>3959</v>
      </c>
      <c r="N575" s="31" t="s">
        <v>3959</v>
      </c>
      <c r="O575" s="31" t="s">
        <v>3959</v>
      </c>
      <c r="P575" s="4">
        <v>1</v>
      </c>
      <c r="Q575" s="57">
        <v>0</v>
      </c>
      <c r="R575" s="57">
        <v>0</v>
      </c>
      <c r="S575" s="97">
        <v>0</v>
      </c>
      <c r="T575" s="57">
        <v>0</v>
      </c>
      <c r="U575" s="57">
        <v>0</v>
      </c>
      <c r="V575" s="57">
        <v>0</v>
      </c>
      <c r="W575" s="57">
        <v>0</v>
      </c>
      <c r="X575" s="94">
        <v>0</v>
      </c>
    </row>
    <row r="576" spans="1:24" x14ac:dyDescent="0.35">
      <c r="A576">
        <v>572</v>
      </c>
      <c r="B576">
        <v>573</v>
      </c>
      <c r="C576">
        <v>146.11403715</v>
      </c>
      <c r="D576">
        <v>-17.634516154300002</v>
      </c>
      <c r="F576" t="str">
        <f>HYPERLINK("D:\Data From Lucan\2024\Moresby\Frames_for_Analysis/573_20240611_0012_R_0232.jpg","573_20240611_0012_R_0232.jpg")</f>
        <v>573_20240611_0012_R_0232.jpg</v>
      </c>
      <c r="G576" s="92" t="s">
        <v>4453</v>
      </c>
      <c r="I576">
        <v>2</v>
      </c>
      <c r="K576" s="95">
        <v>1</v>
      </c>
      <c r="L576" s="31" t="s">
        <v>3959</v>
      </c>
      <c r="M576" s="31" t="s">
        <v>3959</v>
      </c>
      <c r="N576" s="31" t="s">
        <v>3959</v>
      </c>
      <c r="O576" s="31" t="s">
        <v>3959</v>
      </c>
      <c r="P576" s="4">
        <v>1</v>
      </c>
      <c r="Q576" s="57">
        <v>0</v>
      </c>
      <c r="R576" s="57">
        <v>0</v>
      </c>
      <c r="S576" s="97">
        <v>0</v>
      </c>
      <c r="T576" s="57">
        <v>0</v>
      </c>
      <c r="U576" s="57">
        <v>0</v>
      </c>
      <c r="V576" s="57">
        <v>0</v>
      </c>
      <c r="W576" s="57">
        <v>0</v>
      </c>
      <c r="X576" s="94">
        <v>0</v>
      </c>
    </row>
    <row r="577" spans="1:24" x14ac:dyDescent="0.35">
      <c r="A577">
        <v>573</v>
      </c>
      <c r="B577">
        <v>574</v>
      </c>
      <c r="C577">
        <v>146.11402028200001</v>
      </c>
      <c r="D577">
        <v>-17.634600241600001</v>
      </c>
      <c r="F577" t="str">
        <f>HYPERLINK("D:\Data From Lucan\2024\Moresby\Frames_for_Analysis/574_20240611_0012_R_0230.jpg","574_20240611_0012_R_0230.jpg")</f>
        <v>574_20240611_0012_R_0230.jpg</v>
      </c>
      <c r="G577" s="92" t="s">
        <v>4454</v>
      </c>
      <c r="I577">
        <v>2</v>
      </c>
      <c r="K577" s="95">
        <v>1</v>
      </c>
      <c r="L577" s="31" t="s">
        <v>3959</v>
      </c>
      <c r="M577" s="31" t="s">
        <v>3959</v>
      </c>
      <c r="N577" s="31" t="s">
        <v>3959</v>
      </c>
      <c r="O577" s="31" t="s">
        <v>3959</v>
      </c>
      <c r="P577" s="4">
        <v>1</v>
      </c>
      <c r="Q577" s="57">
        <v>0</v>
      </c>
      <c r="R577" s="57">
        <v>0</v>
      </c>
      <c r="S577" s="97">
        <v>0</v>
      </c>
      <c r="T577" s="57">
        <v>0</v>
      </c>
      <c r="U577" s="57">
        <v>0</v>
      </c>
      <c r="V577" s="57">
        <v>0</v>
      </c>
      <c r="W577" s="57">
        <v>0</v>
      </c>
      <c r="X577" s="94">
        <v>0</v>
      </c>
    </row>
    <row r="578" spans="1:24" x14ac:dyDescent="0.35">
      <c r="A578">
        <v>574</v>
      </c>
      <c r="B578">
        <v>575</v>
      </c>
      <c r="C578">
        <v>146.11400341300001</v>
      </c>
      <c r="D578">
        <v>-17.634684328799899</v>
      </c>
      <c r="E578">
        <v>50</v>
      </c>
      <c r="F578" t="str">
        <f>HYPERLINK("D:\Data From Lucan\2024\Moresby\Frames_for_Analysis/575_20240611_0012_R_0228.jpg","575_20240611_0012_R_0228.jpg")</f>
        <v>575_20240611_0012_R_0228.jpg</v>
      </c>
      <c r="G578" s="92" t="s">
        <v>4455</v>
      </c>
      <c r="I578">
        <v>2</v>
      </c>
      <c r="K578" s="95">
        <v>1</v>
      </c>
      <c r="L578" s="31" t="s">
        <v>3959</v>
      </c>
      <c r="M578" s="31" t="s">
        <v>3959</v>
      </c>
      <c r="N578" s="31" t="s">
        <v>3959</v>
      </c>
      <c r="O578" s="31" t="s">
        <v>3959</v>
      </c>
      <c r="P578" s="4">
        <v>1</v>
      </c>
      <c r="Q578" s="57">
        <v>0</v>
      </c>
      <c r="R578" s="57">
        <v>0</v>
      </c>
      <c r="S578" s="97">
        <v>0</v>
      </c>
      <c r="T578" s="57">
        <v>0</v>
      </c>
      <c r="U578" s="57">
        <v>0</v>
      </c>
      <c r="V578" s="57">
        <v>0</v>
      </c>
      <c r="W578" s="57">
        <v>0</v>
      </c>
      <c r="X578" s="94">
        <v>0</v>
      </c>
    </row>
    <row r="579" spans="1:24" x14ac:dyDescent="0.35">
      <c r="A579">
        <v>575</v>
      </c>
      <c r="B579">
        <v>576</v>
      </c>
      <c r="C579">
        <v>146.113986543999</v>
      </c>
      <c r="D579">
        <v>-17.634768416</v>
      </c>
      <c r="F579" t="str">
        <f>HYPERLINK("D:\Data From Lucan\2024\Moresby\Frames_for_Analysis/576_20240611_0012_R_0225.jpg","576_20240611_0012_R_0225.jpg")</f>
        <v>576_20240611_0012_R_0225.jpg</v>
      </c>
      <c r="G579" s="92" t="s">
        <v>4456</v>
      </c>
      <c r="I579">
        <v>2</v>
      </c>
      <c r="K579" s="95">
        <v>1</v>
      </c>
      <c r="L579" s="31" t="s">
        <v>3959</v>
      </c>
      <c r="M579" s="31" t="s">
        <v>3959</v>
      </c>
      <c r="N579" s="31" t="s">
        <v>3959</v>
      </c>
      <c r="O579" s="31" t="s">
        <v>3959</v>
      </c>
      <c r="P579" s="4">
        <v>1</v>
      </c>
      <c r="Q579" s="57">
        <v>0</v>
      </c>
      <c r="R579" s="57">
        <v>0</v>
      </c>
      <c r="S579" s="97">
        <v>0</v>
      </c>
      <c r="T579" s="57">
        <v>0</v>
      </c>
      <c r="U579" s="57">
        <v>0</v>
      </c>
      <c r="V579" s="57">
        <v>0</v>
      </c>
      <c r="W579" s="57">
        <v>0</v>
      </c>
      <c r="X579" s="94">
        <v>0</v>
      </c>
    </row>
    <row r="580" spans="1:24" x14ac:dyDescent="0.35">
      <c r="A580">
        <v>576</v>
      </c>
      <c r="B580">
        <v>577</v>
      </c>
      <c r="C580">
        <v>146.11396967600001</v>
      </c>
      <c r="D580">
        <v>-17.6348525030999</v>
      </c>
      <c r="F580" t="str">
        <f>HYPERLINK("D:\Data From Lucan\2024\Moresby\Frames_for_Analysis/577_20240611_0012_R_0223.jpg","577_20240611_0012_R_0223.jpg")</f>
        <v>577_20240611_0012_R_0223.jpg</v>
      </c>
      <c r="G580" s="92" t="s">
        <v>4457</v>
      </c>
      <c r="I580">
        <v>2</v>
      </c>
      <c r="K580" s="95">
        <v>1</v>
      </c>
      <c r="L580" s="31" t="s">
        <v>3959</v>
      </c>
      <c r="M580" s="31" t="s">
        <v>3959</v>
      </c>
      <c r="N580" s="31" t="s">
        <v>3959</v>
      </c>
      <c r="O580" s="31" t="s">
        <v>3959</v>
      </c>
      <c r="P580" s="4">
        <v>1</v>
      </c>
      <c r="Q580" s="57">
        <v>0</v>
      </c>
      <c r="R580" s="57">
        <v>0</v>
      </c>
      <c r="S580" s="97">
        <v>0</v>
      </c>
      <c r="T580" s="57">
        <v>0</v>
      </c>
      <c r="U580" s="57">
        <v>0</v>
      </c>
      <c r="V580" s="57">
        <v>0</v>
      </c>
      <c r="W580" s="57">
        <v>0</v>
      </c>
      <c r="X580" s="94">
        <v>0</v>
      </c>
    </row>
    <row r="581" spans="1:24" x14ac:dyDescent="0.35">
      <c r="A581">
        <v>577</v>
      </c>
      <c r="B581">
        <v>578</v>
      </c>
      <c r="C581">
        <v>146.11394019900001</v>
      </c>
      <c r="D581">
        <v>-17.634933364199899</v>
      </c>
      <c r="F581" t="str">
        <f>HYPERLINK("D:\Data From Lucan\2024\Moresby\Frames_for_Analysis/578_20240611_0012_R_0221.jpg","578_20240611_0012_R_0221.jpg")</f>
        <v>578_20240611_0012_R_0221.jpg</v>
      </c>
      <c r="G581" s="92" t="s">
        <v>4458</v>
      </c>
      <c r="I581">
        <v>2</v>
      </c>
      <c r="K581" s="95">
        <v>1</v>
      </c>
      <c r="L581" s="31" t="s">
        <v>3959</v>
      </c>
      <c r="M581" s="31" t="s">
        <v>3959</v>
      </c>
      <c r="N581" s="31" t="s">
        <v>3959</v>
      </c>
      <c r="O581" s="31" t="s">
        <v>3959</v>
      </c>
      <c r="P581" s="4">
        <v>1</v>
      </c>
      <c r="Q581" s="57">
        <v>0</v>
      </c>
      <c r="R581" s="57">
        <v>0</v>
      </c>
      <c r="S581" s="97">
        <v>0</v>
      </c>
      <c r="T581" s="57">
        <v>0</v>
      </c>
      <c r="U581" s="57">
        <v>0</v>
      </c>
      <c r="V581" s="57">
        <v>0</v>
      </c>
      <c r="W581" s="57">
        <v>0</v>
      </c>
      <c r="X581" s="94">
        <v>0</v>
      </c>
    </row>
    <row r="582" spans="1:24" x14ac:dyDescent="0.35">
      <c r="A582">
        <v>578</v>
      </c>
      <c r="B582">
        <v>579</v>
      </c>
      <c r="C582">
        <v>146.113910605</v>
      </c>
      <c r="D582">
        <v>-17.6350141952</v>
      </c>
      <c r="F582" t="str">
        <f>HYPERLINK("D:\Data From Lucan\2024\Moresby\Frames_for_Analysis/579_20240611_0012_R_0219.jpg","579_20240611_0012_R_0219.jpg")</f>
        <v>579_20240611_0012_R_0219.jpg</v>
      </c>
      <c r="G582" s="92" t="s">
        <v>4459</v>
      </c>
      <c r="I582">
        <v>2</v>
      </c>
      <c r="K582" s="95">
        <v>1</v>
      </c>
      <c r="L582" s="31" t="s">
        <v>3959</v>
      </c>
      <c r="M582" s="31" t="s">
        <v>3959</v>
      </c>
      <c r="N582" s="31" t="s">
        <v>3959</v>
      </c>
      <c r="O582" s="31" t="s">
        <v>3959</v>
      </c>
      <c r="P582" s="4">
        <v>1</v>
      </c>
      <c r="Q582" s="57">
        <v>0</v>
      </c>
      <c r="R582" s="57">
        <v>0</v>
      </c>
      <c r="S582" s="97">
        <v>0</v>
      </c>
      <c r="T582" s="57">
        <v>0</v>
      </c>
      <c r="U582" s="57">
        <v>0</v>
      </c>
      <c r="V582" s="57">
        <v>0</v>
      </c>
      <c r="W582" s="57">
        <v>0</v>
      </c>
      <c r="X582" s="94">
        <v>0</v>
      </c>
    </row>
    <row r="583" spans="1:24" x14ac:dyDescent="0.35">
      <c r="A583">
        <v>579</v>
      </c>
      <c r="B583">
        <v>580</v>
      </c>
      <c r="C583">
        <v>146.11388101099899</v>
      </c>
      <c r="D583">
        <v>-17.635095026199899</v>
      </c>
      <c r="E583">
        <v>50</v>
      </c>
      <c r="F583" t="str">
        <f>HYPERLINK("D:\Data From Lucan\2024\Moresby\Frames_for_Analysis/580_20240611_0012_R_0217.jpg","580_20240611_0012_R_0217.jpg")</f>
        <v>580_20240611_0012_R_0217.jpg</v>
      </c>
      <c r="G583" s="92" t="s">
        <v>4460</v>
      </c>
      <c r="I583">
        <v>2</v>
      </c>
      <c r="K583" s="95">
        <v>1</v>
      </c>
      <c r="L583" s="31" t="s">
        <v>3959</v>
      </c>
      <c r="M583" s="31" t="s">
        <v>3959</v>
      </c>
      <c r="N583" s="31" t="s">
        <v>3959</v>
      </c>
      <c r="O583" s="31" t="s">
        <v>3959</v>
      </c>
      <c r="P583" s="4">
        <v>1</v>
      </c>
      <c r="Q583" s="57">
        <v>0</v>
      </c>
      <c r="R583" s="57">
        <v>0</v>
      </c>
      <c r="S583" s="97">
        <v>0</v>
      </c>
      <c r="T583" s="57">
        <v>0</v>
      </c>
      <c r="U583" s="57">
        <v>0</v>
      </c>
      <c r="V583" s="57">
        <v>0</v>
      </c>
      <c r="W583" s="57">
        <v>0</v>
      </c>
      <c r="X583" s="94">
        <v>0</v>
      </c>
    </row>
    <row r="584" spans="1:24" x14ac:dyDescent="0.35">
      <c r="A584">
        <v>580</v>
      </c>
      <c r="B584">
        <v>581</v>
      </c>
      <c r="C584">
        <v>146.113851417999</v>
      </c>
      <c r="D584">
        <v>-17.635175857099899</v>
      </c>
      <c r="F584" t="str">
        <f>HYPERLINK("D:\Data From Lucan\2024\Moresby\Frames_for_Analysis/581_20240611_0012_R_0214.jpg","581_20240611_0012_R_0214.jpg")</f>
        <v>581_20240611_0012_R_0214.jpg</v>
      </c>
      <c r="G584" s="92" t="s">
        <v>4461</v>
      </c>
      <c r="I584">
        <v>2</v>
      </c>
      <c r="K584" s="95">
        <v>1</v>
      </c>
      <c r="L584" s="31" t="s">
        <v>3959</v>
      </c>
      <c r="M584" s="31" t="s">
        <v>3959</v>
      </c>
      <c r="N584" s="31" t="s">
        <v>3959</v>
      </c>
      <c r="O584" s="31" t="s">
        <v>3959</v>
      </c>
      <c r="P584" s="4">
        <v>1</v>
      </c>
      <c r="Q584" s="57">
        <v>0</v>
      </c>
      <c r="R584" s="57">
        <v>0</v>
      </c>
      <c r="S584" s="97">
        <v>0</v>
      </c>
      <c r="T584" s="57">
        <v>0</v>
      </c>
      <c r="U584" s="57">
        <v>0</v>
      </c>
      <c r="V584" s="57">
        <v>0</v>
      </c>
      <c r="W584" s="57">
        <v>0</v>
      </c>
      <c r="X584" s="94">
        <v>0</v>
      </c>
    </row>
    <row r="585" spans="1:24" x14ac:dyDescent="0.35">
      <c r="A585">
        <v>581</v>
      </c>
      <c r="B585">
        <v>582</v>
      </c>
      <c r="C585">
        <v>146.11382182400001</v>
      </c>
      <c r="D585">
        <v>-17.635256687999899</v>
      </c>
      <c r="F585" t="str">
        <f>HYPERLINK("D:\Data From Lucan\2024\Moresby\Frames_for_Analysis/582_20240611_0012_R_0212.jpg","582_20240611_0012_R_0212.jpg")</f>
        <v>582_20240611_0012_R_0212.jpg</v>
      </c>
      <c r="G585" s="92" t="s">
        <v>4462</v>
      </c>
      <c r="I585">
        <v>2</v>
      </c>
      <c r="K585" s="95">
        <v>1</v>
      </c>
      <c r="L585" s="31" t="s">
        <v>3959</v>
      </c>
      <c r="M585" s="31" t="s">
        <v>3959</v>
      </c>
      <c r="N585" s="31" t="s">
        <v>3959</v>
      </c>
      <c r="O585" s="31" t="s">
        <v>3959</v>
      </c>
      <c r="P585" s="4">
        <v>1</v>
      </c>
      <c r="Q585" s="57">
        <v>0</v>
      </c>
      <c r="R585" s="57">
        <v>0</v>
      </c>
      <c r="S585" s="97">
        <v>0</v>
      </c>
      <c r="T585" s="57">
        <v>0</v>
      </c>
      <c r="U585" s="57">
        <v>0</v>
      </c>
      <c r="V585" s="57">
        <v>0</v>
      </c>
      <c r="W585" s="57">
        <v>0</v>
      </c>
      <c r="X585" s="94">
        <v>0</v>
      </c>
    </row>
    <row r="586" spans="1:24" x14ac:dyDescent="0.35">
      <c r="A586">
        <v>582</v>
      </c>
      <c r="B586">
        <v>583</v>
      </c>
      <c r="C586">
        <v>146.11379223</v>
      </c>
      <c r="D586">
        <v>-17.635337518899899</v>
      </c>
      <c r="F586" t="str">
        <f>HYPERLINK("D:\Data From Lucan\2024\Moresby\Frames_for_Analysis/583_20240611_0012_R_0210.jpg","583_20240611_0012_R_0210.jpg")</f>
        <v>583_20240611_0012_R_0210.jpg</v>
      </c>
      <c r="G586" s="92" t="s">
        <v>4463</v>
      </c>
      <c r="I586">
        <v>2</v>
      </c>
      <c r="K586" s="95">
        <v>1</v>
      </c>
      <c r="L586" s="31" t="s">
        <v>3959</v>
      </c>
      <c r="M586" s="31" t="s">
        <v>3959</v>
      </c>
      <c r="N586" s="31" t="s">
        <v>3959</v>
      </c>
      <c r="O586" s="31" t="s">
        <v>3959</v>
      </c>
      <c r="P586" s="4">
        <v>1</v>
      </c>
      <c r="Q586" s="57">
        <v>0</v>
      </c>
      <c r="R586" s="57">
        <v>0</v>
      </c>
      <c r="S586" s="97">
        <v>0</v>
      </c>
      <c r="T586" s="57">
        <v>0</v>
      </c>
      <c r="U586" s="57">
        <v>0</v>
      </c>
      <c r="V586" s="57">
        <v>0</v>
      </c>
      <c r="W586" s="57">
        <v>0</v>
      </c>
      <c r="X586" s="94">
        <v>0</v>
      </c>
    </row>
    <row r="587" spans="1:24" x14ac:dyDescent="0.35">
      <c r="A587">
        <v>583</v>
      </c>
      <c r="B587">
        <v>584</v>
      </c>
      <c r="C587">
        <v>146.113762635999</v>
      </c>
      <c r="D587">
        <v>-17.635418349799899</v>
      </c>
      <c r="F587" t="str">
        <f>HYPERLINK("D:\Data From Lucan\2024\Moresby\Frames_for_Analysis/584_20240611_0012_R_0207.jpg","584_20240611_0012_R_0207.jpg")</f>
        <v>584_20240611_0012_R_0207.jpg</v>
      </c>
      <c r="G587" s="92" t="s">
        <v>4464</v>
      </c>
      <c r="I587">
        <v>2</v>
      </c>
      <c r="K587" s="95">
        <v>1</v>
      </c>
      <c r="L587" s="31" t="s">
        <v>3959</v>
      </c>
      <c r="M587" s="31" t="s">
        <v>3959</v>
      </c>
      <c r="N587" s="31" t="s">
        <v>3959</v>
      </c>
      <c r="O587" s="31" t="s">
        <v>3959</v>
      </c>
      <c r="P587" s="4">
        <v>1</v>
      </c>
      <c r="Q587" s="57">
        <v>0</v>
      </c>
      <c r="R587" s="57">
        <v>0</v>
      </c>
      <c r="S587" s="97">
        <v>0</v>
      </c>
      <c r="T587" s="57">
        <v>0</v>
      </c>
      <c r="U587" s="57">
        <v>0</v>
      </c>
      <c r="V587" s="57">
        <v>0</v>
      </c>
      <c r="W587" s="57">
        <v>0</v>
      </c>
      <c r="X587" s="94">
        <v>0</v>
      </c>
    </row>
    <row r="588" spans="1:24" x14ac:dyDescent="0.35">
      <c r="A588">
        <v>584</v>
      </c>
      <c r="B588">
        <v>585</v>
      </c>
      <c r="C588">
        <v>146.11373304200001</v>
      </c>
      <c r="D588">
        <v>-17.6354991806</v>
      </c>
      <c r="E588">
        <v>50</v>
      </c>
      <c r="F588" t="str">
        <f>HYPERLINK("D:\Data From Lucan\2024\Moresby\Frames_for_Analysis/585_20240611_0012_R_0205.jpg","585_20240611_0012_R_0205.jpg")</f>
        <v>585_20240611_0012_R_0205.jpg</v>
      </c>
      <c r="G588" s="92" t="s">
        <v>4465</v>
      </c>
      <c r="I588">
        <v>2</v>
      </c>
      <c r="K588" s="95">
        <v>1</v>
      </c>
      <c r="L588" s="31" t="s">
        <v>3959</v>
      </c>
      <c r="M588" s="31" t="s">
        <v>3959</v>
      </c>
      <c r="N588" s="31" t="s">
        <v>3959</v>
      </c>
      <c r="O588" s="31" t="s">
        <v>3959</v>
      </c>
      <c r="P588" s="4">
        <v>1</v>
      </c>
      <c r="Q588" s="57">
        <v>0</v>
      </c>
      <c r="R588" s="57">
        <v>0</v>
      </c>
      <c r="S588" s="97">
        <v>0</v>
      </c>
      <c r="T588" s="57">
        <v>0</v>
      </c>
      <c r="U588" s="57">
        <v>0</v>
      </c>
      <c r="V588" s="57">
        <v>0</v>
      </c>
      <c r="W588" s="57">
        <v>0</v>
      </c>
      <c r="X588" s="94">
        <v>0</v>
      </c>
    </row>
    <row r="589" spans="1:24" x14ac:dyDescent="0.35">
      <c r="A589">
        <v>585</v>
      </c>
      <c r="B589">
        <v>586</v>
      </c>
      <c r="C589">
        <v>146.113699663999</v>
      </c>
      <c r="D589">
        <v>-17.6355784476</v>
      </c>
      <c r="F589" t="str">
        <f>HYPERLINK("D:\Data From Lucan\2024\Moresby\Frames_for_Analysis/586_20240611_0012_R_0203.jpg","586_20240611_0012_R_0203.jpg")</f>
        <v>586_20240611_0012_R_0203.jpg</v>
      </c>
      <c r="G589" s="92" t="s">
        <v>4466</v>
      </c>
      <c r="I589">
        <v>2</v>
      </c>
      <c r="K589" s="95">
        <v>1</v>
      </c>
      <c r="L589" s="31" t="s">
        <v>3959</v>
      </c>
      <c r="M589" s="31" t="s">
        <v>3959</v>
      </c>
      <c r="N589" s="31" t="s">
        <v>3959</v>
      </c>
      <c r="O589" s="31" t="s">
        <v>3959</v>
      </c>
      <c r="P589" s="4">
        <v>1</v>
      </c>
      <c r="Q589" s="57">
        <v>0</v>
      </c>
      <c r="R589" s="57">
        <v>0</v>
      </c>
      <c r="S589" s="97">
        <v>0</v>
      </c>
      <c r="T589" s="57">
        <v>0</v>
      </c>
      <c r="U589" s="57">
        <v>0</v>
      </c>
      <c r="V589" s="57">
        <v>0</v>
      </c>
      <c r="W589" s="57">
        <v>0</v>
      </c>
      <c r="X589" s="94">
        <v>0</v>
      </c>
    </row>
    <row r="590" spans="1:24" x14ac:dyDescent="0.35">
      <c r="A590">
        <v>586</v>
      </c>
      <c r="B590">
        <v>587</v>
      </c>
      <c r="C590">
        <v>146.113657977</v>
      </c>
      <c r="D590">
        <v>-17.635654280699899</v>
      </c>
      <c r="F590" t="str">
        <f>HYPERLINK("D:\Data From Lucan\2024\Moresby\Frames_for_Analysis/587_20240611_0012_R_0200.jpg","587_20240611_0012_R_0200.jpg")</f>
        <v>587_20240611_0012_R_0200.jpg</v>
      </c>
      <c r="G590" s="92" t="s">
        <v>4467</v>
      </c>
      <c r="I590">
        <v>2</v>
      </c>
      <c r="K590" s="95">
        <v>1</v>
      </c>
      <c r="L590" s="31" t="s">
        <v>3959</v>
      </c>
      <c r="M590" s="31" t="s">
        <v>3959</v>
      </c>
      <c r="N590" s="31" t="s">
        <v>3959</v>
      </c>
      <c r="O590" s="31" t="s">
        <v>3959</v>
      </c>
      <c r="P590" s="4">
        <v>1</v>
      </c>
      <c r="Q590" s="57">
        <v>0</v>
      </c>
      <c r="R590" s="57">
        <v>0</v>
      </c>
      <c r="S590" s="97">
        <v>0</v>
      </c>
      <c r="T590" s="57">
        <v>0</v>
      </c>
      <c r="U590" s="57">
        <v>0</v>
      </c>
      <c r="V590" s="57">
        <v>0</v>
      </c>
      <c r="W590" s="57">
        <v>0</v>
      </c>
      <c r="X590" s="94">
        <v>0</v>
      </c>
    </row>
    <row r="591" spans="1:24" x14ac:dyDescent="0.35">
      <c r="A591">
        <v>587</v>
      </c>
      <c r="B591">
        <v>588</v>
      </c>
      <c r="C591">
        <v>146.113616288999</v>
      </c>
      <c r="D591">
        <v>-17.6357301136999</v>
      </c>
      <c r="F591" t="str">
        <f>HYPERLINK("D:\Data From Lucan\2024\Moresby\Frames_for_Analysis/588_20240611_0012_R_0198.jpg","588_20240611_0012_R_0198.jpg")</f>
        <v>588_20240611_0012_R_0198.jpg</v>
      </c>
      <c r="G591" s="92" t="s">
        <v>4468</v>
      </c>
      <c r="I591">
        <v>2</v>
      </c>
      <c r="K591" s="95">
        <v>1</v>
      </c>
      <c r="L591" s="31" t="s">
        <v>3959</v>
      </c>
      <c r="M591" s="31" t="s">
        <v>3959</v>
      </c>
      <c r="N591" s="31" t="s">
        <v>3959</v>
      </c>
      <c r="O591" s="31" t="s">
        <v>3959</v>
      </c>
      <c r="P591" s="4">
        <v>1</v>
      </c>
      <c r="Q591" s="57">
        <v>0</v>
      </c>
      <c r="R591" s="57">
        <v>0</v>
      </c>
      <c r="S591" s="97">
        <v>0</v>
      </c>
      <c r="T591" s="57">
        <v>0</v>
      </c>
      <c r="U591" s="57">
        <v>0</v>
      </c>
      <c r="V591" s="57">
        <v>0</v>
      </c>
      <c r="W591" s="57">
        <v>0</v>
      </c>
      <c r="X591" s="94">
        <v>0</v>
      </c>
    </row>
    <row r="592" spans="1:24" x14ac:dyDescent="0.35">
      <c r="A592">
        <v>588</v>
      </c>
      <c r="B592">
        <v>589</v>
      </c>
      <c r="C592">
        <v>146.11357460100001</v>
      </c>
      <c r="D592">
        <v>-17.6358059467</v>
      </c>
      <c r="F592" t="str">
        <f>HYPERLINK("D:\Data From Lucan\2024\Moresby\Frames_for_Analysis/589_20240611_0012_R_0196.jpg","589_20240611_0012_R_0196.jpg")</f>
        <v>589_20240611_0012_R_0196.jpg</v>
      </c>
      <c r="G592" s="92" t="s">
        <v>4469</v>
      </c>
      <c r="I592">
        <v>2</v>
      </c>
      <c r="K592" s="95">
        <v>1</v>
      </c>
      <c r="L592" s="31" t="s">
        <v>3959</v>
      </c>
      <c r="M592" s="31" t="s">
        <v>3959</v>
      </c>
      <c r="N592" s="31" t="s">
        <v>3959</v>
      </c>
      <c r="O592" s="31" t="s">
        <v>3959</v>
      </c>
      <c r="P592" s="4">
        <v>1</v>
      </c>
      <c r="Q592" s="57">
        <v>0</v>
      </c>
      <c r="R592" s="57">
        <v>0</v>
      </c>
      <c r="S592" s="97">
        <v>0</v>
      </c>
      <c r="T592" s="57">
        <v>0</v>
      </c>
      <c r="U592" s="57">
        <v>0</v>
      </c>
      <c r="V592" s="57">
        <v>0</v>
      </c>
      <c r="W592" s="57">
        <v>0</v>
      </c>
      <c r="X592" s="94">
        <v>0</v>
      </c>
    </row>
    <row r="593" spans="1:24" x14ac:dyDescent="0.35">
      <c r="A593">
        <v>589</v>
      </c>
      <c r="B593">
        <v>590</v>
      </c>
      <c r="C593">
        <v>146.113532913</v>
      </c>
      <c r="D593">
        <v>-17.6358817797</v>
      </c>
      <c r="E593">
        <v>50</v>
      </c>
      <c r="F593" t="str">
        <f>HYPERLINK("D:\Data From Lucan\2024\Moresby\Frames_for_Analysis/590_20240611_0012_R_0193.jpg","590_20240611_0012_R_0193.jpg")</f>
        <v>590_20240611_0012_R_0193.jpg</v>
      </c>
      <c r="G593" s="92" t="s">
        <v>4470</v>
      </c>
      <c r="I593">
        <v>2</v>
      </c>
      <c r="K593" s="95">
        <v>1</v>
      </c>
      <c r="L593" s="31" t="s">
        <v>3959</v>
      </c>
      <c r="M593" s="31" t="s">
        <v>3959</v>
      </c>
      <c r="N593" s="31" t="s">
        <v>3959</v>
      </c>
      <c r="O593" s="31" t="s">
        <v>3959</v>
      </c>
      <c r="P593" s="4">
        <v>1</v>
      </c>
      <c r="Q593" s="57">
        <v>0</v>
      </c>
      <c r="R593" s="57">
        <v>0</v>
      </c>
      <c r="S593" s="97">
        <v>0</v>
      </c>
      <c r="T593" s="57">
        <v>0</v>
      </c>
      <c r="U593" s="57">
        <v>0</v>
      </c>
      <c r="V593" s="57">
        <v>0</v>
      </c>
      <c r="W593" s="57">
        <v>0</v>
      </c>
      <c r="X593" s="94">
        <v>0</v>
      </c>
    </row>
    <row r="594" spans="1:24" x14ac:dyDescent="0.35">
      <c r="A594">
        <v>590</v>
      </c>
      <c r="B594">
        <v>591</v>
      </c>
      <c r="C594">
        <v>146.113491224999</v>
      </c>
      <c r="D594">
        <v>-17.6359576127</v>
      </c>
      <c r="F594" t="str">
        <f>HYPERLINK("D:\Data From Lucan\2024\Moresby\Frames_for_Analysis/591_20240611_0012_R_0191.jpg","591_20240611_0012_R_0191.jpg")</f>
        <v>591_20240611_0012_R_0191.jpg</v>
      </c>
      <c r="G594" s="92" t="s">
        <v>4471</v>
      </c>
      <c r="I594">
        <v>2</v>
      </c>
      <c r="K594" s="95">
        <v>1</v>
      </c>
      <c r="L594" s="31" t="s">
        <v>3959</v>
      </c>
      <c r="M594" s="31" t="s">
        <v>3959</v>
      </c>
      <c r="N594" s="31" t="s">
        <v>3959</v>
      </c>
      <c r="O594" s="31" t="s">
        <v>3959</v>
      </c>
      <c r="P594" s="4">
        <v>1</v>
      </c>
      <c r="Q594" s="57">
        <v>0</v>
      </c>
      <c r="R594" s="57">
        <v>0</v>
      </c>
      <c r="S594" s="97">
        <v>0</v>
      </c>
      <c r="T594" s="57">
        <v>0</v>
      </c>
      <c r="U594" s="57">
        <v>0</v>
      </c>
      <c r="V594" s="57">
        <v>0</v>
      </c>
      <c r="W594" s="57">
        <v>0</v>
      </c>
      <c r="X594" s="94">
        <v>0</v>
      </c>
    </row>
    <row r="595" spans="1:24" x14ac:dyDescent="0.35">
      <c r="A595">
        <v>591</v>
      </c>
      <c r="B595">
        <v>592</v>
      </c>
      <c r="C595">
        <v>146.11344804500001</v>
      </c>
      <c r="D595">
        <v>-17.6360326004</v>
      </c>
      <c r="F595" t="str">
        <f>HYPERLINK("D:\Data From Lucan\2024\Moresby\Frames_for_Analysis/592_20240611_0012_R_0188.jpg","592_20240611_0012_R_0188.jpg")</f>
        <v>592_20240611_0012_R_0188.jpg</v>
      </c>
      <c r="G595" s="92" t="s">
        <v>4472</v>
      </c>
      <c r="I595">
        <v>2</v>
      </c>
      <c r="K595" s="95">
        <v>1</v>
      </c>
      <c r="L595" s="31" t="s">
        <v>3959</v>
      </c>
      <c r="M595" s="31" t="s">
        <v>3959</v>
      </c>
      <c r="N595" s="31" t="s">
        <v>3959</v>
      </c>
      <c r="O595" s="31" t="s">
        <v>3959</v>
      </c>
      <c r="P595" s="4">
        <v>1</v>
      </c>
      <c r="Q595" s="57">
        <v>0</v>
      </c>
      <c r="R595" s="57">
        <v>0</v>
      </c>
      <c r="S595" s="97">
        <v>0</v>
      </c>
      <c r="T595" s="57">
        <v>0</v>
      </c>
      <c r="U595" s="57">
        <v>0</v>
      </c>
      <c r="V595" s="57">
        <v>0</v>
      </c>
      <c r="W595" s="57">
        <v>0</v>
      </c>
      <c r="X595" s="94">
        <v>0</v>
      </c>
    </row>
    <row r="596" spans="1:24" x14ac:dyDescent="0.35">
      <c r="A596">
        <v>592</v>
      </c>
      <c r="B596">
        <v>593</v>
      </c>
      <c r="C596">
        <v>146.11339807600001</v>
      </c>
      <c r="D596">
        <v>-17.636103743100001</v>
      </c>
      <c r="F596" t="str">
        <f>HYPERLINK("D:\Data From Lucan\2024\Moresby\Frames_for_Analysis/593_20240611_0012_R_0186.jpg","593_20240611_0012_R_0186.jpg")</f>
        <v>593_20240611_0012_R_0186.jpg</v>
      </c>
      <c r="G596" s="92" t="s">
        <v>4473</v>
      </c>
      <c r="I596">
        <v>2</v>
      </c>
      <c r="K596" s="95">
        <v>1</v>
      </c>
      <c r="L596" s="31" t="s">
        <v>3959</v>
      </c>
      <c r="M596" s="31" t="s">
        <v>3959</v>
      </c>
      <c r="N596" s="31" t="s">
        <v>3959</v>
      </c>
      <c r="O596" s="31" t="s">
        <v>3959</v>
      </c>
      <c r="P596" s="4">
        <v>1</v>
      </c>
      <c r="Q596" s="57">
        <v>0</v>
      </c>
      <c r="R596" s="57">
        <v>0</v>
      </c>
      <c r="S596" s="97">
        <v>0</v>
      </c>
      <c r="T596" s="57">
        <v>0</v>
      </c>
      <c r="U596" s="57">
        <v>0</v>
      </c>
      <c r="V596" s="57">
        <v>0</v>
      </c>
      <c r="W596" s="57">
        <v>0</v>
      </c>
      <c r="X596" s="94">
        <v>0</v>
      </c>
    </row>
    <row r="597" spans="1:24" x14ac:dyDescent="0.35">
      <c r="A597">
        <v>593</v>
      </c>
      <c r="B597">
        <v>594</v>
      </c>
      <c r="C597">
        <v>146.113348107999</v>
      </c>
      <c r="D597">
        <v>-17.6361748857999</v>
      </c>
      <c r="F597" t="str">
        <f>HYPERLINK("D:\Data From Lucan\2024\Moresby\Frames_for_Analysis/594_20240611_0012_R_0184.jpg","594_20240611_0012_R_0184.jpg")</f>
        <v>594_20240611_0012_R_0184.jpg</v>
      </c>
      <c r="G597" s="92" t="s">
        <v>4474</v>
      </c>
      <c r="I597">
        <v>2</v>
      </c>
      <c r="K597" s="95">
        <v>1</v>
      </c>
      <c r="L597" s="31" t="s">
        <v>3959</v>
      </c>
      <c r="M597" s="31" t="s">
        <v>3959</v>
      </c>
      <c r="N597" s="31" t="s">
        <v>3959</v>
      </c>
      <c r="O597" s="31" t="s">
        <v>3959</v>
      </c>
      <c r="P597" s="4">
        <v>1</v>
      </c>
      <c r="Q597" s="57">
        <v>0</v>
      </c>
      <c r="R597" s="57">
        <v>0</v>
      </c>
      <c r="S597" s="97">
        <v>0</v>
      </c>
      <c r="T597" s="57">
        <v>0</v>
      </c>
      <c r="U597" s="57">
        <v>0</v>
      </c>
      <c r="V597" s="57">
        <v>0</v>
      </c>
      <c r="W597" s="57">
        <v>0</v>
      </c>
      <c r="X597" s="94">
        <v>0</v>
      </c>
    </row>
    <row r="598" spans="1:24" x14ac:dyDescent="0.35">
      <c r="A598">
        <v>594</v>
      </c>
      <c r="B598">
        <v>595</v>
      </c>
      <c r="C598">
        <v>146.113298138999</v>
      </c>
      <c r="D598">
        <v>-17.6362460285</v>
      </c>
      <c r="E598">
        <v>50</v>
      </c>
      <c r="F598" t="str">
        <f>HYPERLINK("D:\Data From Lucan\2024\Moresby\Frames_for_Analysis/595_20240611_0012_R_0181.jpg","595_20240611_0012_R_0181.jpg")</f>
        <v>595_20240611_0012_R_0181.jpg</v>
      </c>
      <c r="G598" s="92" t="s">
        <v>4475</v>
      </c>
      <c r="I598">
        <v>2</v>
      </c>
      <c r="K598" s="95">
        <v>1</v>
      </c>
      <c r="L598" s="31" t="s">
        <v>3959</v>
      </c>
      <c r="M598" s="31" t="s">
        <v>3959</v>
      </c>
      <c r="N598" s="31" t="s">
        <v>3959</v>
      </c>
      <c r="O598" s="31" t="s">
        <v>3959</v>
      </c>
      <c r="P598" s="4">
        <v>1</v>
      </c>
      <c r="Q598" s="57">
        <v>0</v>
      </c>
      <c r="R598" s="57">
        <v>0</v>
      </c>
      <c r="S598" s="97">
        <v>0</v>
      </c>
      <c r="T598" s="57">
        <v>0</v>
      </c>
      <c r="U598" s="57">
        <v>0</v>
      </c>
      <c r="V598" s="57">
        <v>0</v>
      </c>
      <c r="W598" s="57">
        <v>0</v>
      </c>
      <c r="X598" s="94">
        <v>0</v>
      </c>
    </row>
    <row r="599" spans="1:24" x14ac:dyDescent="0.35">
      <c r="A599">
        <v>595</v>
      </c>
      <c r="B599">
        <v>596</v>
      </c>
      <c r="C599">
        <v>146.113248169999</v>
      </c>
      <c r="D599">
        <v>-17.6363171711</v>
      </c>
      <c r="F599" t="str">
        <f>HYPERLINK("D:\Data From Lucan\2024\Moresby\Frames_for_Analysis/596_20240611_0012_R_0179.jpg","596_20240611_0012_R_0179.jpg")</f>
        <v>596_20240611_0012_R_0179.jpg</v>
      </c>
      <c r="G599" s="92" t="s">
        <v>4476</v>
      </c>
      <c r="I599">
        <v>2</v>
      </c>
      <c r="K599" s="95">
        <v>1</v>
      </c>
      <c r="L599" s="31" t="s">
        <v>3959</v>
      </c>
      <c r="M599" s="31" t="s">
        <v>3959</v>
      </c>
      <c r="N599" s="31" t="s">
        <v>3959</v>
      </c>
      <c r="O599" s="31" t="s">
        <v>3959</v>
      </c>
      <c r="P599" s="4">
        <v>1</v>
      </c>
      <c r="Q599" s="57">
        <v>0</v>
      </c>
      <c r="R599" s="57">
        <v>0</v>
      </c>
      <c r="S599" s="97">
        <v>0</v>
      </c>
      <c r="T599" s="57">
        <v>0</v>
      </c>
      <c r="U599" s="57">
        <v>0</v>
      </c>
      <c r="V599" s="57">
        <v>0</v>
      </c>
      <c r="W599" s="57">
        <v>0</v>
      </c>
      <c r="X599" s="94">
        <v>0</v>
      </c>
    </row>
    <row r="600" spans="1:24" x14ac:dyDescent="0.35">
      <c r="A600">
        <v>596</v>
      </c>
      <c r="B600">
        <v>597</v>
      </c>
      <c r="C600">
        <v>146.11319820099899</v>
      </c>
      <c r="D600">
        <v>-17.636388313800001</v>
      </c>
      <c r="F600" t="str">
        <f>HYPERLINK("D:\Data From Lucan\2024\Moresby\Frames_for_Analysis/597_20240611_0012_R_0177.jpg","597_20240611_0012_R_0177.jpg")</f>
        <v>597_20240611_0012_R_0177.jpg</v>
      </c>
      <c r="G600" s="92" t="s">
        <v>4477</v>
      </c>
      <c r="I600">
        <v>2</v>
      </c>
      <c r="K600" s="95">
        <v>1</v>
      </c>
      <c r="L600" s="31" t="s">
        <v>3959</v>
      </c>
      <c r="M600" s="31" t="s">
        <v>3959</v>
      </c>
      <c r="N600" s="31" t="s">
        <v>3959</v>
      </c>
      <c r="O600" s="31" t="s">
        <v>3959</v>
      </c>
      <c r="P600" s="4">
        <v>1</v>
      </c>
      <c r="Q600" s="57">
        <v>0</v>
      </c>
      <c r="R600" s="57">
        <v>0</v>
      </c>
      <c r="S600" s="97">
        <v>0</v>
      </c>
      <c r="T600" s="57">
        <v>0</v>
      </c>
      <c r="U600" s="57">
        <v>0</v>
      </c>
      <c r="V600" s="57">
        <v>0</v>
      </c>
      <c r="W600" s="57">
        <v>0</v>
      </c>
      <c r="X600" s="94">
        <v>0</v>
      </c>
    </row>
    <row r="601" spans="1:24" x14ac:dyDescent="0.35">
      <c r="A601">
        <v>597</v>
      </c>
      <c r="B601">
        <v>598</v>
      </c>
      <c r="C601">
        <v>146.11314809199899</v>
      </c>
      <c r="D601">
        <v>-17.6364593654</v>
      </c>
      <c r="F601" t="str">
        <f>HYPERLINK("D:\Data From Lucan\2024\Moresby\Frames_for_Analysis/598_20240611_0012_R_0174.jpg","598_20240611_0012_R_0174.jpg")</f>
        <v>598_20240611_0012_R_0174.jpg</v>
      </c>
      <c r="G601" s="92" t="s">
        <v>4478</v>
      </c>
      <c r="I601">
        <v>2</v>
      </c>
      <c r="K601" s="95">
        <v>1</v>
      </c>
      <c r="L601" s="31" t="s">
        <v>3959</v>
      </c>
      <c r="M601" s="31" t="s">
        <v>3959</v>
      </c>
      <c r="N601" s="31" t="s">
        <v>3959</v>
      </c>
      <c r="O601" s="31" t="s">
        <v>3959</v>
      </c>
      <c r="P601" s="4">
        <v>1</v>
      </c>
      <c r="Q601" s="57">
        <v>0</v>
      </c>
      <c r="R601" s="57">
        <v>0</v>
      </c>
      <c r="S601" s="97">
        <v>0</v>
      </c>
      <c r="T601" s="57">
        <v>0</v>
      </c>
      <c r="U601" s="57">
        <v>0</v>
      </c>
      <c r="V601" s="57">
        <v>0</v>
      </c>
      <c r="W601" s="57">
        <v>0</v>
      </c>
      <c r="X601" s="94">
        <v>0</v>
      </c>
    </row>
    <row r="602" spans="1:24" x14ac:dyDescent="0.35">
      <c r="A602">
        <v>598</v>
      </c>
      <c r="B602">
        <v>599</v>
      </c>
      <c r="C602">
        <v>146.11309682500001</v>
      </c>
      <c r="D602">
        <v>-17.636529663400001</v>
      </c>
      <c r="F602" t="str">
        <f>HYPERLINK("D:\Data From Lucan\2024\Moresby\Frames_for_Analysis/599_20240611_0012_R_0172.jpg","599_20240611_0012_R_0172.jpg")</f>
        <v>599_20240611_0012_R_0172.jpg</v>
      </c>
      <c r="G602" s="92" t="s">
        <v>4479</v>
      </c>
      <c r="I602">
        <v>2</v>
      </c>
      <c r="K602" s="95">
        <v>1</v>
      </c>
      <c r="L602" s="31" t="s">
        <v>3959</v>
      </c>
      <c r="M602" s="31" t="s">
        <v>3959</v>
      </c>
      <c r="N602" s="31" t="s">
        <v>3959</v>
      </c>
      <c r="O602" s="31" t="s">
        <v>3959</v>
      </c>
      <c r="P602" s="4">
        <v>1</v>
      </c>
      <c r="Q602" s="57">
        <v>0</v>
      </c>
      <c r="R602" s="57">
        <v>0</v>
      </c>
      <c r="S602" s="97">
        <v>0</v>
      </c>
      <c r="T602" s="57">
        <v>0</v>
      </c>
      <c r="U602" s="57">
        <v>0</v>
      </c>
      <c r="V602" s="57">
        <v>0</v>
      </c>
      <c r="W602" s="57">
        <v>0</v>
      </c>
      <c r="X602" s="94">
        <v>0</v>
      </c>
    </row>
    <row r="603" spans="1:24" x14ac:dyDescent="0.35">
      <c r="A603">
        <v>599</v>
      </c>
      <c r="B603">
        <v>600</v>
      </c>
      <c r="C603">
        <v>146.113045556999</v>
      </c>
      <c r="D603">
        <v>-17.6365999615</v>
      </c>
      <c r="E603">
        <v>50</v>
      </c>
      <c r="F603" t="str">
        <f>HYPERLINK("D:\Data From Lucan\2024\Moresby\Frames_for_Analysis/600_20240611_0012_R_0169.jpg","600_20240611_0012_R_0169.jpg")</f>
        <v>600_20240611_0012_R_0169.jpg</v>
      </c>
      <c r="G603" s="92" t="s">
        <v>4480</v>
      </c>
      <c r="I603">
        <v>2</v>
      </c>
      <c r="K603" s="95">
        <v>1</v>
      </c>
      <c r="L603" s="31" t="s">
        <v>3959</v>
      </c>
      <c r="M603" s="31" t="s">
        <v>3959</v>
      </c>
      <c r="N603" s="31" t="s">
        <v>3959</v>
      </c>
      <c r="O603" s="31" t="s">
        <v>3959</v>
      </c>
      <c r="P603" s="4">
        <v>1</v>
      </c>
      <c r="Q603" s="57">
        <v>0</v>
      </c>
      <c r="R603" s="57">
        <v>0</v>
      </c>
      <c r="S603" s="97">
        <v>0</v>
      </c>
      <c r="T603" s="57">
        <v>0</v>
      </c>
      <c r="U603" s="57">
        <v>0</v>
      </c>
      <c r="V603" s="57">
        <v>0</v>
      </c>
      <c r="W603" s="57">
        <v>0</v>
      </c>
      <c r="X603" s="94">
        <v>0</v>
      </c>
    </row>
    <row r="604" spans="1:24" x14ac:dyDescent="0.35">
      <c r="A604">
        <v>600</v>
      </c>
      <c r="B604">
        <v>601</v>
      </c>
      <c r="C604">
        <v>146.112994289</v>
      </c>
      <c r="D604">
        <v>-17.636670259500001</v>
      </c>
      <c r="F604" t="str">
        <f>HYPERLINK("D:\Data From Lucan\2024\Moresby\Frames_for_Analysis/601_20240611_0012_R_0167.jpg","601_20240611_0012_R_0167.jpg")</f>
        <v>601_20240611_0012_R_0167.jpg</v>
      </c>
      <c r="G604" s="92" t="s">
        <v>4481</v>
      </c>
      <c r="I604">
        <v>2</v>
      </c>
      <c r="K604" s="95">
        <v>1</v>
      </c>
      <c r="L604" s="31" t="s">
        <v>3959</v>
      </c>
      <c r="M604" s="31" t="s">
        <v>3959</v>
      </c>
      <c r="N604" s="31" t="s">
        <v>3959</v>
      </c>
      <c r="O604" s="31" t="s">
        <v>3959</v>
      </c>
      <c r="P604" s="4">
        <v>1</v>
      </c>
      <c r="Q604" s="57">
        <v>0</v>
      </c>
      <c r="R604" s="57">
        <v>0</v>
      </c>
      <c r="S604" s="97">
        <v>0</v>
      </c>
      <c r="T604" s="57">
        <v>0</v>
      </c>
      <c r="U604" s="57">
        <v>0</v>
      </c>
      <c r="V604" s="57">
        <v>0</v>
      </c>
      <c r="W604" s="57">
        <v>0</v>
      </c>
      <c r="X604" s="94">
        <v>0</v>
      </c>
    </row>
    <row r="605" spans="1:24" x14ac:dyDescent="0.35">
      <c r="A605">
        <v>601</v>
      </c>
      <c r="B605">
        <v>602</v>
      </c>
      <c r="C605">
        <v>146.11294302100001</v>
      </c>
      <c r="D605">
        <v>-17.636740557500001</v>
      </c>
      <c r="F605" t="str">
        <f>HYPERLINK("D:\Data From Lucan\2024\Moresby\Frames_for_Analysis/602_20240611_0012_R_0165.jpg","602_20240611_0012_R_0165.jpg")</f>
        <v>602_20240611_0012_R_0165.jpg</v>
      </c>
      <c r="G605" s="92" t="s">
        <v>4482</v>
      </c>
      <c r="I605">
        <v>2</v>
      </c>
      <c r="K605" s="95">
        <v>1</v>
      </c>
      <c r="L605" s="31" t="s">
        <v>3959</v>
      </c>
      <c r="M605" s="31" t="s">
        <v>3959</v>
      </c>
      <c r="N605" s="31" t="s">
        <v>3959</v>
      </c>
      <c r="O605" s="31" t="s">
        <v>3959</v>
      </c>
      <c r="P605" s="4">
        <v>1</v>
      </c>
      <c r="Q605" s="57">
        <v>0</v>
      </c>
      <c r="R605" s="57">
        <v>0</v>
      </c>
      <c r="S605" s="97">
        <v>0</v>
      </c>
      <c r="T605" s="57">
        <v>0</v>
      </c>
      <c r="U605" s="57">
        <v>0</v>
      </c>
      <c r="V605" s="57">
        <v>0</v>
      </c>
      <c r="W605" s="57">
        <v>0</v>
      </c>
      <c r="X605" s="94">
        <v>0</v>
      </c>
    </row>
    <row r="606" spans="1:24" x14ac:dyDescent="0.35">
      <c r="A606">
        <v>602</v>
      </c>
      <c r="B606">
        <v>603</v>
      </c>
      <c r="C606">
        <v>146.11289175300001</v>
      </c>
      <c r="D606">
        <v>-17.6368108554</v>
      </c>
      <c r="F606" t="str">
        <f>HYPERLINK("D:\Data From Lucan\2024\Moresby\Frames_for_Analysis/603_20240611_0012_R_0162.jpg","603_20240611_0012_R_0162.jpg")</f>
        <v>603_20240611_0012_R_0162.jpg</v>
      </c>
      <c r="G606" s="92" t="s">
        <v>4483</v>
      </c>
      <c r="I606">
        <v>2</v>
      </c>
      <c r="K606" s="95">
        <v>1</v>
      </c>
      <c r="L606" s="31" t="s">
        <v>3959</v>
      </c>
      <c r="M606" s="31" t="s">
        <v>3959</v>
      </c>
      <c r="N606" s="31" t="s">
        <v>3959</v>
      </c>
      <c r="O606" s="31" t="s">
        <v>3959</v>
      </c>
      <c r="P606" s="4">
        <v>1</v>
      </c>
      <c r="Q606" s="57">
        <v>0</v>
      </c>
      <c r="R606" s="57">
        <v>0</v>
      </c>
      <c r="S606" s="97">
        <v>0</v>
      </c>
      <c r="T606" s="57">
        <v>0</v>
      </c>
      <c r="U606" s="57">
        <v>0</v>
      </c>
      <c r="V606" s="57">
        <v>0</v>
      </c>
      <c r="W606" s="57">
        <v>0</v>
      </c>
      <c r="X606" s="94">
        <v>0</v>
      </c>
    </row>
    <row r="607" spans="1:24" x14ac:dyDescent="0.35">
      <c r="A607">
        <v>603</v>
      </c>
      <c r="B607">
        <v>604</v>
      </c>
      <c r="C607">
        <v>146.112839758999</v>
      </c>
      <c r="D607">
        <v>-17.636880568999899</v>
      </c>
      <c r="F607" t="str">
        <f>HYPERLINK("D:\Data From Lucan\2024\Moresby\Frames_for_Analysis/604_20240611_0012_R_0160.jpg","604_20240611_0012_R_0160.jpg")</f>
        <v>604_20240611_0012_R_0160.jpg</v>
      </c>
      <c r="G607" s="92" t="s">
        <v>4484</v>
      </c>
      <c r="I607">
        <v>2</v>
      </c>
      <c r="K607" s="95">
        <v>1</v>
      </c>
      <c r="L607" s="31" t="s">
        <v>3959</v>
      </c>
      <c r="M607" s="31" t="s">
        <v>3959</v>
      </c>
      <c r="N607" s="31" t="s">
        <v>3959</v>
      </c>
      <c r="O607" s="31" t="s">
        <v>3959</v>
      </c>
      <c r="P607" s="4">
        <v>1</v>
      </c>
      <c r="Q607" s="57">
        <v>0</v>
      </c>
      <c r="R607" s="57">
        <v>0</v>
      </c>
      <c r="S607" s="97">
        <v>0</v>
      </c>
      <c r="T607" s="57">
        <v>0</v>
      </c>
      <c r="U607" s="57">
        <v>0</v>
      </c>
      <c r="V607" s="57">
        <v>0</v>
      </c>
      <c r="W607" s="57">
        <v>0</v>
      </c>
      <c r="X607" s="94">
        <v>0</v>
      </c>
    </row>
    <row r="608" spans="1:24" x14ac:dyDescent="0.35">
      <c r="A608">
        <v>604</v>
      </c>
      <c r="B608">
        <v>605</v>
      </c>
      <c r="C608">
        <v>146.11277556900001</v>
      </c>
      <c r="D608">
        <v>-17.6369404583</v>
      </c>
      <c r="E608">
        <v>50</v>
      </c>
      <c r="F608" t="str">
        <f>HYPERLINK("D:\Data From Lucan\2024\Moresby\Frames_for_Analysis/605_20240611_0012_R_0158.jpg","605_20240611_0012_R_0158.jpg")</f>
        <v>605_20240611_0012_R_0158.jpg</v>
      </c>
      <c r="G608" s="92" t="s">
        <v>4485</v>
      </c>
      <c r="I608">
        <v>2</v>
      </c>
      <c r="K608" s="95">
        <v>1</v>
      </c>
      <c r="L608" s="31" t="s">
        <v>3959</v>
      </c>
      <c r="M608" s="31" t="s">
        <v>3959</v>
      </c>
      <c r="N608" s="31" t="s">
        <v>3959</v>
      </c>
      <c r="O608" s="31" t="s">
        <v>3959</v>
      </c>
      <c r="P608" s="4">
        <v>1</v>
      </c>
      <c r="Q608" s="57">
        <v>0</v>
      </c>
      <c r="R608" s="57">
        <v>0</v>
      </c>
      <c r="S608" s="97">
        <v>0</v>
      </c>
      <c r="T608" s="57">
        <v>0</v>
      </c>
      <c r="U608" s="57">
        <v>0</v>
      </c>
      <c r="V608" s="57">
        <v>0</v>
      </c>
      <c r="W608" s="57">
        <v>0</v>
      </c>
      <c r="X608" s="94">
        <v>0</v>
      </c>
    </row>
    <row r="609" spans="1:24" x14ac:dyDescent="0.35">
      <c r="A609">
        <v>605</v>
      </c>
      <c r="B609">
        <v>606</v>
      </c>
      <c r="C609">
        <v>146.112711378</v>
      </c>
      <c r="D609">
        <v>-17.6370003476999</v>
      </c>
      <c r="F609" t="str">
        <f>HYPERLINK("D:\Data From Lucan\2024\Moresby\Frames_for_Analysis/606_20240611_0012_R_0155.jpg","606_20240611_0012_R_0155.jpg")</f>
        <v>606_20240611_0012_R_0155.jpg</v>
      </c>
      <c r="G609" s="92" t="s">
        <v>4486</v>
      </c>
      <c r="I609">
        <v>2</v>
      </c>
      <c r="K609" s="95">
        <v>1</v>
      </c>
      <c r="L609" s="31" t="s">
        <v>3959</v>
      </c>
      <c r="M609" s="31" t="s">
        <v>3959</v>
      </c>
      <c r="N609" s="31" t="s">
        <v>3959</v>
      </c>
      <c r="O609" s="31" t="s">
        <v>3959</v>
      </c>
      <c r="P609" s="4">
        <v>1</v>
      </c>
      <c r="Q609" s="57">
        <v>0</v>
      </c>
      <c r="R609" s="57">
        <v>0</v>
      </c>
      <c r="S609" s="97">
        <v>0</v>
      </c>
      <c r="T609" s="57">
        <v>0</v>
      </c>
      <c r="U609" s="57">
        <v>0</v>
      </c>
      <c r="V609" s="57">
        <v>0</v>
      </c>
      <c r="W609" s="57">
        <v>0</v>
      </c>
      <c r="X609" s="94">
        <v>0</v>
      </c>
    </row>
    <row r="610" spans="1:24" x14ac:dyDescent="0.35">
      <c r="A610">
        <v>606</v>
      </c>
      <c r="B610">
        <v>607</v>
      </c>
      <c r="C610">
        <v>146.11264718800001</v>
      </c>
      <c r="D610">
        <v>-17.637060237</v>
      </c>
      <c r="F610" t="str">
        <f>HYPERLINK("D:\Data From Lucan\2024\Moresby\Frames_for_Analysis/607_20240611_0012_R_0153.jpg","607_20240611_0012_R_0153.jpg")</f>
        <v>607_20240611_0012_R_0153.jpg</v>
      </c>
      <c r="G610" s="92" t="s">
        <v>4487</v>
      </c>
      <c r="I610">
        <v>2</v>
      </c>
      <c r="K610" s="95">
        <v>1</v>
      </c>
      <c r="L610" s="31" t="s">
        <v>3959</v>
      </c>
      <c r="M610" s="31" t="s">
        <v>3959</v>
      </c>
      <c r="N610" s="31" t="s">
        <v>3959</v>
      </c>
      <c r="O610" s="31" t="s">
        <v>3959</v>
      </c>
      <c r="P610" s="4">
        <v>1</v>
      </c>
      <c r="Q610" s="57">
        <v>0</v>
      </c>
      <c r="R610" s="57">
        <v>0</v>
      </c>
      <c r="S610" s="97">
        <v>0</v>
      </c>
      <c r="T610" s="57">
        <v>0</v>
      </c>
      <c r="U610" s="57">
        <v>0</v>
      </c>
      <c r="V610" s="57">
        <v>0</v>
      </c>
      <c r="W610" s="57">
        <v>0</v>
      </c>
      <c r="X610" s="94">
        <v>0</v>
      </c>
    </row>
    <row r="611" spans="1:24" x14ac:dyDescent="0.35">
      <c r="A611">
        <v>607</v>
      </c>
      <c r="B611">
        <v>608</v>
      </c>
      <c r="C611">
        <v>146.11258324299899</v>
      </c>
      <c r="D611">
        <v>-17.6371203644999</v>
      </c>
      <c r="F611" t="str">
        <f>HYPERLINK("D:\Data From Lucan\2024\Moresby\Frames_for_Analysis/608_20240611_0012_R_0151.jpg","608_20240611_0012_R_0151.jpg")</f>
        <v>608_20240611_0012_R_0151.jpg</v>
      </c>
      <c r="G611" s="92" t="s">
        <v>4488</v>
      </c>
      <c r="I611">
        <v>2</v>
      </c>
      <c r="K611" s="95">
        <v>1</v>
      </c>
      <c r="L611" s="31" t="s">
        <v>3959</v>
      </c>
      <c r="M611" s="31" t="s">
        <v>3959</v>
      </c>
      <c r="N611" s="31" t="s">
        <v>3959</v>
      </c>
      <c r="O611" s="31" t="s">
        <v>3959</v>
      </c>
      <c r="P611" s="4">
        <v>1</v>
      </c>
      <c r="Q611" s="57">
        <v>0</v>
      </c>
      <c r="R611" s="57">
        <v>0</v>
      </c>
      <c r="S611" s="97">
        <v>0</v>
      </c>
      <c r="T611" s="57">
        <v>0</v>
      </c>
      <c r="U611" s="57">
        <v>0</v>
      </c>
      <c r="V611" s="57">
        <v>0</v>
      </c>
      <c r="W611" s="57">
        <v>0</v>
      </c>
      <c r="X611" s="94">
        <v>0</v>
      </c>
    </row>
    <row r="612" spans="1:24" x14ac:dyDescent="0.35">
      <c r="A612">
        <v>608</v>
      </c>
      <c r="B612">
        <v>609</v>
      </c>
      <c r="C612">
        <v>146.11251938300001</v>
      </c>
      <c r="D612">
        <v>-17.6371805737</v>
      </c>
      <c r="F612" t="str">
        <f>HYPERLINK("D:\Data From Lucan\2024\Moresby\Frames_for_Analysis/609_20240611_0012_R_0148.jpg","609_20240611_0012_R_0148.jpg")</f>
        <v>609_20240611_0012_R_0148.jpg</v>
      </c>
      <c r="G612" s="92" t="s">
        <v>4489</v>
      </c>
      <c r="I612">
        <v>2</v>
      </c>
      <c r="K612" s="95">
        <v>1</v>
      </c>
      <c r="L612" s="31" t="s">
        <v>3959</v>
      </c>
      <c r="M612" s="31" t="s">
        <v>3959</v>
      </c>
      <c r="N612" s="31" t="s">
        <v>3959</v>
      </c>
      <c r="O612" s="31" t="s">
        <v>3959</v>
      </c>
      <c r="P612" s="4">
        <v>1</v>
      </c>
      <c r="Q612" s="57">
        <v>0</v>
      </c>
      <c r="R612" s="57">
        <v>0</v>
      </c>
      <c r="S612" s="97">
        <v>0</v>
      </c>
      <c r="T612" s="57">
        <v>0</v>
      </c>
      <c r="U612" s="57">
        <v>0</v>
      </c>
      <c r="V612" s="57">
        <v>0</v>
      </c>
      <c r="W612" s="57">
        <v>0</v>
      </c>
      <c r="X612" s="94">
        <v>0</v>
      </c>
    </row>
    <row r="613" spans="1:24" x14ac:dyDescent="0.35">
      <c r="A613">
        <v>609</v>
      </c>
      <c r="B613">
        <v>610</v>
      </c>
      <c r="C613">
        <v>146.112455522999</v>
      </c>
      <c r="D613">
        <v>-17.6372407827999</v>
      </c>
      <c r="E613">
        <v>50</v>
      </c>
      <c r="F613" t="str">
        <f>HYPERLINK("D:\Data From Lucan\2024\Moresby\Frames_for_Analysis/610_20240611_0012_R_0146.jpg","610_20240611_0012_R_0146.jpg")</f>
        <v>610_20240611_0012_R_0146.jpg</v>
      </c>
      <c r="G613" s="92" t="s">
        <v>4490</v>
      </c>
      <c r="I613">
        <v>2</v>
      </c>
      <c r="K613" s="95">
        <v>1</v>
      </c>
      <c r="L613" s="31" t="s">
        <v>3959</v>
      </c>
      <c r="M613" s="31" t="s">
        <v>3959</v>
      </c>
      <c r="N613" s="31" t="s">
        <v>3959</v>
      </c>
      <c r="O613" s="31" t="s">
        <v>3959</v>
      </c>
      <c r="P613" s="4">
        <v>1</v>
      </c>
      <c r="Q613" s="57">
        <v>0</v>
      </c>
      <c r="R613" s="57">
        <v>0</v>
      </c>
      <c r="S613" s="97">
        <v>0</v>
      </c>
      <c r="T613" s="57">
        <v>0</v>
      </c>
      <c r="U613" s="57">
        <v>0</v>
      </c>
      <c r="V613" s="57">
        <v>0</v>
      </c>
      <c r="W613" s="57">
        <v>0</v>
      </c>
      <c r="X613" s="94">
        <v>0</v>
      </c>
    </row>
    <row r="614" spans="1:24" x14ac:dyDescent="0.35">
      <c r="A614">
        <v>610</v>
      </c>
      <c r="B614">
        <v>611</v>
      </c>
      <c r="C614">
        <v>146.11239166300001</v>
      </c>
      <c r="D614">
        <v>-17.637300992</v>
      </c>
      <c r="F614" t="str">
        <f>HYPERLINK("D:\Data From Lucan\2024\Moresby\Frames_for_Analysis/611_20240611_0012_R_0143.jpg","611_20240611_0012_R_0143.jpg")</f>
        <v>611_20240611_0012_R_0143.jpg</v>
      </c>
      <c r="G614" s="92" t="s">
        <v>4491</v>
      </c>
      <c r="I614">
        <v>2</v>
      </c>
      <c r="K614" s="95">
        <v>1</v>
      </c>
      <c r="L614" s="31" t="s">
        <v>3959</v>
      </c>
      <c r="M614" s="31" t="s">
        <v>3959</v>
      </c>
      <c r="N614" s="31" t="s">
        <v>3959</v>
      </c>
      <c r="O614" s="31" t="s">
        <v>3959</v>
      </c>
      <c r="P614" s="4">
        <v>1</v>
      </c>
      <c r="Q614" s="57">
        <v>0</v>
      </c>
      <c r="R614" s="57">
        <v>0</v>
      </c>
      <c r="S614" s="97">
        <v>0</v>
      </c>
      <c r="T614" s="57">
        <v>0</v>
      </c>
      <c r="U614" s="57">
        <v>0</v>
      </c>
      <c r="V614" s="57">
        <v>0</v>
      </c>
      <c r="W614" s="57">
        <v>0</v>
      </c>
      <c r="X614" s="94">
        <v>0</v>
      </c>
    </row>
    <row r="615" spans="1:24" x14ac:dyDescent="0.35">
      <c r="A615">
        <v>611</v>
      </c>
      <c r="B615">
        <v>612</v>
      </c>
      <c r="C615">
        <v>146.11232780200001</v>
      </c>
      <c r="D615">
        <v>-17.6373612010999</v>
      </c>
      <c r="F615" t="str">
        <f>HYPERLINK("D:\Data From Lucan\2024\Moresby\Frames_for_Analysis/612_20240611_0012_R_0141.jpg","612_20240611_0012_R_0141.jpg")</f>
        <v>612_20240611_0012_R_0141.jpg</v>
      </c>
      <c r="G615" s="92" t="s">
        <v>4492</v>
      </c>
      <c r="I615">
        <v>2</v>
      </c>
      <c r="K615" s="95">
        <v>1</v>
      </c>
      <c r="L615" s="31" t="s">
        <v>3959</v>
      </c>
      <c r="M615" s="31" t="s">
        <v>3959</v>
      </c>
      <c r="N615" s="31" t="s">
        <v>3959</v>
      </c>
      <c r="O615" s="31" t="s">
        <v>3959</v>
      </c>
      <c r="P615" s="4">
        <v>1</v>
      </c>
      <c r="Q615" s="57">
        <v>0</v>
      </c>
      <c r="R615" s="57">
        <v>0</v>
      </c>
      <c r="S615" s="97">
        <v>0</v>
      </c>
      <c r="T615" s="57">
        <v>0</v>
      </c>
      <c r="U615" s="57">
        <v>0</v>
      </c>
      <c r="V615" s="57">
        <v>0</v>
      </c>
      <c r="W615" s="57">
        <v>0</v>
      </c>
      <c r="X615" s="94">
        <v>0</v>
      </c>
    </row>
    <row r="616" spans="1:24" x14ac:dyDescent="0.35">
      <c r="A616">
        <v>612</v>
      </c>
      <c r="B616">
        <v>613</v>
      </c>
      <c r="C616">
        <v>146.11226222400001</v>
      </c>
      <c r="D616">
        <v>-17.637419610199899</v>
      </c>
      <c r="F616" t="str">
        <f>HYPERLINK("D:\Data From Lucan\2024\Moresby\Frames_for_Analysis/613_20240611_0012_R_0138.jpg","613_20240611_0012_R_0138.jpg")</f>
        <v>613_20240611_0012_R_0138.jpg</v>
      </c>
      <c r="G616" s="92" t="s">
        <v>4493</v>
      </c>
      <c r="I616">
        <v>2</v>
      </c>
      <c r="K616" s="95">
        <v>1</v>
      </c>
      <c r="L616" s="31" t="s">
        <v>3959</v>
      </c>
      <c r="M616" s="31" t="s">
        <v>3959</v>
      </c>
      <c r="N616" s="31" t="s">
        <v>3959</v>
      </c>
      <c r="O616" s="31" t="s">
        <v>3959</v>
      </c>
      <c r="P616" s="4">
        <v>1</v>
      </c>
      <c r="Q616" s="57">
        <v>0</v>
      </c>
      <c r="R616" s="57">
        <v>0</v>
      </c>
      <c r="S616" s="97">
        <v>0</v>
      </c>
      <c r="T616" s="57">
        <v>0</v>
      </c>
      <c r="U616" s="57">
        <v>0</v>
      </c>
      <c r="V616" s="57">
        <v>0</v>
      </c>
      <c r="W616" s="57">
        <v>0</v>
      </c>
      <c r="X616" s="94">
        <v>0</v>
      </c>
    </row>
    <row r="617" spans="1:24" x14ac:dyDescent="0.35">
      <c r="A617">
        <v>613</v>
      </c>
      <c r="B617">
        <v>614</v>
      </c>
      <c r="C617">
        <v>146.11219288999899</v>
      </c>
      <c r="D617">
        <v>-17.637474043600001</v>
      </c>
      <c r="F617" t="str">
        <f>HYPERLINK("D:\Data From Lucan\2024\Moresby\Frames_for_Analysis/614_20240611_0012_R_0136.jpg","614_20240611_0012_R_0136.jpg")</f>
        <v>614_20240611_0012_R_0136.jpg</v>
      </c>
      <c r="G617" s="92" t="s">
        <v>4494</v>
      </c>
      <c r="I617">
        <v>2</v>
      </c>
      <c r="K617" s="95">
        <v>1</v>
      </c>
      <c r="L617" s="31" t="s">
        <v>3959</v>
      </c>
      <c r="M617" s="31" t="s">
        <v>3959</v>
      </c>
      <c r="N617" s="31" t="s">
        <v>3959</v>
      </c>
      <c r="O617" s="31" t="s">
        <v>3959</v>
      </c>
      <c r="P617" s="4">
        <v>1</v>
      </c>
      <c r="Q617" s="57">
        <v>0</v>
      </c>
      <c r="R617" s="57">
        <v>0</v>
      </c>
      <c r="S617" s="97">
        <v>0</v>
      </c>
      <c r="T617" s="57">
        <v>0</v>
      </c>
      <c r="U617" s="57">
        <v>0</v>
      </c>
      <c r="V617" s="57">
        <v>0</v>
      </c>
      <c r="W617" s="57">
        <v>0</v>
      </c>
      <c r="X617" s="94">
        <v>0</v>
      </c>
    </row>
    <row r="618" spans="1:24" x14ac:dyDescent="0.35">
      <c r="A618">
        <v>614</v>
      </c>
      <c r="B618">
        <v>615</v>
      </c>
      <c r="C618">
        <v>146.112123556</v>
      </c>
      <c r="D618">
        <v>-17.637528477</v>
      </c>
      <c r="E618">
        <v>50</v>
      </c>
      <c r="F618" t="str">
        <f>HYPERLINK("D:\Data From Lucan\2024\Moresby\Frames_for_Analysis/615_20240611_0012_R_0134.jpg","615_20240611_0012_R_0134.jpg")</f>
        <v>615_20240611_0012_R_0134.jpg</v>
      </c>
      <c r="G618" s="92" t="s">
        <v>4495</v>
      </c>
      <c r="I618">
        <v>2</v>
      </c>
      <c r="K618" s="95">
        <v>1</v>
      </c>
      <c r="L618" s="31" t="s">
        <v>3959</v>
      </c>
      <c r="M618" s="31" t="s">
        <v>3959</v>
      </c>
      <c r="N618" s="31" t="s">
        <v>3959</v>
      </c>
      <c r="O618" s="31" t="s">
        <v>3959</v>
      </c>
      <c r="P618" s="4">
        <v>1</v>
      </c>
      <c r="Q618" s="57">
        <v>0</v>
      </c>
      <c r="R618" s="57">
        <v>0</v>
      </c>
      <c r="S618" s="97">
        <v>0</v>
      </c>
      <c r="T618" s="57">
        <v>0</v>
      </c>
      <c r="U618" s="57">
        <v>0</v>
      </c>
      <c r="V618" s="57">
        <v>0</v>
      </c>
      <c r="W618" s="57">
        <v>0</v>
      </c>
      <c r="X618" s="94">
        <v>0</v>
      </c>
    </row>
    <row r="619" spans="1:24" x14ac:dyDescent="0.35">
      <c r="A619">
        <v>615</v>
      </c>
      <c r="B619">
        <v>616</v>
      </c>
      <c r="C619">
        <v>146.11205422200001</v>
      </c>
      <c r="D619">
        <v>-17.6375829103999</v>
      </c>
      <c r="F619" t="str">
        <f>HYPERLINK("D:\Data From Lucan\2024\Moresby\Frames_for_Analysis/616_20240611_0012_R_0131.jpg","616_20240611_0012_R_0131.jpg")</f>
        <v>616_20240611_0012_R_0131.jpg</v>
      </c>
      <c r="G619" s="92" t="s">
        <v>4496</v>
      </c>
      <c r="I619">
        <v>2</v>
      </c>
      <c r="K619" s="95">
        <v>1</v>
      </c>
      <c r="L619" s="31" t="s">
        <v>3959</v>
      </c>
      <c r="M619" s="31" t="s">
        <v>3959</v>
      </c>
      <c r="N619" s="31" t="s">
        <v>3959</v>
      </c>
      <c r="O619" s="31" t="s">
        <v>3959</v>
      </c>
      <c r="P619" s="4">
        <v>1</v>
      </c>
      <c r="Q619" s="57">
        <v>0</v>
      </c>
      <c r="R619" s="57">
        <v>0</v>
      </c>
      <c r="S619" s="97">
        <v>0</v>
      </c>
      <c r="T619" s="57">
        <v>0</v>
      </c>
      <c r="U619" s="57">
        <v>0</v>
      </c>
      <c r="V619" s="57">
        <v>0</v>
      </c>
      <c r="W619" s="57">
        <v>0</v>
      </c>
      <c r="X619" s="94">
        <v>0</v>
      </c>
    </row>
    <row r="620" spans="1:24" x14ac:dyDescent="0.35">
      <c r="A620">
        <v>616</v>
      </c>
      <c r="B620">
        <v>617</v>
      </c>
      <c r="C620">
        <v>146.111984887999</v>
      </c>
      <c r="D620">
        <v>-17.637637343800002</v>
      </c>
      <c r="F620" t="str">
        <f>HYPERLINK("D:\Data From Lucan\2024\Moresby\Frames_for_Analysis/617_20240611_0012_R_0129.jpg","617_20240611_0012_R_0129.jpg")</f>
        <v>617_20240611_0012_R_0129.jpg</v>
      </c>
      <c r="G620" s="92" t="s">
        <v>4497</v>
      </c>
      <c r="I620">
        <v>2</v>
      </c>
      <c r="K620" s="95">
        <v>1</v>
      </c>
      <c r="L620" s="31" t="s">
        <v>3959</v>
      </c>
      <c r="M620" s="31" t="s">
        <v>3959</v>
      </c>
      <c r="N620" s="31" t="s">
        <v>3959</v>
      </c>
      <c r="O620" s="31" t="s">
        <v>3959</v>
      </c>
      <c r="P620" s="4">
        <v>1</v>
      </c>
      <c r="Q620" s="57">
        <v>0</v>
      </c>
      <c r="R620" s="57">
        <v>0</v>
      </c>
      <c r="S620" s="97">
        <v>0</v>
      </c>
      <c r="T620" s="57">
        <v>0</v>
      </c>
      <c r="U620" s="57">
        <v>0</v>
      </c>
      <c r="V620" s="57">
        <v>0</v>
      </c>
      <c r="W620" s="57">
        <v>0</v>
      </c>
      <c r="X620" s="94">
        <v>0</v>
      </c>
    </row>
    <row r="621" spans="1:24" x14ac:dyDescent="0.35">
      <c r="A621">
        <v>617</v>
      </c>
      <c r="B621">
        <v>618</v>
      </c>
      <c r="C621">
        <v>146.11191555400001</v>
      </c>
      <c r="D621">
        <v>-17.637691777200001</v>
      </c>
      <c r="F621" t="str">
        <f>HYPERLINK("D:\Data From Lucan\2024\Moresby\Frames_for_Analysis/618_20240611_0012_R_0127.jpg","618_20240611_0012_R_0127.jpg")</f>
        <v>618_20240611_0012_R_0127.jpg</v>
      </c>
      <c r="G621" s="92" t="s">
        <v>4498</v>
      </c>
      <c r="I621">
        <v>2</v>
      </c>
      <c r="K621" s="95">
        <v>1</v>
      </c>
      <c r="L621" s="31" t="s">
        <v>3959</v>
      </c>
      <c r="M621" s="31" t="s">
        <v>3959</v>
      </c>
      <c r="N621" s="31" t="s">
        <v>3959</v>
      </c>
      <c r="O621" s="31" t="s">
        <v>3959</v>
      </c>
      <c r="P621" s="4">
        <v>1</v>
      </c>
      <c r="Q621" s="57">
        <v>0</v>
      </c>
      <c r="R621" s="57">
        <v>0</v>
      </c>
      <c r="S621" s="97">
        <v>0</v>
      </c>
      <c r="T621" s="57">
        <v>0</v>
      </c>
      <c r="U621" s="57">
        <v>0</v>
      </c>
      <c r="V621" s="57">
        <v>0</v>
      </c>
      <c r="W621" s="57">
        <v>0</v>
      </c>
      <c r="X621" s="94">
        <v>0</v>
      </c>
    </row>
    <row r="622" spans="1:24" x14ac:dyDescent="0.35">
      <c r="A622">
        <v>618</v>
      </c>
      <c r="B622">
        <v>619</v>
      </c>
      <c r="C622">
        <v>146.11184621999899</v>
      </c>
      <c r="D622">
        <v>-17.637746210500001</v>
      </c>
      <c r="F622" t="str">
        <f>HYPERLINK("D:\Data From Lucan\2024\Moresby\Frames_for_Analysis/619_20240611_0012_R_0124.jpg","619_20240611_0012_R_0124.jpg")</f>
        <v>619_20240611_0012_R_0124.jpg</v>
      </c>
      <c r="G622" s="92" t="s">
        <v>4499</v>
      </c>
      <c r="I622">
        <v>2</v>
      </c>
      <c r="K622" s="95">
        <v>1</v>
      </c>
      <c r="L622" s="31" t="s">
        <v>3959</v>
      </c>
      <c r="M622" s="31" t="s">
        <v>3959</v>
      </c>
      <c r="N622" s="31" t="s">
        <v>3959</v>
      </c>
      <c r="O622" s="31" t="s">
        <v>3959</v>
      </c>
      <c r="P622" s="4">
        <v>1</v>
      </c>
      <c r="Q622" s="57">
        <v>0</v>
      </c>
      <c r="R622" s="57">
        <v>0</v>
      </c>
      <c r="S622" s="97">
        <v>0</v>
      </c>
      <c r="T622" s="57">
        <v>0</v>
      </c>
      <c r="U622" s="57">
        <v>0</v>
      </c>
      <c r="V622" s="57">
        <v>0</v>
      </c>
      <c r="W622" s="57">
        <v>0</v>
      </c>
      <c r="X622" s="94">
        <v>0</v>
      </c>
    </row>
    <row r="623" spans="1:24" x14ac:dyDescent="0.35">
      <c r="A623">
        <v>619</v>
      </c>
      <c r="B623">
        <v>620</v>
      </c>
      <c r="C623">
        <v>146.111775467</v>
      </c>
      <c r="D623">
        <v>-17.637798889500001</v>
      </c>
      <c r="E623">
        <v>50</v>
      </c>
      <c r="F623" t="str">
        <f>HYPERLINK("D:\Data From Lucan\2024\Moresby\Frames_for_Analysis/620_20240611_0012_R_0122.jpg","620_20240611_0012_R_0122.jpg")</f>
        <v>620_20240611_0012_R_0122.jpg</v>
      </c>
      <c r="G623" s="92" t="s">
        <v>4500</v>
      </c>
      <c r="I623">
        <v>2</v>
      </c>
      <c r="K623" s="95">
        <v>1</v>
      </c>
      <c r="L623" s="31" t="s">
        <v>3959</v>
      </c>
      <c r="M623" s="31" t="s">
        <v>3959</v>
      </c>
      <c r="N623" s="31" t="s">
        <v>3959</v>
      </c>
      <c r="O623" s="31" t="s">
        <v>3959</v>
      </c>
      <c r="P623" s="4">
        <v>1</v>
      </c>
      <c r="Q623" s="57">
        <v>0</v>
      </c>
      <c r="R623" s="57">
        <v>0</v>
      </c>
      <c r="S623" s="97">
        <v>0</v>
      </c>
      <c r="T623" s="57">
        <v>0</v>
      </c>
      <c r="U623" s="57">
        <v>0</v>
      </c>
      <c r="V623" s="57">
        <v>0</v>
      </c>
      <c r="W623" s="57">
        <v>0</v>
      </c>
      <c r="X623" s="94">
        <v>0</v>
      </c>
    </row>
    <row r="624" spans="1:24" x14ac:dyDescent="0.35">
      <c r="A624">
        <v>620</v>
      </c>
      <c r="B624">
        <v>621</v>
      </c>
      <c r="C624">
        <v>146.11170261300001</v>
      </c>
      <c r="D624">
        <v>-17.637848974400001</v>
      </c>
      <c r="F624" t="str">
        <f>HYPERLINK("D:\Data From Lucan\2024\Moresby\Frames_for_Analysis/621_20240611_0012_R_0119.jpg","621_20240611_0012_R_0119.jpg")</f>
        <v>621_20240611_0012_R_0119.jpg</v>
      </c>
      <c r="G624" s="92" t="s">
        <v>4501</v>
      </c>
      <c r="I624">
        <v>2</v>
      </c>
      <c r="K624" s="95">
        <v>1</v>
      </c>
      <c r="L624" s="31" t="s">
        <v>3959</v>
      </c>
      <c r="M624" s="31" t="s">
        <v>3959</v>
      </c>
      <c r="N624" s="31" t="s">
        <v>3959</v>
      </c>
      <c r="O624" s="31" t="s">
        <v>3959</v>
      </c>
      <c r="P624" s="4">
        <v>1</v>
      </c>
      <c r="Q624" s="57">
        <v>0</v>
      </c>
      <c r="R624" s="57">
        <v>0</v>
      </c>
      <c r="S624" s="97">
        <v>0</v>
      </c>
      <c r="T624" s="57">
        <v>0</v>
      </c>
      <c r="U624" s="57">
        <v>0</v>
      </c>
      <c r="V624" s="57">
        <v>0</v>
      </c>
      <c r="W624" s="57">
        <v>0</v>
      </c>
      <c r="X624" s="94">
        <v>0</v>
      </c>
    </row>
    <row r="625" spans="1:24" x14ac:dyDescent="0.35">
      <c r="A625">
        <v>621</v>
      </c>
      <c r="B625">
        <v>622</v>
      </c>
      <c r="C625">
        <v>146.11162976</v>
      </c>
      <c r="D625">
        <v>-17.637899059199899</v>
      </c>
      <c r="F625" t="str">
        <f>HYPERLINK("D:\Data From Lucan\2024\Moresby\Frames_for_Analysis/622_20240611_0012_R_0117.jpg","622_20240611_0012_R_0117.jpg")</f>
        <v>622_20240611_0012_R_0117.jpg</v>
      </c>
      <c r="G625" s="92" t="s">
        <v>4502</v>
      </c>
      <c r="I625">
        <v>2</v>
      </c>
      <c r="K625" s="95">
        <v>1</v>
      </c>
      <c r="L625" s="31" t="s">
        <v>3959</v>
      </c>
      <c r="M625" s="31" t="s">
        <v>3959</v>
      </c>
      <c r="N625" s="31" t="s">
        <v>3959</v>
      </c>
      <c r="O625" s="31" t="s">
        <v>3959</v>
      </c>
      <c r="P625" s="4">
        <v>1</v>
      </c>
      <c r="Q625" s="57">
        <v>0</v>
      </c>
      <c r="R625" s="57">
        <v>0</v>
      </c>
      <c r="S625" s="97">
        <v>0</v>
      </c>
      <c r="T625" s="57">
        <v>0</v>
      </c>
      <c r="U625" s="57">
        <v>0</v>
      </c>
      <c r="V625" s="57">
        <v>0</v>
      </c>
      <c r="W625" s="57">
        <v>0</v>
      </c>
      <c r="X625" s="94">
        <v>0</v>
      </c>
    </row>
    <row r="626" spans="1:24" x14ac:dyDescent="0.35">
      <c r="A626">
        <v>622</v>
      </c>
      <c r="B626">
        <v>623</v>
      </c>
      <c r="C626">
        <v>146.111556906</v>
      </c>
      <c r="D626">
        <v>-17.6379491442</v>
      </c>
      <c r="F626" t="str">
        <f>HYPERLINK("D:\Data From Lucan\2024\Moresby\Frames_for_Analysis/623_20240611_0012_R_0115.jpg","623_20240611_0012_R_0115.jpg")</f>
        <v>623_20240611_0012_R_0115.jpg</v>
      </c>
      <c r="G626" s="92" t="s">
        <v>4503</v>
      </c>
      <c r="I626">
        <v>2</v>
      </c>
      <c r="K626" s="95">
        <v>1</v>
      </c>
      <c r="L626" s="31" t="s">
        <v>3959</v>
      </c>
      <c r="M626" s="31" t="s">
        <v>3959</v>
      </c>
      <c r="N626" s="31" t="s">
        <v>3959</v>
      </c>
      <c r="O626" s="31" t="s">
        <v>3959</v>
      </c>
      <c r="P626" s="4">
        <v>1</v>
      </c>
      <c r="Q626" s="57">
        <v>0</v>
      </c>
      <c r="R626" s="57">
        <v>0</v>
      </c>
      <c r="S626" s="97">
        <v>0</v>
      </c>
      <c r="T626" s="57">
        <v>0</v>
      </c>
      <c r="U626" s="57">
        <v>0</v>
      </c>
      <c r="V626" s="57">
        <v>0</v>
      </c>
      <c r="W626" s="57">
        <v>0</v>
      </c>
      <c r="X626" s="94">
        <v>0</v>
      </c>
    </row>
    <row r="627" spans="1:24" x14ac:dyDescent="0.35">
      <c r="A627">
        <v>623</v>
      </c>
      <c r="B627">
        <v>624</v>
      </c>
      <c r="C627">
        <v>146.111484052999</v>
      </c>
      <c r="D627">
        <v>-17.637999229399899</v>
      </c>
      <c r="F627" t="str">
        <f>HYPERLINK("D:\Data From Lucan\2024\Moresby\Frames_for_Analysis/624_20240611_0012_R_0112.jpg","624_20240611_0012_R_0112.jpg")</f>
        <v>624_20240611_0012_R_0112.jpg</v>
      </c>
      <c r="G627" s="92" t="s">
        <v>4504</v>
      </c>
      <c r="I627">
        <v>2</v>
      </c>
      <c r="K627" s="95">
        <v>1</v>
      </c>
      <c r="L627" s="31" t="s">
        <v>3959</v>
      </c>
      <c r="M627" s="31" t="s">
        <v>3959</v>
      </c>
      <c r="N627" s="31" t="s">
        <v>3959</v>
      </c>
      <c r="O627" s="31" t="s">
        <v>3959</v>
      </c>
      <c r="P627" s="4">
        <v>1</v>
      </c>
      <c r="Q627" s="57">
        <v>0</v>
      </c>
      <c r="R627" s="57">
        <v>0</v>
      </c>
      <c r="S627" s="97">
        <v>0</v>
      </c>
      <c r="T627" s="57">
        <v>0</v>
      </c>
      <c r="U627" s="57">
        <v>0</v>
      </c>
      <c r="V627" s="57">
        <v>0</v>
      </c>
      <c r="W627" s="57">
        <v>0</v>
      </c>
      <c r="X627" s="94">
        <v>0</v>
      </c>
    </row>
    <row r="628" spans="1:24" x14ac:dyDescent="0.35">
      <c r="A628">
        <v>624</v>
      </c>
      <c r="B628">
        <v>625</v>
      </c>
      <c r="C628">
        <v>146.111411199999</v>
      </c>
      <c r="D628">
        <v>-17.638049314500002</v>
      </c>
      <c r="E628">
        <v>50</v>
      </c>
      <c r="F628" t="str">
        <f>HYPERLINK("D:\Data From Lucan\2024\Moresby\Frames_for_Analysis/625_20240611_0012_R_0110.jpg","625_20240611_0012_R_0110.jpg")</f>
        <v>625_20240611_0012_R_0110.jpg</v>
      </c>
      <c r="G628" s="92" t="s">
        <v>4505</v>
      </c>
      <c r="I628">
        <v>2</v>
      </c>
      <c r="K628" s="95">
        <v>1</v>
      </c>
      <c r="L628" s="31" t="s">
        <v>3959</v>
      </c>
      <c r="M628" s="31" t="s">
        <v>3959</v>
      </c>
      <c r="N628" s="31" t="s">
        <v>3959</v>
      </c>
      <c r="O628" s="31" t="s">
        <v>3959</v>
      </c>
      <c r="P628" s="4">
        <v>1</v>
      </c>
      <c r="Q628" s="57">
        <v>0</v>
      </c>
      <c r="R628" s="57">
        <v>0</v>
      </c>
      <c r="S628" s="97">
        <v>0</v>
      </c>
      <c r="T628" s="57">
        <v>0</v>
      </c>
      <c r="U628" s="57">
        <v>0</v>
      </c>
      <c r="V628" s="57">
        <v>0</v>
      </c>
      <c r="W628" s="57">
        <v>0</v>
      </c>
      <c r="X628" s="94">
        <v>0</v>
      </c>
    </row>
    <row r="629" spans="1:24" x14ac:dyDescent="0.35">
      <c r="A629">
        <v>625</v>
      </c>
      <c r="B629">
        <v>626</v>
      </c>
      <c r="C629">
        <v>146.11133834699899</v>
      </c>
      <c r="D629">
        <v>-17.6380993997</v>
      </c>
      <c r="F629" t="str">
        <f>HYPERLINK("D:\Data From Lucan\2024\Moresby\Frames_for_Analysis/626_20240611_0012_R_0107.jpg","626_20240611_0012_R_0107.jpg")</f>
        <v>626_20240611_0012_R_0107.jpg</v>
      </c>
      <c r="G629" s="92" t="s">
        <v>4506</v>
      </c>
      <c r="I629">
        <v>2</v>
      </c>
      <c r="K629" s="95">
        <v>1</v>
      </c>
      <c r="L629" s="31" t="s">
        <v>3959</v>
      </c>
      <c r="M629" s="31" t="s">
        <v>3959</v>
      </c>
      <c r="N629" s="31" t="s">
        <v>3959</v>
      </c>
      <c r="O629" s="31" t="s">
        <v>3959</v>
      </c>
      <c r="P629" s="4">
        <v>1</v>
      </c>
      <c r="Q629" s="57">
        <v>0</v>
      </c>
      <c r="R629" s="57">
        <v>0</v>
      </c>
      <c r="S629" s="97">
        <v>0</v>
      </c>
      <c r="T629" s="57">
        <v>0</v>
      </c>
      <c r="U629" s="57">
        <v>0</v>
      </c>
      <c r="V629" s="57">
        <v>0</v>
      </c>
      <c r="W629" s="57">
        <v>0</v>
      </c>
      <c r="X629" s="94">
        <v>0</v>
      </c>
    </row>
    <row r="630" spans="1:24" x14ac:dyDescent="0.35">
      <c r="A630">
        <v>626</v>
      </c>
      <c r="B630">
        <v>627</v>
      </c>
      <c r="C630">
        <v>146.111265492999</v>
      </c>
      <c r="D630">
        <v>-17.6381494848</v>
      </c>
      <c r="F630" t="str">
        <f>HYPERLINK("D:\Data From Lucan\2024\Moresby\Frames_for_Analysis/627_20240611_0012_R_0105.jpg","627_20240611_0012_R_0105.jpg")</f>
        <v>627_20240611_0012_R_0105.jpg</v>
      </c>
      <c r="G630" s="92" t="s">
        <v>4507</v>
      </c>
      <c r="I630">
        <v>2</v>
      </c>
      <c r="K630" s="95">
        <v>1</v>
      </c>
      <c r="L630" s="31" t="s">
        <v>3959</v>
      </c>
      <c r="M630" s="31" t="s">
        <v>3959</v>
      </c>
      <c r="N630" s="31" t="s">
        <v>3959</v>
      </c>
      <c r="O630" s="31" t="s">
        <v>3959</v>
      </c>
      <c r="P630" s="4">
        <v>1</v>
      </c>
      <c r="Q630" s="57">
        <v>0</v>
      </c>
      <c r="R630" s="57">
        <v>0</v>
      </c>
      <c r="S630" s="97">
        <v>0</v>
      </c>
      <c r="T630" s="57">
        <v>0</v>
      </c>
      <c r="U630" s="57">
        <v>0</v>
      </c>
      <c r="V630" s="57">
        <v>0</v>
      </c>
      <c r="W630" s="57">
        <v>0</v>
      </c>
      <c r="X630" s="94">
        <v>0</v>
      </c>
    </row>
    <row r="631" spans="1:24" x14ac:dyDescent="0.35">
      <c r="A631">
        <v>627</v>
      </c>
      <c r="B631">
        <v>628</v>
      </c>
      <c r="C631">
        <v>146.111191031999</v>
      </c>
      <c r="D631">
        <v>-17.638196990600001</v>
      </c>
      <c r="F631" t="str">
        <f>HYPERLINK("D:\Data From Lucan\2024\Moresby\Frames_for_Analysis/628_20240611_0012_R_0103.jpg","628_20240611_0012_R_0103.jpg")</f>
        <v>628_20240611_0012_R_0103.jpg</v>
      </c>
      <c r="G631" s="92" t="s">
        <v>4508</v>
      </c>
      <c r="I631">
        <v>2</v>
      </c>
      <c r="K631" s="95">
        <v>1</v>
      </c>
      <c r="L631" s="31" t="s">
        <v>3959</v>
      </c>
      <c r="M631" s="31" t="s">
        <v>3959</v>
      </c>
      <c r="N631" s="31" t="s">
        <v>3959</v>
      </c>
      <c r="O631" s="31" t="s">
        <v>3959</v>
      </c>
      <c r="P631" s="4">
        <v>1</v>
      </c>
      <c r="Q631" s="57">
        <v>0</v>
      </c>
      <c r="R631" s="57">
        <v>0</v>
      </c>
      <c r="S631" s="97">
        <v>0</v>
      </c>
      <c r="T631" s="57">
        <v>0</v>
      </c>
      <c r="U631" s="57">
        <v>0</v>
      </c>
      <c r="V631" s="57">
        <v>0</v>
      </c>
      <c r="W631" s="57">
        <v>0</v>
      </c>
      <c r="X631" s="94">
        <v>0</v>
      </c>
    </row>
    <row r="632" spans="1:24" x14ac:dyDescent="0.35">
      <c r="A632">
        <v>628</v>
      </c>
      <c r="B632">
        <v>629</v>
      </c>
      <c r="C632">
        <v>146.111110042999</v>
      </c>
      <c r="D632">
        <v>-17.638234029300001</v>
      </c>
      <c r="F632" t="str">
        <f>HYPERLINK("D:\Data From Lucan\2024\Moresby\Frames_for_Analysis/629_20240611_0012_R_0100.jpg","629_20240611_0012_R_0100.jpg")</f>
        <v>629_20240611_0012_R_0100.jpg</v>
      </c>
      <c r="G632" s="92" t="s">
        <v>4509</v>
      </c>
      <c r="I632">
        <v>2</v>
      </c>
      <c r="K632" s="95">
        <v>1</v>
      </c>
      <c r="L632" s="31" t="s">
        <v>3959</v>
      </c>
      <c r="M632" s="31" t="s">
        <v>3959</v>
      </c>
      <c r="N632" s="31" t="s">
        <v>3959</v>
      </c>
      <c r="O632" s="31" t="s">
        <v>3959</v>
      </c>
      <c r="P632" s="4">
        <v>1</v>
      </c>
      <c r="Q632" s="57">
        <v>0</v>
      </c>
      <c r="R632" s="57">
        <v>0</v>
      </c>
      <c r="S632" s="97">
        <v>0</v>
      </c>
      <c r="T632" s="57">
        <v>0</v>
      </c>
      <c r="U632" s="57">
        <v>0</v>
      </c>
      <c r="V632" s="57">
        <v>0</v>
      </c>
      <c r="W632" s="57">
        <v>0</v>
      </c>
      <c r="X632" s="94">
        <v>0</v>
      </c>
    </row>
    <row r="633" spans="1:24" x14ac:dyDescent="0.35">
      <c r="A633">
        <v>629</v>
      </c>
      <c r="B633">
        <v>630</v>
      </c>
      <c r="C633">
        <v>146.11102905499899</v>
      </c>
      <c r="D633">
        <v>-17.638271068000002</v>
      </c>
      <c r="E633">
        <v>50</v>
      </c>
      <c r="F633" t="str">
        <f>HYPERLINK("D:\Data From Lucan\2024\Moresby\Frames_for_Analysis/630_20240611_0012_R_0098.jpg","630_20240611_0012_R_0098.jpg")</f>
        <v>630_20240611_0012_R_0098.jpg</v>
      </c>
      <c r="G633" s="92" t="s">
        <v>4510</v>
      </c>
      <c r="I633">
        <v>2</v>
      </c>
      <c r="K633" s="95">
        <v>1</v>
      </c>
      <c r="L633" s="31" t="s">
        <v>3959</v>
      </c>
      <c r="M633" s="31" t="s">
        <v>3959</v>
      </c>
      <c r="N633" s="31" t="s">
        <v>3959</v>
      </c>
      <c r="O633" s="31" t="s">
        <v>3959</v>
      </c>
      <c r="P633" s="4">
        <v>1</v>
      </c>
      <c r="Q633" s="57">
        <v>0</v>
      </c>
      <c r="R633" s="57">
        <v>0</v>
      </c>
      <c r="S633" s="97">
        <v>0</v>
      </c>
      <c r="T633" s="57">
        <v>0</v>
      </c>
      <c r="U633" s="57">
        <v>0</v>
      </c>
      <c r="V633" s="57">
        <v>0</v>
      </c>
      <c r="W633" s="57">
        <v>0</v>
      </c>
      <c r="X633" s="94">
        <v>0</v>
      </c>
    </row>
    <row r="634" spans="1:24" x14ac:dyDescent="0.35">
      <c r="A634">
        <v>630</v>
      </c>
      <c r="B634">
        <v>631</v>
      </c>
      <c r="C634">
        <v>146.110948065999</v>
      </c>
      <c r="D634">
        <v>-17.6383081066</v>
      </c>
      <c r="F634" t="str">
        <f>HYPERLINK("D:\Data From Lucan\2024\Moresby\Frames_for_Analysis/631_20240611_0012_R_0095.jpg","631_20240611_0012_R_0095.jpg")</f>
        <v>631_20240611_0012_R_0095.jpg</v>
      </c>
      <c r="G634" s="92" t="s">
        <v>4511</v>
      </c>
      <c r="I634">
        <v>2</v>
      </c>
      <c r="K634" s="95">
        <v>1</v>
      </c>
      <c r="L634" s="31" t="s">
        <v>3959</v>
      </c>
      <c r="M634" s="31" t="s">
        <v>3959</v>
      </c>
      <c r="N634" s="31" t="s">
        <v>3959</v>
      </c>
      <c r="O634" s="31" t="s">
        <v>3959</v>
      </c>
      <c r="P634" s="4">
        <v>1</v>
      </c>
      <c r="Q634" s="57">
        <v>0</v>
      </c>
      <c r="R634" s="57">
        <v>0</v>
      </c>
      <c r="S634" s="97">
        <v>0</v>
      </c>
      <c r="T634" s="57">
        <v>0</v>
      </c>
      <c r="U634" s="57">
        <v>0</v>
      </c>
      <c r="V634" s="57">
        <v>0</v>
      </c>
      <c r="W634" s="57">
        <v>0</v>
      </c>
      <c r="X634" s="94">
        <v>0</v>
      </c>
    </row>
    <row r="635" spans="1:24" x14ac:dyDescent="0.35">
      <c r="A635">
        <v>631</v>
      </c>
      <c r="B635">
        <v>632</v>
      </c>
      <c r="C635">
        <v>146.11086707800001</v>
      </c>
      <c r="D635">
        <v>-17.638345145300001</v>
      </c>
      <c r="F635" t="str">
        <f>HYPERLINK("D:\Data From Lucan\2024\Moresby\Frames_for_Analysis/632_20240611_0012_R_0093.jpg","632_20240611_0012_R_0093.jpg")</f>
        <v>632_20240611_0012_R_0093.jpg</v>
      </c>
      <c r="G635" s="92" t="s">
        <v>4512</v>
      </c>
      <c r="I635">
        <v>2</v>
      </c>
      <c r="K635" s="95">
        <v>1</v>
      </c>
      <c r="L635" s="31" t="s">
        <v>3959</v>
      </c>
      <c r="M635" s="31" t="s">
        <v>3959</v>
      </c>
      <c r="N635" s="31" t="s">
        <v>3959</v>
      </c>
      <c r="O635" s="31" t="s">
        <v>3959</v>
      </c>
      <c r="P635" s="4">
        <v>1</v>
      </c>
      <c r="Q635" s="57">
        <v>0</v>
      </c>
      <c r="R635" s="57">
        <v>0</v>
      </c>
      <c r="S635" s="97">
        <v>0</v>
      </c>
      <c r="T635" s="57">
        <v>0</v>
      </c>
      <c r="U635" s="57">
        <v>0</v>
      </c>
      <c r="V635" s="57">
        <v>0</v>
      </c>
      <c r="W635" s="57">
        <v>0</v>
      </c>
      <c r="X635" s="94">
        <v>0</v>
      </c>
    </row>
    <row r="636" spans="1:24" x14ac:dyDescent="0.35">
      <c r="A636">
        <v>632</v>
      </c>
      <c r="B636">
        <v>633</v>
      </c>
      <c r="C636">
        <v>146.11078608899899</v>
      </c>
      <c r="D636">
        <v>-17.6383821838999</v>
      </c>
      <c r="F636" t="str">
        <f>HYPERLINK("D:\Data From Lucan\2024\Moresby\Frames_for_Analysis/633_20240611_0012_R_0091.jpg","633_20240611_0012_R_0091.jpg")</f>
        <v>633_20240611_0012_R_0091.jpg</v>
      </c>
      <c r="G636" s="92" t="s">
        <v>4513</v>
      </c>
      <c r="I636">
        <v>2</v>
      </c>
      <c r="K636" s="95">
        <v>1</v>
      </c>
      <c r="L636" s="31" t="s">
        <v>3959</v>
      </c>
      <c r="M636" s="31" t="s">
        <v>3959</v>
      </c>
      <c r="N636" s="31" t="s">
        <v>3959</v>
      </c>
      <c r="O636" s="31" t="s">
        <v>3959</v>
      </c>
      <c r="P636" s="4">
        <v>1</v>
      </c>
      <c r="Q636" s="57">
        <v>0</v>
      </c>
      <c r="R636" s="57">
        <v>0</v>
      </c>
      <c r="S636" s="97">
        <v>0</v>
      </c>
      <c r="T636" s="57">
        <v>0</v>
      </c>
      <c r="U636" s="57">
        <v>0</v>
      </c>
      <c r="V636" s="57">
        <v>0</v>
      </c>
      <c r="W636" s="57">
        <v>0</v>
      </c>
      <c r="X636" s="94">
        <v>0</v>
      </c>
    </row>
    <row r="637" spans="1:24" x14ac:dyDescent="0.35">
      <c r="A637">
        <v>633</v>
      </c>
      <c r="B637">
        <v>634</v>
      </c>
      <c r="C637">
        <v>146.110705099999</v>
      </c>
      <c r="D637">
        <v>-17.638419222500001</v>
      </c>
      <c r="F637" t="str">
        <f>HYPERLINK("D:\Data From Lucan\2024\Moresby\Frames_for_Analysis/634_20240611_0012_R_0088.jpg","634_20240611_0012_R_0088.jpg")</f>
        <v>634_20240611_0012_R_0088.jpg</v>
      </c>
      <c r="G637" s="92" t="s">
        <v>4514</v>
      </c>
      <c r="I637">
        <v>2</v>
      </c>
      <c r="K637" s="95">
        <v>1</v>
      </c>
      <c r="L637" s="31" t="s">
        <v>3959</v>
      </c>
      <c r="M637" s="31" t="s">
        <v>3959</v>
      </c>
      <c r="N637" s="31" t="s">
        <v>3959</v>
      </c>
      <c r="O637" s="31" t="s">
        <v>3959</v>
      </c>
      <c r="P637" s="4">
        <v>1</v>
      </c>
      <c r="Q637" s="57">
        <v>0</v>
      </c>
      <c r="R637" s="57">
        <v>0</v>
      </c>
      <c r="S637" s="97">
        <v>0</v>
      </c>
      <c r="T637" s="57">
        <v>0</v>
      </c>
      <c r="U637" s="57">
        <v>0</v>
      </c>
      <c r="V637" s="57">
        <v>0</v>
      </c>
      <c r="W637" s="57">
        <v>0</v>
      </c>
      <c r="X637" s="94">
        <v>0</v>
      </c>
    </row>
    <row r="638" spans="1:24" x14ac:dyDescent="0.35">
      <c r="A638">
        <v>634</v>
      </c>
      <c r="B638">
        <v>635</v>
      </c>
      <c r="C638">
        <v>146.11062411200001</v>
      </c>
      <c r="D638">
        <v>-17.638456261200002</v>
      </c>
      <c r="E638">
        <v>50</v>
      </c>
      <c r="F638" t="str">
        <f>HYPERLINK("D:\Data From Lucan\2024\Moresby\Frames_for_Analysis/635_20240611_0012_R_0086.jpg","635_20240611_0012_R_0086.jpg")</f>
        <v>635_20240611_0012_R_0086.jpg</v>
      </c>
      <c r="G638" s="92" t="s">
        <v>4515</v>
      </c>
      <c r="I638">
        <v>2</v>
      </c>
      <c r="K638" s="95">
        <v>1</v>
      </c>
      <c r="L638" s="31" t="s">
        <v>3959</v>
      </c>
      <c r="M638" s="31" t="s">
        <v>3959</v>
      </c>
      <c r="N638" s="31" t="s">
        <v>3959</v>
      </c>
      <c r="O638" s="31" t="s">
        <v>3959</v>
      </c>
      <c r="P638" s="4">
        <v>1</v>
      </c>
      <c r="Q638" s="57">
        <v>0</v>
      </c>
      <c r="R638" s="57">
        <v>0</v>
      </c>
      <c r="S638" s="97">
        <v>0</v>
      </c>
      <c r="T638" s="57">
        <v>0</v>
      </c>
      <c r="U638" s="57">
        <v>0</v>
      </c>
      <c r="V638" s="57">
        <v>0</v>
      </c>
      <c r="W638" s="57">
        <v>0</v>
      </c>
      <c r="X638" s="94">
        <v>0</v>
      </c>
    </row>
    <row r="639" spans="1:24" x14ac:dyDescent="0.35">
      <c r="A639">
        <v>635</v>
      </c>
      <c r="B639">
        <v>636</v>
      </c>
      <c r="C639">
        <v>146.11054312300001</v>
      </c>
      <c r="D639">
        <v>-17.6384932998</v>
      </c>
      <c r="F639" t="str">
        <f>HYPERLINK("D:\Data From Lucan\2024\Moresby\Frames_for_Analysis/636_20240611_0012_R_0083.jpg","636_20240611_0012_R_0083.jpg")</f>
        <v>636_20240611_0012_R_0083.jpg</v>
      </c>
      <c r="G639" s="92" t="s">
        <v>4516</v>
      </c>
      <c r="I639">
        <v>2</v>
      </c>
      <c r="K639" s="95">
        <v>1</v>
      </c>
      <c r="L639" s="31" t="s">
        <v>3959</v>
      </c>
      <c r="M639" s="31" t="s">
        <v>3959</v>
      </c>
      <c r="N639" s="31" t="s">
        <v>3959</v>
      </c>
      <c r="O639" s="31" t="s">
        <v>3959</v>
      </c>
      <c r="P639" s="4">
        <v>1</v>
      </c>
      <c r="Q639" s="57">
        <v>0</v>
      </c>
      <c r="R639" s="57">
        <v>0</v>
      </c>
      <c r="S639" s="97">
        <v>0</v>
      </c>
      <c r="T639" s="57">
        <v>0</v>
      </c>
      <c r="U639" s="57">
        <v>0</v>
      </c>
      <c r="V639" s="57">
        <v>0</v>
      </c>
      <c r="W639" s="57">
        <v>0</v>
      </c>
      <c r="X639" s="94">
        <v>0</v>
      </c>
    </row>
    <row r="640" spans="1:24" x14ac:dyDescent="0.35">
      <c r="A640">
        <v>636</v>
      </c>
      <c r="B640">
        <v>637</v>
      </c>
      <c r="C640">
        <v>146.11046213500001</v>
      </c>
      <c r="D640">
        <v>-17.638530338399899</v>
      </c>
      <c r="F640" t="str">
        <f>HYPERLINK("D:\Data From Lucan\2024\Moresby\Frames_for_Analysis/637_20240611_0012_R_0081.jpg","637_20240611_0012_R_0081.jpg")</f>
        <v>637_20240611_0012_R_0081.jpg</v>
      </c>
      <c r="G640" s="92" t="s">
        <v>4517</v>
      </c>
      <c r="I640">
        <v>2</v>
      </c>
      <c r="K640" s="95">
        <v>1</v>
      </c>
      <c r="L640" s="31" t="s">
        <v>3959</v>
      </c>
      <c r="M640" s="31" t="s">
        <v>3959</v>
      </c>
      <c r="N640" s="31" t="s">
        <v>3959</v>
      </c>
      <c r="O640" s="31" t="s">
        <v>3959</v>
      </c>
      <c r="P640" s="4">
        <v>1</v>
      </c>
      <c r="Q640" s="57">
        <v>0</v>
      </c>
      <c r="R640" s="57">
        <v>0</v>
      </c>
      <c r="S640" s="97">
        <v>0</v>
      </c>
      <c r="T640" s="57">
        <v>0</v>
      </c>
      <c r="U640" s="57">
        <v>0</v>
      </c>
      <c r="V640" s="57">
        <v>0</v>
      </c>
      <c r="W640" s="57">
        <v>0</v>
      </c>
      <c r="X640" s="94">
        <v>0</v>
      </c>
    </row>
    <row r="641" spans="1:24" x14ac:dyDescent="0.35">
      <c r="A641">
        <v>637</v>
      </c>
      <c r="B641">
        <v>638</v>
      </c>
      <c r="C641">
        <v>146.110380305999</v>
      </c>
      <c r="D641">
        <v>-17.6385655634</v>
      </c>
      <c r="F641" t="str">
        <f>HYPERLINK("D:\Data From Lucan\2024\Moresby\Frames_for_Analysis/638_20240611_0012_R_0078.jpg","638_20240611_0012_R_0078.jpg")</f>
        <v>638_20240611_0012_R_0078.jpg</v>
      </c>
      <c r="G641" s="92" t="s">
        <v>4518</v>
      </c>
      <c r="I641">
        <v>2</v>
      </c>
      <c r="K641" s="95">
        <v>1</v>
      </c>
      <c r="L641" s="31" t="s">
        <v>3959</v>
      </c>
      <c r="M641" s="31" t="s">
        <v>3959</v>
      </c>
      <c r="N641" s="31" t="s">
        <v>3959</v>
      </c>
      <c r="O641" s="31" t="s">
        <v>3959</v>
      </c>
      <c r="P641" s="4">
        <v>1</v>
      </c>
      <c r="Q641" s="57">
        <v>0</v>
      </c>
      <c r="R641" s="57">
        <v>0</v>
      </c>
      <c r="S641" s="97">
        <v>0</v>
      </c>
      <c r="T641" s="57">
        <v>0</v>
      </c>
      <c r="U641" s="57">
        <v>0</v>
      </c>
      <c r="V641" s="57">
        <v>0</v>
      </c>
      <c r="W641" s="57">
        <v>0</v>
      </c>
      <c r="X641" s="94">
        <v>0</v>
      </c>
    </row>
    <row r="642" spans="1:24" x14ac:dyDescent="0.35">
      <c r="A642">
        <v>638</v>
      </c>
      <c r="B642">
        <v>639</v>
      </c>
      <c r="C642">
        <v>146.11029702600001</v>
      </c>
      <c r="D642">
        <v>-17.6385976575</v>
      </c>
      <c r="F642" t="str">
        <f>HYPERLINK("D:\Data From Lucan\2024\Moresby\Frames_for_Analysis/639_20240611_0012_R_0076.jpg","639_20240611_0012_R_0076.jpg")</f>
        <v>639_20240611_0012_R_0076.jpg</v>
      </c>
      <c r="G642" s="92" t="s">
        <v>4519</v>
      </c>
      <c r="I642">
        <v>2</v>
      </c>
      <c r="K642" s="95">
        <v>1</v>
      </c>
      <c r="L642" s="31" t="s">
        <v>3959</v>
      </c>
      <c r="M642" s="31" t="s">
        <v>3959</v>
      </c>
      <c r="N642" s="31" t="s">
        <v>3959</v>
      </c>
      <c r="O642" s="31" t="s">
        <v>3959</v>
      </c>
      <c r="P642" s="4">
        <v>1</v>
      </c>
      <c r="Q642" s="57">
        <v>0</v>
      </c>
      <c r="R642" s="57">
        <v>0</v>
      </c>
      <c r="S642" s="97">
        <v>0</v>
      </c>
      <c r="T642" s="57">
        <v>0</v>
      </c>
      <c r="U642" s="57">
        <v>0</v>
      </c>
      <c r="V642" s="57">
        <v>0</v>
      </c>
      <c r="W642" s="57">
        <v>0</v>
      </c>
      <c r="X642" s="94">
        <v>0</v>
      </c>
    </row>
    <row r="643" spans="1:24" x14ac:dyDescent="0.35">
      <c r="A643">
        <v>639</v>
      </c>
      <c r="B643">
        <v>640</v>
      </c>
      <c r="C643">
        <v>146.110213745999</v>
      </c>
      <c r="D643">
        <v>-17.6386297516</v>
      </c>
      <c r="E643">
        <v>50</v>
      </c>
      <c r="F643" t="str">
        <f>HYPERLINK("D:\Data From Lucan\2024\Moresby\Frames_for_Analysis/640_20240611_0012_R_0073.jpg","640_20240611_0012_R_0073.jpg")</f>
        <v>640_20240611_0012_R_0073.jpg</v>
      </c>
      <c r="G643" s="92" t="s">
        <v>4520</v>
      </c>
      <c r="I643">
        <v>2</v>
      </c>
      <c r="K643" s="95">
        <v>1</v>
      </c>
      <c r="L643" s="31" t="s">
        <v>3959</v>
      </c>
      <c r="M643" s="31" t="s">
        <v>3959</v>
      </c>
      <c r="N643" s="31" t="s">
        <v>3959</v>
      </c>
      <c r="O643" s="31" t="s">
        <v>3959</v>
      </c>
      <c r="P643" s="4">
        <v>1</v>
      </c>
      <c r="Q643" s="57">
        <v>0</v>
      </c>
      <c r="R643" s="57">
        <v>0</v>
      </c>
      <c r="S643" s="97">
        <v>0</v>
      </c>
      <c r="T643" s="57">
        <v>0</v>
      </c>
      <c r="U643" s="57">
        <v>0</v>
      </c>
      <c r="V643" s="57">
        <v>0</v>
      </c>
      <c r="W643" s="57">
        <v>0</v>
      </c>
      <c r="X643" s="94">
        <v>0</v>
      </c>
    </row>
    <row r="644" spans="1:24" x14ac:dyDescent="0.35">
      <c r="A644">
        <v>640</v>
      </c>
      <c r="B644">
        <v>641</v>
      </c>
      <c r="C644">
        <v>146.11013046599899</v>
      </c>
      <c r="D644">
        <v>-17.638661845600001</v>
      </c>
      <c r="F644" t="str">
        <f>HYPERLINK("D:\Data From Lucan\2024\Moresby\Frames_for_Analysis/641_20240611_0012_R_0071.jpg","641_20240611_0012_R_0071.jpg")</f>
        <v>641_20240611_0012_R_0071.jpg</v>
      </c>
      <c r="G644" s="92" t="s">
        <v>4521</v>
      </c>
      <c r="I644">
        <v>2</v>
      </c>
      <c r="K644" s="95">
        <v>1</v>
      </c>
      <c r="L644" s="31" t="s">
        <v>3959</v>
      </c>
      <c r="M644" s="31" t="s">
        <v>3959</v>
      </c>
      <c r="N644" s="31" t="s">
        <v>3959</v>
      </c>
      <c r="O644" s="31" t="s">
        <v>3959</v>
      </c>
      <c r="P644" s="4">
        <v>1</v>
      </c>
      <c r="Q644" s="57">
        <v>0</v>
      </c>
      <c r="R644" s="57">
        <v>0</v>
      </c>
      <c r="S644" s="97">
        <v>0</v>
      </c>
      <c r="T644" s="57">
        <v>0</v>
      </c>
      <c r="U644" s="57">
        <v>0</v>
      </c>
      <c r="V644" s="57">
        <v>0</v>
      </c>
      <c r="W644" s="57">
        <v>0</v>
      </c>
      <c r="X644" s="94">
        <v>0</v>
      </c>
    </row>
    <row r="645" spans="1:24" x14ac:dyDescent="0.35">
      <c r="A645">
        <v>641</v>
      </c>
      <c r="B645">
        <v>642</v>
      </c>
      <c r="C645">
        <v>146.110047186</v>
      </c>
      <c r="D645">
        <v>-17.6386939396</v>
      </c>
      <c r="F645" t="str">
        <f>HYPERLINK("D:\Data From Lucan\2024\Moresby\Frames_for_Analysis/642_20240611_0012_R_0069.jpg","642_20240611_0012_R_0069.jpg")</f>
        <v>642_20240611_0012_R_0069.jpg</v>
      </c>
      <c r="G645" s="92" t="s">
        <v>4522</v>
      </c>
      <c r="I645">
        <v>2</v>
      </c>
      <c r="K645" s="95">
        <v>1</v>
      </c>
      <c r="L645" s="31" t="s">
        <v>3959</v>
      </c>
      <c r="M645" s="31" t="s">
        <v>3959</v>
      </c>
      <c r="N645" s="31" t="s">
        <v>3959</v>
      </c>
      <c r="O645" s="31" t="s">
        <v>3959</v>
      </c>
      <c r="P645" s="4">
        <v>1</v>
      </c>
      <c r="Q645" s="57">
        <v>0</v>
      </c>
      <c r="R645" s="57">
        <v>0</v>
      </c>
      <c r="S645" s="97">
        <v>0</v>
      </c>
      <c r="T645" s="57">
        <v>0</v>
      </c>
      <c r="U645" s="57">
        <v>0</v>
      </c>
      <c r="V645" s="57">
        <v>0</v>
      </c>
      <c r="W645" s="57">
        <v>0</v>
      </c>
      <c r="X645" s="94">
        <v>0</v>
      </c>
    </row>
    <row r="646" spans="1:24" x14ac:dyDescent="0.35">
      <c r="A646">
        <v>642</v>
      </c>
      <c r="B646">
        <v>643</v>
      </c>
      <c r="C646">
        <v>146.109963905999</v>
      </c>
      <c r="D646">
        <v>-17.6387260336999</v>
      </c>
      <c r="F646" t="str">
        <f>HYPERLINK("D:\Data From Lucan\2024\Moresby\Frames_for_Analysis/643_20240611_0012_R_0066.jpg","643_20240611_0012_R_0066.jpg")</f>
        <v>643_20240611_0012_R_0066.jpg</v>
      </c>
      <c r="G646" s="92" t="s">
        <v>4523</v>
      </c>
      <c r="I646">
        <v>2</v>
      </c>
      <c r="K646" s="95">
        <v>1</v>
      </c>
      <c r="L646" s="31" t="s">
        <v>3959</v>
      </c>
      <c r="M646" s="31" t="s">
        <v>3959</v>
      </c>
      <c r="N646" s="31" t="s">
        <v>3959</v>
      </c>
      <c r="O646" s="31" t="s">
        <v>3959</v>
      </c>
      <c r="P646" s="4">
        <v>1</v>
      </c>
      <c r="Q646" s="57">
        <v>0</v>
      </c>
      <c r="R646" s="57">
        <v>0</v>
      </c>
      <c r="S646" s="97">
        <v>0</v>
      </c>
      <c r="T646" s="57">
        <v>0</v>
      </c>
      <c r="U646" s="57">
        <v>0</v>
      </c>
      <c r="V646" s="57">
        <v>0</v>
      </c>
      <c r="W646" s="57">
        <v>0</v>
      </c>
      <c r="X646" s="94">
        <v>0</v>
      </c>
    </row>
    <row r="647" spans="1:24" x14ac:dyDescent="0.35">
      <c r="A647">
        <v>643</v>
      </c>
      <c r="B647">
        <v>644</v>
      </c>
      <c r="C647">
        <v>146.10988062600001</v>
      </c>
      <c r="D647">
        <v>-17.638758127700001</v>
      </c>
      <c r="F647" t="str">
        <f>HYPERLINK("D:\Data From Lucan\2024\Moresby\Frames_for_Analysis/644_20240611_0012_R_0064.jpg","644_20240611_0012_R_0064.jpg")</f>
        <v>644_20240611_0012_R_0064.jpg</v>
      </c>
      <c r="G647" s="92" t="s">
        <v>4524</v>
      </c>
      <c r="I647">
        <v>2</v>
      </c>
      <c r="K647" s="95">
        <v>1</v>
      </c>
      <c r="L647" s="31" t="s">
        <v>3959</v>
      </c>
      <c r="M647" s="31" t="s">
        <v>3959</v>
      </c>
      <c r="N647" s="31" t="s">
        <v>3959</v>
      </c>
      <c r="O647" s="31" t="s">
        <v>3959</v>
      </c>
      <c r="P647" s="4">
        <v>1</v>
      </c>
      <c r="Q647" s="57">
        <v>0</v>
      </c>
      <c r="R647" s="57">
        <v>0</v>
      </c>
      <c r="S647" s="97">
        <v>0</v>
      </c>
      <c r="T647" s="57">
        <v>0</v>
      </c>
      <c r="U647" s="57">
        <v>0</v>
      </c>
      <c r="V647" s="57">
        <v>0</v>
      </c>
      <c r="W647" s="57">
        <v>0</v>
      </c>
      <c r="X647" s="94">
        <v>0</v>
      </c>
    </row>
    <row r="648" spans="1:24" x14ac:dyDescent="0.35">
      <c r="A648">
        <v>644</v>
      </c>
      <c r="B648">
        <v>645</v>
      </c>
      <c r="C648">
        <v>146.109797345999</v>
      </c>
      <c r="D648">
        <v>-17.6387902216999</v>
      </c>
      <c r="E648">
        <v>50</v>
      </c>
      <c r="F648" t="str">
        <f>HYPERLINK("D:\Data From Lucan\2024\Moresby\Frames_for_Analysis/645_20240611_0012_R_0061.jpg","645_20240611_0012_R_0061.jpg")</f>
        <v>645_20240611_0012_R_0061.jpg</v>
      </c>
      <c r="G648" s="92" t="s">
        <v>4525</v>
      </c>
      <c r="I648">
        <v>2</v>
      </c>
      <c r="K648" s="95">
        <v>1</v>
      </c>
      <c r="L648" s="31" t="s">
        <v>3959</v>
      </c>
      <c r="M648" s="31" t="s">
        <v>3959</v>
      </c>
      <c r="N648" s="31" t="s">
        <v>3959</v>
      </c>
      <c r="O648" s="31" t="s">
        <v>3959</v>
      </c>
      <c r="P648" s="4">
        <v>1</v>
      </c>
      <c r="Q648" s="57">
        <v>0</v>
      </c>
      <c r="R648" s="57">
        <v>0</v>
      </c>
      <c r="S648" s="97">
        <v>0</v>
      </c>
      <c r="T648" s="57">
        <v>0</v>
      </c>
      <c r="U648" s="57">
        <v>0</v>
      </c>
      <c r="V648" s="57">
        <v>0</v>
      </c>
      <c r="W648" s="57">
        <v>0</v>
      </c>
      <c r="X648" s="94">
        <v>0</v>
      </c>
    </row>
    <row r="649" spans="1:24" x14ac:dyDescent="0.35">
      <c r="A649">
        <v>645</v>
      </c>
      <c r="B649">
        <v>646</v>
      </c>
      <c r="C649">
        <v>146.10971406600001</v>
      </c>
      <c r="D649">
        <v>-17.638822315799899</v>
      </c>
      <c r="F649" t="str">
        <f>HYPERLINK("D:\Data From Lucan\2024\Moresby\Frames_for_Analysis/646_20240611_0012_R_0059.jpg","646_20240611_0012_R_0059.jpg")</f>
        <v>646_20240611_0012_R_0059.jpg</v>
      </c>
      <c r="G649" s="92" t="s">
        <v>4526</v>
      </c>
      <c r="I649">
        <v>2</v>
      </c>
      <c r="K649" s="95">
        <v>1</v>
      </c>
      <c r="L649" s="31" t="s">
        <v>3959</v>
      </c>
      <c r="M649" s="31" t="s">
        <v>3959</v>
      </c>
      <c r="N649" s="31" t="s">
        <v>3959</v>
      </c>
      <c r="O649" s="31" t="s">
        <v>3959</v>
      </c>
      <c r="P649" s="4">
        <v>1</v>
      </c>
      <c r="Q649" s="57">
        <v>0</v>
      </c>
      <c r="R649" s="57">
        <v>0</v>
      </c>
      <c r="S649" s="97">
        <v>0</v>
      </c>
      <c r="T649" s="57">
        <v>0</v>
      </c>
      <c r="U649" s="57">
        <v>0</v>
      </c>
      <c r="V649" s="57">
        <v>0</v>
      </c>
      <c r="W649" s="57">
        <v>0</v>
      </c>
      <c r="X649" s="94">
        <v>0</v>
      </c>
    </row>
    <row r="650" spans="1:24" x14ac:dyDescent="0.35">
      <c r="A650">
        <v>646</v>
      </c>
      <c r="B650">
        <v>647</v>
      </c>
      <c r="C650">
        <v>146.109630785999</v>
      </c>
      <c r="D650">
        <v>-17.6388544098</v>
      </c>
      <c r="F650" t="str">
        <f>HYPERLINK("D:\Data From Lucan\2024\Moresby\Frames_for_Analysis/647_20240611_0012_R_0057.jpg","647_20240611_0012_R_0057.jpg")</f>
        <v>647_20240611_0012_R_0057.jpg</v>
      </c>
      <c r="G650" s="92" t="s">
        <v>4527</v>
      </c>
      <c r="I650">
        <v>2</v>
      </c>
      <c r="K650" s="95">
        <v>1</v>
      </c>
      <c r="L650" s="31" t="s">
        <v>3959</v>
      </c>
      <c r="M650" s="31" t="s">
        <v>3959</v>
      </c>
      <c r="N650" s="31" t="s">
        <v>3959</v>
      </c>
      <c r="O650" s="31" t="s">
        <v>3959</v>
      </c>
      <c r="P650" s="4">
        <v>1</v>
      </c>
      <c r="Q650" s="57">
        <v>0</v>
      </c>
      <c r="R650" s="57">
        <v>0</v>
      </c>
      <c r="S650" s="97">
        <v>0</v>
      </c>
      <c r="T650" s="57">
        <v>0</v>
      </c>
      <c r="U650" s="57">
        <v>0</v>
      </c>
      <c r="V650" s="57">
        <v>0</v>
      </c>
      <c r="W650" s="57">
        <v>0</v>
      </c>
      <c r="X650" s="94">
        <v>0</v>
      </c>
    </row>
    <row r="651" spans="1:24" x14ac:dyDescent="0.35">
      <c r="A651">
        <v>647</v>
      </c>
      <c r="B651">
        <v>648</v>
      </c>
      <c r="C651">
        <v>146.109547507</v>
      </c>
      <c r="D651">
        <v>-17.638886503799899</v>
      </c>
      <c r="F651" t="str">
        <f>HYPERLINK("D:\Data From Lucan\2024\Moresby\Frames_for_Analysis/648_20240611_0012_R_0055.jpg","648_20240611_0012_R_0055.jpg")</f>
        <v>648_20240611_0012_R_0055.jpg</v>
      </c>
      <c r="G651" s="92" t="s">
        <v>4528</v>
      </c>
      <c r="I651">
        <v>2</v>
      </c>
      <c r="K651" s="95">
        <v>1</v>
      </c>
      <c r="L651" s="31" t="s">
        <v>3959</v>
      </c>
      <c r="M651" s="31" t="s">
        <v>3959</v>
      </c>
      <c r="N651" s="31" t="s">
        <v>3959</v>
      </c>
      <c r="O651" s="31" t="s">
        <v>3959</v>
      </c>
      <c r="P651" s="4">
        <v>1</v>
      </c>
      <c r="Q651" s="57">
        <v>0</v>
      </c>
      <c r="R651" s="57">
        <v>0</v>
      </c>
      <c r="S651" s="97">
        <v>0</v>
      </c>
      <c r="T651" s="57">
        <v>0</v>
      </c>
      <c r="U651" s="57">
        <v>0</v>
      </c>
      <c r="V651" s="57">
        <v>0</v>
      </c>
      <c r="W651" s="57">
        <v>0</v>
      </c>
      <c r="X651" s="94">
        <v>0</v>
      </c>
    </row>
    <row r="652" spans="1:24" x14ac:dyDescent="0.35">
      <c r="A652">
        <v>648</v>
      </c>
      <c r="B652">
        <v>649</v>
      </c>
      <c r="C652">
        <v>146.10946310700001</v>
      </c>
      <c r="D652">
        <v>-17.638915111100001</v>
      </c>
      <c r="F652" t="str">
        <f>HYPERLINK("D:\Data From Lucan\2024\Moresby\Frames_for_Analysis/649_20240611_0012_R_0052.jpg","649_20240611_0012_R_0052.jpg")</f>
        <v>649_20240611_0012_R_0052.jpg</v>
      </c>
      <c r="G652" s="92" t="s">
        <v>4529</v>
      </c>
      <c r="I652">
        <v>2</v>
      </c>
      <c r="K652" s="95">
        <v>1</v>
      </c>
      <c r="L652" s="31" t="s">
        <v>3959</v>
      </c>
      <c r="M652" s="31" t="s">
        <v>3959</v>
      </c>
      <c r="N652" s="31" t="s">
        <v>3959</v>
      </c>
      <c r="O652" s="31" t="s">
        <v>3959</v>
      </c>
      <c r="P652" s="4">
        <v>1</v>
      </c>
      <c r="Q652" s="57">
        <v>0</v>
      </c>
      <c r="R652" s="57">
        <v>0</v>
      </c>
      <c r="S652" s="97">
        <v>0</v>
      </c>
      <c r="T652" s="57">
        <v>0</v>
      </c>
      <c r="U652" s="57">
        <v>0</v>
      </c>
      <c r="V652" s="57">
        <v>0</v>
      </c>
      <c r="W652" s="57">
        <v>0</v>
      </c>
      <c r="X652" s="94">
        <v>0</v>
      </c>
    </row>
    <row r="653" spans="1:24" x14ac:dyDescent="0.35">
      <c r="A653">
        <v>649</v>
      </c>
      <c r="B653">
        <v>650</v>
      </c>
      <c r="C653">
        <v>146.10937524400001</v>
      </c>
      <c r="D653">
        <v>-17.6389329346</v>
      </c>
      <c r="E653">
        <v>50</v>
      </c>
      <c r="F653" t="str">
        <f>HYPERLINK("D:\Data From Lucan\2024\Moresby\Frames_for_Analysis/650_20240611_0012_R_0050.jpg","650_20240611_0012_R_0050.jpg")</f>
        <v>650_20240611_0012_R_0050.jpg</v>
      </c>
      <c r="G653" s="92" t="s">
        <v>4530</v>
      </c>
      <c r="I653">
        <v>2</v>
      </c>
      <c r="K653" s="95">
        <v>1</v>
      </c>
      <c r="L653" s="31" t="s">
        <v>3959</v>
      </c>
      <c r="M653" s="31" t="s">
        <v>3959</v>
      </c>
      <c r="N653" s="31" t="s">
        <v>3959</v>
      </c>
      <c r="O653" s="31" t="s">
        <v>3959</v>
      </c>
      <c r="P653" s="4">
        <v>1</v>
      </c>
      <c r="Q653" s="57">
        <v>0</v>
      </c>
      <c r="R653" s="57">
        <v>0</v>
      </c>
      <c r="S653" s="97">
        <v>0</v>
      </c>
      <c r="T653" s="57">
        <v>0</v>
      </c>
      <c r="U653" s="57">
        <v>0</v>
      </c>
      <c r="V653" s="57">
        <v>0</v>
      </c>
      <c r="W653" s="57">
        <v>0</v>
      </c>
      <c r="X653" s="94">
        <v>0</v>
      </c>
    </row>
    <row r="654" spans="1:24" x14ac:dyDescent="0.35">
      <c r="A654">
        <v>650</v>
      </c>
      <c r="B654">
        <v>651</v>
      </c>
      <c r="C654">
        <v>146.109287381</v>
      </c>
      <c r="D654">
        <v>-17.638950758099899</v>
      </c>
      <c r="F654" t="str">
        <f>HYPERLINK("D:\Data From Lucan\2024\Moresby\Frames_for_Analysis/651_20240611_0012_R_0047.jpg","651_20240611_0012_R_0047.jpg")</f>
        <v>651_20240611_0012_R_0047.jpg</v>
      </c>
      <c r="G654" s="92" t="s">
        <v>4531</v>
      </c>
      <c r="I654">
        <v>2</v>
      </c>
      <c r="K654" s="95">
        <v>1</v>
      </c>
      <c r="L654" s="31" t="s">
        <v>3959</v>
      </c>
      <c r="M654" s="31" t="s">
        <v>3959</v>
      </c>
      <c r="N654" s="31" t="s">
        <v>3959</v>
      </c>
      <c r="O654" s="31" t="s">
        <v>3959</v>
      </c>
      <c r="P654" s="4">
        <v>1</v>
      </c>
      <c r="Q654" s="57">
        <v>0</v>
      </c>
      <c r="R654" s="57">
        <v>0</v>
      </c>
      <c r="S654" s="97">
        <v>0</v>
      </c>
      <c r="T654" s="57">
        <v>0</v>
      </c>
      <c r="U654" s="57">
        <v>0</v>
      </c>
      <c r="V654" s="57">
        <v>0</v>
      </c>
      <c r="W654" s="57">
        <v>0</v>
      </c>
      <c r="X654" s="94">
        <v>0</v>
      </c>
    </row>
    <row r="655" spans="1:24" x14ac:dyDescent="0.35">
      <c r="A655">
        <v>651</v>
      </c>
      <c r="B655">
        <v>652</v>
      </c>
      <c r="C655">
        <v>146.109199517999</v>
      </c>
      <c r="D655">
        <v>-17.638968581499899</v>
      </c>
      <c r="F655" t="str">
        <f>HYPERLINK("D:\Data From Lucan\2024\Moresby\Frames_for_Analysis/652_20240611_0012_R_0045.jpg","652_20240611_0012_R_0045.jpg")</f>
        <v>652_20240611_0012_R_0045.jpg</v>
      </c>
      <c r="G655" s="92" t="s">
        <v>4532</v>
      </c>
      <c r="I655">
        <v>2</v>
      </c>
      <c r="K655" s="95">
        <v>1</v>
      </c>
      <c r="L655" s="31" t="s">
        <v>3959</v>
      </c>
      <c r="M655" s="31" t="s">
        <v>3959</v>
      </c>
      <c r="N655" s="31" t="s">
        <v>3959</v>
      </c>
      <c r="O655" s="31" t="s">
        <v>3959</v>
      </c>
      <c r="P655" s="4">
        <v>1</v>
      </c>
      <c r="Q655" s="57">
        <v>0</v>
      </c>
      <c r="R655" s="57">
        <v>0</v>
      </c>
      <c r="S655" s="97">
        <v>0</v>
      </c>
      <c r="T655" s="57">
        <v>0</v>
      </c>
      <c r="U655" s="57">
        <v>0</v>
      </c>
      <c r="V655" s="57">
        <v>0</v>
      </c>
      <c r="W655" s="57">
        <v>0</v>
      </c>
      <c r="X655" s="94">
        <v>0</v>
      </c>
    </row>
    <row r="656" spans="1:24" x14ac:dyDescent="0.35">
      <c r="A656">
        <v>652</v>
      </c>
      <c r="B656">
        <v>653</v>
      </c>
      <c r="C656">
        <v>146.109111654999</v>
      </c>
      <c r="D656">
        <v>-17.638986405000001</v>
      </c>
      <c r="F656" t="str">
        <f>HYPERLINK("D:\Data From Lucan\2024\Moresby\Frames_for_Analysis/653_20240611_0012_R_0042.jpg","653_20240611_0012_R_0042.jpg")</f>
        <v>653_20240611_0012_R_0042.jpg</v>
      </c>
      <c r="G656" s="92" t="s">
        <v>4533</v>
      </c>
      <c r="I656">
        <v>2</v>
      </c>
      <c r="K656" s="95">
        <v>1</v>
      </c>
      <c r="L656" s="31" t="s">
        <v>3959</v>
      </c>
      <c r="M656" s="31" t="s">
        <v>3959</v>
      </c>
      <c r="N656" s="31" t="s">
        <v>3959</v>
      </c>
      <c r="O656" s="31" t="s">
        <v>3959</v>
      </c>
      <c r="P656" s="4">
        <v>1</v>
      </c>
      <c r="Q656" s="57">
        <v>0</v>
      </c>
      <c r="R656" s="57">
        <v>0</v>
      </c>
      <c r="S656" s="97">
        <v>0</v>
      </c>
      <c r="T656" s="57">
        <v>0</v>
      </c>
      <c r="U656" s="57">
        <v>0</v>
      </c>
      <c r="V656" s="57">
        <v>0</v>
      </c>
      <c r="W656" s="57">
        <v>0</v>
      </c>
      <c r="X656" s="94">
        <v>0</v>
      </c>
    </row>
    <row r="657" spans="1:24" x14ac:dyDescent="0.35">
      <c r="A657">
        <v>653</v>
      </c>
      <c r="B657">
        <v>654</v>
      </c>
      <c r="C657">
        <v>146.10902379199899</v>
      </c>
      <c r="D657">
        <v>-17.6390042284999</v>
      </c>
      <c r="F657" t="str">
        <f>HYPERLINK("D:\Data From Lucan\2024\Moresby\Frames_for_Analysis/654_20240611_0012_R_0039.jpg","654_20240611_0012_R_0039.jpg")</f>
        <v>654_20240611_0012_R_0039.jpg</v>
      </c>
      <c r="G657" s="92" t="s">
        <v>4534</v>
      </c>
      <c r="I657">
        <v>2</v>
      </c>
      <c r="K657" s="95">
        <v>1</v>
      </c>
      <c r="L657" s="31"/>
      <c r="M657" s="31"/>
      <c r="N657" s="31"/>
      <c r="O657" s="31"/>
      <c r="P657" s="4">
        <v>1</v>
      </c>
      <c r="Q657" s="57">
        <v>0</v>
      </c>
      <c r="R657" s="57">
        <v>0</v>
      </c>
      <c r="S657" s="97">
        <v>0</v>
      </c>
      <c r="T657" s="57">
        <v>0</v>
      </c>
      <c r="U657" s="57">
        <v>0</v>
      </c>
      <c r="V657" s="57">
        <v>0</v>
      </c>
      <c r="W657" s="57">
        <v>0</v>
      </c>
      <c r="X657" s="94">
        <v>0</v>
      </c>
    </row>
    <row r="658" spans="1:24" x14ac:dyDescent="0.35">
      <c r="A658">
        <v>654</v>
      </c>
      <c r="B658">
        <v>655</v>
      </c>
      <c r="C658">
        <v>146.10893592900001</v>
      </c>
      <c r="D658">
        <v>-17.639022052000001</v>
      </c>
      <c r="E658">
        <v>50</v>
      </c>
      <c r="F658" t="str">
        <f>HYPERLINK("D:\Data From Lucan\2024\Moresby\Frames_for_Analysis/655_20240611_0012_R_0037.jpg","655_20240611_0012_R_0037.jpg")</f>
        <v>655_20240611_0012_R_0037.jpg</v>
      </c>
      <c r="G658" s="92" t="s">
        <v>4535</v>
      </c>
      <c r="I658">
        <v>2</v>
      </c>
      <c r="K658" s="95">
        <v>1</v>
      </c>
      <c r="L658" s="31"/>
      <c r="M658" s="31"/>
      <c r="N658" s="31"/>
      <c r="O658" s="31"/>
      <c r="P658" s="4">
        <v>1</v>
      </c>
      <c r="Q658" s="57">
        <v>0</v>
      </c>
      <c r="R658" s="57">
        <v>0</v>
      </c>
      <c r="S658" s="97">
        <v>0</v>
      </c>
      <c r="T658" s="57">
        <v>0</v>
      </c>
      <c r="U658" s="57">
        <v>0</v>
      </c>
      <c r="V658" s="57">
        <v>0</v>
      </c>
      <c r="W658" s="57">
        <v>0</v>
      </c>
      <c r="X658" s="94">
        <v>0</v>
      </c>
    </row>
    <row r="659" spans="1:24" x14ac:dyDescent="0.35">
      <c r="A659">
        <v>655</v>
      </c>
      <c r="B659">
        <v>656</v>
      </c>
      <c r="C659">
        <v>146.10884806600001</v>
      </c>
      <c r="D659">
        <v>-17.639039875400002</v>
      </c>
      <c r="F659" t="str">
        <f>HYPERLINK("D:\Data From Lucan\2024\Moresby\Frames_for_Analysis/656_20240611_0003_L_0006.jpg","656_20240611_0003_L_0006.jpg")</f>
        <v>656_20240611_0003_L_0006.jpg</v>
      </c>
      <c r="G659" s="92" t="s">
        <v>4536</v>
      </c>
      <c r="I659">
        <v>2</v>
      </c>
      <c r="K659" s="95">
        <v>1</v>
      </c>
      <c r="L659" s="31"/>
      <c r="M659" s="31"/>
      <c r="N659" s="31"/>
      <c r="O659" s="31"/>
      <c r="P659" s="4">
        <v>1</v>
      </c>
      <c r="Q659" s="57">
        <v>0</v>
      </c>
      <c r="R659" s="57">
        <v>0</v>
      </c>
      <c r="S659" s="97">
        <v>0</v>
      </c>
      <c r="T659" s="57">
        <v>0</v>
      </c>
      <c r="U659" s="57">
        <v>0</v>
      </c>
      <c r="V659" s="57">
        <v>0</v>
      </c>
      <c r="W659" s="57">
        <v>0</v>
      </c>
      <c r="X659" s="94">
        <v>0</v>
      </c>
    </row>
    <row r="660" spans="1:24" x14ac:dyDescent="0.35">
      <c r="A660">
        <v>656</v>
      </c>
      <c r="B660">
        <v>657</v>
      </c>
      <c r="C660">
        <v>146.10875890899899</v>
      </c>
      <c r="D660">
        <v>-17.639047683800001</v>
      </c>
      <c r="F660" t="str">
        <f>HYPERLINK("D:\Data From Lucan\2024\Moresby\Frames_for_Analysis/657_20240611_0012_R_0032.jpg","657_20240611_0012_R_0032.jpg")</f>
        <v>657_20240611_0012_R_0032.jpg</v>
      </c>
      <c r="G660" s="92" t="s">
        <v>4537</v>
      </c>
      <c r="I660">
        <v>2</v>
      </c>
      <c r="K660" s="95">
        <v>1</v>
      </c>
      <c r="L660" s="31"/>
      <c r="M660" s="31"/>
      <c r="N660" s="31"/>
      <c r="O660" s="31"/>
      <c r="P660" s="4">
        <v>1</v>
      </c>
      <c r="Q660" s="57">
        <v>0</v>
      </c>
      <c r="R660" s="57">
        <v>0</v>
      </c>
      <c r="S660" s="97">
        <v>0</v>
      </c>
      <c r="T660" s="57">
        <v>0</v>
      </c>
      <c r="U660" s="57">
        <v>0</v>
      </c>
      <c r="V660" s="57">
        <v>0</v>
      </c>
      <c r="W660" s="57">
        <v>0</v>
      </c>
      <c r="X660" s="94">
        <v>0</v>
      </c>
    </row>
    <row r="661" spans="1:24" x14ac:dyDescent="0.35">
      <c r="A661">
        <v>657</v>
      </c>
      <c r="B661">
        <v>658</v>
      </c>
      <c r="C661">
        <v>146.10866913300001</v>
      </c>
      <c r="D661">
        <v>-17.639050697599899</v>
      </c>
      <c r="F661" t="str">
        <f>HYPERLINK("D:\Data From Lucan\2024\Moresby\Frames_for_Analysis/658_20240611_0003_L_0013.jpg","658_20240611_0003_L_0013.jpg")</f>
        <v>658_20240611_0003_L_0013.jpg</v>
      </c>
      <c r="G661" s="92" t="s">
        <v>4538</v>
      </c>
      <c r="I661">
        <v>2</v>
      </c>
      <c r="K661" s="95">
        <v>1</v>
      </c>
      <c r="L661" s="31"/>
      <c r="M661" s="31"/>
      <c r="N661" s="31"/>
      <c r="O661" s="31"/>
      <c r="P661" s="4">
        <v>1</v>
      </c>
      <c r="Q661" s="57">
        <v>0</v>
      </c>
      <c r="R661" s="57">
        <v>0</v>
      </c>
      <c r="S661" s="97">
        <v>0</v>
      </c>
      <c r="T661" s="57">
        <v>0</v>
      </c>
      <c r="U661" s="57">
        <v>0</v>
      </c>
      <c r="V661" s="57">
        <v>0</v>
      </c>
      <c r="W661" s="57">
        <v>0</v>
      </c>
      <c r="X661" s="94">
        <v>0</v>
      </c>
    </row>
    <row r="662" spans="1:24" x14ac:dyDescent="0.35">
      <c r="A662">
        <v>658</v>
      </c>
      <c r="B662">
        <v>659</v>
      </c>
      <c r="C662">
        <v>146.10857935799899</v>
      </c>
      <c r="D662">
        <v>-17.6390537113999</v>
      </c>
      <c r="F662" t="str">
        <f>HYPERLINK("D:\Data From Lucan\2024\Moresby\Frames_for_Analysis/659_20240611_0012_R_0027.jpg","659_20240611_0012_R_0027.jpg")</f>
        <v>659_20240611_0012_R_0027.jpg</v>
      </c>
      <c r="G662" s="92" t="s">
        <v>4539</v>
      </c>
      <c r="I662">
        <v>2</v>
      </c>
      <c r="K662" s="95">
        <v>1</v>
      </c>
      <c r="L662" s="31"/>
      <c r="M662" s="31"/>
      <c r="N662" s="31"/>
      <c r="O662" s="31"/>
      <c r="P662" s="4">
        <v>1</v>
      </c>
      <c r="Q662" s="57">
        <v>0</v>
      </c>
      <c r="R662" s="57">
        <v>0</v>
      </c>
      <c r="S662" s="97">
        <v>0</v>
      </c>
      <c r="T662" s="57">
        <v>0</v>
      </c>
      <c r="U662" s="57">
        <v>0</v>
      </c>
      <c r="V662" s="57">
        <v>0</v>
      </c>
      <c r="W662" s="57">
        <v>0</v>
      </c>
      <c r="X662" s="94">
        <v>0</v>
      </c>
    </row>
    <row r="663" spans="1:24" x14ac:dyDescent="0.35">
      <c r="A663">
        <v>659</v>
      </c>
      <c r="B663">
        <v>660</v>
      </c>
      <c r="C663">
        <v>146.108489582</v>
      </c>
      <c r="D663">
        <v>-17.639056725300001</v>
      </c>
      <c r="E663">
        <v>50</v>
      </c>
      <c r="F663" t="str">
        <f>HYPERLINK("D:\Data From Lucan\2024\Moresby\Frames_for_Analysis/660_20240611_0012_R_0024.jpg","660_20240611_0012_R_0024.jpg")</f>
        <v>660_20240611_0012_R_0024.jpg</v>
      </c>
      <c r="G663" s="92" t="s">
        <v>4540</v>
      </c>
      <c r="I663">
        <v>2</v>
      </c>
      <c r="K663" s="95">
        <v>1</v>
      </c>
      <c r="L663" s="31"/>
      <c r="M663" s="31"/>
      <c r="N663" s="31"/>
      <c r="O663" s="31"/>
      <c r="P663" s="4">
        <v>1</v>
      </c>
      <c r="Q663" s="57">
        <v>0</v>
      </c>
      <c r="R663" s="57">
        <v>0</v>
      </c>
      <c r="S663" s="97">
        <v>0</v>
      </c>
      <c r="T663" s="57">
        <v>0</v>
      </c>
      <c r="U663" s="57">
        <v>0</v>
      </c>
      <c r="V663" s="57">
        <v>0</v>
      </c>
      <c r="W663" s="57">
        <v>0</v>
      </c>
      <c r="X663" s="94">
        <v>0</v>
      </c>
    </row>
    <row r="664" spans="1:24" x14ac:dyDescent="0.35">
      <c r="A664">
        <v>660</v>
      </c>
      <c r="B664">
        <v>661</v>
      </c>
      <c r="C664">
        <v>146.108399805999</v>
      </c>
      <c r="D664">
        <v>-17.639059739099899</v>
      </c>
      <c r="F664" t="str">
        <f>HYPERLINK("D:\Data From Lucan\2024\Moresby\Frames_for_Analysis/661_20240611_0012_R_0021.jpg","661_20240611_0012_R_0021.jpg")</f>
        <v>661_20240611_0012_R_0021.jpg</v>
      </c>
      <c r="G664" s="92" t="s">
        <v>4541</v>
      </c>
      <c r="I664">
        <v>2</v>
      </c>
      <c r="K664" s="95">
        <v>1</v>
      </c>
      <c r="L664" s="31"/>
      <c r="M664" s="31"/>
      <c r="N664" s="31"/>
      <c r="O664" s="31"/>
      <c r="P664" s="4">
        <v>1</v>
      </c>
      <c r="Q664" s="57">
        <v>0</v>
      </c>
      <c r="R664" s="57">
        <v>0</v>
      </c>
      <c r="S664" s="97">
        <v>0</v>
      </c>
      <c r="T664" s="57">
        <v>0</v>
      </c>
      <c r="U664" s="57">
        <v>0</v>
      </c>
      <c r="V664" s="57">
        <v>0</v>
      </c>
      <c r="W664" s="57">
        <v>0</v>
      </c>
      <c r="X664" s="94">
        <v>0</v>
      </c>
    </row>
    <row r="665" spans="1:24" x14ac:dyDescent="0.35">
      <c r="A665">
        <v>661</v>
      </c>
      <c r="B665">
        <v>662</v>
      </c>
      <c r="C665">
        <v>146.10831003000001</v>
      </c>
      <c r="D665">
        <v>-17.6390627528999</v>
      </c>
      <c r="F665" t="str">
        <f>HYPERLINK("D:\Data From Lucan\2024\Moresby\Frames_for_Analysis/662_20240611_0003_L_0023.jpg","662_20240611_0003_L_0023.jpg")</f>
        <v>662_20240611_0003_L_0023.jpg</v>
      </c>
      <c r="G665" s="92" t="s">
        <v>4542</v>
      </c>
      <c r="I665">
        <v>2</v>
      </c>
      <c r="K665" s="95">
        <v>1</v>
      </c>
      <c r="L665" s="31"/>
      <c r="M665" s="31"/>
      <c r="N665" s="31"/>
      <c r="O665" s="31"/>
      <c r="P665" s="4">
        <v>1</v>
      </c>
      <c r="Q665" s="57">
        <v>0</v>
      </c>
      <c r="R665" s="57">
        <v>0</v>
      </c>
      <c r="S665" s="97">
        <v>0</v>
      </c>
      <c r="T665" s="57">
        <v>0</v>
      </c>
      <c r="U665" s="57">
        <v>0</v>
      </c>
      <c r="V665" s="57">
        <v>0</v>
      </c>
      <c r="W665" s="57">
        <v>0</v>
      </c>
      <c r="X665" s="94">
        <v>0</v>
      </c>
    </row>
    <row r="666" spans="1:24" x14ac:dyDescent="0.35">
      <c r="A666">
        <v>662</v>
      </c>
      <c r="B666">
        <v>663</v>
      </c>
      <c r="C666">
        <v>146.108220254</v>
      </c>
      <c r="D666">
        <v>-17.6390657667</v>
      </c>
      <c r="F666" t="str">
        <f>HYPERLINK("D:\Data From Lucan\2024\Moresby\Frames_for_Analysis/663_20240611_0012_R_0015.jpg","663_20240611_0012_R_0015.jpg")</f>
        <v>663_20240611_0012_R_0015.jpg</v>
      </c>
      <c r="G666" s="92" t="s">
        <v>4543</v>
      </c>
      <c r="I666">
        <v>2</v>
      </c>
      <c r="K666" s="95">
        <v>1</v>
      </c>
      <c r="L666" s="31"/>
      <c r="M666" s="31"/>
      <c r="N666" s="31"/>
      <c r="O666" s="31"/>
      <c r="P666" s="4">
        <v>1</v>
      </c>
      <c r="Q666" s="57">
        <v>0</v>
      </c>
      <c r="R666" s="57">
        <v>0</v>
      </c>
      <c r="S666" s="97">
        <v>0</v>
      </c>
      <c r="T666" s="57">
        <v>0</v>
      </c>
      <c r="U666" s="57">
        <v>0</v>
      </c>
      <c r="V666" s="57">
        <v>0</v>
      </c>
      <c r="W666" s="57">
        <v>0</v>
      </c>
      <c r="X666" s="94">
        <v>0</v>
      </c>
    </row>
    <row r="667" spans="1:24" x14ac:dyDescent="0.35">
      <c r="A667">
        <v>663</v>
      </c>
      <c r="B667">
        <v>664</v>
      </c>
      <c r="C667">
        <v>146.108130477999</v>
      </c>
      <c r="D667">
        <v>-17.639068780599899</v>
      </c>
      <c r="F667" t="str">
        <f>HYPERLINK("D:\Data From Lucan\2024\Moresby\Frames_for_Analysis/664_20240611_0012_R_0011.jpg","664_20240611_0012_R_0011.jpg")</f>
        <v>664_20240611_0012_R_0011.jpg</v>
      </c>
      <c r="G667" s="92" t="s">
        <v>4544</v>
      </c>
      <c r="I667">
        <v>2</v>
      </c>
      <c r="K667" s="95">
        <v>1</v>
      </c>
      <c r="L667" s="31"/>
      <c r="M667" s="31"/>
      <c r="N667" s="31"/>
      <c r="O667" s="31"/>
      <c r="P667" s="4">
        <v>1</v>
      </c>
      <c r="Q667" s="57">
        <v>0</v>
      </c>
      <c r="R667" s="57">
        <v>0</v>
      </c>
      <c r="S667" s="97">
        <v>0</v>
      </c>
      <c r="T667" s="57">
        <v>0</v>
      </c>
      <c r="U667" s="57">
        <v>0</v>
      </c>
      <c r="V667" s="57">
        <v>0</v>
      </c>
      <c r="W667" s="57">
        <v>0</v>
      </c>
      <c r="X667" s="94">
        <v>0</v>
      </c>
    </row>
    <row r="668" spans="1:24" x14ac:dyDescent="0.35">
      <c r="A668">
        <v>664</v>
      </c>
      <c r="B668">
        <v>665</v>
      </c>
      <c r="C668">
        <v>146.108040703</v>
      </c>
      <c r="D668">
        <v>-17.6390717944</v>
      </c>
      <c r="E668">
        <v>50</v>
      </c>
      <c r="F668" t="str">
        <f>HYPERLINK("D:\Data From Lucan\2024\Moresby\Frames_for_Analysis/665_20240611_0003_L_0034.jpg","665_20240611_0003_L_0034.jpg")</f>
        <v>665_20240611_0003_L_0034.jpg</v>
      </c>
      <c r="G668" s="92" t="s">
        <v>4545</v>
      </c>
      <c r="I668">
        <v>2</v>
      </c>
      <c r="K668" s="95">
        <v>1</v>
      </c>
      <c r="L668" s="31"/>
      <c r="M668" s="31"/>
      <c r="N668" s="31"/>
      <c r="O668" s="31"/>
      <c r="P668" s="4">
        <v>1</v>
      </c>
      <c r="Q668" s="57">
        <v>0</v>
      </c>
      <c r="R668" s="57">
        <v>0</v>
      </c>
      <c r="S668" s="97">
        <v>0</v>
      </c>
      <c r="T668" s="57">
        <v>0</v>
      </c>
      <c r="U668" s="57">
        <v>0</v>
      </c>
      <c r="V668" s="57">
        <v>0</v>
      </c>
      <c r="W668" s="57">
        <v>0</v>
      </c>
      <c r="X668" s="94">
        <v>0</v>
      </c>
    </row>
    <row r="669" spans="1:24" x14ac:dyDescent="0.35">
      <c r="A669">
        <v>665</v>
      </c>
      <c r="B669">
        <v>666</v>
      </c>
      <c r="C669">
        <v>146.107950926999</v>
      </c>
      <c r="D669">
        <v>-17.6390748082</v>
      </c>
      <c r="F669" t="str">
        <f>HYPERLINK("D:\Data From Lucan\2024\Moresby\Frames_for_Analysis/666_20240611_0003_L_0037.jpg","666_20240611_0003_L_0037.jpg")</f>
        <v>666_20240611_0003_L_0037.jpg</v>
      </c>
      <c r="G669" s="92" t="s">
        <v>4546</v>
      </c>
      <c r="I669">
        <v>2</v>
      </c>
      <c r="K669" s="95">
        <v>1</v>
      </c>
      <c r="L669" s="31"/>
      <c r="M669" s="31"/>
      <c r="N669" s="31"/>
      <c r="O669" s="31"/>
      <c r="P669" s="4">
        <v>1</v>
      </c>
      <c r="Q669" s="57">
        <v>0</v>
      </c>
      <c r="R669" s="57">
        <v>0</v>
      </c>
      <c r="S669" s="97">
        <v>0</v>
      </c>
      <c r="T669" s="57">
        <v>0</v>
      </c>
      <c r="U669" s="57">
        <v>0</v>
      </c>
      <c r="V669" s="57">
        <v>0</v>
      </c>
      <c r="W669" s="57">
        <v>0</v>
      </c>
      <c r="X669" s="94">
        <v>0</v>
      </c>
    </row>
    <row r="670" spans="1:24" x14ac:dyDescent="0.35">
      <c r="A670">
        <v>666</v>
      </c>
      <c r="B670">
        <v>667</v>
      </c>
      <c r="C670">
        <v>146.10786115100001</v>
      </c>
      <c r="D670">
        <v>-17.6390778220999</v>
      </c>
      <c r="F670" t="str">
        <f>HYPERLINK("D:\Data From Lucan\2024\Moresby\Frames_for_Analysis/667_20240611_0003_L_0040.jpg","667_20240611_0003_L_0040.jpg")</f>
        <v>667_20240611_0003_L_0040.jpg</v>
      </c>
      <c r="G670" s="92" t="s">
        <v>4547</v>
      </c>
      <c r="I670">
        <v>2</v>
      </c>
      <c r="K670" s="95">
        <v>1</v>
      </c>
      <c r="L670" s="31"/>
      <c r="M670" s="31"/>
      <c r="N670" s="31"/>
      <c r="O670" s="31"/>
      <c r="P670" s="4">
        <v>1</v>
      </c>
      <c r="Q670" s="57">
        <v>0</v>
      </c>
      <c r="R670" s="57">
        <v>0</v>
      </c>
      <c r="S670" s="97">
        <v>0</v>
      </c>
      <c r="T670" s="57">
        <v>0</v>
      </c>
      <c r="U670" s="57">
        <v>0</v>
      </c>
      <c r="V670" s="57">
        <v>0</v>
      </c>
      <c r="W670" s="57">
        <v>0</v>
      </c>
      <c r="X670" s="94">
        <v>0</v>
      </c>
    </row>
    <row r="671" spans="1:24" x14ac:dyDescent="0.35">
      <c r="A671">
        <v>667</v>
      </c>
      <c r="B671">
        <v>668</v>
      </c>
      <c r="C671">
        <v>146.10777147600001</v>
      </c>
      <c r="D671">
        <v>-17.639078702900001</v>
      </c>
      <c r="F671" t="str">
        <f>HYPERLINK("D:\Data From Lucan\2024\Moresby\Frames_for_Analysis/668_20240611_0003_L_0043.jpg","668_20240611_0003_L_0043.jpg")</f>
        <v>668_20240611_0003_L_0043.jpg</v>
      </c>
      <c r="G671" s="92" t="s">
        <v>4548</v>
      </c>
      <c r="I671">
        <v>2</v>
      </c>
      <c r="K671" s="95">
        <v>1</v>
      </c>
      <c r="L671" s="31"/>
      <c r="M671" s="31"/>
      <c r="N671" s="31"/>
      <c r="O671" s="31"/>
      <c r="P671" s="4">
        <v>1</v>
      </c>
      <c r="Q671" s="57">
        <v>0</v>
      </c>
      <c r="R671" s="57">
        <v>0</v>
      </c>
      <c r="S671" s="97">
        <v>0</v>
      </c>
      <c r="T671" s="57">
        <v>0</v>
      </c>
      <c r="U671" s="57">
        <v>0</v>
      </c>
      <c r="V671" s="57">
        <v>0</v>
      </c>
      <c r="W671" s="57">
        <v>0</v>
      </c>
      <c r="X671" s="94">
        <v>0</v>
      </c>
    </row>
    <row r="672" spans="1:24" x14ac:dyDescent="0.35">
      <c r="A672">
        <v>668</v>
      </c>
      <c r="B672">
        <v>669</v>
      </c>
      <c r="C672">
        <v>146.10768234700001</v>
      </c>
      <c r="D672">
        <v>-17.6390680168</v>
      </c>
      <c r="F672" t="str">
        <f>HYPERLINK("D:\Data From Lucan\2024\Moresby\Frames_for_Analysis/669_20240611_0003_L_0047.jpg","669_20240611_0003_L_0047.jpg")</f>
        <v>669_20240611_0003_L_0047.jpg</v>
      </c>
      <c r="G672" s="92" t="s">
        <v>4549</v>
      </c>
      <c r="I672">
        <v>2</v>
      </c>
      <c r="K672" s="95">
        <v>1</v>
      </c>
      <c r="L672" s="31"/>
      <c r="M672" s="31"/>
      <c r="N672" s="31"/>
      <c r="O672" s="31"/>
      <c r="P672" s="4">
        <v>1</v>
      </c>
      <c r="Q672" s="57">
        <v>0</v>
      </c>
      <c r="R672" s="57">
        <v>0</v>
      </c>
      <c r="S672" s="97">
        <v>0</v>
      </c>
      <c r="T672" s="57">
        <v>0</v>
      </c>
      <c r="U672" s="57">
        <v>0</v>
      </c>
      <c r="V672" s="57">
        <v>0</v>
      </c>
      <c r="W672" s="57">
        <v>0</v>
      </c>
      <c r="X672" s="94">
        <v>0</v>
      </c>
    </row>
    <row r="673" spans="1:24" x14ac:dyDescent="0.35">
      <c r="A673">
        <v>669</v>
      </c>
      <c r="B673">
        <v>670</v>
      </c>
      <c r="C673">
        <v>146.10759321800001</v>
      </c>
      <c r="D673">
        <v>-17.6390573306</v>
      </c>
      <c r="E673">
        <v>50</v>
      </c>
      <c r="F673" t="str">
        <f>HYPERLINK("D:\Data From Lucan\2024\Moresby\Frames_for_Analysis/670_20240611_0003_L_0049.jpg","670_20240611_0003_L_0049.jpg")</f>
        <v>670_20240611_0003_L_0049.jpg</v>
      </c>
      <c r="G673" s="92" t="s">
        <v>4550</v>
      </c>
      <c r="I673">
        <v>2</v>
      </c>
      <c r="K673" s="95">
        <v>1</v>
      </c>
      <c r="L673" s="31"/>
      <c r="M673" s="31"/>
      <c r="N673" s="31"/>
      <c r="O673" s="31"/>
      <c r="P673" s="4">
        <v>1</v>
      </c>
      <c r="Q673" s="57">
        <v>0</v>
      </c>
      <c r="R673" s="57">
        <v>0</v>
      </c>
      <c r="S673" s="97">
        <v>0</v>
      </c>
      <c r="T673" s="57">
        <v>0</v>
      </c>
      <c r="U673" s="57">
        <v>0</v>
      </c>
      <c r="V673" s="57">
        <v>0</v>
      </c>
      <c r="W673" s="57">
        <v>0</v>
      </c>
      <c r="X673" s="94">
        <v>0</v>
      </c>
    </row>
    <row r="674" spans="1:24" x14ac:dyDescent="0.35">
      <c r="A674">
        <v>670</v>
      </c>
      <c r="B674">
        <v>671</v>
      </c>
      <c r="C674">
        <v>146.107504089</v>
      </c>
      <c r="D674">
        <v>-17.6390466444</v>
      </c>
      <c r="F674" t="str">
        <f>HYPERLINK("D:\Data From Lucan\2024\Moresby\Frames_for_Analysis/671_20240611_0003_L_0053.jpg","671_20240611_0003_L_0053.jpg")</f>
        <v>671_20240611_0003_L_0053.jpg</v>
      </c>
      <c r="G674" s="92" t="s">
        <v>4551</v>
      </c>
      <c r="I674">
        <v>2</v>
      </c>
      <c r="K674" s="95">
        <v>1</v>
      </c>
      <c r="L674" s="31"/>
      <c r="M674" s="31"/>
      <c r="N674" s="31"/>
      <c r="O674" s="31"/>
      <c r="P674" s="4">
        <v>1</v>
      </c>
      <c r="Q674" s="57">
        <v>0</v>
      </c>
      <c r="R674" s="57">
        <v>0</v>
      </c>
      <c r="S674" s="97">
        <v>0</v>
      </c>
      <c r="T674" s="57">
        <v>0</v>
      </c>
      <c r="U674" s="57">
        <v>0</v>
      </c>
      <c r="V674" s="57">
        <v>0</v>
      </c>
      <c r="W674" s="57">
        <v>0</v>
      </c>
      <c r="X674" s="94">
        <v>0</v>
      </c>
    </row>
    <row r="675" spans="1:24" x14ac:dyDescent="0.35">
      <c r="A675">
        <v>671</v>
      </c>
      <c r="B675">
        <v>672</v>
      </c>
      <c r="C675">
        <v>146.10741496</v>
      </c>
      <c r="D675">
        <v>-17.639035958200001</v>
      </c>
      <c r="F675" t="str">
        <f>HYPERLINK("D:\Data From Lucan\2024\Moresby\Frames_for_Analysis/672_20240611_0003_L_0057.jpg","672_20240611_0003_L_0057.jpg")</f>
        <v>672_20240611_0003_L_0057.jpg</v>
      </c>
      <c r="G675" s="92" t="s">
        <v>4552</v>
      </c>
      <c r="I675">
        <v>2</v>
      </c>
      <c r="K675" s="95">
        <v>1</v>
      </c>
      <c r="L675" s="31"/>
      <c r="M675" s="31"/>
      <c r="N675" s="31"/>
      <c r="O675" s="31"/>
      <c r="P675" s="4">
        <v>1</v>
      </c>
      <c r="Q675" s="57">
        <v>0</v>
      </c>
      <c r="R675" s="57">
        <v>0</v>
      </c>
      <c r="S675" s="97">
        <v>0</v>
      </c>
      <c r="T675" s="57">
        <v>0</v>
      </c>
      <c r="U675" s="57">
        <v>0</v>
      </c>
      <c r="V675" s="57">
        <v>0</v>
      </c>
      <c r="W675" s="57">
        <v>0</v>
      </c>
      <c r="X675" s="94">
        <v>0</v>
      </c>
    </row>
    <row r="676" spans="1:24" x14ac:dyDescent="0.35">
      <c r="A676">
        <v>672</v>
      </c>
      <c r="B676">
        <v>673</v>
      </c>
      <c r="C676">
        <v>146.107325830999</v>
      </c>
      <c r="D676">
        <v>-17.6390252721</v>
      </c>
      <c r="F676" t="str">
        <f>HYPERLINK("D:\Data From Lucan\2024\Moresby\Frames_for_Analysis/673_20240611_0003_L_0060.jpg","673_20240611_0003_L_0060.jpg")</f>
        <v>673_20240611_0003_L_0060.jpg</v>
      </c>
      <c r="G676" s="92" t="s">
        <v>4553</v>
      </c>
      <c r="I676">
        <v>2</v>
      </c>
      <c r="K676" s="95">
        <v>1</v>
      </c>
      <c r="L676" s="31"/>
      <c r="M676" s="31"/>
      <c r="N676" s="31"/>
      <c r="O676" s="31"/>
      <c r="P676" s="4">
        <v>1</v>
      </c>
      <c r="Q676" s="57">
        <v>0</v>
      </c>
      <c r="R676" s="57">
        <v>0</v>
      </c>
      <c r="S676" s="97">
        <v>0</v>
      </c>
      <c r="T676" s="57">
        <v>0</v>
      </c>
      <c r="U676" s="57">
        <v>0</v>
      </c>
      <c r="V676" s="57">
        <v>0</v>
      </c>
      <c r="W676" s="57">
        <v>0</v>
      </c>
      <c r="X676" s="94">
        <v>0</v>
      </c>
    </row>
    <row r="677" spans="1:24" x14ac:dyDescent="0.35">
      <c r="A677">
        <v>673</v>
      </c>
      <c r="B677">
        <v>674</v>
      </c>
      <c r="C677">
        <v>146.107236701999</v>
      </c>
      <c r="D677">
        <v>-17.6390145859</v>
      </c>
      <c r="F677" t="str">
        <f>HYPERLINK("D:\Data From Lucan\2024\Moresby\Frames_for_Analysis/674_20240611_0003_L_0063.jpg","674_20240611_0003_L_0063.jpg")</f>
        <v>674_20240611_0003_L_0063.jpg</v>
      </c>
      <c r="G677" s="92" t="s">
        <v>4554</v>
      </c>
      <c r="I677">
        <v>2</v>
      </c>
      <c r="K677" s="95">
        <v>1</v>
      </c>
      <c r="L677" s="31"/>
      <c r="M677" s="31"/>
      <c r="N677" s="31"/>
      <c r="O677" s="31"/>
      <c r="P677" s="4">
        <v>1</v>
      </c>
      <c r="Q677" s="57">
        <v>0</v>
      </c>
      <c r="R677" s="57">
        <v>0</v>
      </c>
      <c r="S677" s="97">
        <v>0</v>
      </c>
      <c r="T677" s="57">
        <v>0</v>
      </c>
      <c r="U677" s="57">
        <v>0</v>
      </c>
      <c r="V677" s="57">
        <v>0</v>
      </c>
      <c r="W677" s="57">
        <v>0</v>
      </c>
      <c r="X677" s="94">
        <v>0</v>
      </c>
    </row>
    <row r="678" spans="1:24" x14ac:dyDescent="0.35">
      <c r="A678">
        <v>674</v>
      </c>
      <c r="B678">
        <v>675</v>
      </c>
      <c r="C678">
        <v>146.107147572999</v>
      </c>
      <c r="D678">
        <v>-17.6390038997</v>
      </c>
      <c r="E678">
        <v>50</v>
      </c>
      <c r="F678" t="str">
        <f>HYPERLINK("D:\Data From Lucan\2024\Moresby\Frames_for_Analysis/675_20240611_0003_L_0066.jpg","675_20240611_0003_L_0066.jpg")</f>
        <v>675_20240611_0003_L_0066.jpg</v>
      </c>
      <c r="G678" s="92" t="s">
        <v>4555</v>
      </c>
      <c r="I678">
        <v>2</v>
      </c>
      <c r="K678" s="95">
        <v>1</v>
      </c>
      <c r="L678" s="31"/>
      <c r="M678" s="31"/>
      <c r="N678" s="31"/>
      <c r="O678" s="31"/>
      <c r="P678" s="4">
        <v>1</v>
      </c>
      <c r="Q678" s="57">
        <v>0</v>
      </c>
      <c r="R678" s="57">
        <v>0</v>
      </c>
      <c r="S678" s="97">
        <v>0</v>
      </c>
      <c r="T678" s="57">
        <v>0</v>
      </c>
      <c r="U678" s="57">
        <v>0</v>
      </c>
      <c r="V678" s="57">
        <v>0</v>
      </c>
      <c r="W678" s="57">
        <v>0</v>
      </c>
      <c r="X678" s="94">
        <v>0</v>
      </c>
    </row>
    <row r="679" spans="1:24" x14ac:dyDescent="0.35">
      <c r="A679">
        <v>675</v>
      </c>
      <c r="B679">
        <v>676</v>
      </c>
      <c r="C679">
        <v>146.10705844399899</v>
      </c>
      <c r="D679">
        <v>-17.638993213500001</v>
      </c>
      <c r="F679" t="str">
        <f>HYPERLINK("D:\Data From Lucan\2024\Moresby\Frames_for_Analysis/676_20240611_0003_L_0070.jpg","676_20240611_0003_L_0070.jpg")</f>
        <v>676_20240611_0003_L_0070.jpg</v>
      </c>
      <c r="G679" s="92" t="s">
        <v>4556</v>
      </c>
      <c r="I679">
        <v>2</v>
      </c>
      <c r="K679" s="95">
        <v>1</v>
      </c>
      <c r="L679" s="31"/>
      <c r="M679" s="31"/>
      <c r="N679" s="31"/>
      <c r="O679" s="31"/>
      <c r="P679" s="4">
        <v>1</v>
      </c>
      <c r="Q679" s="57">
        <v>0</v>
      </c>
      <c r="R679" s="57">
        <v>0</v>
      </c>
      <c r="S679" s="97">
        <v>0</v>
      </c>
      <c r="T679" s="57">
        <v>0</v>
      </c>
      <c r="U679" s="57">
        <v>0</v>
      </c>
      <c r="V679" s="57">
        <v>0</v>
      </c>
      <c r="W679" s="57">
        <v>0</v>
      </c>
      <c r="X679" s="94">
        <v>0</v>
      </c>
    </row>
    <row r="680" spans="1:24" x14ac:dyDescent="0.35">
      <c r="A680">
        <v>676</v>
      </c>
      <c r="B680">
        <v>677</v>
      </c>
      <c r="C680">
        <v>146.10696931499899</v>
      </c>
      <c r="D680">
        <v>-17.638982527300001</v>
      </c>
      <c r="F680" t="str">
        <f>HYPERLINK("D:\Data From Lucan\2024\Moresby\Frames_for_Analysis/677_20240611_0003_L_0073.jpg","677_20240611_0003_L_0073.jpg")</f>
        <v>677_20240611_0003_L_0073.jpg</v>
      </c>
      <c r="G680" s="92" t="s">
        <v>4557</v>
      </c>
      <c r="I680">
        <v>2</v>
      </c>
      <c r="K680" s="95">
        <v>1</v>
      </c>
      <c r="L680" s="31"/>
      <c r="M680" s="31"/>
      <c r="N680" s="31"/>
      <c r="O680" s="31"/>
      <c r="P680" s="4">
        <v>1</v>
      </c>
      <c r="Q680" s="57">
        <v>0</v>
      </c>
      <c r="R680" s="57">
        <v>0</v>
      </c>
      <c r="S680" s="97">
        <v>0</v>
      </c>
      <c r="T680" s="57">
        <v>0</v>
      </c>
      <c r="U680" s="57">
        <v>0</v>
      </c>
      <c r="V680" s="57">
        <v>0</v>
      </c>
      <c r="W680" s="57">
        <v>0</v>
      </c>
      <c r="X680" s="94">
        <v>0</v>
      </c>
    </row>
    <row r="681" spans="1:24" x14ac:dyDescent="0.35">
      <c r="A681">
        <v>677</v>
      </c>
      <c r="B681">
        <v>678</v>
      </c>
      <c r="C681">
        <v>146.106880187</v>
      </c>
      <c r="D681">
        <v>-17.638971841099899</v>
      </c>
      <c r="F681" t="str">
        <f>HYPERLINK("D:\Data From Lucan\2024\Moresby\Frames_for_Analysis/678_20240611_0003_L_0076.jpg","678_20240611_0003_L_0076.jpg")</f>
        <v>678_20240611_0003_L_0076.jpg</v>
      </c>
      <c r="G681" s="92" t="s">
        <v>4558</v>
      </c>
      <c r="I681">
        <v>2</v>
      </c>
      <c r="K681" s="95">
        <v>1</v>
      </c>
      <c r="L681" s="31"/>
      <c r="M681" s="31"/>
      <c r="N681" s="31"/>
      <c r="O681" s="31"/>
      <c r="P681" s="4">
        <v>1</v>
      </c>
      <c r="Q681" s="57">
        <v>0</v>
      </c>
      <c r="R681" s="57">
        <v>0</v>
      </c>
      <c r="S681" s="97">
        <v>0</v>
      </c>
      <c r="T681" s="57">
        <v>0</v>
      </c>
      <c r="U681" s="57">
        <v>0</v>
      </c>
      <c r="V681" s="57">
        <v>0</v>
      </c>
      <c r="W681" s="57">
        <v>0</v>
      </c>
      <c r="X681" s="94">
        <v>0</v>
      </c>
    </row>
    <row r="682" spans="1:24" x14ac:dyDescent="0.35">
      <c r="A682">
        <v>678</v>
      </c>
      <c r="B682">
        <v>679</v>
      </c>
      <c r="C682">
        <v>146.106791057999</v>
      </c>
      <c r="D682">
        <v>-17.638961155000001</v>
      </c>
      <c r="F682" t="str">
        <f>HYPERLINK("D:\Data From Lucan\2024\Moresby\Frames_for_Analysis/679_20240611_0003_L_0079.jpg","679_20240611_0003_L_0079.jpg")</f>
        <v>679_20240611_0003_L_0079.jpg</v>
      </c>
      <c r="G682" s="92" t="s">
        <v>4559</v>
      </c>
      <c r="I682">
        <v>2</v>
      </c>
      <c r="K682" s="95">
        <v>1</v>
      </c>
      <c r="L682" s="31"/>
      <c r="M682" s="31"/>
      <c r="N682" s="31"/>
      <c r="O682" s="31"/>
      <c r="P682" s="4">
        <v>1</v>
      </c>
      <c r="Q682" s="57">
        <v>0</v>
      </c>
      <c r="R682" s="57">
        <v>0</v>
      </c>
      <c r="S682" s="97">
        <v>0</v>
      </c>
      <c r="T682" s="57">
        <v>0</v>
      </c>
      <c r="U682" s="57">
        <v>0</v>
      </c>
      <c r="V682" s="57">
        <v>0</v>
      </c>
      <c r="W682" s="57">
        <v>0</v>
      </c>
      <c r="X682" s="94">
        <v>0</v>
      </c>
    </row>
    <row r="683" spans="1:24" x14ac:dyDescent="0.35">
      <c r="A683">
        <v>679</v>
      </c>
      <c r="B683">
        <v>680</v>
      </c>
      <c r="C683">
        <v>146.106701985</v>
      </c>
      <c r="D683">
        <v>-17.638950197</v>
      </c>
      <c r="E683">
        <v>50</v>
      </c>
      <c r="F683" t="str">
        <f>HYPERLINK("D:\Data From Lucan\2024\Moresby\Frames_for_Analysis/680_20240611_0003_L_0081.jpg","680_20240611_0003_L_0081.jpg")</f>
        <v>680_20240611_0003_L_0081.jpg</v>
      </c>
      <c r="G683" s="92" t="s">
        <v>4560</v>
      </c>
      <c r="I683">
        <v>2</v>
      </c>
      <c r="K683" s="95">
        <v>1</v>
      </c>
      <c r="L683" s="31"/>
      <c r="M683" s="31"/>
      <c r="N683" s="31"/>
      <c r="O683" s="31"/>
      <c r="P683" s="4">
        <v>1</v>
      </c>
      <c r="Q683" s="57">
        <v>0</v>
      </c>
      <c r="R683" s="57">
        <v>0</v>
      </c>
      <c r="S683" s="97">
        <v>0</v>
      </c>
      <c r="T683" s="57">
        <v>0</v>
      </c>
      <c r="U683" s="57">
        <v>0</v>
      </c>
      <c r="V683" s="57">
        <v>0</v>
      </c>
      <c r="W683" s="57">
        <v>0</v>
      </c>
      <c r="X683" s="94">
        <v>0</v>
      </c>
    </row>
    <row r="684" spans="1:24" x14ac:dyDescent="0.35">
      <c r="A684">
        <v>680</v>
      </c>
      <c r="B684">
        <v>681</v>
      </c>
      <c r="C684">
        <v>146.10661535700001</v>
      </c>
      <c r="D684">
        <v>-17.6389275388999</v>
      </c>
      <c r="F684" t="str">
        <f>HYPERLINK("D:\Data From Lucan\2024\Moresby\Frames_for_Analysis/681_20240611_0003_L_0084.jpg","681_20240611_0003_L_0084.jpg")</f>
        <v>681_20240611_0003_L_0084.jpg</v>
      </c>
      <c r="G684" s="92" t="s">
        <v>4561</v>
      </c>
      <c r="I684">
        <v>2</v>
      </c>
      <c r="K684" s="95">
        <v>1</v>
      </c>
      <c r="L684" s="31"/>
      <c r="M684" s="31"/>
      <c r="N684" s="31"/>
      <c r="O684" s="31"/>
      <c r="P684" s="4">
        <v>1</v>
      </c>
      <c r="Q684" s="57">
        <v>0</v>
      </c>
      <c r="R684" s="57">
        <v>0</v>
      </c>
      <c r="S684" s="97">
        <v>0</v>
      </c>
      <c r="T684" s="57">
        <v>0</v>
      </c>
      <c r="U684" s="57">
        <v>0</v>
      </c>
      <c r="V684" s="57">
        <v>0</v>
      </c>
      <c r="W684" s="57">
        <v>0</v>
      </c>
      <c r="X684" s="94">
        <v>0</v>
      </c>
    </row>
    <row r="685" spans="1:24" x14ac:dyDescent="0.35">
      <c r="A685">
        <v>681</v>
      </c>
      <c r="B685">
        <v>682</v>
      </c>
      <c r="C685">
        <v>146.10652873000001</v>
      </c>
      <c r="D685">
        <v>-17.638904880799899</v>
      </c>
      <c r="F685" t="str">
        <f>HYPERLINK("D:\Data From Lucan\2024\Moresby\Frames_for_Analysis/682_20240611_0003_L_0087.jpg","682_20240611_0003_L_0087.jpg")</f>
        <v>682_20240611_0003_L_0087.jpg</v>
      </c>
      <c r="G685" s="92" t="s">
        <v>4562</v>
      </c>
      <c r="I685">
        <v>2</v>
      </c>
      <c r="K685" s="95">
        <v>1</v>
      </c>
      <c r="L685" s="31"/>
      <c r="M685" s="31"/>
      <c r="N685" s="31"/>
      <c r="O685" s="31"/>
      <c r="P685" s="4">
        <v>1</v>
      </c>
      <c r="Q685" s="57">
        <v>0</v>
      </c>
      <c r="R685" s="57">
        <v>0</v>
      </c>
      <c r="S685" s="97">
        <v>0</v>
      </c>
      <c r="T685" s="57">
        <v>0</v>
      </c>
      <c r="U685" s="57">
        <v>0</v>
      </c>
      <c r="V685" s="57">
        <v>0</v>
      </c>
      <c r="W685" s="57">
        <v>0</v>
      </c>
      <c r="X685" s="94">
        <v>0</v>
      </c>
    </row>
    <row r="686" spans="1:24" x14ac:dyDescent="0.35">
      <c r="A686">
        <v>682</v>
      </c>
      <c r="B686">
        <v>683</v>
      </c>
      <c r="C686">
        <v>146.10644210199899</v>
      </c>
      <c r="D686">
        <v>-17.638882222700001</v>
      </c>
      <c r="F686" t="str">
        <f>HYPERLINK("D:\Data From Lucan\2024\Moresby\Frames_for_Analysis/683_20240611_0003_L_0090.jpg","683_20240611_0003_L_0090.jpg")</f>
        <v>683_20240611_0003_L_0090.jpg</v>
      </c>
      <c r="G686" s="92" t="s">
        <v>4563</v>
      </c>
      <c r="I686">
        <v>2</v>
      </c>
      <c r="K686" s="95">
        <v>1</v>
      </c>
      <c r="L686" s="31"/>
      <c r="M686" s="31"/>
      <c r="N686" s="31"/>
      <c r="O686" s="31"/>
      <c r="P686" s="4">
        <v>1</v>
      </c>
      <c r="Q686" s="57">
        <v>0</v>
      </c>
      <c r="R686" s="57">
        <v>0</v>
      </c>
      <c r="S686" s="97">
        <v>0</v>
      </c>
      <c r="T686" s="57">
        <v>0</v>
      </c>
      <c r="U686" s="57">
        <v>0</v>
      </c>
      <c r="V686" s="57">
        <v>0</v>
      </c>
      <c r="W686" s="57">
        <v>0</v>
      </c>
      <c r="X686" s="94">
        <v>0</v>
      </c>
    </row>
    <row r="687" spans="1:24" x14ac:dyDescent="0.35">
      <c r="A687">
        <v>683</v>
      </c>
      <c r="B687">
        <v>684</v>
      </c>
      <c r="C687">
        <v>146.106355473999</v>
      </c>
      <c r="D687">
        <v>-17.638859564600001</v>
      </c>
      <c r="F687" t="str">
        <f>HYPERLINK("D:\Data From Lucan\2024\Moresby\Frames_for_Analysis/684_20240611_0003_L_0093.jpg","684_20240611_0003_L_0093.jpg")</f>
        <v>684_20240611_0003_L_0093.jpg</v>
      </c>
      <c r="G687" s="92" t="s">
        <v>4564</v>
      </c>
      <c r="I687">
        <v>2</v>
      </c>
      <c r="K687" s="95">
        <v>1</v>
      </c>
      <c r="L687" s="31"/>
      <c r="M687" s="31"/>
      <c r="N687" s="31"/>
      <c r="O687" s="31"/>
      <c r="P687" s="4">
        <v>1</v>
      </c>
      <c r="Q687" s="57">
        <v>0</v>
      </c>
      <c r="R687" s="57">
        <v>0</v>
      </c>
      <c r="S687" s="97">
        <v>0</v>
      </c>
      <c r="T687" s="57">
        <v>0</v>
      </c>
      <c r="U687" s="57">
        <v>0</v>
      </c>
      <c r="V687" s="57">
        <v>0</v>
      </c>
      <c r="W687" s="57">
        <v>0</v>
      </c>
      <c r="X687" s="94">
        <v>0</v>
      </c>
    </row>
    <row r="688" spans="1:24" x14ac:dyDescent="0.35">
      <c r="A688">
        <v>684</v>
      </c>
      <c r="B688">
        <v>685</v>
      </c>
      <c r="C688">
        <v>146.10626884600001</v>
      </c>
      <c r="D688">
        <v>-17.6388369065</v>
      </c>
      <c r="E688">
        <v>50</v>
      </c>
      <c r="F688" t="str">
        <f>HYPERLINK("D:\Data From Lucan\2024\Moresby\Frames_for_Analysis/685_20240611_0003_L_0096.jpg","685_20240611_0003_L_0096.jpg")</f>
        <v>685_20240611_0003_L_0096.jpg</v>
      </c>
      <c r="G688" s="92" t="s">
        <v>4565</v>
      </c>
      <c r="I688">
        <v>2</v>
      </c>
      <c r="K688" s="95">
        <v>1</v>
      </c>
      <c r="L688" s="31"/>
      <c r="M688" s="31"/>
      <c r="N688" s="31"/>
      <c r="O688" s="31"/>
      <c r="P688" s="4">
        <v>1</v>
      </c>
      <c r="Q688" s="57">
        <v>0</v>
      </c>
      <c r="R688" s="57">
        <v>0</v>
      </c>
      <c r="S688" s="97">
        <v>0</v>
      </c>
      <c r="T688" s="57">
        <v>0</v>
      </c>
      <c r="U688" s="57">
        <v>0</v>
      </c>
      <c r="V688" s="57">
        <v>0</v>
      </c>
      <c r="W688" s="57">
        <v>0</v>
      </c>
      <c r="X688" s="94">
        <v>0</v>
      </c>
    </row>
    <row r="689" spans="1:24" x14ac:dyDescent="0.35">
      <c r="A689">
        <v>685</v>
      </c>
      <c r="B689">
        <v>686</v>
      </c>
      <c r="C689">
        <v>146.10618221799899</v>
      </c>
      <c r="D689">
        <v>-17.6388142483999</v>
      </c>
      <c r="F689" t="str">
        <f>HYPERLINK("D:\Data From Lucan\2024\Moresby\Frames_for_Analysis/686_20240611_0003_L_0099.jpg","686_20240611_0003_L_0099.jpg")</f>
        <v>686_20240611_0003_L_0099.jpg</v>
      </c>
      <c r="G689" s="92" t="s">
        <v>4566</v>
      </c>
      <c r="I689">
        <v>2</v>
      </c>
      <c r="K689" s="95">
        <v>1</v>
      </c>
      <c r="L689" s="31"/>
      <c r="M689" s="31"/>
      <c r="N689" s="31"/>
      <c r="O689" s="31"/>
      <c r="P689" s="4">
        <v>1</v>
      </c>
      <c r="Q689" s="57">
        <v>0</v>
      </c>
      <c r="R689" s="57">
        <v>0</v>
      </c>
      <c r="S689" s="97">
        <v>0</v>
      </c>
      <c r="T689" s="57">
        <v>0</v>
      </c>
      <c r="U689" s="57">
        <v>0</v>
      </c>
      <c r="V689" s="57">
        <v>0</v>
      </c>
      <c r="W689" s="57">
        <v>0</v>
      </c>
      <c r="X689" s="94">
        <v>0</v>
      </c>
    </row>
    <row r="690" spans="1:24" x14ac:dyDescent="0.35">
      <c r="A690">
        <v>686</v>
      </c>
      <c r="B690">
        <v>687</v>
      </c>
      <c r="C690">
        <v>146.106095589999</v>
      </c>
      <c r="D690">
        <v>-17.638791590299899</v>
      </c>
      <c r="F690" t="str">
        <f>HYPERLINK("D:\Data From Lucan\2024\Moresby\Frames_for_Analysis/687_20240611_0003_L_0102.jpg","687_20240611_0003_L_0102.jpg")</f>
        <v>687_20240611_0003_L_0102.jpg</v>
      </c>
      <c r="G690" s="92" t="s">
        <v>4567</v>
      </c>
      <c r="I690">
        <v>2</v>
      </c>
      <c r="K690" s="95">
        <v>1</v>
      </c>
      <c r="L690" s="31"/>
      <c r="M690" s="31"/>
      <c r="N690" s="31"/>
      <c r="O690" s="31"/>
      <c r="P690" s="4">
        <v>1</v>
      </c>
      <c r="Q690" s="57">
        <v>0</v>
      </c>
      <c r="R690" s="57">
        <v>0</v>
      </c>
      <c r="S690" s="97">
        <v>0</v>
      </c>
      <c r="T690" s="57">
        <v>0</v>
      </c>
      <c r="U690" s="57">
        <v>0</v>
      </c>
      <c r="V690" s="57">
        <v>0</v>
      </c>
      <c r="W690" s="57">
        <v>0</v>
      </c>
      <c r="X690" s="94">
        <v>0</v>
      </c>
    </row>
    <row r="691" spans="1:24" x14ac:dyDescent="0.35">
      <c r="A691">
        <v>687</v>
      </c>
      <c r="B691">
        <v>688</v>
      </c>
      <c r="C691">
        <v>146.106008962</v>
      </c>
      <c r="D691">
        <v>-17.638768932200001</v>
      </c>
      <c r="F691" t="str">
        <f>HYPERLINK("D:\Data From Lucan\2024\Moresby\Frames_for_Analysis/688_20240611_0003_L_0105.jpg","688_20240611_0003_L_0105.jpg")</f>
        <v>688_20240611_0003_L_0105.jpg</v>
      </c>
      <c r="G691" s="92" t="s">
        <v>4568</v>
      </c>
      <c r="I691">
        <v>2</v>
      </c>
      <c r="K691" s="95">
        <v>1</v>
      </c>
      <c r="L691" s="31"/>
      <c r="M691" s="31"/>
      <c r="N691" s="31"/>
      <c r="O691" s="31"/>
      <c r="P691" s="4">
        <v>1</v>
      </c>
      <c r="Q691" s="57">
        <v>0</v>
      </c>
      <c r="R691" s="57">
        <v>0</v>
      </c>
      <c r="S691" s="97">
        <v>0</v>
      </c>
      <c r="T691" s="57">
        <v>0</v>
      </c>
      <c r="U691" s="57">
        <v>0</v>
      </c>
      <c r="V691" s="57">
        <v>0</v>
      </c>
      <c r="W691" s="57">
        <v>0</v>
      </c>
      <c r="X691" s="94">
        <v>0</v>
      </c>
    </row>
    <row r="692" spans="1:24" x14ac:dyDescent="0.35">
      <c r="A692">
        <v>688</v>
      </c>
      <c r="B692">
        <v>689</v>
      </c>
      <c r="C692">
        <v>146.10592233400001</v>
      </c>
      <c r="D692">
        <v>-17.638746274100001</v>
      </c>
      <c r="F692" t="str">
        <f>HYPERLINK("D:\Data From Lucan\2024\Moresby\Frames_for_Analysis/689_20240611_0003_L_0108.jpg","689_20240611_0003_L_0108.jpg")</f>
        <v>689_20240611_0003_L_0108.jpg</v>
      </c>
      <c r="G692" s="92" t="s">
        <v>4569</v>
      </c>
      <c r="I692">
        <v>2</v>
      </c>
      <c r="K692" s="95">
        <v>1</v>
      </c>
      <c r="L692" s="31"/>
      <c r="M692" s="31"/>
      <c r="N692" s="31"/>
      <c r="O692" s="31"/>
      <c r="P692" s="4">
        <v>1</v>
      </c>
      <c r="Q692" s="57">
        <v>0</v>
      </c>
      <c r="R692" s="57">
        <v>0</v>
      </c>
      <c r="S692" s="97">
        <v>0</v>
      </c>
      <c r="T692" s="57">
        <v>0</v>
      </c>
      <c r="U692" s="57">
        <v>0</v>
      </c>
      <c r="V692" s="57">
        <v>0</v>
      </c>
      <c r="W692" s="57">
        <v>0</v>
      </c>
      <c r="X692" s="94">
        <v>0</v>
      </c>
    </row>
    <row r="693" spans="1:24" x14ac:dyDescent="0.35">
      <c r="A693">
        <v>689</v>
      </c>
      <c r="B693">
        <v>690</v>
      </c>
      <c r="C693">
        <v>146.105835705999</v>
      </c>
      <c r="D693">
        <v>-17.638723616</v>
      </c>
      <c r="E693">
        <v>50</v>
      </c>
      <c r="F693" t="str">
        <f>HYPERLINK("D:\Data From Lucan\2024\Moresby\Frames_for_Analysis/690_20240611_0003_L_0111.jpg","690_20240611_0003_L_0111.jpg")</f>
        <v>690_20240611_0003_L_0111.jpg</v>
      </c>
      <c r="G693" s="92" t="s">
        <v>4570</v>
      </c>
      <c r="I693">
        <v>2</v>
      </c>
      <c r="K693" s="95">
        <v>1</v>
      </c>
      <c r="L693" s="31"/>
      <c r="M693" s="31"/>
      <c r="N693" s="31"/>
      <c r="O693" s="31"/>
      <c r="P693" s="4">
        <v>1</v>
      </c>
      <c r="Q693" s="57">
        <v>0</v>
      </c>
      <c r="R693" s="57">
        <v>0</v>
      </c>
      <c r="S693" s="97">
        <v>0</v>
      </c>
      <c r="T693" s="57">
        <v>0</v>
      </c>
      <c r="U693" s="57">
        <v>0</v>
      </c>
      <c r="V693" s="57">
        <v>0</v>
      </c>
      <c r="W693" s="57">
        <v>0</v>
      </c>
      <c r="X693" s="94">
        <v>0</v>
      </c>
    </row>
    <row r="694" spans="1:24" x14ac:dyDescent="0.35">
      <c r="A694">
        <v>690</v>
      </c>
      <c r="B694">
        <v>691</v>
      </c>
      <c r="C694">
        <v>146.10575179700001</v>
      </c>
      <c r="D694">
        <v>-17.638693049299899</v>
      </c>
      <c r="F694" t="str">
        <f>HYPERLINK("D:\Data From Lucan\2024\Moresby\Frames_for_Analysis/691_20240611_0003_L_0113.jpg","691_20240611_0003_L_0113.jpg")</f>
        <v>691_20240611_0003_L_0113.jpg</v>
      </c>
      <c r="G694" s="92" t="s">
        <v>4571</v>
      </c>
      <c r="I694">
        <v>2</v>
      </c>
      <c r="K694" s="95">
        <v>1</v>
      </c>
      <c r="L694" s="31"/>
      <c r="M694" s="31"/>
      <c r="N694" s="31"/>
      <c r="O694" s="31"/>
      <c r="P694" s="4">
        <v>1</v>
      </c>
      <c r="Q694" s="57">
        <v>0</v>
      </c>
      <c r="R694" s="57">
        <v>0</v>
      </c>
      <c r="S694" s="97">
        <v>0</v>
      </c>
      <c r="T694" s="57">
        <v>0</v>
      </c>
      <c r="U694" s="57">
        <v>0</v>
      </c>
      <c r="V694" s="57">
        <v>0</v>
      </c>
      <c r="W694" s="57">
        <v>0</v>
      </c>
      <c r="X694" s="94">
        <v>0</v>
      </c>
    </row>
    <row r="695" spans="1:24" x14ac:dyDescent="0.35">
      <c r="A695">
        <v>691</v>
      </c>
      <c r="B695">
        <v>692</v>
      </c>
      <c r="C695">
        <v>146.105667901</v>
      </c>
      <c r="D695">
        <v>-17.638662448800002</v>
      </c>
      <c r="F695" t="str">
        <f>HYPERLINK("D:\Data From Lucan\2024\Moresby\Frames_for_Analysis/692_20240611_0003_L_0117.jpg","692_20240611_0003_L_0117.jpg")</f>
        <v>692_20240611_0003_L_0117.jpg</v>
      </c>
      <c r="G695" s="92" t="s">
        <v>4572</v>
      </c>
      <c r="I695">
        <v>2</v>
      </c>
      <c r="K695" s="95">
        <v>1</v>
      </c>
      <c r="L695" s="31"/>
      <c r="M695" s="31"/>
      <c r="N695" s="31"/>
      <c r="O695" s="31"/>
      <c r="P695" s="4">
        <v>1</v>
      </c>
      <c r="Q695" s="57">
        <v>0</v>
      </c>
      <c r="R695" s="57">
        <v>0</v>
      </c>
      <c r="S695" s="97">
        <v>0</v>
      </c>
      <c r="T695" s="57">
        <v>0</v>
      </c>
      <c r="U695" s="57">
        <v>0</v>
      </c>
      <c r="V695" s="57">
        <v>0</v>
      </c>
      <c r="W695" s="57">
        <v>0</v>
      </c>
      <c r="X695" s="94">
        <v>0</v>
      </c>
    </row>
    <row r="696" spans="1:24" x14ac:dyDescent="0.35">
      <c r="A696">
        <v>692</v>
      </c>
      <c r="B696">
        <v>693</v>
      </c>
      <c r="C696">
        <v>146.10558400400001</v>
      </c>
      <c r="D696">
        <v>-17.6386318481999</v>
      </c>
      <c r="F696" t="str">
        <f>HYPERLINK("D:\Data From Lucan\2024\Moresby\Frames_for_Analysis/693_20240611_0003_L_0119.jpg","693_20240611_0003_L_0119.jpg")</f>
        <v>693_20240611_0003_L_0119.jpg</v>
      </c>
      <c r="G696" s="92" t="s">
        <v>4573</v>
      </c>
      <c r="I696">
        <v>2</v>
      </c>
      <c r="K696" s="95">
        <v>1</v>
      </c>
      <c r="L696" s="31"/>
      <c r="M696" s="31"/>
      <c r="N696" s="31"/>
      <c r="O696" s="31"/>
      <c r="P696" s="4">
        <v>1</v>
      </c>
      <c r="Q696" s="57">
        <v>0</v>
      </c>
      <c r="R696" s="57">
        <v>0</v>
      </c>
      <c r="S696" s="97">
        <v>0</v>
      </c>
      <c r="T696" s="57">
        <v>0</v>
      </c>
      <c r="U696" s="57">
        <v>0</v>
      </c>
      <c r="V696" s="57">
        <v>0</v>
      </c>
      <c r="W696" s="57">
        <v>0</v>
      </c>
      <c r="X696" s="94">
        <v>0</v>
      </c>
    </row>
    <row r="697" spans="1:24" x14ac:dyDescent="0.35">
      <c r="A697">
        <v>693</v>
      </c>
      <c r="B697">
        <v>694</v>
      </c>
      <c r="C697">
        <v>146.10550010700001</v>
      </c>
      <c r="D697">
        <v>-17.638601247699899</v>
      </c>
      <c r="F697" t="str">
        <f>HYPERLINK("D:\Data From Lucan\2024\Moresby\Frames_for_Analysis/694_20240611_0003_L_0122.jpg","694_20240611_0003_L_0122.jpg")</f>
        <v>694_20240611_0003_L_0122.jpg</v>
      </c>
      <c r="G697" s="92" t="s">
        <v>4574</v>
      </c>
      <c r="I697">
        <v>2</v>
      </c>
      <c r="K697" s="95">
        <v>1</v>
      </c>
      <c r="L697" s="31"/>
      <c r="M697" s="31"/>
      <c r="N697" s="31"/>
      <c r="O697" s="31"/>
      <c r="P697" s="4">
        <v>1</v>
      </c>
      <c r="Q697" s="57">
        <v>0</v>
      </c>
      <c r="R697" s="57">
        <v>0</v>
      </c>
      <c r="S697" s="97">
        <v>0</v>
      </c>
      <c r="T697" s="57">
        <v>0</v>
      </c>
      <c r="U697" s="57">
        <v>0</v>
      </c>
      <c r="V697" s="57">
        <v>0</v>
      </c>
      <c r="W697" s="57">
        <v>0</v>
      </c>
      <c r="X697" s="94">
        <v>0</v>
      </c>
    </row>
    <row r="698" spans="1:24" x14ac:dyDescent="0.35">
      <c r="A698">
        <v>694</v>
      </c>
      <c r="B698">
        <v>695</v>
      </c>
      <c r="C698">
        <v>146.105416211</v>
      </c>
      <c r="D698">
        <v>-17.6385706471</v>
      </c>
      <c r="E698">
        <v>50</v>
      </c>
      <c r="F698" t="str">
        <f>HYPERLINK("D:\Data From Lucan\2024\Moresby\Frames_for_Analysis/695_20240611_0003_L_0125.jpg","695_20240611_0003_L_0125.jpg")</f>
        <v>695_20240611_0003_L_0125.jpg</v>
      </c>
      <c r="G698" s="92" t="s">
        <v>4575</v>
      </c>
      <c r="I698">
        <v>2</v>
      </c>
      <c r="K698" s="95">
        <v>1</v>
      </c>
      <c r="L698" s="31"/>
      <c r="M698" s="31"/>
      <c r="N698" s="31"/>
      <c r="O698" s="31"/>
      <c r="P698" s="4">
        <v>1</v>
      </c>
      <c r="Q698" s="57">
        <v>0</v>
      </c>
      <c r="R698" s="57">
        <v>0</v>
      </c>
      <c r="S698" s="97">
        <v>0</v>
      </c>
      <c r="T698" s="57">
        <v>0</v>
      </c>
      <c r="U698" s="57">
        <v>0</v>
      </c>
      <c r="V698" s="57">
        <v>0</v>
      </c>
      <c r="W698" s="57">
        <v>0</v>
      </c>
      <c r="X698" s="94">
        <v>0</v>
      </c>
    </row>
    <row r="699" spans="1:24" x14ac:dyDescent="0.35">
      <c r="A699">
        <v>695</v>
      </c>
      <c r="B699">
        <v>696</v>
      </c>
      <c r="C699">
        <v>146.10533231400001</v>
      </c>
      <c r="D699">
        <v>-17.638540046500001</v>
      </c>
      <c r="F699" t="str">
        <f>HYPERLINK("D:\Data From Lucan\2024\Moresby\Frames_for_Analysis/696_20240611_0003_L_0129.jpg","696_20240611_0003_L_0129.jpg")</f>
        <v>696_20240611_0003_L_0129.jpg</v>
      </c>
      <c r="G699" s="92" t="s">
        <v>4576</v>
      </c>
      <c r="I699">
        <v>2</v>
      </c>
      <c r="K699" s="95">
        <v>1</v>
      </c>
      <c r="L699" s="31"/>
      <c r="M699" s="31"/>
      <c r="N699" s="31"/>
      <c r="O699" s="31"/>
      <c r="P699" s="4">
        <v>1</v>
      </c>
      <c r="Q699" s="57">
        <v>0</v>
      </c>
      <c r="R699" s="57">
        <v>0</v>
      </c>
      <c r="S699" s="97">
        <v>0</v>
      </c>
      <c r="T699" s="57">
        <v>0</v>
      </c>
      <c r="U699" s="57">
        <v>0</v>
      </c>
      <c r="V699" s="57">
        <v>0</v>
      </c>
      <c r="W699" s="57">
        <v>0</v>
      </c>
      <c r="X699" s="94">
        <v>0</v>
      </c>
    </row>
    <row r="700" spans="1:24" x14ac:dyDescent="0.35">
      <c r="A700">
        <v>696</v>
      </c>
      <c r="B700">
        <v>697</v>
      </c>
      <c r="C700">
        <v>146.105248418</v>
      </c>
      <c r="D700">
        <v>-17.638509445899899</v>
      </c>
      <c r="F700" t="str">
        <f>HYPERLINK("D:\Data From Lucan\2024\Moresby\Frames_for_Analysis/697_20240611_0003_L_0131.jpg","697_20240611_0003_L_0131.jpg")</f>
        <v>697_20240611_0003_L_0131.jpg</v>
      </c>
      <c r="G700" s="92" t="s">
        <v>4577</v>
      </c>
      <c r="I700">
        <v>2</v>
      </c>
      <c r="K700" s="95">
        <v>1</v>
      </c>
      <c r="L700" s="31"/>
      <c r="M700" s="31"/>
      <c r="N700" s="31"/>
      <c r="O700" s="31"/>
      <c r="P700" s="4">
        <v>1</v>
      </c>
      <c r="Q700" s="57">
        <v>0</v>
      </c>
      <c r="R700" s="57">
        <v>0</v>
      </c>
      <c r="S700" s="97">
        <v>0</v>
      </c>
      <c r="T700" s="57">
        <v>0</v>
      </c>
      <c r="U700" s="57">
        <v>0</v>
      </c>
      <c r="V700" s="57">
        <v>0</v>
      </c>
      <c r="W700" s="57">
        <v>0</v>
      </c>
      <c r="X700" s="94">
        <v>0</v>
      </c>
    </row>
    <row r="701" spans="1:24" x14ac:dyDescent="0.35">
      <c r="A701">
        <v>697</v>
      </c>
      <c r="B701">
        <v>698</v>
      </c>
      <c r="C701">
        <v>146.10516452100001</v>
      </c>
      <c r="D701">
        <v>-17.638478845400002</v>
      </c>
      <c r="F701" t="str">
        <f>HYPERLINK("D:\Data From Lucan\2024\Moresby\Frames_for_Analysis/698_20240611_0003_L_0135.jpg","698_20240611_0003_L_0135.jpg")</f>
        <v>698_20240611_0003_L_0135.jpg</v>
      </c>
      <c r="G701" s="92" t="s">
        <v>4578</v>
      </c>
      <c r="I701">
        <v>2</v>
      </c>
      <c r="K701" s="95">
        <v>1</v>
      </c>
      <c r="L701" s="31"/>
      <c r="M701" s="31"/>
      <c r="N701" s="31"/>
      <c r="O701" s="31"/>
      <c r="P701" s="4">
        <v>1</v>
      </c>
      <c r="Q701" s="57">
        <v>0</v>
      </c>
      <c r="R701" s="57">
        <v>0</v>
      </c>
      <c r="S701" s="97">
        <v>0</v>
      </c>
      <c r="T701" s="57">
        <v>0</v>
      </c>
      <c r="U701" s="57">
        <v>0</v>
      </c>
      <c r="V701" s="57">
        <v>0</v>
      </c>
      <c r="W701" s="57">
        <v>0</v>
      </c>
      <c r="X701" s="94">
        <v>0</v>
      </c>
    </row>
    <row r="702" spans="1:24" x14ac:dyDescent="0.35">
      <c r="A702">
        <v>698</v>
      </c>
      <c r="B702">
        <v>699</v>
      </c>
      <c r="C702">
        <v>146.10508062400001</v>
      </c>
      <c r="D702">
        <v>-17.6384482447999</v>
      </c>
      <c r="F702" t="str">
        <f>HYPERLINK("D:\Data From Lucan\2024\Moresby\Frames_for_Analysis/699_20240611_0003_L_0138.jpg","699_20240611_0003_L_0138.jpg")</f>
        <v>699_20240611_0003_L_0138.jpg</v>
      </c>
      <c r="G702" s="92" t="s">
        <v>4579</v>
      </c>
      <c r="I702">
        <v>2</v>
      </c>
      <c r="K702" s="95">
        <v>1</v>
      </c>
      <c r="L702" s="31"/>
      <c r="M702" s="31"/>
      <c r="N702" s="31"/>
      <c r="O702" s="31"/>
      <c r="P702" s="4">
        <v>1</v>
      </c>
      <c r="Q702" s="57">
        <v>0</v>
      </c>
      <c r="R702" s="57">
        <v>0</v>
      </c>
      <c r="S702" s="97">
        <v>0</v>
      </c>
      <c r="T702" s="57">
        <v>0</v>
      </c>
      <c r="U702" s="57">
        <v>0</v>
      </c>
      <c r="V702" s="57">
        <v>0</v>
      </c>
      <c r="W702" s="57">
        <v>0</v>
      </c>
      <c r="X702" s="94">
        <v>0</v>
      </c>
    </row>
    <row r="703" spans="1:24" x14ac:dyDescent="0.35">
      <c r="A703">
        <v>699</v>
      </c>
      <c r="B703">
        <v>700</v>
      </c>
      <c r="C703">
        <v>146.104996728</v>
      </c>
      <c r="D703">
        <v>-17.6384176442</v>
      </c>
      <c r="E703">
        <v>50</v>
      </c>
      <c r="F703" t="str">
        <f>HYPERLINK("D:\Data From Lucan\2024\Moresby\Frames_for_Analysis/700_20240611_0003_L_0141.jpg","700_20240611_0003_L_0141.jpg")</f>
        <v>700_20240611_0003_L_0141.jpg</v>
      </c>
      <c r="G703" s="92" t="s">
        <v>4580</v>
      </c>
      <c r="I703">
        <v>2</v>
      </c>
      <c r="K703" s="95">
        <v>1</v>
      </c>
      <c r="L703" s="31"/>
      <c r="M703" s="31"/>
      <c r="N703" s="31"/>
      <c r="O703" s="31"/>
      <c r="P703" s="4">
        <v>1</v>
      </c>
      <c r="Q703" s="57">
        <v>0</v>
      </c>
      <c r="R703" s="57">
        <v>0</v>
      </c>
      <c r="S703" s="97">
        <v>0</v>
      </c>
      <c r="T703" s="57">
        <v>0</v>
      </c>
      <c r="U703" s="57">
        <v>0</v>
      </c>
      <c r="V703" s="57">
        <v>0</v>
      </c>
      <c r="W703" s="57">
        <v>0</v>
      </c>
      <c r="X703" s="94">
        <v>0</v>
      </c>
    </row>
    <row r="704" spans="1:24" x14ac:dyDescent="0.35">
      <c r="A704">
        <v>700</v>
      </c>
      <c r="B704">
        <v>701</v>
      </c>
      <c r="C704">
        <v>146.10491539399899</v>
      </c>
      <c r="D704">
        <v>-17.6383816684999</v>
      </c>
      <c r="F704" t="str">
        <f>HYPERLINK("D:\Data From Lucan\2024\Moresby\Frames_for_Analysis/701_20240611_0003_L_0145.jpg","701_20240611_0003_L_0145.jpg")</f>
        <v>701_20240611_0003_L_0145.jpg</v>
      </c>
      <c r="G704" s="92" t="s">
        <v>4581</v>
      </c>
      <c r="I704">
        <v>2</v>
      </c>
      <c r="K704" s="95">
        <v>1</v>
      </c>
      <c r="L704" s="31"/>
      <c r="M704" s="31"/>
      <c r="N704" s="31"/>
      <c r="O704" s="31"/>
      <c r="P704" s="4">
        <v>1</v>
      </c>
      <c r="Q704" s="57">
        <v>0</v>
      </c>
      <c r="R704" s="57">
        <v>0</v>
      </c>
      <c r="S704" s="97">
        <v>0</v>
      </c>
      <c r="T704" s="57">
        <v>0</v>
      </c>
      <c r="U704" s="57">
        <v>0</v>
      </c>
      <c r="V704" s="57">
        <v>0</v>
      </c>
      <c r="W704" s="57">
        <v>0</v>
      </c>
      <c r="X704" s="94">
        <v>0</v>
      </c>
    </row>
    <row r="705" spans="1:24" x14ac:dyDescent="0.35">
      <c r="A705">
        <v>701</v>
      </c>
      <c r="B705">
        <v>702</v>
      </c>
      <c r="C705">
        <v>146.10483602400001</v>
      </c>
      <c r="D705">
        <v>-17.638341573200002</v>
      </c>
      <c r="F705" t="str">
        <f>HYPERLINK("D:\Data From Lucan\2024\Moresby\Frames_for_Analysis/702_20240611_0003_L_0149.jpg","702_20240611_0003_L_0149.jpg")</f>
        <v>702_20240611_0003_L_0149.jpg</v>
      </c>
      <c r="G705" s="92" t="s">
        <v>4582</v>
      </c>
      <c r="I705">
        <v>2</v>
      </c>
      <c r="K705" s="95">
        <v>1</v>
      </c>
      <c r="L705" s="31"/>
      <c r="M705" s="31"/>
      <c r="N705" s="31"/>
      <c r="O705" s="31"/>
      <c r="P705" s="4">
        <v>1</v>
      </c>
      <c r="Q705" s="57">
        <v>0</v>
      </c>
      <c r="R705" s="57">
        <v>0</v>
      </c>
      <c r="S705" s="97">
        <v>0</v>
      </c>
      <c r="T705" s="57">
        <v>0</v>
      </c>
      <c r="U705" s="57">
        <v>0</v>
      </c>
      <c r="V705" s="57">
        <v>0</v>
      </c>
      <c r="W705" s="57">
        <v>0</v>
      </c>
      <c r="X705" s="94">
        <v>0</v>
      </c>
    </row>
    <row r="706" spans="1:24" x14ac:dyDescent="0.35">
      <c r="A706">
        <v>702</v>
      </c>
      <c r="B706">
        <v>703</v>
      </c>
      <c r="C706">
        <v>146.10475665499899</v>
      </c>
      <c r="D706">
        <v>-17.638301477900001</v>
      </c>
      <c r="F706" t="str">
        <f>HYPERLINK("D:\Data From Lucan\2024\Moresby\Frames_for_Analysis/703_20240611_0003_L_0152.jpg","703_20240611_0003_L_0152.jpg")</f>
        <v>703_20240611_0003_L_0152.jpg</v>
      </c>
      <c r="G706" s="92" t="s">
        <v>4583</v>
      </c>
      <c r="I706">
        <v>2</v>
      </c>
      <c r="K706" s="95">
        <v>1</v>
      </c>
      <c r="L706" s="31"/>
      <c r="M706" s="31"/>
      <c r="N706" s="31"/>
      <c r="O706" s="31"/>
      <c r="P706" s="4">
        <v>1</v>
      </c>
      <c r="Q706" s="57">
        <v>0</v>
      </c>
      <c r="R706" s="57">
        <v>0</v>
      </c>
      <c r="S706" s="97">
        <v>0</v>
      </c>
      <c r="T706" s="57">
        <v>0</v>
      </c>
      <c r="U706" s="57">
        <v>0</v>
      </c>
      <c r="V706" s="57">
        <v>0</v>
      </c>
      <c r="W706" s="57">
        <v>0</v>
      </c>
      <c r="X706" s="94">
        <v>0</v>
      </c>
    </row>
    <row r="707" spans="1:24" x14ac:dyDescent="0.35">
      <c r="A707">
        <v>703</v>
      </c>
      <c r="B707">
        <v>704</v>
      </c>
      <c r="C707">
        <v>146.10467728500001</v>
      </c>
      <c r="D707">
        <v>-17.6382613826</v>
      </c>
      <c r="F707" t="str">
        <f>HYPERLINK("D:\Data From Lucan\2024\Moresby\Frames_for_Analysis/704_20240611_0003_L_0155.jpg","704_20240611_0003_L_0155.jpg")</f>
        <v>704_20240611_0003_L_0155.jpg</v>
      </c>
      <c r="G707" s="92" t="s">
        <v>4584</v>
      </c>
      <c r="I707">
        <v>2</v>
      </c>
      <c r="K707" s="95">
        <v>1</v>
      </c>
      <c r="L707" s="31"/>
      <c r="M707" s="31"/>
      <c r="N707" s="31"/>
      <c r="O707" s="31"/>
      <c r="P707" s="4">
        <v>1</v>
      </c>
      <c r="Q707" s="57">
        <v>0</v>
      </c>
      <c r="R707" s="57">
        <v>0</v>
      </c>
      <c r="S707" s="97">
        <v>0</v>
      </c>
      <c r="T707" s="57">
        <v>0</v>
      </c>
      <c r="U707" s="57">
        <v>0</v>
      </c>
      <c r="V707" s="57">
        <v>0</v>
      </c>
      <c r="W707" s="57">
        <v>0</v>
      </c>
      <c r="X707" s="94">
        <v>0</v>
      </c>
    </row>
    <row r="708" spans="1:24" x14ac:dyDescent="0.35">
      <c r="A708">
        <v>704</v>
      </c>
      <c r="B708">
        <v>705</v>
      </c>
      <c r="C708">
        <v>146.104597914999</v>
      </c>
      <c r="D708">
        <v>-17.638221287299899</v>
      </c>
      <c r="E708">
        <v>50</v>
      </c>
      <c r="F708" t="str">
        <f>HYPERLINK("D:\Data From Lucan\2024\Moresby\Frames_for_Analysis/705_20240611_0003_L_0159.jpg","705_20240611_0003_L_0159.jpg")</f>
        <v>705_20240611_0003_L_0159.jpg</v>
      </c>
      <c r="G708" s="92" t="s">
        <v>4585</v>
      </c>
      <c r="I708">
        <v>2</v>
      </c>
      <c r="K708" s="95">
        <v>1</v>
      </c>
      <c r="L708" s="31"/>
      <c r="M708" s="31"/>
      <c r="N708" s="31"/>
      <c r="O708" s="31"/>
      <c r="P708" s="4">
        <v>1</v>
      </c>
      <c r="Q708" s="57">
        <v>0</v>
      </c>
      <c r="R708" s="57">
        <v>0</v>
      </c>
      <c r="S708" s="97">
        <v>0</v>
      </c>
      <c r="T708" s="57">
        <v>0</v>
      </c>
      <c r="U708" s="57">
        <v>0</v>
      </c>
      <c r="V708" s="57">
        <v>0</v>
      </c>
      <c r="W708" s="57">
        <v>0</v>
      </c>
      <c r="X708" s="94">
        <v>0</v>
      </c>
    </row>
    <row r="709" spans="1:24" x14ac:dyDescent="0.35">
      <c r="A709">
        <v>705</v>
      </c>
      <c r="B709">
        <v>706</v>
      </c>
      <c r="C709">
        <v>146.10451854600001</v>
      </c>
      <c r="D709">
        <v>-17.6381811918999</v>
      </c>
      <c r="F709" t="str">
        <f>HYPERLINK("D:\Data From Lucan\2024\Moresby\Frames_for_Analysis/706_20240611_0003_L_0162.jpg","706_20240611_0003_L_0162.jpg")</f>
        <v>706_20240611_0003_L_0162.jpg</v>
      </c>
      <c r="G709" s="92" t="s">
        <v>4586</v>
      </c>
      <c r="I709">
        <v>2</v>
      </c>
      <c r="K709" s="95">
        <v>1</v>
      </c>
      <c r="L709" s="31"/>
      <c r="M709" s="31"/>
      <c r="N709" s="31"/>
      <c r="O709" s="31"/>
      <c r="P709" s="4">
        <v>1</v>
      </c>
      <c r="Q709" s="57">
        <v>0</v>
      </c>
      <c r="R709" s="57">
        <v>0</v>
      </c>
      <c r="S709" s="97">
        <v>0</v>
      </c>
      <c r="T709" s="57">
        <v>0</v>
      </c>
      <c r="U709" s="57">
        <v>0</v>
      </c>
      <c r="V709" s="57">
        <v>0</v>
      </c>
      <c r="W709" s="57">
        <v>0</v>
      </c>
      <c r="X709" s="94">
        <v>0</v>
      </c>
    </row>
    <row r="710" spans="1:24" x14ac:dyDescent="0.35">
      <c r="A710">
        <v>706</v>
      </c>
      <c r="B710">
        <v>707</v>
      </c>
      <c r="C710">
        <v>146.104439176</v>
      </c>
      <c r="D710">
        <v>-17.638141096599899</v>
      </c>
      <c r="F710" t="str">
        <f>HYPERLINK("D:\Data From Lucan\2024\Moresby\Frames_for_Analysis/707_20240611_0003_L_0165.jpg","707_20240611_0003_L_0165.jpg")</f>
        <v>707_20240611_0003_L_0165.jpg</v>
      </c>
      <c r="G710" s="92" t="s">
        <v>4587</v>
      </c>
      <c r="I710">
        <v>2</v>
      </c>
      <c r="K710" s="95">
        <v>1</v>
      </c>
      <c r="L710" s="31"/>
      <c r="M710" s="31"/>
      <c r="N710" s="31"/>
      <c r="O710" s="31"/>
      <c r="P710" s="4">
        <v>1</v>
      </c>
      <c r="Q710" s="57">
        <v>0</v>
      </c>
      <c r="R710" s="57">
        <v>0</v>
      </c>
      <c r="S710" s="97">
        <v>0</v>
      </c>
      <c r="T710" s="57">
        <v>0</v>
      </c>
      <c r="U710" s="57">
        <v>0</v>
      </c>
      <c r="V710" s="57">
        <v>0</v>
      </c>
      <c r="W710" s="57">
        <v>0</v>
      </c>
      <c r="X710" s="94">
        <v>0</v>
      </c>
    </row>
    <row r="711" spans="1:24" x14ac:dyDescent="0.35">
      <c r="A711">
        <v>707</v>
      </c>
      <c r="B711">
        <v>708</v>
      </c>
      <c r="C711">
        <v>146.104359805999</v>
      </c>
      <c r="D711">
        <v>-17.6381010011999</v>
      </c>
      <c r="F711" t="str">
        <f>HYPERLINK("D:\Data From Lucan\2024\Moresby\Frames_for_Analysis/708_20240611_0003_L_0168.jpg","708_20240611_0003_L_0168.jpg")</f>
        <v>708_20240611_0003_L_0168.jpg</v>
      </c>
      <c r="G711" s="92" t="s">
        <v>4588</v>
      </c>
      <c r="I711">
        <v>2</v>
      </c>
      <c r="K711" s="95">
        <v>1</v>
      </c>
      <c r="L711" s="31"/>
      <c r="M711" s="31"/>
      <c r="N711" s="31"/>
      <c r="O711" s="31"/>
      <c r="P711" s="4">
        <v>1</v>
      </c>
      <c r="Q711" s="57">
        <v>0</v>
      </c>
      <c r="R711" s="57">
        <v>0</v>
      </c>
      <c r="S711" s="97">
        <v>0</v>
      </c>
      <c r="T711" s="57">
        <v>0</v>
      </c>
      <c r="U711" s="57">
        <v>0</v>
      </c>
      <c r="V711" s="57">
        <v>0</v>
      </c>
      <c r="W711" s="57">
        <v>0</v>
      </c>
      <c r="X711" s="94">
        <v>0</v>
      </c>
    </row>
    <row r="712" spans="1:24" x14ac:dyDescent="0.35">
      <c r="A712">
        <v>708</v>
      </c>
      <c r="B712">
        <v>709</v>
      </c>
      <c r="C712">
        <v>146.104278187999</v>
      </c>
      <c r="D712">
        <v>-17.638066359100002</v>
      </c>
      <c r="F712" t="str">
        <f>HYPERLINK("D:\Data From Lucan\2024\Moresby\Frames_for_Analysis/709_20240611_0003_L_0170.jpg","709_20240611_0003_L_0170.jpg")</f>
        <v>709_20240611_0003_L_0170.jpg</v>
      </c>
      <c r="G712" s="92" t="s">
        <v>4589</v>
      </c>
      <c r="I712">
        <v>2</v>
      </c>
      <c r="K712" s="95">
        <v>1</v>
      </c>
      <c r="L712" s="31"/>
      <c r="M712" s="31"/>
      <c r="N712" s="31"/>
      <c r="O712" s="31"/>
      <c r="P712" s="4">
        <v>1</v>
      </c>
      <c r="Q712" s="57">
        <v>0</v>
      </c>
      <c r="R712" s="57">
        <v>0</v>
      </c>
      <c r="S712" s="97">
        <v>0</v>
      </c>
      <c r="T712" s="57">
        <v>0</v>
      </c>
      <c r="U712" s="57">
        <v>0</v>
      </c>
      <c r="V712" s="57">
        <v>0</v>
      </c>
      <c r="W712" s="57">
        <v>0</v>
      </c>
      <c r="X712" s="94">
        <v>0</v>
      </c>
    </row>
    <row r="713" spans="1:24" x14ac:dyDescent="0.35">
      <c r="A713">
        <v>709</v>
      </c>
      <c r="B713">
        <v>710</v>
      </c>
      <c r="C713">
        <v>146.10419140900001</v>
      </c>
      <c r="D713">
        <v>-17.6380442317</v>
      </c>
      <c r="E713">
        <v>50</v>
      </c>
      <c r="F713" t="str">
        <f>HYPERLINK("D:\Data From Lucan\2024\Moresby\Frames_for_Analysis/710_20240611_0003_L_0173.jpg","710_20240611_0003_L_0173.jpg")</f>
        <v>710_20240611_0003_L_0173.jpg</v>
      </c>
      <c r="G713" s="92" t="s">
        <v>4590</v>
      </c>
      <c r="I713">
        <v>2</v>
      </c>
      <c r="K713" s="95">
        <v>1</v>
      </c>
      <c r="L713" s="31"/>
      <c r="M713" s="31"/>
      <c r="N713" s="31"/>
      <c r="O713" s="31"/>
      <c r="P713" s="4">
        <v>1</v>
      </c>
      <c r="Q713" s="57">
        <v>0</v>
      </c>
      <c r="R713" s="57">
        <v>0</v>
      </c>
      <c r="S713" s="97">
        <v>0</v>
      </c>
      <c r="T713" s="57">
        <v>0</v>
      </c>
      <c r="U713" s="57">
        <v>0</v>
      </c>
      <c r="V713" s="57">
        <v>0</v>
      </c>
      <c r="W713" s="57">
        <v>0</v>
      </c>
      <c r="X713" s="94">
        <v>0</v>
      </c>
    </row>
    <row r="714" spans="1:24" x14ac:dyDescent="0.35">
      <c r="A714">
        <v>710</v>
      </c>
      <c r="B714">
        <v>711</v>
      </c>
      <c r="C714">
        <v>146.104104629999</v>
      </c>
      <c r="D714">
        <v>-17.6380221042999</v>
      </c>
      <c r="F714" t="str">
        <f>HYPERLINK("D:\Data From Lucan\2024\Moresby\Frames_for_Analysis/711_20240611_0003_L_0177.jpg","711_20240611_0003_L_0177.jpg")</f>
        <v>711_20240611_0003_L_0177.jpg</v>
      </c>
      <c r="G714" s="92" t="s">
        <v>4591</v>
      </c>
      <c r="I714">
        <v>2</v>
      </c>
      <c r="K714" s="95">
        <v>1</v>
      </c>
      <c r="L714" s="31"/>
      <c r="M714" s="31"/>
      <c r="N714" s="31"/>
      <c r="O714" s="31"/>
      <c r="P714" s="4">
        <v>1</v>
      </c>
      <c r="Q714" s="57">
        <v>0</v>
      </c>
      <c r="R714" s="57">
        <v>0</v>
      </c>
      <c r="S714" s="97">
        <v>0</v>
      </c>
      <c r="T714" s="57">
        <v>0</v>
      </c>
      <c r="U714" s="57">
        <v>0</v>
      </c>
      <c r="V714" s="57">
        <v>0</v>
      </c>
      <c r="W714" s="57">
        <v>0</v>
      </c>
      <c r="X714" s="94">
        <v>0</v>
      </c>
    </row>
    <row r="715" spans="1:24" x14ac:dyDescent="0.35">
      <c r="A715">
        <v>711</v>
      </c>
      <c r="B715">
        <v>712</v>
      </c>
      <c r="C715">
        <v>146.10401785100001</v>
      </c>
      <c r="D715">
        <v>-17.6379999768</v>
      </c>
      <c r="F715" t="str">
        <f>HYPERLINK("D:\Data From Lucan\2024\Moresby\Frames_for_Analysis/712_20240611_0003_L_0180.jpg","712_20240611_0003_L_0180.jpg")</f>
        <v>712_20240611_0003_L_0180.jpg</v>
      </c>
      <c r="G715" s="92" t="s">
        <v>4592</v>
      </c>
      <c r="I715">
        <v>2</v>
      </c>
      <c r="K715" s="95">
        <v>1</v>
      </c>
      <c r="L715" s="31"/>
      <c r="M715" s="31"/>
      <c r="N715" s="31"/>
      <c r="O715" s="31"/>
      <c r="P715" s="4">
        <v>1</v>
      </c>
      <c r="Q715" s="57">
        <v>0</v>
      </c>
      <c r="R715" s="57">
        <v>0</v>
      </c>
      <c r="S715" s="97">
        <v>0</v>
      </c>
      <c r="T715" s="57">
        <v>0</v>
      </c>
      <c r="U715" s="57">
        <v>0</v>
      </c>
      <c r="V715" s="57">
        <v>0</v>
      </c>
      <c r="W715" s="57">
        <v>0</v>
      </c>
      <c r="X715" s="94">
        <v>0</v>
      </c>
    </row>
    <row r="716" spans="1:24" x14ac:dyDescent="0.35">
      <c r="A716">
        <v>712</v>
      </c>
      <c r="B716">
        <v>713</v>
      </c>
      <c r="C716">
        <v>146.103931071999</v>
      </c>
      <c r="D716">
        <v>-17.637977849399899</v>
      </c>
      <c r="F716" t="str">
        <f>HYPERLINK("D:\Data From Lucan\2024\Moresby\Frames_for_Analysis/713_20240611_0003_L_0184.jpg","713_20240611_0003_L_0184.jpg")</f>
        <v>713_20240611_0003_L_0184.jpg</v>
      </c>
      <c r="G716" s="92" t="s">
        <v>4593</v>
      </c>
      <c r="I716">
        <v>2</v>
      </c>
      <c r="K716" s="95">
        <v>1</v>
      </c>
      <c r="L716" s="31"/>
      <c r="M716" s="31"/>
      <c r="N716" s="31"/>
      <c r="O716" s="31"/>
      <c r="P716" s="4">
        <v>1</v>
      </c>
      <c r="Q716" s="57">
        <v>0</v>
      </c>
      <c r="R716" s="57">
        <v>0</v>
      </c>
      <c r="S716" s="97">
        <v>0</v>
      </c>
      <c r="T716" s="57">
        <v>0</v>
      </c>
      <c r="U716" s="57">
        <v>0</v>
      </c>
      <c r="V716" s="57">
        <v>0</v>
      </c>
      <c r="W716" s="57">
        <v>0</v>
      </c>
      <c r="X716" s="94">
        <v>0</v>
      </c>
    </row>
    <row r="717" spans="1:24" hidden="1" x14ac:dyDescent="0.35">
      <c r="A717">
        <v>713</v>
      </c>
      <c r="B717">
        <v>714</v>
      </c>
      <c r="C717">
        <v>146.10384429300001</v>
      </c>
      <c r="D717">
        <v>-17.637955722000001</v>
      </c>
      <c r="F717" t="str">
        <f>HYPERLINK("D:\Data From Lucan\2024\Moresby\Frames_for_Analysis/714_20240611_0003_L_0187.jpg","714_20240611_0003_L_0187.jpg")</f>
        <v>714_20240611_0003_L_0187.jpg</v>
      </c>
      <c r="G717" s="92" t="s">
        <v>4594</v>
      </c>
      <c r="I717">
        <v>8</v>
      </c>
      <c r="K717" s="52">
        <v>1</v>
      </c>
      <c r="L717" s="31"/>
      <c r="M717" s="31"/>
      <c r="N717" s="31"/>
      <c r="O717" s="31"/>
      <c r="P717" s="4">
        <v>1</v>
      </c>
      <c r="Q717" s="57">
        <v>0</v>
      </c>
      <c r="R717" s="57">
        <v>0</v>
      </c>
      <c r="S717" s="57">
        <v>0</v>
      </c>
      <c r="T717" s="57">
        <v>0</v>
      </c>
      <c r="U717" s="57">
        <v>0</v>
      </c>
      <c r="V717" s="57">
        <v>0</v>
      </c>
      <c r="W717" s="57">
        <v>0</v>
      </c>
      <c r="X717" s="4">
        <v>0</v>
      </c>
    </row>
    <row r="718" spans="1:24" hidden="1" x14ac:dyDescent="0.35">
      <c r="A718">
        <v>714</v>
      </c>
      <c r="B718">
        <v>715</v>
      </c>
      <c r="C718">
        <v>146.103757368</v>
      </c>
      <c r="D718">
        <v>-17.6379713514999</v>
      </c>
      <c r="E718">
        <v>50</v>
      </c>
      <c r="F718" t="str">
        <f>HYPERLINK("D:\Data From Lucan\2024\Moresby\Frames_for_Analysis/715_20240611_0003_L_0189.jpg","715_20240611_0003_L_0189.jpg")</f>
        <v>715_20240611_0003_L_0189.jpg</v>
      </c>
      <c r="G718" s="92" t="s">
        <v>4595</v>
      </c>
      <c r="I718">
        <v>8</v>
      </c>
      <c r="K718" s="52">
        <v>1</v>
      </c>
      <c r="L718" s="31"/>
      <c r="M718" s="31"/>
      <c r="N718" s="31"/>
      <c r="O718" s="31"/>
      <c r="P718" s="4">
        <v>1</v>
      </c>
      <c r="Q718" s="57">
        <v>0</v>
      </c>
      <c r="R718" s="57">
        <v>0</v>
      </c>
      <c r="S718" s="57">
        <v>0</v>
      </c>
      <c r="T718" s="57">
        <v>0</v>
      </c>
      <c r="U718" s="57">
        <v>0</v>
      </c>
      <c r="V718" s="57">
        <v>0</v>
      </c>
      <c r="W718" s="57">
        <v>0</v>
      </c>
      <c r="X718" s="4">
        <v>0</v>
      </c>
    </row>
    <row r="719" spans="1:24" hidden="1" x14ac:dyDescent="0.35">
      <c r="A719">
        <v>715</v>
      </c>
      <c r="B719">
        <v>716</v>
      </c>
      <c r="C719">
        <v>146.10367041999899</v>
      </c>
      <c r="D719">
        <v>-17.637992868000001</v>
      </c>
      <c r="F719" t="str">
        <f>HYPERLINK("D:\Data From Lucan\2024\Moresby\Frames_for_Analysis/716_20240611_0003_L_0190.jpg","716_20240611_0003_L_0190.jpg")</f>
        <v>716_20240611_0003_L_0190.jpg</v>
      </c>
      <c r="G719" s="92" t="s">
        <v>4596</v>
      </c>
      <c r="I719">
        <v>8</v>
      </c>
      <c r="K719" s="52">
        <v>1</v>
      </c>
      <c r="L719" s="31"/>
      <c r="M719" s="31"/>
      <c r="N719" s="31"/>
      <c r="O719" s="31"/>
      <c r="P719" s="4">
        <v>1</v>
      </c>
      <c r="Q719" s="57">
        <v>0</v>
      </c>
      <c r="R719" s="57">
        <v>0</v>
      </c>
      <c r="S719" s="57">
        <v>0</v>
      </c>
      <c r="T719" s="57">
        <v>0</v>
      </c>
      <c r="U719" s="57">
        <v>0</v>
      </c>
      <c r="V719" s="57">
        <v>0</v>
      </c>
      <c r="W719" s="57">
        <v>0</v>
      </c>
      <c r="X719" s="4">
        <v>0</v>
      </c>
    </row>
    <row r="720" spans="1:24" hidden="1" x14ac:dyDescent="0.35">
      <c r="A720">
        <v>716</v>
      </c>
      <c r="B720">
        <v>717</v>
      </c>
      <c r="C720">
        <v>146.103583471999</v>
      </c>
      <c r="D720">
        <v>-17.6380143845</v>
      </c>
      <c r="F720" t="str">
        <f>HYPERLINK("D:\Data From Lucan\2024\Moresby\Frames_for_Analysis/717_20240611_0003_L_0192.jpg","717_20240611_0003_L_0192.jpg")</f>
        <v>717_20240611_0003_L_0192.jpg</v>
      </c>
      <c r="G720" s="92" t="s">
        <v>4597</v>
      </c>
      <c r="I720">
        <v>8</v>
      </c>
      <c r="K720" s="52">
        <v>1</v>
      </c>
      <c r="L720" s="31"/>
      <c r="M720" s="31"/>
      <c r="N720" s="31"/>
      <c r="O720" s="31"/>
      <c r="P720" s="4">
        <v>1</v>
      </c>
      <c r="Q720" s="57">
        <v>0</v>
      </c>
      <c r="R720" s="57">
        <v>0</v>
      </c>
      <c r="S720" s="57">
        <v>0</v>
      </c>
      <c r="T720" s="57">
        <v>0</v>
      </c>
      <c r="U720" s="57">
        <v>0</v>
      </c>
      <c r="V720" s="57">
        <v>0</v>
      </c>
      <c r="W720" s="57">
        <v>0</v>
      </c>
      <c r="X720" s="4">
        <v>0</v>
      </c>
    </row>
    <row r="721" spans="1:24" hidden="1" x14ac:dyDescent="0.35">
      <c r="A721">
        <v>717</v>
      </c>
      <c r="B721">
        <v>718</v>
      </c>
      <c r="C721">
        <v>146.10351457600001</v>
      </c>
      <c r="D721">
        <v>-17.6380675049</v>
      </c>
      <c r="F721" t="str">
        <f>HYPERLINK("D:\Data From Lucan\2024\Moresby\Frames_for_Analysis/718_20240611_0003_L_0193.jpg","718_20240611_0003_L_0193.jpg")</f>
        <v>718_20240611_0003_L_0193.jpg</v>
      </c>
      <c r="G721" s="92" t="s">
        <v>4598</v>
      </c>
      <c r="I721">
        <v>8</v>
      </c>
      <c r="K721" s="52">
        <v>1</v>
      </c>
      <c r="L721" s="31"/>
      <c r="M721" s="31"/>
      <c r="N721" s="31"/>
      <c r="O721" s="31"/>
      <c r="P721" s="4">
        <v>1</v>
      </c>
      <c r="Q721" s="57">
        <v>0</v>
      </c>
      <c r="R721" s="57">
        <v>0</v>
      </c>
      <c r="S721" s="57">
        <v>0</v>
      </c>
      <c r="T721" s="57">
        <v>0</v>
      </c>
      <c r="U721" s="57">
        <v>0</v>
      </c>
      <c r="V721" s="57">
        <v>0</v>
      </c>
      <c r="W721" s="57">
        <v>0</v>
      </c>
      <c r="X721" s="4">
        <v>0</v>
      </c>
    </row>
    <row r="722" spans="1:24" hidden="1" x14ac:dyDescent="0.35">
      <c r="A722">
        <v>718</v>
      </c>
      <c r="B722">
        <v>719</v>
      </c>
      <c r="C722">
        <v>146.10344841400001</v>
      </c>
      <c r="D722">
        <v>-17.638125412800001</v>
      </c>
      <c r="G722" s="92"/>
      <c r="I722">
        <v>8</v>
      </c>
      <c r="J722" t="s">
        <v>26</v>
      </c>
      <c r="K722" s="52"/>
      <c r="L722" s="31"/>
      <c r="M722" s="31"/>
      <c r="N722" s="31"/>
      <c r="O722" s="31"/>
      <c r="P722" s="4"/>
      <c r="S722" s="57"/>
      <c r="X722" s="4"/>
    </row>
    <row r="723" spans="1:24" hidden="1" x14ac:dyDescent="0.35">
      <c r="A723">
        <v>719</v>
      </c>
      <c r="B723">
        <v>720</v>
      </c>
      <c r="C723">
        <v>146.10338225199899</v>
      </c>
      <c r="D723">
        <v>-17.638183320700001</v>
      </c>
      <c r="E723">
        <v>50</v>
      </c>
      <c r="G723" s="92"/>
      <c r="I723">
        <v>8</v>
      </c>
      <c r="J723" t="s">
        <v>26</v>
      </c>
      <c r="K723" s="52"/>
      <c r="L723" s="31"/>
      <c r="M723" s="31"/>
      <c r="N723" s="31"/>
      <c r="O723" s="31"/>
      <c r="P723" s="4"/>
      <c r="S723" s="57"/>
      <c r="X723" s="4"/>
    </row>
    <row r="724" spans="1:24" hidden="1" x14ac:dyDescent="0.35">
      <c r="A724">
        <v>720</v>
      </c>
      <c r="B724">
        <v>721</v>
      </c>
      <c r="C724">
        <v>146.10331609100001</v>
      </c>
      <c r="D724">
        <v>-17.638241228599899</v>
      </c>
      <c r="F724" t="str">
        <f>HYPERLINK("D:\Data From Lucan\2024\Moresby\Frames_for_Analysis/721_20240611_0003_L_0194.jpg","721_20240611_0003_L_0194.jpg")</f>
        <v>721_20240611_0003_L_0194.jpg</v>
      </c>
      <c r="G724" s="92" t="s">
        <v>4599</v>
      </c>
      <c r="I724">
        <v>8</v>
      </c>
      <c r="K724" s="52">
        <v>1</v>
      </c>
      <c r="L724" s="31"/>
      <c r="M724" s="31"/>
      <c r="N724" s="31"/>
      <c r="O724" s="31"/>
      <c r="P724" s="4">
        <v>1</v>
      </c>
      <c r="Q724" s="57">
        <v>0</v>
      </c>
      <c r="R724" s="57">
        <v>0</v>
      </c>
      <c r="S724" s="57">
        <v>0</v>
      </c>
      <c r="T724" s="57">
        <v>0</v>
      </c>
      <c r="U724" s="57">
        <v>0</v>
      </c>
      <c r="V724" s="57">
        <v>0</v>
      </c>
      <c r="W724" s="57">
        <v>0</v>
      </c>
      <c r="X724" s="4">
        <v>0</v>
      </c>
    </row>
    <row r="725" spans="1:24" hidden="1" x14ac:dyDescent="0.35">
      <c r="A725">
        <v>721</v>
      </c>
      <c r="B725">
        <v>722</v>
      </c>
      <c r="C725">
        <v>146.10324992899899</v>
      </c>
      <c r="D725">
        <v>-17.638299136499899</v>
      </c>
      <c r="F725" t="str">
        <f>HYPERLINK("D:\Data From Lucan\2024\Moresby\Frames_for_Analysis/722_20240611_0003_L_0195.jpg","722_20240611_0003_L_0195.jpg")</f>
        <v>722_20240611_0003_L_0195.jpg</v>
      </c>
      <c r="G725" s="92" t="s">
        <v>4600</v>
      </c>
      <c r="I725">
        <v>8</v>
      </c>
      <c r="K725" s="52">
        <v>1</v>
      </c>
      <c r="L725" s="31"/>
      <c r="M725" s="31"/>
      <c r="N725" s="31"/>
      <c r="O725" s="31"/>
      <c r="P725" s="4">
        <v>1</v>
      </c>
      <c r="Q725" s="57">
        <v>0</v>
      </c>
      <c r="R725" s="57">
        <v>0</v>
      </c>
      <c r="S725" s="57">
        <v>0</v>
      </c>
      <c r="T725" s="57">
        <v>0</v>
      </c>
      <c r="U725" s="57">
        <v>0</v>
      </c>
      <c r="V725" s="57">
        <v>0</v>
      </c>
      <c r="W725" s="57">
        <v>0</v>
      </c>
      <c r="X725" s="4">
        <v>0</v>
      </c>
    </row>
    <row r="726" spans="1:24" hidden="1" x14ac:dyDescent="0.35">
      <c r="A726">
        <v>722</v>
      </c>
      <c r="B726">
        <v>723</v>
      </c>
      <c r="C726">
        <v>146.103200079</v>
      </c>
      <c r="D726">
        <v>-17.6383683422</v>
      </c>
      <c r="G726" s="92"/>
      <c r="I726">
        <v>8</v>
      </c>
      <c r="J726" t="s">
        <v>26</v>
      </c>
      <c r="K726" s="52"/>
      <c r="L726" s="31"/>
      <c r="M726" s="31"/>
      <c r="N726" s="31"/>
      <c r="O726" s="31"/>
      <c r="P726" s="4"/>
      <c r="S726" s="57"/>
      <c r="X726" s="4"/>
    </row>
    <row r="727" spans="1:24" hidden="1" x14ac:dyDescent="0.35">
      <c r="A727">
        <v>723</v>
      </c>
      <c r="B727">
        <v>724</v>
      </c>
      <c r="C727">
        <v>146.10316270800001</v>
      </c>
      <c r="D727">
        <v>-17.638446191</v>
      </c>
      <c r="G727" s="92"/>
      <c r="I727">
        <v>8</v>
      </c>
      <c r="J727" t="s">
        <v>26</v>
      </c>
      <c r="K727" s="52"/>
      <c r="L727" s="31"/>
      <c r="M727" s="31"/>
      <c r="N727" s="31"/>
      <c r="O727" s="31"/>
      <c r="P727" s="4"/>
      <c r="S727" s="57"/>
      <c r="X727" s="4"/>
    </row>
    <row r="728" spans="1:24" hidden="1" x14ac:dyDescent="0.35">
      <c r="A728">
        <v>724</v>
      </c>
      <c r="B728">
        <v>725</v>
      </c>
      <c r="C728">
        <v>146.103125336999</v>
      </c>
      <c r="D728">
        <v>-17.638524039699899</v>
      </c>
      <c r="E728">
        <v>50</v>
      </c>
      <c r="G728" s="92"/>
      <c r="I728">
        <v>8</v>
      </c>
      <c r="J728" t="s">
        <v>26</v>
      </c>
      <c r="K728" s="52"/>
      <c r="L728" s="31"/>
      <c r="M728" s="31"/>
      <c r="N728" s="31"/>
      <c r="O728" s="31"/>
      <c r="P728" s="4"/>
      <c r="S728" s="57"/>
      <c r="X728" s="4"/>
    </row>
    <row r="729" spans="1:24" hidden="1" x14ac:dyDescent="0.35">
      <c r="A729">
        <v>725</v>
      </c>
      <c r="B729">
        <v>726</v>
      </c>
      <c r="C729">
        <v>146.103087966</v>
      </c>
      <c r="D729">
        <v>-17.638601888299899</v>
      </c>
      <c r="G729" s="92"/>
      <c r="I729">
        <v>8</v>
      </c>
      <c r="J729" t="s">
        <v>26</v>
      </c>
      <c r="K729" s="52"/>
      <c r="L729" s="31"/>
      <c r="M729" s="31"/>
      <c r="N729" s="31"/>
      <c r="O729" s="31"/>
      <c r="P729" s="4"/>
      <c r="S729" s="57"/>
      <c r="X729" s="4"/>
    </row>
    <row r="730" spans="1:24" hidden="1" x14ac:dyDescent="0.35">
      <c r="A730">
        <v>726</v>
      </c>
      <c r="B730">
        <v>727</v>
      </c>
      <c r="C730">
        <v>146.10305059500001</v>
      </c>
      <c r="D730">
        <v>-17.638679737</v>
      </c>
      <c r="G730" s="92"/>
      <c r="I730">
        <v>8</v>
      </c>
      <c r="J730" t="s">
        <v>26</v>
      </c>
      <c r="K730" s="52"/>
      <c r="L730" s="31"/>
      <c r="M730" s="31"/>
      <c r="N730" s="31"/>
      <c r="O730" s="31"/>
      <c r="P730" s="4"/>
      <c r="S730" s="57"/>
      <c r="X730" s="4"/>
    </row>
    <row r="731" spans="1:24" hidden="1" x14ac:dyDescent="0.35">
      <c r="A731">
        <v>727</v>
      </c>
      <c r="B731">
        <v>728</v>
      </c>
      <c r="C731">
        <v>146.10301372800001</v>
      </c>
      <c r="D731">
        <v>-17.638757675200001</v>
      </c>
      <c r="G731" s="92"/>
      <c r="I731">
        <v>8</v>
      </c>
      <c r="J731" t="s">
        <v>26</v>
      </c>
      <c r="K731" s="52"/>
      <c r="L731" s="31"/>
      <c r="M731" s="31"/>
      <c r="N731" s="31"/>
      <c r="O731" s="31"/>
      <c r="P731" s="4"/>
      <c r="S731" s="57"/>
      <c r="X731" s="4"/>
    </row>
    <row r="732" spans="1:24" hidden="1" x14ac:dyDescent="0.35">
      <c r="A732">
        <v>728</v>
      </c>
      <c r="B732">
        <v>729</v>
      </c>
      <c r="C732">
        <v>146.10301916700001</v>
      </c>
      <c r="D732">
        <v>-17.6388431262999</v>
      </c>
      <c r="G732" s="92"/>
      <c r="I732">
        <v>8</v>
      </c>
      <c r="J732" t="s">
        <v>26</v>
      </c>
      <c r="K732" s="52"/>
      <c r="L732" s="31"/>
      <c r="M732" s="31"/>
      <c r="N732" s="31"/>
      <c r="O732" s="31"/>
      <c r="P732" s="4"/>
      <c r="S732" s="57"/>
      <c r="X732" s="4"/>
    </row>
    <row r="733" spans="1:24" hidden="1" x14ac:dyDescent="0.35">
      <c r="A733">
        <v>729</v>
      </c>
      <c r="B733">
        <v>730</v>
      </c>
      <c r="C733">
        <v>146.103024605</v>
      </c>
      <c r="D733">
        <v>-17.638928577400002</v>
      </c>
      <c r="E733">
        <v>50</v>
      </c>
      <c r="G733" s="92"/>
      <c r="I733">
        <v>8</v>
      </c>
      <c r="J733" t="s">
        <v>26</v>
      </c>
      <c r="K733" s="52"/>
      <c r="L733" s="31"/>
      <c r="M733" s="31"/>
      <c r="N733" s="31"/>
      <c r="O733" s="31"/>
      <c r="P733" s="4"/>
      <c r="S733" s="57"/>
      <c r="X733" s="4"/>
    </row>
    <row r="734" spans="1:24" hidden="1" x14ac:dyDescent="0.35">
      <c r="A734">
        <v>730</v>
      </c>
      <c r="B734">
        <v>731</v>
      </c>
      <c r="C734">
        <v>146.10303004400001</v>
      </c>
      <c r="D734">
        <v>-17.639014028399899</v>
      </c>
      <c r="G734" s="92"/>
      <c r="I734">
        <v>8</v>
      </c>
      <c r="J734" t="s">
        <v>26</v>
      </c>
      <c r="K734" s="52"/>
      <c r="L734" s="31"/>
      <c r="M734" s="31"/>
      <c r="N734" s="31"/>
      <c r="O734" s="31"/>
      <c r="P734" s="4"/>
      <c r="S734" s="57"/>
      <c r="X734" s="4"/>
    </row>
    <row r="735" spans="1:24" hidden="1" x14ac:dyDescent="0.35">
      <c r="A735">
        <v>731</v>
      </c>
      <c r="B735">
        <v>732</v>
      </c>
      <c r="C735">
        <v>146.103035481999</v>
      </c>
      <c r="D735">
        <v>-17.639099479399899</v>
      </c>
      <c r="G735" s="92"/>
      <c r="I735">
        <v>8</v>
      </c>
      <c r="J735" t="s">
        <v>26</v>
      </c>
      <c r="K735" s="52"/>
      <c r="L735" s="31"/>
      <c r="M735" s="31"/>
      <c r="N735" s="31"/>
      <c r="O735" s="31"/>
      <c r="P735" s="4"/>
      <c r="S735" s="57"/>
      <c r="X735" s="4"/>
    </row>
    <row r="736" spans="1:24" hidden="1" x14ac:dyDescent="0.35">
      <c r="A736">
        <v>732</v>
      </c>
      <c r="B736">
        <v>733</v>
      </c>
      <c r="C736">
        <v>146.103040921</v>
      </c>
      <c r="D736">
        <v>-17.6391849303999</v>
      </c>
      <c r="G736" s="92"/>
      <c r="I736">
        <v>8</v>
      </c>
      <c r="J736" t="s">
        <v>26</v>
      </c>
      <c r="K736" s="52"/>
      <c r="L736" s="31"/>
      <c r="M736" s="31"/>
      <c r="N736" s="31"/>
      <c r="O736" s="31"/>
      <c r="P736" s="4"/>
      <c r="S736" s="57"/>
      <c r="X736" s="4"/>
    </row>
    <row r="737" spans="1:24" hidden="1" x14ac:dyDescent="0.35">
      <c r="A737">
        <v>733</v>
      </c>
      <c r="B737">
        <v>734</v>
      </c>
      <c r="C737">
        <v>146.103050338999</v>
      </c>
      <c r="D737">
        <v>-17.639269637400002</v>
      </c>
      <c r="G737" s="92"/>
      <c r="I737">
        <v>8</v>
      </c>
      <c r="J737" t="s">
        <v>26</v>
      </c>
      <c r="K737" s="52"/>
      <c r="L737" s="31"/>
      <c r="M737" s="31"/>
      <c r="N737" s="31"/>
      <c r="O737" s="31"/>
      <c r="P737" s="4"/>
      <c r="S737" s="57"/>
      <c r="X737" s="4"/>
    </row>
    <row r="738" spans="1:24" hidden="1" x14ac:dyDescent="0.35">
      <c r="A738">
        <v>734</v>
      </c>
      <c r="B738">
        <v>735</v>
      </c>
      <c r="C738">
        <v>146.10307918000001</v>
      </c>
      <c r="D738">
        <v>-17.639350713300001</v>
      </c>
      <c r="E738">
        <v>50</v>
      </c>
      <c r="G738" s="92"/>
      <c r="I738">
        <v>8</v>
      </c>
      <c r="J738" t="s">
        <v>26</v>
      </c>
      <c r="K738" s="52"/>
      <c r="L738" s="31"/>
      <c r="M738" s="31"/>
      <c r="N738" s="31"/>
      <c r="O738" s="31"/>
      <c r="P738" s="4"/>
      <c r="S738" s="57"/>
      <c r="X738" s="4"/>
    </row>
    <row r="739" spans="1:24" hidden="1" x14ac:dyDescent="0.35">
      <c r="A739">
        <v>735</v>
      </c>
      <c r="B739">
        <v>736</v>
      </c>
      <c r="C739">
        <v>146.103108020999</v>
      </c>
      <c r="D739">
        <v>-17.639431789100001</v>
      </c>
      <c r="G739" s="92"/>
      <c r="I739">
        <v>8</v>
      </c>
      <c r="J739" t="s">
        <v>26</v>
      </c>
      <c r="K739" s="52"/>
      <c r="L739" s="31"/>
      <c r="M739" s="31"/>
      <c r="N739" s="31"/>
      <c r="O739" s="31"/>
      <c r="P739" s="4"/>
      <c r="S739" s="57"/>
      <c r="X739" s="4"/>
    </row>
    <row r="740" spans="1:24" hidden="1" x14ac:dyDescent="0.35">
      <c r="A740">
        <v>736</v>
      </c>
      <c r="B740">
        <v>737</v>
      </c>
      <c r="C740">
        <v>146.103136860999</v>
      </c>
      <c r="D740">
        <v>-17.639512864899899</v>
      </c>
      <c r="G740" s="92"/>
      <c r="I740">
        <v>8</v>
      </c>
      <c r="J740" t="s">
        <v>26</v>
      </c>
      <c r="K740" s="52"/>
      <c r="L740" s="31"/>
      <c r="M740" s="31"/>
      <c r="N740" s="31"/>
      <c r="O740" s="31"/>
      <c r="P740" s="4"/>
      <c r="S740" s="57"/>
      <c r="X740" s="4"/>
    </row>
    <row r="741" spans="1:24" hidden="1" x14ac:dyDescent="0.35">
      <c r="A741">
        <v>737</v>
      </c>
      <c r="B741">
        <v>738</v>
      </c>
      <c r="C741">
        <v>146.10316570200001</v>
      </c>
      <c r="D741">
        <v>-17.6395939406999</v>
      </c>
      <c r="G741" s="92"/>
      <c r="I741">
        <v>8</v>
      </c>
      <c r="J741" t="s">
        <v>26</v>
      </c>
      <c r="K741" s="52"/>
      <c r="L741" s="31"/>
      <c r="M741" s="31"/>
      <c r="N741" s="31"/>
      <c r="O741" s="31"/>
      <c r="P741" s="4"/>
      <c r="S741" s="57"/>
      <c r="X741" s="4"/>
    </row>
    <row r="742" spans="1:24" hidden="1" x14ac:dyDescent="0.35">
      <c r="A742">
        <v>738</v>
      </c>
      <c r="B742">
        <v>739</v>
      </c>
      <c r="C742">
        <v>146.103194543</v>
      </c>
      <c r="D742">
        <v>-17.639675016399899</v>
      </c>
      <c r="G742" s="92"/>
      <c r="I742">
        <v>8</v>
      </c>
      <c r="J742" t="s">
        <v>26</v>
      </c>
      <c r="K742" s="52"/>
      <c r="L742" s="31"/>
      <c r="M742" s="31"/>
      <c r="N742" s="31"/>
      <c r="O742" s="31"/>
      <c r="P742" s="4"/>
      <c r="S742" s="57"/>
      <c r="X742" s="4"/>
    </row>
    <row r="743" spans="1:24" hidden="1" x14ac:dyDescent="0.35">
      <c r="A743">
        <v>739</v>
      </c>
      <c r="B743">
        <v>740</v>
      </c>
      <c r="C743">
        <v>146.103223353999</v>
      </c>
      <c r="D743">
        <v>-17.639756101900002</v>
      </c>
      <c r="E743">
        <v>50</v>
      </c>
      <c r="G743" s="92"/>
      <c r="I743">
        <v>8</v>
      </c>
      <c r="J743" t="s">
        <v>26</v>
      </c>
      <c r="K743" s="52"/>
      <c r="L743" s="31"/>
      <c r="M743" s="31"/>
      <c r="N743" s="31"/>
      <c r="O743" s="31"/>
      <c r="P743" s="4"/>
      <c r="S743" s="57"/>
      <c r="X743" s="4"/>
    </row>
    <row r="744" spans="1:24" hidden="1" x14ac:dyDescent="0.35">
      <c r="A744">
        <v>740</v>
      </c>
      <c r="B744">
        <v>741</v>
      </c>
      <c r="C744">
        <v>146.10325214400001</v>
      </c>
      <c r="D744">
        <v>-17.6398371939</v>
      </c>
      <c r="G744" s="92"/>
      <c r="I744">
        <v>8</v>
      </c>
      <c r="J744" t="s">
        <v>26</v>
      </c>
      <c r="K744" s="52"/>
      <c r="L744" s="31"/>
      <c r="M744" s="31"/>
      <c r="N744" s="31"/>
      <c r="O744" s="31"/>
      <c r="P744" s="4"/>
      <c r="S744" s="57"/>
      <c r="X744" s="4"/>
    </row>
    <row r="745" spans="1:24" hidden="1" x14ac:dyDescent="0.35">
      <c r="A745">
        <v>741</v>
      </c>
      <c r="B745">
        <v>742</v>
      </c>
      <c r="C745">
        <v>146.103280933999</v>
      </c>
      <c r="D745">
        <v>-17.6399182858</v>
      </c>
      <c r="G745" s="92"/>
      <c r="I745">
        <v>8</v>
      </c>
      <c r="J745" t="s">
        <v>26</v>
      </c>
      <c r="K745" s="52"/>
      <c r="L745" s="31"/>
      <c r="M745" s="31"/>
      <c r="N745" s="31"/>
      <c r="O745" s="31"/>
      <c r="P745" s="4"/>
      <c r="S745" s="57"/>
      <c r="X745" s="4"/>
    </row>
    <row r="746" spans="1:24" hidden="1" x14ac:dyDescent="0.35">
      <c r="A746">
        <v>742</v>
      </c>
      <c r="B746">
        <v>743</v>
      </c>
      <c r="C746">
        <v>146.103315737</v>
      </c>
      <c r="D746">
        <v>-17.639997120499899</v>
      </c>
      <c r="G746" s="92"/>
      <c r="I746">
        <v>8</v>
      </c>
      <c r="J746" t="s">
        <v>26</v>
      </c>
      <c r="K746" s="52"/>
      <c r="L746" s="31"/>
      <c r="M746" s="31"/>
      <c r="N746" s="31"/>
      <c r="O746" s="31"/>
      <c r="P746" s="4"/>
      <c r="S746" s="57"/>
      <c r="X746" s="4"/>
    </row>
    <row r="747" spans="1:24" hidden="1" x14ac:dyDescent="0.35">
      <c r="A747">
        <v>743</v>
      </c>
      <c r="B747">
        <v>744</v>
      </c>
      <c r="C747">
        <v>146.10335271899899</v>
      </c>
      <c r="D747">
        <v>-17.6400751372</v>
      </c>
      <c r="G747" s="92"/>
      <c r="I747">
        <v>8</v>
      </c>
      <c r="J747" t="s">
        <v>26</v>
      </c>
      <c r="K747" s="52"/>
      <c r="L747" s="31"/>
      <c r="M747" s="31"/>
      <c r="N747" s="31"/>
      <c r="O747" s="31"/>
      <c r="P747" s="4"/>
      <c r="S747" s="57"/>
      <c r="X747" s="4"/>
    </row>
    <row r="748" spans="1:24" hidden="1" x14ac:dyDescent="0.35">
      <c r="A748">
        <v>744</v>
      </c>
      <c r="B748">
        <v>745</v>
      </c>
      <c r="C748">
        <v>146.10338970000001</v>
      </c>
      <c r="D748">
        <v>-17.640153154</v>
      </c>
      <c r="E748">
        <v>50</v>
      </c>
      <c r="G748" s="92"/>
      <c r="I748">
        <v>8</v>
      </c>
      <c r="J748" t="s">
        <v>26</v>
      </c>
      <c r="K748" s="52"/>
      <c r="L748" s="31"/>
      <c r="M748" s="31"/>
      <c r="N748" s="31"/>
      <c r="O748" s="31"/>
      <c r="P748" s="4"/>
      <c r="S748" s="57"/>
      <c r="X748" s="4"/>
    </row>
    <row r="749" spans="1:24" hidden="1" x14ac:dyDescent="0.35">
      <c r="A749">
        <v>745</v>
      </c>
      <c r="B749">
        <v>746</v>
      </c>
      <c r="C749">
        <v>146.103426681999</v>
      </c>
      <c r="D749">
        <v>-17.640231170700002</v>
      </c>
      <c r="G749" s="92"/>
      <c r="I749">
        <v>8</v>
      </c>
      <c r="J749" t="s">
        <v>26</v>
      </c>
      <c r="K749" s="52"/>
      <c r="L749" s="31"/>
      <c r="M749" s="31"/>
      <c r="N749" s="31"/>
      <c r="O749" s="31"/>
      <c r="P749" s="4"/>
      <c r="S749" s="57"/>
      <c r="X749" s="4"/>
    </row>
    <row r="750" spans="1:24" hidden="1" x14ac:dyDescent="0.35">
      <c r="A750">
        <v>746</v>
      </c>
      <c r="B750">
        <v>747</v>
      </c>
      <c r="C750">
        <v>146.10346366300001</v>
      </c>
      <c r="D750">
        <v>-17.6403091874</v>
      </c>
      <c r="G750" s="92"/>
      <c r="I750">
        <v>8</v>
      </c>
      <c r="J750" t="s">
        <v>26</v>
      </c>
      <c r="K750" s="52"/>
      <c r="L750" s="31"/>
      <c r="M750" s="31"/>
      <c r="N750" s="31"/>
      <c r="O750" s="31"/>
      <c r="P750" s="4"/>
      <c r="S750" s="57"/>
      <c r="X750" s="4"/>
    </row>
    <row r="751" spans="1:24" hidden="1" x14ac:dyDescent="0.35">
      <c r="A751">
        <v>747</v>
      </c>
      <c r="B751">
        <v>748</v>
      </c>
      <c r="C751">
        <v>146.103500644999</v>
      </c>
      <c r="D751">
        <v>-17.640387204100001</v>
      </c>
      <c r="G751" s="92"/>
      <c r="I751">
        <v>8</v>
      </c>
      <c r="J751" t="s">
        <v>26</v>
      </c>
      <c r="K751" s="52"/>
      <c r="L751" s="31"/>
      <c r="M751" s="31"/>
      <c r="N751" s="31"/>
      <c r="O751" s="31"/>
      <c r="P751" s="4"/>
      <c r="S751" s="57"/>
      <c r="X751" s="4"/>
    </row>
    <row r="752" spans="1:24" hidden="1" x14ac:dyDescent="0.35">
      <c r="A752">
        <v>748</v>
      </c>
      <c r="B752">
        <v>749</v>
      </c>
      <c r="C752">
        <v>146.103537625999</v>
      </c>
      <c r="D752">
        <v>-17.640465220700001</v>
      </c>
      <c r="G752" s="92"/>
      <c r="I752">
        <v>8</v>
      </c>
      <c r="J752" t="s">
        <v>26</v>
      </c>
      <c r="K752" s="52"/>
      <c r="L752" s="31"/>
      <c r="M752" s="31"/>
      <c r="N752" s="31"/>
      <c r="O752" s="31"/>
      <c r="P752" s="4"/>
      <c r="S752" s="57"/>
      <c r="X752" s="4"/>
    </row>
    <row r="753" spans="1:24" hidden="1" x14ac:dyDescent="0.35">
      <c r="A753">
        <v>749</v>
      </c>
      <c r="B753">
        <v>750</v>
      </c>
      <c r="C753">
        <v>146.10357460700001</v>
      </c>
      <c r="D753">
        <v>-17.640543237300001</v>
      </c>
      <c r="E753">
        <v>50</v>
      </c>
      <c r="G753" s="92"/>
      <c r="I753">
        <v>8</v>
      </c>
      <c r="J753" t="s">
        <v>26</v>
      </c>
      <c r="K753" s="52"/>
      <c r="L753" s="31"/>
      <c r="M753" s="31"/>
      <c r="N753" s="31"/>
      <c r="O753" s="31"/>
      <c r="P753" s="4"/>
      <c r="S753" s="57"/>
      <c r="X753" s="4"/>
    </row>
    <row r="754" spans="1:24" hidden="1" x14ac:dyDescent="0.35">
      <c r="A754">
        <v>750</v>
      </c>
      <c r="B754">
        <v>751</v>
      </c>
      <c r="C754">
        <v>146.103611588999</v>
      </c>
      <c r="D754">
        <v>-17.640621253900001</v>
      </c>
      <c r="G754" s="92"/>
      <c r="I754">
        <v>8</v>
      </c>
      <c r="J754" t="s">
        <v>26</v>
      </c>
      <c r="K754" s="52"/>
      <c r="L754" s="31"/>
      <c r="M754" s="31"/>
      <c r="N754" s="31"/>
      <c r="O754" s="31"/>
      <c r="P754" s="4"/>
      <c r="S754" s="57"/>
      <c r="X754" s="4"/>
    </row>
    <row r="755" spans="1:24" hidden="1" x14ac:dyDescent="0.35">
      <c r="A755">
        <v>751</v>
      </c>
      <c r="B755">
        <v>752</v>
      </c>
      <c r="C755">
        <v>146.103648569999</v>
      </c>
      <c r="D755">
        <v>-17.640699270399899</v>
      </c>
      <c r="G755" s="92"/>
      <c r="I755">
        <v>8</v>
      </c>
      <c r="J755" t="s">
        <v>26</v>
      </c>
      <c r="K755" s="52"/>
      <c r="L755" s="31"/>
      <c r="M755" s="31"/>
      <c r="N755" s="31"/>
      <c r="O755" s="31"/>
      <c r="P755" s="4"/>
      <c r="S755" s="57"/>
      <c r="X755" s="4"/>
    </row>
    <row r="756" spans="1:24" hidden="1" x14ac:dyDescent="0.35">
      <c r="A756">
        <v>752</v>
      </c>
      <c r="B756">
        <v>753</v>
      </c>
      <c r="C756">
        <v>146.103685552</v>
      </c>
      <c r="D756">
        <v>-17.640777286900001</v>
      </c>
      <c r="G756" s="92"/>
      <c r="I756">
        <v>8</v>
      </c>
      <c r="J756" t="s">
        <v>26</v>
      </c>
      <c r="K756" s="52"/>
      <c r="L756" s="31"/>
      <c r="M756" s="31"/>
      <c r="N756" s="31"/>
      <c r="O756" s="31"/>
      <c r="P756" s="4"/>
      <c r="S756" s="57"/>
      <c r="X756" s="4"/>
    </row>
    <row r="757" spans="1:24" hidden="1" x14ac:dyDescent="0.35">
      <c r="A757">
        <v>753</v>
      </c>
      <c r="B757">
        <v>754</v>
      </c>
      <c r="C757">
        <v>146.103722532999</v>
      </c>
      <c r="D757">
        <v>-17.640855303399899</v>
      </c>
      <c r="G757" s="92"/>
      <c r="I757">
        <v>8</v>
      </c>
      <c r="J757" t="s">
        <v>26</v>
      </c>
      <c r="K757" s="52"/>
      <c r="L757" s="31"/>
      <c r="M757" s="31"/>
      <c r="N757" s="31"/>
      <c r="O757" s="31"/>
      <c r="P757" s="4"/>
      <c r="S757" s="57"/>
      <c r="X757" s="4"/>
    </row>
    <row r="758" spans="1:24" hidden="1" x14ac:dyDescent="0.35">
      <c r="A758">
        <v>754</v>
      </c>
      <c r="B758">
        <v>755</v>
      </c>
      <c r="C758">
        <v>146.10375951399899</v>
      </c>
      <c r="D758">
        <v>-17.640933319799899</v>
      </c>
      <c r="E758">
        <v>50</v>
      </c>
      <c r="G758" s="92"/>
      <c r="I758">
        <v>8</v>
      </c>
      <c r="J758" t="s">
        <v>26</v>
      </c>
      <c r="K758" s="52"/>
      <c r="L758" s="31"/>
      <c r="M758" s="31"/>
      <c r="N758" s="31"/>
      <c r="O758" s="31"/>
      <c r="P758" s="4"/>
      <c r="S758" s="57"/>
      <c r="X758" s="4"/>
    </row>
    <row r="759" spans="1:24" hidden="1" x14ac:dyDescent="0.35">
      <c r="A759">
        <v>755</v>
      </c>
      <c r="B759">
        <v>756</v>
      </c>
      <c r="C759">
        <v>146.103796496</v>
      </c>
      <c r="D759">
        <v>-17.641011336199899</v>
      </c>
      <c r="G759" s="92"/>
      <c r="I759">
        <v>8</v>
      </c>
      <c r="J759" t="s">
        <v>26</v>
      </c>
      <c r="K759" s="52"/>
      <c r="L759" s="31"/>
      <c r="M759" s="31"/>
      <c r="N759" s="31"/>
      <c r="O759" s="31"/>
      <c r="P759" s="4"/>
      <c r="S759" s="57"/>
      <c r="X759" s="4"/>
    </row>
    <row r="760" spans="1:24" hidden="1" x14ac:dyDescent="0.35">
      <c r="A760">
        <v>756</v>
      </c>
      <c r="B760">
        <v>757</v>
      </c>
      <c r="C760">
        <v>146.103833476999</v>
      </c>
      <c r="D760">
        <v>-17.641089352600002</v>
      </c>
      <c r="G760" s="92"/>
      <c r="I760">
        <v>8</v>
      </c>
      <c r="J760" t="s">
        <v>26</v>
      </c>
      <c r="K760" s="52"/>
      <c r="L760" s="31"/>
      <c r="M760" s="31"/>
      <c r="N760" s="31"/>
      <c r="O760" s="31"/>
      <c r="P760" s="4"/>
      <c r="S760" s="57"/>
      <c r="X760" s="4"/>
    </row>
    <row r="761" spans="1:24" hidden="1" x14ac:dyDescent="0.35">
      <c r="A761">
        <v>757</v>
      </c>
      <c r="B761">
        <v>758</v>
      </c>
      <c r="C761">
        <v>146.103868016999</v>
      </c>
      <c r="D761">
        <v>-17.641168373900001</v>
      </c>
      <c r="G761" s="92"/>
      <c r="I761">
        <v>8</v>
      </c>
      <c r="J761" t="s">
        <v>26</v>
      </c>
      <c r="K761" s="52"/>
      <c r="L761" s="31"/>
      <c r="M761" s="31"/>
      <c r="N761" s="31"/>
      <c r="O761" s="31"/>
      <c r="P761" s="4"/>
      <c r="S761" s="57"/>
      <c r="X761" s="4"/>
    </row>
    <row r="762" spans="1:24" hidden="1" x14ac:dyDescent="0.35">
      <c r="A762">
        <v>758</v>
      </c>
      <c r="B762">
        <v>759</v>
      </c>
      <c r="C762">
        <v>146.103902250999</v>
      </c>
      <c r="D762">
        <v>-17.641247520699899</v>
      </c>
      <c r="G762" s="92"/>
      <c r="I762">
        <v>8</v>
      </c>
      <c r="J762" t="s">
        <v>26</v>
      </c>
      <c r="K762" s="52"/>
      <c r="L762" s="31"/>
      <c r="M762" s="31"/>
      <c r="N762" s="31"/>
      <c r="O762" s="31"/>
      <c r="P762" s="4"/>
      <c r="S762" s="57"/>
      <c r="X762" s="4"/>
    </row>
    <row r="763" spans="1:24" hidden="1" x14ac:dyDescent="0.35">
      <c r="A763">
        <v>759</v>
      </c>
      <c r="B763">
        <v>760</v>
      </c>
      <c r="C763">
        <v>146.103936484999</v>
      </c>
      <c r="D763">
        <v>-17.641326667400001</v>
      </c>
      <c r="E763">
        <v>50</v>
      </c>
      <c r="G763" s="92"/>
      <c r="I763">
        <v>8</v>
      </c>
      <c r="J763" t="s">
        <v>26</v>
      </c>
      <c r="K763" s="52"/>
      <c r="L763" s="31"/>
      <c r="M763" s="31"/>
      <c r="N763" s="31"/>
      <c r="O763" s="31"/>
      <c r="P763" s="4"/>
      <c r="S763" s="57"/>
      <c r="X763" s="4"/>
    </row>
    <row r="764" spans="1:24" hidden="1" x14ac:dyDescent="0.35">
      <c r="A764">
        <v>760</v>
      </c>
      <c r="B764">
        <v>761</v>
      </c>
      <c r="C764">
        <v>146.10397071899899</v>
      </c>
      <c r="D764">
        <v>-17.641405814199899</v>
      </c>
      <c r="G764" s="92"/>
      <c r="I764">
        <v>8</v>
      </c>
      <c r="J764" t="s">
        <v>26</v>
      </c>
      <c r="K764" s="52"/>
      <c r="L764" s="31"/>
      <c r="M764" s="31"/>
      <c r="N764" s="31"/>
      <c r="O764" s="31"/>
      <c r="P764" s="4"/>
      <c r="S764" s="57"/>
      <c r="X764" s="4"/>
    </row>
    <row r="765" spans="1:24" hidden="1" x14ac:dyDescent="0.35">
      <c r="A765">
        <v>761</v>
      </c>
      <c r="B765">
        <v>762</v>
      </c>
      <c r="C765">
        <v>146.104004954</v>
      </c>
      <c r="D765">
        <v>-17.6414849608</v>
      </c>
      <c r="G765" s="92"/>
      <c r="I765">
        <v>8</v>
      </c>
      <c r="J765" t="s">
        <v>26</v>
      </c>
      <c r="K765" s="52"/>
      <c r="L765" s="31"/>
      <c r="M765" s="31"/>
      <c r="N765" s="31"/>
      <c r="O765" s="31"/>
      <c r="P765" s="4"/>
      <c r="S765" s="57"/>
      <c r="X765" s="4"/>
    </row>
    <row r="766" spans="1:24" hidden="1" x14ac:dyDescent="0.35">
      <c r="A766">
        <v>762</v>
      </c>
      <c r="B766">
        <v>763</v>
      </c>
      <c r="C766">
        <v>146.104039188</v>
      </c>
      <c r="D766">
        <v>-17.641564107499899</v>
      </c>
      <c r="G766" s="92"/>
      <c r="I766">
        <v>8</v>
      </c>
      <c r="J766" t="s">
        <v>26</v>
      </c>
      <c r="K766" s="52"/>
      <c r="L766" s="31"/>
      <c r="M766" s="31"/>
      <c r="N766" s="31"/>
      <c r="O766" s="31"/>
      <c r="P766" s="4"/>
      <c r="S766" s="57"/>
      <c r="X766" s="4"/>
    </row>
    <row r="767" spans="1:24" hidden="1" x14ac:dyDescent="0.35">
      <c r="A767">
        <v>763</v>
      </c>
      <c r="B767">
        <v>764</v>
      </c>
      <c r="C767">
        <v>146.104073421999</v>
      </c>
      <c r="D767">
        <v>-17.6416432541</v>
      </c>
      <c r="G767" s="92"/>
      <c r="I767">
        <v>8</v>
      </c>
      <c r="J767" t="s">
        <v>26</v>
      </c>
      <c r="K767" s="52"/>
      <c r="L767" s="31"/>
      <c r="M767" s="31"/>
      <c r="N767" s="31"/>
      <c r="O767" s="31"/>
      <c r="P767" s="4"/>
      <c r="S767" s="57"/>
      <c r="X767" s="4"/>
    </row>
    <row r="768" spans="1:24" hidden="1" x14ac:dyDescent="0.35">
      <c r="A768">
        <v>764</v>
      </c>
      <c r="B768">
        <v>765</v>
      </c>
      <c r="C768">
        <v>146.104107655999</v>
      </c>
      <c r="D768">
        <v>-17.641722400700001</v>
      </c>
      <c r="E768">
        <v>50</v>
      </c>
      <c r="G768" s="92"/>
      <c r="I768">
        <v>8</v>
      </c>
      <c r="J768" t="s">
        <v>26</v>
      </c>
      <c r="K768" s="52"/>
      <c r="L768" s="31"/>
      <c r="M768" s="31"/>
      <c r="N768" s="31"/>
      <c r="O768" s="31"/>
      <c r="P768" s="4"/>
      <c r="S768" s="57"/>
      <c r="X768" s="4"/>
    </row>
    <row r="769" spans="1:24" hidden="1" x14ac:dyDescent="0.35">
      <c r="A769">
        <v>765</v>
      </c>
      <c r="B769">
        <v>766</v>
      </c>
      <c r="C769">
        <v>146.10414189100001</v>
      </c>
      <c r="D769">
        <v>-17.641801547299899</v>
      </c>
      <c r="G769" s="92"/>
      <c r="I769">
        <v>8</v>
      </c>
      <c r="J769" t="s">
        <v>26</v>
      </c>
      <c r="K769" s="52"/>
      <c r="L769" s="31"/>
      <c r="M769" s="31"/>
      <c r="N769" s="31"/>
      <c r="O769" s="31"/>
      <c r="P769" s="4"/>
      <c r="S769" s="57"/>
      <c r="X769" s="4"/>
    </row>
    <row r="770" spans="1:24" hidden="1" x14ac:dyDescent="0.35">
      <c r="A770">
        <v>766</v>
      </c>
      <c r="B770">
        <v>767</v>
      </c>
      <c r="C770">
        <v>146.10417612500001</v>
      </c>
      <c r="D770">
        <v>-17.641880693800001</v>
      </c>
      <c r="G770" s="92"/>
      <c r="I770">
        <v>8</v>
      </c>
      <c r="J770" t="s">
        <v>26</v>
      </c>
      <c r="K770" s="52"/>
      <c r="L770" s="31"/>
      <c r="M770" s="31"/>
      <c r="N770" s="31"/>
      <c r="O770" s="31"/>
      <c r="P770" s="4"/>
      <c r="S770" s="57"/>
      <c r="X770" s="4"/>
    </row>
    <row r="771" spans="1:24" hidden="1" x14ac:dyDescent="0.35">
      <c r="A771">
        <v>767</v>
      </c>
      <c r="B771">
        <v>768</v>
      </c>
      <c r="C771">
        <v>146.10421035900001</v>
      </c>
      <c r="D771">
        <v>-17.6419598403</v>
      </c>
      <c r="G771" s="92"/>
      <c r="I771">
        <v>8</v>
      </c>
      <c r="J771" t="s">
        <v>26</v>
      </c>
      <c r="K771" s="52"/>
      <c r="L771" s="31"/>
      <c r="M771" s="31"/>
      <c r="N771" s="31"/>
      <c r="O771" s="31"/>
      <c r="P771" s="4"/>
      <c r="S771" s="57"/>
      <c r="X771" s="4"/>
    </row>
    <row r="772" spans="1:24" hidden="1" x14ac:dyDescent="0.35">
      <c r="A772">
        <v>768</v>
      </c>
      <c r="B772">
        <v>769</v>
      </c>
      <c r="C772">
        <v>146.104241814999</v>
      </c>
      <c r="D772">
        <v>-17.6420399577</v>
      </c>
      <c r="G772" s="92"/>
      <c r="I772">
        <v>8</v>
      </c>
      <c r="J772" t="s">
        <v>26</v>
      </c>
      <c r="K772" s="52"/>
      <c r="L772" s="31"/>
      <c r="M772" s="31"/>
      <c r="N772" s="31"/>
      <c r="O772" s="31"/>
      <c r="P772" s="4"/>
      <c r="S772" s="57"/>
      <c r="X772" s="4"/>
    </row>
    <row r="773" spans="1:24" hidden="1" x14ac:dyDescent="0.35">
      <c r="A773">
        <v>769</v>
      </c>
      <c r="B773">
        <v>770</v>
      </c>
      <c r="C773">
        <v>146.10426939300001</v>
      </c>
      <c r="D773">
        <v>-17.642121430500001</v>
      </c>
      <c r="E773">
        <v>50</v>
      </c>
      <c r="G773" s="92"/>
      <c r="I773">
        <v>8</v>
      </c>
      <c r="J773" t="s">
        <v>26</v>
      </c>
      <c r="K773" s="52"/>
      <c r="L773" s="31"/>
      <c r="M773" s="31"/>
      <c r="N773" s="31"/>
      <c r="O773" s="31"/>
      <c r="P773" s="4"/>
      <c r="S773" s="57"/>
      <c r="X773" s="4"/>
    </row>
    <row r="774" spans="1:24" hidden="1" x14ac:dyDescent="0.35">
      <c r="A774">
        <v>770</v>
      </c>
      <c r="B774">
        <v>771</v>
      </c>
      <c r="C774">
        <v>146.104296970999</v>
      </c>
      <c r="D774">
        <v>-17.6422029032999</v>
      </c>
      <c r="G774" s="92"/>
      <c r="I774">
        <v>8</v>
      </c>
      <c r="J774" t="s">
        <v>26</v>
      </c>
      <c r="K774" s="52"/>
      <c r="L774" s="31"/>
      <c r="M774" s="31"/>
      <c r="N774" s="31"/>
      <c r="O774" s="31"/>
      <c r="P774" s="4"/>
      <c r="S774" s="57"/>
      <c r="X774" s="4"/>
    </row>
    <row r="775" spans="1:24" hidden="1" x14ac:dyDescent="0.35">
      <c r="A775">
        <v>771</v>
      </c>
      <c r="B775">
        <v>772</v>
      </c>
      <c r="C775">
        <v>146.104324547999</v>
      </c>
      <c r="D775">
        <v>-17.6422843759999</v>
      </c>
      <c r="G775" s="92"/>
      <c r="I775">
        <v>8</v>
      </c>
      <c r="J775" t="s">
        <v>26</v>
      </c>
      <c r="K775" s="52"/>
      <c r="L775" s="31"/>
      <c r="M775" s="31"/>
      <c r="N775" s="31"/>
      <c r="O775" s="31"/>
      <c r="P775" s="4"/>
      <c r="S775" s="57"/>
      <c r="X775" s="4"/>
    </row>
    <row r="776" spans="1:24" hidden="1" x14ac:dyDescent="0.35">
      <c r="A776">
        <v>772</v>
      </c>
      <c r="B776">
        <v>773</v>
      </c>
      <c r="C776">
        <v>146.10435212600001</v>
      </c>
      <c r="D776">
        <v>-17.642365848600001</v>
      </c>
      <c r="G776" s="92"/>
      <c r="I776">
        <v>8</v>
      </c>
      <c r="J776" t="s">
        <v>26</v>
      </c>
      <c r="K776" s="52"/>
      <c r="L776" s="31"/>
      <c r="M776" s="31"/>
      <c r="N776" s="31"/>
      <c r="O776" s="31"/>
      <c r="P776" s="4"/>
      <c r="S776" s="57"/>
      <c r="X776" s="4"/>
    </row>
    <row r="777" spans="1:24" hidden="1" x14ac:dyDescent="0.35">
      <c r="A777">
        <v>773</v>
      </c>
      <c r="B777">
        <v>774</v>
      </c>
      <c r="C777">
        <v>146.104379703999</v>
      </c>
      <c r="D777">
        <v>-17.642447321199899</v>
      </c>
      <c r="G777" s="92"/>
      <c r="I777">
        <v>8</v>
      </c>
      <c r="J777" t="s">
        <v>26</v>
      </c>
      <c r="K777" s="52"/>
      <c r="L777" s="31"/>
      <c r="M777" s="31"/>
      <c r="N777" s="31"/>
      <c r="O777" s="31"/>
      <c r="P777" s="4"/>
      <c r="S777" s="57"/>
      <c r="X777" s="4"/>
    </row>
    <row r="778" spans="1:24" hidden="1" x14ac:dyDescent="0.35">
      <c r="A778">
        <v>774</v>
      </c>
      <c r="B778">
        <v>775</v>
      </c>
      <c r="C778">
        <v>146.10440728200001</v>
      </c>
      <c r="D778">
        <v>-17.6425287938</v>
      </c>
      <c r="E778">
        <v>50</v>
      </c>
      <c r="G778" s="92"/>
      <c r="I778">
        <v>8</v>
      </c>
      <c r="J778" t="s">
        <v>26</v>
      </c>
      <c r="K778" s="52"/>
      <c r="L778" s="31"/>
      <c r="M778" s="31"/>
      <c r="N778" s="31"/>
      <c r="O778" s="31"/>
      <c r="P778" s="4"/>
      <c r="S778" s="57"/>
      <c r="X778" s="4"/>
    </row>
    <row r="779" spans="1:24" hidden="1" x14ac:dyDescent="0.35">
      <c r="A779">
        <v>775</v>
      </c>
      <c r="B779">
        <v>776</v>
      </c>
      <c r="C779">
        <v>146.10443485900001</v>
      </c>
      <c r="D779">
        <v>-17.642610266399899</v>
      </c>
      <c r="G779" s="92"/>
      <c r="I779">
        <v>8</v>
      </c>
      <c r="J779" t="s">
        <v>26</v>
      </c>
      <c r="K779" s="52"/>
      <c r="L779" s="31"/>
      <c r="M779" s="31"/>
      <c r="N779" s="31"/>
      <c r="O779" s="31"/>
      <c r="P779" s="4"/>
      <c r="S779" s="57"/>
      <c r="X779" s="4"/>
    </row>
    <row r="780" spans="1:24" hidden="1" x14ac:dyDescent="0.35">
      <c r="A780">
        <v>776</v>
      </c>
      <c r="B780">
        <v>777</v>
      </c>
      <c r="C780">
        <v>146.104462412999</v>
      </c>
      <c r="D780">
        <v>-17.642691746299899</v>
      </c>
      <c r="G780" s="92"/>
      <c r="I780">
        <v>8</v>
      </c>
      <c r="J780" t="s">
        <v>26</v>
      </c>
      <c r="K780" s="52"/>
      <c r="L780" s="31"/>
      <c r="M780" s="31"/>
      <c r="N780" s="31"/>
      <c r="O780" s="31"/>
      <c r="P780" s="4"/>
      <c r="S780" s="57"/>
      <c r="X780" s="4"/>
    </row>
    <row r="781" spans="1:24" hidden="1" x14ac:dyDescent="0.35">
      <c r="A781">
        <v>777</v>
      </c>
      <c r="B781">
        <v>778</v>
      </c>
      <c r="C781">
        <v>146.104489962</v>
      </c>
      <c r="D781">
        <v>-17.6427732277999</v>
      </c>
      <c r="G781" s="92"/>
      <c r="I781">
        <v>8</v>
      </c>
      <c r="J781" t="s">
        <v>26</v>
      </c>
      <c r="K781" s="52"/>
      <c r="L781" s="31"/>
      <c r="M781" s="31"/>
      <c r="N781" s="31"/>
      <c r="O781" s="31"/>
      <c r="P781" s="4"/>
      <c r="S781" s="57"/>
      <c r="X781" s="4"/>
    </row>
    <row r="782" spans="1:24" hidden="1" x14ac:dyDescent="0.35">
      <c r="A782">
        <v>778</v>
      </c>
      <c r="B782">
        <v>779</v>
      </c>
      <c r="C782">
        <v>146.104517509999</v>
      </c>
      <c r="D782">
        <v>-17.6428547091</v>
      </c>
      <c r="G782" s="92"/>
      <c r="I782">
        <v>8</v>
      </c>
      <c r="J782" t="s">
        <v>26</v>
      </c>
      <c r="K782" s="52"/>
      <c r="L782" s="31"/>
      <c r="M782" s="31"/>
      <c r="N782" s="31"/>
      <c r="O782" s="31"/>
      <c r="P782" s="4"/>
      <c r="S782" s="57"/>
      <c r="X782" s="4"/>
    </row>
    <row r="783" spans="1:24" hidden="1" x14ac:dyDescent="0.35">
      <c r="A783">
        <v>779</v>
      </c>
      <c r="B783">
        <v>780</v>
      </c>
      <c r="C783">
        <v>146.104545059</v>
      </c>
      <c r="D783">
        <v>-17.642936190499899</v>
      </c>
      <c r="E783">
        <v>50</v>
      </c>
      <c r="G783" s="92"/>
      <c r="I783">
        <v>8</v>
      </c>
      <c r="J783" t="s">
        <v>26</v>
      </c>
      <c r="K783" s="52"/>
      <c r="L783" s="31"/>
      <c r="M783" s="31"/>
      <c r="N783" s="31"/>
      <c r="O783" s="31"/>
      <c r="P783" s="4"/>
      <c r="S783" s="57"/>
      <c r="X783" s="4"/>
    </row>
    <row r="784" spans="1:24" hidden="1" x14ac:dyDescent="0.35">
      <c r="A784">
        <v>780</v>
      </c>
      <c r="B784">
        <v>781</v>
      </c>
      <c r="C784">
        <v>146.10457260800001</v>
      </c>
      <c r="D784">
        <v>-17.6430176717999</v>
      </c>
      <c r="G784" s="92"/>
      <c r="I784">
        <v>8</v>
      </c>
      <c r="J784" t="s">
        <v>26</v>
      </c>
      <c r="K784" s="52"/>
      <c r="L784" s="31"/>
      <c r="M784" s="31"/>
      <c r="N784" s="31"/>
      <c r="O784" s="31"/>
      <c r="P784" s="4"/>
      <c r="S784" s="57"/>
      <c r="X784" s="4"/>
    </row>
    <row r="785" spans="1:24" hidden="1" x14ac:dyDescent="0.35">
      <c r="A785">
        <v>781</v>
      </c>
      <c r="B785">
        <v>782</v>
      </c>
      <c r="C785">
        <v>146.104600156</v>
      </c>
      <c r="D785">
        <v>-17.6430991531</v>
      </c>
      <c r="G785" s="92"/>
      <c r="I785">
        <v>8</v>
      </c>
      <c r="J785" t="s">
        <v>26</v>
      </c>
      <c r="K785" s="52"/>
      <c r="L785" s="31"/>
      <c r="M785" s="31"/>
      <c r="N785" s="31"/>
      <c r="O785" s="31"/>
      <c r="P785" s="4"/>
      <c r="S785" s="57"/>
      <c r="X785" s="4"/>
    </row>
    <row r="786" spans="1:24" hidden="1" x14ac:dyDescent="0.35">
      <c r="A786">
        <v>782</v>
      </c>
      <c r="B786">
        <v>783</v>
      </c>
      <c r="C786">
        <v>146.10462770500001</v>
      </c>
      <c r="D786">
        <v>-17.643180634299899</v>
      </c>
      <c r="G786" s="92"/>
      <c r="I786">
        <v>8</v>
      </c>
      <c r="J786" t="s">
        <v>26</v>
      </c>
      <c r="K786" s="52"/>
      <c r="L786" s="31"/>
      <c r="M786" s="31"/>
      <c r="N786" s="31"/>
      <c r="O786" s="31"/>
      <c r="P786" s="4"/>
      <c r="S786" s="57"/>
      <c r="X786" s="4"/>
    </row>
    <row r="787" spans="1:24" hidden="1" x14ac:dyDescent="0.35">
      <c r="A787">
        <v>783</v>
      </c>
      <c r="B787">
        <v>784</v>
      </c>
      <c r="C787">
        <v>146.10465445200001</v>
      </c>
      <c r="D787">
        <v>-17.6432623576999</v>
      </c>
      <c r="G787" s="92"/>
      <c r="I787">
        <v>8</v>
      </c>
      <c r="J787" t="s">
        <v>26</v>
      </c>
      <c r="K787" s="52"/>
      <c r="L787" s="31"/>
      <c r="M787" s="31"/>
      <c r="N787" s="31"/>
      <c r="O787" s="31"/>
      <c r="P787" s="4"/>
      <c r="S787" s="57"/>
      <c r="X787" s="4"/>
    </row>
    <row r="788" spans="1:24" hidden="1" x14ac:dyDescent="0.35">
      <c r="A788">
        <v>784</v>
      </c>
      <c r="B788">
        <v>785</v>
      </c>
      <c r="C788">
        <v>146.10468117299899</v>
      </c>
      <c r="D788">
        <v>-17.6433440885999</v>
      </c>
      <c r="E788">
        <v>50</v>
      </c>
      <c r="G788" s="92"/>
      <c r="I788">
        <v>8</v>
      </c>
      <c r="J788" t="s">
        <v>26</v>
      </c>
      <c r="K788" s="52"/>
      <c r="L788" s="31"/>
      <c r="M788" s="31"/>
      <c r="N788" s="31"/>
      <c r="O788" s="31"/>
      <c r="P788" s="4"/>
      <c r="S788" s="57"/>
      <c r="X788" s="4"/>
    </row>
    <row r="789" spans="1:24" hidden="1" x14ac:dyDescent="0.35">
      <c r="A789">
        <v>785</v>
      </c>
      <c r="B789">
        <v>786</v>
      </c>
      <c r="C789">
        <v>146.104707894999</v>
      </c>
      <c r="D789">
        <v>-17.6434258194999</v>
      </c>
      <c r="G789" s="92"/>
      <c r="I789">
        <v>8</v>
      </c>
      <c r="J789" t="s">
        <v>26</v>
      </c>
      <c r="K789" s="52"/>
      <c r="L789" s="31"/>
      <c r="M789" s="31"/>
      <c r="N789" s="31"/>
      <c r="O789" s="31"/>
      <c r="P789" s="4"/>
      <c r="S789" s="57"/>
      <c r="X789" s="4"/>
    </row>
    <row r="790" spans="1:24" hidden="1" x14ac:dyDescent="0.35">
      <c r="A790">
        <v>786</v>
      </c>
      <c r="B790">
        <v>787</v>
      </c>
      <c r="C790">
        <v>146.104734616</v>
      </c>
      <c r="D790">
        <v>-17.643507550399899</v>
      </c>
      <c r="G790" s="92"/>
      <c r="I790">
        <v>8</v>
      </c>
      <c r="J790" t="s">
        <v>26</v>
      </c>
      <c r="K790" s="52"/>
      <c r="L790" s="31"/>
      <c r="M790" s="31"/>
      <c r="N790" s="31"/>
      <c r="O790" s="31"/>
      <c r="P790" s="4"/>
      <c r="S790" s="57"/>
      <c r="X790" s="4"/>
    </row>
    <row r="791" spans="1:24" hidden="1" x14ac:dyDescent="0.35">
      <c r="A791">
        <v>787</v>
      </c>
      <c r="B791">
        <v>788</v>
      </c>
      <c r="C791">
        <v>146.104761338</v>
      </c>
      <c r="D791">
        <v>-17.643589281200001</v>
      </c>
      <c r="G791" s="92"/>
      <c r="I791">
        <v>8</v>
      </c>
      <c r="J791" t="s">
        <v>26</v>
      </c>
      <c r="K791" s="52"/>
      <c r="L791" s="31"/>
      <c r="M791" s="31"/>
      <c r="N791" s="31"/>
      <c r="O791" s="31"/>
      <c r="P791" s="4"/>
      <c r="S791" s="57"/>
      <c r="X791" s="4"/>
    </row>
    <row r="792" spans="1:24" hidden="1" x14ac:dyDescent="0.35">
      <c r="A792">
        <v>788</v>
      </c>
      <c r="B792">
        <v>789</v>
      </c>
      <c r="C792">
        <v>146.10478805899899</v>
      </c>
      <c r="D792">
        <v>-17.643671011999899</v>
      </c>
      <c r="G792" s="92"/>
      <c r="I792">
        <v>8</v>
      </c>
      <c r="J792" t="s">
        <v>26</v>
      </c>
      <c r="K792" s="52"/>
      <c r="L792" s="31"/>
      <c r="M792" s="31"/>
      <c r="N792" s="31"/>
      <c r="O792" s="31"/>
      <c r="P792" s="4"/>
      <c r="S792" s="57"/>
      <c r="X792" s="4"/>
    </row>
    <row r="793" spans="1:24" hidden="1" x14ac:dyDescent="0.35">
      <c r="A793">
        <v>789</v>
      </c>
      <c r="B793">
        <v>790</v>
      </c>
      <c r="C793">
        <v>146.10481478099899</v>
      </c>
      <c r="D793">
        <v>-17.6437527428</v>
      </c>
      <c r="E793">
        <v>50</v>
      </c>
      <c r="G793" s="92"/>
      <c r="I793">
        <v>8</v>
      </c>
      <c r="J793" t="s">
        <v>26</v>
      </c>
      <c r="K793" s="52"/>
      <c r="L793" s="31"/>
      <c r="M793" s="31"/>
      <c r="N793" s="31"/>
      <c r="O793" s="31"/>
      <c r="P793" s="4"/>
      <c r="S793" s="57"/>
      <c r="X793" s="4"/>
    </row>
    <row r="794" spans="1:24" hidden="1" x14ac:dyDescent="0.35">
      <c r="A794">
        <v>790</v>
      </c>
      <c r="B794">
        <v>791</v>
      </c>
      <c r="C794">
        <v>146.10482810400001</v>
      </c>
      <c r="D794">
        <v>-17.643836857699899</v>
      </c>
      <c r="G794" s="92"/>
      <c r="I794">
        <v>8</v>
      </c>
      <c r="J794" t="s">
        <v>26</v>
      </c>
      <c r="K794" s="52"/>
      <c r="L794" s="31"/>
      <c r="M794" s="31"/>
      <c r="N794" s="31"/>
      <c r="O794" s="31"/>
      <c r="P794" s="4"/>
      <c r="S794" s="57"/>
      <c r="X794" s="4"/>
    </row>
    <row r="795" spans="1:24" hidden="1" x14ac:dyDescent="0.35">
      <c r="A795">
        <v>791</v>
      </c>
      <c r="B795">
        <v>792</v>
      </c>
      <c r="C795">
        <v>146.104834135</v>
      </c>
      <c r="D795">
        <v>-17.6439222702999</v>
      </c>
      <c r="G795" s="92"/>
      <c r="I795">
        <v>8</v>
      </c>
      <c r="J795" t="s">
        <v>26</v>
      </c>
      <c r="K795" s="52"/>
      <c r="L795" s="31"/>
      <c r="M795" s="31"/>
      <c r="N795" s="31"/>
      <c r="O795" s="31"/>
      <c r="P795" s="4"/>
      <c r="S795" s="57"/>
      <c r="X795" s="4"/>
    </row>
    <row r="796" spans="1:24" hidden="1" x14ac:dyDescent="0.35">
      <c r="A796">
        <v>792</v>
      </c>
      <c r="B796">
        <v>793</v>
      </c>
      <c r="C796">
        <v>146.104840166999</v>
      </c>
      <c r="D796">
        <v>-17.6440076829</v>
      </c>
      <c r="G796" s="92"/>
      <c r="I796">
        <v>8</v>
      </c>
      <c r="J796" t="s">
        <v>26</v>
      </c>
      <c r="K796" s="52"/>
      <c r="L796" s="31"/>
      <c r="M796" s="31"/>
      <c r="N796" s="31"/>
      <c r="O796" s="31"/>
      <c r="P796" s="4"/>
      <c r="S796" s="57"/>
      <c r="X796" s="4"/>
    </row>
    <row r="797" spans="1:24" hidden="1" x14ac:dyDescent="0.35">
      <c r="A797">
        <v>793</v>
      </c>
      <c r="B797">
        <v>794</v>
      </c>
      <c r="C797">
        <v>146.104846197999</v>
      </c>
      <c r="D797">
        <v>-17.644093095300001</v>
      </c>
      <c r="G797" s="92"/>
      <c r="I797">
        <v>8</v>
      </c>
      <c r="J797" t="s">
        <v>26</v>
      </c>
      <c r="K797" s="52"/>
      <c r="L797" s="31"/>
      <c r="M797" s="31"/>
      <c r="N797" s="31"/>
      <c r="O797" s="31"/>
      <c r="P797" s="4"/>
      <c r="S797" s="57"/>
      <c r="X797" s="4"/>
    </row>
    <row r="798" spans="1:24" hidden="1" x14ac:dyDescent="0.35">
      <c r="A798">
        <v>794</v>
      </c>
      <c r="B798">
        <v>795</v>
      </c>
      <c r="C798">
        <v>146.10485223000001</v>
      </c>
      <c r="D798">
        <v>-17.6441785078</v>
      </c>
      <c r="E798">
        <v>50</v>
      </c>
      <c r="G798" s="92"/>
      <c r="I798">
        <v>8</v>
      </c>
      <c r="J798" t="s">
        <v>26</v>
      </c>
      <c r="K798" s="52"/>
      <c r="L798" s="31"/>
      <c r="M798" s="31"/>
      <c r="N798" s="31"/>
      <c r="O798" s="31"/>
      <c r="P798" s="4"/>
      <c r="S798" s="57"/>
      <c r="X798" s="4"/>
    </row>
    <row r="799" spans="1:24" hidden="1" x14ac:dyDescent="0.35">
      <c r="A799">
        <v>795</v>
      </c>
      <c r="B799">
        <v>796</v>
      </c>
      <c r="C799">
        <v>146.10486211200001</v>
      </c>
      <c r="D799">
        <v>-17.6442634383999</v>
      </c>
      <c r="G799" s="92"/>
      <c r="I799">
        <v>8</v>
      </c>
      <c r="J799" t="s">
        <v>26</v>
      </c>
      <c r="K799" s="52"/>
      <c r="L799" s="31"/>
      <c r="M799" s="31"/>
      <c r="N799" s="31"/>
      <c r="O799" s="31"/>
      <c r="P799" s="4"/>
      <c r="S799" s="57"/>
      <c r="X799" s="4"/>
    </row>
    <row r="800" spans="1:24" hidden="1" x14ac:dyDescent="0.35">
      <c r="A800">
        <v>796</v>
      </c>
      <c r="B800">
        <v>797</v>
      </c>
      <c r="C800">
        <v>146.10487942399899</v>
      </c>
      <c r="D800">
        <v>-17.644347439099899</v>
      </c>
      <c r="G800" s="92"/>
      <c r="I800">
        <v>8</v>
      </c>
      <c r="J800" t="s">
        <v>26</v>
      </c>
      <c r="K800" s="52"/>
      <c r="L800" s="31"/>
      <c r="M800" s="31"/>
      <c r="N800" s="31"/>
      <c r="O800" s="31"/>
      <c r="P800" s="4"/>
      <c r="S800" s="57"/>
      <c r="X800" s="4"/>
    </row>
    <row r="801" spans="1:24" hidden="1" x14ac:dyDescent="0.35">
      <c r="A801">
        <v>797</v>
      </c>
      <c r="B801">
        <v>798</v>
      </c>
      <c r="C801">
        <v>146.104896736999</v>
      </c>
      <c r="D801">
        <v>-17.644431439800002</v>
      </c>
      <c r="G801" s="92"/>
      <c r="I801">
        <v>8</v>
      </c>
      <c r="J801" t="s">
        <v>26</v>
      </c>
      <c r="K801" s="52"/>
      <c r="L801" s="31"/>
      <c r="M801" s="31"/>
      <c r="N801" s="31"/>
      <c r="O801" s="31"/>
      <c r="P801" s="4"/>
      <c r="S801" s="57"/>
      <c r="X801" s="4"/>
    </row>
    <row r="802" spans="1:24" hidden="1" x14ac:dyDescent="0.35">
      <c r="A802">
        <v>798</v>
      </c>
      <c r="B802">
        <v>799</v>
      </c>
      <c r="C802">
        <v>146.104914049</v>
      </c>
      <c r="D802">
        <v>-17.644515440500001</v>
      </c>
      <c r="G802" s="92"/>
      <c r="I802">
        <v>8</v>
      </c>
      <c r="J802" t="s">
        <v>26</v>
      </c>
      <c r="K802" s="52"/>
      <c r="L802" s="31"/>
      <c r="M802" s="31"/>
      <c r="N802" s="31"/>
      <c r="O802" s="31"/>
      <c r="P802" s="4"/>
      <c r="S802" s="57"/>
      <c r="X802" s="4"/>
    </row>
    <row r="803" spans="1:24" hidden="1" x14ac:dyDescent="0.35">
      <c r="A803">
        <v>799</v>
      </c>
      <c r="B803">
        <v>800</v>
      </c>
      <c r="C803">
        <v>146.104931362</v>
      </c>
      <c r="D803">
        <v>-17.644599441099899</v>
      </c>
      <c r="E803">
        <v>50</v>
      </c>
      <c r="G803" s="92"/>
      <c r="I803">
        <v>8</v>
      </c>
      <c r="J803" t="s">
        <v>26</v>
      </c>
      <c r="K803" s="52"/>
      <c r="L803" s="31"/>
      <c r="M803" s="31"/>
      <c r="N803" s="31"/>
      <c r="O803" s="31"/>
      <c r="P803" s="4"/>
      <c r="S803" s="57"/>
      <c r="X803" s="4"/>
    </row>
    <row r="804" spans="1:24" hidden="1" x14ac:dyDescent="0.35">
      <c r="A804">
        <v>800</v>
      </c>
      <c r="B804">
        <v>801</v>
      </c>
      <c r="C804">
        <v>146.10494867400001</v>
      </c>
      <c r="D804">
        <v>-17.644683441600002</v>
      </c>
      <c r="G804" s="92"/>
      <c r="I804">
        <v>8</v>
      </c>
      <c r="J804" t="s">
        <v>26</v>
      </c>
      <c r="K804" s="52"/>
      <c r="L804" s="31"/>
      <c r="M804" s="31"/>
      <c r="N804" s="31"/>
      <c r="O804" s="31"/>
      <c r="P804" s="4"/>
      <c r="S804" s="57"/>
      <c r="X804" s="4"/>
    </row>
    <row r="805" spans="1:24" hidden="1" x14ac:dyDescent="0.35">
      <c r="A805">
        <v>801</v>
      </c>
      <c r="B805">
        <v>802</v>
      </c>
      <c r="C805">
        <v>146.10496383500001</v>
      </c>
      <c r="D805">
        <v>-17.644767686400002</v>
      </c>
      <c r="G805" s="92"/>
      <c r="I805">
        <v>8</v>
      </c>
      <c r="J805" t="s">
        <v>26</v>
      </c>
      <c r="K805" s="52"/>
      <c r="L805" s="31"/>
      <c r="M805" s="31"/>
      <c r="N805" s="31"/>
      <c r="O805" s="31"/>
      <c r="P805" s="4"/>
      <c r="S805" s="57"/>
      <c r="X805" s="4"/>
    </row>
    <row r="806" spans="1:24" hidden="1" x14ac:dyDescent="0.35">
      <c r="A806">
        <v>802</v>
      </c>
      <c r="B806">
        <v>803</v>
      </c>
      <c r="C806">
        <v>146.104967711</v>
      </c>
      <c r="D806">
        <v>-17.644853212000001</v>
      </c>
      <c r="G806" s="92"/>
      <c r="I806">
        <v>8</v>
      </c>
      <c r="J806" t="s">
        <v>26</v>
      </c>
      <c r="K806" s="52"/>
      <c r="L806" s="31"/>
      <c r="M806" s="31"/>
      <c r="N806" s="31"/>
      <c r="O806" s="31"/>
      <c r="P806" s="4"/>
      <c r="S806" s="57"/>
      <c r="X806" s="4"/>
    </row>
    <row r="807" spans="1:24" hidden="1" x14ac:dyDescent="0.35">
      <c r="A807">
        <v>803</v>
      </c>
      <c r="B807">
        <v>804</v>
      </c>
      <c r="C807">
        <v>146.104971586999</v>
      </c>
      <c r="D807">
        <v>-17.644938737499899</v>
      </c>
      <c r="G807" s="92"/>
      <c r="I807">
        <v>8</v>
      </c>
      <c r="J807" t="s">
        <v>26</v>
      </c>
      <c r="K807" s="52"/>
      <c r="L807" s="31"/>
      <c r="M807" s="31"/>
      <c r="N807" s="31"/>
      <c r="O807" s="31"/>
      <c r="P807" s="4"/>
      <c r="S807" s="57"/>
      <c r="X807" s="4"/>
    </row>
    <row r="808" spans="1:24" hidden="1" x14ac:dyDescent="0.35">
      <c r="A808">
        <v>804</v>
      </c>
      <c r="B808">
        <v>805</v>
      </c>
      <c r="C808">
        <v>146.104975461999</v>
      </c>
      <c r="D808">
        <v>-17.645024263</v>
      </c>
      <c r="E808">
        <v>50</v>
      </c>
      <c r="G808" s="92"/>
      <c r="I808">
        <v>8</v>
      </c>
      <c r="J808" t="s">
        <v>26</v>
      </c>
      <c r="K808" s="52"/>
      <c r="L808" s="31"/>
      <c r="M808" s="31"/>
      <c r="N808" s="31"/>
      <c r="O808" s="31"/>
      <c r="P808" s="4"/>
      <c r="S808" s="57"/>
      <c r="X808" s="4"/>
    </row>
    <row r="809" spans="1:24" hidden="1" x14ac:dyDescent="0.35">
      <c r="A809">
        <v>805</v>
      </c>
      <c r="B809">
        <v>806</v>
      </c>
      <c r="C809">
        <v>146.104979337999</v>
      </c>
      <c r="D809">
        <v>-17.645109788500001</v>
      </c>
      <c r="G809" s="92"/>
      <c r="I809">
        <v>8</v>
      </c>
      <c r="J809" t="s">
        <v>26</v>
      </c>
      <c r="K809" s="52"/>
      <c r="L809" s="31"/>
      <c r="M809" s="31"/>
      <c r="N809" s="31"/>
      <c r="O809" s="31"/>
      <c r="P809" s="4"/>
      <c r="S809" s="57"/>
      <c r="X809" s="4"/>
    </row>
    <row r="810" spans="1:24" hidden="1" x14ac:dyDescent="0.35">
      <c r="A810">
        <v>806</v>
      </c>
      <c r="B810">
        <v>807</v>
      </c>
      <c r="C810">
        <v>146.10498321399899</v>
      </c>
      <c r="D810">
        <v>-17.6451953139</v>
      </c>
      <c r="G810" s="92"/>
      <c r="I810">
        <v>8</v>
      </c>
      <c r="J810" t="s">
        <v>26</v>
      </c>
      <c r="K810" s="52"/>
      <c r="L810" s="31"/>
      <c r="M810" s="31"/>
      <c r="N810" s="31"/>
      <c r="O810" s="31"/>
      <c r="P810" s="4"/>
      <c r="S810" s="57"/>
      <c r="X810" s="4"/>
    </row>
    <row r="811" spans="1:24" hidden="1" x14ac:dyDescent="0.35">
      <c r="A811">
        <v>807</v>
      </c>
      <c r="B811">
        <v>808</v>
      </c>
      <c r="C811">
        <v>146.104987088999</v>
      </c>
      <c r="D811">
        <v>-17.6452808393</v>
      </c>
      <c r="G811" s="92"/>
      <c r="I811">
        <v>8</v>
      </c>
      <c r="J811" t="s">
        <v>26</v>
      </c>
      <c r="K811" s="52"/>
      <c r="L811" s="31"/>
      <c r="M811" s="31"/>
      <c r="N811" s="31"/>
      <c r="O811" s="31"/>
      <c r="P811" s="4"/>
      <c r="S811" s="57"/>
      <c r="X811" s="4"/>
    </row>
    <row r="812" spans="1:24" hidden="1" x14ac:dyDescent="0.35">
      <c r="A812">
        <v>808</v>
      </c>
      <c r="B812">
        <v>809</v>
      </c>
      <c r="C812">
        <v>146.10498130900001</v>
      </c>
      <c r="D812">
        <v>-17.6453661321999</v>
      </c>
      <c r="G812" s="92"/>
      <c r="I812">
        <v>8</v>
      </c>
      <c r="J812" t="s">
        <v>26</v>
      </c>
      <c r="K812" s="52"/>
      <c r="L812" s="31"/>
      <c r="M812" s="31"/>
      <c r="N812" s="31"/>
      <c r="O812" s="31"/>
      <c r="P812" s="4"/>
      <c r="S812" s="57"/>
      <c r="X812" s="4"/>
    </row>
    <row r="813" spans="1:24" hidden="1" x14ac:dyDescent="0.35">
      <c r="A813">
        <v>809</v>
      </c>
      <c r="B813">
        <v>810</v>
      </c>
      <c r="C813">
        <v>146.104972906999</v>
      </c>
      <c r="D813">
        <v>-17.645451361900001</v>
      </c>
      <c r="E813">
        <v>50</v>
      </c>
      <c r="G813" s="92"/>
      <c r="I813">
        <v>8</v>
      </c>
      <c r="J813" t="s">
        <v>26</v>
      </c>
      <c r="K813" s="52"/>
      <c r="L813" s="31"/>
      <c r="M813" s="31"/>
      <c r="N813" s="31"/>
      <c r="O813" s="31"/>
      <c r="P813" s="4"/>
      <c r="S813" s="57"/>
      <c r="X813" s="4"/>
    </row>
    <row r="814" spans="1:24" hidden="1" x14ac:dyDescent="0.35">
      <c r="A814">
        <v>810</v>
      </c>
      <c r="B814">
        <v>811</v>
      </c>
      <c r="C814">
        <v>146.104964504999</v>
      </c>
      <c r="D814">
        <v>-17.6455365915999</v>
      </c>
      <c r="G814" s="92"/>
      <c r="I814">
        <v>8</v>
      </c>
      <c r="J814" t="s">
        <v>26</v>
      </c>
      <c r="K814" s="52"/>
      <c r="L814" s="31"/>
      <c r="M814" s="31"/>
      <c r="N814" s="31"/>
      <c r="O814" s="31"/>
      <c r="P814" s="4"/>
      <c r="S814" s="57"/>
      <c r="X814" s="4"/>
    </row>
    <row r="815" spans="1:24" hidden="1" x14ac:dyDescent="0.35">
      <c r="A815">
        <v>811</v>
      </c>
      <c r="B815">
        <v>812</v>
      </c>
      <c r="C815">
        <v>146.10495610300001</v>
      </c>
      <c r="D815">
        <v>-17.645621821300001</v>
      </c>
      <c r="G815" s="92"/>
      <c r="I815">
        <v>8</v>
      </c>
      <c r="J815" t="s">
        <v>26</v>
      </c>
      <c r="K815" s="52"/>
      <c r="L815" s="31"/>
      <c r="M815" s="31"/>
      <c r="N815" s="31"/>
      <c r="O815" s="31"/>
      <c r="P815" s="4"/>
      <c r="S815" s="57"/>
      <c r="X815" s="4"/>
    </row>
    <row r="816" spans="1:24" hidden="1" x14ac:dyDescent="0.35">
      <c r="A816">
        <v>812</v>
      </c>
      <c r="B816">
        <v>813</v>
      </c>
      <c r="C816">
        <v>146.10494770099899</v>
      </c>
      <c r="D816">
        <v>-17.645707050999899</v>
      </c>
      <c r="G816" s="92"/>
      <c r="I816">
        <v>8</v>
      </c>
      <c r="J816" t="s">
        <v>26</v>
      </c>
      <c r="K816" s="52"/>
      <c r="L816" s="31"/>
      <c r="M816" s="31"/>
      <c r="N816" s="31"/>
      <c r="O816" s="31"/>
      <c r="P816" s="4"/>
      <c r="S816" s="57"/>
      <c r="X816" s="4"/>
    </row>
    <row r="817" spans="1:24" hidden="1" x14ac:dyDescent="0.35">
      <c r="A817">
        <v>813</v>
      </c>
      <c r="B817">
        <v>814</v>
      </c>
      <c r="C817">
        <v>146.104939298999</v>
      </c>
      <c r="D817">
        <v>-17.6457922805</v>
      </c>
      <c r="G817" s="92"/>
      <c r="I817">
        <v>8</v>
      </c>
      <c r="J817" t="s">
        <v>26</v>
      </c>
      <c r="K817" s="52"/>
      <c r="L817" s="31"/>
      <c r="M817" s="31"/>
      <c r="N817" s="31"/>
      <c r="O817" s="31"/>
      <c r="P817" s="4"/>
      <c r="S817" s="57"/>
      <c r="X817" s="4"/>
    </row>
    <row r="818" spans="1:24" hidden="1" x14ac:dyDescent="0.35">
      <c r="A818">
        <v>814</v>
      </c>
      <c r="B818">
        <v>815</v>
      </c>
      <c r="C818">
        <v>146.10492584100001</v>
      </c>
      <c r="D818">
        <v>-17.6458768799999</v>
      </c>
      <c r="E818">
        <v>50</v>
      </c>
      <c r="G818" s="92"/>
      <c r="I818">
        <v>8</v>
      </c>
      <c r="J818" t="s">
        <v>26</v>
      </c>
      <c r="K818" s="52"/>
      <c r="L818" s="31"/>
      <c r="M818" s="31"/>
      <c r="N818" s="31"/>
      <c r="O818" s="31"/>
      <c r="P818" s="4"/>
      <c r="S818" s="57"/>
      <c r="X818" s="4"/>
    </row>
    <row r="819" spans="1:24" hidden="1" x14ac:dyDescent="0.35">
      <c r="A819">
        <v>815</v>
      </c>
      <c r="B819">
        <v>816</v>
      </c>
      <c r="C819">
        <v>146.10491095699899</v>
      </c>
      <c r="D819">
        <v>-17.6459613014</v>
      </c>
      <c r="G819" s="92"/>
      <c r="I819">
        <v>8</v>
      </c>
      <c r="J819" t="s">
        <v>26</v>
      </c>
      <c r="K819" s="52"/>
      <c r="L819" s="31"/>
      <c r="M819" s="31"/>
      <c r="N819" s="31"/>
      <c r="O819" s="31"/>
      <c r="P819" s="4"/>
      <c r="S819" s="57"/>
      <c r="X819" s="4"/>
    </row>
    <row r="820" spans="1:24" hidden="1" x14ac:dyDescent="0.35">
      <c r="A820">
        <v>816</v>
      </c>
      <c r="B820">
        <v>817</v>
      </c>
      <c r="C820">
        <v>146.104896072</v>
      </c>
      <c r="D820">
        <v>-17.6460457228</v>
      </c>
      <c r="G820" s="92"/>
      <c r="I820">
        <v>8</v>
      </c>
      <c r="J820" t="s">
        <v>26</v>
      </c>
      <c r="K820" s="52"/>
      <c r="L820" s="31"/>
      <c r="M820" s="31"/>
      <c r="N820" s="31"/>
      <c r="O820" s="31"/>
      <c r="P820" s="4"/>
      <c r="S820" s="57"/>
      <c r="X820" s="4"/>
    </row>
    <row r="821" spans="1:24" hidden="1" x14ac:dyDescent="0.35">
      <c r="A821">
        <v>817</v>
      </c>
      <c r="B821">
        <v>818</v>
      </c>
      <c r="C821">
        <v>146.10488118699899</v>
      </c>
      <c r="D821">
        <v>-17.646130144200001</v>
      </c>
      <c r="G821" s="92"/>
      <c r="I821">
        <v>8</v>
      </c>
      <c r="J821" t="s">
        <v>26</v>
      </c>
      <c r="K821" s="52"/>
      <c r="L821" s="31"/>
      <c r="M821" s="31"/>
      <c r="N821" s="31"/>
      <c r="O821" s="31"/>
      <c r="P821" s="4"/>
      <c r="S821" s="57"/>
      <c r="X821" s="4"/>
    </row>
    <row r="822" spans="1:24" hidden="1" x14ac:dyDescent="0.35">
      <c r="A822">
        <v>818</v>
      </c>
      <c r="B822">
        <v>819</v>
      </c>
      <c r="C822">
        <v>146.104866302</v>
      </c>
      <c r="D822">
        <v>-17.6462145654999</v>
      </c>
      <c r="G822" s="92"/>
      <c r="I822">
        <v>8</v>
      </c>
      <c r="J822" t="s">
        <v>26</v>
      </c>
      <c r="K822" s="52"/>
      <c r="L822" s="31"/>
      <c r="M822" s="31"/>
      <c r="N822" s="31"/>
      <c r="O822" s="31"/>
      <c r="P822" s="4"/>
      <c r="S822" s="57"/>
      <c r="X822" s="4"/>
    </row>
    <row r="823" spans="1:24" hidden="1" x14ac:dyDescent="0.35">
      <c r="A823">
        <v>819</v>
      </c>
      <c r="B823">
        <v>820</v>
      </c>
      <c r="C823">
        <v>146.10485141800001</v>
      </c>
      <c r="D823">
        <v>-17.646298986800002</v>
      </c>
      <c r="E823">
        <v>50</v>
      </c>
      <c r="G823" s="92"/>
      <c r="I823">
        <v>8</v>
      </c>
      <c r="J823" t="s">
        <v>26</v>
      </c>
      <c r="K823" s="52"/>
      <c r="L823" s="31"/>
      <c r="M823" s="31"/>
      <c r="N823" s="31"/>
      <c r="O823" s="31"/>
      <c r="P823" s="4"/>
      <c r="S823" s="57"/>
      <c r="X823" s="4"/>
    </row>
    <row r="824" spans="1:24" hidden="1" x14ac:dyDescent="0.35">
      <c r="A824">
        <v>820</v>
      </c>
      <c r="B824">
        <v>821</v>
      </c>
      <c r="C824">
        <v>146.104836532999</v>
      </c>
      <c r="D824">
        <v>-17.6463834081</v>
      </c>
      <c r="G824" s="92"/>
      <c r="I824">
        <v>8</v>
      </c>
      <c r="J824" t="s">
        <v>26</v>
      </c>
      <c r="K824" s="52"/>
      <c r="L824" s="31"/>
      <c r="M824" s="31"/>
      <c r="N824" s="31"/>
      <c r="O824" s="31"/>
      <c r="P824" s="4"/>
      <c r="S824" s="57"/>
      <c r="X824" s="4"/>
    </row>
    <row r="825" spans="1:24" hidden="1" x14ac:dyDescent="0.35">
      <c r="A825">
        <v>821</v>
      </c>
      <c r="B825">
        <v>822</v>
      </c>
      <c r="C825">
        <v>146.10482164800001</v>
      </c>
      <c r="D825">
        <v>-17.646467829300001</v>
      </c>
      <c r="G825" s="92"/>
      <c r="I825">
        <v>8</v>
      </c>
      <c r="J825" t="s">
        <v>26</v>
      </c>
      <c r="K825" s="52"/>
      <c r="L825" s="31"/>
      <c r="M825" s="31"/>
      <c r="N825" s="31"/>
      <c r="O825" s="31"/>
      <c r="P825" s="4"/>
      <c r="S825" s="57"/>
      <c r="X825" s="4"/>
    </row>
    <row r="826" spans="1:24" hidden="1" x14ac:dyDescent="0.35">
      <c r="A826">
        <v>822</v>
      </c>
      <c r="B826">
        <v>823</v>
      </c>
      <c r="C826">
        <v>146.104806762999</v>
      </c>
      <c r="D826">
        <v>-17.646552250500001</v>
      </c>
      <c r="G826" s="92"/>
      <c r="I826">
        <v>8</v>
      </c>
      <c r="J826" t="s">
        <v>26</v>
      </c>
      <c r="K826" s="52"/>
      <c r="L826" s="31"/>
      <c r="M826" s="31"/>
      <c r="N826" s="31"/>
      <c r="O826" s="31"/>
      <c r="P826" s="4"/>
      <c r="S826" s="57"/>
      <c r="X826" s="4"/>
    </row>
    <row r="827" spans="1:24" hidden="1" x14ac:dyDescent="0.35">
      <c r="A827">
        <v>823</v>
      </c>
      <c r="B827">
        <v>824</v>
      </c>
      <c r="C827">
        <v>146.104791879</v>
      </c>
      <c r="D827">
        <v>-17.6466366716</v>
      </c>
      <c r="G827" s="92"/>
      <c r="I827">
        <v>8</v>
      </c>
      <c r="J827" t="s">
        <v>26</v>
      </c>
      <c r="K827" s="52"/>
      <c r="L827" s="31"/>
      <c r="M827" s="31"/>
      <c r="N827" s="31"/>
      <c r="O827" s="31"/>
      <c r="P827" s="4"/>
      <c r="S827" s="57"/>
      <c r="X827" s="4"/>
    </row>
    <row r="828" spans="1:24" hidden="1" x14ac:dyDescent="0.35">
      <c r="A828">
        <v>824</v>
      </c>
      <c r="B828">
        <v>825</v>
      </c>
      <c r="C828">
        <v>146.104776775</v>
      </c>
      <c r="D828">
        <v>-17.646721056899899</v>
      </c>
      <c r="E828">
        <v>50</v>
      </c>
      <c r="G828" s="92"/>
      <c r="I828">
        <v>8</v>
      </c>
      <c r="J828" t="s">
        <v>26</v>
      </c>
      <c r="K828" s="52"/>
      <c r="L828" s="31"/>
      <c r="M828" s="31"/>
      <c r="N828" s="31"/>
      <c r="O828" s="31"/>
      <c r="P828" s="4"/>
      <c r="S828" s="57"/>
      <c r="X828" s="4"/>
    </row>
    <row r="829" spans="1:24" hidden="1" x14ac:dyDescent="0.35">
      <c r="A829">
        <v>825</v>
      </c>
      <c r="B829">
        <v>826</v>
      </c>
      <c r="C829">
        <v>146.10476129099899</v>
      </c>
      <c r="D829">
        <v>-17.646805380100002</v>
      </c>
      <c r="G829" s="92"/>
      <c r="I829">
        <v>8</v>
      </c>
      <c r="J829" t="s">
        <v>26</v>
      </c>
      <c r="K829" s="52"/>
      <c r="L829" s="31"/>
      <c r="M829" s="31"/>
      <c r="N829" s="31"/>
      <c r="O829" s="31"/>
      <c r="P829" s="4"/>
      <c r="S829" s="57"/>
      <c r="X829" s="4"/>
    </row>
    <row r="830" spans="1:24" hidden="1" x14ac:dyDescent="0.35">
      <c r="A830">
        <v>826</v>
      </c>
      <c r="B830">
        <v>827</v>
      </c>
      <c r="C830">
        <v>146.104745807</v>
      </c>
      <c r="D830">
        <v>-17.6468897031999</v>
      </c>
      <c r="G830" s="92"/>
      <c r="I830">
        <v>8</v>
      </c>
      <c r="J830" t="s">
        <v>26</v>
      </c>
      <c r="K830" s="52"/>
      <c r="L830" s="31"/>
      <c r="M830" s="31"/>
      <c r="N830" s="31"/>
      <c r="O830" s="31"/>
      <c r="P830" s="4"/>
      <c r="S830" s="57"/>
      <c r="X830" s="4"/>
    </row>
    <row r="831" spans="1:24" hidden="1" x14ac:dyDescent="0.35">
      <c r="A831">
        <v>827</v>
      </c>
      <c r="B831">
        <v>828</v>
      </c>
      <c r="C831">
        <v>146.104730324</v>
      </c>
      <c r="D831">
        <v>-17.646974026300001</v>
      </c>
      <c r="G831" s="92"/>
      <c r="I831">
        <v>8</v>
      </c>
      <c r="J831" t="s">
        <v>26</v>
      </c>
      <c r="K831" s="52"/>
      <c r="L831" s="31"/>
      <c r="M831" s="31"/>
      <c r="N831" s="31"/>
      <c r="O831" s="31"/>
      <c r="P831" s="4"/>
      <c r="S831" s="57"/>
      <c r="X831" s="4"/>
    </row>
    <row r="832" spans="1:24" hidden="1" x14ac:dyDescent="0.35">
      <c r="A832">
        <v>828</v>
      </c>
      <c r="B832">
        <v>829</v>
      </c>
      <c r="C832">
        <v>146.10471484000001</v>
      </c>
      <c r="D832">
        <v>-17.647058349400002</v>
      </c>
      <c r="G832" s="92"/>
      <c r="I832">
        <v>8</v>
      </c>
      <c r="J832" t="s">
        <v>26</v>
      </c>
      <c r="K832" s="52"/>
      <c r="L832" s="31"/>
      <c r="M832" s="31"/>
      <c r="N832" s="31"/>
      <c r="O832" s="31"/>
      <c r="P832" s="4"/>
      <c r="S832" s="57"/>
      <c r="X832" s="4"/>
    </row>
    <row r="833" spans="1:24" hidden="1" x14ac:dyDescent="0.35">
      <c r="A833">
        <v>829</v>
      </c>
      <c r="B833">
        <v>830</v>
      </c>
      <c r="C833">
        <v>146.10469935699899</v>
      </c>
      <c r="D833">
        <v>-17.647142672400001</v>
      </c>
      <c r="E833">
        <v>50</v>
      </c>
      <c r="G833" s="92"/>
      <c r="I833">
        <v>8</v>
      </c>
      <c r="J833" t="s">
        <v>26</v>
      </c>
      <c r="K833" s="52"/>
      <c r="L833" s="31"/>
      <c r="M833" s="31"/>
      <c r="N833" s="31"/>
      <c r="O833" s="31"/>
      <c r="P833" s="4"/>
      <c r="S833" s="57"/>
      <c r="X833" s="4"/>
    </row>
    <row r="834" spans="1:24" hidden="1" x14ac:dyDescent="0.35">
      <c r="A834">
        <v>830</v>
      </c>
      <c r="B834">
        <v>831</v>
      </c>
      <c r="C834">
        <v>146.104683872999</v>
      </c>
      <c r="D834">
        <v>-17.647226995400001</v>
      </c>
      <c r="G834" s="92"/>
      <c r="I834">
        <v>8</v>
      </c>
      <c r="J834" t="s">
        <v>26</v>
      </c>
      <c r="K834" s="52"/>
      <c r="L834" s="31"/>
      <c r="M834" s="31"/>
      <c r="N834" s="31"/>
      <c r="O834" s="31"/>
      <c r="P834" s="4"/>
      <c r="S834" s="57"/>
      <c r="X834" s="4"/>
    </row>
    <row r="835" spans="1:24" hidden="1" x14ac:dyDescent="0.35">
      <c r="A835">
        <v>831</v>
      </c>
      <c r="B835">
        <v>832</v>
      </c>
      <c r="C835">
        <v>146.10466839</v>
      </c>
      <c r="D835">
        <v>-17.6473113184</v>
      </c>
      <c r="G835" s="92"/>
      <c r="I835">
        <v>8</v>
      </c>
      <c r="J835" t="s">
        <v>26</v>
      </c>
      <c r="K835" s="52"/>
      <c r="L835" s="31"/>
      <c r="M835" s="31"/>
      <c r="N835" s="31"/>
      <c r="O835" s="31"/>
      <c r="P835" s="4"/>
      <c r="S835" s="57"/>
      <c r="X835" s="4"/>
    </row>
    <row r="836" spans="1:24" hidden="1" x14ac:dyDescent="0.35">
      <c r="A836">
        <v>832</v>
      </c>
      <c r="B836">
        <v>833</v>
      </c>
      <c r="C836">
        <v>146.10465290600001</v>
      </c>
      <c r="D836">
        <v>-17.647395641300001</v>
      </c>
      <c r="G836" s="92"/>
      <c r="I836">
        <v>8</v>
      </c>
      <c r="J836" t="s">
        <v>26</v>
      </c>
      <c r="K836" s="52"/>
      <c r="L836" s="31"/>
      <c r="M836" s="31"/>
      <c r="N836" s="31"/>
      <c r="O836" s="31"/>
      <c r="P836" s="4"/>
      <c r="S836" s="57"/>
      <c r="X836" s="4"/>
    </row>
    <row r="837" spans="1:24" hidden="1" x14ac:dyDescent="0.35">
      <c r="A837">
        <v>833</v>
      </c>
      <c r="B837">
        <v>834</v>
      </c>
      <c r="C837">
        <v>146.10464840399899</v>
      </c>
      <c r="D837">
        <v>-17.6474808977</v>
      </c>
      <c r="G837" s="92"/>
      <c r="I837">
        <v>8</v>
      </c>
      <c r="J837" t="s">
        <v>26</v>
      </c>
      <c r="K837" s="52"/>
      <c r="L837" s="31"/>
      <c r="M837" s="31"/>
      <c r="N837" s="31"/>
      <c r="O837" s="31"/>
      <c r="P837" s="4"/>
      <c r="S837" s="57"/>
      <c r="X837" s="4"/>
    </row>
    <row r="838" spans="1:24" hidden="1" x14ac:dyDescent="0.35">
      <c r="A838">
        <v>834</v>
      </c>
      <c r="B838">
        <v>835</v>
      </c>
      <c r="C838">
        <v>146.104647980999</v>
      </c>
      <c r="D838">
        <v>-17.6475665008</v>
      </c>
      <c r="E838">
        <v>50</v>
      </c>
      <c r="G838" s="92"/>
      <c r="I838">
        <v>8</v>
      </c>
      <c r="J838" t="s">
        <v>26</v>
      </c>
      <c r="K838" s="52"/>
      <c r="L838" s="31"/>
      <c r="M838" s="31"/>
      <c r="N838" s="31"/>
      <c r="O838" s="31"/>
      <c r="P838" s="4"/>
      <c r="S838" s="57"/>
      <c r="X838" s="4"/>
    </row>
    <row r="839" spans="1:24" hidden="1" x14ac:dyDescent="0.35">
      <c r="A839">
        <v>835</v>
      </c>
      <c r="B839">
        <v>836</v>
      </c>
      <c r="C839">
        <v>146.104647559</v>
      </c>
      <c r="D839">
        <v>-17.647652103799899</v>
      </c>
      <c r="G839" s="92"/>
      <c r="I839">
        <v>8</v>
      </c>
      <c r="J839" t="s">
        <v>26</v>
      </c>
      <c r="K839" s="52"/>
      <c r="L839" s="31"/>
      <c r="M839" s="31"/>
      <c r="N839" s="31"/>
      <c r="O839" s="31"/>
      <c r="P839" s="4"/>
      <c r="S839" s="57"/>
      <c r="X839" s="4"/>
    </row>
    <row r="840" spans="1:24" hidden="1" x14ac:dyDescent="0.35">
      <c r="A840">
        <v>836</v>
      </c>
      <c r="B840">
        <v>837</v>
      </c>
      <c r="C840">
        <v>146.10464713600001</v>
      </c>
      <c r="D840">
        <v>-17.647737706800001</v>
      </c>
      <c r="G840" s="92"/>
      <c r="I840">
        <v>8</v>
      </c>
      <c r="J840" t="s">
        <v>26</v>
      </c>
      <c r="K840" s="52"/>
      <c r="L840" s="31"/>
      <c r="M840" s="31"/>
      <c r="N840" s="31"/>
      <c r="O840" s="31"/>
      <c r="P840" s="4"/>
      <c r="S840" s="57"/>
      <c r="X840" s="4"/>
    </row>
    <row r="841" spans="1:24" hidden="1" x14ac:dyDescent="0.35">
      <c r="A841">
        <v>837</v>
      </c>
      <c r="B841">
        <v>838</v>
      </c>
      <c r="C841">
        <v>146.104646712999</v>
      </c>
      <c r="D841">
        <v>-17.647823309700001</v>
      </c>
      <c r="G841" s="92"/>
      <c r="I841">
        <v>8</v>
      </c>
      <c r="J841" t="s">
        <v>26</v>
      </c>
      <c r="K841" s="52"/>
      <c r="L841" s="31"/>
      <c r="M841" s="31"/>
      <c r="N841" s="31"/>
      <c r="O841" s="31"/>
      <c r="P841" s="4"/>
      <c r="S841" s="57"/>
      <c r="X841" s="4"/>
    </row>
    <row r="842" spans="1:24" hidden="1" x14ac:dyDescent="0.35">
      <c r="A842">
        <v>838</v>
      </c>
      <c r="B842">
        <v>839</v>
      </c>
      <c r="C842">
        <v>146.10464629000001</v>
      </c>
      <c r="D842">
        <v>-17.647908912599899</v>
      </c>
      <c r="G842" s="92"/>
      <c r="I842">
        <v>8</v>
      </c>
      <c r="J842" t="s">
        <v>26</v>
      </c>
      <c r="K842" s="52"/>
      <c r="L842" s="31"/>
      <c r="M842" s="31"/>
      <c r="N842" s="31"/>
      <c r="O842" s="31"/>
      <c r="P842" s="4"/>
      <c r="S842" s="57"/>
      <c r="X842" s="4"/>
    </row>
    <row r="843" spans="1:24" hidden="1" x14ac:dyDescent="0.35">
      <c r="A843">
        <v>839</v>
      </c>
      <c r="B843">
        <v>840</v>
      </c>
      <c r="C843">
        <v>146.104648206999</v>
      </c>
      <c r="D843">
        <v>-17.647994469699899</v>
      </c>
      <c r="E843">
        <v>50</v>
      </c>
      <c r="G843" s="92"/>
      <c r="I843">
        <v>8</v>
      </c>
      <c r="J843" t="s">
        <v>26</v>
      </c>
      <c r="K843" s="52"/>
      <c r="L843" s="31"/>
      <c r="M843" s="31"/>
      <c r="N843" s="31"/>
      <c r="O843" s="31"/>
      <c r="P843" s="4"/>
      <c r="S843" s="57"/>
      <c r="X843" s="4"/>
    </row>
    <row r="844" spans="1:24" hidden="1" x14ac:dyDescent="0.35">
      <c r="A844">
        <v>840</v>
      </c>
      <c r="B844">
        <v>841</v>
      </c>
      <c r="C844">
        <v>146.10465231800001</v>
      </c>
      <c r="D844">
        <v>-17.648079983700001</v>
      </c>
      <c r="G844" s="92"/>
      <c r="I844">
        <v>8</v>
      </c>
      <c r="J844" t="s">
        <v>26</v>
      </c>
      <c r="K844" s="52"/>
      <c r="L844" s="31"/>
      <c r="M844" s="31"/>
      <c r="N844" s="31"/>
      <c r="O844" s="31"/>
      <c r="P844" s="4"/>
      <c r="S844" s="57"/>
      <c r="X844" s="4"/>
    </row>
    <row r="845" spans="1:24" hidden="1" x14ac:dyDescent="0.35">
      <c r="A845">
        <v>841</v>
      </c>
      <c r="B845">
        <v>842</v>
      </c>
      <c r="C845">
        <v>146.10465643000001</v>
      </c>
      <c r="D845">
        <v>-17.6481654976999</v>
      </c>
      <c r="G845" s="92"/>
      <c r="I845">
        <v>8</v>
      </c>
      <c r="J845" t="s">
        <v>26</v>
      </c>
      <c r="K845" s="52"/>
      <c r="L845" s="31"/>
      <c r="M845" s="31"/>
      <c r="N845" s="31"/>
      <c r="O845" s="31"/>
      <c r="P845" s="4"/>
      <c r="S845" s="57"/>
      <c r="X845" s="4"/>
    </row>
    <row r="846" spans="1:24" hidden="1" x14ac:dyDescent="0.35">
      <c r="A846">
        <v>842</v>
      </c>
      <c r="B846">
        <v>843</v>
      </c>
      <c r="C846">
        <v>146.104660542</v>
      </c>
      <c r="D846">
        <v>-17.648251011700001</v>
      </c>
      <c r="G846" s="92"/>
      <c r="I846">
        <v>8</v>
      </c>
      <c r="J846" t="s">
        <v>26</v>
      </c>
      <c r="K846" s="52"/>
      <c r="L846" s="31"/>
      <c r="M846" s="31"/>
      <c r="N846" s="31"/>
      <c r="O846" s="31"/>
      <c r="P846" s="4"/>
      <c r="S846" s="57"/>
      <c r="X846" s="4"/>
    </row>
    <row r="847" spans="1:24" hidden="1" x14ac:dyDescent="0.35">
      <c r="A847">
        <v>843</v>
      </c>
      <c r="B847">
        <v>844</v>
      </c>
      <c r="C847">
        <v>146.10466465299899</v>
      </c>
      <c r="D847">
        <v>-17.6483365257</v>
      </c>
      <c r="G847" s="92"/>
      <c r="I847">
        <v>8</v>
      </c>
      <c r="J847" t="s">
        <v>26</v>
      </c>
      <c r="K847" s="52"/>
      <c r="L847" s="31"/>
      <c r="M847" s="31"/>
      <c r="N847" s="31"/>
      <c r="O847" s="31"/>
      <c r="P847" s="4"/>
      <c r="S847" s="57"/>
      <c r="X847" s="4"/>
    </row>
    <row r="848" spans="1:24" hidden="1" x14ac:dyDescent="0.35">
      <c r="A848">
        <v>844</v>
      </c>
      <c r="B848">
        <v>845</v>
      </c>
      <c r="C848">
        <v>146.104674918</v>
      </c>
      <c r="D848">
        <v>-17.6484215654</v>
      </c>
      <c r="E848">
        <v>50</v>
      </c>
      <c r="G848" s="92"/>
      <c r="I848">
        <v>8</v>
      </c>
      <c r="J848" t="s">
        <v>26</v>
      </c>
      <c r="K848" s="52"/>
      <c r="L848" s="31"/>
      <c r="M848" s="31"/>
      <c r="N848" s="31"/>
      <c r="O848" s="31"/>
      <c r="P848" s="4"/>
      <c r="S848" s="57"/>
      <c r="X848" s="4"/>
    </row>
    <row r="849" spans="1:24" hidden="1" x14ac:dyDescent="0.35">
      <c r="A849">
        <v>845</v>
      </c>
      <c r="B849">
        <v>846</v>
      </c>
      <c r="C849">
        <v>146.104685278999</v>
      </c>
      <c r="D849">
        <v>-17.6485065976999</v>
      </c>
      <c r="G849" s="92"/>
      <c r="I849">
        <v>8</v>
      </c>
      <c r="J849" t="s">
        <v>26</v>
      </c>
      <c r="K849" s="52"/>
      <c r="L849" s="31"/>
      <c r="M849" s="31"/>
      <c r="N849" s="31"/>
      <c r="O849" s="31"/>
      <c r="P849" s="4"/>
      <c r="S849" s="57"/>
      <c r="X849" s="4"/>
    </row>
    <row r="850" spans="1:24" hidden="1" x14ac:dyDescent="0.35">
      <c r="A850">
        <v>846</v>
      </c>
      <c r="B850">
        <v>847</v>
      </c>
      <c r="C850">
        <v>146.104695638999</v>
      </c>
      <c r="D850">
        <v>-17.648591629999899</v>
      </c>
      <c r="G850" s="92"/>
      <c r="I850">
        <v>8</v>
      </c>
      <c r="J850" t="s">
        <v>26</v>
      </c>
      <c r="K850" s="52"/>
      <c r="L850" s="31"/>
      <c r="M850" s="31"/>
      <c r="N850" s="31"/>
      <c r="O850" s="31"/>
      <c r="P850" s="4"/>
      <c r="S850" s="57"/>
      <c r="X850" s="4"/>
    </row>
    <row r="851" spans="1:24" hidden="1" x14ac:dyDescent="0.35">
      <c r="A851">
        <v>847</v>
      </c>
      <c r="B851">
        <v>848</v>
      </c>
      <c r="C851">
        <v>146.104705999999</v>
      </c>
      <c r="D851">
        <v>-17.648676662300002</v>
      </c>
      <c r="G851" s="92"/>
      <c r="I851">
        <v>8</v>
      </c>
      <c r="J851" t="s">
        <v>26</v>
      </c>
      <c r="K851" s="52"/>
      <c r="L851" s="31"/>
      <c r="M851" s="31"/>
      <c r="N851" s="31"/>
      <c r="O851" s="31"/>
      <c r="P851" s="4"/>
      <c r="S851" s="57"/>
      <c r="X851" s="4"/>
    </row>
    <row r="852" spans="1:24" hidden="1" x14ac:dyDescent="0.35">
      <c r="A852">
        <v>848</v>
      </c>
      <c r="B852">
        <v>849</v>
      </c>
      <c r="C852">
        <v>146.104716359999</v>
      </c>
      <c r="D852">
        <v>-17.6487616944999</v>
      </c>
      <c r="G852" s="92"/>
      <c r="I852">
        <v>8</v>
      </c>
      <c r="J852" t="s">
        <v>26</v>
      </c>
      <c r="K852" s="52"/>
      <c r="L852" s="31"/>
      <c r="M852" s="31"/>
      <c r="N852" s="31"/>
      <c r="O852" s="31"/>
      <c r="P852" s="4"/>
      <c r="S852" s="57"/>
      <c r="X852" s="4"/>
    </row>
    <row r="853" spans="1:24" hidden="1" x14ac:dyDescent="0.35">
      <c r="A853">
        <v>849</v>
      </c>
      <c r="B853">
        <v>850</v>
      </c>
      <c r="C853">
        <v>146.104721923</v>
      </c>
      <c r="D853">
        <v>-17.6488467972999</v>
      </c>
      <c r="E853">
        <v>50</v>
      </c>
      <c r="G853" s="92"/>
      <c r="I853">
        <v>8</v>
      </c>
      <c r="J853" t="s">
        <v>26</v>
      </c>
      <c r="K853" s="52"/>
      <c r="L853" s="31"/>
      <c r="M853" s="31"/>
      <c r="N853" s="31"/>
      <c r="O853" s="31"/>
      <c r="P853" s="4"/>
      <c r="S853" s="57"/>
      <c r="X853" s="4"/>
    </row>
    <row r="854" spans="1:24" hidden="1" x14ac:dyDescent="0.35">
      <c r="A854">
        <v>850</v>
      </c>
      <c r="B854">
        <v>851</v>
      </c>
      <c r="C854">
        <v>146.104714322999</v>
      </c>
      <c r="D854">
        <v>-17.6489320937999</v>
      </c>
      <c r="G854" s="92"/>
      <c r="I854">
        <v>8</v>
      </c>
      <c r="J854" t="s">
        <v>26</v>
      </c>
      <c r="K854" s="52"/>
      <c r="L854" s="31"/>
      <c r="M854" s="31"/>
      <c r="N854" s="31"/>
      <c r="O854" s="31"/>
      <c r="P854" s="4"/>
      <c r="S854" s="57"/>
      <c r="X854" s="4"/>
    </row>
    <row r="855" spans="1:24" hidden="1" x14ac:dyDescent="0.35">
      <c r="A855">
        <v>851</v>
      </c>
      <c r="B855">
        <v>852</v>
      </c>
      <c r="C855">
        <v>146.10470672400001</v>
      </c>
      <c r="D855">
        <v>-17.6490173902999</v>
      </c>
      <c r="G855" s="92"/>
      <c r="I855">
        <v>8</v>
      </c>
      <c r="J855" t="s">
        <v>26</v>
      </c>
      <c r="K855" s="52"/>
      <c r="L855" s="31"/>
      <c r="M855" s="31"/>
      <c r="N855" s="31"/>
      <c r="O855" s="31"/>
      <c r="P855" s="4"/>
      <c r="S855" s="57"/>
      <c r="X855" s="4"/>
    </row>
    <row r="856" spans="1:24" hidden="1" x14ac:dyDescent="0.35">
      <c r="A856">
        <v>852</v>
      </c>
      <c r="B856">
        <v>853</v>
      </c>
      <c r="C856">
        <v>146.10469912400001</v>
      </c>
      <c r="D856">
        <v>-17.649102686700001</v>
      </c>
      <c r="G856" s="92"/>
      <c r="I856">
        <v>8</v>
      </c>
      <c r="J856" t="s">
        <v>26</v>
      </c>
      <c r="K856" s="52"/>
      <c r="L856" s="31"/>
      <c r="M856" s="31"/>
      <c r="N856" s="31"/>
      <c r="O856" s="31"/>
      <c r="P856" s="4"/>
      <c r="S856" s="57"/>
      <c r="X856" s="4"/>
    </row>
    <row r="857" spans="1:24" hidden="1" x14ac:dyDescent="0.35">
      <c r="A857">
        <v>853</v>
      </c>
      <c r="B857">
        <v>854</v>
      </c>
      <c r="C857">
        <v>146.104691524999</v>
      </c>
      <c r="D857">
        <v>-17.6491879830999</v>
      </c>
      <c r="G857" s="92"/>
      <c r="I857">
        <v>8</v>
      </c>
      <c r="J857" t="s">
        <v>26</v>
      </c>
      <c r="K857" s="52"/>
      <c r="L857" s="31"/>
      <c r="M857" s="31"/>
      <c r="N857" s="31"/>
      <c r="O857" s="31"/>
      <c r="P857" s="4"/>
      <c r="S857" s="57"/>
      <c r="X857" s="4"/>
    </row>
    <row r="858" spans="1:24" hidden="1" x14ac:dyDescent="0.35">
      <c r="A858">
        <v>854</v>
      </c>
      <c r="B858">
        <v>855</v>
      </c>
      <c r="C858">
        <v>146.10467752700001</v>
      </c>
      <c r="D858">
        <v>-17.649272311400001</v>
      </c>
      <c r="E858">
        <v>50</v>
      </c>
      <c r="G858" s="92"/>
      <c r="I858">
        <v>8</v>
      </c>
      <c r="J858" t="s">
        <v>26</v>
      </c>
      <c r="K858" s="52"/>
      <c r="L858" s="31"/>
      <c r="M858" s="31"/>
      <c r="N858" s="31"/>
      <c r="O858" s="31"/>
      <c r="P858" s="4"/>
      <c r="S858" s="57"/>
      <c r="X858" s="4"/>
    </row>
    <row r="859" spans="1:24" hidden="1" x14ac:dyDescent="0.35">
      <c r="A859">
        <v>855</v>
      </c>
      <c r="B859">
        <v>856</v>
      </c>
      <c r="C859">
        <v>146.10465703200001</v>
      </c>
      <c r="D859">
        <v>-17.649355657000001</v>
      </c>
      <c r="G859" s="92"/>
      <c r="I859">
        <v>8</v>
      </c>
      <c r="J859" t="s">
        <v>26</v>
      </c>
      <c r="K859" s="52"/>
      <c r="L859" s="31"/>
      <c r="M859" s="31"/>
      <c r="N859" s="31"/>
      <c r="O859" s="31"/>
      <c r="P859" s="4"/>
      <c r="S859" s="57"/>
      <c r="X859" s="4"/>
    </row>
    <row r="860" spans="1:24" hidden="1" x14ac:dyDescent="0.35">
      <c r="A860">
        <v>856</v>
      </c>
      <c r="B860">
        <v>857</v>
      </c>
      <c r="C860">
        <v>146.104636537</v>
      </c>
      <c r="D860">
        <v>-17.649439002400001</v>
      </c>
      <c r="G860" s="92"/>
      <c r="I860">
        <v>8</v>
      </c>
      <c r="J860" t="s">
        <v>26</v>
      </c>
      <c r="K860" s="52"/>
      <c r="L860" s="31"/>
      <c r="M860" s="31"/>
      <c r="N860" s="31"/>
      <c r="O860" s="31"/>
      <c r="P860" s="4"/>
      <c r="S860" s="57"/>
      <c r="X860" s="4"/>
    </row>
    <row r="861" spans="1:24" hidden="1" x14ac:dyDescent="0.35">
      <c r="A861">
        <v>857</v>
      </c>
      <c r="B861">
        <v>858</v>
      </c>
      <c r="C861">
        <v>146.104616042</v>
      </c>
      <c r="D861">
        <v>-17.6495223479</v>
      </c>
      <c r="G861" s="92"/>
      <c r="I861">
        <v>8</v>
      </c>
      <c r="J861" t="s">
        <v>26</v>
      </c>
      <c r="K861" s="52"/>
      <c r="L861" s="31"/>
      <c r="M861" s="31"/>
      <c r="N861" s="31"/>
      <c r="O861" s="31"/>
      <c r="P861" s="4"/>
      <c r="S861" s="57"/>
      <c r="X861" s="4"/>
    </row>
    <row r="862" spans="1:24" hidden="1" x14ac:dyDescent="0.35">
      <c r="A862">
        <v>858</v>
      </c>
      <c r="B862">
        <v>859</v>
      </c>
      <c r="C862">
        <v>146.104595044999</v>
      </c>
      <c r="D862">
        <v>-17.6496055773999</v>
      </c>
      <c r="G862" s="92"/>
      <c r="I862">
        <v>8</v>
      </c>
      <c r="J862" t="s">
        <v>26</v>
      </c>
      <c r="K862" s="52"/>
      <c r="L862" s="31"/>
      <c r="M862" s="31"/>
      <c r="N862" s="31"/>
      <c r="O862" s="31"/>
      <c r="P862" s="4"/>
      <c r="S862" s="57"/>
      <c r="X862" s="4"/>
    </row>
    <row r="863" spans="1:24" hidden="1" x14ac:dyDescent="0.35">
      <c r="A863">
        <v>859</v>
      </c>
      <c r="B863">
        <v>860</v>
      </c>
      <c r="C863">
        <v>146.104573305999</v>
      </c>
      <c r="D863">
        <v>-17.649688636099899</v>
      </c>
      <c r="E863">
        <v>50</v>
      </c>
      <c r="G863" s="92"/>
      <c r="I863">
        <v>8</v>
      </c>
      <c r="J863" t="s">
        <v>26</v>
      </c>
      <c r="K863" s="52"/>
      <c r="L863" s="31"/>
      <c r="M863" s="31"/>
      <c r="N863" s="31"/>
      <c r="O863" s="31"/>
      <c r="P863" s="4"/>
      <c r="S863" s="57"/>
      <c r="X863" s="4"/>
    </row>
    <row r="864" spans="1:24" hidden="1" x14ac:dyDescent="0.35">
      <c r="A864">
        <v>860</v>
      </c>
      <c r="B864">
        <v>861</v>
      </c>
      <c r="C864">
        <v>146.10455156800001</v>
      </c>
      <c r="D864">
        <v>-17.6497716947</v>
      </c>
      <c r="G864" s="92"/>
      <c r="I864">
        <v>8</v>
      </c>
      <c r="J864" t="s">
        <v>26</v>
      </c>
      <c r="K864" s="52"/>
      <c r="L864" s="31"/>
      <c r="M864" s="31"/>
      <c r="N864" s="31"/>
      <c r="O864" s="31"/>
      <c r="P864" s="4"/>
      <c r="S864" s="57"/>
      <c r="X864" s="4"/>
    </row>
    <row r="865" spans="1:24" hidden="1" x14ac:dyDescent="0.35">
      <c r="A865">
        <v>861</v>
      </c>
      <c r="B865">
        <v>862</v>
      </c>
      <c r="C865">
        <v>146.104529829</v>
      </c>
      <c r="D865">
        <v>-17.649854753300001</v>
      </c>
      <c r="G865" s="92"/>
      <c r="I865">
        <v>8</v>
      </c>
      <c r="J865" t="s">
        <v>26</v>
      </c>
      <c r="K865" s="52"/>
      <c r="L865" s="31"/>
      <c r="M865" s="31"/>
      <c r="N865" s="31"/>
      <c r="O865" s="31"/>
      <c r="P865" s="4"/>
      <c r="S865" s="57"/>
      <c r="X865" s="4"/>
    </row>
    <row r="866" spans="1:24" hidden="1" x14ac:dyDescent="0.35">
      <c r="A866">
        <v>862</v>
      </c>
      <c r="B866">
        <v>863</v>
      </c>
      <c r="C866">
        <v>146.104508089999</v>
      </c>
      <c r="D866">
        <v>-17.6499378118999</v>
      </c>
      <c r="G866" s="92"/>
      <c r="I866">
        <v>8</v>
      </c>
      <c r="J866" t="s">
        <v>26</v>
      </c>
      <c r="K866" s="52"/>
      <c r="L866" s="31"/>
      <c r="M866" s="31"/>
      <c r="N866" s="31"/>
      <c r="O866" s="31"/>
      <c r="P866" s="4"/>
      <c r="S866" s="57"/>
      <c r="X866" s="4"/>
    </row>
    <row r="867" spans="1:24" hidden="1" x14ac:dyDescent="0.35">
      <c r="A867">
        <v>863</v>
      </c>
      <c r="B867">
        <v>864</v>
      </c>
      <c r="C867">
        <v>146.104483082</v>
      </c>
      <c r="D867">
        <v>-17.650019986</v>
      </c>
      <c r="G867" s="92"/>
      <c r="I867">
        <v>8</v>
      </c>
      <c r="J867" t="s">
        <v>26</v>
      </c>
      <c r="K867" s="52"/>
      <c r="L867" s="31"/>
      <c r="M867" s="31"/>
      <c r="N867" s="31"/>
      <c r="O867" s="31"/>
      <c r="P867" s="4"/>
      <c r="S867" s="57"/>
      <c r="X867" s="4"/>
    </row>
    <row r="868" spans="1:24" hidden="1" x14ac:dyDescent="0.35">
      <c r="A868">
        <v>864</v>
      </c>
      <c r="B868">
        <v>865</v>
      </c>
      <c r="C868">
        <v>146.10445511</v>
      </c>
      <c r="D868">
        <v>-17.650101331799899</v>
      </c>
      <c r="E868">
        <v>50</v>
      </c>
      <c r="G868" s="92"/>
      <c r="I868">
        <v>8</v>
      </c>
      <c r="J868" t="s">
        <v>26</v>
      </c>
      <c r="K868" s="52"/>
      <c r="L868" s="31"/>
      <c r="M868" s="31"/>
      <c r="N868" s="31"/>
      <c r="O868" s="31"/>
      <c r="P868" s="4"/>
      <c r="S868" s="57"/>
      <c r="X868" s="4"/>
    </row>
    <row r="869" spans="1:24" hidden="1" x14ac:dyDescent="0.35">
      <c r="A869">
        <v>865</v>
      </c>
      <c r="B869">
        <v>866</v>
      </c>
      <c r="C869">
        <v>146.104426875999</v>
      </c>
      <c r="D869">
        <v>-17.650182596699899</v>
      </c>
      <c r="G869" s="92"/>
      <c r="I869">
        <v>8</v>
      </c>
      <c r="J869" t="s">
        <v>26</v>
      </c>
      <c r="K869" s="52"/>
      <c r="L869" s="31"/>
      <c r="M869" s="31"/>
      <c r="N869" s="31"/>
      <c r="O869" s="31"/>
      <c r="P869" s="4"/>
      <c r="S869" s="57"/>
      <c r="X869" s="4"/>
    </row>
    <row r="870" spans="1:24" hidden="1" x14ac:dyDescent="0.35">
      <c r="A870">
        <v>866</v>
      </c>
      <c r="B870">
        <v>867</v>
      </c>
      <c r="C870">
        <v>146.104395103999</v>
      </c>
      <c r="D870">
        <v>-17.650262613799899</v>
      </c>
      <c r="G870" s="92"/>
      <c r="I870">
        <v>8</v>
      </c>
      <c r="J870" t="s">
        <v>26</v>
      </c>
      <c r="K870" s="52"/>
      <c r="L870" s="31"/>
      <c r="M870" s="31"/>
      <c r="N870" s="31"/>
      <c r="O870" s="31"/>
      <c r="P870" s="4"/>
      <c r="S870" s="57"/>
      <c r="X870" s="4"/>
    </row>
    <row r="871" spans="1:24" hidden="1" x14ac:dyDescent="0.35">
      <c r="A871">
        <v>867</v>
      </c>
      <c r="B871">
        <v>868</v>
      </c>
      <c r="C871">
        <v>146.104373170999</v>
      </c>
      <c r="D871">
        <v>-17.6503455555</v>
      </c>
      <c r="G871" s="92"/>
      <c r="I871">
        <v>8</v>
      </c>
      <c r="J871" t="s">
        <v>26</v>
      </c>
      <c r="K871" s="52"/>
      <c r="L871" s="31"/>
      <c r="M871" s="31"/>
      <c r="N871" s="31"/>
      <c r="O871" s="31"/>
      <c r="P871" s="4"/>
      <c r="S871" s="57"/>
      <c r="X871" s="4"/>
    </row>
    <row r="872" spans="1:24" hidden="1" x14ac:dyDescent="0.35">
      <c r="A872">
        <v>868</v>
      </c>
      <c r="B872">
        <v>869</v>
      </c>
      <c r="C872">
        <v>146.104352194</v>
      </c>
      <c r="D872">
        <v>-17.650428791500001</v>
      </c>
      <c r="G872" s="92"/>
      <c r="I872">
        <v>8</v>
      </c>
      <c r="J872" t="s">
        <v>26</v>
      </c>
      <c r="K872" s="52"/>
      <c r="L872" s="31"/>
      <c r="M872" s="31"/>
      <c r="N872" s="31"/>
      <c r="O872" s="31"/>
      <c r="P872" s="4"/>
      <c r="S872" s="57"/>
      <c r="X872" s="4"/>
    </row>
    <row r="873" spans="1:24" hidden="1" x14ac:dyDescent="0.35">
      <c r="A873">
        <v>869</v>
      </c>
      <c r="B873">
        <v>870</v>
      </c>
      <c r="C873">
        <v>146.104331215999</v>
      </c>
      <c r="D873">
        <v>-17.6505120275</v>
      </c>
      <c r="E873">
        <v>50</v>
      </c>
      <c r="G873" s="92"/>
      <c r="I873">
        <v>8</v>
      </c>
      <c r="J873" t="s">
        <v>26</v>
      </c>
      <c r="K873" s="52"/>
      <c r="L873" s="31"/>
      <c r="M873" s="31"/>
      <c r="N873" s="31"/>
      <c r="O873" s="31"/>
      <c r="P873" s="4"/>
      <c r="S873" s="57"/>
      <c r="X873" s="4"/>
    </row>
    <row r="874" spans="1:24" hidden="1" x14ac:dyDescent="0.35">
      <c r="A874">
        <v>870</v>
      </c>
      <c r="B874">
        <v>871</v>
      </c>
      <c r="C874">
        <v>146.10430240900001</v>
      </c>
      <c r="D874">
        <v>-17.6505927762</v>
      </c>
      <c r="G874" s="92"/>
      <c r="I874">
        <v>8</v>
      </c>
      <c r="J874" t="s">
        <v>26</v>
      </c>
      <c r="K874" s="52"/>
      <c r="L874" s="31"/>
      <c r="M874" s="31"/>
      <c r="N874" s="31"/>
      <c r="O874" s="31"/>
      <c r="P874" s="4"/>
      <c r="S874" s="57"/>
      <c r="X874" s="4"/>
    </row>
    <row r="875" spans="1:24" hidden="1" x14ac:dyDescent="0.35">
      <c r="A875">
        <v>871</v>
      </c>
      <c r="B875">
        <v>872</v>
      </c>
      <c r="C875">
        <v>146.104266784</v>
      </c>
      <c r="D875">
        <v>-17.6506713594</v>
      </c>
      <c r="G875" s="92"/>
      <c r="I875">
        <v>8</v>
      </c>
      <c r="J875" t="s">
        <v>26</v>
      </c>
      <c r="K875" s="52"/>
      <c r="L875" s="31"/>
      <c r="M875" s="31"/>
      <c r="N875" s="31"/>
      <c r="O875" s="31"/>
      <c r="P875" s="4"/>
      <c r="S875" s="57"/>
      <c r="X875" s="4"/>
    </row>
    <row r="876" spans="1:24" hidden="1" x14ac:dyDescent="0.35">
      <c r="A876">
        <v>872</v>
      </c>
      <c r="B876">
        <v>873</v>
      </c>
      <c r="C876">
        <v>146.104231158</v>
      </c>
      <c r="D876">
        <v>-17.6507499424999</v>
      </c>
      <c r="G876" s="92"/>
      <c r="I876">
        <v>8</v>
      </c>
      <c r="J876" t="s">
        <v>26</v>
      </c>
      <c r="K876" s="52"/>
      <c r="L876" s="31"/>
      <c r="M876" s="31"/>
      <c r="N876" s="31"/>
      <c r="O876" s="31"/>
      <c r="P876" s="4"/>
      <c r="S876" s="57"/>
      <c r="X876" s="4"/>
    </row>
    <row r="877" spans="1:24" hidden="1" x14ac:dyDescent="0.35">
      <c r="A877">
        <v>873</v>
      </c>
      <c r="B877">
        <v>874</v>
      </c>
      <c r="C877">
        <v>146.104195532999</v>
      </c>
      <c r="D877">
        <v>-17.650828525600001</v>
      </c>
      <c r="G877" s="92"/>
      <c r="I877">
        <v>8</v>
      </c>
      <c r="J877" t="s">
        <v>26</v>
      </c>
      <c r="K877" s="52"/>
      <c r="L877" s="31"/>
      <c r="M877" s="31"/>
      <c r="N877" s="31"/>
      <c r="O877" s="31"/>
      <c r="P877" s="4"/>
      <c r="S877" s="57"/>
      <c r="X877" s="4"/>
    </row>
    <row r="878" spans="1:24" hidden="1" x14ac:dyDescent="0.35">
      <c r="A878">
        <v>874</v>
      </c>
      <c r="B878">
        <v>875</v>
      </c>
      <c r="C878">
        <v>146.10415990800001</v>
      </c>
      <c r="D878">
        <v>-17.6509071087</v>
      </c>
      <c r="E878">
        <v>50</v>
      </c>
      <c r="G878" s="92"/>
      <c r="I878">
        <v>8</v>
      </c>
      <c r="J878" t="s">
        <v>26</v>
      </c>
      <c r="K878" s="52"/>
      <c r="L878" s="31"/>
      <c r="M878" s="31"/>
      <c r="N878" s="31"/>
      <c r="O878" s="31"/>
      <c r="P878" s="4"/>
      <c r="S878" s="57"/>
      <c r="X878" s="4"/>
    </row>
    <row r="879" spans="1:24" hidden="1" x14ac:dyDescent="0.35">
      <c r="A879">
        <v>875</v>
      </c>
      <c r="B879">
        <v>876</v>
      </c>
      <c r="C879">
        <v>146.10412428199899</v>
      </c>
      <c r="D879">
        <v>-17.6509856917999</v>
      </c>
      <c r="G879" s="92"/>
      <c r="I879">
        <v>8</v>
      </c>
      <c r="J879" t="s">
        <v>26</v>
      </c>
      <c r="K879" s="52"/>
      <c r="L879" s="31"/>
      <c r="M879" s="31"/>
      <c r="N879" s="31"/>
      <c r="O879" s="31"/>
      <c r="P879" s="4"/>
      <c r="S879" s="57"/>
      <c r="X879" s="4"/>
    </row>
    <row r="880" spans="1:24" hidden="1" x14ac:dyDescent="0.35">
      <c r="A880">
        <v>876</v>
      </c>
      <c r="B880">
        <v>877</v>
      </c>
      <c r="C880">
        <v>146.10408865700001</v>
      </c>
      <c r="D880">
        <v>-17.6510642748</v>
      </c>
      <c r="G880" s="92"/>
      <c r="I880">
        <v>8</v>
      </c>
      <c r="J880" t="s">
        <v>26</v>
      </c>
      <c r="K880" s="52"/>
      <c r="L880" s="31"/>
      <c r="M880" s="31"/>
      <c r="N880" s="31"/>
      <c r="O880" s="31"/>
      <c r="P880" s="4"/>
      <c r="S880" s="57"/>
      <c r="X880" s="4"/>
    </row>
    <row r="881" spans="1:24" hidden="1" x14ac:dyDescent="0.35">
      <c r="A881">
        <v>877</v>
      </c>
      <c r="B881">
        <v>878</v>
      </c>
      <c r="C881">
        <v>146.104053031999</v>
      </c>
      <c r="D881">
        <v>-17.6511428578</v>
      </c>
      <c r="G881" s="92"/>
      <c r="I881">
        <v>8</v>
      </c>
      <c r="J881" t="s">
        <v>26</v>
      </c>
      <c r="K881" s="52"/>
      <c r="L881" s="31"/>
      <c r="M881" s="31"/>
      <c r="N881" s="31"/>
      <c r="O881" s="31"/>
      <c r="P881" s="4"/>
      <c r="S881" s="57"/>
      <c r="X881" s="4"/>
    </row>
    <row r="882" spans="1:24" hidden="1" x14ac:dyDescent="0.35">
      <c r="A882">
        <v>878</v>
      </c>
      <c r="B882">
        <v>879</v>
      </c>
      <c r="C882">
        <v>146.10403373400001</v>
      </c>
      <c r="D882">
        <v>-17.651226444799899</v>
      </c>
      <c r="G882" s="92"/>
      <c r="I882">
        <v>8</v>
      </c>
      <c r="J882" t="s">
        <v>26</v>
      </c>
      <c r="K882" s="52"/>
      <c r="L882" s="31"/>
      <c r="M882" s="31"/>
      <c r="N882" s="31"/>
      <c r="O882" s="31"/>
      <c r="P882" s="4"/>
      <c r="S882" s="57"/>
      <c r="X882" s="4"/>
    </row>
    <row r="883" spans="1:24" hidden="1" x14ac:dyDescent="0.35">
      <c r="A883">
        <v>879</v>
      </c>
      <c r="B883">
        <v>880</v>
      </c>
      <c r="C883">
        <v>146.104014608</v>
      </c>
      <c r="D883">
        <v>-17.651310084199899</v>
      </c>
      <c r="E883">
        <v>50</v>
      </c>
      <c r="G883" s="92"/>
      <c r="I883">
        <v>8</v>
      </c>
      <c r="J883" t="s">
        <v>26</v>
      </c>
      <c r="K883" s="52"/>
      <c r="L883" s="31"/>
      <c r="M883" s="31"/>
      <c r="N883" s="31"/>
      <c r="O883" s="31"/>
      <c r="P883" s="4"/>
      <c r="S883" s="57"/>
      <c r="X883" s="4"/>
    </row>
    <row r="884" spans="1:24" hidden="1" x14ac:dyDescent="0.35">
      <c r="A884">
        <v>880</v>
      </c>
      <c r="B884">
        <v>881</v>
      </c>
      <c r="C884">
        <v>146.10397475299899</v>
      </c>
      <c r="D884">
        <v>-17.6513849422</v>
      </c>
      <c r="G884" s="92"/>
      <c r="I884">
        <v>8</v>
      </c>
      <c r="J884" t="s">
        <v>26</v>
      </c>
      <c r="K884" s="52"/>
      <c r="L884" s="31"/>
      <c r="M884" s="31"/>
      <c r="N884" s="31"/>
      <c r="O884" s="31"/>
      <c r="P884" s="4"/>
      <c r="S884" s="57"/>
      <c r="X884" s="4"/>
    </row>
    <row r="885" spans="1:24" hidden="1" x14ac:dyDescent="0.35">
      <c r="A885">
        <v>881</v>
      </c>
      <c r="B885">
        <v>882</v>
      </c>
      <c r="C885">
        <v>146.103922404</v>
      </c>
      <c r="D885">
        <v>-17.6514545076</v>
      </c>
      <c r="G885" s="92"/>
      <c r="I885">
        <v>8</v>
      </c>
      <c r="J885" t="s">
        <v>26</v>
      </c>
      <c r="K885" s="52"/>
      <c r="L885" s="31"/>
      <c r="M885" s="31"/>
      <c r="N885" s="31"/>
      <c r="O885" s="31"/>
      <c r="P885" s="4"/>
      <c r="S885" s="57"/>
      <c r="X885" s="4"/>
    </row>
    <row r="886" spans="1:24" hidden="1" x14ac:dyDescent="0.35">
      <c r="A886">
        <v>882</v>
      </c>
      <c r="B886">
        <v>883</v>
      </c>
      <c r="C886">
        <v>146.10386684100001</v>
      </c>
      <c r="D886">
        <v>-17.651521655100002</v>
      </c>
      <c r="G886" s="92"/>
      <c r="I886">
        <v>8</v>
      </c>
      <c r="J886" t="s">
        <v>26</v>
      </c>
      <c r="K886" s="52"/>
      <c r="L886" s="31"/>
      <c r="M886" s="31"/>
      <c r="N886" s="31"/>
      <c r="O886" s="31"/>
      <c r="P886" s="4"/>
      <c r="S886" s="57"/>
      <c r="X886" s="4"/>
    </row>
    <row r="887" spans="1:24" hidden="1" x14ac:dyDescent="0.35">
      <c r="A887">
        <v>883</v>
      </c>
      <c r="B887">
        <v>884</v>
      </c>
      <c r="C887">
        <v>146.10380800799899</v>
      </c>
      <c r="D887">
        <v>-17.6515863439</v>
      </c>
      <c r="G887" s="92"/>
      <c r="I887">
        <v>8</v>
      </c>
      <c r="J887" t="s">
        <v>26</v>
      </c>
      <c r="K887" s="52"/>
      <c r="L887" s="31"/>
      <c r="M887" s="31"/>
      <c r="N887" s="31"/>
      <c r="O887" s="31"/>
      <c r="P887" s="4"/>
      <c r="S887" s="57"/>
      <c r="X887" s="4"/>
    </row>
    <row r="888" spans="1:24" hidden="1" x14ac:dyDescent="0.35">
      <c r="A888">
        <v>884</v>
      </c>
      <c r="B888">
        <v>885</v>
      </c>
      <c r="C888">
        <v>146.103749174999</v>
      </c>
      <c r="D888">
        <v>-17.651651032899899</v>
      </c>
      <c r="E888">
        <v>50</v>
      </c>
      <c r="G888" s="92"/>
      <c r="I888">
        <v>8</v>
      </c>
      <c r="J888" t="s">
        <v>26</v>
      </c>
      <c r="K888" s="52"/>
      <c r="L888" s="31"/>
      <c r="M888" s="31"/>
      <c r="N888" s="31"/>
      <c r="O888" s="31"/>
      <c r="P888" s="4"/>
      <c r="S888" s="57"/>
      <c r="X888" s="4"/>
    </row>
    <row r="889" spans="1:24" hidden="1" x14ac:dyDescent="0.35">
      <c r="A889">
        <v>885</v>
      </c>
      <c r="B889">
        <v>886</v>
      </c>
      <c r="C889">
        <v>146.103690341999</v>
      </c>
      <c r="D889">
        <v>-17.651715722199899</v>
      </c>
      <c r="G889" s="92"/>
      <c r="I889">
        <v>8</v>
      </c>
      <c r="J889" t="s">
        <v>26</v>
      </c>
      <c r="K889" s="52"/>
      <c r="L889" s="31"/>
      <c r="M889" s="31"/>
      <c r="N889" s="31"/>
      <c r="O889" s="31"/>
      <c r="P889" s="4"/>
      <c r="S889" s="57"/>
      <c r="X889" s="4"/>
    </row>
    <row r="890" spans="1:24" hidden="1" x14ac:dyDescent="0.35">
      <c r="A890">
        <v>886</v>
      </c>
      <c r="B890">
        <v>887</v>
      </c>
      <c r="C890">
        <v>146.10363151000001</v>
      </c>
      <c r="D890">
        <v>-17.6517804114999</v>
      </c>
      <c r="G890" s="92"/>
      <c r="I890">
        <v>8</v>
      </c>
      <c r="J890" t="s">
        <v>26</v>
      </c>
      <c r="K890" s="52"/>
      <c r="L890" s="31"/>
      <c r="M890" s="31"/>
      <c r="N890" s="31"/>
      <c r="O890" s="31"/>
      <c r="P890" s="4"/>
      <c r="S890" s="57"/>
      <c r="X890" s="4"/>
    </row>
    <row r="891" spans="1:24" hidden="1" x14ac:dyDescent="0.35">
      <c r="A891">
        <v>887</v>
      </c>
      <c r="B891">
        <v>888</v>
      </c>
      <c r="C891">
        <v>146.10356760400001</v>
      </c>
      <c r="D891">
        <v>-17.6518404137</v>
      </c>
      <c r="G891" s="92"/>
      <c r="I891">
        <v>8</v>
      </c>
      <c r="J891" t="s">
        <v>26</v>
      </c>
      <c r="K891" s="52"/>
      <c r="L891" s="31"/>
      <c r="M891" s="31"/>
      <c r="N891" s="31"/>
      <c r="O891" s="31"/>
      <c r="P891" s="4"/>
      <c r="S891" s="57"/>
      <c r="X891" s="4"/>
    </row>
    <row r="892" spans="1:24" hidden="1" x14ac:dyDescent="0.35">
      <c r="A892">
        <v>888</v>
      </c>
      <c r="B892">
        <v>889</v>
      </c>
      <c r="C892">
        <v>146.103501566999</v>
      </c>
      <c r="D892">
        <v>-17.651898446299899</v>
      </c>
      <c r="G892" s="92"/>
      <c r="I892">
        <v>8</v>
      </c>
      <c r="J892" t="s">
        <v>26</v>
      </c>
      <c r="K892" s="52"/>
      <c r="L892" s="31"/>
      <c r="M892" s="31"/>
      <c r="N892" s="31"/>
      <c r="O892" s="31"/>
      <c r="P892" s="4"/>
      <c r="S892" s="57"/>
      <c r="X892" s="4"/>
    </row>
    <row r="893" spans="1:24" hidden="1" x14ac:dyDescent="0.35">
      <c r="A893">
        <v>889</v>
      </c>
      <c r="B893">
        <v>890</v>
      </c>
      <c r="C893">
        <v>146.10343553000001</v>
      </c>
      <c r="D893">
        <v>-17.6519564789999</v>
      </c>
      <c r="E893">
        <v>50</v>
      </c>
      <c r="G893" s="92"/>
      <c r="I893">
        <v>8</v>
      </c>
      <c r="J893" t="s">
        <v>26</v>
      </c>
      <c r="K893" s="52"/>
      <c r="L893" s="31"/>
      <c r="M893" s="31"/>
      <c r="N893" s="31"/>
      <c r="O893" s="31"/>
      <c r="P893" s="4"/>
      <c r="S893" s="57"/>
      <c r="X893" s="4"/>
    </row>
    <row r="894" spans="1:24" hidden="1" x14ac:dyDescent="0.35">
      <c r="A894">
        <v>890</v>
      </c>
      <c r="B894">
        <v>891</v>
      </c>
      <c r="C894">
        <v>146.103369493</v>
      </c>
      <c r="D894">
        <v>-17.652014511600001</v>
      </c>
      <c r="G894" s="92"/>
      <c r="I894">
        <v>8</v>
      </c>
      <c r="J894" t="s">
        <v>26</v>
      </c>
      <c r="K894" s="52"/>
      <c r="L894" s="31"/>
      <c r="M894" s="31"/>
      <c r="N894" s="31"/>
      <c r="O894" s="31"/>
      <c r="P894" s="4"/>
      <c r="S894" s="57"/>
      <c r="X894" s="4"/>
    </row>
    <row r="895" spans="1:24" hidden="1" x14ac:dyDescent="0.35">
      <c r="A895">
        <v>891</v>
      </c>
      <c r="B895">
        <v>892</v>
      </c>
      <c r="C895">
        <v>146.103303455999</v>
      </c>
      <c r="D895">
        <v>-17.6520725441999</v>
      </c>
      <c r="G895" s="92"/>
      <c r="I895">
        <v>8</v>
      </c>
      <c r="J895" t="s">
        <v>26</v>
      </c>
      <c r="K895" s="52"/>
      <c r="L895" s="31"/>
      <c r="M895" s="31"/>
      <c r="N895" s="31"/>
      <c r="O895" s="31"/>
      <c r="P895" s="4"/>
      <c r="S895" s="57"/>
      <c r="X895" s="4"/>
    </row>
    <row r="896" spans="1:24" hidden="1" x14ac:dyDescent="0.35">
      <c r="A896">
        <v>892</v>
      </c>
      <c r="B896">
        <v>893</v>
      </c>
      <c r="C896">
        <v>146.10323741900001</v>
      </c>
      <c r="D896">
        <v>-17.652130576800001</v>
      </c>
      <c r="G896" s="92"/>
      <c r="I896">
        <v>8</v>
      </c>
      <c r="J896" t="s">
        <v>26</v>
      </c>
      <c r="K896" s="52"/>
      <c r="L896" s="31"/>
      <c r="M896" s="31"/>
      <c r="N896" s="31"/>
      <c r="O896" s="31"/>
      <c r="P896" s="4"/>
      <c r="S896" s="57"/>
      <c r="X896" s="4"/>
    </row>
    <row r="897" spans="1:24" hidden="1" x14ac:dyDescent="0.35">
      <c r="A897">
        <v>893</v>
      </c>
      <c r="B897">
        <v>894</v>
      </c>
      <c r="C897">
        <v>146.103171381999</v>
      </c>
      <c r="D897">
        <v>-17.652188609300001</v>
      </c>
      <c r="G897" s="92"/>
      <c r="I897">
        <v>8</v>
      </c>
      <c r="J897" t="s">
        <v>26</v>
      </c>
      <c r="K897" s="52"/>
      <c r="L897" s="31"/>
      <c r="M897" s="31"/>
      <c r="N897" s="31"/>
      <c r="O897" s="31"/>
      <c r="P897" s="4"/>
      <c r="S897" s="57"/>
      <c r="X897" s="4"/>
    </row>
    <row r="898" spans="1:24" hidden="1" x14ac:dyDescent="0.35">
      <c r="A898">
        <v>894</v>
      </c>
      <c r="B898">
        <v>895</v>
      </c>
      <c r="C898">
        <v>146.10310366600001</v>
      </c>
      <c r="D898">
        <v>-17.652244593100001</v>
      </c>
      <c r="E898">
        <v>50</v>
      </c>
      <c r="G898" s="92"/>
      <c r="I898">
        <v>8</v>
      </c>
      <c r="J898" t="s">
        <v>26</v>
      </c>
      <c r="K898" s="52"/>
      <c r="L898" s="31"/>
      <c r="M898" s="31"/>
      <c r="N898" s="31"/>
      <c r="O898" s="31"/>
      <c r="P898" s="4"/>
      <c r="S898" s="57"/>
      <c r="X898" s="4"/>
    </row>
    <row r="899" spans="1:24" hidden="1" x14ac:dyDescent="0.35">
      <c r="A899">
        <v>895</v>
      </c>
      <c r="B899">
        <v>896</v>
      </c>
      <c r="C899">
        <v>146.10302858099899</v>
      </c>
      <c r="D899">
        <v>-17.652291585299899</v>
      </c>
      <c r="G899" s="92"/>
      <c r="I899">
        <v>8</v>
      </c>
      <c r="J899" t="s">
        <v>26</v>
      </c>
      <c r="K899" s="52"/>
      <c r="L899" s="31"/>
      <c r="M899" s="31"/>
      <c r="N899" s="31"/>
      <c r="O899" s="31"/>
      <c r="P899" s="4"/>
      <c r="S899" s="57"/>
      <c r="X899" s="4"/>
    </row>
    <row r="900" spans="1:24" hidden="1" x14ac:dyDescent="0.35">
      <c r="A900">
        <v>896</v>
      </c>
      <c r="B900">
        <v>897</v>
      </c>
      <c r="C900">
        <v>146.10295349500001</v>
      </c>
      <c r="D900">
        <v>-17.6523385775</v>
      </c>
      <c r="G900" s="92"/>
      <c r="I900">
        <v>8</v>
      </c>
      <c r="J900" t="s">
        <v>26</v>
      </c>
      <c r="K900" s="52"/>
      <c r="L900" s="31"/>
      <c r="M900" s="31"/>
      <c r="N900" s="31"/>
      <c r="O900" s="31"/>
      <c r="P900" s="4"/>
      <c r="S900" s="57"/>
      <c r="X900" s="4"/>
    </row>
    <row r="901" spans="1:24" hidden="1" x14ac:dyDescent="0.35">
      <c r="A901">
        <v>897</v>
      </c>
      <c r="B901">
        <v>898</v>
      </c>
      <c r="C901">
        <v>146.10287840999899</v>
      </c>
      <c r="D901">
        <v>-17.652385569700002</v>
      </c>
      <c r="G901" s="92"/>
      <c r="I901">
        <v>8</v>
      </c>
      <c r="J901" t="s">
        <v>26</v>
      </c>
      <c r="K901" s="52"/>
      <c r="L901" s="31"/>
      <c r="M901" s="31"/>
      <c r="N901" s="31"/>
      <c r="O901" s="31"/>
      <c r="P901" s="4"/>
      <c r="S901" s="57"/>
      <c r="X901" s="4"/>
    </row>
    <row r="902" spans="1:24" hidden="1" x14ac:dyDescent="0.35">
      <c r="A902">
        <v>898</v>
      </c>
      <c r="B902">
        <v>899</v>
      </c>
      <c r="C902">
        <v>146.102803324999</v>
      </c>
      <c r="D902">
        <v>-17.6524325619</v>
      </c>
      <c r="G902" s="92"/>
      <c r="I902">
        <v>8</v>
      </c>
      <c r="J902" t="s">
        <v>26</v>
      </c>
      <c r="K902" s="52"/>
      <c r="L902" s="31"/>
      <c r="M902" s="31"/>
      <c r="N902" s="31"/>
      <c r="O902" s="31"/>
      <c r="P902" s="4"/>
      <c r="S902" s="57"/>
      <c r="X902" s="4"/>
    </row>
    <row r="903" spans="1:24" hidden="1" x14ac:dyDescent="0.35">
      <c r="A903">
        <v>899</v>
      </c>
      <c r="B903">
        <v>900</v>
      </c>
      <c r="C903">
        <v>146.102724639999</v>
      </c>
      <c r="D903">
        <v>-17.6524733691999</v>
      </c>
      <c r="E903">
        <v>50</v>
      </c>
      <c r="G903" s="92"/>
      <c r="I903">
        <v>8</v>
      </c>
      <c r="J903" t="s">
        <v>26</v>
      </c>
      <c r="K903" s="52"/>
      <c r="L903" s="31"/>
      <c r="M903" s="31"/>
      <c r="N903" s="31"/>
      <c r="O903" s="31"/>
      <c r="P903" s="4"/>
      <c r="S903" s="57"/>
      <c r="X903" s="4"/>
    </row>
    <row r="904" spans="1:24" hidden="1" x14ac:dyDescent="0.35">
      <c r="A904">
        <v>900</v>
      </c>
      <c r="B904">
        <v>901</v>
      </c>
      <c r="C904">
        <v>146.102643043</v>
      </c>
      <c r="D904">
        <v>-17.652509171799899</v>
      </c>
      <c r="G904" s="92"/>
      <c r="I904">
        <v>8</v>
      </c>
      <c r="J904" t="s">
        <v>26</v>
      </c>
      <c r="K904" s="52"/>
      <c r="L904" s="31"/>
      <c r="M904" s="31"/>
      <c r="N904" s="31"/>
      <c r="O904" s="31"/>
      <c r="P904" s="4"/>
      <c r="S904" s="57"/>
      <c r="X904" s="4"/>
    </row>
    <row r="905" spans="1:24" hidden="1" x14ac:dyDescent="0.35">
      <c r="A905">
        <v>901</v>
      </c>
      <c r="B905">
        <v>902</v>
      </c>
      <c r="C905">
        <v>146.10256144600001</v>
      </c>
      <c r="D905">
        <v>-17.6525449749</v>
      </c>
      <c r="G905" s="92"/>
      <c r="I905">
        <v>8</v>
      </c>
      <c r="J905" t="s">
        <v>26</v>
      </c>
      <c r="K905" s="52"/>
      <c r="L905" s="31"/>
      <c r="M905" s="31"/>
      <c r="N905" s="31"/>
      <c r="O905" s="31"/>
      <c r="P905" s="4"/>
      <c r="S905" s="57"/>
      <c r="X905" s="4"/>
    </row>
    <row r="906" spans="1:24" hidden="1" x14ac:dyDescent="0.35">
      <c r="A906">
        <v>902</v>
      </c>
      <c r="B906">
        <v>903</v>
      </c>
      <c r="C906">
        <v>146.10247985000001</v>
      </c>
      <c r="D906">
        <v>-17.652580778600001</v>
      </c>
      <c r="G906" s="92"/>
      <c r="I906">
        <v>8</v>
      </c>
      <c r="J906" t="s">
        <v>26</v>
      </c>
      <c r="K906" s="52"/>
      <c r="L906" s="31"/>
      <c r="M906" s="31"/>
      <c r="N906" s="31"/>
      <c r="O906" s="31"/>
      <c r="P906" s="4"/>
      <c r="S906" s="57"/>
      <c r="X906" s="4"/>
    </row>
    <row r="907" spans="1:24" hidden="1" x14ac:dyDescent="0.35">
      <c r="A907">
        <v>903</v>
      </c>
      <c r="B907">
        <v>904</v>
      </c>
      <c r="C907">
        <v>146.10239222600001</v>
      </c>
      <c r="D907">
        <v>-17.652597458300001</v>
      </c>
      <c r="G907" s="92"/>
      <c r="I907">
        <v>8</v>
      </c>
      <c r="J907" t="s">
        <v>26</v>
      </c>
      <c r="K907" s="52"/>
      <c r="L907" s="31"/>
      <c r="M907" s="31"/>
      <c r="N907" s="31"/>
      <c r="O907" s="31"/>
      <c r="P907" s="4"/>
      <c r="S907" s="57"/>
      <c r="X907" s="4"/>
    </row>
    <row r="908" spans="1:24" hidden="1" x14ac:dyDescent="0.35">
      <c r="A908">
        <v>904</v>
      </c>
      <c r="B908">
        <v>905</v>
      </c>
      <c r="C908">
        <v>146.10230343000001</v>
      </c>
      <c r="D908">
        <v>-17.6526104221</v>
      </c>
      <c r="E908">
        <v>50</v>
      </c>
      <c r="G908" s="92"/>
      <c r="I908">
        <v>8</v>
      </c>
      <c r="J908" t="s">
        <v>26</v>
      </c>
      <c r="K908" s="52"/>
      <c r="L908" s="31"/>
      <c r="M908" s="31"/>
      <c r="N908" s="31"/>
      <c r="O908" s="31"/>
      <c r="P908" s="4"/>
      <c r="S908" s="57"/>
      <c r="X908" s="4"/>
    </row>
    <row r="909" spans="1:24" hidden="1" x14ac:dyDescent="0.35">
      <c r="A909">
        <v>905</v>
      </c>
      <c r="B909">
        <v>906</v>
      </c>
      <c r="C909">
        <v>146.102214634999</v>
      </c>
      <c r="D909">
        <v>-17.652623385799899</v>
      </c>
      <c r="G909" s="92"/>
      <c r="I909">
        <v>8</v>
      </c>
      <c r="J909" t="s">
        <v>26</v>
      </c>
      <c r="K909" s="52"/>
      <c r="L909" s="31"/>
      <c r="M909" s="31"/>
      <c r="N909" s="31"/>
      <c r="O909" s="31"/>
      <c r="P909" s="4"/>
      <c r="S909" s="57"/>
      <c r="X909" s="4"/>
    </row>
    <row r="910" spans="1:24" hidden="1" x14ac:dyDescent="0.35">
      <c r="A910">
        <v>906</v>
      </c>
      <c r="B910">
        <v>907</v>
      </c>
      <c r="C910">
        <v>146.102125838999</v>
      </c>
      <c r="D910">
        <v>-17.652636349600002</v>
      </c>
      <c r="G910" s="92"/>
      <c r="I910">
        <v>8</v>
      </c>
      <c r="J910" t="s">
        <v>26</v>
      </c>
      <c r="K910" s="52"/>
      <c r="L910" s="31"/>
      <c r="M910" s="31"/>
      <c r="N910" s="31"/>
      <c r="O910" s="31"/>
      <c r="P910" s="4"/>
      <c r="S910" s="57"/>
      <c r="X910" s="4"/>
    </row>
    <row r="911" spans="1:24" hidden="1" x14ac:dyDescent="0.35">
      <c r="A911">
        <v>907</v>
      </c>
      <c r="B911">
        <v>908</v>
      </c>
      <c r="C911">
        <v>146.10203704400001</v>
      </c>
      <c r="D911">
        <v>-17.6526493133</v>
      </c>
      <c r="G911" s="92"/>
      <c r="I911">
        <v>8</v>
      </c>
      <c r="J911" t="s">
        <v>26</v>
      </c>
      <c r="K911" s="52"/>
      <c r="L911" s="31"/>
      <c r="M911" s="31"/>
      <c r="N911" s="31"/>
      <c r="O911" s="31"/>
      <c r="P911" s="4"/>
      <c r="S911" s="57"/>
      <c r="X911" s="4"/>
    </row>
    <row r="912" spans="1:24" hidden="1" x14ac:dyDescent="0.35">
      <c r="A912">
        <v>908</v>
      </c>
      <c r="B912">
        <v>909</v>
      </c>
      <c r="C912">
        <v>146.10194823200001</v>
      </c>
      <c r="D912">
        <v>-17.652662078399899</v>
      </c>
      <c r="G912" s="92"/>
      <c r="I912">
        <v>8</v>
      </c>
      <c r="J912" t="s">
        <v>26</v>
      </c>
      <c r="K912" s="52"/>
      <c r="L912" s="31"/>
      <c r="M912" s="31"/>
      <c r="N912" s="31"/>
      <c r="O912" s="31"/>
      <c r="P912" s="4"/>
      <c r="S912" s="57"/>
      <c r="X912" s="4"/>
    </row>
    <row r="913" spans="1:24" hidden="1" x14ac:dyDescent="0.35">
      <c r="A913">
        <v>909</v>
      </c>
      <c r="B913">
        <v>910</v>
      </c>
      <c r="C913">
        <v>146.101858405999</v>
      </c>
      <c r="D913">
        <v>-17.6526630577</v>
      </c>
      <c r="E913">
        <v>50</v>
      </c>
      <c r="G913" s="92"/>
      <c r="I913">
        <v>8</v>
      </c>
      <c r="J913" t="s">
        <v>26</v>
      </c>
      <c r="K913" s="52"/>
      <c r="L913" s="31"/>
      <c r="M913" s="31"/>
      <c r="N913" s="31"/>
      <c r="O913" s="31"/>
      <c r="P913" s="4"/>
      <c r="S913" s="57"/>
      <c r="X913" s="4"/>
    </row>
    <row r="914" spans="1:24" hidden="1" x14ac:dyDescent="0.35">
      <c r="A914">
        <v>910</v>
      </c>
      <c r="B914">
        <v>911</v>
      </c>
      <c r="C914">
        <v>146.101768579999</v>
      </c>
      <c r="D914">
        <v>-17.6526640370999</v>
      </c>
      <c r="G914" s="92"/>
      <c r="I914">
        <v>8</v>
      </c>
      <c r="J914" t="s">
        <v>26</v>
      </c>
      <c r="K914" s="52"/>
      <c r="L914" s="31"/>
      <c r="M914" s="31"/>
      <c r="N914" s="31"/>
      <c r="O914" s="31"/>
      <c r="P914" s="4"/>
      <c r="S914" s="57"/>
      <c r="X914" s="4"/>
    </row>
    <row r="915" spans="1:24" hidden="1" x14ac:dyDescent="0.35">
      <c r="A915">
        <v>911</v>
      </c>
      <c r="B915">
        <v>912</v>
      </c>
      <c r="C915">
        <v>146.101678754999</v>
      </c>
      <c r="D915">
        <v>-17.6526650164</v>
      </c>
      <c r="G915" s="92"/>
      <c r="I915">
        <v>8</v>
      </c>
      <c r="J915" t="s">
        <v>26</v>
      </c>
      <c r="K915" s="52"/>
      <c r="L915" s="31"/>
      <c r="M915" s="31"/>
      <c r="N915" s="31"/>
      <c r="O915" s="31"/>
      <c r="P915" s="4"/>
      <c r="S915" s="57"/>
      <c r="X915" s="4"/>
    </row>
    <row r="916" spans="1:24" hidden="1" x14ac:dyDescent="0.35">
      <c r="A916">
        <v>912</v>
      </c>
      <c r="B916">
        <v>913</v>
      </c>
      <c r="C916">
        <v>146.101588929</v>
      </c>
      <c r="D916">
        <v>-17.652665995700001</v>
      </c>
      <c r="G916" s="92"/>
      <c r="I916">
        <v>8</v>
      </c>
      <c r="J916" t="s">
        <v>26</v>
      </c>
      <c r="K916" s="52"/>
      <c r="L916" s="31"/>
      <c r="M916" s="31"/>
      <c r="N916" s="31"/>
      <c r="O916" s="31"/>
      <c r="P916" s="4"/>
      <c r="S916" s="57"/>
      <c r="X916" s="4"/>
    </row>
    <row r="917" spans="1:24" hidden="1" x14ac:dyDescent="0.35">
      <c r="A917">
        <v>913</v>
      </c>
      <c r="B917">
        <v>914</v>
      </c>
      <c r="C917">
        <v>146.10149910300001</v>
      </c>
      <c r="D917">
        <v>-17.652666974999899</v>
      </c>
      <c r="G917" s="92"/>
      <c r="I917">
        <v>8</v>
      </c>
      <c r="J917" t="s">
        <v>26</v>
      </c>
      <c r="K917" s="52"/>
      <c r="L917" s="31"/>
      <c r="M917" s="31"/>
      <c r="N917" s="31"/>
      <c r="O917" s="31"/>
      <c r="P917" s="4"/>
      <c r="S917" s="57"/>
      <c r="X917" s="4"/>
    </row>
    <row r="918" spans="1:24" hidden="1" x14ac:dyDescent="0.35">
      <c r="A918">
        <v>914</v>
      </c>
      <c r="B918">
        <v>915</v>
      </c>
      <c r="C918">
        <v>146.101409485999</v>
      </c>
      <c r="D918">
        <v>-17.6526613813</v>
      </c>
      <c r="E918">
        <v>50</v>
      </c>
      <c r="G918" s="92"/>
      <c r="I918">
        <v>8</v>
      </c>
      <c r="J918" t="s">
        <v>26</v>
      </c>
      <c r="K918" s="52"/>
      <c r="L918" s="31"/>
      <c r="M918" s="31"/>
      <c r="N918" s="31"/>
      <c r="O918" s="31"/>
      <c r="P918" s="4"/>
      <c r="S918" s="57"/>
      <c r="X918" s="4"/>
    </row>
    <row r="919" spans="1:24" hidden="1" x14ac:dyDescent="0.35">
      <c r="A919">
        <v>915</v>
      </c>
      <c r="B919">
        <v>916</v>
      </c>
      <c r="C919">
        <v>146.10131988500001</v>
      </c>
      <c r="D919">
        <v>-17.652655243800002</v>
      </c>
      <c r="G919" s="92"/>
      <c r="I919">
        <v>8</v>
      </c>
      <c r="J919" t="s">
        <v>26</v>
      </c>
      <c r="K919" s="52"/>
      <c r="L919" s="31"/>
      <c r="M919" s="31"/>
      <c r="N919" s="31"/>
      <c r="O919" s="31"/>
      <c r="P919" s="4"/>
      <c r="S919" s="57"/>
      <c r="X919" s="4"/>
    </row>
    <row r="920" spans="1:24" hidden="1" x14ac:dyDescent="0.35">
      <c r="A920">
        <v>916</v>
      </c>
      <c r="B920">
        <v>917</v>
      </c>
      <c r="C920">
        <v>146.10123028500001</v>
      </c>
      <c r="D920">
        <v>-17.6526491063</v>
      </c>
      <c r="G920" s="92"/>
      <c r="I920">
        <v>8</v>
      </c>
      <c r="J920" t="s">
        <v>26</v>
      </c>
      <c r="K920" s="52"/>
      <c r="L920" s="31"/>
      <c r="M920" s="31"/>
      <c r="N920" s="31"/>
      <c r="O920" s="31"/>
      <c r="P920" s="4"/>
      <c r="S920" s="57"/>
      <c r="X920" s="4"/>
    </row>
    <row r="921" spans="1:24" hidden="1" x14ac:dyDescent="0.35">
      <c r="A921">
        <v>917</v>
      </c>
      <c r="B921">
        <v>918</v>
      </c>
      <c r="C921">
        <v>146.101140684999</v>
      </c>
      <c r="D921">
        <v>-17.652642968799899</v>
      </c>
      <c r="G921" s="92"/>
      <c r="I921">
        <v>8</v>
      </c>
      <c r="J921" t="s">
        <v>26</v>
      </c>
      <c r="K921" s="52"/>
      <c r="L921" s="31"/>
      <c r="M921" s="31"/>
      <c r="N921" s="31"/>
      <c r="O921" s="31"/>
      <c r="P921" s="4"/>
      <c r="S921" s="57"/>
      <c r="X921" s="4"/>
    </row>
    <row r="922" spans="1:24" hidden="1" x14ac:dyDescent="0.35">
      <c r="A922">
        <v>918</v>
      </c>
      <c r="B922">
        <v>919</v>
      </c>
      <c r="C922">
        <v>146.10105108400001</v>
      </c>
      <c r="D922">
        <v>-17.652636831399899</v>
      </c>
      <c r="G922" s="92"/>
      <c r="I922">
        <v>8</v>
      </c>
      <c r="J922" t="s">
        <v>26</v>
      </c>
      <c r="K922" s="52"/>
      <c r="L922" s="31"/>
      <c r="M922" s="31"/>
      <c r="N922" s="31"/>
      <c r="O922" s="31"/>
      <c r="P922" s="4"/>
      <c r="S922" s="57"/>
      <c r="X922" s="4"/>
    </row>
    <row r="923" spans="1:24" hidden="1" x14ac:dyDescent="0.35">
      <c r="A923">
        <v>919</v>
      </c>
      <c r="B923">
        <v>920</v>
      </c>
      <c r="C923">
        <v>146.10096148400001</v>
      </c>
      <c r="D923">
        <v>-17.652630693900001</v>
      </c>
      <c r="E923">
        <v>50</v>
      </c>
      <c r="G923" s="92"/>
      <c r="I923">
        <v>8</v>
      </c>
      <c r="J923" t="s">
        <v>26</v>
      </c>
      <c r="K923" s="52"/>
      <c r="L923" s="31"/>
      <c r="M923" s="31"/>
      <c r="N923" s="31"/>
      <c r="O923" s="31"/>
      <c r="P923" s="4"/>
      <c r="S923" s="57"/>
      <c r="X923" s="4"/>
    </row>
    <row r="924" spans="1:24" hidden="1" x14ac:dyDescent="0.35">
      <c r="A924">
        <v>920</v>
      </c>
      <c r="B924">
        <v>921</v>
      </c>
      <c r="C924">
        <v>146.100872764999</v>
      </c>
      <c r="D924">
        <v>-17.6526178455</v>
      </c>
      <c r="G924" s="92"/>
      <c r="I924">
        <v>8</v>
      </c>
      <c r="J924" t="s">
        <v>26</v>
      </c>
      <c r="K924" s="52"/>
      <c r="L924" s="31"/>
      <c r="M924" s="31"/>
      <c r="N924" s="31"/>
      <c r="O924" s="31"/>
      <c r="P924" s="4"/>
      <c r="S924" s="57"/>
      <c r="X924" s="4"/>
    </row>
    <row r="925" spans="1:24" hidden="1" x14ac:dyDescent="0.35">
      <c r="A925">
        <v>921</v>
      </c>
      <c r="B925">
        <v>922</v>
      </c>
      <c r="C925">
        <v>146.100784339999</v>
      </c>
      <c r="D925">
        <v>-17.652602756699899</v>
      </c>
      <c r="G925" s="92"/>
      <c r="I925">
        <v>8</v>
      </c>
      <c r="J925" t="s">
        <v>26</v>
      </c>
      <c r="K925" s="52"/>
      <c r="L925" s="31"/>
      <c r="M925" s="31"/>
      <c r="N925" s="31"/>
      <c r="O925" s="31"/>
      <c r="P925" s="4"/>
      <c r="S925" s="57"/>
      <c r="X925" s="4"/>
    </row>
    <row r="926" spans="1:24" hidden="1" x14ac:dyDescent="0.35">
      <c r="A926">
        <v>922</v>
      </c>
      <c r="B926">
        <v>923</v>
      </c>
      <c r="C926">
        <v>146.10069591499899</v>
      </c>
      <c r="D926">
        <v>-17.652587667900001</v>
      </c>
      <c r="G926" s="92"/>
      <c r="I926">
        <v>8</v>
      </c>
      <c r="J926" t="s">
        <v>26</v>
      </c>
      <c r="K926" s="52"/>
      <c r="L926" s="31"/>
      <c r="M926" s="31"/>
      <c r="N926" s="31"/>
      <c r="O926" s="31"/>
      <c r="P926" s="4"/>
      <c r="S926" s="57"/>
      <c r="X926" s="4"/>
    </row>
    <row r="927" spans="1:24" hidden="1" x14ac:dyDescent="0.35">
      <c r="A927">
        <v>923</v>
      </c>
      <c r="B927">
        <v>924</v>
      </c>
      <c r="C927">
        <v>146.10060748999899</v>
      </c>
      <c r="D927">
        <v>-17.6525725790999</v>
      </c>
      <c r="G927" s="92"/>
      <c r="I927">
        <v>8</v>
      </c>
      <c r="J927" t="s">
        <v>26</v>
      </c>
      <c r="K927" s="52"/>
      <c r="L927" s="31"/>
      <c r="M927" s="31"/>
      <c r="N927" s="31"/>
      <c r="O927" s="31"/>
      <c r="P927" s="4"/>
      <c r="S927" s="57"/>
      <c r="X927" s="4"/>
    </row>
    <row r="928" spans="1:24" hidden="1" x14ac:dyDescent="0.35">
      <c r="A928">
        <v>924</v>
      </c>
      <c r="B928">
        <v>925</v>
      </c>
      <c r="C928">
        <v>146.10051893100001</v>
      </c>
      <c r="D928">
        <v>-17.652558248999899</v>
      </c>
      <c r="E928">
        <v>50</v>
      </c>
      <c r="G928" s="92"/>
      <c r="I928">
        <v>8</v>
      </c>
      <c r="J928" t="s">
        <v>26</v>
      </c>
      <c r="K928" s="52"/>
      <c r="L928" s="31"/>
      <c r="M928" s="31"/>
      <c r="N928" s="31"/>
      <c r="O928" s="31"/>
      <c r="P928" s="4"/>
      <c r="S928" s="57"/>
      <c r="X928" s="4"/>
    </row>
    <row r="929" spans="1:24" hidden="1" x14ac:dyDescent="0.35">
      <c r="A929">
        <v>925</v>
      </c>
      <c r="B929">
        <v>926</v>
      </c>
      <c r="C929">
        <v>146.100430184</v>
      </c>
      <c r="D929">
        <v>-17.652544990900001</v>
      </c>
      <c r="G929" s="92"/>
      <c r="I929">
        <v>8</v>
      </c>
      <c r="J929" t="s">
        <v>26</v>
      </c>
      <c r="K929" s="52"/>
      <c r="L929" s="31"/>
      <c r="M929" s="31"/>
      <c r="N929" s="31"/>
      <c r="O929" s="31"/>
      <c r="P929" s="4"/>
      <c r="S929" s="57"/>
      <c r="X929" s="4"/>
    </row>
    <row r="930" spans="1:24" hidden="1" x14ac:dyDescent="0.35">
      <c r="A930">
        <v>926</v>
      </c>
      <c r="B930">
        <v>927</v>
      </c>
      <c r="C930">
        <v>146.10034143600001</v>
      </c>
      <c r="D930">
        <v>-17.6525317328</v>
      </c>
      <c r="G930" s="92"/>
      <c r="I930">
        <v>8</v>
      </c>
      <c r="J930" t="s">
        <v>26</v>
      </c>
      <c r="K930" s="52"/>
      <c r="L930" s="31"/>
      <c r="M930" s="31"/>
      <c r="N930" s="31"/>
      <c r="O930" s="31"/>
      <c r="P930" s="4"/>
      <c r="S930" s="57"/>
      <c r="X930" s="4"/>
    </row>
    <row r="931" spans="1:24" hidden="1" x14ac:dyDescent="0.35">
      <c r="A931">
        <v>927</v>
      </c>
      <c r="B931">
        <v>928</v>
      </c>
      <c r="C931">
        <v>146.100252689</v>
      </c>
      <c r="D931">
        <v>-17.652518474600001</v>
      </c>
      <c r="G931" s="92"/>
      <c r="I931">
        <v>8</v>
      </c>
      <c r="J931" t="s">
        <v>26</v>
      </c>
      <c r="K931" s="52"/>
      <c r="L931" s="31"/>
      <c r="M931" s="31"/>
      <c r="N931" s="31"/>
      <c r="O931" s="31"/>
      <c r="P931" s="4"/>
      <c r="S931" s="57"/>
      <c r="X931" s="4"/>
    </row>
    <row r="932" spans="1:24" hidden="1" x14ac:dyDescent="0.35">
      <c r="A932">
        <v>928</v>
      </c>
      <c r="B932">
        <v>929</v>
      </c>
      <c r="C932">
        <v>146.100163936999</v>
      </c>
      <c r="D932">
        <v>-17.652505489100001</v>
      </c>
      <c r="G932" s="92"/>
      <c r="I932">
        <v>8</v>
      </c>
      <c r="J932" t="s">
        <v>26</v>
      </c>
      <c r="K932" s="52"/>
      <c r="L932" s="31"/>
      <c r="M932" s="31"/>
      <c r="N932" s="31"/>
      <c r="O932" s="31"/>
      <c r="P932" s="4"/>
      <c r="S932" s="57"/>
      <c r="X932" s="4"/>
    </row>
    <row r="933" spans="1:24" hidden="1" x14ac:dyDescent="0.35">
      <c r="A933">
        <v>929</v>
      </c>
      <c r="B933">
        <v>930</v>
      </c>
      <c r="C933">
        <v>146.10007479800001</v>
      </c>
      <c r="D933">
        <v>-17.652516103100002</v>
      </c>
      <c r="E933">
        <v>50</v>
      </c>
      <c r="G933" s="92"/>
      <c r="I933">
        <v>8</v>
      </c>
      <c r="J933" t="s">
        <v>26</v>
      </c>
      <c r="K933" s="52"/>
      <c r="L933" s="31"/>
      <c r="M933" s="31"/>
      <c r="N933" s="31"/>
      <c r="O933" s="31"/>
      <c r="P933" s="4"/>
      <c r="S933" s="57"/>
      <c r="X933" s="4"/>
    </row>
    <row r="934" spans="1:24" hidden="1" x14ac:dyDescent="0.35">
      <c r="A934">
        <v>930</v>
      </c>
      <c r="B934">
        <v>931</v>
      </c>
      <c r="C934">
        <v>146.09998565999899</v>
      </c>
      <c r="D934">
        <v>-17.652526717000001</v>
      </c>
      <c r="G934" s="92"/>
      <c r="I934">
        <v>8</v>
      </c>
      <c r="J934" t="s">
        <v>26</v>
      </c>
      <c r="K934" s="52"/>
      <c r="L934" s="31"/>
      <c r="M934" s="31"/>
      <c r="N934" s="31"/>
      <c r="O934" s="31"/>
      <c r="P934" s="4"/>
      <c r="S934" s="57"/>
      <c r="X934" s="4"/>
    </row>
    <row r="935" spans="1:24" hidden="1" x14ac:dyDescent="0.35">
      <c r="A935">
        <v>931</v>
      </c>
      <c r="B935">
        <v>932</v>
      </c>
      <c r="C935">
        <v>146.09990784600001</v>
      </c>
      <c r="D935">
        <v>-17.652559443400001</v>
      </c>
      <c r="G935" s="92"/>
      <c r="I935">
        <v>8</v>
      </c>
      <c r="J935" t="s">
        <v>26</v>
      </c>
      <c r="K935" s="52"/>
      <c r="L935" s="31"/>
      <c r="M935" s="31"/>
      <c r="N935" s="31"/>
      <c r="O935" s="31"/>
      <c r="P935" s="4"/>
      <c r="S935" s="57"/>
      <c r="X935" s="4"/>
    </row>
    <row r="936" spans="1:24" hidden="1" x14ac:dyDescent="0.35">
      <c r="A936">
        <v>932</v>
      </c>
      <c r="B936">
        <v>933</v>
      </c>
      <c r="C936">
        <v>146.099857748999</v>
      </c>
      <c r="D936">
        <v>-17.6526265494999</v>
      </c>
      <c r="G936" s="92"/>
      <c r="I936">
        <v>8</v>
      </c>
      <c r="J936" t="s">
        <v>26</v>
      </c>
      <c r="K936" s="52"/>
      <c r="L936" s="31"/>
      <c r="M936" s="31"/>
      <c r="N936" s="31"/>
      <c r="O936" s="31"/>
      <c r="P936" s="4"/>
      <c r="S936" s="57"/>
      <c r="X936" s="4"/>
    </row>
    <row r="937" spans="1:24" hidden="1" x14ac:dyDescent="0.35">
      <c r="A937">
        <v>933</v>
      </c>
      <c r="B937">
        <v>934</v>
      </c>
      <c r="C937">
        <v>146.09984375400001</v>
      </c>
      <c r="D937">
        <v>-17.652711088099899</v>
      </c>
      <c r="G937" s="92"/>
      <c r="I937">
        <v>8</v>
      </c>
      <c r="J937" t="s">
        <v>26</v>
      </c>
      <c r="K937" s="52"/>
      <c r="L937" s="31"/>
      <c r="M937" s="31"/>
      <c r="N937" s="31"/>
      <c r="O937" s="31"/>
      <c r="P937" s="4"/>
      <c r="S937" s="57"/>
      <c r="X937" s="4"/>
    </row>
    <row r="938" spans="1:24" hidden="1" x14ac:dyDescent="0.35">
      <c r="A938">
        <v>934</v>
      </c>
      <c r="B938">
        <v>935</v>
      </c>
      <c r="C938">
        <v>146.099832692999</v>
      </c>
      <c r="D938">
        <v>-17.6527960383</v>
      </c>
      <c r="E938">
        <v>50</v>
      </c>
      <c r="G938" s="92"/>
      <c r="I938">
        <v>8</v>
      </c>
      <c r="J938" t="s">
        <v>26</v>
      </c>
      <c r="K938" s="52"/>
      <c r="L938" s="31"/>
      <c r="M938" s="31"/>
      <c r="N938" s="31"/>
      <c r="O938" s="31"/>
      <c r="P938" s="4"/>
      <c r="S938" s="57"/>
      <c r="X938" s="4"/>
    </row>
    <row r="939" spans="1:24" hidden="1" x14ac:dyDescent="0.35">
      <c r="A939">
        <v>935</v>
      </c>
      <c r="B939">
        <v>936</v>
      </c>
      <c r="C939">
        <v>146.099821598999</v>
      </c>
      <c r="D939">
        <v>-17.652880984500001</v>
      </c>
      <c r="G939" s="92"/>
      <c r="I939">
        <v>8</v>
      </c>
      <c r="J939" t="s">
        <v>26</v>
      </c>
      <c r="K939" s="52"/>
      <c r="L939" s="31"/>
      <c r="M939" s="31"/>
      <c r="N939" s="31"/>
      <c r="O939" s="31"/>
      <c r="P939" s="4"/>
      <c r="S939" s="57"/>
      <c r="X939" s="4"/>
    </row>
    <row r="940" spans="1:24" hidden="1" x14ac:dyDescent="0.35">
      <c r="A940">
        <v>936</v>
      </c>
      <c r="B940">
        <v>937</v>
      </c>
      <c r="C940">
        <v>146.099810367999</v>
      </c>
      <c r="D940">
        <v>-17.6529659141999</v>
      </c>
      <c r="G940" s="92"/>
      <c r="I940">
        <v>8</v>
      </c>
      <c r="J940" t="s">
        <v>26</v>
      </c>
      <c r="K940" s="52"/>
      <c r="L940" s="31"/>
      <c r="M940" s="31"/>
      <c r="N940" s="31"/>
      <c r="O940" s="31"/>
      <c r="P940" s="4"/>
      <c r="S940" s="57"/>
      <c r="X940" s="4"/>
    </row>
    <row r="941" spans="1:24" hidden="1" x14ac:dyDescent="0.35">
      <c r="A941">
        <v>937</v>
      </c>
      <c r="B941">
        <v>938</v>
      </c>
      <c r="C941">
        <v>146.099799136</v>
      </c>
      <c r="D941">
        <v>-17.653050843900001</v>
      </c>
      <c r="G941" s="92"/>
      <c r="I941">
        <v>8</v>
      </c>
      <c r="J941" t="s">
        <v>26</v>
      </c>
      <c r="K941" s="52"/>
      <c r="L941" s="31"/>
      <c r="M941" s="31"/>
      <c r="N941" s="31"/>
      <c r="O941" s="31"/>
      <c r="P941" s="4"/>
      <c r="S941" s="57"/>
      <c r="X941" s="4"/>
    </row>
    <row r="942" spans="1:24" hidden="1" x14ac:dyDescent="0.35">
      <c r="A942">
        <v>938</v>
      </c>
      <c r="B942">
        <v>939</v>
      </c>
      <c r="C942">
        <v>146.099787904999</v>
      </c>
      <c r="D942">
        <v>-17.653135773599899</v>
      </c>
      <c r="G942" s="92"/>
      <c r="I942">
        <v>8</v>
      </c>
      <c r="J942" t="s">
        <v>26</v>
      </c>
      <c r="K942" s="52"/>
      <c r="L942" s="31"/>
      <c r="M942" s="31"/>
      <c r="N942" s="31"/>
      <c r="O942" s="31"/>
      <c r="P942" s="4"/>
      <c r="S942" s="57"/>
      <c r="X942" s="4"/>
    </row>
    <row r="943" spans="1:24" hidden="1" x14ac:dyDescent="0.35">
      <c r="A943">
        <v>939</v>
      </c>
      <c r="B943">
        <v>940</v>
      </c>
      <c r="C943">
        <v>146.09978662</v>
      </c>
      <c r="D943">
        <v>-17.653221217799899</v>
      </c>
      <c r="E943">
        <v>50</v>
      </c>
      <c r="G943" s="92"/>
      <c r="I943">
        <v>8</v>
      </c>
      <c r="J943" t="s">
        <v>26</v>
      </c>
      <c r="K943" s="52"/>
      <c r="L943" s="31"/>
      <c r="M943" s="31"/>
      <c r="N943" s="31"/>
      <c r="O943" s="31"/>
      <c r="P943" s="4"/>
      <c r="S943" s="57"/>
      <c r="X943" s="4"/>
    </row>
    <row r="944" spans="1:24" hidden="1" x14ac:dyDescent="0.35">
      <c r="A944">
        <v>940</v>
      </c>
      <c r="B944">
        <v>941</v>
      </c>
      <c r="C944">
        <v>146.09978813500001</v>
      </c>
      <c r="D944">
        <v>-17.653306806900002</v>
      </c>
      <c r="G944" s="92"/>
      <c r="I944">
        <v>8</v>
      </c>
      <c r="J944" t="s">
        <v>26</v>
      </c>
      <c r="K944" s="52"/>
      <c r="L944" s="31"/>
      <c r="M944" s="31"/>
      <c r="N944" s="31"/>
      <c r="O944" s="31"/>
      <c r="P944" s="4"/>
      <c r="S944" s="57"/>
      <c r="X944" s="4"/>
    </row>
    <row r="945" spans="1:24" hidden="1" x14ac:dyDescent="0.35">
      <c r="A945">
        <v>941</v>
      </c>
      <c r="B945">
        <v>942</v>
      </c>
      <c r="C945">
        <v>146.099789649999</v>
      </c>
      <c r="D945">
        <v>-17.653392396000001</v>
      </c>
      <c r="G945" s="92"/>
      <c r="I945">
        <v>8</v>
      </c>
      <c r="J945" t="s">
        <v>26</v>
      </c>
      <c r="K945" s="52"/>
      <c r="L945" s="31"/>
      <c r="M945" s="31"/>
      <c r="N945" s="31"/>
      <c r="O945" s="31"/>
      <c r="P945" s="4"/>
      <c r="S945" s="57"/>
      <c r="X945" s="4"/>
    </row>
    <row r="946" spans="1:24" hidden="1" x14ac:dyDescent="0.35">
      <c r="A946">
        <v>942</v>
      </c>
      <c r="B946">
        <v>943</v>
      </c>
      <c r="C946">
        <v>146.099791164999</v>
      </c>
      <c r="D946">
        <v>-17.653477984999899</v>
      </c>
      <c r="G946" s="92"/>
      <c r="I946">
        <v>8</v>
      </c>
      <c r="J946" t="s">
        <v>26</v>
      </c>
      <c r="K946" s="52"/>
      <c r="L946" s="31"/>
      <c r="M946" s="31"/>
      <c r="N946" s="31"/>
      <c r="O946" s="31"/>
      <c r="P946" s="4"/>
      <c r="S946" s="57"/>
      <c r="X946" s="4"/>
    </row>
    <row r="947" spans="1:24" hidden="1" x14ac:dyDescent="0.35">
      <c r="A947">
        <v>943</v>
      </c>
      <c r="B947">
        <v>944</v>
      </c>
      <c r="C947">
        <v>146.099819889</v>
      </c>
      <c r="D947">
        <v>-17.653558996600001</v>
      </c>
      <c r="G947" s="92"/>
      <c r="I947">
        <v>8</v>
      </c>
      <c r="J947" t="s">
        <v>26</v>
      </c>
      <c r="K947" s="52"/>
      <c r="L947" s="31"/>
      <c r="M947" s="31"/>
      <c r="N947" s="31"/>
      <c r="O947" s="31"/>
      <c r="P947" s="4"/>
      <c r="S947" s="57"/>
      <c r="X947" s="4"/>
    </row>
    <row r="948" spans="1:24" hidden="1" x14ac:dyDescent="0.35">
      <c r="A948">
        <v>944</v>
      </c>
      <c r="B948">
        <v>945</v>
      </c>
      <c r="C948">
        <v>146.099860145999</v>
      </c>
      <c r="D948">
        <v>-17.653634583900001</v>
      </c>
      <c r="E948">
        <v>50</v>
      </c>
      <c r="G948" s="92"/>
      <c r="I948">
        <v>8</v>
      </c>
      <c r="J948" t="s">
        <v>26</v>
      </c>
      <c r="K948" s="52"/>
      <c r="L948" s="31"/>
      <c r="M948" s="31"/>
      <c r="N948" s="31"/>
      <c r="O948" s="31"/>
      <c r="P948" s="4"/>
      <c r="S948" s="57"/>
      <c r="X948" s="4"/>
    </row>
    <row r="949" spans="1:24" hidden="1" x14ac:dyDescent="0.35">
      <c r="A949">
        <v>945</v>
      </c>
      <c r="B949">
        <v>946</v>
      </c>
      <c r="C949">
        <v>146.09991354600001</v>
      </c>
      <c r="D949">
        <v>-17.653702851999899</v>
      </c>
      <c r="G949" s="92"/>
      <c r="I949">
        <v>8</v>
      </c>
      <c r="J949" t="s">
        <v>26</v>
      </c>
      <c r="K949" s="52"/>
      <c r="L949" s="31"/>
      <c r="M949" s="31"/>
      <c r="N949" s="31"/>
      <c r="O949" s="31"/>
      <c r="P949" s="4"/>
      <c r="S949" s="57"/>
      <c r="X949" s="4"/>
    </row>
    <row r="950" spans="1:24" hidden="1" x14ac:dyDescent="0.35">
      <c r="A950">
        <v>946</v>
      </c>
      <c r="B950">
        <v>947</v>
      </c>
      <c r="C950">
        <v>146.09998998200001</v>
      </c>
      <c r="D950">
        <v>-17.653747823100002</v>
      </c>
      <c r="G950" s="92"/>
      <c r="I950">
        <v>8</v>
      </c>
      <c r="J950" t="s">
        <v>26</v>
      </c>
      <c r="K950" s="52"/>
      <c r="L950" s="31"/>
      <c r="M950" s="31"/>
      <c r="N950" s="31"/>
      <c r="O950" s="31"/>
      <c r="P950" s="4"/>
      <c r="S950" s="57"/>
      <c r="X950" s="4"/>
    </row>
    <row r="951" spans="1:24" hidden="1" x14ac:dyDescent="0.35">
      <c r="A951">
        <v>947</v>
      </c>
      <c r="B951">
        <v>948</v>
      </c>
      <c r="C951">
        <v>146.10006641800001</v>
      </c>
      <c r="D951">
        <v>-17.6537927944999</v>
      </c>
      <c r="G951" s="92"/>
      <c r="I951">
        <v>8</v>
      </c>
      <c r="J951" t="s">
        <v>26</v>
      </c>
      <c r="K951" s="52"/>
      <c r="L951" s="31"/>
      <c r="M951" s="31"/>
      <c r="N951" s="31"/>
      <c r="O951" s="31"/>
      <c r="P951" s="4"/>
      <c r="S951" s="57"/>
      <c r="X951" s="4"/>
    </row>
    <row r="952" spans="1:24" hidden="1" x14ac:dyDescent="0.35">
      <c r="A952">
        <v>948</v>
      </c>
      <c r="B952">
        <v>949</v>
      </c>
      <c r="C952">
        <v>146.10014779700001</v>
      </c>
      <c r="D952">
        <v>-17.6538231832</v>
      </c>
      <c r="G952" s="92"/>
      <c r="I952">
        <v>8</v>
      </c>
      <c r="J952" t="s">
        <v>26</v>
      </c>
      <c r="K952" s="52"/>
      <c r="L952" s="31"/>
      <c r="M952" s="31"/>
      <c r="N952" s="31"/>
      <c r="O952" s="31"/>
      <c r="P952" s="4"/>
      <c r="S952" s="57"/>
      <c r="X952" s="4"/>
    </row>
    <row r="953" spans="1:24" hidden="1" x14ac:dyDescent="0.35">
      <c r="A953">
        <v>949</v>
      </c>
      <c r="B953">
        <v>950</v>
      </c>
      <c r="C953">
        <v>146.100237397</v>
      </c>
      <c r="D953">
        <v>-17.653827584799899</v>
      </c>
      <c r="E953">
        <v>50</v>
      </c>
      <c r="G953" s="92"/>
      <c r="I953">
        <v>8</v>
      </c>
      <c r="J953" t="s">
        <v>26</v>
      </c>
      <c r="K953" s="52"/>
      <c r="L953" s="31"/>
      <c r="M953" s="31"/>
      <c r="N953" s="31"/>
      <c r="O953" s="31"/>
      <c r="P953" s="4"/>
      <c r="S953" s="57"/>
      <c r="X953" s="4"/>
    </row>
    <row r="954" spans="1:24" hidden="1" x14ac:dyDescent="0.35">
      <c r="A954">
        <v>950</v>
      </c>
      <c r="B954">
        <v>951</v>
      </c>
      <c r="C954">
        <v>146.10032699300001</v>
      </c>
      <c r="D954">
        <v>-17.6538213890999</v>
      </c>
      <c r="G954" s="92"/>
      <c r="I954">
        <v>8</v>
      </c>
      <c r="J954" t="s">
        <v>26</v>
      </c>
      <c r="K954" s="52"/>
      <c r="L954" s="31"/>
      <c r="M954" s="31"/>
      <c r="N954" s="31"/>
      <c r="O954" s="31"/>
      <c r="P954" s="4"/>
      <c r="S954" s="57"/>
      <c r="X954" s="4"/>
    </row>
    <row r="955" spans="1:24" hidden="1" x14ac:dyDescent="0.35">
      <c r="A955">
        <v>951</v>
      </c>
      <c r="B955">
        <v>952</v>
      </c>
      <c r="C955">
        <v>146.100416588</v>
      </c>
      <c r="D955">
        <v>-17.6538151934</v>
      </c>
      <c r="G955" s="92"/>
      <c r="I955">
        <v>8</v>
      </c>
      <c r="J955" t="s">
        <v>26</v>
      </c>
      <c r="K955" s="52"/>
      <c r="L955" s="31"/>
      <c r="M955" s="31"/>
      <c r="N955" s="31"/>
      <c r="O955" s="31"/>
      <c r="P955" s="4"/>
      <c r="S955" s="57"/>
      <c r="X955" s="4"/>
    </row>
    <row r="956" spans="1:24" hidden="1" x14ac:dyDescent="0.35">
      <c r="A956">
        <v>952</v>
      </c>
      <c r="B956">
        <v>953</v>
      </c>
      <c r="C956">
        <v>146.100500973999</v>
      </c>
      <c r="D956">
        <v>-17.653785851199899</v>
      </c>
      <c r="G956" s="92"/>
      <c r="I956">
        <v>8</v>
      </c>
      <c r="J956" t="s">
        <v>26</v>
      </c>
      <c r="K956" s="52"/>
      <c r="L956" s="31"/>
      <c r="M956" s="31"/>
      <c r="N956" s="31"/>
      <c r="O956" s="31"/>
      <c r="P956" s="4"/>
      <c r="S956" s="57"/>
      <c r="X956" s="4"/>
    </row>
    <row r="957" spans="1:24" hidden="1" x14ac:dyDescent="0.35">
      <c r="A957">
        <v>953</v>
      </c>
      <c r="B957">
        <v>954</v>
      </c>
      <c r="C957">
        <v>146.100584287999</v>
      </c>
      <c r="D957">
        <v>-17.6537540576</v>
      </c>
      <c r="G957" s="92"/>
      <c r="I957">
        <v>8</v>
      </c>
      <c r="J957" t="s">
        <v>26</v>
      </c>
      <c r="K957" s="52"/>
      <c r="L957" s="31"/>
      <c r="M957" s="31"/>
      <c r="N957" s="31"/>
      <c r="O957" s="31"/>
      <c r="P957" s="4"/>
      <c r="S957" s="57"/>
      <c r="X957" s="4"/>
    </row>
    <row r="958" spans="1:24" hidden="1" x14ac:dyDescent="0.35">
      <c r="A958">
        <v>954</v>
      </c>
      <c r="B958">
        <v>955</v>
      </c>
      <c r="C958">
        <v>146.100665485999</v>
      </c>
      <c r="D958">
        <v>-17.653717441000001</v>
      </c>
      <c r="E958">
        <v>50</v>
      </c>
      <c r="G958" s="92"/>
      <c r="I958">
        <v>8</v>
      </c>
      <c r="J958" t="s">
        <v>26</v>
      </c>
      <c r="K958" s="52"/>
      <c r="L958" s="31"/>
      <c r="M958" s="31"/>
      <c r="N958" s="31"/>
      <c r="O958" s="31"/>
      <c r="P958" s="4"/>
      <c r="S958" s="57"/>
      <c r="X958" s="4"/>
    </row>
    <row r="959" spans="1:24" hidden="1" x14ac:dyDescent="0.35">
      <c r="A959">
        <v>955</v>
      </c>
      <c r="B959">
        <v>956</v>
      </c>
      <c r="C959">
        <v>146.100745372999</v>
      </c>
      <c r="D959">
        <v>-17.6536784209</v>
      </c>
      <c r="G959" s="92"/>
      <c r="I959">
        <v>8</v>
      </c>
      <c r="J959" t="s">
        <v>26</v>
      </c>
      <c r="K959" s="52"/>
      <c r="L959" s="31"/>
      <c r="M959" s="31"/>
      <c r="N959" s="31"/>
      <c r="O959" s="31"/>
      <c r="P959" s="4"/>
      <c r="S959" s="57"/>
      <c r="X959" s="4"/>
    </row>
    <row r="960" spans="1:24" hidden="1" x14ac:dyDescent="0.35">
      <c r="A960">
        <v>956</v>
      </c>
      <c r="B960">
        <v>957</v>
      </c>
      <c r="C960">
        <v>146.100823464</v>
      </c>
      <c r="D960">
        <v>-17.653636110000001</v>
      </c>
      <c r="G960" s="92"/>
      <c r="I960">
        <v>8</v>
      </c>
      <c r="J960" t="s">
        <v>26</v>
      </c>
      <c r="K960" s="52"/>
      <c r="L960" s="31"/>
      <c r="M960" s="31"/>
      <c r="N960" s="31"/>
      <c r="O960" s="31"/>
      <c r="P960" s="4"/>
      <c r="S960" s="57"/>
      <c r="X960" s="4"/>
    </row>
    <row r="961" spans="1:24" hidden="1" x14ac:dyDescent="0.35">
      <c r="A961">
        <v>957</v>
      </c>
      <c r="B961">
        <v>958</v>
      </c>
      <c r="C961">
        <v>146.10090155500001</v>
      </c>
      <c r="D961">
        <v>-17.6535937991999</v>
      </c>
      <c r="G961" s="92"/>
      <c r="I961">
        <v>8</v>
      </c>
      <c r="J961" t="s">
        <v>26</v>
      </c>
      <c r="K961" s="52"/>
      <c r="L961" s="31"/>
      <c r="M961" s="31"/>
      <c r="N961" s="31"/>
      <c r="O961" s="31"/>
      <c r="P961" s="4"/>
      <c r="S961" s="57"/>
      <c r="X961" s="4"/>
    </row>
    <row r="962" spans="1:24" hidden="1" x14ac:dyDescent="0.35">
      <c r="A962">
        <v>958</v>
      </c>
      <c r="B962">
        <v>959</v>
      </c>
      <c r="C962">
        <v>146.10097807400001</v>
      </c>
      <c r="D962">
        <v>-17.6535489848</v>
      </c>
      <c r="G962" s="92"/>
      <c r="I962">
        <v>8</v>
      </c>
      <c r="J962" t="s">
        <v>26</v>
      </c>
      <c r="K962" s="52"/>
      <c r="L962" s="31"/>
      <c r="M962" s="31"/>
      <c r="N962" s="31"/>
      <c r="O962" s="31"/>
      <c r="P962" s="4"/>
      <c r="S962" s="57"/>
      <c r="X962" s="4"/>
    </row>
    <row r="963" spans="1:24" hidden="1" x14ac:dyDescent="0.35">
      <c r="A963">
        <v>959</v>
      </c>
      <c r="B963">
        <v>960</v>
      </c>
      <c r="C963">
        <v>146.101054121999</v>
      </c>
      <c r="D963">
        <v>-17.653503420100002</v>
      </c>
      <c r="E963">
        <v>50</v>
      </c>
      <c r="G963" s="92"/>
      <c r="I963">
        <v>8</v>
      </c>
      <c r="J963" t="s">
        <v>26</v>
      </c>
      <c r="K963" s="52"/>
      <c r="L963" s="31"/>
      <c r="M963" s="31"/>
      <c r="N963" s="31"/>
      <c r="O963" s="31"/>
      <c r="P963" s="4"/>
      <c r="S963" s="57"/>
      <c r="X963" s="4"/>
    </row>
    <row r="964" spans="1:24" hidden="1" x14ac:dyDescent="0.35">
      <c r="A964">
        <v>960</v>
      </c>
      <c r="B964">
        <v>961</v>
      </c>
      <c r="C964">
        <v>146.101131879999</v>
      </c>
      <c r="D964">
        <v>-17.653460567</v>
      </c>
      <c r="G964" s="92"/>
      <c r="I964">
        <v>8</v>
      </c>
      <c r="J964" t="s">
        <v>26</v>
      </c>
      <c r="K964" s="52"/>
      <c r="L964" s="31"/>
      <c r="M964" s="31"/>
      <c r="N964" s="31"/>
      <c r="O964" s="31"/>
      <c r="P964" s="4"/>
      <c r="S964" s="57"/>
      <c r="X964" s="4"/>
    </row>
    <row r="965" spans="1:24" hidden="1" x14ac:dyDescent="0.35">
      <c r="A965">
        <v>961</v>
      </c>
      <c r="B965">
        <v>962</v>
      </c>
      <c r="C965">
        <v>146.101209785999</v>
      </c>
      <c r="D965">
        <v>-17.6534179481</v>
      </c>
      <c r="G965" s="92"/>
      <c r="I965">
        <v>8</v>
      </c>
      <c r="J965" t="s">
        <v>26</v>
      </c>
      <c r="K965" s="52"/>
      <c r="L965" s="31"/>
      <c r="M965" s="31"/>
      <c r="N965" s="31"/>
      <c r="O965" s="31"/>
      <c r="P965" s="4"/>
      <c r="S965" s="57"/>
      <c r="X965" s="4"/>
    </row>
    <row r="966" spans="1:24" hidden="1" x14ac:dyDescent="0.35">
      <c r="A966">
        <v>962</v>
      </c>
      <c r="B966">
        <v>963</v>
      </c>
      <c r="C966">
        <v>146.101291368999</v>
      </c>
      <c r="D966">
        <v>-17.6533834749</v>
      </c>
      <c r="G966" s="92"/>
      <c r="I966">
        <v>8</v>
      </c>
      <c r="J966" t="s">
        <v>26</v>
      </c>
      <c r="K966" s="52"/>
      <c r="L966" s="31"/>
      <c r="M966" s="31"/>
      <c r="N966" s="31"/>
      <c r="O966" s="31"/>
      <c r="P966" s="4"/>
      <c r="S966" s="57"/>
      <c r="X966" s="4"/>
    </row>
    <row r="967" spans="1:24" hidden="1" x14ac:dyDescent="0.35">
      <c r="A967">
        <v>963</v>
      </c>
      <c r="B967">
        <v>964</v>
      </c>
      <c r="C967">
        <v>146.10137741899899</v>
      </c>
      <c r="D967">
        <v>-17.6533589024999</v>
      </c>
      <c r="G967" s="92"/>
      <c r="I967">
        <v>8</v>
      </c>
      <c r="J967" t="s">
        <v>26</v>
      </c>
      <c r="K967" s="52"/>
      <c r="L967" s="31"/>
      <c r="M967" s="31"/>
      <c r="N967" s="31"/>
      <c r="O967" s="31"/>
      <c r="P967" s="4"/>
      <c r="S967" s="57"/>
      <c r="X967" s="4"/>
    </row>
    <row r="968" spans="1:24" hidden="1" x14ac:dyDescent="0.35">
      <c r="A968">
        <v>964</v>
      </c>
      <c r="B968">
        <v>965</v>
      </c>
      <c r="C968">
        <v>146.101463469999</v>
      </c>
      <c r="D968">
        <v>-17.65333433</v>
      </c>
      <c r="E968">
        <v>50</v>
      </c>
      <c r="G968" s="92"/>
      <c r="I968">
        <v>8</v>
      </c>
      <c r="J968" t="s">
        <v>26</v>
      </c>
      <c r="K968" s="52"/>
      <c r="L968" s="31"/>
      <c r="M968" s="31"/>
      <c r="N968" s="31"/>
      <c r="O968" s="31"/>
      <c r="P968" s="4"/>
      <c r="S968" s="57"/>
      <c r="X968" s="4"/>
    </row>
    <row r="969" spans="1:24" hidden="1" x14ac:dyDescent="0.35">
      <c r="A969">
        <v>965</v>
      </c>
      <c r="B969">
        <v>966</v>
      </c>
      <c r="C969">
        <v>146.10155145600001</v>
      </c>
      <c r="D969">
        <v>-17.6533185911</v>
      </c>
      <c r="G969" s="92"/>
      <c r="I969">
        <v>8</v>
      </c>
      <c r="J969" t="s">
        <v>26</v>
      </c>
      <c r="K969" s="52"/>
      <c r="L969" s="31"/>
      <c r="M969" s="31"/>
      <c r="N969" s="31"/>
      <c r="O969" s="31"/>
      <c r="P969" s="4"/>
      <c r="S969" s="57"/>
      <c r="X969" s="4"/>
    </row>
    <row r="970" spans="1:24" hidden="1" x14ac:dyDescent="0.35">
      <c r="A970">
        <v>966</v>
      </c>
      <c r="B970">
        <v>967</v>
      </c>
      <c r="C970">
        <v>146.101640637999</v>
      </c>
      <c r="D970">
        <v>-17.653308316499899</v>
      </c>
      <c r="G970" s="92"/>
      <c r="I970">
        <v>8</v>
      </c>
      <c r="J970" t="s">
        <v>26</v>
      </c>
      <c r="K970" s="52"/>
      <c r="L970" s="31"/>
      <c r="M970" s="31"/>
      <c r="N970" s="31"/>
      <c r="O970" s="31"/>
      <c r="P970" s="4"/>
      <c r="S970" s="57"/>
      <c r="X970" s="4"/>
    </row>
    <row r="971" spans="1:24" hidden="1" x14ac:dyDescent="0.35">
      <c r="A971">
        <v>967</v>
      </c>
      <c r="B971">
        <v>968</v>
      </c>
      <c r="C971">
        <v>146.10173020600001</v>
      </c>
      <c r="D971">
        <v>-17.653302973599899</v>
      </c>
      <c r="G971" s="92"/>
      <c r="I971">
        <v>8</v>
      </c>
      <c r="J971" t="s">
        <v>26</v>
      </c>
      <c r="K971" s="52"/>
      <c r="L971" s="31"/>
      <c r="M971" s="31"/>
      <c r="N971" s="31"/>
      <c r="O971" s="31"/>
      <c r="P971" s="4"/>
      <c r="S971" s="57"/>
      <c r="X971" s="4"/>
    </row>
    <row r="972" spans="1:24" hidden="1" x14ac:dyDescent="0.35">
      <c r="A972">
        <v>968</v>
      </c>
      <c r="B972">
        <v>969</v>
      </c>
      <c r="C972">
        <v>146.101820000999</v>
      </c>
      <c r="D972">
        <v>-17.653300513600001</v>
      </c>
      <c r="G972" s="92"/>
      <c r="I972">
        <v>8</v>
      </c>
      <c r="J972" t="s">
        <v>26</v>
      </c>
      <c r="K972" s="52"/>
      <c r="L972" s="31"/>
      <c r="M972" s="31"/>
      <c r="N972" s="31"/>
      <c r="O972" s="31"/>
      <c r="P972" s="4"/>
      <c r="S972" s="57"/>
      <c r="X972" s="4"/>
    </row>
    <row r="973" spans="1:24" hidden="1" x14ac:dyDescent="0.35">
      <c r="A973">
        <v>969</v>
      </c>
      <c r="B973">
        <v>970</v>
      </c>
      <c r="C973">
        <v>146.101909788</v>
      </c>
      <c r="D973">
        <v>-17.6532990571</v>
      </c>
      <c r="E973">
        <v>50</v>
      </c>
      <c r="G973" s="92"/>
      <c r="I973">
        <v>8</v>
      </c>
      <c r="J973" t="s">
        <v>26</v>
      </c>
      <c r="K973" s="52"/>
      <c r="L973" s="31"/>
      <c r="M973" s="31"/>
      <c r="N973" s="31"/>
      <c r="O973" s="31"/>
      <c r="P973" s="4"/>
      <c r="S973" s="57"/>
      <c r="X973" s="4"/>
    </row>
    <row r="974" spans="1:24" hidden="1" x14ac:dyDescent="0.35">
      <c r="A974">
        <v>970</v>
      </c>
      <c r="B974">
        <v>971</v>
      </c>
      <c r="C974">
        <v>146.10199954000001</v>
      </c>
      <c r="D974">
        <v>-17.6533026536999</v>
      </c>
      <c r="G974" s="92"/>
      <c r="I974">
        <v>8</v>
      </c>
      <c r="J974" t="s">
        <v>26</v>
      </c>
      <c r="K974" s="52"/>
      <c r="L974" s="31"/>
      <c r="M974" s="31"/>
      <c r="N974" s="31"/>
      <c r="O974" s="31"/>
      <c r="P974" s="4"/>
      <c r="S974" s="57"/>
      <c r="X974" s="4"/>
    </row>
    <row r="975" spans="1:24" hidden="1" x14ac:dyDescent="0.35">
      <c r="A975">
        <v>971</v>
      </c>
      <c r="B975">
        <v>972</v>
      </c>
      <c r="C975">
        <v>146.10208929300001</v>
      </c>
      <c r="D975">
        <v>-17.653306250299899</v>
      </c>
      <c r="G975" s="92"/>
      <c r="I975">
        <v>8</v>
      </c>
      <c r="J975" t="s">
        <v>26</v>
      </c>
      <c r="K975" s="52"/>
      <c r="L975" s="31"/>
      <c r="M975" s="31"/>
      <c r="N975" s="31"/>
      <c r="O975" s="31"/>
      <c r="P975" s="4"/>
      <c r="S975" s="57"/>
      <c r="X975" s="4"/>
    </row>
    <row r="976" spans="1:24" hidden="1" x14ac:dyDescent="0.35">
      <c r="A976">
        <v>972</v>
      </c>
      <c r="B976">
        <v>973</v>
      </c>
      <c r="C976">
        <v>146.102171749999</v>
      </c>
      <c r="D976">
        <v>-17.6533394386</v>
      </c>
      <c r="G976" s="92"/>
      <c r="I976">
        <v>8</v>
      </c>
      <c r="J976" t="s">
        <v>26</v>
      </c>
      <c r="K976" s="52"/>
      <c r="L976" s="31"/>
      <c r="M976" s="31"/>
      <c r="N976" s="31"/>
      <c r="O976" s="31"/>
      <c r="P976" s="4"/>
      <c r="S976" s="57"/>
      <c r="X976" s="4"/>
    </row>
    <row r="977" spans="1:24" hidden="1" x14ac:dyDescent="0.35">
      <c r="A977">
        <v>973</v>
      </c>
      <c r="B977">
        <v>974</v>
      </c>
      <c r="C977">
        <v>146.102253794999</v>
      </c>
      <c r="D977">
        <v>-17.6533742987999</v>
      </c>
      <c r="G977" s="92"/>
      <c r="I977">
        <v>8</v>
      </c>
      <c r="J977" t="s">
        <v>26</v>
      </c>
      <c r="K977" s="52"/>
      <c r="L977" s="31"/>
      <c r="M977" s="31"/>
      <c r="N977" s="31"/>
      <c r="O977" s="31"/>
      <c r="P977" s="4"/>
      <c r="S977" s="57"/>
      <c r="X977" s="4"/>
    </row>
    <row r="978" spans="1:24" hidden="1" x14ac:dyDescent="0.35">
      <c r="A978">
        <v>974</v>
      </c>
      <c r="B978">
        <v>975</v>
      </c>
      <c r="C978">
        <v>146.10233411799899</v>
      </c>
      <c r="D978">
        <v>-17.6534113780999</v>
      </c>
      <c r="E978">
        <v>50</v>
      </c>
      <c r="G978" s="92"/>
      <c r="I978">
        <v>8</v>
      </c>
      <c r="J978" t="s">
        <v>26</v>
      </c>
      <c r="K978" s="52"/>
      <c r="L978" s="31"/>
      <c r="M978" s="31"/>
      <c r="N978" s="31"/>
      <c r="O978" s="31"/>
      <c r="P978" s="4"/>
      <c r="S978" s="57"/>
      <c r="X978" s="4"/>
    </row>
    <row r="979" spans="1:24" hidden="1" x14ac:dyDescent="0.35">
      <c r="A979">
        <v>975</v>
      </c>
      <c r="B979">
        <v>976</v>
      </c>
      <c r="C979">
        <v>146.10239315499899</v>
      </c>
      <c r="D979">
        <v>-17.653475897300002</v>
      </c>
      <c r="G979" s="92"/>
      <c r="I979">
        <v>8</v>
      </c>
      <c r="J979" t="s">
        <v>26</v>
      </c>
      <c r="K979" s="52"/>
      <c r="L979" s="31"/>
      <c r="M979" s="31"/>
      <c r="N979" s="31"/>
      <c r="O979" s="31"/>
      <c r="P979" s="4"/>
      <c r="S979" s="57"/>
      <c r="X979" s="4"/>
    </row>
    <row r="980" spans="1:24" hidden="1" x14ac:dyDescent="0.35">
      <c r="A980">
        <v>976</v>
      </c>
      <c r="B980">
        <v>977</v>
      </c>
      <c r="C980">
        <v>146.102452193</v>
      </c>
      <c r="D980">
        <v>-17.6535404165</v>
      </c>
      <c r="G980" s="92"/>
      <c r="I980">
        <v>8</v>
      </c>
      <c r="J980" t="s">
        <v>26</v>
      </c>
      <c r="K980" s="52"/>
      <c r="L980" s="31"/>
      <c r="M980" s="31"/>
      <c r="N980" s="31"/>
      <c r="O980" s="31"/>
      <c r="P980" s="4"/>
      <c r="S980" s="57"/>
      <c r="X980" s="4"/>
    </row>
    <row r="981" spans="1:24" hidden="1" x14ac:dyDescent="0.35">
      <c r="A981">
        <v>977</v>
      </c>
      <c r="B981">
        <v>978</v>
      </c>
      <c r="C981">
        <v>146.10251123</v>
      </c>
      <c r="D981">
        <v>-17.653604935600001</v>
      </c>
      <c r="G981" s="92"/>
      <c r="I981">
        <v>8</v>
      </c>
      <c r="J981" t="s">
        <v>26</v>
      </c>
      <c r="K981" s="52"/>
      <c r="L981" s="31"/>
      <c r="M981" s="31"/>
      <c r="N981" s="31"/>
      <c r="O981" s="31"/>
      <c r="P981" s="4"/>
      <c r="S981" s="57"/>
      <c r="X981" s="4"/>
    </row>
    <row r="982" spans="1:24" hidden="1" x14ac:dyDescent="0.35">
      <c r="A982">
        <v>978</v>
      </c>
      <c r="B982">
        <v>979</v>
      </c>
      <c r="C982">
        <v>146.102569007</v>
      </c>
      <c r="D982">
        <v>-17.6536704184999</v>
      </c>
      <c r="G982" s="92"/>
      <c r="I982">
        <v>8</v>
      </c>
      <c r="J982" t="s">
        <v>26</v>
      </c>
      <c r="K982" s="52"/>
      <c r="L982" s="31"/>
      <c r="M982" s="31"/>
      <c r="N982" s="31"/>
      <c r="O982" s="31"/>
      <c r="P982" s="4"/>
      <c r="S982" s="57"/>
      <c r="X982" s="4"/>
    </row>
    <row r="983" spans="1:24" hidden="1" x14ac:dyDescent="0.35">
      <c r="A983">
        <v>979</v>
      </c>
      <c r="B983">
        <v>980</v>
      </c>
      <c r="C983">
        <v>146.10262235299899</v>
      </c>
      <c r="D983">
        <v>-17.6537392910999</v>
      </c>
      <c r="E983">
        <v>50</v>
      </c>
      <c r="G983" s="92"/>
      <c r="I983">
        <v>8</v>
      </c>
      <c r="J983" t="s">
        <v>26</v>
      </c>
      <c r="K983" s="52"/>
      <c r="L983" s="31"/>
      <c r="M983" s="31"/>
      <c r="N983" s="31"/>
      <c r="O983" s="31"/>
      <c r="P983" s="4"/>
      <c r="S983" s="57"/>
      <c r="X983" s="4"/>
    </row>
    <row r="984" spans="1:24" hidden="1" x14ac:dyDescent="0.35">
      <c r="A984">
        <v>980</v>
      </c>
      <c r="B984">
        <v>981</v>
      </c>
      <c r="C984">
        <v>146.102675699999</v>
      </c>
      <c r="D984">
        <v>-17.6538081636999</v>
      </c>
      <c r="G984" s="92"/>
      <c r="I984">
        <v>8</v>
      </c>
      <c r="J984" t="s">
        <v>26</v>
      </c>
      <c r="K984" s="52"/>
      <c r="L984" s="31"/>
      <c r="M984" s="31"/>
      <c r="N984" s="31"/>
      <c r="O984" s="31"/>
      <c r="P984" s="4"/>
      <c r="S984" s="57"/>
      <c r="X984" s="4"/>
    </row>
    <row r="985" spans="1:24" hidden="1" x14ac:dyDescent="0.35">
      <c r="A985">
        <v>981</v>
      </c>
      <c r="B985">
        <v>982</v>
      </c>
      <c r="C985">
        <v>146.10272904600001</v>
      </c>
      <c r="D985">
        <v>-17.6538770362999</v>
      </c>
      <c r="G985" s="92"/>
      <c r="I985">
        <v>8</v>
      </c>
      <c r="J985" t="s">
        <v>26</v>
      </c>
      <c r="K985" s="57"/>
      <c r="L985" s="31"/>
      <c r="M985" s="31"/>
      <c r="N985" s="31"/>
      <c r="O985" s="31"/>
      <c r="S985" s="57"/>
      <c r="X985" s="57"/>
    </row>
    <row r="986" spans="1:24" hidden="1" x14ac:dyDescent="0.35">
      <c r="A986">
        <v>982</v>
      </c>
      <c r="B986">
        <v>983</v>
      </c>
      <c r="C986">
        <v>146.10275885600001</v>
      </c>
      <c r="D986">
        <v>-17.653957457200001</v>
      </c>
      <c r="G986" s="92"/>
      <c r="I986">
        <v>8</v>
      </c>
      <c r="J986" t="s">
        <v>26</v>
      </c>
      <c r="K986" s="57"/>
      <c r="L986" s="31"/>
      <c r="M986" s="31"/>
      <c r="N986" s="31"/>
      <c r="O986" s="31"/>
      <c r="S986" s="57"/>
      <c r="X986" s="57"/>
    </row>
    <row r="987" spans="1:24" hidden="1" x14ac:dyDescent="0.35">
      <c r="A987">
        <v>983</v>
      </c>
      <c r="B987">
        <v>984</v>
      </c>
      <c r="C987">
        <v>146.10278670400001</v>
      </c>
      <c r="D987">
        <v>-17.654038841199899</v>
      </c>
      <c r="G987" s="92"/>
      <c r="I987">
        <v>8</v>
      </c>
      <c r="J987" t="s">
        <v>26</v>
      </c>
      <c r="K987" s="57"/>
      <c r="L987" s="31"/>
      <c r="M987" s="31"/>
      <c r="N987" s="31"/>
      <c r="O987" s="31"/>
      <c r="S987" s="57"/>
      <c r="X987" s="57"/>
    </row>
    <row r="988" spans="1:24" hidden="1" x14ac:dyDescent="0.35">
      <c r="A988">
        <v>984</v>
      </c>
      <c r="B988">
        <v>985</v>
      </c>
      <c r="C988">
        <v>146.10279098199899</v>
      </c>
      <c r="D988">
        <v>-17.654123739900001</v>
      </c>
      <c r="G988" s="92"/>
      <c r="I988">
        <v>8</v>
      </c>
      <c r="J988" t="s">
        <v>26</v>
      </c>
      <c r="K988" s="57"/>
      <c r="L988" s="31"/>
      <c r="M988" s="31"/>
      <c r="N988" s="31"/>
      <c r="O988" s="31"/>
      <c r="S988" s="57"/>
      <c r="X988" s="57"/>
    </row>
    <row r="989" spans="1:24" hidden="1" x14ac:dyDescent="0.35">
      <c r="A989">
        <v>985</v>
      </c>
      <c r="B989">
        <v>986</v>
      </c>
      <c r="C989">
        <v>146.102776847999</v>
      </c>
      <c r="D989">
        <v>-17.654207784299899</v>
      </c>
      <c r="G989" s="92"/>
      <c r="I989">
        <v>8</v>
      </c>
      <c r="J989" t="s">
        <v>26</v>
      </c>
      <c r="K989" s="57"/>
      <c r="L989" s="31"/>
      <c r="M989" s="31"/>
      <c r="N989" s="31"/>
      <c r="O989" s="31"/>
      <c r="S989" s="57"/>
      <c r="X989" s="57"/>
    </row>
    <row r="990" spans="1:24" hidden="1" x14ac:dyDescent="0.35">
      <c r="A990">
        <v>986</v>
      </c>
      <c r="B990">
        <v>987</v>
      </c>
      <c r="C990">
        <v>146.102756166999</v>
      </c>
      <c r="D990">
        <v>-17.654291085699899</v>
      </c>
      <c r="G990" s="92"/>
      <c r="I990">
        <v>8</v>
      </c>
      <c r="J990" t="s">
        <v>26</v>
      </c>
      <c r="K990" s="57"/>
      <c r="L990" s="31"/>
      <c r="M990" s="31"/>
      <c r="N990" s="31"/>
      <c r="O990" s="31"/>
      <c r="S990" s="57"/>
      <c r="X990" s="57"/>
    </row>
    <row r="991" spans="1:24" hidden="1" x14ac:dyDescent="0.35">
      <c r="A991">
        <v>987</v>
      </c>
      <c r="B991">
        <v>988</v>
      </c>
      <c r="C991">
        <v>146.102735486</v>
      </c>
      <c r="D991">
        <v>-17.654374387099899</v>
      </c>
      <c r="G991" s="92"/>
      <c r="I991">
        <v>8</v>
      </c>
      <c r="J991" t="s">
        <v>26</v>
      </c>
      <c r="K991" s="57"/>
      <c r="L991" s="31"/>
      <c r="M991" s="31"/>
      <c r="N991" s="31"/>
      <c r="O991" s="31"/>
      <c r="S991" s="57"/>
      <c r="X991" s="57"/>
    </row>
    <row r="992" spans="1:24" hidden="1" x14ac:dyDescent="0.35">
      <c r="A992">
        <v>988</v>
      </c>
      <c r="B992">
        <v>989</v>
      </c>
      <c r="C992">
        <v>146.10271480500001</v>
      </c>
      <c r="D992">
        <v>-17.654457688400001</v>
      </c>
      <c r="G992" s="92"/>
      <c r="I992">
        <v>8</v>
      </c>
      <c r="J992" t="s">
        <v>26</v>
      </c>
      <c r="K992" s="57"/>
      <c r="L992" s="31"/>
      <c r="M992" s="31"/>
      <c r="N992" s="31"/>
      <c r="O992" s="31"/>
      <c r="S992" s="57"/>
      <c r="X992" s="57"/>
    </row>
    <row r="993" spans="1:24" hidden="1" x14ac:dyDescent="0.35">
      <c r="A993">
        <v>989</v>
      </c>
      <c r="B993">
        <v>990</v>
      </c>
      <c r="C993">
        <v>146.102696608999</v>
      </c>
      <c r="D993">
        <v>-17.654541436999899</v>
      </c>
      <c r="G993" s="92"/>
      <c r="I993">
        <v>8</v>
      </c>
      <c r="J993" t="s">
        <v>26</v>
      </c>
      <c r="K993" s="57"/>
      <c r="L993" s="31"/>
      <c r="M993" s="31"/>
      <c r="N993" s="31"/>
      <c r="O993" s="31"/>
      <c r="S993" s="57"/>
      <c r="X993" s="57"/>
    </row>
    <row r="994" spans="1:24" hidden="1" x14ac:dyDescent="0.35">
      <c r="A994">
        <v>990</v>
      </c>
      <c r="B994">
        <v>991</v>
      </c>
      <c r="C994">
        <v>146.102683987999</v>
      </c>
      <c r="D994">
        <v>-17.654626188600002</v>
      </c>
      <c r="G994" s="92"/>
      <c r="I994">
        <v>8</v>
      </c>
      <c r="J994" t="s">
        <v>26</v>
      </c>
      <c r="K994" s="57"/>
      <c r="L994" s="31"/>
      <c r="M994" s="31"/>
      <c r="N994" s="31"/>
      <c r="O994" s="31"/>
      <c r="S994" s="57"/>
      <c r="X994" s="57"/>
    </row>
    <row r="995" spans="1:24" hidden="1" x14ac:dyDescent="0.35">
      <c r="A995">
        <v>991</v>
      </c>
      <c r="B995">
        <v>992</v>
      </c>
      <c r="C995">
        <v>146.10267136799899</v>
      </c>
      <c r="D995">
        <v>-17.654710940200001</v>
      </c>
      <c r="G995" s="92"/>
      <c r="I995">
        <v>8</v>
      </c>
      <c r="J995" t="s">
        <v>26</v>
      </c>
      <c r="K995" s="57"/>
      <c r="L995" s="31"/>
      <c r="M995" s="31"/>
      <c r="N995" s="31"/>
      <c r="O995" s="31"/>
      <c r="S995" s="57"/>
      <c r="X995" s="57"/>
    </row>
    <row r="996" spans="1:24" hidden="1" x14ac:dyDescent="0.35">
      <c r="A996">
        <v>992</v>
      </c>
      <c r="B996">
        <v>993</v>
      </c>
      <c r="C996">
        <v>146.102669595999</v>
      </c>
      <c r="D996">
        <v>-17.654796446100001</v>
      </c>
      <c r="G996" s="92"/>
      <c r="I996">
        <v>8</v>
      </c>
      <c r="J996" t="s">
        <v>26</v>
      </c>
      <c r="K996" s="57"/>
      <c r="L996" s="31"/>
      <c r="M996" s="31"/>
      <c r="N996" s="31"/>
      <c r="O996" s="31"/>
      <c r="S996" s="57"/>
      <c r="X996" s="57"/>
    </row>
    <row r="997" spans="1:24" hidden="1" x14ac:dyDescent="0.35">
      <c r="A997">
        <v>993</v>
      </c>
      <c r="B997">
        <v>994</v>
      </c>
      <c r="C997">
        <v>146.102669171</v>
      </c>
      <c r="D997">
        <v>-17.6548820456999</v>
      </c>
      <c r="G997" s="92"/>
      <c r="I997">
        <v>8</v>
      </c>
      <c r="J997" t="s">
        <v>26</v>
      </c>
      <c r="K997" s="57"/>
      <c r="L997" s="31"/>
      <c r="M997" s="31"/>
      <c r="N997" s="31"/>
      <c r="O997" s="31"/>
      <c r="S997" s="57"/>
      <c r="X997" s="57"/>
    </row>
    <row r="998" spans="1:24" hidden="1" x14ac:dyDescent="0.35">
      <c r="A998">
        <v>994</v>
      </c>
      <c r="B998">
        <v>995</v>
      </c>
      <c r="C998">
        <v>146.10268201900001</v>
      </c>
      <c r="D998">
        <v>-17.654965768299899</v>
      </c>
      <c r="G998" s="92"/>
      <c r="I998">
        <v>8</v>
      </c>
      <c r="J998" t="s">
        <v>26</v>
      </c>
      <c r="K998" s="57"/>
      <c r="L998" s="31"/>
      <c r="M998" s="31"/>
      <c r="N998" s="31"/>
      <c r="O998" s="31"/>
      <c r="S998" s="57"/>
      <c r="X998" s="57"/>
    </row>
    <row r="999" spans="1:24" hidden="1" x14ac:dyDescent="0.35">
      <c r="A999">
        <v>995</v>
      </c>
      <c r="B999">
        <v>996</v>
      </c>
      <c r="C999">
        <v>146.102708514</v>
      </c>
      <c r="D999">
        <v>-17.6550475608</v>
      </c>
      <c r="G999" s="92"/>
      <c r="I999">
        <v>8</v>
      </c>
      <c r="J999" t="s">
        <v>26</v>
      </c>
      <c r="K999" s="57"/>
      <c r="L999" s="31"/>
      <c r="M999" s="31"/>
      <c r="N999" s="31"/>
      <c r="O999" s="31"/>
      <c r="S999" s="57"/>
      <c r="X999" s="57"/>
    </row>
    <row r="1000" spans="1:24" hidden="1" x14ac:dyDescent="0.35">
      <c r="A1000">
        <v>996</v>
      </c>
      <c r="B1000">
        <v>997</v>
      </c>
      <c r="C1000">
        <v>146.102756653</v>
      </c>
      <c r="D1000">
        <v>-17.6551191701999</v>
      </c>
      <c r="G1000" s="92"/>
      <c r="I1000">
        <v>8</v>
      </c>
      <c r="J1000" t="s">
        <v>26</v>
      </c>
      <c r="K1000" s="57"/>
      <c r="L1000" s="31"/>
      <c r="M1000" s="31"/>
      <c r="N1000" s="31"/>
      <c r="O1000" s="31"/>
      <c r="S1000" s="57"/>
      <c r="X1000" s="57"/>
    </row>
    <row r="1001" spans="1:24" hidden="1" x14ac:dyDescent="0.35">
      <c r="A1001">
        <v>997</v>
      </c>
      <c r="B1001">
        <v>998</v>
      </c>
      <c r="C1001">
        <v>146.102809038999</v>
      </c>
      <c r="D1001">
        <v>-17.655188613</v>
      </c>
      <c r="G1001" s="92"/>
      <c r="I1001">
        <v>8</v>
      </c>
      <c r="J1001" t="s">
        <v>26</v>
      </c>
      <c r="K1001" s="57"/>
      <c r="L1001" s="31"/>
      <c r="M1001" s="31"/>
      <c r="N1001" s="31"/>
      <c r="O1001" s="31"/>
      <c r="S1001" s="57"/>
      <c r="X1001" s="57"/>
    </row>
    <row r="1002" spans="1:24" hidden="1" x14ac:dyDescent="0.35">
      <c r="A1002">
        <v>998</v>
      </c>
      <c r="B1002">
        <v>999</v>
      </c>
      <c r="C1002">
        <v>146.10288243100001</v>
      </c>
      <c r="D1002">
        <v>-17.655237973399899</v>
      </c>
      <c r="G1002" s="92"/>
      <c r="I1002">
        <v>8</v>
      </c>
      <c r="J1002" t="s">
        <v>26</v>
      </c>
      <c r="K1002" s="57"/>
      <c r="L1002" s="31"/>
      <c r="M1002" s="31"/>
      <c r="N1002" s="31"/>
      <c r="O1002" s="31"/>
      <c r="S1002" s="57"/>
      <c r="X1002" s="57"/>
    </row>
    <row r="1003" spans="1:24" hidden="1" x14ac:dyDescent="0.35">
      <c r="A1003">
        <v>999</v>
      </c>
      <c r="B1003">
        <v>1000</v>
      </c>
      <c r="C1003">
        <v>146.102955823</v>
      </c>
      <c r="D1003">
        <v>-17.655287333699899</v>
      </c>
      <c r="G1003" s="92"/>
      <c r="I1003">
        <v>8</v>
      </c>
      <c r="J1003" t="s">
        <v>26</v>
      </c>
      <c r="K1003" s="57"/>
      <c r="L1003" s="31"/>
      <c r="M1003" s="31"/>
      <c r="N1003" s="31"/>
      <c r="O1003" s="31"/>
      <c r="S1003" s="57"/>
      <c r="X1003" s="57"/>
    </row>
    <row r="1004" spans="1:24" hidden="1" x14ac:dyDescent="0.35">
      <c r="A1004">
        <v>1000</v>
      </c>
      <c r="B1004">
        <v>1001</v>
      </c>
      <c r="C1004">
        <v>146.10302921600001</v>
      </c>
      <c r="D1004">
        <v>-17.655336693999899</v>
      </c>
      <c r="G1004" s="92"/>
      <c r="I1004">
        <v>8</v>
      </c>
      <c r="J1004" t="s">
        <v>26</v>
      </c>
      <c r="K1004" s="57"/>
      <c r="L1004" s="31"/>
      <c r="M1004" s="31"/>
      <c r="N1004" s="31"/>
      <c r="O1004" s="31"/>
      <c r="S1004" s="57"/>
      <c r="X1004" s="57"/>
    </row>
    <row r="1005" spans="1:24" hidden="1" x14ac:dyDescent="0.35">
      <c r="A1005">
        <v>1001</v>
      </c>
      <c r="B1005">
        <v>1002</v>
      </c>
      <c r="C1005">
        <v>146.103108735999</v>
      </c>
      <c r="D1005">
        <v>-17.6553721483</v>
      </c>
      <c r="G1005" s="92"/>
      <c r="I1005">
        <v>8</v>
      </c>
      <c r="J1005" t="s">
        <v>26</v>
      </c>
      <c r="K1005" s="57"/>
      <c r="L1005" s="31"/>
      <c r="M1005" s="31"/>
      <c r="N1005" s="31"/>
      <c r="O1005" s="31"/>
      <c r="S1005" s="57"/>
      <c r="X1005" s="57"/>
    </row>
    <row r="1006" spans="1:24" hidden="1" x14ac:dyDescent="0.35">
      <c r="A1006">
        <v>1002</v>
      </c>
      <c r="B1006">
        <v>1003</v>
      </c>
      <c r="C1006">
        <v>146.10319710799899</v>
      </c>
      <c r="D1006">
        <v>-17.6553875146999</v>
      </c>
      <c r="G1006" s="92"/>
      <c r="I1006">
        <v>8</v>
      </c>
      <c r="J1006" t="s">
        <v>26</v>
      </c>
      <c r="K1006" s="57"/>
      <c r="L1006" s="31"/>
      <c r="M1006" s="31"/>
      <c r="N1006" s="31"/>
      <c r="O1006" s="31"/>
      <c r="S1006" s="57"/>
      <c r="X1006" s="57"/>
    </row>
    <row r="1007" spans="1:24" hidden="1" x14ac:dyDescent="0.35">
      <c r="A1007">
        <v>1003</v>
      </c>
      <c r="B1007">
        <v>1004</v>
      </c>
      <c r="C1007">
        <v>146.103285481</v>
      </c>
      <c r="D1007">
        <v>-17.655402881200001</v>
      </c>
      <c r="G1007" s="92"/>
      <c r="I1007">
        <v>8</v>
      </c>
      <c r="J1007" t="s">
        <v>26</v>
      </c>
      <c r="K1007" s="57"/>
      <c r="L1007" s="31"/>
      <c r="M1007" s="31"/>
      <c r="N1007" s="31"/>
      <c r="O1007" s="31"/>
      <c r="S1007" s="57"/>
      <c r="X1007" s="57"/>
    </row>
    <row r="1008" spans="1:24" hidden="1" x14ac:dyDescent="0.35">
      <c r="A1008">
        <v>1004</v>
      </c>
      <c r="B1008">
        <v>1005</v>
      </c>
      <c r="C1008">
        <v>146.10337412000001</v>
      </c>
      <c r="D1008">
        <v>-17.655402177500001</v>
      </c>
      <c r="G1008" s="92"/>
      <c r="I1008">
        <v>8</v>
      </c>
      <c r="J1008" t="s">
        <v>26</v>
      </c>
      <c r="K1008" s="57"/>
      <c r="L1008" s="31"/>
      <c r="M1008" s="31"/>
      <c r="N1008" s="31"/>
      <c r="O1008" s="31"/>
      <c r="S1008" s="57"/>
      <c r="X1008" s="57"/>
    </row>
    <row r="1009" spans="1:24" hidden="1" x14ac:dyDescent="0.35">
      <c r="A1009">
        <v>1005</v>
      </c>
      <c r="B1009">
        <v>1006</v>
      </c>
      <c r="C1009">
        <v>146.10346295900001</v>
      </c>
      <c r="D1009">
        <v>-17.6553894874999</v>
      </c>
      <c r="G1009" s="92"/>
      <c r="I1009">
        <v>8</v>
      </c>
      <c r="J1009" t="s">
        <v>26</v>
      </c>
      <c r="K1009" s="57"/>
      <c r="L1009" s="31"/>
      <c r="M1009" s="31"/>
      <c r="N1009" s="31"/>
      <c r="O1009" s="31"/>
      <c r="S1009" s="57"/>
      <c r="X1009" s="57"/>
    </row>
    <row r="1010" spans="1:24" hidden="1" x14ac:dyDescent="0.35">
      <c r="A1010">
        <v>1006</v>
      </c>
      <c r="B1010">
        <v>1007</v>
      </c>
      <c r="C1010">
        <v>146.10355179800001</v>
      </c>
      <c r="D1010">
        <v>-17.655376797500001</v>
      </c>
      <c r="G1010" s="92"/>
      <c r="I1010">
        <v>8</v>
      </c>
      <c r="J1010" t="s">
        <v>26</v>
      </c>
      <c r="K1010" s="57"/>
      <c r="L1010" s="31"/>
      <c r="M1010" s="31"/>
      <c r="N1010" s="31"/>
      <c r="O1010" s="31"/>
      <c r="S1010" s="57"/>
      <c r="X1010" s="57"/>
    </row>
    <row r="1011" spans="1:24" hidden="1" x14ac:dyDescent="0.35">
      <c r="A1011">
        <v>1007</v>
      </c>
      <c r="B1011">
        <v>1008</v>
      </c>
      <c r="C1011">
        <v>146.103640834999</v>
      </c>
      <c r="D1011">
        <v>-17.655365654099899</v>
      </c>
      <c r="G1011" s="92"/>
      <c r="I1011">
        <v>8</v>
      </c>
      <c r="J1011" t="s">
        <v>26</v>
      </c>
      <c r="K1011" s="57"/>
      <c r="L1011" s="31"/>
      <c r="M1011" s="31"/>
      <c r="N1011" s="31"/>
      <c r="O1011" s="31"/>
      <c r="S1011" s="57"/>
      <c r="X1011" s="57"/>
    </row>
    <row r="1012" spans="1:24" hidden="1" x14ac:dyDescent="0.35">
      <c r="A1012">
        <v>1008</v>
      </c>
      <c r="B1012">
        <v>1009</v>
      </c>
      <c r="C1012">
        <v>146.10373027099899</v>
      </c>
      <c r="D1012">
        <v>-17.6553576308999</v>
      </c>
      <c r="G1012" s="92"/>
      <c r="I1012">
        <v>8</v>
      </c>
      <c r="J1012" t="s">
        <v>26</v>
      </c>
      <c r="K1012" s="57"/>
      <c r="L1012" s="31"/>
      <c r="M1012" s="31"/>
      <c r="N1012" s="31"/>
      <c r="O1012" s="31"/>
      <c r="S1012" s="57"/>
      <c r="X1012" s="57"/>
    </row>
    <row r="1013" spans="1:24" hidden="1" x14ac:dyDescent="0.35">
      <c r="A1013">
        <v>1009</v>
      </c>
      <c r="B1013">
        <v>1010</v>
      </c>
      <c r="C1013">
        <v>146.10381970700001</v>
      </c>
      <c r="D1013">
        <v>-17.655349607800002</v>
      </c>
      <c r="G1013" s="92"/>
      <c r="I1013">
        <v>8</v>
      </c>
      <c r="J1013" t="s">
        <v>26</v>
      </c>
      <c r="K1013" s="57"/>
      <c r="L1013" s="31"/>
      <c r="M1013" s="31"/>
      <c r="N1013" s="31"/>
      <c r="O1013" s="31"/>
      <c r="S1013" s="57"/>
      <c r="X1013" s="57"/>
    </row>
    <row r="1014" spans="1:24" hidden="1" x14ac:dyDescent="0.35">
      <c r="A1014">
        <v>1010</v>
      </c>
      <c r="B1014">
        <v>1011</v>
      </c>
      <c r="C1014">
        <v>146.10390914300001</v>
      </c>
      <c r="D1014">
        <v>-17.655341584599899</v>
      </c>
      <c r="G1014" s="92"/>
      <c r="I1014">
        <v>8</v>
      </c>
      <c r="J1014" t="s">
        <v>26</v>
      </c>
      <c r="K1014" s="57"/>
      <c r="L1014" s="31"/>
      <c r="M1014" s="31"/>
      <c r="N1014" s="31"/>
      <c r="O1014" s="31"/>
      <c r="S1014" s="57"/>
      <c r="X1014" s="57"/>
    </row>
    <row r="1015" spans="1:24" hidden="1" x14ac:dyDescent="0.35">
      <c r="A1015">
        <v>1011</v>
      </c>
      <c r="B1015">
        <v>1012</v>
      </c>
      <c r="C1015">
        <v>146.10399857900001</v>
      </c>
      <c r="D1015">
        <v>-17.655333561500001</v>
      </c>
      <c r="G1015" s="92"/>
      <c r="I1015">
        <v>8</v>
      </c>
      <c r="J1015" t="s">
        <v>26</v>
      </c>
      <c r="K1015" s="57"/>
      <c r="L1015" s="31"/>
      <c r="M1015" s="31"/>
      <c r="N1015" s="31"/>
      <c r="O1015" s="31"/>
      <c r="S1015" s="57"/>
      <c r="X1015" s="57"/>
    </row>
    <row r="1016" spans="1:24" hidden="1" x14ac:dyDescent="0.35">
      <c r="A1016">
        <v>1012</v>
      </c>
      <c r="B1016">
        <v>1013</v>
      </c>
      <c r="C1016">
        <v>146.10408812200001</v>
      </c>
      <c r="D1016">
        <v>-17.6553272162</v>
      </c>
      <c r="G1016" s="92"/>
      <c r="I1016">
        <v>8</v>
      </c>
      <c r="J1016" t="s">
        <v>26</v>
      </c>
      <c r="K1016" s="57"/>
      <c r="L1016" s="31"/>
      <c r="M1016" s="31"/>
      <c r="N1016" s="31"/>
      <c r="O1016" s="31"/>
      <c r="S1016" s="57"/>
      <c r="X1016" s="57"/>
    </row>
    <row r="1017" spans="1:24" hidden="1" x14ac:dyDescent="0.35">
      <c r="A1017">
        <v>1013</v>
      </c>
      <c r="B1017">
        <v>1014</v>
      </c>
      <c r="C1017">
        <v>146.104177918999</v>
      </c>
      <c r="D1017">
        <v>-17.6553248477999</v>
      </c>
      <c r="G1017" s="92"/>
      <c r="I1017">
        <v>8</v>
      </c>
      <c r="J1017" t="s">
        <v>26</v>
      </c>
      <c r="K1017" s="57"/>
      <c r="L1017" s="31"/>
      <c r="M1017" s="31"/>
      <c r="N1017" s="31"/>
      <c r="O1017" s="31"/>
      <c r="S1017" s="57"/>
      <c r="X1017" s="57"/>
    </row>
    <row r="1018" spans="1:24" hidden="1" x14ac:dyDescent="0.35">
      <c r="A1018">
        <v>1014</v>
      </c>
      <c r="B1018">
        <v>1015</v>
      </c>
      <c r="C1018">
        <v>146.104267716999</v>
      </c>
      <c r="D1018">
        <v>-17.655322479399899</v>
      </c>
      <c r="G1018" s="92"/>
      <c r="I1018">
        <v>8</v>
      </c>
      <c r="J1018" t="s">
        <v>26</v>
      </c>
      <c r="K1018" s="57"/>
      <c r="L1018" s="31"/>
      <c r="M1018" s="31"/>
      <c r="N1018" s="31"/>
      <c r="O1018" s="31"/>
      <c r="S1018" s="57"/>
      <c r="X1018" s="57"/>
    </row>
    <row r="1019" spans="1:24" hidden="1" x14ac:dyDescent="0.35">
      <c r="A1019">
        <v>1015</v>
      </c>
      <c r="B1019">
        <v>1016</v>
      </c>
      <c r="C1019">
        <v>146.10435753900001</v>
      </c>
      <c r="D1019">
        <v>-17.6553217095999</v>
      </c>
      <c r="G1019" s="92"/>
      <c r="I1019">
        <v>8</v>
      </c>
      <c r="J1019" t="s">
        <v>26</v>
      </c>
      <c r="K1019" s="57"/>
      <c r="L1019" s="31"/>
      <c r="M1019" s="31"/>
      <c r="N1019" s="31"/>
      <c r="O1019" s="31"/>
      <c r="S1019" s="57"/>
      <c r="X1019" s="57"/>
    </row>
    <row r="1020" spans="1:24" hidden="1" x14ac:dyDescent="0.35">
      <c r="A1020">
        <v>1016</v>
      </c>
      <c r="B1020">
        <v>1017</v>
      </c>
      <c r="C1020">
        <v>146.10444737</v>
      </c>
      <c r="D1020">
        <v>-17.6553214748999</v>
      </c>
      <c r="G1020" s="92"/>
      <c r="I1020">
        <v>8</v>
      </c>
      <c r="J1020" t="s">
        <v>26</v>
      </c>
      <c r="K1020" s="57"/>
      <c r="L1020" s="31"/>
      <c r="M1020" s="31"/>
      <c r="N1020" s="31"/>
      <c r="O1020" s="31"/>
      <c r="S1020" s="57"/>
      <c r="X1020" s="57"/>
    </row>
    <row r="1021" spans="1:24" hidden="1" x14ac:dyDescent="0.35">
      <c r="A1021">
        <v>1017</v>
      </c>
      <c r="B1021">
        <v>1018</v>
      </c>
      <c r="C1021">
        <v>146.10453720199899</v>
      </c>
      <c r="D1021">
        <v>-17.6553212401999</v>
      </c>
      <c r="G1021" s="92"/>
      <c r="I1021">
        <v>8</v>
      </c>
      <c r="J1021" t="s">
        <v>26</v>
      </c>
      <c r="K1021" s="57"/>
      <c r="L1021" s="31"/>
      <c r="M1021" s="31"/>
      <c r="N1021" s="31"/>
      <c r="O1021" s="31"/>
      <c r="S1021" s="57"/>
      <c r="X1021" s="57"/>
    </row>
    <row r="1022" spans="1:24" hidden="1" x14ac:dyDescent="0.35">
      <c r="A1022">
        <v>1018</v>
      </c>
      <c r="B1022">
        <v>1019</v>
      </c>
      <c r="C1022">
        <v>146.10462697899899</v>
      </c>
      <c r="D1022">
        <v>-17.655318280100001</v>
      </c>
      <c r="G1022" s="92"/>
      <c r="I1022">
        <v>8</v>
      </c>
      <c r="J1022" t="s">
        <v>26</v>
      </c>
      <c r="K1022" s="57"/>
      <c r="L1022" s="31"/>
      <c r="M1022" s="31"/>
      <c r="N1022" s="31"/>
      <c r="O1022" s="31"/>
      <c r="S1022" s="57"/>
      <c r="X1022" s="57"/>
    </row>
    <row r="1023" spans="1:24" hidden="1" x14ac:dyDescent="0.35">
      <c r="A1023">
        <v>1019</v>
      </c>
      <c r="B1023">
        <v>1020</v>
      </c>
      <c r="C1023">
        <v>146.10471675700001</v>
      </c>
      <c r="D1023">
        <v>-17.6553153133999</v>
      </c>
      <c r="G1023" s="92"/>
      <c r="I1023">
        <v>8</v>
      </c>
      <c r="J1023" t="s">
        <v>26</v>
      </c>
      <c r="K1023" s="57"/>
      <c r="L1023" s="31"/>
      <c r="M1023" s="31"/>
      <c r="N1023" s="31"/>
      <c r="O1023" s="31"/>
      <c r="S1023" s="57"/>
      <c r="X1023" s="57"/>
    </row>
    <row r="1024" spans="1:24" hidden="1" x14ac:dyDescent="0.35">
      <c r="A1024">
        <v>1020</v>
      </c>
      <c r="B1024">
        <v>1021</v>
      </c>
      <c r="C1024">
        <v>146.10480653400001</v>
      </c>
      <c r="D1024">
        <v>-17.655312346700001</v>
      </c>
      <c r="G1024" s="92"/>
      <c r="I1024">
        <v>8</v>
      </c>
      <c r="J1024" t="s">
        <v>26</v>
      </c>
      <c r="K1024" s="57"/>
      <c r="L1024" s="31"/>
      <c r="M1024" s="31"/>
      <c r="N1024" s="31"/>
      <c r="O1024" s="31"/>
      <c r="S1024" s="57"/>
      <c r="X1024" s="57"/>
    </row>
    <row r="1025" spans="1:24" hidden="1" x14ac:dyDescent="0.35">
      <c r="A1025">
        <v>1021</v>
      </c>
      <c r="B1025">
        <v>1022</v>
      </c>
      <c r="C1025">
        <v>146.104896311999</v>
      </c>
      <c r="D1025">
        <v>-17.655309379999899</v>
      </c>
      <c r="G1025" s="92"/>
      <c r="I1025">
        <v>8</v>
      </c>
      <c r="J1025" t="s">
        <v>26</v>
      </c>
      <c r="K1025" s="57"/>
      <c r="L1025" s="31"/>
      <c r="M1025" s="31"/>
      <c r="N1025" s="31"/>
      <c r="O1025" s="31"/>
      <c r="S1025" s="57"/>
      <c r="X1025" s="57"/>
    </row>
    <row r="1026" spans="1:24" hidden="1" x14ac:dyDescent="0.35">
      <c r="A1026">
        <v>1022</v>
      </c>
      <c r="B1026">
        <v>1023</v>
      </c>
      <c r="C1026">
        <v>146.10498564599899</v>
      </c>
      <c r="D1026">
        <v>-17.655316789499899</v>
      </c>
      <c r="G1026" s="92"/>
      <c r="I1026">
        <v>8</v>
      </c>
      <c r="J1026" t="s">
        <v>26</v>
      </c>
      <c r="K1026" s="57"/>
      <c r="L1026" s="31"/>
      <c r="M1026" s="31"/>
      <c r="N1026" s="31"/>
      <c r="O1026" s="31"/>
      <c r="S1026" s="57"/>
      <c r="X1026" s="57"/>
    </row>
    <row r="1027" spans="1:24" hidden="1" x14ac:dyDescent="0.35">
      <c r="A1027">
        <v>1023</v>
      </c>
      <c r="B1027">
        <v>1024</v>
      </c>
      <c r="C1027">
        <v>146.10507487300001</v>
      </c>
      <c r="D1027">
        <v>-17.655326704699899</v>
      </c>
      <c r="G1027" s="92"/>
      <c r="I1027">
        <v>8</v>
      </c>
      <c r="J1027" t="s">
        <v>26</v>
      </c>
      <c r="K1027" s="57"/>
      <c r="L1027" s="31"/>
      <c r="M1027" s="31"/>
      <c r="N1027" s="31"/>
      <c r="O1027" s="31"/>
      <c r="S1027" s="57"/>
      <c r="X1027" s="57"/>
    </row>
    <row r="1028" spans="1:24" hidden="1" x14ac:dyDescent="0.35">
      <c r="A1028">
        <v>1024</v>
      </c>
      <c r="B1028">
        <v>1025</v>
      </c>
      <c r="C1028">
        <v>146.105164099999</v>
      </c>
      <c r="D1028">
        <v>-17.655336619900002</v>
      </c>
      <c r="G1028" s="92"/>
      <c r="I1028">
        <v>8</v>
      </c>
      <c r="J1028" t="s">
        <v>26</v>
      </c>
      <c r="K1028" s="57"/>
      <c r="L1028" s="31"/>
      <c r="M1028" s="31"/>
      <c r="N1028" s="31"/>
      <c r="O1028" s="31"/>
      <c r="S1028" s="57"/>
      <c r="X1028" s="57"/>
    </row>
    <row r="1029" spans="1:24" hidden="1" x14ac:dyDescent="0.35">
      <c r="A1029">
        <v>1025</v>
      </c>
      <c r="B1029">
        <v>1026</v>
      </c>
      <c r="C1029">
        <v>146.105252804</v>
      </c>
      <c r="D1029">
        <v>-17.6553484714</v>
      </c>
      <c r="G1029" s="92"/>
      <c r="I1029">
        <v>8</v>
      </c>
      <c r="J1029" t="s">
        <v>26</v>
      </c>
      <c r="K1029" s="57"/>
      <c r="L1029" s="31"/>
      <c r="M1029" s="31"/>
      <c r="N1029" s="31"/>
      <c r="O1029" s="31"/>
      <c r="S1029" s="57"/>
      <c r="X1029" s="57"/>
    </row>
    <row r="1030" spans="1:24" hidden="1" x14ac:dyDescent="0.35">
      <c r="A1030">
        <v>1026</v>
      </c>
      <c r="B1030">
        <v>1027</v>
      </c>
      <c r="C1030">
        <v>146.10533598000001</v>
      </c>
      <c r="D1030">
        <v>-17.655380807299899</v>
      </c>
      <c r="G1030" s="92"/>
      <c r="I1030">
        <v>8</v>
      </c>
      <c r="J1030" t="s">
        <v>26</v>
      </c>
      <c r="K1030" s="57"/>
      <c r="L1030" s="31"/>
      <c r="M1030" s="31"/>
      <c r="N1030" s="31"/>
      <c r="O1030" s="31"/>
      <c r="S1030" s="57"/>
      <c r="X1030" s="57"/>
    </row>
    <row r="1031" spans="1:24" hidden="1" x14ac:dyDescent="0.35">
      <c r="A1031">
        <v>1027</v>
      </c>
      <c r="B1031">
        <v>1028</v>
      </c>
      <c r="C1031">
        <v>146.10541279500001</v>
      </c>
      <c r="D1031">
        <v>-17.655422188500001</v>
      </c>
      <c r="G1031" s="92"/>
      <c r="I1031">
        <v>8</v>
      </c>
      <c r="J1031" t="s">
        <v>26</v>
      </c>
      <c r="K1031" s="57"/>
      <c r="L1031" s="31"/>
      <c r="M1031" s="31"/>
      <c r="N1031" s="31"/>
      <c r="O1031" s="31"/>
      <c r="S1031" s="57"/>
      <c r="X1031" s="57"/>
    </row>
    <row r="1032" spans="1:24" hidden="1" x14ac:dyDescent="0.35">
      <c r="A1032">
        <v>1028</v>
      </c>
      <c r="B1032">
        <v>1029</v>
      </c>
      <c r="C1032">
        <v>146.10546956600001</v>
      </c>
      <c r="D1032">
        <v>-17.655487414300001</v>
      </c>
      <c r="G1032" s="92"/>
      <c r="I1032">
        <v>8</v>
      </c>
      <c r="J1032" t="s">
        <v>26</v>
      </c>
      <c r="K1032" s="57"/>
      <c r="L1032" s="31"/>
      <c r="M1032" s="31"/>
      <c r="N1032" s="31"/>
      <c r="O1032" s="31"/>
      <c r="S1032" s="57"/>
      <c r="X1032" s="57"/>
    </row>
    <row r="1033" spans="1:24" hidden="1" x14ac:dyDescent="0.35">
      <c r="A1033">
        <v>1029</v>
      </c>
      <c r="B1033">
        <v>1030</v>
      </c>
      <c r="C1033">
        <v>146.105505983999</v>
      </c>
      <c r="D1033">
        <v>-17.655565316699899</v>
      </c>
      <c r="G1033" s="92"/>
      <c r="I1033">
        <v>8</v>
      </c>
      <c r="J1033" t="s">
        <v>26</v>
      </c>
      <c r="K1033" s="57"/>
      <c r="L1033" s="31"/>
      <c r="M1033" s="31"/>
      <c r="N1033" s="31"/>
      <c r="O1033" s="31"/>
      <c r="S1033" s="57"/>
      <c r="X1033" s="57"/>
    </row>
    <row r="1034" spans="1:24" hidden="1" x14ac:dyDescent="0.35">
      <c r="A1034">
        <v>1030</v>
      </c>
      <c r="B1034">
        <v>1031</v>
      </c>
      <c r="C1034">
        <v>146.105523723</v>
      </c>
      <c r="D1034">
        <v>-17.655648898700001</v>
      </c>
      <c r="G1034" s="92"/>
      <c r="I1034">
        <v>8</v>
      </c>
      <c r="J1034" t="s">
        <v>26</v>
      </c>
      <c r="K1034" s="57"/>
      <c r="L1034" s="31"/>
      <c r="M1034" s="31"/>
      <c r="N1034" s="31"/>
      <c r="O1034" s="31"/>
      <c r="S1034" s="57"/>
      <c r="X1034" s="57"/>
    </row>
    <row r="1035" spans="1:24" hidden="1" x14ac:dyDescent="0.35">
      <c r="A1035">
        <v>1031</v>
      </c>
      <c r="B1035">
        <v>1032</v>
      </c>
      <c r="C1035">
        <v>146.105509726999</v>
      </c>
      <c r="D1035">
        <v>-17.655733453500002</v>
      </c>
      <c r="G1035" s="92"/>
      <c r="I1035">
        <v>8</v>
      </c>
      <c r="J1035" t="s">
        <v>26</v>
      </c>
      <c r="K1035" s="57"/>
      <c r="L1035" s="31"/>
      <c r="M1035" s="31"/>
      <c r="N1035" s="31"/>
      <c r="O1035" s="31"/>
      <c r="S1035" s="57"/>
      <c r="X1035" s="57"/>
    </row>
    <row r="1036" spans="1:24" hidden="1" x14ac:dyDescent="0.35">
      <c r="A1036">
        <v>1032</v>
      </c>
      <c r="B1036">
        <v>1033</v>
      </c>
      <c r="C1036">
        <v>146.10547304400001</v>
      </c>
      <c r="D1036">
        <v>-17.6558114925</v>
      </c>
      <c r="G1036" s="92"/>
      <c r="I1036">
        <v>8</v>
      </c>
      <c r="J1036" t="s">
        <v>26</v>
      </c>
      <c r="K1036" s="57"/>
      <c r="L1036" s="31"/>
      <c r="M1036" s="31"/>
      <c r="N1036" s="31"/>
      <c r="O1036" s="31"/>
      <c r="S1036" s="57"/>
      <c r="X1036" s="57"/>
    </row>
    <row r="1037" spans="1:24" hidden="1" x14ac:dyDescent="0.35">
      <c r="A1037">
        <v>1033</v>
      </c>
      <c r="B1037">
        <v>1034</v>
      </c>
      <c r="C1037">
        <v>146.10540368100001</v>
      </c>
      <c r="D1037">
        <v>-17.6558655053</v>
      </c>
      <c r="G1037" s="92"/>
      <c r="I1037">
        <v>8</v>
      </c>
      <c r="J1037" t="s">
        <v>26</v>
      </c>
      <c r="K1037" s="57"/>
      <c r="L1037" s="31"/>
      <c r="M1037" s="31"/>
      <c r="N1037" s="31"/>
      <c r="O1037" s="31"/>
      <c r="S1037" s="57"/>
      <c r="X1037" s="57"/>
    </row>
    <row r="1038" spans="1:24" hidden="1" x14ac:dyDescent="0.35">
      <c r="A1038">
        <v>1034</v>
      </c>
      <c r="B1038">
        <v>1035</v>
      </c>
      <c r="C1038">
        <v>146.105320616</v>
      </c>
      <c r="D1038">
        <v>-17.6558972513999</v>
      </c>
      <c r="G1038" s="92"/>
      <c r="I1038">
        <v>8</v>
      </c>
      <c r="J1038" t="s">
        <v>26</v>
      </c>
      <c r="K1038" s="57"/>
      <c r="L1038" s="31"/>
      <c r="M1038" s="31"/>
      <c r="N1038" s="31"/>
      <c r="O1038" s="31"/>
      <c r="S1038" s="57"/>
      <c r="X1038" s="57"/>
    </row>
    <row r="1039" spans="1:24" hidden="1" x14ac:dyDescent="0.35">
      <c r="A1039">
        <v>1035</v>
      </c>
      <c r="B1039">
        <v>1036</v>
      </c>
      <c r="C1039">
        <v>146.10523532900001</v>
      </c>
      <c r="D1039">
        <v>-17.6559239382999</v>
      </c>
      <c r="G1039" s="92"/>
      <c r="I1039">
        <v>8</v>
      </c>
      <c r="J1039" t="s">
        <v>26</v>
      </c>
      <c r="K1039" s="57"/>
      <c r="L1039" s="31"/>
      <c r="M1039" s="31"/>
      <c r="N1039" s="31"/>
      <c r="O1039" s="31"/>
      <c r="S1039" s="57"/>
      <c r="X1039" s="57"/>
    </row>
    <row r="1040" spans="1:24" hidden="1" x14ac:dyDescent="0.35">
      <c r="A1040">
        <v>1036</v>
      </c>
      <c r="B1040">
        <v>1037</v>
      </c>
      <c r="C1040">
        <v>146.105149011999</v>
      </c>
      <c r="D1040">
        <v>-17.6559476503</v>
      </c>
      <c r="G1040" s="92"/>
      <c r="I1040">
        <v>8</v>
      </c>
      <c r="J1040" t="s">
        <v>26</v>
      </c>
      <c r="K1040" s="57"/>
      <c r="L1040" s="31"/>
      <c r="M1040" s="31"/>
      <c r="N1040" s="31"/>
      <c r="O1040" s="31"/>
      <c r="S1040" s="57"/>
      <c r="X1040" s="57"/>
    </row>
    <row r="1041" spans="1:24" hidden="1" x14ac:dyDescent="0.35">
      <c r="A1041">
        <v>1037</v>
      </c>
      <c r="B1041">
        <v>1038</v>
      </c>
      <c r="C1041">
        <v>146.10506236800001</v>
      </c>
      <c r="D1041">
        <v>-17.6559702114</v>
      </c>
      <c r="G1041" s="92"/>
      <c r="I1041">
        <v>8</v>
      </c>
      <c r="J1041" t="s">
        <v>26</v>
      </c>
      <c r="K1041" s="57"/>
      <c r="L1041" s="31"/>
      <c r="M1041" s="31"/>
      <c r="N1041" s="31"/>
      <c r="O1041" s="31"/>
      <c r="S1041" s="57"/>
      <c r="X1041" s="57"/>
    </row>
    <row r="1042" spans="1:24" hidden="1" x14ac:dyDescent="0.35">
      <c r="A1042">
        <v>1038</v>
      </c>
      <c r="B1042">
        <v>1039</v>
      </c>
      <c r="C1042">
        <v>146.104975338</v>
      </c>
      <c r="D1042">
        <v>-17.6559914216</v>
      </c>
      <c r="G1042" s="92"/>
      <c r="I1042">
        <v>8</v>
      </c>
      <c r="J1042" t="s">
        <v>26</v>
      </c>
      <c r="K1042" s="57"/>
      <c r="L1042" s="31"/>
      <c r="M1042" s="31"/>
      <c r="N1042" s="31"/>
      <c r="O1042" s="31"/>
      <c r="S1042" s="57"/>
      <c r="X1042" s="57"/>
    </row>
    <row r="1043" spans="1:24" hidden="1" x14ac:dyDescent="0.35">
      <c r="A1043">
        <v>1039</v>
      </c>
      <c r="B1043">
        <v>1040</v>
      </c>
      <c r="C1043">
        <v>146.104889345999</v>
      </c>
      <c r="D1043">
        <v>-17.656015338300001</v>
      </c>
      <c r="G1043" s="92"/>
      <c r="I1043">
        <v>8</v>
      </c>
      <c r="J1043" t="s">
        <v>26</v>
      </c>
      <c r="K1043" s="57"/>
      <c r="L1043" s="31"/>
      <c r="M1043" s="31"/>
      <c r="N1043" s="31"/>
      <c r="O1043" s="31"/>
      <c r="S1043" s="57"/>
      <c r="X1043" s="57"/>
    </row>
    <row r="1044" spans="1:24" hidden="1" x14ac:dyDescent="0.35">
      <c r="A1044">
        <v>1040</v>
      </c>
      <c r="B1044">
        <v>1041</v>
      </c>
      <c r="C1044">
        <v>146.104808496</v>
      </c>
      <c r="D1044">
        <v>-17.656052647100001</v>
      </c>
      <c r="G1044" s="92"/>
      <c r="I1044">
        <v>8</v>
      </c>
      <c r="J1044" t="s">
        <v>26</v>
      </c>
      <c r="K1044" s="57"/>
      <c r="L1044" s="31"/>
      <c r="M1044" s="31"/>
      <c r="N1044" s="31"/>
      <c r="O1044" s="31"/>
      <c r="S1044" s="57"/>
      <c r="X1044" s="57"/>
    </row>
    <row r="1045" spans="1:24" hidden="1" x14ac:dyDescent="0.35">
      <c r="A1045">
        <v>1041</v>
      </c>
      <c r="B1045">
        <v>1042</v>
      </c>
      <c r="C1045">
        <v>146.10472764599899</v>
      </c>
      <c r="D1045">
        <v>-17.656089956399899</v>
      </c>
      <c r="G1045" s="92"/>
      <c r="I1045">
        <v>8</v>
      </c>
      <c r="J1045" t="s">
        <v>26</v>
      </c>
      <c r="K1045" s="57"/>
      <c r="L1045" s="31"/>
      <c r="M1045" s="31"/>
      <c r="N1045" s="31"/>
      <c r="O1045" s="31"/>
      <c r="S1045" s="57"/>
      <c r="X1045" s="57"/>
    </row>
    <row r="1046" spans="1:24" hidden="1" x14ac:dyDescent="0.35">
      <c r="A1046">
        <v>1042</v>
      </c>
      <c r="B1046">
        <v>1043</v>
      </c>
      <c r="C1046">
        <v>146.10464679699899</v>
      </c>
      <c r="D1046">
        <v>-17.656127265599899</v>
      </c>
      <c r="G1046" s="92"/>
      <c r="I1046">
        <v>8</v>
      </c>
      <c r="J1046" t="s">
        <v>26</v>
      </c>
      <c r="K1046" s="57"/>
      <c r="L1046" s="31"/>
      <c r="M1046" s="31"/>
      <c r="N1046" s="31"/>
      <c r="O1046" s="31"/>
      <c r="S1046" s="57"/>
      <c r="X1046" s="57"/>
    </row>
    <row r="1047" spans="1:24" hidden="1" x14ac:dyDescent="0.35">
      <c r="A1047">
        <v>1043</v>
      </c>
      <c r="B1047">
        <v>1044</v>
      </c>
      <c r="C1047">
        <v>146.104564030999</v>
      </c>
      <c r="D1047">
        <v>-17.6561603281</v>
      </c>
      <c r="G1047" s="92"/>
      <c r="I1047">
        <v>8</v>
      </c>
      <c r="J1047" t="s">
        <v>26</v>
      </c>
      <c r="K1047" s="57"/>
      <c r="L1047" s="31"/>
      <c r="M1047" s="31"/>
      <c r="N1047" s="31"/>
      <c r="O1047" s="31"/>
      <c r="S1047" s="57"/>
      <c r="X1047" s="57"/>
    </row>
    <row r="1048" spans="1:24" hidden="1" x14ac:dyDescent="0.35">
      <c r="A1048">
        <v>1044</v>
      </c>
      <c r="B1048">
        <v>1045</v>
      </c>
      <c r="C1048">
        <v>146.104479991999</v>
      </c>
      <c r="D1048">
        <v>-17.656190568500001</v>
      </c>
      <c r="G1048" s="92"/>
      <c r="I1048">
        <v>8</v>
      </c>
      <c r="J1048" t="s">
        <v>26</v>
      </c>
      <c r="K1048" s="57"/>
      <c r="L1048" s="31"/>
      <c r="M1048" s="31"/>
      <c r="N1048" s="31"/>
      <c r="O1048" s="31"/>
      <c r="S1048" s="57"/>
      <c r="X1048" s="57"/>
    </row>
    <row r="1049" spans="1:24" hidden="1" x14ac:dyDescent="0.35">
      <c r="A1049">
        <v>1045</v>
      </c>
      <c r="B1049">
        <v>1046</v>
      </c>
      <c r="C1049">
        <v>146.104395973999</v>
      </c>
      <c r="D1049">
        <v>-17.6562208633</v>
      </c>
      <c r="G1049" s="92"/>
      <c r="I1049">
        <v>8</v>
      </c>
      <c r="J1049" t="s">
        <v>26</v>
      </c>
      <c r="K1049" s="57"/>
      <c r="L1049" s="31"/>
      <c r="M1049" s="31"/>
      <c r="N1049" s="31"/>
      <c r="O1049" s="31"/>
      <c r="S1049" s="57"/>
      <c r="X1049" s="57"/>
    </row>
    <row r="1050" spans="1:24" hidden="1" x14ac:dyDescent="0.35">
      <c r="A1050">
        <v>1046</v>
      </c>
      <c r="B1050">
        <v>1047</v>
      </c>
      <c r="C1050">
        <v>146.104317272</v>
      </c>
      <c r="D1050">
        <v>-17.656258313399899</v>
      </c>
      <c r="G1050" s="92"/>
      <c r="I1050">
        <v>8</v>
      </c>
      <c r="J1050" t="s">
        <v>26</v>
      </c>
      <c r="K1050" s="57"/>
      <c r="L1050" s="31"/>
      <c r="M1050" s="31"/>
      <c r="N1050" s="31"/>
      <c r="O1050" s="31"/>
      <c r="S1050" s="57"/>
      <c r="X1050" s="57"/>
    </row>
    <row r="1051" spans="1:24" hidden="1" x14ac:dyDescent="0.35">
      <c r="A1051">
        <v>1047</v>
      </c>
      <c r="B1051">
        <v>1048</v>
      </c>
      <c r="C1051">
        <v>146.104290835</v>
      </c>
      <c r="D1051">
        <v>-17.6563384031999</v>
      </c>
      <c r="G1051" s="92"/>
      <c r="I1051">
        <v>8</v>
      </c>
      <c r="J1051" t="s">
        <v>26</v>
      </c>
      <c r="K1051" s="57"/>
      <c r="L1051" s="31"/>
      <c r="M1051" s="31"/>
      <c r="N1051" s="31"/>
      <c r="O1051" s="31"/>
      <c r="S1051" s="57"/>
      <c r="X1051" s="57"/>
    </row>
    <row r="1052" spans="1:24" hidden="1" x14ac:dyDescent="0.35">
      <c r="A1052">
        <v>1048</v>
      </c>
      <c r="B1052">
        <v>1049</v>
      </c>
      <c r="C1052">
        <v>146.104331978999</v>
      </c>
      <c r="D1052">
        <v>-17.656412033799899</v>
      </c>
      <c r="G1052" s="92"/>
      <c r="I1052">
        <v>8</v>
      </c>
      <c r="J1052" t="s">
        <v>26</v>
      </c>
      <c r="K1052" s="57"/>
      <c r="L1052" s="31"/>
      <c r="M1052" s="31"/>
      <c r="N1052" s="31"/>
      <c r="O1052" s="31"/>
      <c r="S1052" s="57"/>
      <c r="X1052" s="57"/>
    </row>
    <row r="1053" spans="1:24" hidden="1" x14ac:dyDescent="0.35">
      <c r="A1053">
        <v>1049</v>
      </c>
      <c r="B1053">
        <v>1050</v>
      </c>
      <c r="C1053">
        <v>146.10441233500001</v>
      </c>
      <c r="D1053">
        <v>-17.656443103000001</v>
      </c>
      <c r="G1053" s="92"/>
      <c r="I1053">
        <v>8</v>
      </c>
      <c r="J1053" t="s">
        <v>26</v>
      </c>
      <c r="K1053" s="57"/>
      <c r="L1053" s="31"/>
      <c r="M1053" s="31"/>
      <c r="N1053" s="31"/>
      <c r="O1053" s="31"/>
      <c r="S1053" s="57"/>
      <c r="X1053" s="57"/>
    </row>
    <row r="1054" spans="1:24" hidden="1" x14ac:dyDescent="0.35">
      <c r="A1054">
        <v>1050</v>
      </c>
      <c r="B1054">
        <v>1051</v>
      </c>
      <c r="C1054">
        <v>146.10450162000001</v>
      </c>
      <c r="D1054">
        <v>-17.6564509681</v>
      </c>
      <c r="G1054" s="92"/>
      <c r="I1054">
        <v>8</v>
      </c>
      <c r="J1054" t="s">
        <v>26</v>
      </c>
      <c r="K1054" s="57"/>
      <c r="L1054" s="31"/>
      <c r="M1054" s="31"/>
      <c r="N1054" s="31"/>
      <c r="O1054" s="31"/>
      <c r="S1054" s="57"/>
      <c r="X1054" s="57"/>
    </row>
    <row r="1055" spans="1:24" hidden="1" x14ac:dyDescent="0.35">
      <c r="A1055">
        <v>1051</v>
      </c>
      <c r="B1055">
        <v>1052</v>
      </c>
      <c r="C1055">
        <v>146.10458950500001</v>
      </c>
      <c r="D1055">
        <v>-17.656467141899899</v>
      </c>
      <c r="G1055" s="92"/>
      <c r="I1055">
        <v>8</v>
      </c>
      <c r="J1055" t="s">
        <v>26</v>
      </c>
      <c r="K1055" s="57"/>
      <c r="L1055" s="31"/>
      <c r="M1055" s="31"/>
      <c r="N1055" s="31"/>
      <c r="O1055" s="31"/>
      <c r="S1055" s="57"/>
      <c r="X1055" s="57"/>
    </row>
    <row r="1056" spans="1:24" hidden="1" x14ac:dyDescent="0.35">
      <c r="A1056">
        <v>1052</v>
      </c>
      <c r="B1056">
        <v>1053</v>
      </c>
      <c r="C1056">
        <v>146.104674668999</v>
      </c>
      <c r="D1056">
        <v>-17.656493257400001</v>
      </c>
      <c r="G1056" s="92"/>
      <c r="I1056">
        <v>8</v>
      </c>
      <c r="J1056" t="s">
        <v>26</v>
      </c>
      <c r="K1056" s="57"/>
      <c r="L1056" s="31"/>
      <c r="M1056" s="31"/>
      <c r="N1056" s="31"/>
      <c r="O1056" s="31"/>
      <c r="S1056" s="57"/>
      <c r="X1056" s="57"/>
    </row>
    <row r="1057" spans="1:24" hidden="1" x14ac:dyDescent="0.35">
      <c r="A1057">
        <v>1053</v>
      </c>
      <c r="B1057">
        <v>1054</v>
      </c>
      <c r="C1057">
        <v>146.104755675999</v>
      </c>
      <c r="D1057">
        <v>-17.6565302558</v>
      </c>
      <c r="G1057" s="92"/>
      <c r="I1057">
        <v>8</v>
      </c>
      <c r="J1057" t="s">
        <v>26</v>
      </c>
      <c r="K1057" s="57"/>
      <c r="L1057" s="31"/>
      <c r="M1057" s="31"/>
      <c r="N1057" s="31"/>
      <c r="O1057" s="31"/>
      <c r="S1057" s="57"/>
      <c r="X1057" s="57"/>
    </row>
    <row r="1058" spans="1:24" hidden="1" x14ac:dyDescent="0.35">
      <c r="A1058">
        <v>1054</v>
      </c>
      <c r="B1058">
        <v>1055</v>
      </c>
      <c r="C1058">
        <v>146.104822963999</v>
      </c>
      <c r="D1058">
        <v>-17.656585563</v>
      </c>
      <c r="G1058" s="92"/>
      <c r="I1058">
        <v>8</v>
      </c>
      <c r="J1058" t="s">
        <v>26</v>
      </c>
      <c r="K1058" s="57"/>
      <c r="L1058" s="31"/>
      <c r="M1058" s="31"/>
      <c r="N1058" s="31"/>
      <c r="O1058" s="31"/>
      <c r="S1058" s="57"/>
      <c r="X1058" s="57"/>
    </row>
    <row r="1059" spans="1:24" hidden="1" x14ac:dyDescent="0.35">
      <c r="A1059">
        <v>1055</v>
      </c>
      <c r="B1059">
        <v>1056</v>
      </c>
      <c r="C1059">
        <v>146.10487455699899</v>
      </c>
      <c r="D1059">
        <v>-17.656655351600001</v>
      </c>
      <c r="G1059" s="92"/>
      <c r="I1059">
        <v>8</v>
      </c>
      <c r="J1059" t="s">
        <v>26</v>
      </c>
      <c r="K1059" s="57"/>
      <c r="L1059" s="31"/>
      <c r="M1059" s="31"/>
      <c r="N1059" s="31"/>
      <c r="O1059" s="31"/>
      <c r="S1059" s="57"/>
      <c r="X1059" s="57"/>
    </row>
    <row r="1060" spans="1:24" hidden="1" x14ac:dyDescent="0.35">
      <c r="A1060">
        <v>1056</v>
      </c>
      <c r="B1060">
        <v>1057</v>
      </c>
      <c r="C1060">
        <v>146.10491526000001</v>
      </c>
      <c r="D1060">
        <v>-17.656731344000001</v>
      </c>
      <c r="G1060" s="92"/>
      <c r="I1060">
        <v>8</v>
      </c>
      <c r="J1060" t="s">
        <v>26</v>
      </c>
      <c r="K1060" s="57"/>
      <c r="L1060" s="31"/>
      <c r="M1060" s="31"/>
      <c r="N1060" s="31"/>
      <c r="O1060" s="31"/>
      <c r="S1060" s="57"/>
      <c r="X1060" s="57"/>
    </row>
    <row r="1061" spans="1:24" hidden="1" x14ac:dyDescent="0.35">
      <c r="A1061">
        <v>1057</v>
      </c>
      <c r="B1061">
        <v>1058</v>
      </c>
      <c r="C1061">
        <v>146.10495084600001</v>
      </c>
      <c r="D1061">
        <v>-17.656809896999899</v>
      </c>
      <c r="G1061" s="92"/>
      <c r="I1061">
        <v>8</v>
      </c>
      <c r="J1061" t="s">
        <v>26</v>
      </c>
      <c r="K1061" s="57"/>
      <c r="L1061" s="31"/>
      <c r="M1061" s="31"/>
      <c r="N1061" s="31"/>
      <c r="O1061" s="31"/>
      <c r="S1061" s="57"/>
      <c r="X1061" s="57"/>
    </row>
    <row r="1062" spans="1:24" hidden="1" x14ac:dyDescent="0.35">
      <c r="A1062">
        <v>1058</v>
      </c>
      <c r="B1062">
        <v>1059</v>
      </c>
      <c r="C1062">
        <v>146.10496510900001</v>
      </c>
      <c r="D1062">
        <v>-17.6568944108</v>
      </c>
      <c r="G1062" s="92"/>
      <c r="I1062">
        <v>8</v>
      </c>
      <c r="J1062" t="s">
        <v>26</v>
      </c>
      <c r="K1062" s="57"/>
      <c r="L1062" s="31"/>
      <c r="M1062" s="31"/>
      <c r="N1062" s="31"/>
      <c r="O1062" s="31"/>
      <c r="S1062" s="57"/>
      <c r="X1062" s="57"/>
    </row>
    <row r="1063" spans="1:24" hidden="1" x14ac:dyDescent="0.35">
      <c r="A1063">
        <v>1059</v>
      </c>
      <c r="B1063">
        <v>1060</v>
      </c>
      <c r="C1063">
        <v>146.10497934099899</v>
      </c>
      <c r="D1063">
        <v>-17.6569789280999</v>
      </c>
      <c r="G1063" s="92"/>
      <c r="I1063">
        <v>8</v>
      </c>
      <c r="J1063" t="s">
        <v>26</v>
      </c>
      <c r="K1063" s="57"/>
      <c r="L1063" s="31"/>
      <c r="M1063" s="31"/>
      <c r="N1063" s="31"/>
      <c r="O1063" s="31"/>
      <c r="S1063" s="57"/>
      <c r="X1063" s="57"/>
    </row>
    <row r="1064" spans="1:24" hidden="1" x14ac:dyDescent="0.35">
      <c r="A1064">
        <v>1060</v>
      </c>
      <c r="B1064">
        <v>1061</v>
      </c>
      <c r="C1064">
        <v>146.10498667900001</v>
      </c>
      <c r="D1064">
        <v>-17.657064241499899</v>
      </c>
      <c r="G1064" s="92"/>
      <c r="I1064">
        <v>8</v>
      </c>
      <c r="J1064" t="s">
        <v>26</v>
      </c>
      <c r="K1064" s="57"/>
      <c r="L1064" s="31"/>
      <c r="M1064" s="31"/>
      <c r="N1064" s="31"/>
      <c r="O1064" s="31"/>
      <c r="S1064" s="57"/>
      <c r="X1064" s="57"/>
    </row>
    <row r="1065" spans="1:24" hidden="1" x14ac:dyDescent="0.35">
      <c r="A1065">
        <v>1061</v>
      </c>
      <c r="B1065">
        <v>1062</v>
      </c>
      <c r="C1065">
        <v>146.104994914999</v>
      </c>
      <c r="D1065">
        <v>-17.6571494346999</v>
      </c>
      <c r="G1065" s="92"/>
      <c r="I1065">
        <v>8</v>
      </c>
      <c r="J1065" t="s">
        <v>26</v>
      </c>
      <c r="K1065" s="57"/>
      <c r="L1065" s="31"/>
      <c r="M1065" s="31"/>
      <c r="N1065" s="31"/>
      <c r="O1065" s="31"/>
      <c r="S1065" s="57"/>
      <c r="X1065" s="57"/>
    </row>
    <row r="1066" spans="1:24" hidden="1" x14ac:dyDescent="0.35">
      <c r="A1066">
        <v>1062</v>
      </c>
      <c r="B1066">
        <v>1063</v>
      </c>
      <c r="C1066">
        <v>146.10501201400001</v>
      </c>
      <c r="D1066">
        <v>-17.657233469200001</v>
      </c>
      <c r="G1066" s="92"/>
      <c r="I1066">
        <v>8</v>
      </c>
      <c r="J1066" t="s">
        <v>26</v>
      </c>
      <c r="K1066" s="57"/>
      <c r="L1066" s="31"/>
      <c r="M1066" s="31"/>
      <c r="N1066" s="31"/>
      <c r="O1066" s="31"/>
      <c r="S1066" s="57"/>
      <c r="X1066" s="57"/>
    </row>
    <row r="1067" spans="1:24" hidden="1" x14ac:dyDescent="0.35">
      <c r="A1067">
        <v>1063</v>
      </c>
      <c r="B1067">
        <v>1064</v>
      </c>
      <c r="C1067">
        <v>146.10504317300001</v>
      </c>
      <c r="D1067">
        <v>-17.6573135097</v>
      </c>
      <c r="G1067" s="92"/>
      <c r="I1067">
        <v>8</v>
      </c>
      <c r="J1067" t="s">
        <v>26</v>
      </c>
      <c r="K1067" s="57"/>
      <c r="L1067" s="31"/>
      <c r="M1067" s="31"/>
      <c r="N1067" s="31"/>
      <c r="O1067" s="31"/>
      <c r="S1067" s="57"/>
      <c r="X1067" s="57"/>
    </row>
    <row r="1068" spans="1:24" hidden="1" x14ac:dyDescent="0.35">
      <c r="A1068">
        <v>1064</v>
      </c>
      <c r="B1068">
        <v>1065</v>
      </c>
      <c r="C1068">
        <v>146.105096849999</v>
      </c>
      <c r="D1068">
        <v>-17.657381008600002</v>
      </c>
      <c r="G1068" s="92"/>
      <c r="I1068">
        <v>8</v>
      </c>
      <c r="J1068" t="s">
        <v>26</v>
      </c>
      <c r="K1068" s="57"/>
      <c r="L1068" s="31"/>
      <c r="M1068" s="31"/>
      <c r="N1068" s="31"/>
      <c r="O1068" s="31"/>
      <c r="S1068" s="57"/>
      <c r="X1068" s="57"/>
    </row>
    <row r="1069" spans="1:24" hidden="1" x14ac:dyDescent="0.35">
      <c r="A1069">
        <v>1065</v>
      </c>
      <c r="B1069">
        <v>1066</v>
      </c>
      <c r="C1069">
        <v>146.10515842300001</v>
      </c>
      <c r="D1069">
        <v>-17.6574433034999</v>
      </c>
      <c r="G1069" s="92"/>
      <c r="I1069">
        <v>8</v>
      </c>
      <c r="J1069" t="s">
        <v>26</v>
      </c>
      <c r="K1069" s="57"/>
      <c r="L1069" s="31"/>
      <c r="M1069" s="31"/>
      <c r="N1069" s="31"/>
      <c r="O1069" s="31"/>
      <c r="S1069" s="57"/>
      <c r="X1069" s="57"/>
    </row>
    <row r="1070" spans="1:24" hidden="1" x14ac:dyDescent="0.35">
      <c r="A1070">
        <v>1066</v>
      </c>
      <c r="B1070">
        <v>1067</v>
      </c>
      <c r="C1070">
        <v>146.10520344099899</v>
      </c>
      <c r="D1070">
        <v>-17.6575129848</v>
      </c>
      <c r="G1070" s="92"/>
      <c r="I1070">
        <v>8</v>
      </c>
      <c r="J1070" t="s">
        <v>26</v>
      </c>
      <c r="K1070" s="57"/>
      <c r="L1070" s="31"/>
      <c r="M1070" s="31"/>
      <c r="N1070" s="31"/>
      <c r="O1070" s="31"/>
      <c r="S1070" s="57"/>
      <c r="X1070" s="57"/>
    </row>
    <row r="1071" spans="1:24" hidden="1" x14ac:dyDescent="0.35">
      <c r="A1071">
        <v>1067</v>
      </c>
      <c r="B1071">
        <v>1068</v>
      </c>
      <c r="C1071">
        <v>146.105149815999</v>
      </c>
      <c r="D1071">
        <v>-17.657526525800002</v>
      </c>
      <c r="G1071" s="92"/>
      <c r="I1071">
        <v>8</v>
      </c>
      <c r="J1071" t="s">
        <v>26</v>
      </c>
      <c r="K1071" s="57"/>
      <c r="L1071" s="31"/>
      <c r="M1071" s="31"/>
      <c r="N1071" s="31"/>
      <c r="O1071" s="31"/>
      <c r="S1071" s="57"/>
      <c r="X1071" s="57"/>
    </row>
    <row r="1072" spans="1:24" hidden="1" x14ac:dyDescent="0.35">
      <c r="A1072">
        <v>1068</v>
      </c>
      <c r="B1072">
        <v>1069</v>
      </c>
      <c r="C1072">
        <v>146.105083261999</v>
      </c>
      <c r="D1072">
        <v>-17.657469057499899</v>
      </c>
      <c r="G1072" s="92"/>
      <c r="I1072">
        <v>8</v>
      </c>
      <c r="J1072" t="s">
        <v>26</v>
      </c>
      <c r="K1072" s="57"/>
      <c r="L1072" s="31"/>
      <c r="M1072" s="31"/>
      <c r="N1072" s="31"/>
      <c r="O1072" s="31"/>
      <c r="S1072" s="57"/>
      <c r="X1072" s="57"/>
    </row>
    <row r="1073" spans="1:24" hidden="1" x14ac:dyDescent="0.35">
      <c r="A1073">
        <v>1069</v>
      </c>
      <c r="B1073">
        <v>1070</v>
      </c>
      <c r="C1073">
        <v>146.105006637999</v>
      </c>
      <c r="D1073">
        <v>-17.657424972600001</v>
      </c>
      <c r="G1073" s="92"/>
      <c r="I1073">
        <v>8</v>
      </c>
      <c r="J1073" t="s">
        <v>26</v>
      </c>
      <c r="K1073" s="57"/>
      <c r="L1073" s="31"/>
      <c r="M1073" s="31"/>
      <c r="N1073" s="31"/>
      <c r="O1073" s="31"/>
      <c r="S1073" s="57"/>
      <c r="X1073" s="57"/>
    </row>
    <row r="1074" spans="1:24" hidden="1" x14ac:dyDescent="0.35">
      <c r="A1074">
        <v>1070</v>
      </c>
      <c r="B1074">
        <v>1071</v>
      </c>
      <c r="C1074">
        <v>146.104922668</v>
      </c>
      <c r="D1074">
        <v>-17.657395638600001</v>
      </c>
      <c r="G1074" s="92"/>
      <c r="I1074">
        <v>8</v>
      </c>
      <c r="J1074" t="s">
        <v>26</v>
      </c>
      <c r="K1074" s="57"/>
      <c r="L1074" s="31"/>
      <c r="M1074" s="31"/>
      <c r="N1074" s="31"/>
      <c r="O1074" s="31"/>
      <c r="S1074" s="57"/>
      <c r="X1074" s="57"/>
    </row>
    <row r="1075" spans="1:24" hidden="1" x14ac:dyDescent="0.35">
      <c r="A1075">
        <v>1071</v>
      </c>
      <c r="B1075">
        <v>1072</v>
      </c>
      <c r="C1075">
        <v>146.10483917400001</v>
      </c>
      <c r="D1075">
        <v>-17.657418289799899</v>
      </c>
      <c r="G1075" s="92"/>
      <c r="I1075">
        <v>8</v>
      </c>
      <c r="J1075" t="s">
        <v>26</v>
      </c>
      <c r="K1075" s="57"/>
      <c r="L1075" s="31"/>
      <c r="M1075" s="31"/>
      <c r="N1075" s="31"/>
      <c r="O1075" s="31"/>
      <c r="S1075" s="57"/>
      <c r="X1075" s="57"/>
    </row>
    <row r="1076" spans="1:24" hidden="1" x14ac:dyDescent="0.35">
      <c r="A1076">
        <v>1072</v>
      </c>
      <c r="B1076">
        <v>1073</v>
      </c>
      <c r="C1076">
        <v>146.10481441799899</v>
      </c>
      <c r="D1076">
        <v>-17.657496759299899</v>
      </c>
      <c r="G1076" s="92"/>
      <c r="I1076">
        <v>8</v>
      </c>
      <c r="J1076" t="s">
        <v>26</v>
      </c>
      <c r="K1076" s="57"/>
      <c r="L1076" s="31"/>
      <c r="M1076" s="31"/>
      <c r="N1076" s="31"/>
      <c r="O1076" s="31"/>
      <c r="S1076" s="57"/>
      <c r="X1076" s="57"/>
    </row>
    <row r="1077" spans="1:24" hidden="1" x14ac:dyDescent="0.35">
      <c r="A1077">
        <v>1073</v>
      </c>
      <c r="B1077">
        <v>1074</v>
      </c>
      <c r="C1077">
        <v>146.10482627100001</v>
      </c>
      <c r="D1077">
        <v>-17.6575794496</v>
      </c>
      <c r="G1077" s="92"/>
      <c r="I1077">
        <v>8</v>
      </c>
      <c r="J1077" t="s">
        <v>26</v>
      </c>
      <c r="K1077" s="57"/>
      <c r="L1077" s="31"/>
      <c r="M1077" s="31"/>
      <c r="N1077" s="31"/>
      <c r="O1077" s="31"/>
      <c r="S1077" s="57"/>
      <c r="X1077" s="57"/>
    </row>
    <row r="1078" spans="1:24" hidden="1" x14ac:dyDescent="0.35">
      <c r="A1078">
        <v>1074</v>
      </c>
      <c r="B1078">
        <v>1075</v>
      </c>
      <c r="C1078">
        <v>146.104871035999</v>
      </c>
      <c r="D1078">
        <v>-17.657653528000001</v>
      </c>
      <c r="G1078" s="92"/>
      <c r="I1078">
        <v>8</v>
      </c>
      <c r="J1078" t="s">
        <v>26</v>
      </c>
      <c r="K1078" s="57"/>
      <c r="L1078" s="31"/>
      <c r="M1078" s="31"/>
      <c r="N1078" s="31"/>
      <c r="O1078" s="31"/>
      <c r="S1078" s="57"/>
      <c r="X1078" s="57"/>
    </row>
    <row r="1079" spans="1:24" hidden="1" x14ac:dyDescent="0.35">
      <c r="A1079">
        <v>1075</v>
      </c>
      <c r="B1079">
        <v>1076</v>
      </c>
      <c r="C1079">
        <v>146.10493811000001</v>
      </c>
      <c r="D1079">
        <v>-17.657706621700001</v>
      </c>
      <c r="G1079" s="92"/>
      <c r="I1079">
        <v>8</v>
      </c>
      <c r="J1079" t="s">
        <v>26</v>
      </c>
      <c r="K1079" s="57"/>
      <c r="L1079" s="31"/>
      <c r="M1079" s="31"/>
      <c r="N1079" s="31"/>
      <c r="O1079" s="31"/>
      <c r="S1079" s="57"/>
      <c r="X1079" s="57"/>
    </row>
    <row r="1080" spans="1:24" hidden="1" x14ac:dyDescent="0.35">
      <c r="A1080">
        <v>1076</v>
      </c>
      <c r="B1080">
        <v>1077</v>
      </c>
      <c r="C1080">
        <v>146.105023950999</v>
      </c>
      <c r="D1080">
        <v>-17.6577268401</v>
      </c>
      <c r="G1080" s="92"/>
      <c r="I1080">
        <v>8</v>
      </c>
      <c r="J1080" t="s">
        <v>26</v>
      </c>
      <c r="K1080" s="57"/>
      <c r="L1080" s="31"/>
      <c r="M1080" s="31"/>
      <c r="N1080" s="31"/>
      <c r="O1080" s="31"/>
      <c r="S1080" s="57"/>
      <c r="X1080" s="57"/>
    </row>
    <row r="1081" spans="1:24" hidden="1" x14ac:dyDescent="0.35">
      <c r="A1081">
        <v>1077</v>
      </c>
      <c r="B1081">
        <v>1078</v>
      </c>
      <c r="C1081">
        <v>146.10510942100001</v>
      </c>
      <c r="D1081">
        <v>-17.6577081933</v>
      </c>
      <c r="G1081" s="92"/>
      <c r="I1081">
        <v>8</v>
      </c>
      <c r="J1081" t="s">
        <v>26</v>
      </c>
      <c r="K1081" s="57"/>
      <c r="L1081" s="31"/>
      <c r="M1081" s="31"/>
      <c r="N1081" s="31"/>
      <c r="O1081" s="31"/>
      <c r="S1081" s="57"/>
      <c r="X1081" s="57"/>
    </row>
    <row r="1082" spans="1:24" hidden="1" x14ac:dyDescent="0.35">
      <c r="A1082">
        <v>1078</v>
      </c>
      <c r="B1082">
        <v>1079</v>
      </c>
      <c r="C1082">
        <v>146.105181415999</v>
      </c>
      <c r="D1082">
        <v>-17.6576858922</v>
      </c>
      <c r="G1082" s="92"/>
      <c r="I1082">
        <v>8</v>
      </c>
      <c r="J1082" t="s">
        <v>26</v>
      </c>
      <c r="K1082" s="57"/>
      <c r="L1082" s="31"/>
      <c r="M1082" s="31"/>
      <c r="N1082" s="31"/>
      <c r="O1082" s="31"/>
      <c r="S1082" s="57"/>
      <c r="X1082" s="57"/>
    </row>
    <row r="1083" spans="1:24" hidden="1" x14ac:dyDescent="0.35">
      <c r="A1083">
        <v>1079</v>
      </c>
      <c r="B1083">
        <v>1080</v>
      </c>
      <c r="C1083">
        <v>146.105179829999</v>
      </c>
      <c r="D1083">
        <v>-17.6577670836</v>
      </c>
      <c r="G1083" s="92"/>
      <c r="I1083">
        <v>8</v>
      </c>
      <c r="J1083" t="s">
        <v>26</v>
      </c>
      <c r="K1083" s="57"/>
      <c r="L1083" s="31"/>
      <c r="M1083" s="31"/>
      <c r="N1083" s="31"/>
      <c r="O1083" s="31"/>
      <c r="S1083" s="57"/>
      <c r="X1083" s="57"/>
    </row>
    <row r="1084" spans="1:24" hidden="1" x14ac:dyDescent="0.35">
      <c r="A1084">
        <v>1080</v>
      </c>
      <c r="B1084">
        <v>1081</v>
      </c>
      <c r="C1084">
        <v>146.105115949999</v>
      </c>
      <c r="D1084">
        <v>-17.657825898199899</v>
      </c>
      <c r="G1084" s="92"/>
      <c r="I1084">
        <v>8</v>
      </c>
      <c r="J1084" t="s">
        <v>26</v>
      </c>
      <c r="K1084" s="57"/>
      <c r="L1084" s="31"/>
      <c r="M1084" s="31"/>
      <c r="N1084" s="31"/>
      <c r="O1084" s="31"/>
      <c r="S1084" s="57"/>
      <c r="X1084" s="57"/>
    </row>
    <row r="1085" spans="1:24" hidden="1" x14ac:dyDescent="0.35">
      <c r="A1085">
        <v>1081</v>
      </c>
      <c r="B1085">
        <v>1082</v>
      </c>
      <c r="C1085">
        <v>146.10503738400001</v>
      </c>
      <c r="D1085">
        <v>-17.657867104200001</v>
      </c>
      <c r="G1085" s="92"/>
      <c r="I1085">
        <v>8</v>
      </c>
      <c r="J1085" t="s">
        <v>26</v>
      </c>
      <c r="K1085" s="57"/>
      <c r="L1085" s="31"/>
      <c r="M1085" s="31"/>
      <c r="N1085" s="31"/>
      <c r="O1085" s="31"/>
      <c r="S1085" s="57"/>
      <c r="X1085" s="57"/>
    </row>
    <row r="1086" spans="1:24" hidden="1" x14ac:dyDescent="0.35">
      <c r="A1086">
        <v>1082</v>
      </c>
      <c r="B1086">
        <v>1083</v>
      </c>
      <c r="C1086">
        <v>146.10495318599899</v>
      </c>
      <c r="D1086">
        <v>-17.657896939899899</v>
      </c>
      <c r="G1086" s="92"/>
      <c r="I1086">
        <v>8</v>
      </c>
      <c r="J1086" t="s">
        <v>26</v>
      </c>
      <c r="K1086" s="57"/>
      <c r="L1086" s="31"/>
      <c r="M1086" s="31"/>
      <c r="N1086" s="31"/>
      <c r="O1086" s="31"/>
      <c r="S1086" s="57"/>
      <c r="X1086" s="57"/>
    </row>
    <row r="1087" spans="1:24" hidden="1" x14ac:dyDescent="0.35">
      <c r="A1087">
        <v>1083</v>
      </c>
      <c r="B1087">
        <v>1084</v>
      </c>
      <c r="C1087">
        <v>146.10486849500001</v>
      </c>
      <c r="D1087">
        <v>-17.657925469199899</v>
      </c>
      <c r="G1087" s="92"/>
      <c r="I1087">
        <v>8</v>
      </c>
      <c r="J1087" t="s">
        <v>26</v>
      </c>
      <c r="K1087" s="57"/>
      <c r="L1087" s="31"/>
      <c r="M1087" s="31"/>
      <c r="N1087" s="31"/>
      <c r="O1087" s="31"/>
      <c r="S1087" s="57"/>
      <c r="X1087" s="57"/>
    </row>
    <row r="1088" spans="1:24" hidden="1" x14ac:dyDescent="0.35">
      <c r="A1088">
        <v>1084</v>
      </c>
      <c r="B1088">
        <v>1085</v>
      </c>
      <c r="C1088">
        <v>146.10478362200001</v>
      </c>
      <c r="D1088">
        <v>-17.657953515700001</v>
      </c>
      <c r="G1088" s="92"/>
      <c r="I1088">
        <v>8</v>
      </c>
      <c r="J1088" t="s">
        <v>26</v>
      </c>
      <c r="K1088" s="57"/>
      <c r="L1088" s="31"/>
      <c r="M1088" s="31"/>
      <c r="N1088" s="31"/>
      <c r="O1088" s="31"/>
      <c r="S1088" s="57"/>
      <c r="X1088" s="57"/>
    </row>
    <row r="1089" spans="1:24" hidden="1" x14ac:dyDescent="0.35">
      <c r="A1089">
        <v>1085</v>
      </c>
      <c r="B1089">
        <v>1086</v>
      </c>
      <c r="C1089">
        <v>146.104704747</v>
      </c>
      <c r="D1089">
        <v>-17.657994454499899</v>
      </c>
      <c r="G1089" s="92"/>
      <c r="I1089">
        <v>8</v>
      </c>
      <c r="J1089" t="s">
        <v>26</v>
      </c>
      <c r="K1089" s="57"/>
      <c r="L1089" s="31"/>
      <c r="M1089" s="31"/>
      <c r="N1089" s="31"/>
      <c r="O1089" s="31"/>
      <c r="S1089" s="57"/>
      <c r="X1089" s="57"/>
    </row>
    <row r="1090" spans="1:24" hidden="1" x14ac:dyDescent="0.35">
      <c r="A1090">
        <v>1086</v>
      </c>
      <c r="B1090">
        <v>1087</v>
      </c>
      <c r="C1090">
        <v>146.104628292999</v>
      </c>
      <c r="D1090">
        <v>-17.658038272900001</v>
      </c>
      <c r="G1090" s="92"/>
      <c r="I1090">
        <v>8</v>
      </c>
      <c r="J1090" t="s">
        <v>26</v>
      </c>
      <c r="K1090" s="57"/>
      <c r="L1090" s="31"/>
      <c r="M1090" s="31"/>
      <c r="N1090" s="31"/>
      <c r="O1090" s="31"/>
      <c r="S1090" s="57"/>
      <c r="X1090" s="57"/>
    </row>
    <row r="1091" spans="1:24" hidden="1" x14ac:dyDescent="0.35">
      <c r="A1091">
        <v>1087</v>
      </c>
      <c r="B1091">
        <v>1088</v>
      </c>
      <c r="C1091">
        <v>146.10457066500001</v>
      </c>
      <c r="D1091">
        <v>-17.658103936500002</v>
      </c>
      <c r="G1091" s="92"/>
      <c r="I1091">
        <v>8</v>
      </c>
      <c r="J1091" t="s">
        <v>26</v>
      </c>
      <c r="K1091" s="57"/>
      <c r="L1091" s="31"/>
      <c r="M1091" s="31"/>
      <c r="N1091" s="31"/>
      <c r="O1091" s="31"/>
      <c r="S1091" s="57"/>
      <c r="X1091" s="57"/>
    </row>
    <row r="1092" spans="1:24" hidden="1" x14ac:dyDescent="0.35">
      <c r="A1092">
        <v>1088</v>
      </c>
      <c r="B1092">
        <v>1089</v>
      </c>
      <c r="C1092">
        <v>146.10451417900001</v>
      </c>
      <c r="D1092">
        <v>-17.6581704928</v>
      </c>
      <c r="G1092" s="92"/>
      <c r="I1092">
        <v>8</v>
      </c>
      <c r="J1092" t="s">
        <v>26</v>
      </c>
      <c r="K1092" s="57"/>
      <c r="L1092" s="31"/>
      <c r="M1092" s="31"/>
      <c r="N1092" s="31"/>
      <c r="O1092" s="31"/>
      <c r="S1092" s="57"/>
      <c r="X1092" s="57"/>
    </row>
    <row r="1093" spans="1:24" hidden="1" x14ac:dyDescent="0.35">
      <c r="A1093">
        <v>1089</v>
      </c>
      <c r="B1093">
        <v>1090</v>
      </c>
      <c r="C1093">
        <v>146.10445458000001</v>
      </c>
      <c r="D1093">
        <v>-17.658234028700001</v>
      </c>
      <c r="G1093" s="92"/>
      <c r="I1093">
        <v>8</v>
      </c>
      <c r="J1093" t="s">
        <v>26</v>
      </c>
      <c r="K1093" s="57"/>
      <c r="L1093" s="31"/>
      <c r="M1093" s="31"/>
      <c r="N1093" s="31"/>
      <c r="O1093" s="31"/>
      <c r="S1093" s="57"/>
      <c r="X1093" s="57"/>
    </row>
    <row r="1094" spans="1:24" hidden="1" x14ac:dyDescent="0.35">
      <c r="A1094">
        <v>1090</v>
      </c>
      <c r="B1094">
        <v>1091</v>
      </c>
      <c r="C1094">
        <v>146.104384334999</v>
      </c>
      <c r="D1094">
        <v>-17.6582873834999</v>
      </c>
      <c r="G1094" s="92"/>
      <c r="I1094">
        <v>8</v>
      </c>
      <c r="J1094" t="s">
        <v>26</v>
      </c>
      <c r="K1094" s="57"/>
      <c r="L1094" s="31"/>
      <c r="M1094" s="31"/>
      <c r="N1094" s="31"/>
      <c r="O1094" s="31"/>
      <c r="S1094" s="57"/>
      <c r="X1094" s="57"/>
    </row>
    <row r="1095" spans="1:24" hidden="1" x14ac:dyDescent="0.35">
      <c r="A1095">
        <v>1091</v>
      </c>
      <c r="B1095">
        <v>1092</v>
      </c>
      <c r="C1095">
        <v>146.10431680900001</v>
      </c>
      <c r="D1095">
        <v>-17.658343764800001</v>
      </c>
      <c r="G1095" s="92"/>
      <c r="I1095">
        <v>8</v>
      </c>
      <c r="J1095" t="s">
        <v>26</v>
      </c>
      <c r="K1095" s="57"/>
      <c r="L1095" s="31"/>
      <c r="M1095" s="31"/>
      <c r="N1095" s="31"/>
      <c r="O1095" s="31"/>
      <c r="S1095" s="57"/>
      <c r="X1095" s="57"/>
    </row>
    <row r="1096" spans="1:24" hidden="1" x14ac:dyDescent="0.35">
      <c r="A1096">
        <v>1092</v>
      </c>
      <c r="B1096">
        <v>1093</v>
      </c>
      <c r="C1096">
        <v>146.10425060399899</v>
      </c>
      <c r="D1096">
        <v>-17.658401620500001</v>
      </c>
      <c r="G1096" s="92"/>
      <c r="I1096">
        <v>8</v>
      </c>
      <c r="J1096" t="s">
        <v>26</v>
      </c>
      <c r="K1096" s="57"/>
      <c r="L1096" s="31"/>
      <c r="M1096" s="31"/>
      <c r="N1096" s="31"/>
      <c r="O1096" s="31"/>
      <c r="S1096" s="57"/>
      <c r="X1096" s="57"/>
    </row>
    <row r="1097" spans="1:24" hidden="1" x14ac:dyDescent="0.35">
      <c r="A1097">
        <v>1093</v>
      </c>
      <c r="B1097">
        <v>1094</v>
      </c>
      <c r="C1097">
        <v>146.10418403200001</v>
      </c>
      <c r="D1097">
        <v>-17.658459093000001</v>
      </c>
      <c r="G1097" s="92"/>
      <c r="I1097">
        <v>8</v>
      </c>
      <c r="J1097" t="s">
        <v>26</v>
      </c>
      <c r="K1097" s="57"/>
      <c r="L1097" s="31"/>
      <c r="M1097" s="31"/>
      <c r="N1097" s="31"/>
      <c r="O1097" s="31"/>
      <c r="S1097" s="57"/>
      <c r="X1097" s="57"/>
    </row>
    <row r="1098" spans="1:24" hidden="1" x14ac:dyDescent="0.35">
      <c r="A1098">
        <v>1094</v>
      </c>
      <c r="B1098">
        <v>1095</v>
      </c>
      <c r="C1098">
        <v>146.10414306300001</v>
      </c>
      <c r="D1098">
        <v>-17.658535124099899</v>
      </c>
      <c r="G1098" s="92"/>
      <c r="I1098">
        <v>8</v>
      </c>
      <c r="J1098" t="s">
        <v>26</v>
      </c>
      <c r="K1098" s="57"/>
      <c r="L1098" s="31"/>
      <c r="M1098" s="31"/>
      <c r="N1098" s="31"/>
      <c r="O1098" s="31"/>
      <c r="S1098" s="57"/>
      <c r="X1098" s="57"/>
    </row>
    <row r="1099" spans="1:24" hidden="1" x14ac:dyDescent="0.35">
      <c r="A1099">
        <v>1095</v>
      </c>
      <c r="B1099">
        <v>1096</v>
      </c>
      <c r="C1099">
        <v>146.10411089900001</v>
      </c>
      <c r="D1099">
        <v>-17.6586149797999</v>
      </c>
      <c r="G1099" s="92"/>
      <c r="I1099">
        <v>8</v>
      </c>
      <c r="J1099" t="s">
        <v>26</v>
      </c>
      <c r="K1099" s="57"/>
      <c r="L1099" s="31"/>
      <c r="M1099" s="31"/>
      <c r="N1099" s="31"/>
      <c r="O1099" s="31"/>
      <c r="S1099" s="57"/>
      <c r="X1099" s="57"/>
    </row>
    <row r="1100" spans="1:24" hidden="1" x14ac:dyDescent="0.35">
      <c r="A1100">
        <v>1096</v>
      </c>
      <c r="B1100">
        <v>1097</v>
      </c>
      <c r="C1100">
        <v>146.10410486800001</v>
      </c>
      <c r="D1100">
        <v>-17.6587000158999</v>
      </c>
      <c r="G1100" s="92"/>
      <c r="I1100">
        <v>8</v>
      </c>
      <c r="J1100" t="s">
        <v>26</v>
      </c>
      <c r="K1100" s="57"/>
      <c r="L1100" s="31"/>
      <c r="M1100" s="31"/>
      <c r="N1100" s="31"/>
      <c r="O1100" s="31"/>
      <c r="S1100" s="57"/>
      <c r="X1100" s="57"/>
    </row>
    <row r="1101" spans="1:24" hidden="1" x14ac:dyDescent="0.35">
      <c r="A1101">
        <v>1097</v>
      </c>
      <c r="B1101">
        <v>1098</v>
      </c>
      <c r="C1101">
        <v>146.104101517999</v>
      </c>
      <c r="D1101">
        <v>-17.658785555000001</v>
      </c>
      <c r="G1101" s="92"/>
      <c r="I1101">
        <v>8</v>
      </c>
      <c r="J1101" t="s">
        <v>26</v>
      </c>
      <c r="K1101" s="57"/>
      <c r="L1101" s="31"/>
      <c r="M1101" s="31"/>
      <c r="N1101" s="31"/>
      <c r="O1101" s="31"/>
      <c r="S1101" s="57"/>
      <c r="X1101" s="57"/>
    </row>
    <row r="1102" spans="1:24" hidden="1" x14ac:dyDescent="0.35">
      <c r="A1102">
        <v>1098</v>
      </c>
      <c r="B1102">
        <v>1099</v>
      </c>
      <c r="C1102">
        <v>146.10411214000001</v>
      </c>
      <c r="D1102">
        <v>-17.658868789900001</v>
      </c>
      <c r="G1102" s="92"/>
      <c r="I1102">
        <v>8</v>
      </c>
      <c r="J1102" t="s">
        <v>26</v>
      </c>
      <c r="K1102" s="57"/>
      <c r="L1102" s="31"/>
      <c r="M1102" s="31"/>
      <c r="N1102" s="31"/>
      <c r="O1102" s="31"/>
      <c r="S1102" s="57"/>
      <c r="X1102" s="57"/>
    </row>
    <row r="1103" spans="1:24" hidden="1" x14ac:dyDescent="0.35">
      <c r="A1103">
        <v>1099</v>
      </c>
      <c r="B1103">
        <v>1100</v>
      </c>
      <c r="C1103">
        <v>146.10414546300001</v>
      </c>
      <c r="D1103">
        <v>-17.658948281299899</v>
      </c>
      <c r="G1103" s="92"/>
      <c r="I1103">
        <v>8</v>
      </c>
      <c r="J1103" t="s">
        <v>26</v>
      </c>
      <c r="K1103" s="57"/>
      <c r="L1103" s="31"/>
      <c r="M1103" s="31"/>
      <c r="N1103" s="31"/>
      <c r="O1103" s="31"/>
      <c r="S1103" s="57"/>
      <c r="X1103" s="57"/>
    </row>
    <row r="1104" spans="1:24" hidden="1" x14ac:dyDescent="0.35">
      <c r="A1104">
        <v>1100</v>
      </c>
      <c r="B1104">
        <v>1101</v>
      </c>
      <c r="C1104">
        <v>146.10417878600001</v>
      </c>
      <c r="D1104">
        <v>-17.659027772799899</v>
      </c>
      <c r="G1104" s="92"/>
      <c r="I1104">
        <v>8</v>
      </c>
      <c r="J1104" t="s">
        <v>26</v>
      </c>
      <c r="K1104" s="57"/>
      <c r="L1104" s="31"/>
      <c r="M1104" s="31"/>
      <c r="N1104" s="31"/>
      <c r="O1104" s="31"/>
      <c r="S1104" s="57"/>
      <c r="X1104" s="57"/>
    </row>
    <row r="1105" spans="1:24" hidden="1" x14ac:dyDescent="0.35">
      <c r="A1105">
        <v>1101</v>
      </c>
      <c r="B1105">
        <v>1102</v>
      </c>
      <c r="C1105">
        <v>146.10423377500001</v>
      </c>
      <c r="D1105">
        <v>-17.659095346800001</v>
      </c>
      <c r="G1105" s="92"/>
      <c r="I1105">
        <v>8</v>
      </c>
      <c r="J1105" t="s">
        <v>26</v>
      </c>
      <c r="K1105" s="57"/>
      <c r="L1105" s="31"/>
      <c r="M1105" s="31"/>
      <c r="N1105" s="31"/>
      <c r="O1105" s="31"/>
      <c r="S1105" s="57"/>
      <c r="X1105" s="57"/>
    </row>
    <row r="1106" spans="1:24" hidden="1" x14ac:dyDescent="0.35">
      <c r="A1106">
        <v>1102</v>
      </c>
      <c r="B1106">
        <v>1103</v>
      </c>
      <c r="C1106">
        <v>146.104289348999</v>
      </c>
      <c r="D1106">
        <v>-17.659162598399899</v>
      </c>
      <c r="G1106" s="92"/>
      <c r="I1106">
        <v>8</v>
      </c>
      <c r="J1106" t="s">
        <v>26</v>
      </c>
      <c r="K1106" s="57"/>
      <c r="L1106" s="31"/>
      <c r="M1106" s="31"/>
      <c r="N1106" s="31"/>
      <c r="O1106" s="31"/>
      <c r="S1106" s="57"/>
      <c r="X1106" s="57"/>
    </row>
    <row r="1107" spans="1:24" hidden="1" x14ac:dyDescent="0.35">
      <c r="A1107">
        <v>1103</v>
      </c>
      <c r="B1107">
        <v>1104</v>
      </c>
      <c r="C1107">
        <v>146.104351976999</v>
      </c>
      <c r="D1107">
        <v>-17.659222277000001</v>
      </c>
      <c r="G1107" s="92"/>
      <c r="I1107">
        <v>8</v>
      </c>
      <c r="J1107" t="s">
        <v>26</v>
      </c>
      <c r="K1107" s="57"/>
      <c r="L1107" s="31"/>
      <c r="M1107" s="31"/>
      <c r="N1107" s="31"/>
      <c r="O1107" s="31"/>
      <c r="S1107" s="57"/>
      <c r="X1107" s="57"/>
    </row>
    <row r="1108" spans="1:24" hidden="1" x14ac:dyDescent="0.35">
      <c r="A1108">
        <v>1104</v>
      </c>
      <c r="B1108">
        <v>1105</v>
      </c>
      <c r="C1108">
        <v>146.104428659999</v>
      </c>
      <c r="D1108">
        <v>-17.659266862700001</v>
      </c>
      <c r="G1108" s="92"/>
      <c r="I1108">
        <v>8</v>
      </c>
      <c r="J1108" t="s">
        <v>26</v>
      </c>
      <c r="K1108" s="57"/>
      <c r="L1108" s="31"/>
      <c r="M1108" s="31"/>
      <c r="N1108" s="31"/>
      <c r="O1108" s="31"/>
      <c r="S1108" s="57"/>
      <c r="X1108" s="57"/>
    </row>
    <row r="1109" spans="1:24" hidden="1" x14ac:dyDescent="0.35">
      <c r="A1109">
        <v>1105</v>
      </c>
      <c r="B1109">
        <v>1106</v>
      </c>
      <c r="C1109">
        <v>146.104505343</v>
      </c>
      <c r="D1109">
        <v>-17.6593114484</v>
      </c>
      <c r="G1109" s="92"/>
      <c r="I1109">
        <v>8</v>
      </c>
      <c r="J1109" t="s">
        <v>26</v>
      </c>
      <c r="K1109" s="57"/>
      <c r="L1109" s="31"/>
      <c r="M1109" s="31"/>
      <c r="N1109" s="31"/>
      <c r="O1109" s="31"/>
      <c r="S1109" s="57"/>
      <c r="X1109" s="57"/>
    </row>
    <row r="1110" spans="1:24" hidden="1" x14ac:dyDescent="0.35">
      <c r="A1110">
        <v>1106</v>
      </c>
      <c r="B1110">
        <v>1107</v>
      </c>
      <c r="C1110">
        <v>146.104582026999</v>
      </c>
      <c r="D1110">
        <v>-17.6593560341</v>
      </c>
      <c r="G1110" s="92"/>
      <c r="I1110">
        <v>8</v>
      </c>
      <c r="J1110" t="s">
        <v>26</v>
      </c>
      <c r="K1110" s="57"/>
      <c r="L1110" s="31"/>
      <c r="M1110" s="31"/>
      <c r="N1110" s="31"/>
      <c r="O1110" s="31"/>
      <c r="S1110" s="57"/>
      <c r="X1110" s="57"/>
    </row>
    <row r="1111" spans="1:24" hidden="1" x14ac:dyDescent="0.35">
      <c r="A1111">
        <v>1107</v>
      </c>
      <c r="B1111">
        <v>1108</v>
      </c>
      <c r="C1111">
        <v>146.10466917599899</v>
      </c>
      <c r="D1111">
        <v>-17.6593763853</v>
      </c>
      <c r="G1111" s="92"/>
      <c r="I1111">
        <v>8</v>
      </c>
      <c r="J1111" t="s">
        <v>26</v>
      </c>
      <c r="K1111" s="57"/>
      <c r="L1111" s="31"/>
      <c r="M1111" s="31"/>
      <c r="N1111" s="31"/>
      <c r="O1111" s="31"/>
      <c r="S1111" s="57"/>
      <c r="X1111" s="57"/>
    </row>
    <row r="1112" spans="1:24" hidden="1" x14ac:dyDescent="0.35">
      <c r="A1112">
        <v>1108</v>
      </c>
      <c r="B1112">
        <v>1109</v>
      </c>
      <c r="C1112">
        <v>146.104756581999</v>
      </c>
      <c r="D1112">
        <v>-17.659396141799899</v>
      </c>
      <c r="G1112" s="92"/>
      <c r="I1112">
        <v>8</v>
      </c>
      <c r="J1112" t="s">
        <v>26</v>
      </c>
      <c r="K1112" s="57"/>
      <c r="L1112" s="31"/>
      <c r="M1112" s="31"/>
      <c r="N1112" s="31"/>
      <c r="O1112" s="31"/>
      <c r="S1112" s="57"/>
      <c r="X1112" s="57"/>
    </row>
    <row r="1113" spans="1:24" hidden="1" x14ac:dyDescent="0.35">
      <c r="A1113">
        <v>1109</v>
      </c>
      <c r="B1113">
        <v>1110</v>
      </c>
      <c r="C1113">
        <v>146.104845815999</v>
      </c>
      <c r="D1113">
        <v>-17.6593973654</v>
      </c>
      <c r="G1113" s="92"/>
      <c r="I1113">
        <v>8</v>
      </c>
      <c r="J1113" t="s">
        <v>26</v>
      </c>
      <c r="K1113" s="57"/>
      <c r="L1113" s="31"/>
      <c r="M1113" s="31"/>
      <c r="N1113" s="31"/>
      <c r="O1113" s="31"/>
      <c r="S1113" s="57"/>
      <c r="X1113" s="57"/>
    </row>
    <row r="1114" spans="1:24" hidden="1" x14ac:dyDescent="0.35">
      <c r="A1114">
        <v>1110</v>
      </c>
      <c r="B1114">
        <v>1111</v>
      </c>
      <c r="C1114">
        <v>146.104934939</v>
      </c>
      <c r="D1114">
        <v>-17.659390287800001</v>
      </c>
      <c r="G1114" s="92"/>
      <c r="I1114">
        <v>8</v>
      </c>
      <c r="J1114" t="s">
        <v>26</v>
      </c>
      <c r="K1114" s="57"/>
      <c r="L1114" s="31"/>
      <c r="M1114" s="31"/>
      <c r="N1114" s="31"/>
      <c r="O1114" s="31"/>
      <c r="S1114" s="57"/>
      <c r="X1114" s="57"/>
    </row>
    <row r="1115" spans="1:24" hidden="1" x14ac:dyDescent="0.35">
      <c r="A1115">
        <v>1111</v>
      </c>
      <c r="B1115">
        <v>1112</v>
      </c>
      <c r="C1115">
        <v>146.105020244</v>
      </c>
      <c r="D1115">
        <v>-17.6593634577</v>
      </c>
      <c r="G1115" s="92"/>
      <c r="I1115">
        <v>8</v>
      </c>
      <c r="J1115" t="s">
        <v>26</v>
      </c>
      <c r="K1115" s="57"/>
      <c r="L1115" s="31"/>
      <c r="M1115" s="31"/>
      <c r="N1115" s="31"/>
      <c r="O1115" s="31"/>
      <c r="S1115" s="57"/>
      <c r="X1115" s="57"/>
    </row>
    <row r="1116" spans="1:24" hidden="1" x14ac:dyDescent="0.35">
      <c r="A1116">
        <v>1112</v>
      </c>
      <c r="B1116">
        <v>1113</v>
      </c>
      <c r="C1116">
        <v>146.10510167499899</v>
      </c>
      <c r="D1116">
        <v>-17.6593281795999</v>
      </c>
      <c r="G1116" s="92"/>
      <c r="I1116">
        <v>8</v>
      </c>
      <c r="J1116" t="s">
        <v>26</v>
      </c>
      <c r="K1116" s="57"/>
      <c r="L1116" s="31"/>
      <c r="M1116" s="31"/>
      <c r="N1116" s="31"/>
      <c r="O1116" s="31"/>
      <c r="S1116" s="57"/>
      <c r="X1116" s="57"/>
    </row>
    <row r="1117" spans="1:24" hidden="1" x14ac:dyDescent="0.35">
      <c r="A1117">
        <v>1113</v>
      </c>
      <c r="B1117">
        <v>1114</v>
      </c>
      <c r="C1117">
        <v>146.10518029599899</v>
      </c>
      <c r="D1117">
        <v>-17.659286770600001</v>
      </c>
      <c r="G1117" s="92"/>
      <c r="I1117">
        <v>8</v>
      </c>
      <c r="J1117" t="s">
        <v>26</v>
      </c>
      <c r="K1117" s="57"/>
      <c r="L1117" s="31"/>
      <c r="M1117" s="31"/>
      <c r="N1117" s="31"/>
      <c r="O1117" s="31"/>
      <c r="S1117" s="57"/>
      <c r="X1117" s="57"/>
    </row>
    <row r="1118" spans="1:24" hidden="1" x14ac:dyDescent="0.35">
      <c r="A1118">
        <v>1114</v>
      </c>
      <c r="B1118">
        <v>1115</v>
      </c>
      <c r="C1118">
        <v>146.10524563600001</v>
      </c>
      <c r="D1118">
        <v>-17.659228517900001</v>
      </c>
      <c r="G1118" s="92"/>
      <c r="I1118">
        <v>8</v>
      </c>
      <c r="J1118" t="s">
        <v>26</v>
      </c>
      <c r="K1118" s="57"/>
      <c r="L1118" s="31"/>
      <c r="M1118" s="31"/>
      <c r="N1118" s="31"/>
      <c r="O1118" s="31"/>
      <c r="S1118" s="57"/>
      <c r="X1118" s="57"/>
    </row>
    <row r="1119" spans="1:24" hidden="1" x14ac:dyDescent="0.35">
      <c r="A1119">
        <v>1115</v>
      </c>
      <c r="B1119">
        <v>1116</v>
      </c>
      <c r="C1119">
        <v>146.105309263999</v>
      </c>
      <c r="D1119">
        <v>-17.659168092800002</v>
      </c>
      <c r="G1119" s="92"/>
      <c r="I1119">
        <v>8</v>
      </c>
      <c r="J1119" t="s">
        <v>26</v>
      </c>
      <c r="K1119" s="57"/>
      <c r="L1119" s="31"/>
      <c r="M1119" s="31"/>
      <c r="N1119" s="31"/>
      <c r="O1119" s="31"/>
      <c r="S1119" s="57"/>
      <c r="X1119" s="57"/>
    </row>
    <row r="1120" spans="1:24" hidden="1" x14ac:dyDescent="0.35">
      <c r="A1120">
        <v>1116</v>
      </c>
      <c r="B1120">
        <v>1117</v>
      </c>
      <c r="C1120">
        <v>146.10536484299899</v>
      </c>
      <c r="D1120">
        <v>-17.659101210500001</v>
      </c>
      <c r="G1120" s="92"/>
      <c r="I1120">
        <v>8</v>
      </c>
      <c r="J1120" t="s">
        <v>26</v>
      </c>
      <c r="K1120" s="57"/>
      <c r="L1120" s="31"/>
      <c r="M1120" s="31"/>
      <c r="N1120" s="31"/>
      <c r="O1120" s="31"/>
      <c r="S1120" s="57"/>
      <c r="X1120" s="57"/>
    </row>
    <row r="1121" spans="1:24" hidden="1" x14ac:dyDescent="0.35">
      <c r="A1121">
        <v>1117</v>
      </c>
      <c r="B1121">
        <v>1118</v>
      </c>
      <c r="C1121">
        <v>146.10541649499899</v>
      </c>
      <c r="D1121">
        <v>-17.659031177100001</v>
      </c>
      <c r="G1121" s="92"/>
      <c r="I1121">
        <v>8</v>
      </c>
      <c r="J1121" t="s">
        <v>26</v>
      </c>
      <c r="K1121" s="57"/>
      <c r="L1121" s="31"/>
      <c r="M1121" s="31"/>
      <c r="N1121" s="31"/>
      <c r="O1121" s="31"/>
      <c r="S1121" s="57"/>
      <c r="X1121" s="57"/>
    </row>
    <row r="1122" spans="1:24" hidden="1" x14ac:dyDescent="0.35">
      <c r="A1122">
        <v>1118</v>
      </c>
      <c r="B1122">
        <v>1119</v>
      </c>
      <c r="C1122">
        <v>146.10547428500001</v>
      </c>
      <c r="D1122">
        <v>-17.658965866300001</v>
      </c>
      <c r="G1122" s="92"/>
      <c r="I1122">
        <v>8</v>
      </c>
      <c r="J1122" t="s">
        <v>26</v>
      </c>
      <c r="K1122" s="57"/>
      <c r="L1122" s="31"/>
      <c r="M1122" s="31"/>
      <c r="N1122" s="31"/>
      <c r="O1122" s="31"/>
      <c r="S1122" s="57"/>
      <c r="X1122" s="57"/>
    </row>
    <row r="1123" spans="1:24" hidden="1" x14ac:dyDescent="0.35">
      <c r="A1123">
        <v>1119</v>
      </c>
      <c r="B1123">
        <v>1120</v>
      </c>
      <c r="C1123">
        <v>146.105535255999</v>
      </c>
      <c r="D1123">
        <v>-17.658903002999899</v>
      </c>
      <c r="G1123" s="92"/>
      <c r="I1123">
        <v>8</v>
      </c>
      <c r="J1123" t="s">
        <v>26</v>
      </c>
      <c r="K1123" s="57"/>
      <c r="L1123" s="31"/>
      <c r="M1123" s="31"/>
      <c r="N1123" s="31"/>
      <c r="O1123" s="31"/>
      <c r="S1123" s="57"/>
      <c r="X1123" s="57"/>
    </row>
    <row r="1124" spans="1:24" hidden="1" x14ac:dyDescent="0.35">
      <c r="A1124">
        <v>1120</v>
      </c>
      <c r="B1124">
        <v>1121</v>
      </c>
      <c r="C1124">
        <v>146.10559622599899</v>
      </c>
      <c r="D1124">
        <v>-17.658840139700001</v>
      </c>
      <c r="G1124" s="92"/>
      <c r="I1124">
        <v>8</v>
      </c>
      <c r="J1124" t="s">
        <v>26</v>
      </c>
      <c r="K1124" s="57"/>
      <c r="L1124" s="31"/>
      <c r="M1124" s="31"/>
      <c r="N1124" s="31"/>
      <c r="O1124" s="31"/>
      <c r="S1124" s="57"/>
      <c r="X1124" s="57"/>
    </row>
    <row r="1125" spans="1:24" hidden="1" x14ac:dyDescent="0.35">
      <c r="A1125">
        <v>1121</v>
      </c>
      <c r="B1125">
        <v>1122</v>
      </c>
      <c r="C1125">
        <v>146.105657196999</v>
      </c>
      <c r="D1125">
        <v>-17.658777276399899</v>
      </c>
      <c r="G1125" s="92"/>
      <c r="I1125">
        <v>8</v>
      </c>
      <c r="J1125" t="s">
        <v>26</v>
      </c>
      <c r="K1125" s="57"/>
      <c r="L1125" s="31"/>
      <c r="M1125" s="31"/>
      <c r="N1125" s="31"/>
      <c r="O1125" s="31"/>
      <c r="S1125" s="57"/>
      <c r="X1125" s="57"/>
    </row>
    <row r="1126" spans="1:24" hidden="1" x14ac:dyDescent="0.35">
      <c r="A1126">
        <v>1122</v>
      </c>
      <c r="B1126">
        <v>1123</v>
      </c>
      <c r="C1126">
        <v>146.10572421800001</v>
      </c>
      <c r="D1126">
        <v>-17.658721355400001</v>
      </c>
      <c r="G1126" s="92"/>
      <c r="I1126">
        <v>8</v>
      </c>
      <c r="J1126" t="s">
        <v>26</v>
      </c>
      <c r="K1126" s="57"/>
      <c r="L1126" s="31"/>
      <c r="M1126" s="31"/>
      <c r="N1126" s="31"/>
      <c r="O1126" s="31"/>
      <c r="S1126" s="57"/>
      <c r="X1126" s="57"/>
    </row>
    <row r="1127" spans="1:24" hidden="1" x14ac:dyDescent="0.35">
      <c r="A1127">
        <v>1123</v>
      </c>
      <c r="B1127">
        <v>1124</v>
      </c>
      <c r="C1127">
        <v>146.105800264999</v>
      </c>
      <c r="D1127">
        <v>-17.6586757902</v>
      </c>
      <c r="G1127" s="92"/>
      <c r="I1127">
        <v>8</v>
      </c>
      <c r="J1127" t="s">
        <v>26</v>
      </c>
      <c r="K1127" s="57"/>
      <c r="L1127" s="31"/>
      <c r="M1127" s="31"/>
      <c r="N1127" s="31"/>
      <c r="O1127" s="31"/>
      <c r="S1127" s="57"/>
      <c r="X1127" s="57"/>
    </row>
    <row r="1128" spans="1:24" hidden="1" x14ac:dyDescent="0.35">
      <c r="A1128">
        <v>1124</v>
      </c>
      <c r="B1128">
        <v>1125</v>
      </c>
      <c r="C1128">
        <v>146.105877918</v>
      </c>
      <c r="D1128">
        <v>-17.658632843100001</v>
      </c>
      <c r="G1128" s="92"/>
      <c r="I1128">
        <v>8</v>
      </c>
      <c r="J1128" t="s">
        <v>26</v>
      </c>
      <c r="K1128" s="57"/>
      <c r="L1128" s="31"/>
      <c r="M1128" s="31"/>
      <c r="N1128" s="31"/>
      <c r="O1128" s="31"/>
      <c r="S1128" s="57"/>
      <c r="X1128" s="57"/>
    </row>
    <row r="1129" spans="1:24" hidden="1" x14ac:dyDescent="0.35">
      <c r="A1129">
        <v>1125</v>
      </c>
      <c r="B1129">
        <v>1126</v>
      </c>
      <c r="C1129">
        <v>146.105956875</v>
      </c>
      <c r="D1129">
        <v>-17.658592017699899</v>
      </c>
      <c r="G1129" s="92"/>
      <c r="I1129">
        <v>8</v>
      </c>
      <c r="J1129" t="s">
        <v>26</v>
      </c>
      <c r="K1129" s="57"/>
      <c r="L1129" s="31"/>
      <c r="M1129" s="31"/>
      <c r="N1129" s="31"/>
      <c r="O1129" s="31"/>
      <c r="S1129" s="57"/>
      <c r="X1129" s="57"/>
    </row>
    <row r="1130" spans="1:24" hidden="1" x14ac:dyDescent="0.35">
      <c r="A1130">
        <v>1126</v>
      </c>
      <c r="B1130">
        <v>1127</v>
      </c>
      <c r="C1130">
        <v>146.10603707800001</v>
      </c>
      <c r="D1130">
        <v>-17.6585535566999</v>
      </c>
      <c r="G1130" s="92"/>
      <c r="I1130">
        <v>8</v>
      </c>
      <c r="J1130" t="s">
        <v>26</v>
      </c>
      <c r="K1130" s="57"/>
      <c r="L1130" s="31"/>
      <c r="M1130" s="31"/>
      <c r="N1130" s="31"/>
      <c r="O1130" s="31"/>
      <c r="S1130" s="57"/>
      <c r="X1130" s="57"/>
    </row>
    <row r="1131" spans="1:24" hidden="1" x14ac:dyDescent="0.35">
      <c r="A1131">
        <v>1127</v>
      </c>
      <c r="B1131">
        <v>1128</v>
      </c>
      <c r="C1131">
        <v>146.10611671800001</v>
      </c>
      <c r="D1131">
        <v>-17.658514845500001</v>
      </c>
      <c r="G1131" s="92"/>
      <c r="I1131">
        <v>8</v>
      </c>
      <c r="J1131" t="s">
        <v>26</v>
      </c>
      <c r="K1131" s="57"/>
      <c r="L1131" s="31"/>
      <c r="M1131" s="31"/>
      <c r="N1131" s="31"/>
      <c r="O1131" s="31"/>
      <c r="S1131" s="57"/>
      <c r="X1131" s="57"/>
    </row>
    <row r="1132" spans="1:24" hidden="1" x14ac:dyDescent="0.35">
      <c r="A1132">
        <v>1128</v>
      </c>
      <c r="B1132">
        <v>1129</v>
      </c>
      <c r="C1132">
        <v>146.106183461</v>
      </c>
      <c r="D1132">
        <v>-17.658457579</v>
      </c>
      <c r="G1132" s="92"/>
      <c r="I1132">
        <v>8</v>
      </c>
      <c r="J1132" t="s">
        <v>26</v>
      </c>
      <c r="K1132" s="57"/>
      <c r="L1132" s="31"/>
      <c r="M1132" s="31"/>
      <c r="N1132" s="31"/>
      <c r="O1132" s="31"/>
      <c r="S1132" s="57"/>
      <c r="X1132" s="57"/>
    </row>
    <row r="1133" spans="1:24" hidden="1" x14ac:dyDescent="0.35">
      <c r="A1133">
        <v>1129</v>
      </c>
      <c r="B1133">
        <v>1130</v>
      </c>
      <c r="C1133">
        <v>146.106247088</v>
      </c>
      <c r="D1133">
        <v>-17.6583971533999</v>
      </c>
      <c r="G1133" s="92"/>
      <c r="I1133">
        <v>8</v>
      </c>
      <c r="J1133" t="s">
        <v>26</v>
      </c>
      <c r="K1133" s="57"/>
      <c r="L1133" s="31"/>
      <c r="M1133" s="31"/>
      <c r="N1133" s="31"/>
      <c r="O1133" s="31"/>
      <c r="S1133" s="57"/>
      <c r="X1133" s="57"/>
    </row>
    <row r="1134" spans="1:24" hidden="1" x14ac:dyDescent="0.35">
      <c r="A1134">
        <v>1130</v>
      </c>
      <c r="B1134">
        <v>1131</v>
      </c>
      <c r="C1134">
        <v>146.10631869400001</v>
      </c>
      <c r="D1134">
        <v>-17.6583470309</v>
      </c>
      <c r="G1134" s="92"/>
      <c r="I1134">
        <v>8</v>
      </c>
      <c r="J1134" t="s">
        <v>26</v>
      </c>
      <c r="K1134" s="57"/>
      <c r="L1134" s="31"/>
      <c r="M1134" s="31"/>
      <c r="N1134" s="31"/>
      <c r="O1134" s="31"/>
      <c r="S1134" s="57"/>
      <c r="X1134" s="57"/>
    </row>
    <row r="1135" spans="1:24" hidden="1" x14ac:dyDescent="0.35">
      <c r="A1135">
        <v>1131</v>
      </c>
      <c r="B1135">
        <v>1132</v>
      </c>
      <c r="C1135">
        <v>146.10639903200001</v>
      </c>
      <c r="D1135">
        <v>-17.658309604700001</v>
      </c>
      <c r="G1135" s="92"/>
      <c r="I1135">
        <v>8</v>
      </c>
      <c r="J1135" t="s">
        <v>26</v>
      </c>
      <c r="K1135" s="57"/>
      <c r="L1135" s="31"/>
      <c r="M1135" s="31"/>
      <c r="N1135" s="31"/>
      <c r="O1135" s="31"/>
      <c r="S1135" s="57"/>
      <c r="X1135" s="57"/>
    </row>
    <row r="1136" spans="1:24" hidden="1" x14ac:dyDescent="0.35">
      <c r="A1136">
        <v>1132</v>
      </c>
      <c r="B1136">
        <v>1133</v>
      </c>
      <c r="C1136">
        <v>146.10648738500001</v>
      </c>
      <c r="D1136">
        <v>-17.658294136799899</v>
      </c>
      <c r="G1136" s="92"/>
      <c r="I1136">
        <v>8</v>
      </c>
      <c r="J1136" t="s">
        <v>26</v>
      </c>
      <c r="K1136" s="57"/>
      <c r="L1136" s="31"/>
      <c r="M1136" s="31"/>
      <c r="N1136" s="31"/>
      <c r="O1136" s="31"/>
      <c r="S1136" s="57"/>
      <c r="X1136" s="57"/>
    </row>
    <row r="1137" spans="1:24" hidden="1" x14ac:dyDescent="0.35">
      <c r="A1137">
        <v>1133</v>
      </c>
      <c r="B1137">
        <v>1134</v>
      </c>
      <c r="C1137">
        <v>146.106576294999</v>
      </c>
      <c r="D1137">
        <v>-17.658299160399899</v>
      </c>
      <c r="G1137" s="92"/>
      <c r="I1137">
        <v>8</v>
      </c>
      <c r="J1137" t="s">
        <v>26</v>
      </c>
      <c r="K1137" s="57"/>
      <c r="L1137" s="31"/>
      <c r="M1137" s="31"/>
      <c r="N1137" s="31"/>
      <c r="O1137" s="31"/>
      <c r="S1137" s="57"/>
      <c r="X1137" s="57"/>
    </row>
    <row r="1138" spans="1:24" hidden="1" x14ac:dyDescent="0.35">
      <c r="A1138">
        <v>1134</v>
      </c>
      <c r="B1138">
        <v>1135</v>
      </c>
      <c r="C1138">
        <v>146.10666008499899</v>
      </c>
      <c r="D1138">
        <v>-17.658324820099899</v>
      </c>
      <c r="G1138" s="92"/>
      <c r="I1138">
        <v>8</v>
      </c>
      <c r="J1138" t="s">
        <v>26</v>
      </c>
      <c r="K1138" s="57"/>
      <c r="L1138" s="31"/>
      <c r="M1138" s="31"/>
      <c r="N1138" s="31"/>
      <c r="O1138" s="31"/>
      <c r="S1138" s="57"/>
      <c r="X1138" s="57"/>
    </row>
    <row r="1139" spans="1:24" hidden="1" x14ac:dyDescent="0.35">
      <c r="A1139">
        <v>1135</v>
      </c>
      <c r="B1139">
        <v>1136</v>
      </c>
      <c r="C1139">
        <v>146.106737342999</v>
      </c>
      <c r="D1139">
        <v>-17.6583684973</v>
      </c>
      <c r="G1139" s="92"/>
      <c r="I1139">
        <v>8</v>
      </c>
      <c r="J1139" t="s">
        <v>26</v>
      </c>
      <c r="K1139" s="57"/>
      <c r="L1139" s="31"/>
      <c r="M1139" s="31"/>
      <c r="N1139" s="31"/>
      <c r="O1139" s="31"/>
      <c r="S1139" s="57"/>
      <c r="X1139" s="57"/>
    </row>
    <row r="1140" spans="1:24" hidden="1" x14ac:dyDescent="0.35">
      <c r="A1140">
        <v>1136</v>
      </c>
      <c r="B1140">
        <v>1137</v>
      </c>
      <c r="C1140">
        <v>146.106810080999</v>
      </c>
      <c r="D1140">
        <v>-17.6584166783</v>
      </c>
      <c r="G1140" s="92"/>
      <c r="I1140">
        <v>8</v>
      </c>
      <c r="J1140" t="s">
        <v>26</v>
      </c>
      <c r="K1140" s="57"/>
      <c r="L1140" s="31"/>
      <c r="M1140" s="31"/>
      <c r="N1140" s="31"/>
      <c r="O1140" s="31"/>
      <c r="S1140" s="57"/>
      <c r="X1140" s="57"/>
    </row>
    <row r="1141" spans="1:24" hidden="1" x14ac:dyDescent="0.35">
      <c r="A1141">
        <v>1137</v>
      </c>
      <c r="B1141">
        <v>1138</v>
      </c>
      <c r="C1141">
        <v>146.10685934700001</v>
      </c>
      <c r="D1141">
        <v>-17.658488256199899</v>
      </c>
      <c r="G1141" s="92"/>
      <c r="I1141">
        <v>8</v>
      </c>
      <c r="J1141" t="s">
        <v>26</v>
      </c>
      <c r="K1141" s="57"/>
      <c r="L1141" s="31"/>
      <c r="M1141" s="31"/>
      <c r="N1141" s="31"/>
      <c r="O1141" s="31"/>
      <c r="S1141" s="57"/>
      <c r="X1141" s="57"/>
    </row>
    <row r="1142" spans="1:24" hidden="1" x14ac:dyDescent="0.35">
      <c r="A1142">
        <v>1138</v>
      </c>
      <c r="B1142">
        <v>1139</v>
      </c>
      <c r="C1142">
        <v>146.10688500800001</v>
      </c>
      <c r="D1142">
        <v>-17.658568556999899</v>
      </c>
      <c r="G1142" s="92"/>
      <c r="I1142">
        <v>8</v>
      </c>
      <c r="J1142" t="s">
        <v>26</v>
      </c>
      <c r="K1142" s="57"/>
      <c r="L1142" s="31"/>
      <c r="M1142" s="31"/>
      <c r="N1142" s="31"/>
      <c r="O1142" s="31"/>
      <c r="S1142" s="57"/>
      <c r="X1142" s="57"/>
    </row>
    <row r="1143" spans="1:24" hidden="1" x14ac:dyDescent="0.35">
      <c r="A1143">
        <v>1139</v>
      </c>
      <c r="B1143">
        <v>1140</v>
      </c>
      <c r="C1143">
        <v>146.106899271999</v>
      </c>
      <c r="D1143">
        <v>-17.6586530698</v>
      </c>
      <c r="G1143" s="92"/>
      <c r="I1143">
        <v>8</v>
      </c>
      <c r="J1143" t="s">
        <v>26</v>
      </c>
      <c r="K1143" s="57"/>
      <c r="L1143" s="31"/>
      <c r="M1143" s="31"/>
      <c r="N1143" s="31"/>
      <c r="O1143" s="31"/>
      <c r="S1143" s="57"/>
      <c r="X1143" s="57"/>
    </row>
    <row r="1144" spans="1:24" hidden="1" x14ac:dyDescent="0.35">
      <c r="A1144">
        <v>1140</v>
      </c>
      <c r="B1144">
        <v>1141</v>
      </c>
      <c r="C1144">
        <v>146.106910263999</v>
      </c>
      <c r="D1144">
        <v>-17.6587379957999</v>
      </c>
      <c r="G1144" s="92"/>
      <c r="I1144">
        <v>8</v>
      </c>
      <c r="J1144" t="s">
        <v>26</v>
      </c>
      <c r="K1144" s="57"/>
      <c r="L1144" s="31"/>
      <c r="M1144" s="31"/>
      <c r="N1144" s="31"/>
      <c r="O1144" s="31"/>
      <c r="S1144" s="57"/>
      <c r="X1144" s="57"/>
    </row>
    <row r="1145" spans="1:24" hidden="1" x14ac:dyDescent="0.35">
      <c r="A1145">
        <v>1141</v>
      </c>
      <c r="B1145">
        <v>1142</v>
      </c>
      <c r="C1145">
        <v>146.106918540999</v>
      </c>
      <c r="D1145">
        <v>-17.658823179599899</v>
      </c>
      <c r="G1145" s="92"/>
      <c r="I1145">
        <v>8</v>
      </c>
      <c r="J1145" t="s">
        <v>26</v>
      </c>
      <c r="K1145" s="57"/>
      <c r="L1145" s="31"/>
      <c r="M1145" s="31"/>
      <c r="N1145" s="31"/>
      <c r="O1145" s="31"/>
      <c r="S1145" s="57"/>
      <c r="X1145" s="57"/>
    </row>
    <row r="1146" spans="1:24" hidden="1" x14ac:dyDescent="0.35">
      <c r="A1146">
        <v>1142</v>
      </c>
      <c r="B1146">
        <v>1143</v>
      </c>
      <c r="C1146">
        <v>146.106917866</v>
      </c>
      <c r="D1146">
        <v>-17.658908775800001</v>
      </c>
      <c r="G1146" s="92"/>
      <c r="I1146">
        <v>8</v>
      </c>
      <c r="J1146" t="s">
        <v>26</v>
      </c>
      <c r="K1146" s="57"/>
      <c r="L1146" s="31"/>
      <c r="M1146" s="31"/>
      <c r="N1146" s="31"/>
      <c r="O1146" s="31"/>
      <c r="S1146" s="57"/>
      <c r="X1146" s="57"/>
    </row>
    <row r="1147" spans="1:24" hidden="1" x14ac:dyDescent="0.35">
      <c r="A1147">
        <v>1143</v>
      </c>
      <c r="B1147">
        <v>1144</v>
      </c>
      <c r="C1147">
        <v>146.106912655</v>
      </c>
      <c r="D1147">
        <v>-17.6589940251</v>
      </c>
      <c r="G1147" s="92"/>
      <c r="I1147">
        <v>8</v>
      </c>
      <c r="J1147" t="s">
        <v>26</v>
      </c>
      <c r="K1147" s="57"/>
      <c r="L1147" s="31"/>
      <c r="M1147" s="31"/>
      <c r="N1147" s="31"/>
      <c r="O1147" s="31"/>
      <c r="S1147" s="57"/>
      <c r="X1147" s="57"/>
    </row>
    <row r="1148" spans="1:24" hidden="1" x14ac:dyDescent="0.35">
      <c r="A1148">
        <v>1144</v>
      </c>
      <c r="B1148">
        <v>1145</v>
      </c>
      <c r="C1148">
        <v>146.10689899100001</v>
      </c>
      <c r="D1148">
        <v>-17.6590786276</v>
      </c>
      <c r="G1148" s="92"/>
      <c r="I1148">
        <v>8</v>
      </c>
      <c r="J1148" t="s">
        <v>26</v>
      </c>
      <c r="K1148" s="57"/>
      <c r="L1148" s="31"/>
      <c r="M1148" s="31"/>
      <c r="N1148" s="31"/>
      <c r="O1148" s="31"/>
      <c r="S1148" s="57"/>
      <c r="X1148" s="57"/>
    </row>
    <row r="1149" spans="1:24" hidden="1" x14ac:dyDescent="0.35">
      <c r="A1149">
        <v>1145</v>
      </c>
      <c r="B1149">
        <v>1146</v>
      </c>
      <c r="C1149">
        <v>146.106877225999</v>
      </c>
      <c r="D1149">
        <v>-17.6591614963999</v>
      </c>
      <c r="G1149" s="92"/>
      <c r="I1149">
        <v>8</v>
      </c>
      <c r="J1149" t="s">
        <v>26</v>
      </c>
      <c r="K1149" s="57"/>
      <c r="L1149" s="31"/>
      <c r="M1149" s="31"/>
      <c r="N1149" s="31"/>
      <c r="O1149" s="31"/>
      <c r="S1149" s="57"/>
      <c r="X1149" s="57"/>
    </row>
    <row r="1150" spans="1:24" hidden="1" x14ac:dyDescent="0.35">
      <c r="A1150">
        <v>1146</v>
      </c>
      <c r="B1150">
        <v>1147</v>
      </c>
      <c r="C1150">
        <v>146.106853072999</v>
      </c>
      <c r="D1150">
        <v>-17.6592438972</v>
      </c>
      <c r="G1150" s="92"/>
      <c r="I1150">
        <v>8</v>
      </c>
      <c r="J1150" t="s">
        <v>26</v>
      </c>
      <c r="K1150" s="57"/>
      <c r="L1150" s="31"/>
      <c r="M1150" s="31"/>
      <c r="N1150" s="31"/>
      <c r="O1150" s="31"/>
      <c r="S1150" s="57"/>
      <c r="X1150" s="57"/>
    </row>
    <row r="1151" spans="1:24" hidden="1" x14ac:dyDescent="0.35">
      <c r="A1151">
        <v>1147</v>
      </c>
      <c r="B1151">
        <v>1148</v>
      </c>
      <c r="C1151">
        <v>146.10683426099899</v>
      </c>
      <c r="D1151">
        <v>-17.6593275976999</v>
      </c>
      <c r="G1151" s="92"/>
      <c r="I1151">
        <v>8</v>
      </c>
      <c r="J1151" t="s">
        <v>26</v>
      </c>
      <c r="K1151" s="57"/>
      <c r="L1151" s="31"/>
      <c r="M1151" s="31"/>
      <c r="N1151" s="31"/>
      <c r="O1151" s="31"/>
      <c r="S1151" s="57"/>
      <c r="X1151" s="57"/>
    </row>
    <row r="1152" spans="1:24" hidden="1" x14ac:dyDescent="0.35">
      <c r="A1152">
        <v>1148</v>
      </c>
      <c r="B1152">
        <v>1149</v>
      </c>
      <c r="C1152">
        <v>146.10688672800001</v>
      </c>
      <c r="D1152">
        <v>-17.659293048799899</v>
      </c>
      <c r="G1152" s="92"/>
      <c r="I1152">
        <v>8</v>
      </c>
      <c r="J1152" t="s">
        <v>26</v>
      </c>
      <c r="K1152" s="57"/>
      <c r="L1152" s="31"/>
      <c r="M1152" s="31"/>
      <c r="N1152" s="31"/>
      <c r="O1152" s="31"/>
      <c r="S1152" s="57"/>
      <c r="X1152" s="57"/>
    </row>
    <row r="1153" spans="1:24" hidden="1" x14ac:dyDescent="0.35">
      <c r="A1153">
        <v>1149</v>
      </c>
      <c r="B1153">
        <v>1150</v>
      </c>
      <c r="C1153">
        <v>146.10694849500001</v>
      </c>
      <c r="D1153">
        <v>-17.659246297300001</v>
      </c>
      <c r="G1153" s="92"/>
      <c r="I1153">
        <v>8</v>
      </c>
      <c r="J1153" t="s">
        <v>26</v>
      </c>
      <c r="K1153" s="57"/>
      <c r="L1153" s="31"/>
      <c r="M1153" s="31"/>
      <c r="N1153" s="31"/>
      <c r="O1153" s="31"/>
      <c r="S1153" s="57"/>
      <c r="X1153" s="57"/>
    </row>
    <row r="1154" spans="1:24" hidden="1" x14ac:dyDescent="0.35">
      <c r="A1154">
        <v>1150</v>
      </c>
      <c r="B1154">
        <v>1151</v>
      </c>
      <c r="C1154">
        <v>146.10695415000001</v>
      </c>
      <c r="D1154">
        <v>-17.659331726000001</v>
      </c>
      <c r="G1154" s="92"/>
      <c r="I1154">
        <v>8</v>
      </c>
      <c r="J1154" t="s">
        <v>26</v>
      </c>
      <c r="K1154" s="57"/>
      <c r="L1154" s="31"/>
      <c r="M1154" s="31"/>
      <c r="N1154" s="31"/>
      <c r="O1154" s="31"/>
      <c r="S1154" s="57"/>
      <c r="X1154" s="57"/>
    </row>
    <row r="1155" spans="1:24" hidden="1" x14ac:dyDescent="0.35">
      <c r="A1155">
        <v>1151</v>
      </c>
      <c r="B1155">
        <v>1152</v>
      </c>
      <c r="C1155">
        <v>146.10695980400001</v>
      </c>
      <c r="D1155">
        <v>-17.659417154700002</v>
      </c>
      <c r="G1155" s="92"/>
      <c r="I1155">
        <v>8</v>
      </c>
      <c r="J1155" t="s">
        <v>26</v>
      </c>
      <c r="K1155" s="57"/>
      <c r="L1155" s="31"/>
      <c r="M1155" s="31"/>
      <c r="N1155" s="31"/>
      <c r="O1155" s="31"/>
      <c r="S1155" s="57"/>
      <c r="X1155" s="57"/>
    </row>
    <row r="1156" spans="1:24" hidden="1" x14ac:dyDescent="0.35">
      <c r="A1156">
        <v>1152</v>
      </c>
      <c r="B1156">
        <v>1153</v>
      </c>
      <c r="C1156">
        <v>146.10694431600001</v>
      </c>
      <c r="D1156">
        <v>-17.6594991007</v>
      </c>
      <c r="G1156" s="92"/>
      <c r="I1156">
        <v>8</v>
      </c>
      <c r="J1156" t="s">
        <v>26</v>
      </c>
      <c r="K1156" s="57"/>
      <c r="L1156" s="31"/>
      <c r="M1156" s="31"/>
      <c r="N1156" s="31"/>
      <c r="O1156" s="31"/>
      <c r="S1156" s="57"/>
      <c r="X1156" s="57"/>
    </row>
    <row r="1157" spans="1:24" hidden="1" x14ac:dyDescent="0.35">
      <c r="A1157">
        <v>1153</v>
      </c>
      <c r="B1157">
        <v>1154</v>
      </c>
      <c r="C1157">
        <v>146.106908892999</v>
      </c>
      <c r="D1157">
        <v>-17.659577763200001</v>
      </c>
      <c r="G1157" s="92"/>
      <c r="I1157">
        <v>8</v>
      </c>
      <c r="J1157" t="s">
        <v>26</v>
      </c>
      <c r="K1157" s="57"/>
      <c r="L1157" s="31"/>
      <c r="M1157" s="31"/>
      <c r="N1157" s="31"/>
      <c r="O1157" s="31"/>
      <c r="S1157" s="57"/>
      <c r="X1157" s="57"/>
    </row>
    <row r="1158" spans="1:24" hidden="1" x14ac:dyDescent="0.35">
      <c r="A1158">
        <v>1154</v>
      </c>
      <c r="B1158">
        <v>1155</v>
      </c>
      <c r="C1158">
        <v>146.106873471</v>
      </c>
      <c r="D1158">
        <v>-17.659656425600001</v>
      </c>
      <c r="G1158" s="92"/>
      <c r="I1158">
        <v>8</v>
      </c>
      <c r="J1158" t="s">
        <v>26</v>
      </c>
      <c r="K1158" s="57"/>
      <c r="L1158" s="31"/>
      <c r="M1158" s="31"/>
      <c r="N1158" s="31"/>
      <c r="O1158" s="31"/>
      <c r="S1158" s="57"/>
      <c r="X1158" s="57"/>
    </row>
    <row r="1159" spans="1:24" hidden="1" x14ac:dyDescent="0.35">
      <c r="A1159">
        <v>1155</v>
      </c>
      <c r="B1159">
        <v>1156</v>
      </c>
      <c r="C1159">
        <v>146.10683804799899</v>
      </c>
      <c r="D1159">
        <v>-17.659735088000001</v>
      </c>
      <c r="G1159" s="92"/>
      <c r="I1159">
        <v>8</v>
      </c>
      <c r="J1159" t="s">
        <v>26</v>
      </c>
      <c r="K1159" s="57"/>
      <c r="L1159" s="31"/>
      <c r="M1159" s="31"/>
      <c r="N1159" s="31"/>
      <c r="O1159" s="31"/>
      <c r="S1159" s="57"/>
      <c r="X1159" s="57"/>
    </row>
    <row r="1160" spans="1:24" hidden="1" x14ac:dyDescent="0.35">
      <c r="A1160">
        <v>1156</v>
      </c>
      <c r="B1160">
        <v>1157</v>
      </c>
      <c r="C1160">
        <v>146.10678448600001</v>
      </c>
      <c r="D1160">
        <v>-17.659802666600001</v>
      </c>
      <c r="G1160" s="92"/>
      <c r="I1160">
        <v>8</v>
      </c>
      <c r="J1160" t="s">
        <v>26</v>
      </c>
      <c r="K1160" s="57"/>
      <c r="L1160" s="31"/>
      <c r="M1160" s="31"/>
      <c r="N1160" s="31"/>
      <c r="O1160" s="31"/>
      <c r="S1160" s="57"/>
      <c r="X1160" s="57"/>
    </row>
    <row r="1161" spans="1:24" hidden="1" x14ac:dyDescent="0.35">
      <c r="A1161">
        <v>1157</v>
      </c>
      <c r="B1161">
        <v>1158</v>
      </c>
      <c r="C1161">
        <v>146.106757571999</v>
      </c>
      <c r="D1161">
        <v>-17.6597846612</v>
      </c>
      <c r="G1161" s="92"/>
      <c r="I1161">
        <v>8</v>
      </c>
      <c r="J1161" t="s">
        <v>26</v>
      </c>
      <c r="K1161" s="57"/>
      <c r="L1161" s="31"/>
      <c r="M1161" s="31"/>
      <c r="N1161" s="31"/>
      <c r="O1161" s="31"/>
      <c r="S1161" s="57"/>
      <c r="X1161" s="57"/>
    </row>
    <row r="1162" spans="1:24" hidden="1" x14ac:dyDescent="0.35">
      <c r="A1162">
        <v>1158</v>
      </c>
      <c r="B1162">
        <v>1159</v>
      </c>
      <c r="C1162">
        <v>146.10675829900001</v>
      </c>
      <c r="D1162">
        <v>-17.659699065800002</v>
      </c>
      <c r="G1162" s="92"/>
      <c r="I1162">
        <v>8</v>
      </c>
      <c r="J1162" t="s">
        <v>26</v>
      </c>
      <c r="K1162" s="57"/>
      <c r="L1162" s="31"/>
      <c r="M1162" s="31"/>
      <c r="N1162" s="31"/>
      <c r="O1162" s="31"/>
      <c r="S1162" s="57"/>
      <c r="X1162" s="57"/>
    </row>
    <row r="1163" spans="1:24" hidden="1" x14ac:dyDescent="0.35">
      <c r="A1163">
        <v>1159</v>
      </c>
      <c r="B1163">
        <v>1160</v>
      </c>
      <c r="C1163">
        <v>146.106749739999</v>
      </c>
      <c r="D1163">
        <v>-17.659642176199899</v>
      </c>
      <c r="G1163" s="92"/>
      <c r="I1163">
        <v>8</v>
      </c>
      <c r="J1163" t="s">
        <v>26</v>
      </c>
      <c r="K1163" s="57"/>
      <c r="L1163" s="31"/>
      <c r="M1163" s="31"/>
      <c r="N1163" s="31"/>
      <c r="O1163" s="31"/>
      <c r="S1163" s="57"/>
      <c r="X1163" s="57"/>
    </row>
    <row r="1164" spans="1:24" hidden="1" x14ac:dyDescent="0.35">
      <c r="A1164">
        <v>1160</v>
      </c>
      <c r="B1164">
        <v>1161</v>
      </c>
      <c r="C1164">
        <v>146.1066945</v>
      </c>
      <c r="D1164">
        <v>-17.659708888800001</v>
      </c>
      <c r="G1164" s="92"/>
      <c r="I1164">
        <v>8</v>
      </c>
      <c r="J1164" t="s">
        <v>26</v>
      </c>
      <c r="K1164" s="57"/>
      <c r="L1164" s="31"/>
      <c r="M1164" s="31"/>
      <c r="N1164" s="31"/>
      <c r="O1164" s="31"/>
      <c r="S1164" s="57"/>
      <c r="X1164" s="57"/>
    </row>
    <row r="1165" spans="1:24" hidden="1" x14ac:dyDescent="0.35">
      <c r="A1165">
        <v>1161</v>
      </c>
      <c r="B1165">
        <v>1162</v>
      </c>
      <c r="C1165">
        <v>146.106626793999</v>
      </c>
      <c r="D1165">
        <v>-17.659765146000002</v>
      </c>
      <c r="G1165" s="92"/>
      <c r="I1165">
        <v>8</v>
      </c>
      <c r="J1165" t="s">
        <v>26</v>
      </c>
      <c r="K1165" s="57"/>
      <c r="L1165" s="31"/>
      <c r="M1165" s="31"/>
      <c r="N1165" s="31"/>
      <c r="O1165" s="31"/>
      <c r="S1165" s="57"/>
      <c r="X1165" s="57"/>
    </row>
    <row r="1166" spans="1:24" hidden="1" x14ac:dyDescent="0.35">
      <c r="A1166">
        <v>1162</v>
      </c>
      <c r="B1166">
        <v>1163</v>
      </c>
      <c r="C1166">
        <v>146.10655567500001</v>
      </c>
      <c r="D1166">
        <v>-17.659817215</v>
      </c>
      <c r="G1166" s="92"/>
      <c r="I1166">
        <v>8</v>
      </c>
      <c r="J1166" t="s">
        <v>26</v>
      </c>
      <c r="K1166" s="57"/>
      <c r="L1166" s="31"/>
      <c r="M1166" s="31"/>
      <c r="N1166" s="31"/>
      <c r="O1166" s="31"/>
      <c r="S1166" s="57"/>
      <c r="X1166" s="57"/>
    </row>
    <row r="1167" spans="1:24" hidden="1" x14ac:dyDescent="0.35">
      <c r="A1167">
        <v>1163</v>
      </c>
      <c r="B1167">
        <v>1164</v>
      </c>
      <c r="C1167">
        <v>146.10647997500001</v>
      </c>
      <c r="D1167">
        <v>-17.659862930900001</v>
      </c>
      <c r="G1167" s="92"/>
      <c r="I1167">
        <v>8</v>
      </c>
      <c r="J1167" t="s">
        <v>26</v>
      </c>
      <c r="K1167" s="57"/>
      <c r="L1167" s="31"/>
      <c r="M1167" s="31"/>
      <c r="N1167" s="31"/>
      <c r="O1167" s="31"/>
      <c r="S1167" s="57"/>
      <c r="X1167" s="57"/>
    </row>
    <row r="1168" spans="1:24" hidden="1" x14ac:dyDescent="0.35">
      <c r="A1168">
        <v>1164</v>
      </c>
      <c r="B1168">
        <v>1165</v>
      </c>
      <c r="C1168">
        <v>146.10639889800001</v>
      </c>
      <c r="D1168">
        <v>-17.659899789000001</v>
      </c>
      <c r="G1168" s="92"/>
      <c r="I1168">
        <v>8</v>
      </c>
      <c r="J1168" t="s">
        <v>26</v>
      </c>
      <c r="K1168" s="57"/>
      <c r="L1168" s="31"/>
      <c r="M1168" s="31"/>
      <c r="N1168" s="31"/>
      <c r="O1168" s="31"/>
      <c r="S1168" s="57"/>
      <c r="X1168" s="57"/>
    </row>
    <row r="1169" spans="1:24" hidden="1" x14ac:dyDescent="0.35">
      <c r="A1169">
        <v>1165</v>
      </c>
      <c r="B1169">
        <v>1166</v>
      </c>
      <c r="C1169">
        <v>146.106317821</v>
      </c>
      <c r="D1169">
        <v>-17.6599366471</v>
      </c>
      <c r="G1169" s="92"/>
      <c r="I1169">
        <v>8</v>
      </c>
      <c r="J1169" t="s">
        <v>26</v>
      </c>
      <c r="K1169" s="57"/>
      <c r="L1169" s="31"/>
      <c r="M1169" s="31"/>
      <c r="N1169" s="31"/>
      <c r="O1169" s="31"/>
      <c r="S1169" s="57"/>
      <c r="X1169" s="57"/>
    </row>
    <row r="1170" spans="1:24" hidden="1" x14ac:dyDescent="0.35">
      <c r="A1170">
        <v>1166</v>
      </c>
      <c r="B1170">
        <v>1167</v>
      </c>
      <c r="C1170">
        <v>146.10623373300001</v>
      </c>
      <c r="D1170">
        <v>-17.659966730299899</v>
      </c>
      <c r="G1170" s="92"/>
      <c r="I1170">
        <v>8</v>
      </c>
      <c r="J1170" t="s">
        <v>26</v>
      </c>
      <c r="K1170" s="57"/>
      <c r="L1170" s="31"/>
      <c r="M1170" s="31"/>
      <c r="N1170" s="31"/>
      <c r="O1170" s="31"/>
      <c r="S1170" s="57"/>
      <c r="X1170" s="57"/>
    </row>
    <row r="1171" spans="1:24" hidden="1" x14ac:dyDescent="0.35">
      <c r="A1171">
        <v>1167</v>
      </c>
      <c r="B1171">
        <v>1168</v>
      </c>
      <c r="C1171">
        <v>146.106149533999</v>
      </c>
      <c r="D1171">
        <v>-17.6599965656</v>
      </c>
      <c r="G1171" s="92"/>
      <c r="I1171">
        <v>8</v>
      </c>
      <c r="J1171" t="s">
        <v>26</v>
      </c>
      <c r="K1171" s="57"/>
      <c r="L1171" s="31"/>
      <c r="M1171" s="31"/>
      <c r="N1171" s="31"/>
      <c r="O1171" s="31"/>
      <c r="S1171" s="57"/>
      <c r="X1171" s="57"/>
    </row>
    <row r="1172" spans="1:24" hidden="1" x14ac:dyDescent="0.35">
      <c r="A1172">
        <v>1168</v>
      </c>
      <c r="B1172">
        <v>1169</v>
      </c>
      <c r="C1172">
        <v>146.10607140400001</v>
      </c>
      <c r="D1172">
        <v>-17.660038456799899</v>
      </c>
      <c r="G1172" s="92"/>
      <c r="I1172">
        <v>8</v>
      </c>
      <c r="J1172" t="s">
        <v>26</v>
      </c>
      <c r="K1172" s="57"/>
      <c r="L1172" s="31"/>
      <c r="M1172" s="31"/>
      <c r="N1172" s="31"/>
      <c r="O1172" s="31"/>
      <c r="S1172" s="57"/>
      <c r="X1172" s="57"/>
    </row>
    <row r="1173" spans="1:24" hidden="1" x14ac:dyDescent="0.35">
      <c r="A1173">
        <v>1169</v>
      </c>
      <c r="B1173">
        <v>1170</v>
      </c>
      <c r="C1173">
        <v>146.106001362999</v>
      </c>
      <c r="D1173">
        <v>-17.6600905686999</v>
      </c>
      <c r="G1173" s="92"/>
      <c r="I1173">
        <v>8</v>
      </c>
      <c r="J1173" t="s">
        <v>26</v>
      </c>
      <c r="K1173" s="57"/>
      <c r="L1173" s="31"/>
      <c r="M1173" s="31"/>
      <c r="N1173" s="31"/>
      <c r="O1173" s="31"/>
      <c r="S1173" s="57"/>
      <c r="X1173" s="57"/>
    </row>
    <row r="1174" spans="1:24" hidden="1" x14ac:dyDescent="0.35">
      <c r="A1174">
        <v>1170</v>
      </c>
      <c r="B1174">
        <v>1171</v>
      </c>
      <c r="C1174">
        <v>146.105945442999</v>
      </c>
      <c r="D1174">
        <v>-17.6601571283</v>
      </c>
      <c r="G1174" s="92"/>
      <c r="I1174">
        <v>8</v>
      </c>
      <c r="J1174" t="s">
        <v>26</v>
      </c>
      <c r="K1174" s="57"/>
      <c r="L1174" s="31"/>
      <c r="M1174" s="31"/>
      <c r="N1174" s="31"/>
      <c r="O1174" s="31"/>
      <c r="S1174" s="57"/>
      <c r="X1174" s="57"/>
    </row>
    <row r="1175" spans="1:24" hidden="1" x14ac:dyDescent="0.35">
      <c r="A1175">
        <v>1171</v>
      </c>
      <c r="B1175">
        <v>1172</v>
      </c>
      <c r="C1175">
        <v>146.105899069</v>
      </c>
      <c r="D1175">
        <v>-17.660230438100001</v>
      </c>
      <c r="G1175" s="92"/>
      <c r="I1175">
        <v>8</v>
      </c>
      <c r="J1175" t="s">
        <v>26</v>
      </c>
      <c r="K1175" s="57"/>
      <c r="L1175" s="31"/>
      <c r="M1175" s="31"/>
      <c r="N1175" s="31"/>
      <c r="O1175" s="31"/>
      <c r="S1175" s="57"/>
      <c r="X1175" s="57"/>
    </row>
    <row r="1176" spans="1:24" hidden="1" x14ac:dyDescent="0.35">
      <c r="A1176">
        <v>1172</v>
      </c>
      <c r="B1176">
        <v>1173</v>
      </c>
      <c r="C1176">
        <v>146.105869441999</v>
      </c>
      <c r="D1176">
        <v>-17.6603109546</v>
      </c>
      <c r="G1176" s="92"/>
      <c r="I1176">
        <v>8</v>
      </c>
      <c r="J1176" t="s">
        <v>26</v>
      </c>
      <c r="K1176" s="57"/>
      <c r="L1176" s="31"/>
      <c r="M1176" s="31"/>
      <c r="N1176" s="31"/>
      <c r="O1176" s="31"/>
      <c r="S1176" s="57"/>
      <c r="X1176" s="57"/>
    </row>
    <row r="1177" spans="1:24" hidden="1" x14ac:dyDescent="0.35">
      <c r="A1177">
        <v>1173</v>
      </c>
      <c r="B1177">
        <v>1174</v>
      </c>
      <c r="C1177">
        <v>146.105849892999</v>
      </c>
      <c r="D1177">
        <v>-17.660394155900001</v>
      </c>
      <c r="G1177" s="92"/>
      <c r="I1177">
        <v>8</v>
      </c>
      <c r="J1177" t="s">
        <v>26</v>
      </c>
      <c r="K1177" s="57"/>
      <c r="L1177" s="31"/>
      <c r="M1177" s="31"/>
      <c r="N1177" s="31"/>
      <c r="O1177" s="31"/>
      <c r="S1177" s="57"/>
      <c r="X1177" s="57"/>
    </row>
    <row r="1178" spans="1:24" hidden="1" x14ac:dyDescent="0.35">
      <c r="A1178">
        <v>1174</v>
      </c>
      <c r="B1178">
        <v>1175</v>
      </c>
      <c r="C1178">
        <v>146.105839271999</v>
      </c>
      <c r="D1178">
        <v>-17.660479130100001</v>
      </c>
      <c r="G1178" s="92"/>
      <c r="I1178">
        <v>8</v>
      </c>
      <c r="J1178" t="s">
        <v>26</v>
      </c>
      <c r="K1178" s="57"/>
      <c r="L1178" s="31"/>
      <c r="M1178" s="31"/>
      <c r="N1178" s="31"/>
      <c r="O1178" s="31"/>
      <c r="S1178" s="57"/>
      <c r="X1178" s="57"/>
    </row>
    <row r="1179" spans="1:24" hidden="1" x14ac:dyDescent="0.35">
      <c r="A1179">
        <v>1175</v>
      </c>
      <c r="B1179">
        <v>1176</v>
      </c>
      <c r="C1179">
        <v>146.105833606999</v>
      </c>
      <c r="D1179">
        <v>-17.6605645574999</v>
      </c>
      <c r="G1179" s="92"/>
      <c r="I1179">
        <v>8</v>
      </c>
      <c r="J1179" t="s">
        <v>26</v>
      </c>
      <c r="K1179" s="57"/>
      <c r="L1179" s="31"/>
      <c r="M1179" s="31"/>
      <c r="N1179" s="31"/>
      <c r="O1179" s="31"/>
      <c r="S1179" s="57"/>
      <c r="X1179" s="57"/>
    </row>
    <row r="1180" spans="1:24" hidden="1" x14ac:dyDescent="0.35">
      <c r="A1180">
        <v>1176</v>
      </c>
      <c r="B1180">
        <v>1177</v>
      </c>
      <c r="C1180">
        <v>146.10583183400001</v>
      </c>
      <c r="D1180">
        <v>-17.660650110799899</v>
      </c>
      <c r="G1180" s="92"/>
      <c r="I1180">
        <v>8</v>
      </c>
      <c r="J1180" t="s">
        <v>26</v>
      </c>
      <c r="K1180" s="57"/>
      <c r="L1180" s="31"/>
      <c r="M1180" s="31"/>
      <c r="N1180" s="31"/>
      <c r="O1180" s="31"/>
      <c r="S1180" s="57"/>
      <c r="X1180" s="57"/>
    </row>
    <row r="1181" spans="1:24" hidden="1" x14ac:dyDescent="0.35">
      <c r="A1181">
        <v>1177</v>
      </c>
      <c r="B1181">
        <v>1178</v>
      </c>
      <c r="C1181">
        <v>146.105831383999</v>
      </c>
      <c r="D1181">
        <v>-17.660735706899899</v>
      </c>
      <c r="G1181" s="92"/>
      <c r="I1181">
        <v>8</v>
      </c>
      <c r="J1181" t="s">
        <v>26</v>
      </c>
      <c r="K1181" s="57"/>
      <c r="L1181" s="31"/>
      <c r="M1181" s="31"/>
      <c r="N1181" s="31"/>
      <c r="O1181" s="31"/>
      <c r="S1181" s="57"/>
      <c r="X1181" s="57"/>
    </row>
    <row r="1182" spans="1:24" hidden="1" x14ac:dyDescent="0.35">
      <c r="A1182">
        <v>1178</v>
      </c>
      <c r="B1182">
        <v>1179</v>
      </c>
      <c r="C1182">
        <v>146.10582708300001</v>
      </c>
      <c r="D1182">
        <v>-17.660821206400001</v>
      </c>
      <c r="G1182" s="92"/>
      <c r="I1182">
        <v>8</v>
      </c>
      <c r="J1182" t="s">
        <v>26</v>
      </c>
      <c r="K1182" s="57"/>
      <c r="L1182" s="31"/>
      <c r="M1182" s="31"/>
      <c r="N1182" s="31"/>
      <c r="O1182" s="31"/>
      <c r="S1182" s="57"/>
      <c r="X1182" s="57"/>
    </row>
    <row r="1183" spans="1:24" hidden="1" x14ac:dyDescent="0.35">
      <c r="A1183">
        <v>1179</v>
      </c>
      <c r="B1183">
        <v>1180</v>
      </c>
      <c r="C1183">
        <v>146.10582225900001</v>
      </c>
      <c r="D1183">
        <v>-17.660906668100001</v>
      </c>
      <c r="G1183" s="92"/>
      <c r="I1183">
        <v>8</v>
      </c>
      <c r="J1183" t="s">
        <v>26</v>
      </c>
      <c r="K1183" s="57"/>
      <c r="L1183" s="31"/>
      <c r="M1183" s="31"/>
      <c r="N1183" s="31"/>
      <c r="O1183" s="31"/>
      <c r="S1183" s="57"/>
      <c r="X1183" s="57"/>
    </row>
    <row r="1184" spans="1:24" hidden="1" x14ac:dyDescent="0.35">
      <c r="A1184">
        <v>1180</v>
      </c>
      <c r="B1184">
        <v>1181</v>
      </c>
      <c r="C1184">
        <v>146.105812952999</v>
      </c>
      <c r="D1184">
        <v>-17.660991805199899</v>
      </c>
      <c r="G1184" s="92"/>
      <c r="I1184">
        <v>8</v>
      </c>
      <c r="J1184" t="s">
        <v>26</v>
      </c>
      <c r="K1184" s="57"/>
      <c r="L1184" s="31"/>
      <c r="M1184" s="31"/>
      <c r="N1184" s="31"/>
      <c r="O1184" s="31"/>
      <c r="S1184" s="57"/>
      <c r="X1184" s="57"/>
    </row>
    <row r="1185" spans="1:24" hidden="1" x14ac:dyDescent="0.35">
      <c r="A1185">
        <v>1181</v>
      </c>
      <c r="B1185">
        <v>1182</v>
      </c>
      <c r="C1185">
        <v>146.10579899800001</v>
      </c>
      <c r="D1185">
        <v>-17.6610762138999</v>
      </c>
      <c r="G1185" s="92"/>
      <c r="I1185">
        <v>8</v>
      </c>
      <c r="J1185" t="s">
        <v>26</v>
      </c>
      <c r="K1185" s="57"/>
      <c r="L1185" s="31"/>
      <c r="M1185" s="31"/>
      <c r="N1185" s="31"/>
      <c r="O1185" s="31"/>
      <c r="S1185" s="57"/>
      <c r="X1185" s="57"/>
    </row>
    <row r="1186" spans="1:24" hidden="1" x14ac:dyDescent="0.35">
      <c r="A1186">
        <v>1182</v>
      </c>
      <c r="B1186">
        <v>1183</v>
      </c>
      <c r="C1186">
        <v>146.10577921000001</v>
      </c>
      <c r="D1186">
        <v>-17.661159709</v>
      </c>
      <c r="G1186" s="92"/>
      <c r="I1186">
        <v>8</v>
      </c>
      <c r="J1186" t="s">
        <v>26</v>
      </c>
      <c r="K1186" s="57"/>
      <c r="L1186" s="31"/>
      <c r="M1186" s="31"/>
      <c r="N1186" s="31"/>
      <c r="O1186" s="31"/>
      <c r="S1186" s="57"/>
      <c r="X1186" s="57"/>
    </row>
    <row r="1187" spans="1:24" hidden="1" x14ac:dyDescent="0.35">
      <c r="A1187">
        <v>1183</v>
      </c>
      <c r="B1187">
        <v>1184</v>
      </c>
      <c r="C1187">
        <v>146.10576113299899</v>
      </c>
      <c r="D1187">
        <v>-17.6612435541</v>
      </c>
      <c r="G1187" s="92"/>
      <c r="I1187">
        <v>8</v>
      </c>
      <c r="J1187" t="s">
        <v>26</v>
      </c>
      <c r="K1187" s="57"/>
      <c r="L1187" s="31"/>
      <c r="M1187" s="31"/>
      <c r="N1187" s="31"/>
      <c r="O1187" s="31"/>
      <c r="S1187" s="57"/>
      <c r="X1187" s="57"/>
    </row>
    <row r="1188" spans="1:24" hidden="1" x14ac:dyDescent="0.35">
      <c r="A1188">
        <v>1184</v>
      </c>
      <c r="B1188">
        <v>1185</v>
      </c>
      <c r="C1188">
        <v>146.105737366</v>
      </c>
      <c r="D1188">
        <v>-17.661325407700001</v>
      </c>
      <c r="G1188" s="92"/>
      <c r="I1188">
        <v>8</v>
      </c>
      <c r="J1188" t="s">
        <v>26</v>
      </c>
      <c r="K1188" s="57"/>
      <c r="L1188" s="31"/>
      <c r="M1188" s="31"/>
      <c r="N1188" s="31"/>
      <c r="O1188" s="31"/>
      <c r="S1188" s="57"/>
      <c r="X1188" s="57"/>
    </row>
    <row r="1189" spans="1:24" hidden="1" x14ac:dyDescent="0.35">
      <c r="A1189">
        <v>1185</v>
      </c>
      <c r="B1189">
        <v>1186</v>
      </c>
      <c r="C1189">
        <v>146.10569460400001</v>
      </c>
      <c r="D1189">
        <v>-17.661400685</v>
      </c>
      <c r="G1189" s="92"/>
      <c r="I1189">
        <v>8</v>
      </c>
      <c r="J1189" t="s">
        <v>26</v>
      </c>
      <c r="K1189" s="57"/>
      <c r="L1189" s="31"/>
      <c r="M1189" s="31"/>
      <c r="N1189" s="31"/>
      <c r="O1189" s="31"/>
      <c r="S1189" s="57"/>
      <c r="X1189" s="57"/>
    </row>
    <row r="1190" spans="1:24" hidden="1" x14ac:dyDescent="0.35">
      <c r="A1190">
        <v>1186</v>
      </c>
      <c r="B1190">
        <v>1187</v>
      </c>
      <c r="C1190">
        <v>146.10565184199899</v>
      </c>
      <c r="D1190">
        <v>-17.6614759622999</v>
      </c>
      <c r="G1190" s="92"/>
      <c r="I1190">
        <v>8</v>
      </c>
      <c r="J1190" t="s">
        <v>26</v>
      </c>
      <c r="K1190" s="57"/>
      <c r="L1190" s="31"/>
      <c r="M1190" s="31"/>
      <c r="N1190" s="31"/>
      <c r="O1190" s="31"/>
      <c r="S1190" s="57"/>
      <c r="X1190" s="57"/>
    </row>
    <row r="1191" spans="1:24" hidden="1" x14ac:dyDescent="0.35">
      <c r="A1191">
        <v>1187</v>
      </c>
      <c r="B1191">
        <v>1188</v>
      </c>
      <c r="C1191">
        <v>146.105594889999</v>
      </c>
      <c r="D1191">
        <v>-17.6615416311</v>
      </c>
      <c r="G1191" s="92"/>
      <c r="I1191">
        <v>8</v>
      </c>
      <c r="J1191" t="s">
        <v>26</v>
      </c>
      <c r="K1191" s="57"/>
      <c r="L1191" s="31"/>
      <c r="M1191" s="31"/>
      <c r="N1191" s="31"/>
      <c r="O1191" s="31"/>
      <c r="S1191" s="57"/>
      <c r="X1191" s="57"/>
    </row>
    <row r="1192" spans="1:24" hidden="1" x14ac:dyDescent="0.35">
      <c r="A1192">
        <v>1188</v>
      </c>
      <c r="B1192">
        <v>1189</v>
      </c>
      <c r="C1192">
        <v>146.10552943900001</v>
      </c>
      <c r="D1192">
        <v>-17.6615999674999</v>
      </c>
      <c r="G1192" s="92"/>
      <c r="I1192">
        <v>8</v>
      </c>
      <c r="J1192" t="s">
        <v>26</v>
      </c>
      <c r="K1192" s="57"/>
      <c r="L1192" s="31"/>
      <c r="M1192" s="31"/>
      <c r="N1192" s="31"/>
      <c r="O1192" s="31"/>
      <c r="S1192" s="57"/>
      <c r="X1192" s="57"/>
    </row>
    <row r="1193" spans="1:24" hidden="1" x14ac:dyDescent="0.35">
      <c r="A1193">
        <v>1189</v>
      </c>
      <c r="B1193">
        <v>1190</v>
      </c>
      <c r="C1193">
        <v>146.10545827499899</v>
      </c>
      <c r="D1193">
        <v>-17.661651936799899</v>
      </c>
      <c r="G1193" s="92"/>
      <c r="I1193">
        <v>8</v>
      </c>
      <c r="J1193" t="s">
        <v>26</v>
      </c>
      <c r="K1193" s="57"/>
      <c r="L1193" s="31"/>
      <c r="M1193" s="31"/>
      <c r="N1193" s="31"/>
      <c r="O1193" s="31"/>
      <c r="S1193" s="57"/>
      <c r="X1193" s="57"/>
    </row>
    <row r="1194" spans="1:24" hidden="1" x14ac:dyDescent="0.35">
      <c r="A1194">
        <v>1190</v>
      </c>
      <c r="B1194">
        <v>1191</v>
      </c>
      <c r="C1194">
        <v>146.105376656</v>
      </c>
      <c r="D1194">
        <v>-17.6616854307</v>
      </c>
      <c r="G1194" s="92"/>
      <c r="I1194">
        <v>8</v>
      </c>
      <c r="J1194" t="s">
        <v>26</v>
      </c>
      <c r="K1194" s="57"/>
      <c r="L1194" s="31"/>
      <c r="M1194" s="31"/>
      <c r="N1194" s="31"/>
      <c r="O1194" s="31"/>
      <c r="S1194" s="57"/>
      <c r="X1194" s="57"/>
    </row>
    <row r="1195" spans="1:24" hidden="1" x14ac:dyDescent="0.35">
      <c r="A1195">
        <v>1191</v>
      </c>
      <c r="B1195">
        <v>1192</v>
      </c>
      <c r="C1195">
        <v>146.10528823600001</v>
      </c>
      <c r="D1195">
        <v>-17.6616919432999</v>
      </c>
      <c r="G1195" s="92"/>
      <c r="I1195">
        <v>8</v>
      </c>
      <c r="J1195" t="s">
        <v>26</v>
      </c>
      <c r="K1195" s="57"/>
      <c r="L1195" s="31"/>
      <c r="M1195" s="31"/>
      <c r="N1195" s="31"/>
      <c r="O1195" s="31"/>
      <c r="S1195" s="57"/>
      <c r="X1195" s="57"/>
    </row>
    <row r="1196" spans="1:24" hidden="1" x14ac:dyDescent="0.35">
      <c r="A1196">
        <v>1192</v>
      </c>
      <c r="B1196">
        <v>1193</v>
      </c>
      <c r="C1196">
        <v>146.105198999999</v>
      </c>
      <c r="D1196">
        <v>-17.6616846752</v>
      </c>
      <c r="G1196" s="92"/>
      <c r="I1196">
        <v>8</v>
      </c>
      <c r="J1196" t="s">
        <v>26</v>
      </c>
      <c r="K1196" s="57"/>
      <c r="L1196" s="31"/>
      <c r="M1196" s="31"/>
      <c r="N1196" s="31"/>
      <c r="O1196" s="31"/>
      <c r="S1196" s="57"/>
      <c r="X1196" s="57"/>
    </row>
    <row r="1197" spans="1:24" hidden="1" x14ac:dyDescent="0.35">
      <c r="A1197">
        <v>1193</v>
      </c>
      <c r="B1197">
        <v>1194</v>
      </c>
      <c r="C1197">
        <v>146.10511396800001</v>
      </c>
      <c r="D1197">
        <v>-17.661657071899899</v>
      </c>
      <c r="G1197" s="92"/>
      <c r="I1197">
        <v>8</v>
      </c>
      <c r="J1197" t="s">
        <v>26</v>
      </c>
      <c r="K1197" s="57"/>
      <c r="L1197" s="31"/>
      <c r="M1197" s="31"/>
      <c r="N1197" s="31"/>
      <c r="O1197" s="31"/>
      <c r="S1197" s="57"/>
      <c r="X1197" s="57"/>
    </row>
    <row r="1198" spans="1:24" hidden="1" x14ac:dyDescent="0.35">
      <c r="A1198">
        <v>1194</v>
      </c>
      <c r="B1198">
        <v>1195</v>
      </c>
      <c r="C1198">
        <v>146.10503029700001</v>
      </c>
      <c r="D1198">
        <v>-17.6616263965999</v>
      </c>
      <c r="G1198" s="92"/>
      <c r="I1198">
        <v>8</v>
      </c>
      <c r="J1198" t="s">
        <v>26</v>
      </c>
      <c r="K1198" s="57"/>
      <c r="L1198" s="31"/>
      <c r="M1198" s="31"/>
      <c r="N1198" s="31"/>
      <c r="O1198" s="31"/>
      <c r="S1198" s="57"/>
      <c r="X1198" s="57"/>
    </row>
    <row r="1199" spans="1:24" hidden="1" x14ac:dyDescent="0.35">
      <c r="A1199">
        <v>1195</v>
      </c>
      <c r="B1199">
        <v>1196</v>
      </c>
      <c r="C1199">
        <v>146.104950239999</v>
      </c>
      <c r="D1199">
        <v>-17.6615875659</v>
      </c>
      <c r="G1199" s="92"/>
      <c r="I1199">
        <v>8</v>
      </c>
      <c r="J1199" t="s">
        <v>26</v>
      </c>
      <c r="K1199" s="57"/>
      <c r="L1199" s="31"/>
      <c r="M1199" s="31"/>
      <c r="N1199" s="31"/>
      <c r="O1199" s="31"/>
      <c r="S1199" s="57"/>
      <c r="X1199" s="57"/>
    </row>
    <row r="1200" spans="1:24" hidden="1" x14ac:dyDescent="0.35">
      <c r="A1200">
        <v>1196</v>
      </c>
      <c r="B1200">
        <v>1197</v>
      </c>
      <c r="C1200">
        <v>146.104877442</v>
      </c>
      <c r="D1200">
        <v>-17.6615374394</v>
      </c>
      <c r="G1200" s="92"/>
      <c r="I1200">
        <v>8</v>
      </c>
      <c r="J1200" t="s">
        <v>26</v>
      </c>
      <c r="K1200" s="57"/>
      <c r="L1200" s="31"/>
      <c r="M1200" s="31"/>
      <c r="N1200" s="31"/>
      <c r="O1200" s="31"/>
      <c r="S1200" s="57"/>
      <c r="X1200" s="57"/>
    </row>
    <row r="1201" spans="1:24" hidden="1" x14ac:dyDescent="0.35">
      <c r="A1201">
        <v>1197</v>
      </c>
      <c r="B1201">
        <v>1198</v>
      </c>
      <c r="C1201">
        <v>146.10480474400001</v>
      </c>
      <c r="D1201">
        <v>-17.661487156300002</v>
      </c>
      <c r="G1201" s="92"/>
      <c r="I1201">
        <v>8</v>
      </c>
      <c r="J1201" t="s">
        <v>26</v>
      </c>
      <c r="K1201" s="57"/>
      <c r="L1201" s="31"/>
      <c r="M1201" s="31"/>
      <c r="N1201" s="31"/>
      <c r="O1201" s="31"/>
      <c r="S1201" s="57"/>
      <c r="X1201" s="57"/>
    </row>
    <row r="1202" spans="1:24" hidden="1" x14ac:dyDescent="0.35">
      <c r="A1202">
        <v>1198</v>
      </c>
      <c r="B1202">
        <v>1199</v>
      </c>
      <c r="C1202">
        <v>146.10473822399899</v>
      </c>
      <c r="D1202">
        <v>-17.661429748500002</v>
      </c>
      <c r="G1202" s="92"/>
      <c r="I1202">
        <v>8</v>
      </c>
      <c r="J1202" t="s">
        <v>26</v>
      </c>
      <c r="K1202" s="57"/>
      <c r="L1202" s="31"/>
      <c r="M1202" s="31"/>
      <c r="N1202" s="31"/>
      <c r="O1202" s="31"/>
      <c r="S1202" s="57"/>
      <c r="X1202" s="57"/>
    </row>
    <row r="1203" spans="1:24" hidden="1" x14ac:dyDescent="0.35">
      <c r="A1203">
        <v>1199</v>
      </c>
      <c r="B1203">
        <v>1200</v>
      </c>
      <c r="C1203">
        <v>146.10469230000001</v>
      </c>
      <c r="D1203">
        <v>-17.661360883499899</v>
      </c>
      <c r="G1203" s="92"/>
      <c r="I1203">
        <v>8</v>
      </c>
      <c r="J1203" t="s">
        <v>26</v>
      </c>
      <c r="K1203" s="57"/>
      <c r="L1203" s="31"/>
      <c r="M1203" s="31"/>
      <c r="N1203" s="31"/>
      <c r="O1203" s="31"/>
      <c r="S1203" s="57"/>
      <c r="X1203" s="57"/>
    </row>
    <row r="1204" spans="1:24" hidden="1" x14ac:dyDescent="0.35">
      <c r="A1204">
        <v>1200</v>
      </c>
      <c r="B1204">
        <v>1201</v>
      </c>
      <c r="C1204">
        <v>146.10467714699899</v>
      </c>
      <c r="D1204">
        <v>-17.6612766386</v>
      </c>
      <c r="G1204" s="92"/>
      <c r="I1204">
        <v>8</v>
      </c>
      <c r="J1204" t="s">
        <v>26</v>
      </c>
      <c r="K1204" s="57"/>
      <c r="L1204" s="31"/>
      <c r="M1204" s="31"/>
      <c r="N1204" s="31"/>
      <c r="O1204" s="31"/>
      <c r="S1204" s="57"/>
      <c r="X1204" s="57"/>
    </row>
    <row r="1205" spans="1:24" hidden="1" x14ac:dyDescent="0.35">
      <c r="A1205">
        <v>1201</v>
      </c>
      <c r="B1205">
        <v>1202</v>
      </c>
      <c r="C1205">
        <v>146.10467385300001</v>
      </c>
      <c r="D1205">
        <v>-17.661191098700002</v>
      </c>
      <c r="G1205" s="92"/>
      <c r="I1205">
        <v>8</v>
      </c>
      <c r="J1205" t="s">
        <v>26</v>
      </c>
      <c r="K1205" s="57"/>
      <c r="L1205" s="31"/>
      <c r="M1205" s="31"/>
      <c r="N1205" s="31"/>
      <c r="O1205" s="31"/>
      <c r="S1205" s="57"/>
      <c r="X1205" s="57"/>
    </row>
    <row r="1206" spans="1:24" hidden="1" x14ac:dyDescent="0.35">
      <c r="A1206">
        <v>1202</v>
      </c>
      <c r="B1206">
        <v>1203</v>
      </c>
      <c r="C1206">
        <v>146.10467886500001</v>
      </c>
      <c r="D1206">
        <v>-17.661107805499899</v>
      </c>
      <c r="G1206" s="92"/>
      <c r="I1206">
        <v>8</v>
      </c>
      <c r="J1206" t="s">
        <v>26</v>
      </c>
      <c r="K1206" s="57"/>
      <c r="L1206" s="31"/>
      <c r="M1206" s="31"/>
      <c r="N1206" s="31"/>
      <c r="O1206" s="31"/>
      <c r="S1206" s="57"/>
      <c r="X1206" s="57"/>
    </row>
    <row r="1207" spans="1:24" hidden="1" x14ac:dyDescent="0.35">
      <c r="A1207">
        <v>1203</v>
      </c>
      <c r="B1207">
        <v>1204</v>
      </c>
      <c r="C1207">
        <v>146.104746616</v>
      </c>
      <c r="D1207">
        <v>-17.661092502599899</v>
      </c>
      <c r="G1207" s="92"/>
      <c r="I1207">
        <v>8</v>
      </c>
      <c r="J1207" t="s">
        <v>26</v>
      </c>
      <c r="K1207" s="57"/>
      <c r="L1207" s="31"/>
      <c r="M1207" s="31"/>
      <c r="N1207" s="31"/>
      <c r="O1207" s="31"/>
      <c r="S1207" s="57"/>
      <c r="X1207" s="57"/>
    </row>
    <row r="1208" spans="1:24" hidden="1" x14ac:dyDescent="0.35">
      <c r="A1208">
        <v>1204</v>
      </c>
      <c r="B1208">
        <v>1205</v>
      </c>
      <c r="C1208">
        <v>146.104802986999</v>
      </c>
      <c r="D1208">
        <v>-17.661158528200001</v>
      </c>
      <c r="G1208" s="92"/>
      <c r="I1208">
        <v>8</v>
      </c>
      <c r="J1208" t="s">
        <v>26</v>
      </c>
      <c r="K1208" s="57"/>
      <c r="L1208" s="31"/>
      <c r="M1208" s="31"/>
      <c r="N1208" s="31"/>
      <c r="O1208" s="31"/>
      <c r="S1208" s="57"/>
      <c r="X1208" s="57"/>
    </row>
    <row r="1209" spans="1:24" hidden="1" x14ac:dyDescent="0.35">
      <c r="A1209">
        <v>1205</v>
      </c>
      <c r="B1209">
        <v>1206</v>
      </c>
      <c r="C1209">
        <v>146.104849975999</v>
      </c>
      <c r="D1209">
        <v>-17.661231373300001</v>
      </c>
      <c r="G1209" s="92"/>
      <c r="I1209">
        <v>8</v>
      </c>
      <c r="J1209" t="s">
        <v>26</v>
      </c>
      <c r="K1209" s="57"/>
      <c r="L1209" s="31"/>
      <c r="M1209" s="31"/>
      <c r="N1209" s="31"/>
      <c r="O1209" s="31"/>
      <c r="S1209" s="57"/>
      <c r="X1209" s="57"/>
    </row>
    <row r="1210" spans="1:24" hidden="1" x14ac:dyDescent="0.35">
      <c r="A1210">
        <v>1206</v>
      </c>
      <c r="B1210">
        <v>1207</v>
      </c>
      <c r="C1210">
        <v>146.10488341799899</v>
      </c>
      <c r="D1210">
        <v>-17.661310818099899</v>
      </c>
      <c r="G1210" s="92"/>
      <c r="I1210">
        <v>8</v>
      </c>
      <c r="J1210" t="s">
        <v>26</v>
      </c>
      <c r="K1210" s="57"/>
      <c r="L1210" s="31"/>
      <c r="M1210" s="31"/>
      <c r="N1210" s="31"/>
      <c r="O1210" s="31"/>
      <c r="S1210" s="57"/>
      <c r="X1210" s="57"/>
    </row>
    <row r="1211" spans="1:24" hidden="1" x14ac:dyDescent="0.35">
      <c r="A1211">
        <v>1207</v>
      </c>
      <c r="B1211">
        <v>1208</v>
      </c>
      <c r="C1211">
        <v>146.104918359999</v>
      </c>
      <c r="D1211">
        <v>-17.661389539399899</v>
      </c>
      <c r="G1211" s="92"/>
      <c r="I1211">
        <v>8</v>
      </c>
      <c r="J1211" t="s">
        <v>26</v>
      </c>
      <c r="K1211" s="57"/>
      <c r="L1211" s="31"/>
      <c r="M1211" s="31"/>
      <c r="N1211" s="31"/>
      <c r="O1211" s="31"/>
      <c r="S1211" s="57"/>
      <c r="X1211" s="57"/>
    </row>
    <row r="1212" spans="1:24" hidden="1" x14ac:dyDescent="0.35">
      <c r="A1212">
        <v>1208</v>
      </c>
      <c r="B1212">
        <v>1209</v>
      </c>
      <c r="C1212">
        <v>146.10496576099899</v>
      </c>
      <c r="D1212">
        <v>-17.661462250700001</v>
      </c>
      <c r="G1212" s="92"/>
      <c r="I1212">
        <v>8</v>
      </c>
      <c r="J1212" t="s">
        <v>26</v>
      </c>
      <c r="K1212" s="57"/>
      <c r="L1212" s="31"/>
      <c r="M1212" s="31"/>
      <c r="N1212" s="31"/>
      <c r="O1212" s="31"/>
      <c r="S1212" s="57"/>
      <c r="X1212" s="57"/>
    </row>
    <row r="1213" spans="1:24" hidden="1" x14ac:dyDescent="0.35">
      <c r="A1213">
        <v>1209</v>
      </c>
      <c r="B1213">
        <v>1210</v>
      </c>
      <c r="C1213">
        <v>146.105018045999</v>
      </c>
      <c r="D1213">
        <v>-17.661531072300001</v>
      </c>
      <c r="G1213" s="92"/>
      <c r="I1213">
        <v>8</v>
      </c>
      <c r="J1213" t="s">
        <v>26</v>
      </c>
      <c r="K1213" s="57"/>
      <c r="L1213" s="31"/>
      <c r="M1213" s="31"/>
      <c r="N1213" s="31"/>
      <c r="O1213" s="31"/>
      <c r="S1213" s="57"/>
      <c r="X1213" s="57"/>
    </row>
    <row r="1214" spans="1:24" hidden="1" x14ac:dyDescent="0.35">
      <c r="A1214">
        <v>1210</v>
      </c>
      <c r="B1214">
        <v>1211</v>
      </c>
      <c r="C1214">
        <v>146.10508996799899</v>
      </c>
      <c r="D1214">
        <v>-17.661579260900002</v>
      </c>
      <c r="G1214" s="92"/>
      <c r="I1214">
        <v>8</v>
      </c>
      <c r="J1214" t="s">
        <v>26</v>
      </c>
      <c r="K1214" s="57"/>
      <c r="L1214" s="31"/>
      <c r="M1214" s="31"/>
      <c r="N1214" s="31"/>
      <c r="O1214" s="31"/>
      <c r="S1214" s="57"/>
      <c r="X1214" s="57"/>
    </row>
    <row r="1215" spans="1:24" hidden="1" x14ac:dyDescent="0.35">
      <c r="A1215">
        <v>1211</v>
      </c>
      <c r="B1215">
        <v>1212</v>
      </c>
      <c r="C1215">
        <v>146.105176696999</v>
      </c>
      <c r="D1215">
        <v>-17.6616015631</v>
      </c>
      <c r="G1215" s="92"/>
      <c r="I1215">
        <v>8</v>
      </c>
      <c r="J1215" t="s">
        <v>26</v>
      </c>
      <c r="K1215" s="57"/>
      <c r="L1215" s="31"/>
      <c r="M1215" s="31"/>
      <c r="N1215" s="31"/>
      <c r="O1215" s="31"/>
      <c r="S1215" s="57"/>
      <c r="X1215" s="57"/>
    </row>
    <row r="1216" spans="1:24" hidden="1" x14ac:dyDescent="0.35">
      <c r="A1216">
        <v>1212</v>
      </c>
      <c r="B1216">
        <v>1213</v>
      </c>
      <c r="C1216">
        <v>146.105265433</v>
      </c>
      <c r="D1216">
        <v>-17.6616096941999</v>
      </c>
      <c r="G1216" s="92"/>
      <c r="I1216">
        <v>8</v>
      </c>
      <c r="J1216" t="s">
        <v>26</v>
      </c>
      <c r="K1216" s="57"/>
      <c r="L1216" s="31"/>
      <c r="M1216" s="31"/>
      <c r="N1216" s="31"/>
      <c r="O1216" s="31"/>
      <c r="S1216" s="57"/>
      <c r="X1216" s="57"/>
    </row>
    <row r="1217" spans="1:24" hidden="1" x14ac:dyDescent="0.35">
      <c r="A1217">
        <v>1213</v>
      </c>
      <c r="B1217">
        <v>1214</v>
      </c>
      <c r="C1217">
        <v>146.105353008999</v>
      </c>
      <c r="D1217">
        <v>-17.661595422600001</v>
      </c>
      <c r="G1217" s="92"/>
      <c r="I1217">
        <v>8</v>
      </c>
      <c r="J1217" t="s">
        <v>26</v>
      </c>
      <c r="K1217" s="57"/>
      <c r="L1217" s="31"/>
      <c r="M1217" s="31"/>
      <c r="N1217" s="31"/>
      <c r="O1217" s="31"/>
      <c r="S1217" s="57"/>
      <c r="X1217" s="57"/>
    </row>
    <row r="1218" spans="1:24" hidden="1" x14ac:dyDescent="0.35">
      <c r="A1218">
        <v>1214</v>
      </c>
      <c r="B1218">
        <v>1215</v>
      </c>
      <c r="C1218">
        <v>146.10542864600001</v>
      </c>
      <c r="D1218">
        <v>-17.661554107600001</v>
      </c>
      <c r="G1218" s="92"/>
      <c r="I1218">
        <v>8</v>
      </c>
      <c r="J1218" t="s">
        <v>26</v>
      </c>
      <c r="K1218" s="57"/>
      <c r="L1218" s="31"/>
      <c r="M1218" s="31"/>
      <c r="N1218" s="31"/>
      <c r="O1218" s="31"/>
      <c r="S1218" s="57"/>
      <c r="X1218" s="57"/>
    </row>
    <row r="1219" spans="1:24" hidden="1" x14ac:dyDescent="0.35">
      <c r="A1219">
        <v>1215</v>
      </c>
      <c r="B1219">
        <v>1216</v>
      </c>
      <c r="C1219">
        <v>146.10549067400001</v>
      </c>
      <c r="D1219">
        <v>-17.661492606900001</v>
      </c>
      <c r="G1219" s="92"/>
      <c r="I1219">
        <v>8</v>
      </c>
      <c r="J1219" t="s">
        <v>26</v>
      </c>
      <c r="K1219" s="57"/>
      <c r="L1219" s="31"/>
      <c r="M1219" s="31"/>
      <c r="N1219" s="31"/>
      <c r="O1219" s="31"/>
      <c r="S1219" s="57"/>
      <c r="X1219" s="57"/>
    </row>
    <row r="1220" spans="1:24" hidden="1" x14ac:dyDescent="0.35">
      <c r="A1220">
        <v>1216</v>
      </c>
      <c r="B1220">
        <v>1217</v>
      </c>
      <c r="C1220">
        <v>146.10552911600001</v>
      </c>
      <c r="D1220">
        <v>-17.661415243499899</v>
      </c>
      <c r="G1220" s="92"/>
      <c r="I1220">
        <v>8</v>
      </c>
      <c r="J1220" t="s">
        <v>26</v>
      </c>
      <c r="K1220" s="57"/>
      <c r="L1220" s="31"/>
      <c r="M1220" s="31"/>
      <c r="N1220" s="31"/>
      <c r="O1220" s="31"/>
      <c r="S1220" s="57"/>
      <c r="X1220" s="57"/>
    </row>
    <row r="1221" spans="1:24" hidden="1" x14ac:dyDescent="0.35">
      <c r="A1221">
        <v>1217</v>
      </c>
      <c r="B1221">
        <v>1218</v>
      </c>
      <c r="C1221">
        <v>146.10556650300001</v>
      </c>
      <c r="D1221">
        <v>-17.661337418900001</v>
      </c>
      <c r="G1221" s="92"/>
      <c r="I1221">
        <v>8</v>
      </c>
      <c r="J1221" t="s">
        <v>26</v>
      </c>
      <c r="K1221" s="57"/>
      <c r="L1221" s="31"/>
      <c r="M1221" s="31"/>
      <c r="N1221" s="31"/>
      <c r="O1221" s="31"/>
      <c r="S1221" s="57"/>
      <c r="X1221" s="57"/>
    </row>
    <row r="1222" spans="1:24" hidden="1" x14ac:dyDescent="0.35">
      <c r="A1222">
        <v>1218</v>
      </c>
      <c r="B1222">
        <v>1219</v>
      </c>
      <c r="C1222">
        <v>146.10560288400001</v>
      </c>
      <c r="D1222">
        <v>-17.661259155700002</v>
      </c>
      <c r="G1222" s="92"/>
      <c r="I1222">
        <v>8</v>
      </c>
      <c r="J1222" t="s">
        <v>26</v>
      </c>
      <c r="K1222" s="57"/>
      <c r="L1222" s="31"/>
      <c r="M1222" s="31"/>
      <c r="N1222" s="31"/>
      <c r="O1222" s="31"/>
      <c r="S1222" s="57"/>
      <c r="X1222" s="57"/>
    </row>
    <row r="1223" spans="1:24" hidden="1" x14ac:dyDescent="0.35">
      <c r="A1223">
        <v>1219</v>
      </c>
      <c r="B1223">
        <v>1220</v>
      </c>
      <c r="C1223">
        <v>146.105635065999</v>
      </c>
      <c r="D1223">
        <v>-17.6611795606999</v>
      </c>
      <c r="G1223" s="92"/>
      <c r="I1223">
        <v>8</v>
      </c>
      <c r="J1223" t="s">
        <v>26</v>
      </c>
      <c r="K1223" s="57"/>
      <c r="L1223" s="31"/>
      <c r="M1223" s="31"/>
      <c r="N1223" s="31"/>
      <c r="O1223" s="31"/>
      <c r="S1223" s="57"/>
      <c r="X1223" s="57"/>
    </row>
    <row r="1224" spans="1:24" hidden="1" x14ac:dyDescent="0.35">
      <c r="A1224">
        <v>1220</v>
      </c>
      <c r="B1224">
        <v>1221</v>
      </c>
      <c r="C1224">
        <v>146.105655149999</v>
      </c>
      <c r="D1224">
        <v>-17.661096130000001</v>
      </c>
      <c r="G1224" s="92"/>
      <c r="I1224">
        <v>8</v>
      </c>
      <c r="J1224" t="s">
        <v>26</v>
      </c>
      <c r="K1224" s="57"/>
      <c r="L1224" s="31"/>
      <c r="M1224" s="31"/>
      <c r="N1224" s="31"/>
      <c r="O1224" s="31"/>
      <c r="S1224" s="57"/>
      <c r="X1224" s="57"/>
    </row>
    <row r="1225" spans="1:24" hidden="1" x14ac:dyDescent="0.35">
      <c r="A1225">
        <v>1221</v>
      </c>
      <c r="B1225">
        <v>1222</v>
      </c>
      <c r="C1225">
        <v>146.10567523500001</v>
      </c>
      <c r="D1225">
        <v>-17.6610126992</v>
      </c>
      <c r="G1225" s="92"/>
      <c r="I1225">
        <v>8</v>
      </c>
      <c r="J1225" t="s">
        <v>26</v>
      </c>
      <c r="K1225" s="57"/>
      <c r="L1225" s="31"/>
      <c r="M1225" s="31"/>
      <c r="N1225" s="31"/>
      <c r="O1225" s="31"/>
      <c r="S1225" s="57"/>
      <c r="X1225" s="57"/>
    </row>
    <row r="1226" spans="1:24" hidden="1" x14ac:dyDescent="0.35">
      <c r="A1226">
        <v>1222</v>
      </c>
      <c r="B1226">
        <v>1223</v>
      </c>
      <c r="C1226">
        <v>146.105687998999</v>
      </c>
      <c r="D1226">
        <v>-17.6609281415999</v>
      </c>
      <c r="G1226" s="92"/>
      <c r="I1226">
        <v>8</v>
      </c>
      <c r="J1226" t="s">
        <v>26</v>
      </c>
      <c r="K1226" s="57"/>
      <c r="L1226" s="31"/>
      <c r="M1226" s="31"/>
      <c r="N1226" s="31"/>
      <c r="O1226" s="31"/>
      <c r="S1226" s="57"/>
      <c r="X1226" s="57"/>
    </row>
    <row r="1227" spans="1:24" hidden="1" x14ac:dyDescent="0.35">
      <c r="A1227">
        <v>1223</v>
      </c>
      <c r="B1227">
        <v>1224</v>
      </c>
      <c r="C1227">
        <v>146.105696502999</v>
      </c>
      <c r="D1227">
        <v>-17.6608429284999</v>
      </c>
      <c r="G1227" s="92"/>
      <c r="I1227">
        <v>8</v>
      </c>
      <c r="J1227" t="s">
        <v>26</v>
      </c>
      <c r="K1227" s="57"/>
      <c r="L1227" s="31"/>
      <c r="M1227" s="31"/>
      <c r="N1227" s="31"/>
      <c r="O1227" s="31"/>
      <c r="S1227" s="57"/>
      <c r="X1227" s="57"/>
    </row>
    <row r="1228" spans="1:24" hidden="1" x14ac:dyDescent="0.35">
      <c r="A1228">
        <v>1224</v>
      </c>
      <c r="B1228">
        <v>1225</v>
      </c>
      <c r="C1228">
        <v>146.105705008</v>
      </c>
      <c r="D1228">
        <v>-17.6607577151999</v>
      </c>
      <c r="G1228" s="92"/>
      <c r="I1228">
        <v>8</v>
      </c>
      <c r="J1228" t="s">
        <v>26</v>
      </c>
      <c r="K1228" s="57"/>
      <c r="L1228" s="31"/>
      <c r="M1228" s="31"/>
      <c r="N1228" s="31"/>
      <c r="O1228" s="31"/>
      <c r="S1228" s="57"/>
      <c r="X1228" s="57"/>
    </row>
    <row r="1229" spans="1:24" hidden="1" x14ac:dyDescent="0.35">
      <c r="A1229">
        <v>1225</v>
      </c>
      <c r="B1229">
        <v>1226</v>
      </c>
      <c r="C1229">
        <v>146.105710482999</v>
      </c>
      <c r="D1229">
        <v>-17.6606722824</v>
      </c>
      <c r="G1229" s="92"/>
      <c r="I1229">
        <v>8</v>
      </c>
      <c r="J1229" t="s">
        <v>26</v>
      </c>
      <c r="K1229" s="57"/>
      <c r="L1229" s="31"/>
      <c r="M1229" s="31"/>
      <c r="N1229" s="31"/>
      <c r="O1229" s="31"/>
      <c r="S1229" s="57"/>
      <c r="X1229" s="57"/>
    </row>
    <row r="1230" spans="1:24" hidden="1" x14ac:dyDescent="0.35">
      <c r="A1230">
        <v>1226</v>
      </c>
      <c r="B1230">
        <v>1227</v>
      </c>
      <c r="C1230">
        <v>146.10571559799899</v>
      </c>
      <c r="D1230">
        <v>-17.660586823500001</v>
      </c>
      <c r="G1230" s="92"/>
      <c r="I1230">
        <v>8</v>
      </c>
      <c r="J1230" t="s">
        <v>26</v>
      </c>
      <c r="K1230" s="57"/>
      <c r="L1230" s="31"/>
      <c r="M1230" s="31"/>
      <c r="N1230" s="31"/>
      <c r="O1230" s="31"/>
      <c r="S1230" s="57"/>
      <c r="X1230" s="57"/>
    </row>
    <row r="1231" spans="1:24" hidden="1" x14ac:dyDescent="0.35">
      <c r="A1231">
        <v>1227</v>
      </c>
      <c r="B1231">
        <v>1228</v>
      </c>
      <c r="C1231">
        <v>146.10572071300001</v>
      </c>
      <c r="D1231">
        <v>-17.660501364600002</v>
      </c>
      <c r="G1231" s="92"/>
      <c r="I1231">
        <v>8</v>
      </c>
      <c r="J1231" t="s">
        <v>26</v>
      </c>
      <c r="K1231" s="57"/>
      <c r="L1231" s="31"/>
      <c r="M1231" s="31"/>
      <c r="N1231" s="31"/>
      <c r="O1231" s="31"/>
      <c r="S1231" s="57"/>
      <c r="X1231" s="57"/>
    </row>
    <row r="1232" spans="1:24" hidden="1" x14ac:dyDescent="0.35">
      <c r="A1232">
        <v>1228</v>
      </c>
      <c r="B1232">
        <v>1229</v>
      </c>
      <c r="C1232">
        <v>146.105736191999</v>
      </c>
      <c r="D1232">
        <v>-17.660417244200001</v>
      </c>
      <c r="G1232" s="92"/>
      <c r="I1232">
        <v>8</v>
      </c>
      <c r="J1232" t="s">
        <v>26</v>
      </c>
      <c r="K1232" s="57"/>
      <c r="L1232" s="31"/>
      <c r="M1232" s="31"/>
      <c r="N1232" s="31"/>
      <c r="O1232" s="31"/>
      <c r="S1232" s="57"/>
      <c r="X1232" s="57"/>
    </row>
    <row r="1233" spans="1:24" hidden="1" x14ac:dyDescent="0.35">
      <c r="A1233">
        <v>1229</v>
      </c>
      <c r="B1233">
        <v>1230</v>
      </c>
      <c r="C1233">
        <v>146.10575513699899</v>
      </c>
      <c r="D1233">
        <v>-17.660333571399899</v>
      </c>
      <c r="G1233" s="92"/>
      <c r="I1233">
        <v>8</v>
      </c>
      <c r="J1233" t="s">
        <v>26</v>
      </c>
      <c r="K1233" s="57"/>
      <c r="L1233" s="31"/>
      <c r="M1233" s="31"/>
      <c r="N1233" s="31"/>
      <c r="O1233" s="31"/>
      <c r="S1233" s="57"/>
      <c r="X1233" s="57"/>
    </row>
    <row r="1234" spans="1:24" hidden="1" x14ac:dyDescent="0.35">
      <c r="A1234">
        <v>1230</v>
      </c>
      <c r="B1234">
        <v>1231</v>
      </c>
      <c r="C1234">
        <v>146.105774083</v>
      </c>
      <c r="D1234">
        <v>-17.660249898899899</v>
      </c>
      <c r="G1234" s="92"/>
      <c r="I1234">
        <v>8</v>
      </c>
      <c r="J1234" t="s">
        <v>26</v>
      </c>
      <c r="K1234" s="57"/>
      <c r="L1234" s="31"/>
      <c r="M1234" s="31"/>
      <c r="N1234" s="31"/>
      <c r="O1234" s="31"/>
      <c r="S1234" s="57"/>
      <c r="X1234" s="57"/>
    </row>
    <row r="1235" spans="1:24" hidden="1" x14ac:dyDescent="0.35">
      <c r="A1235">
        <v>1231</v>
      </c>
      <c r="B1235">
        <v>1232</v>
      </c>
      <c r="C1235">
        <v>146.10581694000001</v>
      </c>
      <c r="D1235">
        <v>-17.660174825199899</v>
      </c>
      <c r="G1235" s="92"/>
      <c r="I1235">
        <v>8</v>
      </c>
      <c r="J1235" t="s">
        <v>26</v>
      </c>
      <c r="K1235" s="57"/>
      <c r="L1235" s="31"/>
      <c r="M1235" s="31"/>
      <c r="N1235" s="31"/>
      <c r="O1235" s="31"/>
      <c r="S1235" s="57"/>
      <c r="X1235" s="57"/>
    </row>
    <row r="1236" spans="1:24" hidden="1" x14ac:dyDescent="0.35">
      <c r="A1236">
        <v>1232</v>
      </c>
      <c r="B1236">
        <v>1233</v>
      </c>
      <c r="C1236">
        <v>146.10586606800001</v>
      </c>
      <c r="D1236">
        <v>-17.6601039650999</v>
      </c>
      <c r="G1236" s="92"/>
      <c r="I1236">
        <v>8</v>
      </c>
      <c r="J1236" t="s">
        <v>26</v>
      </c>
      <c r="K1236" s="57"/>
      <c r="L1236" s="31"/>
      <c r="M1236" s="31"/>
      <c r="N1236" s="31"/>
      <c r="O1236" s="31"/>
      <c r="S1236" s="57"/>
      <c r="X1236" s="57"/>
    </row>
    <row r="1237" spans="1:24" hidden="1" x14ac:dyDescent="0.35">
      <c r="A1237">
        <v>1233</v>
      </c>
      <c r="B1237">
        <v>1234</v>
      </c>
      <c r="C1237">
        <v>146.105929731</v>
      </c>
      <c r="D1237">
        <v>-17.660043575100001</v>
      </c>
      <c r="G1237" s="92"/>
      <c r="I1237">
        <v>8</v>
      </c>
      <c r="J1237" t="s">
        <v>26</v>
      </c>
      <c r="K1237" s="57"/>
      <c r="L1237" s="31"/>
      <c r="M1237" s="31"/>
      <c r="N1237" s="31"/>
      <c r="O1237" s="31"/>
      <c r="S1237" s="57"/>
      <c r="X1237" s="57"/>
    </row>
    <row r="1238" spans="1:24" hidden="1" x14ac:dyDescent="0.35">
      <c r="A1238">
        <v>1234</v>
      </c>
      <c r="B1238">
        <v>1235</v>
      </c>
      <c r="C1238">
        <v>146.105993278</v>
      </c>
      <c r="D1238">
        <v>-17.659983073100001</v>
      </c>
      <c r="G1238" s="92"/>
      <c r="I1238">
        <v>8</v>
      </c>
      <c r="J1238" t="s">
        <v>26</v>
      </c>
      <c r="K1238" s="57"/>
      <c r="L1238" s="31"/>
      <c r="M1238" s="31"/>
      <c r="N1238" s="31"/>
      <c r="O1238" s="31"/>
      <c r="S1238" s="57"/>
      <c r="X1238" s="57"/>
    </row>
    <row r="1239" spans="1:24" hidden="1" x14ac:dyDescent="0.35">
      <c r="A1239">
        <v>1235</v>
      </c>
      <c r="B1239">
        <v>1236</v>
      </c>
      <c r="C1239">
        <v>146.10605891</v>
      </c>
      <c r="D1239">
        <v>-17.6599254025999</v>
      </c>
      <c r="G1239" s="92"/>
      <c r="I1239">
        <v>8</v>
      </c>
      <c r="J1239" t="s">
        <v>26</v>
      </c>
      <c r="K1239" s="57"/>
      <c r="L1239" s="31"/>
      <c r="M1239" s="31"/>
      <c r="N1239" s="31"/>
      <c r="O1239" s="31"/>
      <c r="S1239" s="57"/>
      <c r="X1239" s="57"/>
    </row>
    <row r="1240" spans="1:24" hidden="1" x14ac:dyDescent="0.35">
      <c r="A1240">
        <v>1236</v>
      </c>
      <c r="B1240">
        <v>1237</v>
      </c>
      <c r="C1240">
        <v>146.106140232</v>
      </c>
      <c r="D1240">
        <v>-17.6598890373999</v>
      </c>
      <c r="G1240" s="92"/>
      <c r="I1240">
        <v>8</v>
      </c>
      <c r="J1240" t="s">
        <v>26</v>
      </c>
      <c r="K1240" s="57"/>
      <c r="L1240" s="31"/>
      <c r="M1240" s="31"/>
      <c r="N1240" s="31"/>
      <c r="O1240" s="31"/>
      <c r="S1240" s="57"/>
      <c r="X1240" s="57"/>
    </row>
    <row r="1241" spans="1:24" hidden="1" x14ac:dyDescent="0.35">
      <c r="A1241">
        <v>1237</v>
      </c>
      <c r="B1241">
        <v>1238</v>
      </c>
      <c r="C1241">
        <v>146.10622155300001</v>
      </c>
      <c r="D1241">
        <v>-17.6598526718</v>
      </c>
      <c r="G1241" s="92"/>
      <c r="I1241">
        <v>8</v>
      </c>
      <c r="J1241" t="s">
        <v>26</v>
      </c>
      <c r="K1241" s="57"/>
      <c r="L1241" s="31"/>
      <c r="M1241" s="31"/>
      <c r="N1241" s="31"/>
      <c r="O1241" s="31"/>
      <c r="S1241" s="57"/>
      <c r="X1241" s="57"/>
    </row>
    <row r="1242" spans="1:24" hidden="1" x14ac:dyDescent="0.35">
      <c r="A1242">
        <v>1238</v>
      </c>
      <c r="B1242">
        <v>1239</v>
      </c>
      <c r="C1242">
        <v>146.10630287500001</v>
      </c>
      <c r="D1242">
        <v>-17.6598163062</v>
      </c>
      <c r="G1242" s="92"/>
      <c r="I1242">
        <v>8</v>
      </c>
      <c r="J1242" t="s">
        <v>26</v>
      </c>
      <c r="K1242" s="57"/>
      <c r="L1242" s="31"/>
      <c r="M1242" s="31"/>
      <c r="N1242" s="31"/>
      <c r="O1242" s="31"/>
      <c r="S1242" s="57"/>
      <c r="X1242" s="57"/>
    </row>
    <row r="1243" spans="1:24" hidden="1" x14ac:dyDescent="0.35">
      <c r="A1243">
        <v>1239</v>
      </c>
      <c r="B1243">
        <v>1240</v>
      </c>
      <c r="C1243">
        <v>146.10637705400001</v>
      </c>
      <c r="D1243">
        <v>-17.6597683731</v>
      </c>
      <c r="G1243" s="92"/>
      <c r="I1243">
        <v>8</v>
      </c>
      <c r="J1243" t="s">
        <v>26</v>
      </c>
      <c r="K1243" s="57"/>
      <c r="L1243" s="31"/>
      <c r="M1243" s="31"/>
      <c r="N1243" s="31"/>
      <c r="O1243" s="31"/>
      <c r="S1243" s="57"/>
      <c r="X1243" s="57"/>
    </row>
    <row r="1244" spans="1:24" hidden="1" x14ac:dyDescent="0.35">
      <c r="A1244">
        <v>1240</v>
      </c>
      <c r="B1244">
        <v>1241</v>
      </c>
      <c r="C1244">
        <v>146.106449908999</v>
      </c>
      <c r="D1244">
        <v>-17.659718296400001</v>
      </c>
      <c r="G1244" s="92"/>
      <c r="I1244">
        <v>8</v>
      </c>
      <c r="J1244" t="s">
        <v>26</v>
      </c>
      <c r="K1244" s="57"/>
      <c r="L1244" s="31"/>
      <c r="M1244" s="31"/>
      <c r="N1244" s="31"/>
      <c r="O1244" s="31"/>
      <c r="S1244" s="57"/>
      <c r="X1244" s="57"/>
    </row>
    <row r="1245" spans="1:24" hidden="1" x14ac:dyDescent="0.35">
      <c r="A1245">
        <v>1241</v>
      </c>
      <c r="B1245">
        <v>1242</v>
      </c>
      <c r="C1245">
        <v>146.106522764</v>
      </c>
      <c r="D1245">
        <v>-17.6596682198</v>
      </c>
      <c r="G1245" s="92"/>
      <c r="I1245">
        <v>8</v>
      </c>
      <c r="J1245" t="s">
        <v>26</v>
      </c>
      <c r="K1245" s="57"/>
      <c r="L1245" s="31"/>
      <c r="M1245" s="31"/>
      <c r="N1245" s="31"/>
      <c r="O1245" s="31"/>
      <c r="S1245" s="57"/>
      <c r="X1245" s="57"/>
    </row>
    <row r="1246" spans="1:24" hidden="1" x14ac:dyDescent="0.35">
      <c r="A1246">
        <v>1242</v>
      </c>
      <c r="B1246">
        <v>1243</v>
      </c>
      <c r="C1246">
        <v>146.10657778800001</v>
      </c>
      <c r="D1246">
        <v>-17.6596010552</v>
      </c>
      <c r="G1246" s="92"/>
      <c r="I1246">
        <v>8</v>
      </c>
      <c r="J1246" t="s">
        <v>26</v>
      </c>
      <c r="K1246" s="57"/>
      <c r="L1246" s="31"/>
      <c r="M1246" s="31"/>
      <c r="N1246" s="31"/>
      <c r="O1246" s="31"/>
      <c r="S1246" s="57"/>
      <c r="X1246" s="57"/>
    </row>
    <row r="1247" spans="1:24" hidden="1" x14ac:dyDescent="0.35">
      <c r="A1247">
        <v>1243</v>
      </c>
      <c r="B1247">
        <v>1244</v>
      </c>
      <c r="C1247">
        <v>146.106630757</v>
      </c>
      <c r="D1247">
        <v>-17.6595319203999</v>
      </c>
      <c r="G1247" s="92"/>
      <c r="I1247">
        <v>8</v>
      </c>
      <c r="J1247" t="s">
        <v>26</v>
      </c>
      <c r="K1247" s="57"/>
      <c r="L1247" s="31"/>
      <c r="M1247" s="31"/>
      <c r="N1247" s="31"/>
      <c r="O1247" s="31"/>
      <c r="S1247" s="57"/>
      <c r="X1247" s="57"/>
    </row>
    <row r="1248" spans="1:24" hidden="1" x14ac:dyDescent="0.35">
      <c r="A1248">
        <v>1244</v>
      </c>
      <c r="B1248">
        <v>1245</v>
      </c>
      <c r="C1248">
        <v>146.106669874</v>
      </c>
      <c r="D1248">
        <v>-17.659455643200001</v>
      </c>
      <c r="G1248" s="92"/>
      <c r="I1248">
        <v>8</v>
      </c>
      <c r="J1248" t="s">
        <v>26</v>
      </c>
      <c r="K1248" s="57"/>
      <c r="L1248" s="31"/>
      <c r="M1248" s="31"/>
      <c r="N1248" s="31"/>
      <c r="O1248" s="31"/>
      <c r="S1248" s="57"/>
      <c r="X1248" s="57"/>
    </row>
    <row r="1249" spans="1:24" hidden="1" x14ac:dyDescent="0.35">
      <c r="A1249">
        <v>1245</v>
      </c>
      <c r="B1249">
        <v>1246</v>
      </c>
      <c r="C1249">
        <v>146.106701643999</v>
      </c>
      <c r="D1249">
        <v>-17.6593755765</v>
      </c>
      <c r="G1249" s="92"/>
      <c r="I1249">
        <v>8</v>
      </c>
      <c r="J1249" t="s">
        <v>26</v>
      </c>
      <c r="K1249" s="57"/>
      <c r="L1249" s="31"/>
      <c r="M1249" s="31"/>
      <c r="N1249" s="31"/>
      <c r="O1249" s="31"/>
      <c r="S1249" s="57"/>
      <c r="X1249" s="57"/>
    </row>
    <row r="1250" spans="1:24" hidden="1" x14ac:dyDescent="0.35">
      <c r="A1250">
        <v>1246</v>
      </c>
      <c r="B1250">
        <v>1247</v>
      </c>
      <c r="C1250">
        <v>146.106733413</v>
      </c>
      <c r="D1250">
        <v>-17.659295509900002</v>
      </c>
      <c r="G1250" s="92"/>
      <c r="I1250">
        <v>8</v>
      </c>
      <c r="J1250" t="s">
        <v>26</v>
      </c>
      <c r="K1250" s="57"/>
      <c r="L1250" s="31"/>
      <c r="M1250" s="31"/>
      <c r="N1250" s="31"/>
      <c r="O1250" s="31"/>
      <c r="S1250" s="57"/>
      <c r="X1250" s="57"/>
    </row>
    <row r="1251" spans="1:24" hidden="1" x14ac:dyDescent="0.35">
      <c r="A1251">
        <v>1247</v>
      </c>
      <c r="B1251">
        <v>1248</v>
      </c>
      <c r="C1251">
        <v>146.10675166300001</v>
      </c>
      <c r="D1251">
        <v>-17.6592119128</v>
      </c>
      <c r="G1251" s="92"/>
      <c r="I1251">
        <v>8</v>
      </c>
      <c r="J1251" t="s">
        <v>26</v>
      </c>
      <c r="K1251" s="57"/>
      <c r="L1251" s="31"/>
      <c r="M1251" s="31"/>
      <c r="N1251" s="31"/>
      <c r="O1251" s="31"/>
      <c r="S1251" s="57"/>
      <c r="X1251" s="57"/>
    </row>
    <row r="1252" spans="1:24" hidden="1" x14ac:dyDescent="0.35">
      <c r="A1252">
        <v>1248</v>
      </c>
      <c r="B1252">
        <v>1249</v>
      </c>
      <c r="C1252">
        <v>146.106767168</v>
      </c>
      <c r="D1252">
        <v>-17.659127599000001</v>
      </c>
      <c r="G1252" s="92"/>
      <c r="I1252">
        <v>8</v>
      </c>
      <c r="J1252" t="s">
        <v>26</v>
      </c>
      <c r="K1252" s="57"/>
      <c r="L1252" s="31"/>
      <c r="M1252" s="31"/>
      <c r="N1252" s="31"/>
      <c r="O1252" s="31"/>
      <c r="S1252" s="57"/>
      <c r="X1252" s="57"/>
    </row>
    <row r="1253" spans="1:24" hidden="1" x14ac:dyDescent="0.35">
      <c r="A1253">
        <v>1249</v>
      </c>
      <c r="B1253">
        <v>1250</v>
      </c>
      <c r="C1253">
        <v>146.106782672999</v>
      </c>
      <c r="D1253">
        <v>-17.659043285100001</v>
      </c>
      <c r="G1253" s="92"/>
      <c r="I1253">
        <v>8</v>
      </c>
      <c r="J1253" t="s">
        <v>26</v>
      </c>
      <c r="K1253" s="57"/>
      <c r="L1253" s="31"/>
      <c r="M1253" s="31"/>
      <c r="N1253" s="31"/>
      <c r="O1253" s="31"/>
      <c r="S1253" s="57"/>
      <c r="X1253" s="57"/>
    </row>
    <row r="1254" spans="1:24" hidden="1" x14ac:dyDescent="0.35">
      <c r="A1254">
        <v>1250</v>
      </c>
      <c r="B1254">
        <v>1251</v>
      </c>
      <c r="C1254">
        <v>146.106784645</v>
      </c>
      <c r="D1254">
        <v>-17.6589578194999</v>
      </c>
      <c r="G1254" s="92"/>
      <c r="I1254">
        <v>8</v>
      </c>
      <c r="J1254" t="s">
        <v>26</v>
      </c>
      <c r="K1254" s="57"/>
      <c r="L1254" s="31"/>
      <c r="M1254" s="31"/>
      <c r="N1254" s="31"/>
      <c r="O1254" s="31"/>
      <c r="S1254" s="57"/>
      <c r="X1254" s="57"/>
    </row>
    <row r="1255" spans="1:24" hidden="1" x14ac:dyDescent="0.35">
      <c r="A1255">
        <v>1251</v>
      </c>
      <c r="B1255">
        <v>1252</v>
      </c>
      <c r="C1255">
        <v>146.106785067999</v>
      </c>
      <c r="D1255">
        <v>-17.6588722217999</v>
      </c>
      <c r="G1255" s="92"/>
      <c r="I1255">
        <v>8</v>
      </c>
      <c r="J1255" t="s">
        <v>26</v>
      </c>
      <c r="K1255" s="57"/>
      <c r="L1255" s="31"/>
      <c r="M1255" s="31"/>
      <c r="N1255" s="31"/>
      <c r="O1255" s="31"/>
      <c r="S1255" s="57"/>
      <c r="X1255" s="57"/>
    </row>
    <row r="1256" spans="1:24" hidden="1" x14ac:dyDescent="0.35">
      <c r="A1256">
        <v>1252</v>
      </c>
      <c r="B1256">
        <v>1253</v>
      </c>
      <c r="C1256">
        <v>146.106785489999</v>
      </c>
      <c r="D1256">
        <v>-17.6587866240999</v>
      </c>
      <c r="G1256" s="92"/>
      <c r="I1256">
        <v>8</v>
      </c>
      <c r="J1256" t="s">
        <v>26</v>
      </c>
      <c r="K1256" s="57"/>
      <c r="L1256" s="31"/>
      <c r="M1256" s="31"/>
      <c r="N1256" s="31"/>
      <c r="O1256" s="31"/>
      <c r="S1256" s="57"/>
      <c r="X1256" s="57"/>
    </row>
    <row r="1257" spans="1:24" hidden="1" x14ac:dyDescent="0.35">
      <c r="A1257">
        <v>1253</v>
      </c>
      <c r="B1257">
        <v>1254</v>
      </c>
      <c r="C1257">
        <v>146.106780866999</v>
      </c>
      <c r="D1257">
        <v>-17.6587017788999</v>
      </c>
      <c r="G1257" s="92"/>
      <c r="I1257">
        <v>8</v>
      </c>
      <c r="J1257" t="s">
        <v>26</v>
      </c>
      <c r="K1257" s="57"/>
      <c r="L1257" s="31"/>
      <c r="M1257" s="31"/>
      <c r="N1257" s="31"/>
      <c r="O1257" s="31"/>
      <c r="S1257" s="57"/>
      <c r="X1257" s="57"/>
    </row>
    <row r="1258" spans="1:24" hidden="1" x14ac:dyDescent="0.35">
      <c r="A1258">
        <v>1254</v>
      </c>
      <c r="B1258">
        <v>1255</v>
      </c>
      <c r="C1258">
        <v>146.10675301699899</v>
      </c>
      <c r="D1258">
        <v>-17.658620397899899</v>
      </c>
      <c r="G1258" s="92"/>
      <c r="I1258">
        <v>8</v>
      </c>
      <c r="J1258" t="s">
        <v>26</v>
      </c>
      <c r="K1258" s="57"/>
      <c r="L1258" s="31"/>
      <c r="M1258" s="31"/>
      <c r="N1258" s="31"/>
      <c r="O1258" s="31"/>
      <c r="S1258" s="57"/>
      <c r="X1258" s="57"/>
    </row>
    <row r="1259" spans="1:24" hidden="1" x14ac:dyDescent="0.35">
      <c r="A1259">
        <v>1255</v>
      </c>
      <c r="B1259">
        <v>1256</v>
      </c>
      <c r="C1259">
        <v>146.10670030099899</v>
      </c>
      <c r="D1259">
        <v>-17.658551857100001</v>
      </c>
      <c r="G1259" s="92"/>
      <c r="I1259">
        <v>8</v>
      </c>
      <c r="J1259" t="s">
        <v>26</v>
      </c>
      <c r="K1259" s="57"/>
      <c r="L1259" s="31"/>
      <c r="M1259" s="31"/>
      <c r="N1259" s="31"/>
      <c r="O1259" s="31"/>
      <c r="S1259" s="57"/>
      <c r="X1259" s="57"/>
    </row>
    <row r="1260" spans="1:24" hidden="1" x14ac:dyDescent="0.35">
      <c r="A1260">
        <v>1256</v>
      </c>
      <c r="B1260">
        <v>1257</v>
      </c>
      <c r="C1260">
        <v>146.106627946</v>
      </c>
      <c r="D1260">
        <v>-17.6585035883</v>
      </c>
      <c r="G1260" s="92"/>
      <c r="I1260">
        <v>8</v>
      </c>
      <c r="J1260" t="s">
        <v>26</v>
      </c>
      <c r="K1260" s="57"/>
      <c r="L1260" s="31"/>
      <c r="M1260" s="31"/>
      <c r="N1260" s="31"/>
      <c r="O1260" s="31"/>
      <c r="S1260" s="57"/>
      <c r="X1260" s="57"/>
    </row>
    <row r="1261" spans="1:24" hidden="1" x14ac:dyDescent="0.35">
      <c r="A1261">
        <v>1257</v>
      </c>
      <c r="B1261">
        <v>1258</v>
      </c>
      <c r="C1261">
        <v>146.106548758999</v>
      </c>
      <c r="D1261">
        <v>-17.6584631712999</v>
      </c>
      <c r="G1261" s="92"/>
      <c r="I1261">
        <v>8</v>
      </c>
      <c r="J1261" t="s">
        <v>26</v>
      </c>
      <c r="K1261" s="57"/>
      <c r="L1261" s="31"/>
      <c r="M1261" s="31"/>
      <c r="N1261" s="31"/>
      <c r="O1261" s="31"/>
      <c r="S1261" s="57"/>
      <c r="X1261" s="57"/>
    </row>
    <row r="1262" spans="1:24" hidden="1" x14ac:dyDescent="0.35">
      <c r="A1262">
        <v>1258</v>
      </c>
      <c r="B1262">
        <v>1259</v>
      </c>
      <c r="C1262">
        <v>146.106461529</v>
      </c>
      <c r="D1262">
        <v>-17.658446023300002</v>
      </c>
      <c r="G1262" s="92"/>
      <c r="I1262">
        <v>8</v>
      </c>
      <c r="J1262" t="s">
        <v>26</v>
      </c>
      <c r="K1262" s="57"/>
      <c r="L1262" s="31"/>
      <c r="M1262" s="31"/>
      <c r="N1262" s="31"/>
      <c r="O1262" s="31"/>
      <c r="S1262" s="57"/>
      <c r="X1262" s="57"/>
    </row>
    <row r="1263" spans="1:24" hidden="1" x14ac:dyDescent="0.35">
      <c r="A1263">
        <v>1259</v>
      </c>
      <c r="B1263">
        <v>1260</v>
      </c>
      <c r="C1263">
        <v>146.106371905999</v>
      </c>
      <c r="D1263">
        <v>-17.6584475547</v>
      </c>
      <c r="G1263" s="92"/>
      <c r="I1263">
        <v>8</v>
      </c>
      <c r="J1263" t="s">
        <v>26</v>
      </c>
      <c r="K1263" s="57"/>
      <c r="L1263" s="31"/>
      <c r="M1263" s="31"/>
      <c r="N1263" s="31"/>
      <c r="O1263" s="31"/>
      <c r="S1263" s="57"/>
      <c r="X1263" s="57"/>
    </row>
    <row r="1264" spans="1:24" hidden="1" x14ac:dyDescent="0.35">
      <c r="A1264">
        <v>1260</v>
      </c>
      <c r="B1264">
        <v>1261</v>
      </c>
      <c r="C1264">
        <v>146.10628400300001</v>
      </c>
      <c r="D1264">
        <v>-17.658465196200002</v>
      </c>
      <c r="G1264" s="92"/>
      <c r="I1264">
        <v>8</v>
      </c>
      <c r="J1264" t="s">
        <v>26</v>
      </c>
      <c r="K1264" s="57"/>
      <c r="L1264" s="31"/>
      <c r="M1264" s="31"/>
      <c r="N1264" s="31"/>
      <c r="O1264" s="31"/>
      <c r="S1264" s="57"/>
      <c r="X1264" s="57"/>
    </row>
    <row r="1265" spans="1:24" hidden="1" x14ac:dyDescent="0.35">
      <c r="A1265">
        <v>1261</v>
      </c>
      <c r="B1265">
        <v>1262</v>
      </c>
      <c r="C1265">
        <v>146.106208264</v>
      </c>
      <c r="D1265">
        <v>-17.6585104959</v>
      </c>
      <c r="G1265" s="92"/>
      <c r="I1265">
        <v>8</v>
      </c>
      <c r="J1265" t="s">
        <v>26</v>
      </c>
      <c r="K1265" s="57"/>
      <c r="L1265" s="31"/>
      <c r="M1265" s="31"/>
      <c r="N1265" s="31"/>
      <c r="O1265" s="31"/>
      <c r="S1265" s="57"/>
      <c r="X1265" s="57"/>
    </row>
    <row r="1266" spans="1:24" hidden="1" x14ac:dyDescent="0.35">
      <c r="A1266">
        <v>1262</v>
      </c>
      <c r="B1266">
        <v>1263</v>
      </c>
      <c r="C1266">
        <v>146.106138442999</v>
      </c>
      <c r="D1266">
        <v>-17.6585636965</v>
      </c>
      <c r="G1266" s="92"/>
      <c r="I1266">
        <v>8</v>
      </c>
      <c r="J1266" t="s">
        <v>26</v>
      </c>
      <c r="K1266" s="57"/>
      <c r="L1266" s="31"/>
      <c r="M1266" s="31"/>
      <c r="N1266" s="31"/>
      <c r="O1266" s="31"/>
      <c r="S1266" s="57"/>
      <c r="X1266" s="57"/>
    </row>
    <row r="1267" spans="1:24" hidden="1" x14ac:dyDescent="0.35">
      <c r="A1267">
        <v>1263</v>
      </c>
      <c r="B1267">
        <v>1264</v>
      </c>
      <c r="C1267">
        <v>146.106074968999</v>
      </c>
      <c r="D1267">
        <v>-17.658624261500002</v>
      </c>
      <c r="G1267" s="92"/>
      <c r="I1267">
        <v>8</v>
      </c>
      <c r="J1267" t="s">
        <v>26</v>
      </c>
      <c r="K1267" s="57"/>
      <c r="L1267" s="31"/>
      <c r="M1267" s="31"/>
      <c r="N1267" s="31"/>
      <c r="O1267" s="31"/>
      <c r="S1267" s="57"/>
      <c r="X1267" s="57"/>
    </row>
    <row r="1268" spans="1:24" hidden="1" x14ac:dyDescent="0.35">
      <c r="A1268">
        <v>1264</v>
      </c>
      <c r="B1268">
        <v>1265</v>
      </c>
      <c r="C1268">
        <v>146.106014428999</v>
      </c>
      <c r="D1268">
        <v>-17.658687501500001</v>
      </c>
      <c r="G1268" s="92"/>
      <c r="I1268">
        <v>8</v>
      </c>
      <c r="J1268" t="s">
        <v>26</v>
      </c>
      <c r="K1268" s="57"/>
      <c r="L1268" s="31"/>
      <c r="M1268" s="31"/>
      <c r="N1268" s="31"/>
      <c r="O1268" s="31"/>
      <c r="S1268" s="57"/>
      <c r="X1268" s="57"/>
    </row>
    <row r="1269" spans="1:24" hidden="1" x14ac:dyDescent="0.35">
      <c r="A1269">
        <v>1265</v>
      </c>
      <c r="B1269">
        <v>1266</v>
      </c>
      <c r="C1269">
        <v>146.105946399</v>
      </c>
      <c r="D1269">
        <v>-17.6587431968</v>
      </c>
      <c r="G1269" s="92"/>
      <c r="I1269">
        <v>8</v>
      </c>
      <c r="J1269" t="s">
        <v>26</v>
      </c>
      <c r="K1269" s="57"/>
      <c r="L1269" s="31"/>
      <c r="M1269" s="31"/>
      <c r="N1269" s="31"/>
      <c r="O1269" s="31"/>
      <c r="S1269" s="57"/>
      <c r="X1269" s="57"/>
    </row>
    <row r="1270" spans="1:24" hidden="1" x14ac:dyDescent="0.35">
      <c r="A1270">
        <v>1266</v>
      </c>
      <c r="B1270">
        <v>1267</v>
      </c>
      <c r="C1270">
        <v>146.105872425999</v>
      </c>
      <c r="D1270">
        <v>-17.6587914849</v>
      </c>
      <c r="G1270" s="92"/>
      <c r="I1270">
        <v>8</v>
      </c>
      <c r="J1270" t="s">
        <v>26</v>
      </c>
      <c r="K1270" s="57"/>
      <c r="L1270" s="31"/>
      <c r="M1270" s="31"/>
      <c r="N1270" s="31"/>
      <c r="O1270" s="31"/>
      <c r="S1270" s="57"/>
      <c r="X1270" s="57"/>
    </row>
    <row r="1271" spans="1:24" hidden="1" x14ac:dyDescent="0.35">
      <c r="A1271">
        <v>1267</v>
      </c>
      <c r="B1271">
        <v>1268</v>
      </c>
      <c r="C1271">
        <v>146.10579683</v>
      </c>
      <c r="D1271">
        <v>-17.6588376097999</v>
      </c>
      <c r="G1271" s="92"/>
      <c r="I1271">
        <v>8</v>
      </c>
      <c r="J1271" t="s">
        <v>26</v>
      </c>
      <c r="K1271" s="57"/>
      <c r="L1271" s="31"/>
      <c r="M1271" s="31"/>
      <c r="N1271" s="31"/>
      <c r="O1271" s="31"/>
      <c r="S1271" s="57"/>
      <c r="X1271" s="57"/>
    </row>
    <row r="1272" spans="1:24" hidden="1" x14ac:dyDescent="0.35">
      <c r="A1272">
        <v>1268</v>
      </c>
      <c r="B1272">
        <v>1269</v>
      </c>
      <c r="C1272">
        <v>146.105727204999</v>
      </c>
      <c r="D1272">
        <v>-17.6588916981</v>
      </c>
      <c r="G1272" s="92"/>
      <c r="I1272">
        <v>8</v>
      </c>
      <c r="J1272" t="s">
        <v>26</v>
      </c>
      <c r="K1272" s="57"/>
      <c r="L1272" s="31"/>
      <c r="M1272" s="31"/>
      <c r="N1272" s="31"/>
      <c r="O1272" s="31"/>
      <c r="S1272" s="57"/>
      <c r="X1272" s="57"/>
    </row>
    <row r="1273" spans="1:24" hidden="1" x14ac:dyDescent="0.35">
      <c r="A1273">
        <v>1269</v>
      </c>
      <c r="B1273">
        <v>1270</v>
      </c>
      <c r="C1273">
        <v>146.10567866100001</v>
      </c>
      <c r="D1273">
        <v>-17.6589633576999</v>
      </c>
      <c r="G1273" s="92"/>
      <c r="I1273">
        <v>8</v>
      </c>
      <c r="J1273" t="s">
        <v>26</v>
      </c>
      <c r="K1273" s="57"/>
      <c r="L1273" s="31"/>
      <c r="M1273" s="31"/>
      <c r="N1273" s="31"/>
      <c r="O1273" s="31"/>
      <c r="S1273" s="57"/>
      <c r="X1273" s="57"/>
    </row>
    <row r="1274" spans="1:24" hidden="1" x14ac:dyDescent="0.35">
      <c r="A1274">
        <v>1270</v>
      </c>
      <c r="B1274">
        <v>1271</v>
      </c>
      <c r="C1274">
        <v>146.105634382999</v>
      </c>
      <c r="D1274">
        <v>-17.659037597800001</v>
      </c>
      <c r="G1274" s="92"/>
      <c r="I1274">
        <v>8</v>
      </c>
      <c r="J1274" t="s">
        <v>26</v>
      </c>
      <c r="K1274" s="57"/>
      <c r="L1274" s="31"/>
      <c r="M1274" s="31"/>
      <c r="N1274" s="31"/>
      <c r="O1274" s="31"/>
      <c r="S1274" s="57"/>
      <c r="X1274" s="57"/>
    </row>
    <row r="1275" spans="1:24" hidden="1" x14ac:dyDescent="0.35">
      <c r="A1275">
        <v>1271</v>
      </c>
      <c r="B1275">
        <v>1272</v>
      </c>
      <c r="C1275">
        <v>146.1056016</v>
      </c>
      <c r="D1275">
        <v>-17.6591172929</v>
      </c>
      <c r="G1275" s="92"/>
      <c r="I1275">
        <v>8</v>
      </c>
      <c r="J1275" t="s">
        <v>26</v>
      </c>
      <c r="K1275" s="57"/>
      <c r="L1275" s="31"/>
      <c r="M1275" s="31"/>
      <c r="N1275" s="31"/>
      <c r="O1275" s="31"/>
      <c r="S1275" s="57"/>
      <c r="X1275" s="57"/>
    </row>
    <row r="1276" spans="1:24" hidden="1" x14ac:dyDescent="0.35">
      <c r="A1276">
        <v>1272</v>
      </c>
      <c r="B1276">
        <v>1273</v>
      </c>
      <c r="C1276">
        <v>146.10556110900001</v>
      </c>
      <c r="D1276">
        <v>-17.6591934064</v>
      </c>
      <c r="G1276" s="92"/>
      <c r="I1276">
        <v>8</v>
      </c>
      <c r="J1276" t="s">
        <v>26</v>
      </c>
      <c r="K1276" s="57"/>
      <c r="L1276" s="31"/>
      <c r="M1276" s="31"/>
      <c r="N1276" s="31"/>
      <c r="O1276" s="31"/>
      <c r="S1276" s="57"/>
      <c r="X1276" s="57"/>
    </row>
    <row r="1277" spans="1:24" hidden="1" x14ac:dyDescent="0.35">
      <c r="A1277">
        <v>1273</v>
      </c>
      <c r="B1277">
        <v>1274</v>
      </c>
      <c r="C1277">
        <v>146.10551540399899</v>
      </c>
      <c r="D1277">
        <v>-17.659267097400001</v>
      </c>
      <c r="G1277" s="92"/>
      <c r="I1277">
        <v>8</v>
      </c>
      <c r="J1277" t="s">
        <v>26</v>
      </c>
      <c r="K1277" s="57"/>
      <c r="L1277" s="31"/>
      <c r="M1277" s="31"/>
      <c r="N1277" s="31"/>
      <c r="O1277" s="31"/>
      <c r="S1277" s="57"/>
      <c r="X1277" s="57"/>
    </row>
    <row r="1278" spans="1:24" hidden="1" x14ac:dyDescent="0.35">
      <c r="A1278">
        <v>1274</v>
      </c>
      <c r="B1278">
        <v>1275</v>
      </c>
      <c r="C1278">
        <v>146.10544425000001</v>
      </c>
      <c r="D1278">
        <v>-17.6593190239</v>
      </c>
      <c r="G1278" s="92"/>
      <c r="I1278">
        <v>8</v>
      </c>
      <c r="J1278" t="s">
        <v>26</v>
      </c>
      <c r="K1278" s="57"/>
      <c r="L1278" s="31"/>
      <c r="M1278" s="31"/>
      <c r="N1278" s="31"/>
      <c r="O1278" s="31"/>
      <c r="S1278" s="57"/>
      <c r="X1278" s="57"/>
    </row>
    <row r="1279" spans="1:24" hidden="1" x14ac:dyDescent="0.35">
      <c r="A1279">
        <v>1275</v>
      </c>
      <c r="B1279">
        <v>1276</v>
      </c>
      <c r="C1279">
        <v>146.105370136999</v>
      </c>
      <c r="D1279">
        <v>-17.6593670862</v>
      </c>
      <c r="G1279" s="92"/>
      <c r="I1279">
        <v>8</v>
      </c>
      <c r="J1279" t="s">
        <v>26</v>
      </c>
      <c r="K1279" s="57"/>
      <c r="L1279" s="31"/>
      <c r="M1279" s="31"/>
      <c r="N1279" s="31"/>
      <c r="O1279" s="31"/>
      <c r="S1279" s="57"/>
      <c r="X1279" s="57"/>
    </row>
    <row r="1280" spans="1:24" hidden="1" x14ac:dyDescent="0.35">
      <c r="A1280">
        <v>1276</v>
      </c>
      <c r="B1280">
        <v>1277</v>
      </c>
      <c r="C1280">
        <v>146.10529151700001</v>
      </c>
      <c r="D1280">
        <v>-17.659408495000001</v>
      </c>
      <c r="G1280" s="92"/>
      <c r="I1280">
        <v>8</v>
      </c>
      <c r="J1280" t="s">
        <v>26</v>
      </c>
      <c r="K1280" s="57"/>
      <c r="L1280" s="31"/>
      <c r="M1280" s="31"/>
      <c r="N1280" s="31"/>
      <c r="O1280" s="31"/>
      <c r="S1280" s="57"/>
      <c r="X1280" s="57"/>
    </row>
    <row r="1281" spans="1:24" hidden="1" x14ac:dyDescent="0.35">
      <c r="A1281">
        <v>1277</v>
      </c>
      <c r="B1281">
        <v>1278</v>
      </c>
      <c r="C1281">
        <v>146.10520908199899</v>
      </c>
      <c r="D1281">
        <v>-17.6594418209</v>
      </c>
      <c r="G1281" s="92"/>
      <c r="I1281">
        <v>8</v>
      </c>
      <c r="J1281" t="s">
        <v>26</v>
      </c>
      <c r="K1281" s="57"/>
      <c r="L1281" s="31"/>
      <c r="M1281" s="31"/>
      <c r="N1281" s="31"/>
      <c r="O1281" s="31"/>
      <c r="S1281" s="57"/>
      <c r="X1281" s="57"/>
    </row>
    <row r="1282" spans="1:24" hidden="1" x14ac:dyDescent="0.35">
      <c r="A1282">
        <v>1278</v>
      </c>
      <c r="B1282">
        <v>1279</v>
      </c>
      <c r="C1282">
        <v>146.10512439799899</v>
      </c>
      <c r="D1282">
        <v>-17.659470382799899</v>
      </c>
      <c r="G1282" s="92"/>
      <c r="I1282">
        <v>8</v>
      </c>
      <c r="J1282" t="s">
        <v>26</v>
      </c>
      <c r="K1282" s="57"/>
      <c r="L1282" s="31"/>
      <c r="M1282" s="31"/>
      <c r="N1282" s="31"/>
      <c r="O1282" s="31"/>
      <c r="S1282" s="57"/>
      <c r="X1282" s="57"/>
    </row>
    <row r="1283" spans="1:24" hidden="1" x14ac:dyDescent="0.35">
      <c r="A1283">
        <v>1279</v>
      </c>
      <c r="B1283">
        <v>1280</v>
      </c>
      <c r="C1283">
        <v>146.10503877100001</v>
      </c>
      <c r="D1283">
        <v>-17.659494211399899</v>
      </c>
      <c r="G1283" s="92"/>
      <c r="I1283">
        <v>8</v>
      </c>
      <c r="J1283" t="s">
        <v>26</v>
      </c>
      <c r="K1283" s="57"/>
      <c r="L1283" s="31"/>
      <c r="M1283" s="31"/>
      <c r="N1283" s="31"/>
      <c r="O1283" s="31"/>
      <c r="S1283" s="57"/>
      <c r="X1283" s="57"/>
    </row>
    <row r="1284" spans="1:24" hidden="1" x14ac:dyDescent="0.35">
      <c r="A1284">
        <v>1280</v>
      </c>
      <c r="B1284">
        <v>1281</v>
      </c>
      <c r="C1284">
        <v>146.104948995999</v>
      </c>
      <c r="D1284">
        <v>-17.659497245800001</v>
      </c>
      <c r="G1284" s="92"/>
      <c r="I1284">
        <v>8</v>
      </c>
      <c r="J1284" t="s">
        <v>26</v>
      </c>
      <c r="K1284" s="57"/>
      <c r="L1284" s="31"/>
      <c r="M1284" s="31"/>
      <c r="N1284" s="31"/>
      <c r="O1284" s="31"/>
      <c r="S1284" s="57"/>
      <c r="X1284" s="57"/>
    </row>
    <row r="1285" spans="1:24" hidden="1" x14ac:dyDescent="0.35">
      <c r="A1285">
        <v>1281</v>
      </c>
      <c r="B1285">
        <v>1282</v>
      </c>
      <c r="C1285">
        <v>146.104859261999</v>
      </c>
      <c r="D1285">
        <v>-17.6594988732</v>
      </c>
      <c r="G1285" s="92"/>
      <c r="I1285">
        <v>8</v>
      </c>
      <c r="J1285" t="s">
        <v>26</v>
      </c>
      <c r="K1285" s="57"/>
      <c r="L1285" s="31"/>
      <c r="M1285" s="31"/>
      <c r="N1285" s="31"/>
      <c r="O1285" s="31"/>
      <c r="S1285" s="57"/>
      <c r="X1285" s="57"/>
    </row>
    <row r="1286" spans="1:24" hidden="1" x14ac:dyDescent="0.35">
      <c r="A1286">
        <v>1282</v>
      </c>
      <c r="B1286">
        <v>1283</v>
      </c>
      <c r="C1286">
        <v>146.10476980000001</v>
      </c>
      <c r="D1286">
        <v>-17.659491111600001</v>
      </c>
      <c r="G1286" s="92"/>
      <c r="I1286">
        <v>8</v>
      </c>
      <c r="J1286" t="s">
        <v>26</v>
      </c>
      <c r="K1286" s="57"/>
      <c r="L1286" s="31"/>
      <c r="M1286" s="31"/>
      <c r="N1286" s="31"/>
      <c r="O1286" s="31"/>
      <c r="S1286" s="57"/>
      <c r="X1286" s="57"/>
    </row>
    <row r="1287" spans="1:24" hidden="1" x14ac:dyDescent="0.35">
      <c r="A1287">
        <v>1283</v>
      </c>
      <c r="B1287">
        <v>1284</v>
      </c>
      <c r="C1287">
        <v>146.104680338999</v>
      </c>
      <c r="D1287">
        <v>-17.659483349999899</v>
      </c>
      <c r="G1287" s="92"/>
      <c r="I1287">
        <v>8</v>
      </c>
      <c r="J1287" t="s">
        <v>26</v>
      </c>
      <c r="K1287" s="57"/>
      <c r="L1287" s="31"/>
      <c r="M1287" s="31"/>
      <c r="N1287" s="31"/>
      <c r="O1287" s="31"/>
      <c r="S1287" s="57"/>
      <c r="X1287" s="57"/>
    </row>
    <row r="1288" spans="1:24" hidden="1" x14ac:dyDescent="0.35">
      <c r="A1288">
        <v>1284</v>
      </c>
      <c r="B1288">
        <v>1285</v>
      </c>
      <c r="C1288">
        <v>146.10459189400001</v>
      </c>
      <c r="D1288">
        <v>-17.659470923699899</v>
      </c>
      <c r="G1288" s="92"/>
      <c r="I1288">
        <v>8</v>
      </c>
      <c r="J1288" t="s">
        <v>26</v>
      </c>
      <c r="K1288" s="57"/>
      <c r="L1288" s="31"/>
      <c r="M1288" s="31"/>
      <c r="N1288" s="31"/>
      <c r="O1288" s="31"/>
      <c r="S1288" s="57"/>
      <c r="X1288" s="57"/>
    </row>
    <row r="1289" spans="1:24" hidden="1" x14ac:dyDescent="0.35">
      <c r="A1289">
        <v>1285</v>
      </c>
      <c r="B1289">
        <v>1286</v>
      </c>
      <c r="C1289">
        <v>146.10450658299899</v>
      </c>
      <c r="D1289">
        <v>-17.659444111700001</v>
      </c>
      <c r="G1289" s="92"/>
      <c r="I1289">
        <v>8</v>
      </c>
      <c r="J1289" t="s">
        <v>26</v>
      </c>
      <c r="K1289" s="57"/>
      <c r="L1289" s="31"/>
      <c r="M1289" s="31"/>
      <c r="N1289" s="31"/>
      <c r="O1289" s="31"/>
      <c r="S1289" s="57"/>
      <c r="X1289" s="57"/>
    </row>
    <row r="1290" spans="1:24" hidden="1" x14ac:dyDescent="0.35">
      <c r="A1290">
        <v>1286</v>
      </c>
      <c r="B1290">
        <v>1287</v>
      </c>
      <c r="C1290">
        <v>146.104421271999</v>
      </c>
      <c r="D1290">
        <v>-17.659417299800001</v>
      </c>
      <c r="G1290" s="92"/>
      <c r="I1290">
        <v>8</v>
      </c>
      <c r="J1290" t="s">
        <v>26</v>
      </c>
      <c r="K1290" s="57"/>
      <c r="L1290" s="31"/>
      <c r="M1290" s="31"/>
      <c r="N1290" s="31"/>
      <c r="O1290" s="31"/>
      <c r="S1290" s="57"/>
      <c r="X1290" s="57"/>
    </row>
    <row r="1291" spans="1:24" hidden="1" x14ac:dyDescent="0.35">
      <c r="A1291">
        <v>1287</v>
      </c>
      <c r="B1291">
        <v>1288</v>
      </c>
      <c r="C1291">
        <v>146.10434383200001</v>
      </c>
      <c r="D1291">
        <v>-17.659376251800001</v>
      </c>
      <c r="G1291" s="92"/>
      <c r="I1291">
        <v>8</v>
      </c>
      <c r="J1291" t="s">
        <v>26</v>
      </c>
      <c r="K1291" s="57"/>
      <c r="L1291" s="31"/>
      <c r="M1291" s="31"/>
      <c r="N1291" s="31"/>
      <c r="O1291" s="31"/>
      <c r="S1291" s="57"/>
      <c r="X1291" s="57"/>
    </row>
    <row r="1292" spans="1:24" hidden="1" x14ac:dyDescent="0.35">
      <c r="A1292">
        <v>1288</v>
      </c>
      <c r="B1292">
        <v>1289</v>
      </c>
      <c r="C1292">
        <v>146.104272382999</v>
      </c>
      <c r="D1292">
        <v>-17.659324368299899</v>
      </c>
      <c r="G1292" s="92"/>
      <c r="I1292">
        <v>8</v>
      </c>
      <c r="J1292" t="s">
        <v>26</v>
      </c>
      <c r="K1292" s="57"/>
      <c r="L1292" s="31"/>
      <c r="M1292" s="31"/>
      <c r="N1292" s="31"/>
      <c r="O1292" s="31"/>
      <c r="S1292" s="57"/>
      <c r="X1292" s="57"/>
    </row>
    <row r="1293" spans="1:24" hidden="1" x14ac:dyDescent="0.35">
      <c r="A1293">
        <v>1289</v>
      </c>
      <c r="B1293">
        <v>1290</v>
      </c>
      <c r="C1293">
        <v>146.104201547999</v>
      </c>
      <c r="D1293">
        <v>-17.659271796700001</v>
      </c>
      <c r="G1293" s="92"/>
      <c r="I1293">
        <v>8</v>
      </c>
      <c r="J1293" t="s">
        <v>26</v>
      </c>
      <c r="K1293" s="57"/>
      <c r="L1293" s="31"/>
      <c r="M1293" s="31"/>
      <c r="N1293" s="31"/>
      <c r="O1293" s="31"/>
      <c r="S1293" s="57"/>
      <c r="X1293" s="57"/>
    </row>
    <row r="1294" spans="1:24" hidden="1" x14ac:dyDescent="0.35">
      <c r="A1294">
        <v>1290</v>
      </c>
      <c r="B1294">
        <v>1291</v>
      </c>
      <c r="C1294">
        <v>146.10413635500001</v>
      </c>
      <c r="D1294">
        <v>-17.659212905699899</v>
      </c>
      <c r="G1294" s="92"/>
      <c r="I1294">
        <v>8</v>
      </c>
      <c r="J1294" t="s">
        <v>26</v>
      </c>
      <c r="K1294" s="57"/>
      <c r="L1294" s="31"/>
      <c r="M1294" s="31"/>
      <c r="N1294" s="31"/>
      <c r="O1294" s="31"/>
      <c r="S1294" s="57"/>
      <c r="X1294" s="57"/>
    </row>
    <row r="1295" spans="1:24" hidden="1" x14ac:dyDescent="0.35">
      <c r="A1295">
        <v>1291</v>
      </c>
      <c r="B1295">
        <v>1292</v>
      </c>
      <c r="C1295">
        <v>146.104075996999</v>
      </c>
      <c r="D1295">
        <v>-17.6591499425999</v>
      </c>
      <c r="G1295" s="92"/>
      <c r="I1295">
        <v>8</v>
      </c>
      <c r="J1295" t="s">
        <v>26</v>
      </c>
      <c r="K1295" s="57"/>
      <c r="L1295" s="31"/>
      <c r="M1295" s="31"/>
      <c r="N1295" s="31"/>
      <c r="O1295" s="31"/>
      <c r="S1295" s="57"/>
      <c r="X1295" s="57"/>
    </row>
    <row r="1296" spans="1:24" hidden="1" x14ac:dyDescent="0.35">
      <c r="A1296">
        <v>1292</v>
      </c>
      <c r="B1296">
        <v>1293</v>
      </c>
      <c r="C1296">
        <v>146.10402265100001</v>
      </c>
      <c r="D1296">
        <v>-17.659081071900001</v>
      </c>
      <c r="G1296" s="92"/>
      <c r="I1296">
        <v>8</v>
      </c>
      <c r="J1296" t="s">
        <v>26</v>
      </c>
      <c r="K1296" s="57"/>
      <c r="L1296" s="31"/>
      <c r="M1296" s="31"/>
      <c r="N1296" s="31"/>
      <c r="O1296" s="31"/>
      <c r="S1296" s="57"/>
      <c r="X1296" s="57"/>
    </row>
    <row r="1297" spans="1:24" hidden="1" x14ac:dyDescent="0.35">
      <c r="A1297">
        <v>1293</v>
      </c>
      <c r="B1297">
        <v>1294</v>
      </c>
      <c r="C1297">
        <v>146.103979197</v>
      </c>
      <c r="D1297">
        <v>-17.659007557199899</v>
      </c>
      <c r="G1297" s="92"/>
      <c r="I1297">
        <v>8</v>
      </c>
      <c r="J1297" t="s">
        <v>26</v>
      </c>
      <c r="K1297" s="57"/>
      <c r="L1297" s="31"/>
      <c r="M1297" s="31"/>
      <c r="N1297" s="31"/>
      <c r="O1297" s="31"/>
      <c r="S1297" s="57"/>
      <c r="X1297" s="57"/>
    </row>
    <row r="1298" spans="1:24" hidden="1" x14ac:dyDescent="0.35">
      <c r="A1298">
        <v>1294</v>
      </c>
      <c r="B1298">
        <v>1295</v>
      </c>
      <c r="C1298">
        <v>146.10395439800001</v>
      </c>
      <c r="D1298">
        <v>-17.658925284999899</v>
      </c>
      <c r="G1298" s="92"/>
      <c r="I1298">
        <v>8</v>
      </c>
      <c r="J1298" t="s">
        <v>26</v>
      </c>
      <c r="K1298" s="57"/>
      <c r="L1298" s="31"/>
      <c r="M1298" s="31"/>
      <c r="N1298" s="31"/>
      <c r="O1298" s="31"/>
      <c r="S1298" s="57"/>
      <c r="X1298" s="57"/>
    </row>
    <row r="1299" spans="1:24" hidden="1" x14ac:dyDescent="0.35">
      <c r="A1299">
        <v>1295</v>
      </c>
      <c r="B1299">
        <v>1296</v>
      </c>
      <c r="C1299">
        <v>146.103937758</v>
      </c>
      <c r="D1299">
        <v>-17.6588412179999</v>
      </c>
      <c r="G1299" s="92"/>
      <c r="I1299">
        <v>8</v>
      </c>
      <c r="J1299" t="s">
        <v>26</v>
      </c>
      <c r="K1299" s="57"/>
      <c r="L1299" s="31"/>
      <c r="M1299" s="31"/>
      <c r="N1299" s="31"/>
      <c r="O1299" s="31"/>
      <c r="S1299" s="57"/>
      <c r="X1299" s="57"/>
    </row>
    <row r="1300" spans="1:24" hidden="1" x14ac:dyDescent="0.35">
      <c r="A1300">
        <v>1296</v>
      </c>
      <c r="B1300">
        <v>1297</v>
      </c>
      <c r="C1300">
        <v>146.10392297499899</v>
      </c>
      <c r="D1300">
        <v>-17.658756874600002</v>
      </c>
      <c r="G1300" s="92"/>
      <c r="I1300">
        <v>8</v>
      </c>
      <c r="J1300" t="s">
        <v>26</v>
      </c>
      <c r="K1300" s="57"/>
      <c r="L1300" s="31"/>
      <c r="M1300" s="31"/>
      <c r="N1300" s="31"/>
      <c r="O1300" s="31"/>
      <c r="S1300" s="57"/>
      <c r="X1300" s="57"/>
    </row>
    <row r="1301" spans="1:24" hidden="1" x14ac:dyDescent="0.35">
      <c r="A1301">
        <v>1297</v>
      </c>
      <c r="B1301">
        <v>1298</v>
      </c>
      <c r="C1301">
        <v>146.103929335999</v>
      </c>
      <c r="D1301">
        <v>-17.6586714908</v>
      </c>
      <c r="G1301" s="92"/>
      <c r="I1301">
        <v>8</v>
      </c>
      <c r="J1301" t="s">
        <v>26</v>
      </c>
      <c r="K1301" s="57"/>
      <c r="L1301" s="31"/>
      <c r="M1301" s="31"/>
      <c r="N1301" s="31"/>
      <c r="O1301" s="31"/>
      <c r="S1301" s="57"/>
      <c r="X1301" s="57"/>
    </row>
    <row r="1302" spans="1:24" hidden="1" x14ac:dyDescent="0.35">
      <c r="A1302">
        <v>1298</v>
      </c>
      <c r="B1302">
        <v>1299</v>
      </c>
      <c r="C1302">
        <v>146.10394149000001</v>
      </c>
      <c r="D1302">
        <v>-17.658586726500001</v>
      </c>
      <c r="G1302" s="92"/>
      <c r="I1302">
        <v>8</v>
      </c>
      <c r="J1302" t="s">
        <v>26</v>
      </c>
      <c r="K1302" s="57"/>
      <c r="L1302" s="31"/>
      <c r="M1302" s="31"/>
      <c r="N1302" s="31"/>
      <c r="O1302" s="31"/>
      <c r="S1302" s="57"/>
      <c r="X1302" s="57"/>
    </row>
    <row r="1303" spans="1:24" hidden="1" x14ac:dyDescent="0.35">
      <c r="A1303">
        <v>1299</v>
      </c>
      <c r="B1303">
        <v>1300</v>
      </c>
      <c r="C1303">
        <v>146.103958613</v>
      </c>
      <c r="D1303">
        <v>-17.6585032148</v>
      </c>
      <c r="G1303" s="92"/>
      <c r="I1303">
        <v>8</v>
      </c>
      <c r="J1303" t="s">
        <v>26</v>
      </c>
      <c r="K1303" s="57"/>
      <c r="L1303" s="31"/>
      <c r="M1303" s="31"/>
      <c r="N1303" s="31"/>
      <c r="O1303" s="31"/>
      <c r="S1303" s="57"/>
      <c r="X1303" s="57"/>
    </row>
    <row r="1304" spans="1:24" hidden="1" x14ac:dyDescent="0.35">
      <c r="A1304">
        <v>1300</v>
      </c>
      <c r="B1304">
        <v>1301</v>
      </c>
      <c r="C1304">
        <v>146.104000627999</v>
      </c>
      <c r="D1304">
        <v>-17.6584275557999</v>
      </c>
      <c r="G1304" s="92"/>
      <c r="I1304">
        <v>8</v>
      </c>
      <c r="J1304" t="s">
        <v>26</v>
      </c>
      <c r="K1304" s="57"/>
      <c r="L1304" s="31"/>
      <c r="M1304" s="31"/>
      <c r="N1304" s="31"/>
      <c r="O1304" s="31"/>
      <c r="S1304" s="57"/>
      <c r="X1304" s="57"/>
    </row>
    <row r="1305" spans="1:24" hidden="1" x14ac:dyDescent="0.35">
      <c r="A1305">
        <v>1301</v>
      </c>
      <c r="B1305">
        <v>1302</v>
      </c>
      <c r="C1305">
        <v>146.10405020900001</v>
      </c>
      <c r="D1305">
        <v>-17.658357228900002</v>
      </c>
      <c r="G1305" s="92"/>
      <c r="I1305">
        <v>8</v>
      </c>
      <c r="J1305" t="s">
        <v>26</v>
      </c>
      <c r="K1305" s="57"/>
      <c r="L1305" s="31"/>
      <c r="M1305" s="31"/>
      <c r="N1305" s="31"/>
      <c r="O1305" s="31"/>
      <c r="S1305" s="57"/>
      <c r="X1305" s="57"/>
    </row>
    <row r="1306" spans="1:24" hidden="1" x14ac:dyDescent="0.35">
      <c r="A1306">
        <v>1302</v>
      </c>
      <c r="B1306">
        <v>1303</v>
      </c>
      <c r="C1306">
        <v>146.10411383600001</v>
      </c>
      <c r="D1306">
        <v>-17.6582968035999</v>
      </c>
      <c r="G1306" s="92"/>
      <c r="I1306">
        <v>8</v>
      </c>
      <c r="J1306" t="s">
        <v>26</v>
      </c>
      <c r="K1306" s="57"/>
      <c r="L1306" s="31"/>
      <c r="M1306" s="31"/>
      <c r="N1306" s="31"/>
      <c r="O1306" s="31"/>
      <c r="S1306" s="57"/>
      <c r="X1306" s="57"/>
    </row>
    <row r="1307" spans="1:24" hidden="1" x14ac:dyDescent="0.35">
      <c r="A1307">
        <v>1303</v>
      </c>
      <c r="B1307">
        <v>1304</v>
      </c>
      <c r="C1307">
        <v>146.104183226999</v>
      </c>
      <c r="D1307">
        <v>-17.6582428848</v>
      </c>
      <c r="G1307" s="92"/>
      <c r="I1307">
        <v>8</v>
      </c>
      <c r="J1307" t="s">
        <v>26</v>
      </c>
      <c r="K1307" s="57"/>
      <c r="L1307" s="31"/>
      <c r="M1307" s="31"/>
      <c r="N1307" s="31"/>
      <c r="O1307" s="31"/>
      <c r="S1307" s="57"/>
      <c r="X1307" s="57"/>
    </row>
    <row r="1308" spans="1:24" hidden="1" x14ac:dyDescent="0.35">
      <c r="A1308">
        <v>1304</v>
      </c>
      <c r="B1308">
        <v>1305</v>
      </c>
      <c r="C1308">
        <v>146.104256423999</v>
      </c>
      <c r="D1308">
        <v>-17.658193261400001</v>
      </c>
      <c r="G1308" s="92"/>
      <c r="I1308">
        <v>8</v>
      </c>
      <c r="J1308" t="s">
        <v>26</v>
      </c>
      <c r="K1308" s="57"/>
      <c r="L1308" s="31"/>
      <c r="M1308" s="31"/>
      <c r="N1308" s="31"/>
      <c r="O1308" s="31"/>
      <c r="S1308" s="57"/>
      <c r="X1308" s="57"/>
    </row>
    <row r="1309" spans="1:24" hidden="1" x14ac:dyDescent="0.35">
      <c r="A1309">
        <v>1305</v>
      </c>
      <c r="B1309">
        <v>1306</v>
      </c>
      <c r="C1309">
        <v>146.10432961999899</v>
      </c>
      <c r="D1309">
        <v>-17.6581436379</v>
      </c>
      <c r="G1309" s="92"/>
      <c r="I1309">
        <v>8</v>
      </c>
      <c r="J1309" t="s">
        <v>26</v>
      </c>
      <c r="K1309" s="57"/>
      <c r="L1309" s="31"/>
      <c r="M1309" s="31"/>
      <c r="N1309" s="31"/>
      <c r="O1309" s="31"/>
      <c r="S1309" s="57"/>
      <c r="X1309" s="57"/>
    </row>
    <row r="1310" spans="1:24" hidden="1" x14ac:dyDescent="0.35">
      <c r="A1310">
        <v>1306</v>
      </c>
      <c r="B1310">
        <v>1307</v>
      </c>
      <c r="C1310">
        <v>146.10440012999899</v>
      </c>
      <c r="D1310">
        <v>-17.6580906509</v>
      </c>
      <c r="G1310" s="92"/>
      <c r="I1310">
        <v>8</v>
      </c>
      <c r="J1310" t="s">
        <v>26</v>
      </c>
      <c r="K1310" s="57"/>
      <c r="L1310" s="31"/>
      <c r="M1310" s="31"/>
      <c r="N1310" s="31"/>
      <c r="O1310" s="31"/>
      <c r="S1310" s="57"/>
      <c r="X1310" s="57"/>
    </row>
    <row r="1311" spans="1:24" hidden="1" x14ac:dyDescent="0.35">
      <c r="A1311">
        <v>1307</v>
      </c>
      <c r="B1311">
        <v>1308</v>
      </c>
      <c r="C1311">
        <v>146.10446983899899</v>
      </c>
      <c r="D1311">
        <v>-17.658036661000001</v>
      </c>
      <c r="G1311" s="92"/>
      <c r="I1311">
        <v>8</v>
      </c>
      <c r="J1311" t="s">
        <v>26</v>
      </c>
      <c r="K1311" s="57"/>
      <c r="L1311" s="31"/>
      <c r="M1311" s="31"/>
      <c r="N1311" s="31"/>
      <c r="O1311" s="31"/>
      <c r="S1311" s="57"/>
      <c r="X1311" s="57"/>
    </row>
    <row r="1312" spans="1:24" hidden="1" x14ac:dyDescent="0.35">
      <c r="A1312">
        <v>1308</v>
      </c>
      <c r="B1312">
        <v>1309</v>
      </c>
      <c r="C1312">
        <v>146.10452126800001</v>
      </c>
      <c r="D1312">
        <v>-17.657966669499899</v>
      </c>
      <c r="G1312" s="92"/>
      <c r="I1312">
        <v>8</v>
      </c>
      <c r="J1312" t="s">
        <v>26</v>
      </c>
      <c r="K1312" s="57"/>
      <c r="L1312" s="31"/>
      <c r="M1312" s="31"/>
      <c r="N1312" s="31"/>
      <c r="O1312" s="31"/>
      <c r="S1312" s="57"/>
      <c r="X1312" s="57"/>
    </row>
    <row r="1313" spans="1:24" hidden="1" x14ac:dyDescent="0.35">
      <c r="A1313">
        <v>1309</v>
      </c>
      <c r="B1313">
        <v>1310</v>
      </c>
      <c r="C1313">
        <v>146.104559700999</v>
      </c>
      <c r="D1313">
        <v>-17.657891217900001</v>
      </c>
      <c r="G1313" s="92"/>
      <c r="I1313">
        <v>8</v>
      </c>
      <c r="J1313" t="s">
        <v>26</v>
      </c>
      <c r="K1313" s="57"/>
      <c r="L1313" s="31"/>
      <c r="M1313" s="31"/>
      <c r="N1313" s="31"/>
      <c r="O1313" s="31"/>
      <c r="S1313" s="57"/>
      <c r="X1313" s="57"/>
    </row>
    <row r="1314" spans="1:24" hidden="1" x14ac:dyDescent="0.35">
      <c r="A1314">
        <v>1310</v>
      </c>
      <c r="B1314">
        <v>1311</v>
      </c>
      <c r="C1314">
        <v>146.104575638</v>
      </c>
      <c r="D1314">
        <v>-17.6578069766</v>
      </c>
      <c r="G1314" s="92"/>
      <c r="I1314">
        <v>8</v>
      </c>
      <c r="J1314" t="s">
        <v>26</v>
      </c>
      <c r="K1314" s="57"/>
      <c r="L1314" s="31"/>
      <c r="M1314" s="31"/>
      <c r="N1314" s="31"/>
      <c r="O1314" s="31"/>
      <c r="S1314" s="57"/>
      <c r="X1314" s="57"/>
    </row>
    <row r="1315" spans="1:24" hidden="1" x14ac:dyDescent="0.35">
      <c r="A1315">
        <v>1311</v>
      </c>
      <c r="B1315">
        <v>1312</v>
      </c>
      <c r="C1315">
        <v>146.10459934100001</v>
      </c>
      <c r="D1315">
        <v>-17.657724438599899</v>
      </c>
      <c r="G1315" s="92"/>
      <c r="I1315">
        <v>8</v>
      </c>
      <c r="J1315" t="s">
        <v>26</v>
      </c>
      <c r="K1315" s="57"/>
      <c r="L1315" s="31"/>
      <c r="M1315" s="31"/>
      <c r="N1315" s="31"/>
      <c r="O1315" s="31"/>
      <c r="S1315" s="57"/>
      <c r="X1315" s="57"/>
    </row>
    <row r="1316" spans="1:24" hidden="1" x14ac:dyDescent="0.35">
      <c r="A1316">
        <v>1312</v>
      </c>
      <c r="B1316">
        <v>1313</v>
      </c>
      <c r="C1316">
        <v>146.10462580500001</v>
      </c>
      <c r="D1316">
        <v>-17.657642683500001</v>
      </c>
      <c r="G1316" s="92"/>
      <c r="I1316">
        <v>8</v>
      </c>
      <c r="J1316" t="s">
        <v>26</v>
      </c>
      <c r="K1316" s="57"/>
      <c r="L1316" s="31"/>
      <c r="M1316" s="31"/>
      <c r="N1316" s="31"/>
      <c r="O1316" s="31"/>
      <c r="S1316" s="57"/>
      <c r="X1316" s="57"/>
    </row>
    <row r="1317" spans="1:24" hidden="1" x14ac:dyDescent="0.35">
      <c r="A1317">
        <v>1313</v>
      </c>
      <c r="B1317">
        <v>1314</v>
      </c>
      <c r="C1317">
        <v>146.104655718999</v>
      </c>
      <c r="D1317">
        <v>-17.6575619698</v>
      </c>
      <c r="G1317" s="92"/>
      <c r="I1317">
        <v>8</v>
      </c>
      <c r="J1317" t="s">
        <v>26</v>
      </c>
      <c r="K1317" s="57"/>
      <c r="L1317" s="31"/>
      <c r="M1317" s="31"/>
      <c r="N1317" s="31"/>
      <c r="O1317" s="31"/>
      <c r="S1317" s="57"/>
      <c r="X1317" s="57"/>
    </row>
    <row r="1318" spans="1:24" hidden="1" x14ac:dyDescent="0.35">
      <c r="A1318">
        <v>1314</v>
      </c>
      <c r="B1318">
        <v>1315</v>
      </c>
      <c r="C1318">
        <v>146.104687958</v>
      </c>
      <c r="D1318">
        <v>-17.657482092999899</v>
      </c>
      <c r="G1318" s="92"/>
      <c r="I1318">
        <v>8</v>
      </c>
      <c r="J1318" t="s">
        <v>26</v>
      </c>
      <c r="K1318" s="57"/>
      <c r="L1318" s="31"/>
      <c r="M1318" s="31"/>
      <c r="N1318" s="31"/>
      <c r="O1318" s="31"/>
      <c r="S1318" s="57"/>
      <c r="X1318" s="57"/>
    </row>
    <row r="1319" spans="1:24" hidden="1" x14ac:dyDescent="0.35">
      <c r="A1319">
        <v>1315</v>
      </c>
      <c r="B1319">
        <v>1316</v>
      </c>
      <c r="C1319">
        <v>146.10472153800001</v>
      </c>
      <c r="D1319">
        <v>-17.657402699399899</v>
      </c>
      <c r="G1319" s="92"/>
      <c r="I1319">
        <v>8</v>
      </c>
      <c r="J1319" t="s">
        <v>26</v>
      </c>
      <c r="K1319" s="57"/>
      <c r="L1319" s="31"/>
      <c r="M1319" s="31"/>
      <c r="N1319" s="31"/>
      <c r="O1319" s="31"/>
      <c r="S1319" s="57"/>
      <c r="X1319" s="57"/>
    </row>
    <row r="1320" spans="1:24" hidden="1" x14ac:dyDescent="0.35">
      <c r="A1320">
        <v>1316</v>
      </c>
      <c r="B1320">
        <v>1317</v>
      </c>
      <c r="C1320">
        <v>146.104755119</v>
      </c>
      <c r="D1320">
        <v>-17.6573233059</v>
      </c>
      <c r="G1320" s="92"/>
      <c r="I1320">
        <v>8</v>
      </c>
      <c r="J1320" t="s">
        <v>26</v>
      </c>
      <c r="K1320" s="57"/>
      <c r="L1320" s="31"/>
      <c r="M1320" s="31"/>
      <c r="N1320" s="31"/>
      <c r="O1320" s="31"/>
      <c r="S1320" s="57"/>
      <c r="X1320" s="57"/>
    </row>
    <row r="1321" spans="1:24" hidden="1" x14ac:dyDescent="0.35">
      <c r="A1321">
        <v>1317</v>
      </c>
      <c r="B1321">
        <v>1318</v>
      </c>
      <c r="C1321">
        <v>146.10478869900001</v>
      </c>
      <c r="D1321">
        <v>-17.6572439123</v>
      </c>
      <c r="G1321" s="92"/>
      <c r="I1321">
        <v>8</v>
      </c>
      <c r="J1321" t="s">
        <v>26</v>
      </c>
      <c r="K1321" s="57"/>
      <c r="L1321" s="31"/>
      <c r="M1321" s="31"/>
      <c r="N1321" s="31"/>
      <c r="O1321" s="31"/>
      <c r="S1321" s="57"/>
      <c r="X1321" s="57"/>
    </row>
    <row r="1322" spans="1:24" hidden="1" x14ac:dyDescent="0.35">
      <c r="A1322">
        <v>1318</v>
      </c>
      <c r="B1322">
        <v>1319</v>
      </c>
      <c r="C1322">
        <v>146.104815236999</v>
      </c>
      <c r="D1322">
        <v>-17.6571625646</v>
      </c>
      <c r="G1322" s="92"/>
      <c r="I1322">
        <v>8</v>
      </c>
      <c r="J1322" t="s">
        <v>26</v>
      </c>
      <c r="K1322" s="57"/>
      <c r="L1322" s="31"/>
      <c r="M1322" s="31"/>
      <c r="N1322" s="31"/>
      <c r="O1322" s="31"/>
      <c r="S1322" s="57"/>
      <c r="X1322" s="57"/>
    </row>
    <row r="1323" spans="1:24" hidden="1" x14ac:dyDescent="0.35">
      <c r="A1323">
        <v>1319</v>
      </c>
      <c r="B1323">
        <v>1320</v>
      </c>
      <c r="C1323">
        <v>146.10483528399899</v>
      </c>
      <c r="D1323">
        <v>-17.6570792047</v>
      </c>
      <c r="G1323" s="92"/>
      <c r="I1323">
        <v>8</v>
      </c>
      <c r="J1323" t="s">
        <v>26</v>
      </c>
      <c r="K1323" s="57"/>
      <c r="L1323" s="31"/>
      <c r="M1323" s="31"/>
      <c r="N1323" s="31"/>
      <c r="O1323" s="31"/>
      <c r="S1323" s="57"/>
      <c r="X1323" s="57"/>
    </row>
    <row r="1324" spans="1:24" hidden="1" x14ac:dyDescent="0.35">
      <c r="A1324">
        <v>1320</v>
      </c>
      <c r="B1324">
        <v>1321</v>
      </c>
      <c r="C1324">
        <v>146.104846412</v>
      </c>
      <c r="D1324">
        <v>-17.656995013100001</v>
      </c>
      <c r="G1324" s="92"/>
      <c r="I1324">
        <v>8</v>
      </c>
      <c r="J1324" t="s">
        <v>26</v>
      </c>
      <c r="K1324" s="57"/>
      <c r="L1324" s="31"/>
      <c r="M1324" s="31"/>
      <c r="N1324" s="31"/>
      <c r="O1324" s="31"/>
      <c r="S1324" s="57"/>
      <c r="X1324" s="57"/>
    </row>
    <row r="1325" spans="1:24" hidden="1" x14ac:dyDescent="0.35">
      <c r="A1325">
        <v>1321</v>
      </c>
      <c r="B1325">
        <v>1322</v>
      </c>
      <c r="C1325">
        <v>146.10484331999899</v>
      </c>
      <c r="D1325">
        <v>-17.656909878</v>
      </c>
      <c r="G1325" s="92"/>
      <c r="I1325">
        <v>8</v>
      </c>
      <c r="J1325" t="s">
        <v>26</v>
      </c>
      <c r="K1325" s="57"/>
      <c r="L1325" s="31"/>
      <c r="M1325" s="31"/>
      <c r="N1325" s="31"/>
      <c r="O1325" s="31"/>
      <c r="S1325" s="57"/>
      <c r="X1325" s="57"/>
    </row>
    <row r="1326" spans="1:24" hidden="1" x14ac:dyDescent="0.35">
      <c r="A1326">
        <v>1322</v>
      </c>
      <c r="B1326">
        <v>1323</v>
      </c>
      <c r="C1326">
        <v>146.104818520999</v>
      </c>
      <c r="D1326">
        <v>-17.6568276046</v>
      </c>
      <c r="G1326" s="92"/>
      <c r="I1326">
        <v>8</v>
      </c>
      <c r="J1326" t="s">
        <v>26</v>
      </c>
      <c r="K1326" s="57"/>
      <c r="L1326" s="31"/>
      <c r="M1326" s="31"/>
      <c r="N1326" s="31"/>
      <c r="O1326" s="31"/>
      <c r="S1326" s="57"/>
      <c r="X1326" s="57"/>
    </row>
    <row r="1327" spans="1:24" hidden="1" x14ac:dyDescent="0.35">
      <c r="A1327">
        <v>1323</v>
      </c>
      <c r="B1327">
        <v>1324</v>
      </c>
      <c r="C1327">
        <v>146.10476632199899</v>
      </c>
      <c r="D1327">
        <v>-17.6567612377</v>
      </c>
      <c r="G1327" s="92"/>
      <c r="I1327">
        <v>8</v>
      </c>
      <c r="J1327" t="s">
        <v>26</v>
      </c>
      <c r="K1327" s="57"/>
      <c r="L1327" s="31"/>
      <c r="M1327" s="31"/>
      <c r="N1327" s="31"/>
      <c r="O1327" s="31"/>
      <c r="S1327" s="57"/>
      <c r="X1327" s="57"/>
    </row>
    <row r="1328" spans="1:24" hidden="1" x14ac:dyDescent="0.35">
      <c r="A1328">
        <v>1324</v>
      </c>
      <c r="B1328">
        <v>1325</v>
      </c>
      <c r="C1328">
        <v>146.10469921800001</v>
      </c>
      <c r="D1328">
        <v>-17.656705051300001</v>
      </c>
      <c r="G1328" s="92"/>
      <c r="I1328">
        <v>8</v>
      </c>
      <c r="J1328" t="s">
        <v>26</v>
      </c>
      <c r="K1328" s="57"/>
      <c r="L1328" s="31"/>
      <c r="M1328" s="31"/>
      <c r="N1328" s="31"/>
      <c r="O1328" s="31"/>
      <c r="S1328" s="57"/>
      <c r="X1328" s="57"/>
    </row>
    <row r="1329" spans="1:24" hidden="1" x14ac:dyDescent="0.35">
      <c r="A1329">
        <v>1325</v>
      </c>
      <c r="B1329">
        <v>1326</v>
      </c>
      <c r="C1329">
        <v>146.10461667000001</v>
      </c>
      <c r="D1329">
        <v>-17.6566712869</v>
      </c>
      <c r="G1329" s="92"/>
      <c r="I1329">
        <v>8</v>
      </c>
      <c r="J1329" t="s">
        <v>26</v>
      </c>
      <c r="K1329" s="57"/>
      <c r="L1329" s="31"/>
      <c r="M1329" s="31"/>
      <c r="N1329" s="31"/>
      <c r="O1329" s="31"/>
      <c r="S1329" s="57"/>
      <c r="X1329" s="57"/>
    </row>
    <row r="1330" spans="1:24" hidden="1" x14ac:dyDescent="0.35">
      <c r="A1330">
        <v>1326</v>
      </c>
      <c r="B1330">
        <v>1327</v>
      </c>
      <c r="C1330">
        <v>146.104532554</v>
      </c>
      <c r="D1330">
        <v>-17.6566417286</v>
      </c>
      <c r="G1330" s="92"/>
      <c r="I1330">
        <v>8</v>
      </c>
      <c r="J1330" t="s">
        <v>26</v>
      </c>
      <c r="K1330" s="57"/>
      <c r="L1330" s="31"/>
      <c r="M1330" s="31"/>
      <c r="N1330" s="31"/>
      <c r="O1330" s="31"/>
      <c r="S1330" s="57"/>
      <c r="X1330" s="57"/>
    </row>
    <row r="1331" spans="1:24" hidden="1" x14ac:dyDescent="0.35">
      <c r="A1331">
        <v>1327</v>
      </c>
      <c r="B1331">
        <v>1328</v>
      </c>
      <c r="C1331">
        <v>146.10444615399899</v>
      </c>
      <c r="D1331">
        <v>-17.656618295600001</v>
      </c>
      <c r="G1331" s="92"/>
      <c r="I1331">
        <v>8</v>
      </c>
      <c r="J1331" t="s">
        <v>26</v>
      </c>
      <c r="K1331" s="57"/>
      <c r="L1331" s="31"/>
      <c r="M1331" s="31"/>
      <c r="N1331" s="31"/>
      <c r="O1331" s="31"/>
      <c r="S1331" s="57"/>
      <c r="X1331" s="57"/>
    </row>
    <row r="1332" spans="1:24" hidden="1" x14ac:dyDescent="0.35">
      <c r="A1332">
        <v>1328</v>
      </c>
      <c r="B1332">
        <v>1329</v>
      </c>
      <c r="C1332">
        <v>146.104357612</v>
      </c>
      <c r="D1332">
        <v>-17.6566043254</v>
      </c>
      <c r="G1332" s="92"/>
      <c r="I1332">
        <v>8</v>
      </c>
      <c r="J1332" t="s">
        <v>26</v>
      </c>
      <c r="K1332" s="57"/>
      <c r="L1332" s="31"/>
      <c r="M1332" s="31"/>
      <c r="N1332" s="31"/>
      <c r="O1332" s="31"/>
      <c r="S1332" s="57"/>
      <c r="X1332" s="57"/>
    </row>
    <row r="1333" spans="1:24" hidden="1" x14ac:dyDescent="0.35">
      <c r="A1333">
        <v>1329</v>
      </c>
      <c r="B1333">
        <v>1330</v>
      </c>
      <c r="C1333">
        <v>146.104269074</v>
      </c>
      <c r="D1333">
        <v>-17.656590338200001</v>
      </c>
      <c r="G1333" s="92"/>
      <c r="I1333">
        <v>8</v>
      </c>
      <c r="J1333" t="s">
        <v>26</v>
      </c>
      <c r="K1333" s="57"/>
      <c r="L1333" s="31"/>
      <c r="M1333" s="31"/>
      <c r="N1333" s="31"/>
      <c r="O1333" s="31"/>
      <c r="S1333" s="57"/>
      <c r="X1333" s="57"/>
    </row>
    <row r="1334" spans="1:24" hidden="1" x14ac:dyDescent="0.35">
      <c r="A1334">
        <v>1330</v>
      </c>
      <c r="B1334">
        <v>1331</v>
      </c>
      <c r="C1334">
        <v>146.10418267399899</v>
      </c>
      <c r="D1334">
        <v>-17.656566904799899</v>
      </c>
      <c r="G1334" s="92"/>
      <c r="I1334">
        <v>8</v>
      </c>
      <c r="J1334" t="s">
        <v>26</v>
      </c>
      <c r="K1334" s="57"/>
      <c r="L1334" s="31"/>
      <c r="M1334" s="31"/>
      <c r="N1334" s="31"/>
      <c r="O1334" s="31"/>
      <c r="S1334" s="57"/>
      <c r="X1334" s="57"/>
    </row>
    <row r="1335" spans="1:24" hidden="1" x14ac:dyDescent="0.35">
      <c r="A1335">
        <v>1331</v>
      </c>
      <c r="B1335">
        <v>1332</v>
      </c>
      <c r="C1335">
        <v>146.10410204900001</v>
      </c>
      <c r="D1335">
        <v>-17.656530900300002</v>
      </c>
      <c r="G1335" s="92"/>
      <c r="I1335">
        <v>8</v>
      </c>
      <c r="J1335" t="s">
        <v>26</v>
      </c>
      <c r="K1335" s="57"/>
      <c r="L1335" s="31"/>
      <c r="M1335" s="31"/>
      <c r="N1335" s="31"/>
      <c r="O1335" s="31"/>
      <c r="S1335" s="57"/>
      <c r="X1335" s="57"/>
    </row>
    <row r="1336" spans="1:24" hidden="1" x14ac:dyDescent="0.35">
      <c r="A1336">
        <v>1332</v>
      </c>
      <c r="B1336">
        <v>1333</v>
      </c>
      <c r="C1336">
        <v>146.10405160299899</v>
      </c>
      <c r="D1336">
        <v>-17.6564651465</v>
      </c>
      <c r="G1336" s="92"/>
      <c r="I1336">
        <v>8</v>
      </c>
      <c r="J1336" t="s">
        <v>26</v>
      </c>
      <c r="K1336" s="57"/>
      <c r="L1336" s="31"/>
      <c r="M1336" s="31"/>
      <c r="N1336" s="31"/>
      <c r="O1336" s="31"/>
      <c r="S1336" s="57"/>
      <c r="X1336" s="57"/>
    </row>
    <row r="1337" spans="1:24" hidden="1" x14ac:dyDescent="0.35">
      <c r="A1337">
        <v>1333</v>
      </c>
      <c r="B1337">
        <v>1334</v>
      </c>
      <c r="C1337">
        <v>146.10404534400001</v>
      </c>
      <c r="D1337">
        <v>-17.6563797949999</v>
      </c>
      <c r="G1337" s="92"/>
      <c r="I1337">
        <v>8</v>
      </c>
      <c r="J1337" t="s">
        <v>26</v>
      </c>
      <c r="K1337" s="57"/>
      <c r="L1337" s="31"/>
      <c r="M1337" s="31"/>
      <c r="N1337" s="31"/>
      <c r="O1337" s="31"/>
      <c r="S1337" s="57"/>
      <c r="X1337" s="57"/>
    </row>
    <row r="1338" spans="1:24" hidden="1" x14ac:dyDescent="0.35">
      <c r="A1338">
        <v>1334</v>
      </c>
      <c r="B1338">
        <v>1335</v>
      </c>
      <c r="C1338">
        <v>146.10408318500001</v>
      </c>
      <c r="D1338">
        <v>-17.656302160500001</v>
      </c>
      <c r="G1338" s="92"/>
      <c r="I1338">
        <v>8</v>
      </c>
      <c r="J1338" t="s">
        <v>26</v>
      </c>
      <c r="K1338" s="57"/>
      <c r="L1338" s="31"/>
      <c r="M1338" s="31"/>
      <c r="N1338" s="31"/>
      <c r="O1338" s="31"/>
      <c r="S1338" s="57"/>
      <c r="X1338" s="57"/>
    </row>
    <row r="1339" spans="1:24" hidden="1" x14ac:dyDescent="0.35">
      <c r="A1339">
        <v>1335</v>
      </c>
      <c r="B1339">
        <v>1336</v>
      </c>
      <c r="C1339">
        <v>146.10414368599899</v>
      </c>
      <c r="D1339">
        <v>-17.6562401121999</v>
      </c>
      <c r="G1339" s="92"/>
      <c r="I1339">
        <v>8</v>
      </c>
      <c r="J1339" t="s">
        <v>26</v>
      </c>
      <c r="K1339" s="57"/>
      <c r="L1339" s="31"/>
      <c r="M1339" s="31"/>
      <c r="N1339" s="31"/>
      <c r="O1339" s="31"/>
      <c r="S1339" s="57"/>
      <c r="X1339" s="57"/>
    </row>
    <row r="1340" spans="1:24" hidden="1" x14ac:dyDescent="0.35">
      <c r="A1340">
        <v>1336</v>
      </c>
      <c r="B1340">
        <v>1337</v>
      </c>
      <c r="C1340">
        <v>146.104209099</v>
      </c>
      <c r="D1340">
        <v>-17.6561814428999</v>
      </c>
      <c r="G1340" s="92"/>
      <c r="I1340">
        <v>8</v>
      </c>
      <c r="J1340" t="s">
        <v>26</v>
      </c>
      <c r="K1340" s="57"/>
      <c r="L1340" s="31"/>
      <c r="M1340" s="31"/>
      <c r="N1340" s="31"/>
      <c r="O1340" s="31"/>
      <c r="S1340" s="57"/>
      <c r="X1340" s="57"/>
    </row>
    <row r="1341" spans="1:24" hidden="1" x14ac:dyDescent="0.35">
      <c r="A1341">
        <v>1337</v>
      </c>
      <c r="B1341">
        <v>1338</v>
      </c>
      <c r="C1341">
        <v>146.104283009</v>
      </c>
      <c r="D1341">
        <v>-17.6561332952</v>
      </c>
      <c r="G1341" s="92"/>
      <c r="I1341">
        <v>8</v>
      </c>
      <c r="J1341" t="s">
        <v>26</v>
      </c>
      <c r="K1341" s="57"/>
      <c r="L1341" s="31"/>
      <c r="M1341" s="31"/>
      <c r="N1341" s="31"/>
      <c r="O1341" s="31"/>
      <c r="S1341" s="57"/>
      <c r="X1341" s="57"/>
    </row>
    <row r="1342" spans="1:24" hidden="1" x14ac:dyDescent="0.35">
      <c r="A1342">
        <v>1338</v>
      </c>
      <c r="B1342">
        <v>1339</v>
      </c>
      <c r="C1342">
        <v>146.104359281</v>
      </c>
      <c r="D1342">
        <v>-17.6560880729999</v>
      </c>
      <c r="G1342" s="92"/>
      <c r="I1342">
        <v>8</v>
      </c>
      <c r="J1342" t="s">
        <v>26</v>
      </c>
      <c r="K1342" s="57"/>
      <c r="L1342" s="31"/>
      <c r="M1342" s="31"/>
      <c r="N1342" s="31"/>
      <c r="O1342" s="31"/>
      <c r="S1342" s="57"/>
      <c r="X1342" s="57"/>
    </row>
    <row r="1343" spans="1:24" hidden="1" x14ac:dyDescent="0.35">
      <c r="A1343">
        <v>1339</v>
      </c>
      <c r="B1343">
        <v>1340</v>
      </c>
      <c r="C1343">
        <v>146.104437923999</v>
      </c>
      <c r="D1343">
        <v>-17.656047031899899</v>
      </c>
      <c r="G1343" s="92"/>
      <c r="I1343">
        <v>8</v>
      </c>
      <c r="J1343" t="s">
        <v>26</v>
      </c>
      <c r="K1343" s="57"/>
      <c r="L1343" s="31"/>
      <c r="M1343" s="31"/>
      <c r="N1343" s="31"/>
      <c r="O1343" s="31"/>
      <c r="S1343" s="57"/>
      <c r="X1343" s="57"/>
    </row>
    <row r="1344" spans="1:24" hidden="1" x14ac:dyDescent="0.35">
      <c r="A1344">
        <v>1340</v>
      </c>
      <c r="B1344">
        <v>1341</v>
      </c>
      <c r="C1344">
        <v>146.10451942</v>
      </c>
      <c r="D1344">
        <v>-17.656011020600001</v>
      </c>
      <c r="G1344" s="92"/>
      <c r="I1344">
        <v>8</v>
      </c>
      <c r="J1344" t="s">
        <v>26</v>
      </c>
      <c r="K1344" s="57"/>
      <c r="L1344" s="31"/>
      <c r="M1344" s="31"/>
      <c r="N1344" s="31"/>
      <c r="O1344" s="31"/>
      <c r="S1344" s="57"/>
      <c r="X1344" s="57"/>
    </row>
    <row r="1345" spans="1:24" hidden="1" x14ac:dyDescent="0.35">
      <c r="A1345">
        <v>1341</v>
      </c>
      <c r="B1345">
        <v>1342</v>
      </c>
      <c r="C1345">
        <v>146.104600914999</v>
      </c>
      <c r="D1345">
        <v>-17.655975009399899</v>
      </c>
      <c r="G1345" s="92"/>
      <c r="I1345">
        <v>8</v>
      </c>
      <c r="J1345" t="s">
        <v>26</v>
      </c>
      <c r="K1345" s="57"/>
      <c r="L1345" s="31"/>
      <c r="M1345" s="31"/>
      <c r="N1345" s="31"/>
      <c r="O1345" s="31"/>
      <c r="S1345" s="57"/>
      <c r="X1345" s="57"/>
    </row>
    <row r="1346" spans="1:24" hidden="1" x14ac:dyDescent="0.35">
      <c r="A1346">
        <v>1342</v>
      </c>
      <c r="B1346">
        <v>1343</v>
      </c>
      <c r="C1346">
        <v>146.104681231</v>
      </c>
      <c r="D1346">
        <v>-17.655936697600001</v>
      </c>
      <c r="G1346" s="92"/>
      <c r="I1346">
        <v>8</v>
      </c>
      <c r="J1346" t="s">
        <v>26</v>
      </c>
      <c r="K1346" s="57"/>
      <c r="L1346" s="31"/>
      <c r="M1346" s="31"/>
      <c r="N1346" s="31"/>
      <c r="O1346" s="31"/>
      <c r="S1346" s="57"/>
      <c r="X1346" s="57"/>
    </row>
    <row r="1347" spans="1:24" hidden="1" x14ac:dyDescent="0.35">
      <c r="A1347">
        <v>1343</v>
      </c>
      <c r="B1347">
        <v>1344</v>
      </c>
      <c r="C1347">
        <v>146.10476111400001</v>
      </c>
      <c r="D1347">
        <v>-17.6558975429</v>
      </c>
      <c r="G1347" s="92"/>
      <c r="I1347">
        <v>8</v>
      </c>
      <c r="J1347" t="s">
        <v>26</v>
      </c>
      <c r="K1347" s="57"/>
      <c r="L1347" s="31"/>
      <c r="M1347" s="31"/>
      <c r="N1347" s="31"/>
      <c r="O1347" s="31"/>
      <c r="S1347" s="57"/>
      <c r="X1347" s="57"/>
    </row>
    <row r="1348" spans="1:24" hidden="1" x14ac:dyDescent="0.35">
      <c r="A1348">
        <v>1344</v>
      </c>
      <c r="B1348">
        <v>1345</v>
      </c>
      <c r="C1348">
        <v>146.10484099499899</v>
      </c>
      <c r="D1348">
        <v>-17.655858384599899</v>
      </c>
      <c r="G1348" s="92"/>
      <c r="I1348">
        <v>8</v>
      </c>
      <c r="J1348" t="s">
        <v>26</v>
      </c>
      <c r="K1348" s="57"/>
      <c r="L1348" s="31"/>
      <c r="M1348" s="31"/>
      <c r="N1348" s="31"/>
      <c r="O1348" s="31"/>
      <c r="S1348" s="57"/>
      <c r="X1348" s="57"/>
    </row>
    <row r="1349" spans="1:24" hidden="1" x14ac:dyDescent="0.35">
      <c r="A1349">
        <v>1345</v>
      </c>
      <c r="B1349">
        <v>1346</v>
      </c>
      <c r="C1349">
        <v>146.10492083700001</v>
      </c>
      <c r="D1349">
        <v>-17.655819153900001</v>
      </c>
      <c r="G1349" s="92"/>
      <c r="I1349">
        <v>8</v>
      </c>
      <c r="J1349" t="s">
        <v>26</v>
      </c>
      <c r="K1349" s="57"/>
      <c r="L1349" s="31"/>
      <c r="M1349" s="31"/>
      <c r="N1349" s="31"/>
      <c r="O1349" s="31"/>
      <c r="S1349" s="57"/>
      <c r="X1349" s="57"/>
    </row>
    <row r="1350" spans="1:24" hidden="1" x14ac:dyDescent="0.35">
      <c r="A1350">
        <v>1346</v>
      </c>
      <c r="B1350">
        <v>1347</v>
      </c>
      <c r="C1350">
        <v>146.10500067800001</v>
      </c>
      <c r="D1350">
        <v>-17.655779923000001</v>
      </c>
      <c r="G1350" s="92"/>
      <c r="I1350">
        <v>8</v>
      </c>
      <c r="J1350" t="s">
        <v>26</v>
      </c>
      <c r="K1350" s="57"/>
      <c r="L1350" s="31"/>
      <c r="M1350" s="31"/>
      <c r="N1350" s="31"/>
      <c r="O1350" s="31"/>
      <c r="S1350" s="57"/>
      <c r="X1350" s="57"/>
    </row>
    <row r="1351" spans="1:24" hidden="1" x14ac:dyDescent="0.35">
      <c r="A1351">
        <v>1347</v>
      </c>
      <c r="B1351">
        <v>1348</v>
      </c>
      <c r="C1351">
        <v>146.105080845999</v>
      </c>
      <c r="D1351">
        <v>-17.655741305700001</v>
      </c>
      <c r="G1351" s="92"/>
      <c r="I1351">
        <v>8</v>
      </c>
      <c r="J1351" t="s">
        <v>26</v>
      </c>
      <c r="K1351" s="57"/>
      <c r="L1351" s="31"/>
      <c r="M1351" s="31"/>
      <c r="N1351" s="31"/>
      <c r="O1351" s="31"/>
      <c r="S1351" s="57"/>
      <c r="X1351" s="57"/>
    </row>
    <row r="1352" spans="1:24" hidden="1" x14ac:dyDescent="0.35">
      <c r="A1352">
        <v>1348</v>
      </c>
      <c r="B1352">
        <v>1349</v>
      </c>
      <c r="C1352">
        <v>146.105161285999</v>
      </c>
      <c r="D1352">
        <v>-17.6557032009</v>
      </c>
      <c r="G1352" s="92"/>
      <c r="I1352">
        <v>8</v>
      </c>
      <c r="J1352" t="s">
        <v>26</v>
      </c>
      <c r="K1352" s="57"/>
      <c r="L1352" s="31"/>
      <c r="M1352" s="31"/>
      <c r="N1352" s="31"/>
      <c r="O1352" s="31"/>
      <c r="S1352" s="57"/>
      <c r="X1352" s="57"/>
    </row>
    <row r="1353" spans="1:24" hidden="1" x14ac:dyDescent="0.35">
      <c r="A1353">
        <v>1349</v>
      </c>
      <c r="B1353">
        <v>1350</v>
      </c>
      <c r="C1353">
        <v>146.105243884999</v>
      </c>
      <c r="D1353">
        <v>-17.655669706400001</v>
      </c>
      <c r="G1353" s="92"/>
      <c r="I1353">
        <v>8</v>
      </c>
      <c r="J1353" t="s">
        <v>26</v>
      </c>
      <c r="K1353" s="57"/>
      <c r="L1353" s="31"/>
      <c r="M1353" s="31"/>
      <c r="N1353" s="31"/>
      <c r="O1353" s="31"/>
      <c r="S1353" s="57"/>
      <c r="X1353" s="57"/>
    </row>
    <row r="1354" spans="1:24" hidden="1" x14ac:dyDescent="0.35">
      <c r="A1354">
        <v>1350</v>
      </c>
      <c r="B1354">
        <v>1351</v>
      </c>
      <c r="C1354">
        <v>146.10531332400001</v>
      </c>
      <c r="D1354">
        <v>-17.655622323700001</v>
      </c>
      <c r="G1354" s="92"/>
      <c r="I1354">
        <v>8</v>
      </c>
      <c r="J1354" t="s">
        <v>26</v>
      </c>
      <c r="K1354" s="57"/>
      <c r="L1354" s="31"/>
      <c r="M1354" s="31"/>
      <c r="N1354" s="31"/>
      <c r="O1354" s="31"/>
      <c r="S1354" s="57"/>
      <c r="X1354" s="57"/>
    </row>
    <row r="1355" spans="1:24" hidden="1" x14ac:dyDescent="0.35">
      <c r="A1355">
        <v>1351</v>
      </c>
      <c r="B1355">
        <v>1352</v>
      </c>
      <c r="C1355">
        <v>146.10531069199899</v>
      </c>
      <c r="D1355">
        <v>-17.655547092700001</v>
      </c>
      <c r="G1355" s="92"/>
      <c r="I1355">
        <v>8</v>
      </c>
      <c r="J1355" t="s">
        <v>26</v>
      </c>
      <c r="K1355" s="57"/>
      <c r="L1355" s="31"/>
      <c r="M1355" s="31"/>
      <c r="N1355" s="31"/>
      <c r="O1355" s="31"/>
      <c r="S1355" s="57"/>
      <c r="X1355" s="57"/>
    </row>
    <row r="1356" spans="1:24" hidden="1" x14ac:dyDescent="0.35">
      <c r="A1356">
        <v>1352</v>
      </c>
      <c r="B1356">
        <v>1353</v>
      </c>
      <c r="C1356">
        <v>146.10524898700001</v>
      </c>
      <c r="D1356">
        <v>-17.655486556900001</v>
      </c>
      <c r="G1356" s="92"/>
      <c r="I1356">
        <v>8</v>
      </c>
      <c r="J1356" t="s">
        <v>26</v>
      </c>
      <c r="K1356" s="57"/>
      <c r="L1356" s="31"/>
      <c r="M1356" s="31"/>
      <c r="N1356" s="31"/>
      <c r="O1356" s="31"/>
      <c r="S1356" s="57"/>
      <c r="X1356" s="57"/>
    </row>
    <row r="1357" spans="1:24" hidden="1" x14ac:dyDescent="0.35">
      <c r="A1357">
        <v>1353</v>
      </c>
      <c r="B1357">
        <v>1354</v>
      </c>
      <c r="C1357">
        <v>146.105165421999</v>
      </c>
      <c r="D1357">
        <v>-17.655459839199899</v>
      </c>
      <c r="G1357" s="92"/>
      <c r="I1357">
        <v>8</v>
      </c>
      <c r="J1357" t="s">
        <v>26</v>
      </c>
      <c r="K1357" s="57"/>
      <c r="L1357" s="31"/>
      <c r="M1357" s="31"/>
      <c r="N1357" s="31"/>
      <c r="O1357" s="31"/>
      <c r="S1357" s="57"/>
      <c r="X1357" s="57"/>
    </row>
    <row r="1358" spans="1:24" hidden="1" x14ac:dyDescent="0.35">
      <c r="A1358">
        <v>1354</v>
      </c>
      <c r="B1358">
        <v>1355</v>
      </c>
      <c r="C1358">
        <v>146.10507754599899</v>
      </c>
      <c r="D1358">
        <v>-17.655442077299899</v>
      </c>
      <c r="G1358" s="92"/>
      <c r="I1358">
        <v>8</v>
      </c>
      <c r="J1358" t="s">
        <v>26</v>
      </c>
      <c r="K1358" s="57"/>
      <c r="L1358" s="31"/>
      <c r="M1358" s="31"/>
      <c r="N1358" s="31"/>
      <c r="O1358" s="31"/>
      <c r="S1358" s="57"/>
      <c r="X1358" s="57"/>
    </row>
    <row r="1359" spans="1:24" hidden="1" x14ac:dyDescent="0.35">
      <c r="A1359">
        <v>1355</v>
      </c>
      <c r="B1359">
        <v>1356</v>
      </c>
      <c r="C1359">
        <v>146.10498967000001</v>
      </c>
      <c r="D1359">
        <v>-17.6554243154999</v>
      </c>
      <c r="G1359" s="92"/>
      <c r="I1359">
        <v>8</v>
      </c>
      <c r="J1359" t="s">
        <v>26</v>
      </c>
      <c r="K1359" s="57"/>
      <c r="L1359" s="31"/>
      <c r="M1359" s="31"/>
      <c r="N1359" s="31"/>
      <c r="O1359" s="31"/>
      <c r="S1359" s="57"/>
      <c r="X1359" s="57"/>
    </row>
    <row r="1360" spans="1:24" hidden="1" x14ac:dyDescent="0.35">
      <c r="A1360">
        <v>1356</v>
      </c>
      <c r="B1360">
        <v>1357</v>
      </c>
      <c r="C1360">
        <v>146.104900063</v>
      </c>
      <c r="D1360">
        <v>-17.655421922799899</v>
      </c>
      <c r="G1360" s="92"/>
      <c r="I1360">
        <v>8</v>
      </c>
      <c r="J1360" t="s">
        <v>26</v>
      </c>
      <c r="K1360" s="57"/>
      <c r="L1360" s="31"/>
      <c r="M1360" s="31"/>
      <c r="N1360" s="31"/>
      <c r="O1360" s="31"/>
      <c r="S1360" s="57"/>
      <c r="X1360" s="57"/>
    </row>
    <row r="1361" spans="1:24" hidden="1" x14ac:dyDescent="0.35">
      <c r="A1361">
        <v>1357</v>
      </c>
      <c r="B1361">
        <v>1358</v>
      </c>
      <c r="C1361">
        <v>146.10481023200001</v>
      </c>
      <c r="D1361">
        <v>-17.655421515099899</v>
      </c>
      <c r="G1361" s="92"/>
      <c r="I1361">
        <v>8</v>
      </c>
      <c r="J1361" t="s">
        <v>26</v>
      </c>
      <c r="K1361" s="57"/>
      <c r="L1361" s="31"/>
      <c r="M1361" s="31"/>
      <c r="N1361" s="31"/>
      <c r="O1361" s="31"/>
      <c r="S1361" s="57"/>
      <c r="X1361" s="57"/>
    </row>
    <row r="1362" spans="1:24" hidden="1" x14ac:dyDescent="0.35">
      <c r="A1362">
        <v>1358</v>
      </c>
      <c r="B1362">
        <v>1359</v>
      </c>
      <c r="C1362">
        <v>146.104720401999</v>
      </c>
      <c r="D1362">
        <v>-17.655421107399899</v>
      </c>
      <c r="G1362" s="92"/>
      <c r="I1362">
        <v>8</v>
      </c>
      <c r="J1362" t="s">
        <v>26</v>
      </c>
      <c r="K1362" s="57"/>
      <c r="L1362" s="31"/>
      <c r="M1362" s="31"/>
      <c r="N1362" s="31"/>
      <c r="O1362" s="31"/>
      <c r="S1362" s="57"/>
      <c r="X1362" s="57"/>
    </row>
    <row r="1363" spans="1:24" hidden="1" x14ac:dyDescent="0.35">
      <c r="A1363">
        <v>1359</v>
      </c>
      <c r="B1363">
        <v>1360</v>
      </c>
      <c r="C1363">
        <v>146.104630729999</v>
      </c>
      <c r="D1363">
        <v>-17.655425475600001</v>
      </c>
      <c r="G1363" s="92"/>
      <c r="I1363">
        <v>8</v>
      </c>
      <c r="J1363" t="s">
        <v>26</v>
      </c>
      <c r="K1363" s="57"/>
      <c r="L1363" s="31"/>
      <c r="M1363" s="31"/>
      <c r="N1363" s="31"/>
      <c r="O1363" s="31"/>
      <c r="S1363" s="57"/>
      <c r="X1363" s="57"/>
    </row>
    <row r="1364" spans="1:24" hidden="1" x14ac:dyDescent="0.35">
      <c r="A1364">
        <v>1360</v>
      </c>
      <c r="B1364">
        <v>1361</v>
      </c>
      <c r="C1364">
        <v>146.10454110800001</v>
      </c>
      <c r="D1364">
        <v>-17.6554313151</v>
      </c>
      <c r="G1364" s="92"/>
      <c r="I1364">
        <v>8</v>
      </c>
      <c r="J1364" t="s">
        <v>26</v>
      </c>
      <c r="K1364" s="57"/>
      <c r="L1364" s="31"/>
      <c r="M1364" s="31"/>
      <c r="N1364" s="31"/>
      <c r="O1364" s="31"/>
      <c r="S1364" s="57"/>
      <c r="X1364" s="57"/>
    </row>
    <row r="1365" spans="1:24" hidden="1" x14ac:dyDescent="0.35">
      <c r="A1365">
        <v>1361</v>
      </c>
      <c r="B1365">
        <v>1362</v>
      </c>
      <c r="C1365">
        <v>146.10445148599899</v>
      </c>
      <c r="D1365">
        <v>-17.655437154600001</v>
      </c>
      <c r="G1365" s="92"/>
      <c r="I1365">
        <v>8</v>
      </c>
      <c r="J1365" t="s">
        <v>26</v>
      </c>
      <c r="K1365" s="57"/>
      <c r="L1365" s="31"/>
      <c r="M1365" s="31"/>
      <c r="N1365" s="31"/>
      <c r="O1365" s="31"/>
      <c r="S1365" s="57"/>
      <c r="X1365" s="57"/>
    </row>
    <row r="1366" spans="1:24" hidden="1" x14ac:dyDescent="0.35">
      <c r="A1366">
        <v>1362</v>
      </c>
      <c r="B1366">
        <v>1363</v>
      </c>
      <c r="C1366">
        <v>146.10436186300001</v>
      </c>
      <c r="D1366">
        <v>-17.655442994200001</v>
      </c>
      <c r="G1366" s="92"/>
      <c r="I1366">
        <v>8</v>
      </c>
      <c r="J1366" t="s">
        <v>26</v>
      </c>
      <c r="K1366" s="57"/>
      <c r="L1366" s="31"/>
      <c r="M1366" s="31"/>
      <c r="N1366" s="31"/>
      <c r="O1366" s="31"/>
      <c r="S1366" s="57"/>
      <c r="X1366" s="57"/>
    </row>
    <row r="1367" spans="1:24" hidden="1" x14ac:dyDescent="0.35">
      <c r="A1367">
        <v>1363</v>
      </c>
      <c r="B1367">
        <v>1364</v>
      </c>
      <c r="C1367">
        <v>146.10427222600001</v>
      </c>
      <c r="D1367">
        <v>-17.655448602300002</v>
      </c>
      <c r="G1367" s="92"/>
      <c r="I1367">
        <v>8</v>
      </c>
      <c r="J1367" t="s">
        <v>26</v>
      </c>
      <c r="K1367" s="57"/>
      <c r="L1367" s="31"/>
      <c r="M1367" s="31"/>
      <c r="N1367" s="31"/>
      <c r="O1367" s="31"/>
      <c r="S1367" s="57"/>
      <c r="X1367" s="57"/>
    </row>
    <row r="1368" spans="1:24" hidden="1" x14ac:dyDescent="0.35">
      <c r="A1368">
        <v>1364</v>
      </c>
      <c r="B1368">
        <v>1365</v>
      </c>
      <c r="C1368">
        <v>146.104182538999</v>
      </c>
      <c r="D1368">
        <v>-17.655453457299899</v>
      </c>
      <c r="G1368" s="92"/>
      <c r="I1368">
        <v>8</v>
      </c>
      <c r="J1368" t="s">
        <v>26</v>
      </c>
      <c r="K1368" s="57"/>
      <c r="L1368" s="31"/>
      <c r="M1368" s="31"/>
      <c r="N1368" s="31"/>
      <c r="O1368" s="31"/>
      <c r="S1368" s="57"/>
      <c r="X1368" s="57"/>
    </row>
    <row r="1369" spans="1:24" hidden="1" x14ac:dyDescent="0.35">
      <c r="A1369">
        <v>1365</v>
      </c>
      <c r="B1369">
        <v>1366</v>
      </c>
      <c r="C1369">
        <v>146.10409285200001</v>
      </c>
      <c r="D1369">
        <v>-17.655458312299899</v>
      </c>
      <c r="G1369" s="92"/>
      <c r="I1369">
        <v>8</v>
      </c>
      <c r="J1369" t="s">
        <v>26</v>
      </c>
      <c r="K1369" s="57"/>
      <c r="L1369" s="31"/>
      <c r="M1369" s="31"/>
      <c r="N1369" s="31"/>
      <c r="O1369" s="31"/>
      <c r="S1369" s="57"/>
      <c r="X1369" s="57"/>
    </row>
    <row r="1370" spans="1:24" hidden="1" x14ac:dyDescent="0.35">
      <c r="A1370">
        <v>1366</v>
      </c>
      <c r="B1370">
        <v>1367</v>
      </c>
      <c r="C1370">
        <v>146.104003164999</v>
      </c>
      <c r="D1370">
        <v>-17.655463167299899</v>
      </c>
      <c r="G1370" s="92"/>
      <c r="I1370">
        <v>8</v>
      </c>
      <c r="J1370" t="s">
        <v>26</v>
      </c>
      <c r="K1370" s="57"/>
      <c r="L1370" s="31"/>
      <c r="M1370" s="31"/>
      <c r="N1370" s="31"/>
      <c r="O1370" s="31"/>
      <c r="S1370" s="57"/>
      <c r="X1370" s="57"/>
    </row>
    <row r="1371" spans="1:24" hidden="1" x14ac:dyDescent="0.35">
      <c r="A1371">
        <v>1367</v>
      </c>
      <c r="B1371">
        <v>1368</v>
      </c>
      <c r="C1371">
        <v>146.103913933999</v>
      </c>
      <c r="D1371">
        <v>-17.6554710176</v>
      </c>
      <c r="G1371" s="92"/>
      <c r="I1371">
        <v>8</v>
      </c>
      <c r="J1371" t="s">
        <v>26</v>
      </c>
      <c r="K1371" s="57"/>
      <c r="L1371" s="31"/>
      <c r="M1371" s="31"/>
      <c r="N1371" s="31"/>
      <c r="O1371" s="31"/>
      <c r="S1371" s="57"/>
      <c r="X1371" s="57"/>
    </row>
    <row r="1372" spans="1:24" hidden="1" x14ac:dyDescent="0.35">
      <c r="A1372">
        <v>1368</v>
      </c>
      <c r="B1372">
        <v>1369</v>
      </c>
      <c r="C1372">
        <v>146.10382649600001</v>
      </c>
      <c r="D1372">
        <v>-17.6554906438</v>
      </c>
      <c r="G1372" s="92"/>
      <c r="I1372">
        <v>8</v>
      </c>
      <c r="J1372" t="s">
        <v>26</v>
      </c>
      <c r="K1372" s="57"/>
      <c r="L1372" s="31"/>
      <c r="M1372" s="31"/>
      <c r="N1372" s="31"/>
      <c r="O1372" s="31"/>
      <c r="S1372" s="57"/>
      <c r="X1372" s="57"/>
    </row>
    <row r="1373" spans="1:24" hidden="1" x14ac:dyDescent="0.35">
      <c r="A1373">
        <v>1369</v>
      </c>
      <c r="B1373">
        <v>1370</v>
      </c>
      <c r="C1373">
        <v>146.10373905700001</v>
      </c>
      <c r="D1373">
        <v>-17.655510269899899</v>
      </c>
      <c r="G1373" s="92"/>
      <c r="I1373">
        <v>8</v>
      </c>
      <c r="J1373" t="s">
        <v>26</v>
      </c>
      <c r="K1373" s="57"/>
      <c r="L1373" s="31"/>
      <c r="M1373" s="31"/>
      <c r="N1373" s="31"/>
      <c r="O1373" s="31"/>
      <c r="S1373" s="57"/>
      <c r="X1373" s="57"/>
    </row>
    <row r="1374" spans="1:24" hidden="1" x14ac:dyDescent="0.35">
      <c r="A1374">
        <v>1370</v>
      </c>
      <c r="B1374">
        <v>1371</v>
      </c>
      <c r="C1374">
        <v>146.103651619</v>
      </c>
      <c r="D1374">
        <v>-17.655529896000001</v>
      </c>
      <c r="G1374" s="92"/>
      <c r="I1374">
        <v>8</v>
      </c>
      <c r="J1374" t="s">
        <v>26</v>
      </c>
      <c r="K1374" s="57"/>
      <c r="L1374" s="31"/>
      <c r="M1374" s="31"/>
      <c r="N1374" s="31"/>
      <c r="O1374" s="31"/>
      <c r="S1374" s="57"/>
      <c r="X1374" s="57"/>
    </row>
    <row r="1375" spans="1:24" hidden="1" x14ac:dyDescent="0.35">
      <c r="A1375">
        <v>1371</v>
      </c>
      <c r="B1375">
        <v>1372</v>
      </c>
      <c r="C1375">
        <v>146.10356342200001</v>
      </c>
      <c r="D1375">
        <v>-17.6555431755</v>
      </c>
      <c r="G1375" s="92"/>
      <c r="I1375">
        <v>8</v>
      </c>
      <c r="J1375" t="s">
        <v>26</v>
      </c>
      <c r="K1375" s="57"/>
      <c r="L1375" s="31"/>
      <c r="M1375" s="31"/>
      <c r="N1375" s="31"/>
      <c r="O1375" s="31"/>
      <c r="S1375" s="57"/>
      <c r="X1375" s="57"/>
    </row>
    <row r="1376" spans="1:24" hidden="1" x14ac:dyDescent="0.35">
      <c r="A1376">
        <v>1372</v>
      </c>
      <c r="B1376">
        <v>1373</v>
      </c>
      <c r="C1376">
        <v>146.103473592</v>
      </c>
      <c r="D1376">
        <v>-17.655542767499899</v>
      </c>
      <c r="G1376" s="92"/>
      <c r="I1376">
        <v>8</v>
      </c>
      <c r="J1376" t="s">
        <v>26</v>
      </c>
      <c r="K1376" s="57"/>
      <c r="L1376" s="31"/>
      <c r="M1376" s="31"/>
      <c r="N1376" s="31"/>
      <c r="O1376" s="31"/>
      <c r="S1376" s="57"/>
      <c r="X1376" s="57"/>
    </row>
    <row r="1377" spans="1:24" hidden="1" x14ac:dyDescent="0.35">
      <c r="A1377">
        <v>1373</v>
      </c>
      <c r="B1377">
        <v>1374</v>
      </c>
      <c r="C1377">
        <v>146.103384086999</v>
      </c>
      <c r="D1377">
        <v>-17.6555363282</v>
      </c>
      <c r="G1377" s="92"/>
      <c r="I1377">
        <v>8</v>
      </c>
      <c r="J1377" t="s">
        <v>26</v>
      </c>
      <c r="K1377" s="57"/>
      <c r="L1377" s="31"/>
      <c r="M1377" s="31"/>
      <c r="N1377" s="31"/>
      <c r="O1377" s="31"/>
      <c r="S1377" s="57"/>
      <c r="X1377" s="57"/>
    </row>
    <row r="1378" spans="1:24" hidden="1" x14ac:dyDescent="0.35">
      <c r="A1378">
        <v>1374</v>
      </c>
      <c r="B1378">
        <v>1375</v>
      </c>
      <c r="C1378">
        <v>146.10329468800001</v>
      </c>
      <c r="D1378">
        <v>-17.6555279445999</v>
      </c>
      <c r="G1378" s="92"/>
      <c r="I1378">
        <v>8</v>
      </c>
      <c r="J1378" t="s">
        <v>26</v>
      </c>
      <c r="K1378" s="57"/>
      <c r="L1378" s="31"/>
      <c r="M1378" s="31"/>
      <c r="N1378" s="31"/>
      <c r="O1378" s="31"/>
      <c r="S1378" s="57"/>
      <c r="X1378" s="57"/>
    </row>
    <row r="1379" spans="1:24" hidden="1" x14ac:dyDescent="0.35">
      <c r="A1379">
        <v>1375</v>
      </c>
      <c r="B1379">
        <v>1376</v>
      </c>
      <c r="C1379">
        <v>146.103205287999</v>
      </c>
      <c r="D1379">
        <v>-17.655519560999899</v>
      </c>
      <c r="G1379" s="92"/>
      <c r="I1379">
        <v>8</v>
      </c>
      <c r="J1379" t="s">
        <v>26</v>
      </c>
      <c r="K1379" s="57"/>
      <c r="L1379" s="31"/>
      <c r="M1379" s="31"/>
      <c r="N1379" s="31"/>
      <c r="O1379" s="31"/>
      <c r="S1379" s="57"/>
      <c r="X1379" s="57"/>
    </row>
    <row r="1380" spans="1:24" hidden="1" x14ac:dyDescent="0.35">
      <c r="A1380">
        <v>1376</v>
      </c>
      <c r="B1380">
        <v>1377</v>
      </c>
      <c r="C1380">
        <v>146.103117367999</v>
      </c>
      <c r="D1380">
        <v>-17.655505768200001</v>
      </c>
      <c r="G1380" s="92"/>
      <c r="I1380">
        <v>8</v>
      </c>
      <c r="J1380" t="s">
        <v>26</v>
      </c>
      <c r="K1380" s="57"/>
      <c r="L1380" s="31"/>
      <c r="M1380" s="31"/>
      <c r="N1380" s="31"/>
      <c r="O1380" s="31"/>
      <c r="S1380" s="57"/>
      <c r="X1380" s="57"/>
    </row>
    <row r="1381" spans="1:24" hidden="1" x14ac:dyDescent="0.35">
      <c r="A1381">
        <v>1377</v>
      </c>
      <c r="B1381">
        <v>1378</v>
      </c>
      <c r="C1381">
        <v>146.103035048999</v>
      </c>
      <c r="D1381">
        <v>-17.6554714998999</v>
      </c>
      <c r="G1381" s="92"/>
      <c r="I1381">
        <v>8</v>
      </c>
      <c r="J1381" t="s">
        <v>26</v>
      </c>
      <c r="K1381" s="57"/>
      <c r="L1381" s="31"/>
      <c r="M1381" s="31"/>
      <c r="N1381" s="31"/>
      <c r="O1381" s="31"/>
      <c r="S1381" s="57"/>
      <c r="X1381" s="57"/>
    </row>
    <row r="1382" spans="1:24" hidden="1" x14ac:dyDescent="0.35">
      <c r="A1382">
        <v>1378</v>
      </c>
      <c r="B1382">
        <v>1379</v>
      </c>
      <c r="C1382">
        <v>146.102952729999</v>
      </c>
      <c r="D1382">
        <v>-17.655437231699899</v>
      </c>
      <c r="G1382" s="92"/>
      <c r="I1382">
        <v>8</v>
      </c>
      <c r="J1382" t="s">
        <v>26</v>
      </c>
      <c r="K1382" s="57"/>
      <c r="L1382" s="31"/>
      <c r="M1382" s="31"/>
      <c r="N1382" s="31"/>
      <c r="O1382" s="31"/>
      <c r="S1382" s="57"/>
      <c r="X1382" s="57"/>
    </row>
    <row r="1383" spans="1:24" hidden="1" x14ac:dyDescent="0.35">
      <c r="A1383">
        <v>1379</v>
      </c>
      <c r="B1383">
        <v>1380</v>
      </c>
      <c r="C1383">
        <v>146.10287297900001</v>
      </c>
      <c r="D1383">
        <v>-17.655397995800001</v>
      </c>
      <c r="G1383" s="92"/>
      <c r="I1383">
        <v>8</v>
      </c>
      <c r="J1383" t="s">
        <v>26</v>
      </c>
      <c r="K1383" s="57"/>
      <c r="L1383" s="31"/>
      <c r="M1383" s="31"/>
      <c r="N1383" s="31"/>
      <c r="O1383" s="31"/>
      <c r="S1383" s="57"/>
      <c r="X1383" s="57"/>
    </row>
    <row r="1384" spans="1:24" hidden="1" x14ac:dyDescent="0.35">
      <c r="A1384">
        <v>1380</v>
      </c>
      <c r="B1384">
        <v>1381</v>
      </c>
      <c r="C1384">
        <v>146.10279430700001</v>
      </c>
      <c r="D1384">
        <v>-17.6553566758</v>
      </c>
      <c r="G1384" s="92"/>
      <c r="I1384">
        <v>8</v>
      </c>
      <c r="J1384" t="s">
        <v>26</v>
      </c>
      <c r="K1384" s="57"/>
      <c r="L1384" s="31"/>
      <c r="M1384" s="31"/>
      <c r="N1384" s="31"/>
      <c r="O1384" s="31"/>
      <c r="S1384" s="57"/>
      <c r="X1384" s="57"/>
    </row>
    <row r="1385" spans="1:24" hidden="1" x14ac:dyDescent="0.35">
      <c r="A1385">
        <v>1381</v>
      </c>
      <c r="B1385">
        <v>1382</v>
      </c>
      <c r="C1385">
        <v>146.10271952400001</v>
      </c>
      <c r="D1385">
        <v>-17.655309803800002</v>
      </c>
      <c r="G1385" s="92"/>
      <c r="I1385">
        <v>8</v>
      </c>
      <c r="J1385" t="s">
        <v>26</v>
      </c>
      <c r="K1385" s="57"/>
      <c r="L1385" s="31"/>
      <c r="M1385" s="31"/>
      <c r="N1385" s="31"/>
      <c r="O1385" s="31"/>
      <c r="S1385" s="57"/>
      <c r="X1385" s="57"/>
    </row>
    <row r="1386" spans="1:24" hidden="1" x14ac:dyDescent="0.35">
      <c r="A1386">
        <v>1382</v>
      </c>
      <c r="B1386">
        <v>1383</v>
      </c>
      <c r="C1386">
        <v>146.102649318999</v>
      </c>
      <c r="D1386">
        <v>-17.655256399399899</v>
      </c>
      <c r="G1386" s="92"/>
      <c r="I1386">
        <v>8</v>
      </c>
      <c r="J1386" t="s">
        <v>26</v>
      </c>
      <c r="K1386" s="57"/>
      <c r="L1386" s="31"/>
      <c r="M1386" s="31"/>
      <c r="N1386" s="31"/>
      <c r="O1386" s="31"/>
      <c r="S1386" s="57"/>
      <c r="X1386" s="57"/>
    </row>
    <row r="1387" spans="1:24" hidden="1" x14ac:dyDescent="0.35">
      <c r="A1387">
        <v>1383</v>
      </c>
      <c r="B1387">
        <v>1384</v>
      </c>
      <c r="C1387">
        <v>146.10258624900001</v>
      </c>
      <c r="D1387">
        <v>-17.655195450000001</v>
      </c>
      <c r="G1387" s="92"/>
      <c r="I1387">
        <v>8</v>
      </c>
      <c r="J1387" t="s">
        <v>26</v>
      </c>
      <c r="K1387" s="57"/>
      <c r="L1387" s="31"/>
      <c r="M1387" s="31"/>
      <c r="N1387" s="31"/>
      <c r="O1387" s="31"/>
      <c r="S1387" s="57"/>
      <c r="X1387" s="57"/>
    </row>
    <row r="1388" spans="1:24" hidden="1" x14ac:dyDescent="0.35">
      <c r="A1388">
        <v>1384</v>
      </c>
      <c r="B1388">
        <v>1385</v>
      </c>
      <c r="C1388">
        <v>146.10251411799899</v>
      </c>
      <c r="D1388">
        <v>-17.6551451909999</v>
      </c>
      <c r="G1388" s="92"/>
      <c r="I1388">
        <v>8</v>
      </c>
      <c r="J1388" t="s">
        <v>26</v>
      </c>
      <c r="K1388" s="57"/>
      <c r="L1388" s="31"/>
      <c r="M1388" s="31"/>
      <c r="N1388" s="31"/>
      <c r="O1388" s="31"/>
      <c r="S1388" s="57"/>
      <c r="X1388" s="57"/>
    </row>
    <row r="1389" spans="1:24" hidden="1" x14ac:dyDescent="0.35">
      <c r="A1389">
        <v>1385</v>
      </c>
      <c r="B1389">
        <v>1386</v>
      </c>
      <c r="C1389">
        <v>146.10243340599899</v>
      </c>
      <c r="D1389">
        <v>-17.655109352699899</v>
      </c>
      <c r="G1389" s="92"/>
      <c r="I1389">
        <v>8</v>
      </c>
      <c r="J1389" t="s">
        <v>26</v>
      </c>
      <c r="K1389" s="57"/>
      <c r="L1389" s="31"/>
      <c r="M1389" s="31"/>
      <c r="N1389" s="31"/>
      <c r="O1389" s="31"/>
      <c r="S1389" s="57"/>
      <c r="X1389" s="57"/>
    </row>
    <row r="1390" spans="1:24" hidden="1" x14ac:dyDescent="0.35">
      <c r="A1390">
        <v>1386</v>
      </c>
      <c r="B1390">
        <v>1387</v>
      </c>
      <c r="C1390">
        <v>146.102399093</v>
      </c>
      <c r="D1390">
        <v>-17.6550362597999</v>
      </c>
      <c r="G1390" s="92"/>
      <c r="I1390">
        <v>8</v>
      </c>
      <c r="J1390" t="s">
        <v>26</v>
      </c>
      <c r="K1390" s="57"/>
      <c r="L1390" s="31"/>
      <c r="M1390" s="31"/>
      <c r="N1390" s="31"/>
      <c r="O1390" s="31"/>
      <c r="S1390" s="57"/>
      <c r="X1390" s="57"/>
    </row>
    <row r="1391" spans="1:24" hidden="1" x14ac:dyDescent="0.35">
      <c r="A1391">
        <v>1387</v>
      </c>
      <c r="B1391">
        <v>1388</v>
      </c>
      <c r="C1391">
        <v>146.102404699</v>
      </c>
      <c r="D1391">
        <v>-17.654950971400002</v>
      </c>
      <c r="G1391" s="92"/>
      <c r="I1391">
        <v>8</v>
      </c>
      <c r="J1391" t="s">
        <v>26</v>
      </c>
      <c r="K1391" s="57"/>
      <c r="L1391" s="31"/>
      <c r="M1391" s="31"/>
      <c r="N1391" s="31"/>
      <c r="O1391" s="31"/>
      <c r="S1391" s="57"/>
      <c r="X1391" s="57"/>
    </row>
    <row r="1392" spans="1:24" hidden="1" x14ac:dyDescent="0.35">
      <c r="A1392">
        <v>1388</v>
      </c>
      <c r="B1392">
        <v>1389</v>
      </c>
      <c r="C1392">
        <v>146.10241536000001</v>
      </c>
      <c r="D1392">
        <v>-17.654865978</v>
      </c>
      <c r="G1392" s="92"/>
      <c r="I1392">
        <v>8</v>
      </c>
      <c r="J1392" t="s">
        <v>26</v>
      </c>
      <c r="K1392" s="57"/>
      <c r="L1392" s="31"/>
      <c r="M1392" s="31"/>
      <c r="N1392" s="31"/>
      <c r="O1392" s="31"/>
      <c r="S1392" s="57"/>
      <c r="X1392" s="57"/>
    </row>
    <row r="1393" spans="1:24" hidden="1" x14ac:dyDescent="0.35">
      <c r="A1393">
        <v>1389</v>
      </c>
      <c r="B1393">
        <v>1390</v>
      </c>
      <c r="C1393">
        <v>146.10242386600001</v>
      </c>
      <c r="D1393">
        <v>-17.6547807621</v>
      </c>
      <c r="G1393" s="92"/>
      <c r="I1393">
        <v>8</v>
      </c>
      <c r="J1393" t="s">
        <v>26</v>
      </c>
      <c r="K1393" s="57"/>
      <c r="L1393" s="31"/>
      <c r="M1393" s="31"/>
      <c r="N1393" s="31"/>
      <c r="O1393" s="31"/>
      <c r="S1393" s="57"/>
      <c r="X1393" s="57"/>
    </row>
    <row r="1394" spans="1:24" hidden="1" x14ac:dyDescent="0.35">
      <c r="A1394">
        <v>1390</v>
      </c>
      <c r="B1394">
        <v>1391</v>
      </c>
      <c r="C1394">
        <v>146.10243422600001</v>
      </c>
      <c r="D1394">
        <v>-17.6546957867</v>
      </c>
      <c r="G1394" s="92"/>
      <c r="I1394">
        <v>8</v>
      </c>
      <c r="J1394" t="s">
        <v>26</v>
      </c>
      <c r="K1394" s="57"/>
      <c r="L1394" s="31"/>
      <c r="M1394" s="31"/>
      <c r="N1394" s="31"/>
      <c r="O1394" s="31"/>
      <c r="S1394" s="57"/>
      <c r="X1394" s="57"/>
    </row>
    <row r="1395" spans="1:24" hidden="1" x14ac:dyDescent="0.35">
      <c r="A1395">
        <v>1391</v>
      </c>
      <c r="B1395">
        <v>1392</v>
      </c>
      <c r="C1395">
        <v>146.10244994499899</v>
      </c>
      <c r="D1395">
        <v>-17.654611506799899</v>
      </c>
      <c r="G1395" s="92"/>
      <c r="I1395">
        <v>8</v>
      </c>
      <c r="J1395" t="s">
        <v>26</v>
      </c>
      <c r="K1395" s="57"/>
      <c r="L1395" s="31"/>
      <c r="M1395" s="31"/>
      <c r="N1395" s="31"/>
      <c r="O1395" s="31"/>
      <c r="S1395" s="57"/>
      <c r="X1395" s="57"/>
    </row>
    <row r="1396" spans="1:24" hidden="1" x14ac:dyDescent="0.35">
      <c r="A1396">
        <v>1392</v>
      </c>
      <c r="B1396">
        <v>1393</v>
      </c>
      <c r="C1396">
        <v>146.102465663999</v>
      </c>
      <c r="D1396">
        <v>-17.6545272267999</v>
      </c>
      <c r="G1396" s="92"/>
      <c r="I1396">
        <v>8</v>
      </c>
      <c r="J1396" t="s">
        <v>26</v>
      </c>
      <c r="K1396" s="57"/>
      <c r="L1396" s="31"/>
      <c r="M1396" s="31"/>
      <c r="N1396" s="31"/>
      <c r="O1396" s="31"/>
      <c r="S1396" s="57"/>
      <c r="X1396" s="57"/>
    </row>
    <row r="1397" spans="1:24" hidden="1" x14ac:dyDescent="0.35">
      <c r="A1397">
        <v>1393</v>
      </c>
      <c r="B1397">
        <v>1394</v>
      </c>
      <c r="C1397">
        <v>146.102481382999</v>
      </c>
      <c r="D1397">
        <v>-17.6544429468</v>
      </c>
      <c r="G1397" s="92"/>
      <c r="I1397">
        <v>8</v>
      </c>
      <c r="J1397" t="s">
        <v>26</v>
      </c>
      <c r="K1397" s="57"/>
      <c r="L1397" s="31"/>
      <c r="M1397" s="31"/>
      <c r="N1397" s="31"/>
      <c r="O1397" s="31"/>
      <c r="S1397" s="57"/>
      <c r="X1397" s="57"/>
    </row>
    <row r="1398" spans="1:24" hidden="1" x14ac:dyDescent="0.35">
      <c r="A1398">
        <v>1394</v>
      </c>
      <c r="B1398">
        <v>1395</v>
      </c>
      <c r="C1398">
        <v>146.102494930999</v>
      </c>
      <c r="D1398">
        <v>-17.654358364</v>
      </c>
      <c r="G1398" s="92"/>
      <c r="I1398">
        <v>8</v>
      </c>
      <c r="J1398" t="s">
        <v>26</v>
      </c>
      <c r="K1398" s="57"/>
      <c r="L1398" s="31"/>
      <c r="M1398" s="31"/>
      <c r="N1398" s="31"/>
      <c r="O1398" s="31"/>
      <c r="S1398" s="57"/>
      <c r="X1398" s="57"/>
    </row>
    <row r="1399" spans="1:24" hidden="1" x14ac:dyDescent="0.35">
      <c r="A1399">
        <v>1395</v>
      </c>
      <c r="B1399">
        <v>1396</v>
      </c>
      <c r="C1399">
        <v>146.102505213</v>
      </c>
      <c r="D1399">
        <v>-17.654273325799899</v>
      </c>
      <c r="G1399" s="92"/>
      <c r="I1399">
        <v>8</v>
      </c>
      <c r="J1399" t="s">
        <v>26</v>
      </c>
      <c r="K1399" s="57"/>
      <c r="L1399" s="31"/>
      <c r="M1399" s="31"/>
      <c r="N1399" s="31"/>
      <c r="O1399" s="31"/>
      <c r="S1399" s="57"/>
      <c r="X1399" s="57"/>
    </row>
    <row r="1400" spans="1:24" hidden="1" x14ac:dyDescent="0.35">
      <c r="A1400">
        <v>1396</v>
      </c>
      <c r="B1400">
        <v>1397</v>
      </c>
      <c r="C1400">
        <v>146.10251396999899</v>
      </c>
      <c r="D1400">
        <v>-17.654188200699899</v>
      </c>
      <c r="G1400" s="92"/>
      <c r="I1400">
        <v>8</v>
      </c>
      <c r="J1400" t="s">
        <v>26</v>
      </c>
      <c r="K1400" s="57"/>
      <c r="L1400" s="31"/>
      <c r="M1400" s="31"/>
      <c r="N1400" s="31"/>
      <c r="O1400" s="31"/>
      <c r="S1400" s="57"/>
      <c r="X1400" s="57"/>
    </row>
    <row r="1401" spans="1:24" hidden="1" x14ac:dyDescent="0.35">
      <c r="A1401">
        <v>1397</v>
      </c>
      <c r="B1401">
        <v>1398</v>
      </c>
      <c r="C1401">
        <v>146.10251439499899</v>
      </c>
      <c r="D1401">
        <v>-17.6541026007</v>
      </c>
      <c r="G1401" s="92"/>
      <c r="I1401">
        <v>8</v>
      </c>
      <c r="J1401" t="s">
        <v>26</v>
      </c>
      <c r="K1401" s="57"/>
      <c r="L1401" s="31"/>
      <c r="M1401" s="31"/>
      <c r="N1401" s="31"/>
      <c r="O1401" s="31"/>
      <c r="S1401" s="57"/>
      <c r="X1401" s="57"/>
    </row>
    <row r="1402" spans="1:24" hidden="1" x14ac:dyDescent="0.35">
      <c r="A1402">
        <v>1398</v>
      </c>
      <c r="B1402">
        <v>1399</v>
      </c>
      <c r="C1402">
        <v>146.10250773600001</v>
      </c>
      <c r="D1402">
        <v>-17.654017501999899</v>
      </c>
      <c r="G1402" s="92"/>
      <c r="I1402">
        <v>8</v>
      </c>
      <c r="J1402" t="s">
        <v>26</v>
      </c>
      <c r="K1402" s="57"/>
      <c r="L1402" s="31"/>
      <c r="M1402" s="31"/>
      <c r="N1402" s="31"/>
      <c r="O1402" s="31"/>
      <c r="S1402" s="57"/>
      <c r="X1402" s="57"/>
    </row>
    <row r="1403" spans="1:24" hidden="1" x14ac:dyDescent="0.35">
      <c r="A1403">
        <v>1399</v>
      </c>
      <c r="B1403">
        <v>1400</v>
      </c>
      <c r="C1403">
        <v>146.102494046999</v>
      </c>
      <c r="D1403">
        <v>-17.653932900800001</v>
      </c>
      <c r="G1403" s="92"/>
      <c r="I1403">
        <v>8</v>
      </c>
      <c r="J1403" t="s">
        <v>26</v>
      </c>
      <c r="K1403" s="57"/>
      <c r="L1403" s="31"/>
      <c r="M1403" s="31"/>
      <c r="N1403" s="31"/>
      <c r="O1403" s="31"/>
      <c r="S1403" s="57"/>
      <c r="X1403" s="57"/>
    </row>
    <row r="1404" spans="1:24" hidden="1" x14ac:dyDescent="0.35">
      <c r="A1404">
        <v>1400</v>
      </c>
      <c r="B1404">
        <v>1401</v>
      </c>
      <c r="C1404">
        <v>146.102472261</v>
      </c>
      <c r="D1404">
        <v>-17.653850412000001</v>
      </c>
      <c r="G1404" s="92"/>
      <c r="I1404">
        <v>8</v>
      </c>
      <c r="J1404" t="s">
        <v>26</v>
      </c>
      <c r="K1404" s="57"/>
      <c r="L1404" s="31"/>
      <c r="M1404" s="31"/>
      <c r="N1404" s="31"/>
      <c r="O1404" s="31"/>
      <c r="S1404" s="57"/>
      <c r="X1404" s="57"/>
    </row>
    <row r="1405" spans="1:24" hidden="1" x14ac:dyDescent="0.35">
      <c r="A1405">
        <v>1401</v>
      </c>
      <c r="B1405">
        <v>1402</v>
      </c>
      <c r="C1405">
        <v>146.10243881900001</v>
      </c>
      <c r="D1405">
        <v>-17.6537709636</v>
      </c>
      <c r="G1405" s="92"/>
      <c r="I1405">
        <v>8</v>
      </c>
      <c r="J1405" t="s">
        <v>26</v>
      </c>
      <c r="K1405" s="57"/>
      <c r="L1405" s="31"/>
      <c r="M1405" s="31"/>
      <c r="N1405" s="31"/>
      <c r="O1405" s="31"/>
      <c r="S1405" s="57"/>
      <c r="X1405" s="57"/>
    </row>
    <row r="1406" spans="1:24" hidden="1" x14ac:dyDescent="0.35">
      <c r="A1406">
        <v>1402</v>
      </c>
      <c r="B1406">
        <v>1403</v>
      </c>
      <c r="C1406">
        <v>146.102391337</v>
      </c>
      <c r="D1406">
        <v>-17.653700547300001</v>
      </c>
      <c r="G1406" s="92"/>
      <c r="I1406">
        <v>8</v>
      </c>
      <c r="J1406" t="s">
        <v>26</v>
      </c>
      <c r="K1406" s="57"/>
      <c r="L1406" s="31"/>
      <c r="M1406" s="31"/>
      <c r="N1406" s="31"/>
      <c r="O1406" s="31"/>
      <c r="S1406" s="57"/>
      <c r="X1406" s="57"/>
    </row>
    <row r="1407" spans="1:24" hidden="1" x14ac:dyDescent="0.35">
      <c r="A1407">
        <v>1403</v>
      </c>
      <c r="B1407">
        <v>1404</v>
      </c>
      <c r="C1407">
        <v>146.102326511</v>
      </c>
      <c r="D1407">
        <v>-17.653641288100001</v>
      </c>
      <c r="G1407" s="92"/>
      <c r="I1407">
        <v>8</v>
      </c>
      <c r="J1407" t="s">
        <v>26</v>
      </c>
      <c r="K1407" s="57"/>
      <c r="L1407" s="31"/>
      <c r="M1407" s="31"/>
      <c r="N1407" s="31"/>
      <c r="O1407" s="31"/>
      <c r="S1407" s="57"/>
      <c r="X1407" s="57"/>
    </row>
    <row r="1408" spans="1:24" hidden="1" x14ac:dyDescent="0.35">
      <c r="A1408">
        <v>1404</v>
      </c>
      <c r="B1408">
        <v>1405</v>
      </c>
      <c r="C1408">
        <v>146.102254496</v>
      </c>
      <c r="D1408">
        <v>-17.653592340100001</v>
      </c>
      <c r="G1408" s="92"/>
      <c r="I1408">
        <v>8</v>
      </c>
      <c r="J1408" t="s">
        <v>26</v>
      </c>
      <c r="K1408" s="57"/>
      <c r="L1408" s="31"/>
      <c r="M1408" s="31"/>
      <c r="N1408" s="31"/>
      <c r="O1408" s="31"/>
      <c r="S1408" s="57"/>
      <c r="X1408" s="57"/>
    </row>
    <row r="1409" spans="1:24" hidden="1" x14ac:dyDescent="0.35">
      <c r="A1409">
        <v>1405</v>
      </c>
      <c r="B1409">
        <v>1406</v>
      </c>
      <c r="C1409">
        <v>146.102172045999</v>
      </c>
      <c r="D1409">
        <v>-17.653558360400002</v>
      </c>
      <c r="G1409" s="92"/>
      <c r="I1409">
        <v>8</v>
      </c>
      <c r="J1409" t="s">
        <v>26</v>
      </c>
      <c r="K1409" s="57"/>
      <c r="L1409" s="31"/>
      <c r="M1409" s="31"/>
      <c r="N1409" s="31"/>
      <c r="O1409" s="31"/>
      <c r="S1409" s="57"/>
      <c r="X1409" s="57"/>
    </row>
    <row r="1410" spans="1:24" hidden="1" x14ac:dyDescent="0.35">
      <c r="A1410">
        <v>1406</v>
      </c>
      <c r="B1410">
        <v>1407</v>
      </c>
      <c r="C1410">
        <v>146.102089594999</v>
      </c>
      <c r="D1410">
        <v>-17.6535243806</v>
      </c>
      <c r="G1410" s="92"/>
      <c r="I1410">
        <v>8</v>
      </c>
      <c r="J1410" t="s">
        <v>26</v>
      </c>
      <c r="K1410" s="57"/>
      <c r="L1410" s="31"/>
      <c r="M1410" s="31"/>
      <c r="N1410" s="31"/>
      <c r="O1410" s="31"/>
      <c r="S1410" s="57"/>
      <c r="X1410" s="57"/>
    </row>
    <row r="1411" spans="1:24" hidden="1" x14ac:dyDescent="0.35">
      <c r="A1411">
        <v>1407</v>
      </c>
      <c r="B1411">
        <v>1408</v>
      </c>
      <c r="C1411">
        <v>146.10200448000001</v>
      </c>
      <c r="D1411">
        <v>-17.6534986481999</v>
      </c>
      <c r="G1411" s="92"/>
      <c r="I1411">
        <v>8</v>
      </c>
      <c r="J1411" t="s">
        <v>26</v>
      </c>
      <c r="K1411" s="57"/>
      <c r="L1411" s="31"/>
      <c r="M1411" s="31"/>
      <c r="N1411" s="31"/>
      <c r="O1411" s="31"/>
      <c r="S1411" s="57"/>
      <c r="X1411" s="57"/>
    </row>
    <row r="1412" spans="1:24" hidden="1" x14ac:dyDescent="0.35">
      <c r="A1412">
        <v>1408</v>
      </c>
      <c r="B1412">
        <v>1409</v>
      </c>
      <c r="C1412">
        <v>146.10191624800001</v>
      </c>
      <c r="D1412">
        <v>-17.653482566200001</v>
      </c>
      <c r="G1412" s="92"/>
      <c r="I1412">
        <v>8</v>
      </c>
      <c r="J1412" t="s">
        <v>26</v>
      </c>
      <c r="K1412" s="57"/>
      <c r="L1412" s="31"/>
      <c r="M1412" s="31"/>
      <c r="N1412" s="31"/>
      <c r="O1412" s="31"/>
      <c r="S1412" s="57"/>
      <c r="X1412" s="57"/>
    </row>
    <row r="1413" spans="1:24" hidden="1" x14ac:dyDescent="0.35">
      <c r="A1413">
        <v>1409</v>
      </c>
      <c r="B1413">
        <v>1410</v>
      </c>
      <c r="C1413">
        <v>146.101827708</v>
      </c>
      <c r="D1413">
        <v>-17.6534689623</v>
      </c>
      <c r="G1413" s="92"/>
      <c r="I1413">
        <v>8</v>
      </c>
      <c r="J1413" t="s">
        <v>26</v>
      </c>
      <c r="K1413" s="57"/>
      <c r="L1413" s="31"/>
      <c r="M1413" s="31"/>
      <c r="N1413" s="31"/>
      <c r="O1413" s="31"/>
      <c r="S1413" s="57"/>
      <c r="X1413" s="57"/>
    </row>
    <row r="1414" spans="1:24" hidden="1" x14ac:dyDescent="0.35">
      <c r="A1414">
        <v>1410</v>
      </c>
      <c r="B1414">
        <v>1411</v>
      </c>
      <c r="C1414">
        <v>146.101737974999</v>
      </c>
      <c r="D1414">
        <v>-17.653464968400002</v>
      </c>
      <c r="G1414" s="92"/>
      <c r="I1414">
        <v>8</v>
      </c>
      <c r="J1414" t="s">
        <v>26</v>
      </c>
      <c r="K1414" s="57"/>
      <c r="L1414" s="31"/>
      <c r="M1414" s="31"/>
      <c r="N1414" s="31"/>
      <c r="O1414" s="31"/>
      <c r="S1414" s="57"/>
      <c r="X1414" s="57"/>
    </row>
    <row r="1415" spans="1:24" hidden="1" x14ac:dyDescent="0.35">
      <c r="A1415">
        <v>1411</v>
      </c>
      <c r="B1415">
        <v>1412</v>
      </c>
      <c r="C1415">
        <v>146.10164900199899</v>
      </c>
      <c r="D1415">
        <v>-17.653467297500001</v>
      </c>
      <c r="G1415" s="92"/>
      <c r="I1415">
        <v>8</v>
      </c>
      <c r="J1415" t="s">
        <v>26</v>
      </c>
      <c r="K1415" s="57"/>
      <c r="L1415" s="31"/>
      <c r="M1415" s="31"/>
      <c r="N1415" s="31"/>
      <c r="O1415" s="31"/>
      <c r="S1415" s="57"/>
      <c r="X1415" s="57"/>
    </row>
    <row r="1416" spans="1:24" hidden="1" x14ac:dyDescent="0.35">
      <c r="A1416">
        <v>1412</v>
      </c>
      <c r="B1416">
        <v>1413</v>
      </c>
      <c r="C1416">
        <v>146.101562548999</v>
      </c>
      <c r="D1416">
        <v>-17.6534905530999</v>
      </c>
      <c r="G1416" s="92"/>
      <c r="I1416">
        <v>8</v>
      </c>
      <c r="J1416" t="s">
        <v>26</v>
      </c>
      <c r="K1416" s="57"/>
      <c r="L1416" s="31"/>
      <c r="M1416" s="31"/>
      <c r="N1416" s="31"/>
      <c r="O1416" s="31"/>
      <c r="S1416" s="57"/>
      <c r="X1416" s="57"/>
    </row>
    <row r="1417" spans="1:24" hidden="1" x14ac:dyDescent="0.35">
      <c r="A1417">
        <v>1413</v>
      </c>
      <c r="B1417">
        <v>1414</v>
      </c>
      <c r="C1417">
        <v>146.101476095999</v>
      </c>
      <c r="D1417">
        <v>-17.653513808700001</v>
      </c>
      <c r="G1417" s="92"/>
      <c r="I1417">
        <v>8</v>
      </c>
      <c r="J1417" t="s">
        <v>26</v>
      </c>
      <c r="K1417" s="57"/>
      <c r="L1417" s="31"/>
      <c r="M1417" s="31"/>
      <c r="N1417" s="31"/>
      <c r="O1417" s="31"/>
      <c r="S1417" s="57"/>
      <c r="X1417" s="57"/>
    </row>
    <row r="1418" spans="1:24" hidden="1" x14ac:dyDescent="0.35">
      <c r="A1418">
        <v>1414</v>
      </c>
      <c r="B1418">
        <v>1415</v>
      </c>
      <c r="C1418">
        <v>146.101389643</v>
      </c>
      <c r="D1418">
        <v>-17.653537064199899</v>
      </c>
      <c r="G1418" s="92"/>
      <c r="I1418">
        <v>8</v>
      </c>
      <c r="J1418" t="s">
        <v>26</v>
      </c>
      <c r="K1418" s="57"/>
      <c r="L1418" s="31"/>
      <c r="M1418" s="31"/>
      <c r="N1418" s="31"/>
      <c r="O1418" s="31"/>
      <c r="S1418" s="57"/>
      <c r="X1418" s="57"/>
    </row>
    <row r="1419" spans="1:24" hidden="1" x14ac:dyDescent="0.35">
      <c r="A1419">
        <v>1415</v>
      </c>
      <c r="B1419">
        <v>1416</v>
      </c>
      <c r="C1419">
        <v>146.10130613499899</v>
      </c>
      <c r="D1419">
        <v>-17.653568016200001</v>
      </c>
      <c r="G1419" s="92"/>
      <c r="I1419">
        <v>8</v>
      </c>
      <c r="J1419" t="s">
        <v>26</v>
      </c>
      <c r="K1419" s="57"/>
      <c r="L1419" s="31"/>
      <c r="M1419" s="31"/>
      <c r="N1419" s="31"/>
      <c r="O1419" s="31"/>
      <c r="S1419" s="57"/>
      <c r="X1419" s="57"/>
    </row>
    <row r="1420" spans="1:24" hidden="1" x14ac:dyDescent="0.35">
      <c r="A1420">
        <v>1416</v>
      </c>
      <c r="B1420">
        <v>1417</v>
      </c>
      <c r="C1420">
        <v>146.101224263999</v>
      </c>
      <c r="D1420">
        <v>-17.6536032455999</v>
      </c>
      <c r="G1420" s="92"/>
      <c r="I1420">
        <v>8</v>
      </c>
      <c r="J1420" t="s">
        <v>26</v>
      </c>
      <c r="K1420" s="57"/>
      <c r="L1420" s="31"/>
      <c r="M1420" s="31"/>
      <c r="N1420" s="31"/>
      <c r="O1420" s="31"/>
      <c r="S1420" s="57"/>
      <c r="X1420" s="57"/>
    </row>
    <row r="1421" spans="1:24" hidden="1" x14ac:dyDescent="0.35">
      <c r="A1421">
        <v>1417</v>
      </c>
      <c r="B1421">
        <v>1418</v>
      </c>
      <c r="C1421">
        <v>146.101142393</v>
      </c>
      <c r="D1421">
        <v>-17.6536384748999</v>
      </c>
      <c r="G1421" s="92"/>
      <c r="I1421">
        <v>8</v>
      </c>
      <c r="J1421" t="s">
        <v>26</v>
      </c>
      <c r="K1421" s="57"/>
      <c r="L1421" s="31"/>
      <c r="M1421" s="31"/>
      <c r="N1421" s="31"/>
      <c r="O1421" s="31"/>
      <c r="S1421" s="57"/>
      <c r="X1421" s="57"/>
    </row>
    <row r="1422" spans="1:24" hidden="1" x14ac:dyDescent="0.35">
      <c r="A1422">
        <v>1418</v>
      </c>
      <c r="B1422">
        <v>1419</v>
      </c>
      <c r="C1422">
        <v>146.10106210199899</v>
      </c>
      <c r="D1422">
        <v>-17.653676785799899</v>
      </c>
      <c r="G1422" s="92"/>
      <c r="I1422">
        <v>8</v>
      </c>
      <c r="J1422" t="s">
        <v>26</v>
      </c>
      <c r="K1422" s="57"/>
      <c r="L1422" s="31"/>
      <c r="M1422" s="31"/>
      <c r="N1422" s="31"/>
      <c r="O1422" s="31"/>
      <c r="S1422" s="57"/>
      <c r="X1422" s="57"/>
    </row>
    <row r="1423" spans="1:24" hidden="1" x14ac:dyDescent="0.35">
      <c r="A1423">
        <v>1419</v>
      </c>
      <c r="B1423">
        <v>1420</v>
      </c>
      <c r="C1423">
        <v>146.100982614999</v>
      </c>
      <c r="D1423">
        <v>-17.653716667200001</v>
      </c>
      <c r="G1423" s="92"/>
      <c r="I1423">
        <v>8</v>
      </c>
      <c r="J1423" t="s">
        <v>26</v>
      </c>
      <c r="K1423" s="57"/>
      <c r="L1423" s="31"/>
      <c r="M1423" s="31"/>
      <c r="N1423" s="31"/>
      <c r="O1423" s="31"/>
      <c r="S1423" s="57"/>
      <c r="X1423" s="57"/>
    </row>
    <row r="1424" spans="1:24" hidden="1" x14ac:dyDescent="0.35">
      <c r="A1424">
        <v>1420</v>
      </c>
      <c r="B1424">
        <v>1421</v>
      </c>
      <c r="C1424">
        <v>146.10090312899899</v>
      </c>
      <c r="D1424">
        <v>-17.653756548499899</v>
      </c>
      <c r="G1424" s="92"/>
      <c r="I1424">
        <v>8</v>
      </c>
      <c r="J1424" t="s">
        <v>26</v>
      </c>
      <c r="K1424" s="57"/>
      <c r="L1424" s="31"/>
      <c r="M1424" s="31"/>
      <c r="N1424" s="31"/>
      <c r="O1424" s="31"/>
      <c r="S1424" s="57"/>
      <c r="X1424" s="57"/>
    </row>
    <row r="1425" spans="1:24" hidden="1" x14ac:dyDescent="0.35">
      <c r="A1425">
        <v>1421</v>
      </c>
      <c r="B1425">
        <v>1422</v>
      </c>
      <c r="C1425">
        <v>146.100829841999</v>
      </c>
      <c r="D1425">
        <v>-17.6538049472999</v>
      </c>
      <c r="G1425" s="92"/>
      <c r="I1425">
        <v>8</v>
      </c>
      <c r="J1425" t="s">
        <v>26</v>
      </c>
      <c r="K1425" s="57"/>
      <c r="L1425" s="31"/>
      <c r="M1425" s="31"/>
      <c r="N1425" s="31"/>
      <c r="O1425" s="31"/>
      <c r="S1425" s="57"/>
      <c r="X1425" s="57"/>
    </row>
    <row r="1426" spans="1:24" hidden="1" x14ac:dyDescent="0.35">
      <c r="A1426">
        <v>1422</v>
      </c>
      <c r="B1426">
        <v>1423</v>
      </c>
      <c r="C1426">
        <v>146.100762793</v>
      </c>
      <c r="D1426">
        <v>-17.653861915499899</v>
      </c>
      <c r="G1426" s="92"/>
      <c r="I1426">
        <v>8</v>
      </c>
      <c r="J1426" t="s">
        <v>26</v>
      </c>
      <c r="K1426" s="57"/>
      <c r="L1426" s="31"/>
      <c r="M1426" s="31"/>
      <c r="N1426" s="31"/>
      <c r="O1426" s="31"/>
      <c r="S1426" s="57"/>
      <c r="X1426" s="57"/>
    </row>
    <row r="1427" spans="1:24" hidden="1" x14ac:dyDescent="0.35">
      <c r="A1427">
        <v>1423</v>
      </c>
      <c r="B1427">
        <v>1424</v>
      </c>
      <c r="C1427">
        <v>146.10069566499899</v>
      </c>
      <c r="D1427">
        <v>-17.6539188</v>
      </c>
      <c r="G1427" s="92"/>
      <c r="I1427">
        <v>8</v>
      </c>
      <c r="J1427" t="s">
        <v>26</v>
      </c>
      <c r="K1427" s="57"/>
      <c r="L1427" s="31"/>
      <c r="M1427" s="31"/>
      <c r="N1427" s="31"/>
      <c r="O1427" s="31"/>
      <c r="S1427" s="57"/>
      <c r="X1427" s="57"/>
    </row>
    <row r="1428" spans="1:24" hidden="1" x14ac:dyDescent="0.35">
      <c r="A1428">
        <v>1424</v>
      </c>
      <c r="B1428">
        <v>1425</v>
      </c>
      <c r="C1428">
        <v>146.100628419999</v>
      </c>
      <c r="D1428">
        <v>-17.6539755585999</v>
      </c>
      <c r="G1428" s="92"/>
      <c r="I1428">
        <v>8</v>
      </c>
      <c r="J1428" t="s">
        <v>26</v>
      </c>
      <c r="K1428" s="57"/>
      <c r="L1428" s="31"/>
      <c r="M1428" s="31"/>
      <c r="N1428" s="31"/>
      <c r="O1428" s="31"/>
      <c r="S1428" s="57"/>
      <c r="X1428" s="57"/>
    </row>
    <row r="1429" spans="1:24" hidden="1" x14ac:dyDescent="0.35">
      <c r="A1429">
        <v>1425</v>
      </c>
      <c r="B1429">
        <v>1426</v>
      </c>
      <c r="C1429">
        <v>146.10054546500001</v>
      </c>
      <c r="D1429">
        <v>-17.654007550900001</v>
      </c>
      <c r="G1429" s="92"/>
      <c r="I1429">
        <v>8</v>
      </c>
      <c r="J1429" t="s">
        <v>26</v>
      </c>
      <c r="K1429" s="57"/>
      <c r="L1429" s="31"/>
      <c r="M1429" s="31"/>
      <c r="N1429" s="31"/>
      <c r="O1429" s="31"/>
      <c r="S1429" s="57"/>
      <c r="X1429" s="57"/>
    </row>
    <row r="1430" spans="1:24" hidden="1" x14ac:dyDescent="0.35">
      <c r="A1430">
        <v>1426</v>
      </c>
      <c r="B1430">
        <v>1427</v>
      </c>
      <c r="C1430">
        <v>146.10046049100001</v>
      </c>
      <c r="D1430">
        <v>-17.6540353177</v>
      </c>
      <c r="G1430" s="92"/>
      <c r="I1430">
        <v>8</v>
      </c>
      <c r="J1430" t="s">
        <v>26</v>
      </c>
      <c r="K1430" s="57"/>
      <c r="L1430" s="31"/>
      <c r="M1430" s="31"/>
      <c r="N1430" s="31"/>
      <c r="O1430" s="31"/>
      <c r="S1430" s="57"/>
      <c r="X1430" s="57"/>
    </row>
    <row r="1431" spans="1:24" hidden="1" x14ac:dyDescent="0.35">
      <c r="A1431">
        <v>1427</v>
      </c>
      <c r="B1431">
        <v>1428</v>
      </c>
      <c r="C1431">
        <v>146.10037399199899</v>
      </c>
      <c r="D1431">
        <v>-17.654045482400001</v>
      </c>
      <c r="G1431" s="92"/>
      <c r="I1431">
        <v>8</v>
      </c>
      <c r="J1431" t="s">
        <v>26</v>
      </c>
      <c r="K1431" s="57"/>
      <c r="L1431" s="31"/>
      <c r="M1431" s="31"/>
      <c r="N1431" s="31"/>
      <c r="O1431" s="31"/>
      <c r="S1431" s="57"/>
      <c r="X1431" s="57"/>
    </row>
    <row r="1432" spans="1:24" hidden="1" x14ac:dyDescent="0.35">
      <c r="A1432">
        <v>1428</v>
      </c>
      <c r="B1432">
        <v>1429</v>
      </c>
      <c r="C1432">
        <v>146.100285391</v>
      </c>
      <c r="D1432">
        <v>-17.654031366200002</v>
      </c>
      <c r="G1432" s="92"/>
      <c r="I1432">
        <v>8</v>
      </c>
      <c r="J1432" t="s">
        <v>26</v>
      </c>
      <c r="K1432" s="57"/>
      <c r="L1432" s="31"/>
      <c r="M1432" s="31"/>
      <c r="N1432" s="31"/>
      <c r="O1432" s="31"/>
      <c r="S1432" s="57"/>
      <c r="X1432" s="57"/>
    </row>
    <row r="1433" spans="1:24" hidden="1" x14ac:dyDescent="0.35">
      <c r="A1433">
        <v>1429</v>
      </c>
      <c r="B1433">
        <v>1430</v>
      </c>
      <c r="C1433">
        <v>146.100196788999</v>
      </c>
      <c r="D1433">
        <v>-17.6540172499999</v>
      </c>
      <c r="G1433" s="92"/>
      <c r="I1433">
        <v>8</v>
      </c>
      <c r="J1433" t="s">
        <v>26</v>
      </c>
      <c r="K1433" s="57"/>
      <c r="L1433" s="31"/>
      <c r="M1433" s="31"/>
      <c r="N1433" s="31"/>
      <c r="O1433" s="31"/>
      <c r="S1433" s="57"/>
      <c r="X1433" s="57"/>
    </row>
    <row r="1434" spans="1:24" hidden="1" x14ac:dyDescent="0.35">
      <c r="A1434">
        <v>1430</v>
      </c>
      <c r="B1434">
        <v>1431</v>
      </c>
      <c r="C1434">
        <v>146.100115791999</v>
      </c>
      <c r="D1434">
        <v>-17.653981578500002</v>
      </c>
      <c r="G1434" s="92"/>
      <c r="I1434">
        <v>8</v>
      </c>
      <c r="J1434" t="s">
        <v>26</v>
      </c>
      <c r="K1434" s="57"/>
      <c r="L1434" s="31"/>
      <c r="M1434" s="31"/>
      <c r="N1434" s="31"/>
      <c r="O1434" s="31"/>
      <c r="S1434" s="57"/>
      <c r="X1434" s="57"/>
    </row>
    <row r="1435" spans="1:24" hidden="1" x14ac:dyDescent="0.35">
      <c r="A1435">
        <v>1431</v>
      </c>
      <c r="B1435">
        <v>1432</v>
      </c>
      <c r="C1435">
        <v>146.100036235</v>
      </c>
      <c r="D1435">
        <v>-17.6539418248</v>
      </c>
      <c r="G1435" s="92"/>
      <c r="I1435">
        <v>8</v>
      </c>
      <c r="J1435" t="s">
        <v>26</v>
      </c>
      <c r="K1435" s="57"/>
      <c r="L1435" s="31"/>
      <c r="M1435" s="31"/>
      <c r="N1435" s="31"/>
      <c r="O1435" s="31"/>
      <c r="S1435" s="57"/>
      <c r="X1435" s="57"/>
    </row>
    <row r="1436" spans="1:24" hidden="1" x14ac:dyDescent="0.35">
      <c r="A1436">
        <v>1432</v>
      </c>
      <c r="B1436">
        <v>1433</v>
      </c>
      <c r="C1436">
        <v>146.09995667800001</v>
      </c>
      <c r="D1436">
        <v>-17.653902071200001</v>
      </c>
      <c r="G1436" s="92"/>
      <c r="I1436">
        <v>8</v>
      </c>
      <c r="J1436" t="s">
        <v>26</v>
      </c>
      <c r="K1436" s="57"/>
      <c r="L1436" s="31"/>
      <c r="M1436" s="31"/>
      <c r="N1436" s="31"/>
      <c r="O1436" s="31"/>
      <c r="S1436" s="57"/>
      <c r="X1436" s="57"/>
    </row>
    <row r="1437" spans="1:24" hidden="1" x14ac:dyDescent="0.35">
      <c r="A1437">
        <v>1433</v>
      </c>
      <c r="B1437">
        <v>1434</v>
      </c>
      <c r="C1437">
        <v>146.09988806300001</v>
      </c>
      <c r="D1437">
        <v>-17.653847619099899</v>
      </c>
      <c r="G1437" s="92"/>
      <c r="I1437">
        <v>8</v>
      </c>
      <c r="J1437" t="s">
        <v>26</v>
      </c>
      <c r="K1437" s="57"/>
      <c r="L1437" s="31"/>
      <c r="M1437" s="31"/>
      <c r="N1437" s="31"/>
      <c r="O1437" s="31"/>
      <c r="S1437" s="57"/>
      <c r="X1437" s="57"/>
    </row>
    <row r="1438" spans="1:24" hidden="1" x14ac:dyDescent="0.35">
      <c r="A1438">
        <v>1434</v>
      </c>
      <c r="B1438">
        <v>1435</v>
      </c>
      <c r="C1438">
        <v>146.099822394</v>
      </c>
      <c r="D1438">
        <v>-17.6537892087999</v>
      </c>
      <c r="G1438" s="92"/>
      <c r="I1438">
        <v>8</v>
      </c>
      <c r="J1438" t="s">
        <v>26</v>
      </c>
      <c r="K1438" s="57"/>
      <c r="L1438" s="31"/>
      <c r="M1438" s="31"/>
      <c r="N1438" s="31"/>
      <c r="O1438" s="31"/>
      <c r="S1438" s="57"/>
      <c r="X1438" s="57"/>
    </row>
    <row r="1439" spans="1:24" hidden="1" x14ac:dyDescent="0.35">
      <c r="A1439">
        <v>1435</v>
      </c>
      <c r="B1439">
        <v>1436</v>
      </c>
      <c r="C1439">
        <v>146.09975672600001</v>
      </c>
      <c r="D1439">
        <v>-17.6537307985</v>
      </c>
      <c r="G1439" s="92"/>
      <c r="I1439">
        <v>8</v>
      </c>
      <c r="J1439" t="s">
        <v>26</v>
      </c>
      <c r="K1439" s="57"/>
      <c r="L1439" s="31"/>
      <c r="M1439" s="31"/>
      <c r="N1439" s="31"/>
      <c r="O1439" s="31"/>
      <c r="S1439" s="57"/>
      <c r="X1439" s="57"/>
    </row>
    <row r="1440" spans="1:24" hidden="1" x14ac:dyDescent="0.35">
      <c r="A1440">
        <v>1436</v>
      </c>
      <c r="B1440">
        <v>1437</v>
      </c>
      <c r="C1440">
        <v>146.099691057</v>
      </c>
      <c r="D1440">
        <v>-17.6536723882</v>
      </c>
      <c r="G1440" s="92"/>
      <c r="I1440">
        <v>8</v>
      </c>
      <c r="J1440" t="s">
        <v>26</v>
      </c>
      <c r="K1440" s="57"/>
      <c r="L1440" s="31"/>
      <c r="M1440" s="31"/>
      <c r="N1440" s="31"/>
      <c r="O1440" s="31"/>
      <c r="S1440" s="57"/>
      <c r="X1440" s="57"/>
    </row>
    <row r="1441" spans="1:24" hidden="1" x14ac:dyDescent="0.35">
      <c r="A1441">
        <v>1437</v>
      </c>
      <c r="B1441">
        <v>1438</v>
      </c>
      <c r="C1441">
        <v>146.09965081000001</v>
      </c>
      <c r="D1441">
        <v>-17.653598803600001</v>
      </c>
      <c r="G1441" s="92"/>
      <c r="I1441">
        <v>8</v>
      </c>
      <c r="J1441" t="s">
        <v>26</v>
      </c>
      <c r="K1441" s="57"/>
      <c r="L1441" s="31"/>
      <c r="M1441" s="31"/>
      <c r="N1441" s="31"/>
      <c r="O1441" s="31"/>
      <c r="S1441" s="57"/>
      <c r="X1441" s="57"/>
    </row>
    <row r="1442" spans="1:24" hidden="1" x14ac:dyDescent="0.35">
      <c r="A1442">
        <v>1438</v>
      </c>
      <c r="B1442">
        <v>1439</v>
      </c>
      <c r="C1442">
        <v>146.099624315</v>
      </c>
      <c r="D1442">
        <v>-17.6535170103</v>
      </c>
      <c r="G1442" s="92"/>
      <c r="I1442">
        <v>8</v>
      </c>
      <c r="J1442" t="s">
        <v>26</v>
      </c>
      <c r="K1442" s="57"/>
      <c r="L1442" s="31"/>
      <c r="M1442" s="31"/>
      <c r="N1442" s="31"/>
      <c r="O1442" s="31"/>
      <c r="S1442" s="57"/>
      <c r="X1442" s="57"/>
    </row>
    <row r="1443" spans="1:24" hidden="1" x14ac:dyDescent="0.35">
      <c r="A1443">
        <v>1439</v>
      </c>
      <c r="B1443">
        <v>1440</v>
      </c>
      <c r="C1443">
        <v>146.099597821</v>
      </c>
      <c r="D1443">
        <v>-17.653435216999899</v>
      </c>
      <c r="G1443" s="92"/>
      <c r="I1443">
        <v>8</v>
      </c>
      <c r="J1443" t="s">
        <v>26</v>
      </c>
      <c r="K1443" s="57"/>
      <c r="L1443" s="31"/>
      <c r="M1443" s="31"/>
      <c r="N1443" s="31"/>
      <c r="O1443" s="31"/>
      <c r="S1443" s="57"/>
      <c r="X1443" s="57"/>
    </row>
    <row r="1444" spans="1:24" hidden="1" x14ac:dyDescent="0.35">
      <c r="A1444">
        <v>1440</v>
      </c>
      <c r="B1444">
        <v>1441</v>
      </c>
      <c r="C1444">
        <v>146.09958426200001</v>
      </c>
      <c r="D1444">
        <v>-17.653352239699899</v>
      </c>
      <c r="G1444" s="92"/>
      <c r="I1444">
        <v>8</v>
      </c>
      <c r="J1444" t="s">
        <v>26</v>
      </c>
      <c r="K1444" s="57"/>
      <c r="L1444" s="31"/>
      <c r="M1444" s="31"/>
      <c r="N1444" s="31"/>
      <c r="O1444" s="31"/>
      <c r="S1444" s="57"/>
      <c r="X1444" s="57"/>
    </row>
    <row r="1445" spans="1:24" hidden="1" x14ac:dyDescent="0.35">
      <c r="A1445">
        <v>1441</v>
      </c>
      <c r="B1445">
        <v>1442</v>
      </c>
      <c r="C1445">
        <v>146.09959393700001</v>
      </c>
      <c r="D1445">
        <v>-17.653267136299899</v>
      </c>
      <c r="G1445" s="92"/>
      <c r="I1445">
        <v>8</v>
      </c>
      <c r="J1445" t="s">
        <v>26</v>
      </c>
      <c r="K1445" s="57"/>
      <c r="L1445" s="31"/>
      <c r="M1445" s="31"/>
      <c r="N1445" s="31"/>
      <c r="O1445" s="31"/>
      <c r="S1445" s="57"/>
      <c r="X1445" s="57"/>
    </row>
    <row r="1446" spans="1:24" hidden="1" x14ac:dyDescent="0.35">
      <c r="A1446">
        <v>1442</v>
      </c>
      <c r="B1446">
        <v>1443</v>
      </c>
      <c r="C1446">
        <v>146.099603610999</v>
      </c>
      <c r="D1446">
        <v>-17.653182032899899</v>
      </c>
      <c r="G1446" s="92"/>
      <c r="I1446">
        <v>8</v>
      </c>
      <c r="J1446" t="s">
        <v>26</v>
      </c>
      <c r="K1446" s="57"/>
      <c r="L1446" s="31"/>
      <c r="M1446" s="31"/>
      <c r="N1446" s="31"/>
      <c r="O1446" s="31"/>
      <c r="S1446" s="57"/>
      <c r="X1446" s="57"/>
    </row>
    <row r="1447" spans="1:24" hidden="1" x14ac:dyDescent="0.35">
      <c r="A1447">
        <v>1443</v>
      </c>
      <c r="B1447">
        <v>1444</v>
      </c>
      <c r="C1447">
        <v>146.099613285</v>
      </c>
      <c r="D1447">
        <v>-17.6530969294</v>
      </c>
      <c r="G1447" s="92"/>
      <c r="I1447">
        <v>8</v>
      </c>
      <c r="J1447" t="s">
        <v>26</v>
      </c>
      <c r="K1447" s="57"/>
      <c r="L1447" s="31"/>
      <c r="M1447" s="31"/>
      <c r="N1447" s="31"/>
      <c r="O1447" s="31"/>
      <c r="S1447" s="57"/>
      <c r="X1447" s="57"/>
    </row>
    <row r="1448" spans="1:24" hidden="1" x14ac:dyDescent="0.35">
      <c r="A1448">
        <v>1444</v>
      </c>
      <c r="B1448">
        <v>1445</v>
      </c>
      <c r="C1448">
        <v>146.09961953800001</v>
      </c>
      <c r="D1448">
        <v>-17.653011642100001</v>
      </c>
      <c r="G1448" s="92"/>
      <c r="I1448">
        <v>8</v>
      </c>
      <c r="J1448" t="s">
        <v>26</v>
      </c>
      <c r="K1448" s="57"/>
      <c r="L1448" s="31"/>
      <c r="M1448" s="31"/>
      <c r="N1448" s="31"/>
      <c r="O1448" s="31"/>
      <c r="S1448" s="57"/>
      <c r="X1448" s="57"/>
    </row>
    <row r="1449" spans="1:24" hidden="1" x14ac:dyDescent="0.35">
      <c r="A1449">
        <v>1445</v>
      </c>
      <c r="B1449">
        <v>1446</v>
      </c>
      <c r="C1449">
        <v>146.099619963999</v>
      </c>
      <c r="D1449">
        <v>-17.652926041600001</v>
      </c>
      <c r="G1449" s="92"/>
      <c r="I1449">
        <v>8</v>
      </c>
      <c r="J1449" t="s">
        <v>26</v>
      </c>
      <c r="K1449" s="57"/>
      <c r="L1449" s="31"/>
      <c r="M1449" s="31"/>
      <c r="N1449" s="31"/>
      <c r="O1449" s="31"/>
      <c r="S1449" s="57"/>
      <c r="X1449" s="57"/>
    </row>
    <row r="1450" spans="1:24" hidden="1" x14ac:dyDescent="0.35">
      <c r="A1450">
        <v>1446</v>
      </c>
      <c r="B1450">
        <v>1447</v>
      </c>
      <c r="C1450">
        <v>146.099620388999</v>
      </c>
      <c r="D1450">
        <v>-17.6528404411</v>
      </c>
      <c r="G1450" s="92"/>
      <c r="I1450">
        <v>8</v>
      </c>
      <c r="J1450" t="s">
        <v>26</v>
      </c>
      <c r="K1450" s="57"/>
      <c r="L1450" s="31"/>
      <c r="M1450" s="31"/>
      <c r="N1450" s="31"/>
      <c r="O1450" s="31"/>
      <c r="S1450" s="57"/>
      <c r="X1450" s="57"/>
    </row>
    <row r="1451" spans="1:24" hidden="1" x14ac:dyDescent="0.35">
      <c r="A1451">
        <v>1447</v>
      </c>
      <c r="B1451">
        <v>1448</v>
      </c>
      <c r="C1451">
        <v>146.099620813999</v>
      </c>
      <c r="D1451">
        <v>-17.652754840499899</v>
      </c>
      <c r="G1451" s="92"/>
      <c r="I1451">
        <v>8</v>
      </c>
      <c r="J1451" t="s">
        <v>26</v>
      </c>
      <c r="K1451" s="57"/>
      <c r="L1451" s="31"/>
      <c r="M1451" s="31"/>
      <c r="N1451" s="31"/>
      <c r="O1451" s="31"/>
      <c r="S1451" s="57"/>
      <c r="X1451" s="57"/>
    </row>
    <row r="1452" spans="1:24" hidden="1" x14ac:dyDescent="0.35">
      <c r="A1452">
        <v>1448</v>
      </c>
      <c r="B1452">
        <v>1449</v>
      </c>
      <c r="C1452">
        <v>146.099607499</v>
      </c>
      <c r="D1452">
        <v>-17.652671288899899</v>
      </c>
      <c r="G1452" s="92"/>
      <c r="I1452">
        <v>8</v>
      </c>
      <c r="J1452" t="s">
        <v>26</v>
      </c>
      <c r="K1452" s="57"/>
      <c r="L1452" s="31"/>
      <c r="M1452" s="31"/>
      <c r="N1452" s="31"/>
      <c r="O1452" s="31"/>
      <c r="S1452" s="57"/>
      <c r="X1452" s="57"/>
    </row>
    <row r="1453" spans="1:24" hidden="1" x14ac:dyDescent="0.35">
      <c r="A1453">
        <v>1449</v>
      </c>
      <c r="B1453">
        <v>1450</v>
      </c>
      <c r="C1453">
        <v>146.09957965199899</v>
      </c>
      <c r="D1453">
        <v>-17.6525899039999</v>
      </c>
      <c r="G1453" s="92"/>
      <c r="I1453">
        <v>8</v>
      </c>
      <c r="J1453" t="s">
        <v>26</v>
      </c>
      <c r="K1453" s="57"/>
      <c r="L1453" s="31"/>
      <c r="M1453" s="31"/>
      <c r="N1453" s="31"/>
      <c r="O1453" s="31"/>
      <c r="S1453" s="57"/>
      <c r="X1453" s="57"/>
    </row>
    <row r="1454" spans="1:24" hidden="1" x14ac:dyDescent="0.35">
      <c r="A1454">
        <v>1450</v>
      </c>
      <c r="B1454">
        <v>1451</v>
      </c>
      <c r="C1454">
        <v>146.099551805999</v>
      </c>
      <c r="D1454">
        <v>-17.6525085191</v>
      </c>
      <c r="G1454" s="92"/>
      <c r="I1454">
        <v>8</v>
      </c>
      <c r="J1454" t="s">
        <v>26</v>
      </c>
      <c r="K1454" s="57"/>
      <c r="L1454" s="31"/>
      <c r="M1454" s="31"/>
      <c r="N1454" s="31"/>
      <c r="O1454" s="31"/>
      <c r="S1454" s="57"/>
      <c r="X1454" s="57"/>
    </row>
    <row r="1455" spans="1:24" hidden="1" x14ac:dyDescent="0.35">
      <c r="A1455">
        <v>1451</v>
      </c>
      <c r="B1455">
        <v>1452</v>
      </c>
      <c r="C1455">
        <v>146.09951641999899</v>
      </c>
      <c r="D1455">
        <v>-17.6524305850999</v>
      </c>
      <c r="G1455" s="92"/>
      <c r="I1455">
        <v>8</v>
      </c>
      <c r="J1455" t="s">
        <v>26</v>
      </c>
      <c r="K1455" s="57"/>
      <c r="L1455" s="31"/>
      <c r="M1455" s="31"/>
      <c r="N1455" s="31"/>
      <c r="O1455" s="31"/>
      <c r="S1455" s="57"/>
      <c r="X1455" s="57"/>
    </row>
    <row r="1456" spans="1:24" hidden="1" x14ac:dyDescent="0.35">
      <c r="A1456">
        <v>1452</v>
      </c>
      <c r="B1456">
        <v>1453</v>
      </c>
      <c r="C1456">
        <v>146.099467156999</v>
      </c>
      <c r="D1456">
        <v>-17.6523590028999</v>
      </c>
      <c r="G1456" s="92"/>
      <c r="I1456">
        <v>8</v>
      </c>
      <c r="J1456" t="s">
        <v>26</v>
      </c>
      <c r="K1456" s="57"/>
      <c r="L1456" s="31"/>
      <c r="M1456" s="31"/>
      <c r="N1456" s="31"/>
      <c r="O1456" s="31"/>
      <c r="S1456" s="57"/>
      <c r="X1456" s="57"/>
    </row>
    <row r="1457" spans="1:24" hidden="1" x14ac:dyDescent="0.35">
      <c r="A1457">
        <v>1453</v>
      </c>
      <c r="B1457">
        <v>1454</v>
      </c>
      <c r="C1457">
        <v>146.09941789499899</v>
      </c>
      <c r="D1457">
        <v>-17.652287420699899</v>
      </c>
      <c r="G1457" s="92"/>
      <c r="I1457">
        <v>8</v>
      </c>
      <c r="J1457" t="s">
        <v>26</v>
      </c>
      <c r="K1457" s="57"/>
      <c r="L1457" s="31"/>
      <c r="M1457" s="31"/>
      <c r="N1457" s="31"/>
      <c r="O1457" s="31"/>
      <c r="S1457" s="57"/>
      <c r="X1457" s="57"/>
    </row>
    <row r="1458" spans="1:24" hidden="1" x14ac:dyDescent="0.35">
      <c r="A1458">
        <v>1454</v>
      </c>
      <c r="B1458">
        <v>1455</v>
      </c>
      <c r="C1458">
        <v>146.099368631999</v>
      </c>
      <c r="D1458">
        <v>-17.652215838499899</v>
      </c>
      <c r="G1458" s="92"/>
      <c r="I1458">
        <v>8</v>
      </c>
      <c r="J1458" t="s">
        <v>26</v>
      </c>
      <c r="K1458" s="57"/>
      <c r="L1458" s="31"/>
      <c r="M1458" s="31"/>
      <c r="N1458" s="31"/>
      <c r="O1458" s="31"/>
      <c r="S1458" s="57"/>
      <c r="X1458" s="57"/>
    </row>
    <row r="1459" spans="1:24" hidden="1" x14ac:dyDescent="0.35">
      <c r="A1459">
        <v>1455</v>
      </c>
      <c r="B1459">
        <v>1456</v>
      </c>
      <c r="C1459">
        <v>146.099313445999</v>
      </c>
      <c r="D1459">
        <v>-17.6521483948999</v>
      </c>
      <c r="G1459" s="92"/>
      <c r="I1459">
        <v>8</v>
      </c>
      <c r="J1459" t="s">
        <v>26</v>
      </c>
      <c r="K1459" s="57"/>
      <c r="L1459" s="31"/>
      <c r="M1459" s="31"/>
      <c r="N1459" s="31"/>
      <c r="O1459" s="31"/>
      <c r="S1459" s="57"/>
      <c r="X1459" s="57"/>
    </row>
    <row r="1460" spans="1:24" hidden="1" x14ac:dyDescent="0.35">
      <c r="A1460">
        <v>1456</v>
      </c>
      <c r="B1460">
        <v>1457</v>
      </c>
      <c r="C1460">
        <v>146.09925662000001</v>
      </c>
      <c r="D1460">
        <v>-17.652082096800001</v>
      </c>
      <c r="G1460" s="92"/>
      <c r="I1460">
        <v>8</v>
      </c>
      <c r="J1460" t="s">
        <v>26</v>
      </c>
      <c r="K1460" s="57"/>
      <c r="L1460" s="31"/>
      <c r="M1460" s="31"/>
      <c r="N1460" s="31"/>
      <c r="O1460" s="31"/>
      <c r="S1460" s="57"/>
      <c r="X1460" s="57"/>
    </row>
    <row r="1461" spans="1:24" hidden="1" x14ac:dyDescent="0.35">
      <c r="A1461">
        <v>1457</v>
      </c>
      <c r="B1461">
        <v>1458</v>
      </c>
      <c r="C1461">
        <v>146.09919979399899</v>
      </c>
      <c r="D1461">
        <v>-17.6520157986999</v>
      </c>
      <c r="G1461" s="92"/>
      <c r="I1461">
        <v>8</v>
      </c>
      <c r="J1461" t="s">
        <v>26</v>
      </c>
      <c r="K1461" s="57"/>
      <c r="L1461" s="31"/>
      <c r="M1461" s="31"/>
      <c r="N1461" s="31"/>
      <c r="O1461" s="31"/>
      <c r="S1461" s="57"/>
      <c r="X1461" s="57"/>
    </row>
    <row r="1462" spans="1:24" hidden="1" x14ac:dyDescent="0.35">
      <c r="A1462">
        <v>1458</v>
      </c>
      <c r="B1462">
        <v>1459</v>
      </c>
      <c r="C1462">
        <v>146.09914296900001</v>
      </c>
      <c r="D1462">
        <v>-17.651949500499899</v>
      </c>
      <c r="G1462" s="92"/>
      <c r="I1462">
        <v>8</v>
      </c>
      <c r="J1462" t="s">
        <v>26</v>
      </c>
      <c r="K1462" s="57"/>
      <c r="L1462" s="31"/>
      <c r="M1462" s="31"/>
      <c r="N1462" s="31"/>
      <c r="O1462" s="31"/>
      <c r="S1462" s="57"/>
      <c r="X1462" s="57"/>
    </row>
    <row r="1463" spans="1:24" hidden="1" x14ac:dyDescent="0.35">
      <c r="A1463">
        <v>1459</v>
      </c>
      <c r="B1463">
        <v>1460</v>
      </c>
      <c r="C1463">
        <v>146.099086142999</v>
      </c>
      <c r="D1463">
        <v>-17.651883202400001</v>
      </c>
      <c r="G1463" s="92"/>
      <c r="I1463">
        <v>8</v>
      </c>
      <c r="J1463" t="s">
        <v>26</v>
      </c>
      <c r="K1463" s="57"/>
      <c r="L1463" s="31"/>
      <c r="M1463" s="31"/>
      <c r="N1463" s="31"/>
      <c r="O1463" s="31"/>
      <c r="S1463" s="57"/>
      <c r="X1463" s="57"/>
    </row>
    <row r="1464" spans="1:24" hidden="1" x14ac:dyDescent="0.35">
      <c r="A1464">
        <v>1460</v>
      </c>
      <c r="B1464">
        <v>1461</v>
      </c>
      <c r="C1464">
        <v>146.099029317</v>
      </c>
      <c r="D1464">
        <v>-17.6518169042</v>
      </c>
      <c r="G1464" s="92"/>
      <c r="I1464">
        <v>8</v>
      </c>
      <c r="J1464" t="s">
        <v>26</v>
      </c>
      <c r="K1464" s="57"/>
      <c r="L1464" s="31"/>
      <c r="M1464" s="31"/>
      <c r="N1464" s="31"/>
      <c r="O1464" s="31"/>
      <c r="S1464" s="57"/>
      <c r="X1464" s="57"/>
    </row>
    <row r="1465" spans="1:24" hidden="1" x14ac:dyDescent="0.35">
      <c r="A1465">
        <v>1461</v>
      </c>
      <c r="B1465">
        <v>1462</v>
      </c>
      <c r="C1465">
        <v>146.09897249100001</v>
      </c>
      <c r="D1465">
        <v>-17.651750606</v>
      </c>
      <c r="G1465" s="92"/>
      <c r="I1465">
        <v>8</v>
      </c>
      <c r="J1465" t="s">
        <v>26</v>
      </c>
      <c r="K1465" s="57"/>
      <c r="L1465" s="31"/>
      <c r="M1465" s="31"/>
      <c r="N1465" s="31"/>
      <c r="O1465" s="31"/>
      <c r="S1465" s="57"/>
      <c r="X1465" s="57"/>
    </row>
    <row r="1466" spans="1:24" hidden="1" x14ac:dyDescent="0.35">
      <c r="A1466">
        <v>1462</v>
      </c>
      <c r="B1466">
        <v>1463</v>
      </c>
      <c r="C1466">
        <v>146.09891566600001</v>
      </c>
      <c r="D1466">
        <v>-17.651684307699899</v>
      </c>
      <c r="G1466" s="92"/>
      <c r="I1466">
        <v>8</v>
      </c>
      <c r="J1466" t="s">
        <v>26</v>
      </c>
      <c r="K1466" s="57"/>
      <c r="L1466" s="31"/>
      <c r="M1466" s="31"/>
      <c r="N1466" s="31"/>
      <c r="O1466" s="31"/>
      <c r="S1466" s="57"/>
      <c r="X1466" s="57"/>
    </row>
    <row r="1467" spans="1:24" hidden="1" x14ac:dyDescent="0.35">
      <c r="A1467">
        <v>1463</v>
      </c>
      <c r="B1467">
        <v>1464</v>
      </c>
      <c r="C1467">
        <v>146.098858839999</v>
      </c>
      <c r="D1467">
        <v>-17.651618009500002</v>
      </c>
      <c r="G1467" s="92"/>
      <c r="I1467">
        <v>8</v>
      </c>
      <c r="J1467" t="s">
        <v>26</v>
      </c>
      <c r="K1467" s="57"/>
      <c r="L1467" s="31"/>
      <c r="M1467" s="31"/>
      <c r="N1467" s="31"/>
      <c r="O1467" s="31"/>
      <c r="S1467" s="57"/>
      <c r="X1467" s="57"/>
    </row>
    <row r="1468" spans="1:24" hidden="1" x14ac:dyDescent="0.35">
      <c r="A1468">
        <v>1464</v>
      </c>
      <c r="B1468">
        <v>1465</v>
      </c>
      <c r="C1468">
        <v>146.098802014</v>
      </c>
      <c r="D1468">
        <v>-17.6515517112</v>
      </c>
      <c r="G1468" s="92"/>
      <c r="I1468">
        <v>8</v>
      </c>
      <c r="J1468" t="s">
        <v>26</v>
      </c>
      <c r="K1468" s="57"/>
      <c r="L1468" s="31"/>
      <c r="M1468" s="31"/>
      <c r="N1468" s="31"/>
      <c r="O1468" s="31"/>
      <c r="S1468" s="57"/>
      <c r="X1468" s="57"/>
    </row>
    <row r="1469" spans="1:24" hidden="1" x14ac:dyDescent="0.35">
      <c r="A1469">
        <v>1465</v>
      </c>
      <c r="B1469">
        <v>1466</v>
      </c>
      <c r="C1469">
        <v>146.09874647000001</v>
      </c>
      <c r="D1469">
        <v>-17.6514844408999</v>
      </c>
      <c r="G1469" s="92"/>
      <c r="I1469">
        <v>8</v>
      </c>
      <c r="J1469" t="s">
        <v>26</v>
      </c>
      <c r="K1469" s="57"/>
      <c r="L1469" s="31"/>
      <c r="M1469" s="31"/>
      <c r="N1469" s="31"/>
      <c r="O1469" s="31"/>
      <c r="S1469" s="57"/>
      <c r="X1469" s="57"/>
    </row>
    <row r="1470" spans="1:24" hidden="1" x14ac:dyDescent="0.35">
      <c r="A1470">
        <v>1466</v>
      </c>
      <c r="B1470">
        <v>1467</v>
      </c>
      <c r="C1470">
        <v>146.098691438999</v>
      </c>
      <c r="D1470">
        <v>-17.6514167815</v>
      </c>
      <c r="G1470" s="92"/>
      <c r="I1470">
        <v>8</v>
      </c>
      <c r="J1470" t="s">
        <v>26</v>
      </c>
      <c r="K1470" s="57"/>
      <c r="L1470" s="31"/>
      <c r="M1470" s="31"/>
      <c r="N1470" s="31"/>
      <c r="O1470" s="31"/>
      <c r="S1470" s="57"/>
      <c r="X1470" s="57"/>
    </row>
    <row r="1471" spans="1:24" hidden="1" x14ac:dyDescent="0.35">
      <c r="A1471">
        <v>1467</v>
      </c>
      <c r="B1471">
        <v>1468</v>
      </c>
      <c r="C1471">
        <v>146.098636408999</v>
      </c>
      <c r="D1471">
        <v>-17.651349122100001</v>
      </c>
      <c r="G1471" s="92"/>
      <c r="I1471">
        <v>8</v>
      </c>
      <c r="J1471" t="s">
        <v>26</v>
      </c>
      <c r="K1471" s="57"/>
      <c r="L1471" s="31"/>
      <c r="M1471" s="31"/>
      <c r="N1471" s="31"/>
      <c r="O1471" s="31"/>
      <c r="S1471" s="57"/>
      <c r="X1471" s="57"/>
    </row>
    <row r="1472" spans="1:24" hidden="1" x14ac:dyDescent="0.35">
      <c r="A1472">
        <v>1468</v>
      </c>
      <c r="B1472">
        <v>1469</v>
      </c>
      <c r="C1472">
        <v>146.09858137800001</v>
      </c>
      <c r="D1472">
        <v>-17.651281462699899</v>
      </c>
      <c r="G1472" s="92"/>
      <c r="I1472">
        <v>8</v>
      </c>
      <c r="J1472" t="s">
        <v>26</v>
      </c>
      <c r="K1472" s="57"/>
      <c r="L1472" s="31"/>
      <c r="M1472" s="31"/>
      <c r="N1472" s="31"/>
      <c r="O1472" s="31"/>
      <c r="S1472" s="57"/>
      <c r="X1472" s="57"/>
    </row>
    <row r="1473" spans="1:24" hidden="1" x14ac:dyDescent="0.35">
      <c r="A1473">
        <v>1469</v>
      </c>
      <c r="B1473">
        <v>1470</v>
      </c>
      <c r="C1473">
        <v>146.09852634699899</v>
      </c>
      <c r="D1473">
        <v>-17.651213803200001</v>
      </c>
      <c r="G1473" s="92"/>
      <c r="I1473">
        <v>8</v>
      </c>
      <c r="J1473" t="s">
        <v>26</v>
      </c>
      <c r="K1473" s="57"/>
      <c r="L1473" s="31"/>
      <c r="M1473" s="31"/>
      <c r="N1473" s="31"/>
      <c r="O1473" s="31"/>
      <c r="S1473" s="57"/>
      <c r="X1473" s="57"/>
    </row>
    <row r="1474" spans="1:24" hidden="1" x14ac:dyDescent="0.35">
      <c r="A1474">
        <v>1470</v>
      </c>
      <c r="B1474">
        <v>1471</v>
      </c>
      <c r="C1474">
        <v>146.098471316</v>
      </c>
      <c r="D1474">
        <v>-17.651146143799899</v>
      </c>
      <c r="G1474" s="92"/>
      <c r="I1474">
        <v>8</v>
      </c>
      <c r="J1474" t="s">
        <v>26</v>
      </c>
      <c r="K1474" s="57"/>
      <c r="L1474" s="31"/>
      <c r="M1474" s="31"/>
      <c r="N1474" s="31"/>
      <c r="O1474" s="31"/>
      <c r="S1474" s="57"/>
      <c r="X1474" s="57"/>
    </row>
    <row r="1475" spans="1:24" hidden="1" x14ac:dyDescent="0.35">
      <c r="A1475">
        <v>1471</v>
      </c>
      <c r="B1475">
        <v>1472</v>
      </c>
      <c r="C1475">
        <v>146.098416286</v>
      </c>
      <c r="D1475">
        <v>-17.651078484300001</v>
      </c>
      <c r="G1475" s="92"/>
      <c r="I1475">
        <v>8</v>
      </c>
      <c r="J1475" t="s">
        <v>26</v>
      </c>
      <c r="K1475" s="57"/>
      <c r="L1475" s="31"/>
      <c r="M1475" s="31"/>
      <c r="N1475" s="31"/>
      <c r="O1475" s="31"/>
      <c r="S1475" s="57"/>
      <c r="X1475" s="57"/>
    </row>
    <row r="1476" spans="1:24" hidden="1" x14ac:dyDescent="0.35">
      <c r="A1476">
        <v>1472</v>
      </c>
      <c r="B1476">
        <v>1473</v>
      </c>
      <c r="C1476">
        <v>146.09836125499899</v>
      </c>
      <c r="D1476">
        <v>-17.651010824699899</v>
      </c>
      <c r="G1476" s="92"/>
      <c r="I1476">
        <v>8</v>
      </c>
      <c r="J1476" t="s">
        <v>26</v>
      </c>
      <c r="K1476" s="57"/>
      <c r="L1476" s="31"/>
      <c r="M1476" s="31"/>
      <c r="N1476" s="31"/>
      <c r="O1476" s="31"/>
      <c r="S1476" s="57"/>
      <c r="X1476" s="57"/>
    </row>
    <row r="1477" spans="1:24" hidden="1" x14ac:dyDescent="0.35">
      <c r="A1477">
        <v>1473</v>
      </c>
      <c r="B1477">
        <v>1474</v>
      </c>
      <c r="C1477">
        <v>146.09830735899899</v>
      </c>
      <c r="D1477">
        <v>-17.650942368500001</v>
      </c>
      <c r="G1477" s="92"/>
      <c r="I1477">
        <v>8</v>
      </c>
      <c r="J1477" t="s">
        <v>26</v>
      </c>
      <c r="K1477" s="57"/>
      <c r="L1477" s="31"/>
      <c r="M1477" s="31"/>
      <c r="N1477" s="31"/>
      <c r="O1477" s="31"/>
      <c r="S1477" s="57"/>
      <c r="X1477" s="57"/>
    </row>
    <row r="1478" spans="1:24" hidden="1" x14ac:dyDescent="0.35">
      <c r="A1478">
        <v>1474</v>
      </c>
      <c r="B1478">
        <v>1475</v>
      </c>
      <c r="C1478">
        <v>146.098255889999</v>
      </c>
      <c r="D1478">
        <v>-17.6508722101999</v>
      </c>
      <c r="G1478" s="92"/>
      <c r="I1478">
        <v>8</v>
      </c>
      <c r="J1478" t="s">
        <v>26</v>
      </c>
      <c r="K1478" s="57"/>
      <c r="L1478" s="31"/>
      <c r="M1478" s="31"/>
      <c r="N1478" s="31"/>
      <c r="O1478" s="31"/>
      <c r="S1478" s="57"/>
      <c r="X1478" s="57"/>
    </row>
    <row r="1479" spans="1:24" hidden="1" x14ac:dyDescent="0.35">
      <c r="A1479">
        <v>1475</v>
      </c>
      <c r="B1479">
        <v>1476</v>
      </c>
      <c r="C1479">
        <v>146.09820442</v>
      </c>
      <c r="D1479">
        <v>-17.650802051900001</v>
      </c>
      <c r="G1479" s="92"/>
      <c r="I1479">
        <v>8</v>
      </c>
      <c r="J1479" t="s">
        <v>26</v>
      </c>
      <c r="K1479" s="57"/>
      <c r="L1479" s="31"/>
      <c r="M1479" s="31"/>
      <c r="N1479" s="31"/>
      <c r="O1479" s="31"/>
      <c r="S1479" s="57"/>
      <c r="X1479" s="57"/>
    </row>
    <row r="1480" spans="1:24" hidden="1" x14ac:dyDescent="0.35">
      <c r="A1480">
        <v>1476</v>
      </c>
      <c r="B1480">
        <v>1477</v>
      </c>
      <c r="C1480">
        <v>146.09815295000001</v>
      </c>
      <c r="D1480">
        <v>-17.650731893500001</v>
      </c>
      <c r="G1480" s="92"/>
      <c r="I1480">
        <v>8</v>
      </c>
      <c r="J1480" t="s">
        <v>26</v>
      </c>
      <c r="K1480" s="57"/>
      <c r="L1480" s="31"/>
      <c r="M1480" s="31"/>
      <c r="N1480" s="31"/>
      <c r="O1480" s="31"/>
      <c r="S1480" s="57"/>
      <c r="X1480" s="57"/>
    </row>
    <row r="1481" spans="1:24" hidden="1" x14ac:dyDescent="0.35">
      <c r="A1481">
        <v>1477</v>
      </c>
      <c r="B1481">
        <v>1478</v>
      </c>
      <c r="C1481">
        <v>146.09808823</v>
      </c>
      <c r="D1481">
        <v>-17.650676022900001</v>
      </c>
      <c r="G1481" s="92"/>
      <c r="I1481">
        <v>8</v>
      </c>
      <c r="J1481" t="s">
        <v>26</v>
      </c>
      <c r="K1481" s="57"/>
      <c r="L1481" s="31"/>
      <c r="M1481" s="31"/>
      <c r="N1481" s="31"/>
      <c r="O1481" s="31"/>
      <c r="S1481" s="57"/>
      <c r="X1481" s="57"/>
    </row>
    <row r="1482" spans="1:24" hidden="1" x14ac:dyDescent="0.35">
      <c r="A1482">
        <v>1478</v>
      </c>
      <c r="B1482">
        <v>1479</v>
      </c>
      <c r="C1482">
        <v>146.09800883400001</v>
      </c>
      <c r="D1482">
        <v>-17.650635977099899</v>
      </c>
      <c r="G1482" s="92"/>
      <c r="I1482">
        <v>8</v>
      </c>
      <c r="J1482" t="s">
        <v>26</v>
      </c>
      <c r="K1482" s="57"/>
      <c r="L1482" s="31"/>
      <c r="M1482" s="31"/>
      <c r="N1482" s="31"/>
      <c r="O1482" s="31"/>
      <c r="S1482" s="57"/>
      <c r="X1482" s="57"/>
    </row>
    <row r="1483" spans="1:24" hidden="1" x14ac:dyDescent="0.35">
      <c r="A1483">
        <v>1479</v>
      </c>
      <c r="B1483">
        <v>1480</v>
      </c>
      <c r="C1483">
        <v>146.097927900999</v>
      </c>
      <c r="D1483">
        <v>-17.6506038345</v>
      </c>
      <c r="G1483" s="92"/>
      <c r="I1483">
        <v>8</v>
      </c>
      <c r="J1483" t="s">
        <v>26</v>
      </c>
      <c r="K1483" s="57"/>
      <c r="L1483" s="31"/>
      <c r="M1483" s="31"/>
      <c r="N1483" s="31"/>
      <c r="O1483" s="31"/>
      <c r="S1483" s="57"/>
      <c r="X1483" s="57"/>
    </row>
    <row r="1484" spans="1:24" hidden="1" x14ac:dyDescent="0.35">
      <c r="A1484">
        <v>1480</v>
      </c>
      <c r="B1484">
        <v>1481</v>
      </c>
      <c r="C1484">
        <v>146.09783871900001</v>
      </c>
      <c r="D1484">
        <v>-17.650614108700001</v>
      </c>
      <c r="G1484" s="92"/>
      <c r="I1484">
        <v>8</v>
      </c>
      <c r="J1484" t="s">
        <v>26</v>
      </c>
      <c r="K1484" s="57"/>
      <c r="L1484" s="31"/>
      <c r="M1484" s="31"/>
      <c r="N1484" s="31"/>
      <c r="O1484" s="31"/>
      <c r="S1484" s="57"/>
      <c r="X1484" s="57"/>
    </row>
    <row r="1485" spans="1:24" hidden="1" x14ac:dyDescent="0.35">
      <c r="A1485">
        <v>1481</v>
      </c>
      <c r="B1485">
        <v>1482</v>
      </c>
      <c r="C1485">
        <v>146.097751157</v>
      </c>
      <c r="D1485">
        <v>-17.650629369499899</v>
      </c>
      <c r="G1485" s="92"/>
      <c r="I1485">
        <v>8</v>
      </c>
      <c r="J1485" t="s">
        <v>26</v>
      </c>
      <c r="K1485" s="57"/>
      <c r="L1485" s="31"/>
      <c r="M1485" s="31"/>
      <c r="N1485" s="31"/>
      <c r="O1485" s="31"/>
      <c r="S1485" s="57"/>
      <c r="X1485" s="57"/>
    </row>
    <row r="1486" spans="1:24" hidden="1" x14ac:dyDescent="0.35">
      <c r="A1486">
        <v>1482</v>
      </c>
      <c r="B1486">
        <v>1483</v>
      </c>
      <c r="C1486">
        <v>146.09767148700001</v>
      </c>
      <c r="D1486">
        <v>-17.650668916600001</v>
      </c>
      <c r="G1486" s="92"/>
      <c r="I1486">
        <v>8</v>
      </c>
      <c r="J1486" t="s">
        <v>26</v>
      </c>
      <c r="K1486" s="57"/>
      <c r="L1486" s="31"/>
      <c r="M1486" s="31"/>
      <c r="N1486" s="31"/>
      <c r="O1486" s="31"/>
      <c r="S1486" s="57"/>
      <c r="X1486" s="57"/>
    </row>
    <row r="1487" spans="1:24" hidden="1" x14ac:dyDescent="0.35">
      <c r="A1487">
        <v>1483</v>
      </c>
      <c r="B1487">
        <v>1484</v>
      </c>
      <c r="C1487">
        <v>146.097596111999</v>
      </c>
      <c r="D1487">
        <v>-17.6507137577</v>
      </c>
      <c r="G1487" s="92"/>
      <c r="I1487">
        <v>8</v>
      </c>
      <c r="J1487" t="s">
        <v>26</v>
      </c>
      <c r="K1487" s="57"/>
      <c r="L1487" s="31"/>
      <c r="M1487" s="31"/>
      <c r="N1487" s="31"/>
      <c r="O1487" s="31"/>
      <c r="S1487" s="57"/>
      <c r="X1487" s="57"/>
    </row>
    <row r="1488" spans="1:24" hidden="1" x14ac:dyDescent="0.35">
      <c r="A1488">
        <v>1484</v>
      </c>
      <c r="B1488">
        <v>1485</v>
      </c>
      <c r="C1488">
        <v>146.097535902</v>
      </c>
      <c r="D1488">
        <v>-17.6507772852</v>
      </c>
      <c r="G1488" s="92"/>
      <c r="I1488">
        <v>8</v>
      </c>
      <c r="J1488" t="s">
        <v>26</v>
      </c>
      <c r="K1488" s="57"/>
      <c r="L1488" s="31"/>
      <c r="M1488" s="31"/>
      <c r="N1488" s="31"/>
      <c r="O1488" s="31"/>
      <c r="S1488" s="57"/>
      <c r="X1488" s="57"/>
    </row>
    <row r="1489" spans="1:24" hidden="1" x14ac:dyDescent="0.35">
      <c r="A1489">
        <v>1485</v>
      </c>
      <c r="B1489">
        <v>1486</v>
      </c>
      <c r="C1489">
        <v>146.09747575200001</v>
      </c>
      <c r="D1489">
        <v>-17.6508408537</v>
      </c>
      <c r="G1489" s="92"/>
      <c r="I1489">
        <v>8</v>
      </c>
      <c r="J1489" t="s">
        <v>26</v>
      </c>
      <c r="K1489" s="57"/>
      <c r="L1489" s="31"/>
      <c r="M1489" s="31"/>
      <c r="N1489" s="31"/>
      <c r="O1489" s="31"/>
      <c r="S1489" s="57"/>
      <c r="X1489" s="57"/>
    </row>
    <row r="1490" spans="1:24" hidden="1" x14ac:dyDescent="0.35">
      <c r="A1490">
        <v>1486</v>
      </c>
      <c r="B1490">
        <v>1487</v>
      </c>
      <c r="C1490">
        <v>146.097433843</v>
      </c>
      <c r="D1490">
        <v>-17.6509165694</v>
      </c>
      <c r="G1490" s="92"/>
      <c r="I1490">
        <v>8</v>
      </c>
      <c r="J1490" t="s">
        <v>26</v>
      </c>
      <c r="K1490" s="57"/>
      <c r="L1490" s="31"/>
      <c r="M1490" s="31"/>
      <c r="N1490" s="31"/>
      <c r="O1490" s="31"/>
      <c r="S1490" s="57"/>
      <c r="X1490" s="57"/>
    </row>
    <row r="1491" spans="1:24" hidden="1" x14ac:dyDescent="0.35">
      <c r="A1491">
        <v>1487</v>
      </c>
      <c r="B1491">
        <v>1488</v>
      </c>
      <c r="C1491">
        <v>146.09739193300001</v>
      </c>
      <c r="D1491">
        <v>-17.650992285000001</v>
      </c>
      <c r="G1491" s="92"/>
      <c r="I1491">
        <v>8</v>
      </c>
      <c r="J1491" t="s">
        <v>26</v>
      </c>
      <c r="K1491" s="57"/>
      <c r="L1491" s="31"/>
      <c r="M1491" s="31"/>
      <c r="N1491" s="31"/>
      <c r="O1491" s="31"/>
      <c r="S1491" s="57"/>
      <c r="X1491" s="57"/>
    </row>
    <row r="1492" spans="1:24" hidden="1" x14ac:dyDescent="0.35">
      <c r="A1492">
        <v>1488</v>
      </c>
      <c r="B1492">
        <v>1489</v>
      </c>
      <c r="C1492">
        <v>146.09735002400001</v>
      </c>
      <c r="D1492">
        <v>-17.6510680005</v>
      </c>
      <c r="G1492" s="92"/>
      <c r="I1492">
        <v>8</v>
      </c>
      <c r="J1492" t="s">
        <v>26</v>
      </c>
      <c r="K1492" s="57"/>
      <c r="L1492" s="31"/>
      <c r="M1492" s="31"/>
      <c r="N1492" s="31"/>
      <c r="O1492" s="31"/>
      <c r="S1492" s="57"/>
      <c r="X1492" s="57"/>
    </row>
    <row r="1493" spans="1:24" hidden="1" x14ac:dyDescent="0.35">
      <c r="A1493">
        <v>1489</v>
      </c>
      <c r="B1493">
        <v>1490</v>
      </c>
      <c r="C1493">
        <v>146.09730811399899</v>
      </c>
      <c r="D1493">
        <v>-17.651143716100002</v>
      </c>
      <c r="G1493" s="92"/>
      <c r="I1493">
        <v>8</v>
      </c>
      <c r="J1493" t="s">
        <v>26</v>
      </c>
      <c r="K1493" s="57"/>
      <c r="L1493" s="31"/>
      <c r="M1493" s="31"/>
      <c r="N1493" s="31"/>
      <c r="O1493" s="31"/>
      <c r="S1493" s="57"/>
      <c r="X1493" s="57"/>
    </row>
    <row r="1494" spans="1:24" hidden="1" x14ac:dyDescent="0.35">
      <c r="A1494">
        <v>1490</v>
      </c>
      <c r="B1494">
        <v>1491</v>
      </c>
      <c r="C1494">
        <v>146.09726620500001</v>
      </c>
      <c r="D1494">
        <v>-17.651219431600001</v>
      </c>
      <c r="G1494" s="92"/>
      <c r="I1494">
        <v>8</v>
      </c>
      <c r="J1494" t="s">
        <v>26</v>
      </c>
      <c r="K1494" s="57"/>
      <c r="L1494" s="31"/>
      <c r="M1494" s="31"/>
      <c r="N1494" s="31"/>
      <c r="O1494" s="31"/>
      <c r="S1494" s="57"/>
      <c r="X1494" s="57"/>
    </row>
    <row r="1495" spans="1:24" hidden="1" x14ac:dyDescent="0.35">
      <c r="A1495">
        <v>1491</v>
      </c>
      <c r="B1495">
        <v>1492</v>
      </c>
      <c r="C1495">
        <v>146.09722441400001</v>
      </c>
      <c r="D1495">
        <v>-17.6512952064</v>
      </c>
      <c r="G1495" s="92"/>
      <c r="I1495">
        <v>8</v>
      </c>
      <c r="J1495" t="s">
        <v>26</v>
      </c>
      <c r="K1495" s="57"/>
      <c r="L1495" s="31"/>
      <c r="M1495" s="31"/>
      <c r="N1495" s="31"/>
      <c r="O1495" s="31"/>
      <c r="S1495" s="57"/>
      <c r="X1495" s="57"/>
    </row>
    <row r="1496" spans="1:24" hidden="1" x14ac:dyDescent="0.35">
      <c r="A1496">
        <v>1492</v>
      </c>
      <c r="B1496">
        <v>1493</v>
      </c>
      <c r="C1496">
        <v>146.097182782</v>
      </c>
      <c r="D1496">
        <v>-17.651371060399899</v>
      </c>
      <c r="G1496" s="92"/>
      <c r="I1496">
        <v>8</v>
      </c>
      <c r="J1496" t="s">
        <v>26</v>
      </c>
      <c r="K1496" s="57"/>
      <c r="L1496" s="31"/>
      <c r="M1496" s="31"/>
      <c r="N1496" s="31"/>
      <c r="O1496" s="31"/>
      <c r="S1496" s="57"/>
      <c r="X1496" s="57"/>
    </row>
    <row r="1497" spans="1:24" hidden="1" x14ac:dyDescent="0.35">
      <c r="A1497">
        <v>1493</v>
      </c>
      <c r="B1497">
        <v>1494</v>
      </c>
      <c r="C1497">
        <v>146.09714114900001</v>
      </c>
      <c r="D1497">
        <v>-17.651446914400001</v>
      </c>
      <c r="G1497" s="92"/>
      <c r="I1497">
        <v>8</v>
      </c>
      <c r="J1497" t="s">
        <v>26</v>
      </c>
      <c r="K1497" s="57"/>
      <c r="L1497" s="31"/>
      <c r="M1497" s="31"/>
      <c r="N1497" s="31"/>
      <c r="O1497" s="31"/>
      <c r="S1497" s="57"/>
      <c r="X1497" s="57"/>
    </row>
    <row r="1498" spans="1:24" hidden="1" x14ac:dyDescent="0.35">
      <c r="A1498">
        <v>1494</v>
      </c>
      <c r="B1498">
        <v>1495</v>
      </c>
      <c r="C1498">
        <v>146.097099517</v>
      </c>
      <c r="D1498">
        <v>-17.6515227684</v>
      </c>
      <c r="G1498" s="92"/>
      <c r="I1498">
        <v>8</v>
      </c>
      <c r="J1498" t="s">
        <v>26</v>
      </c>
      <c r="K1498" s="57"/>
      <c r="L1498" s="31"/>
      <c r="M1498" s="31"/>
      <c r="N1498" s="31"/>
      <c r="O1498" s="31"/>
      <c r="S1498" s="57"/>
      <c r="X1498" s="57"/>
    </row>
    <row r="1499" spans="1:24" hidden="1" x14ac:dyDescent="0.35">
      <c r="A1499">
        <v>1495</v>
      </c>
      <c r="B1499">
        <v>1496</v>
      </c>
      <c r="C1499">
        <v>146.09705788400001</v>
      </c>
      <c r="D1499">
        <v>-17.6515986223</v>
      </c>
      <c r="G1499" s="92"/>
      <c r="I1499">
        <v>8</v>
      </c>
      <c r="J1499" t="s">
        <v>26</v>
      </c>
      <c r="K1499" s="57"/>
      <c r="L1499" s="31"/>
      <c r="M1499" s="31"/>
      <c r="N1499" s="31"/>
      <c r="O1499" s="31"/>
      <c r="S1499" s="57"/>
      <c r="X1499" s="57"/>
    </row>
    <row r="1500" spans="1:24" hidden="1" x14ac:dyDescent="0.35">
      <c r="A1500">
        <v>1496</v>
      </c>
      <c r="B1500">
        <v>1497</v>
      </c>
      <c r="C1500">
        <v>146.097011917999</v>
      </c>
      <c r="D1500">
        <v>-17.6516720919</v>
      </c>
      <c r="G1500" s="92"/>
      <c r="I1500">
        <v>8</v>
      </c>
      <c r="J1500" t="s">
        <v>26</v>
      </c>
      <c r="K1500" s="57"/>
      <c r="L1500" s="31"/>
      <c r="M1500" s="31"/>
      <c r="N1500" s="31"/>
      <c r="O1500" s="31"/>
      <c r="S1500" s="57"/>
      <c r="X1500" s="57"/>
    </row>
    <row r="1501" spans="1:24" hidden="1" x14ac:dyDescent="0.35">
      <c r="A1501">
        <v>1497</v>
      </c>
      <c r="B1501">
        <v>1498</v>
      </c>
      <c r="C1501">
        <v>146.09696379600001</v>
      </c>
      <c r="D1501">
        <v>-17.651744375300002</v>
      </c>
      <c r="G1501" s="92"/>
      <c r="I1501">
        <v>8</v>
      </c>
      <c r="J1501" t="s">
        <v>26</v>
      </c>
      <c r="K1501" s="57"/>
      <c r="L1501" s="31"/>
      <c r="M1501" s="31"/>
      <c r="N1501" s="31"/>
      <c r="O1501" s="31"/>
      <c r="S1501" s="57"/>
      <c r="X1501" s="57"/>
    </row>
    <row r="1502" spans="1:24" hidden="1" x14ac:dyDescent="0.35">
      <c r="A1502">
        <v>1498</v>
      </c>
      <c r="B1502">
        <v>1499</v>
      </c>
      <c r="C1502">
        <v>146.09691567300001</v>
      </c>
      <c r="D1502">
        <v>-17.651816658600001</v>
      </c>
      <c r="G1502" s="92"/>
      <c r="I1502">
        <v>8</v>
      </c>
      <c r="J1502" t="s">
        <v>26</v>
      </c>
      <c r="K1502" s="57"/>
      <c r="L1502" s="31"/>
      <c r="M1502" s="31"/>
      <c r="N1502" s="31"/>
      <c r="O1502" s="31"/>
      <c r="S1502" s="57"/>
      <c r="X1502" s="57"/>
    </row>
    <row r="1503" spans="1:24" hidden="1" x14ac:dyDescent="0.35">
      <c r="A1503">
        <v>1499</v>
      </c>
      <c r="B1503">
        <v>1500</v>
      </c>
      <c r="C1503">
        <v>146.096867551</v>
      </c>
      <c r="D1503">
        <v>-17.651888941700001</v>
      </c>
      <c r="G1503" s="92"/>
      <c r="I1503">
        <v>8</v>
      </c>
      <c r="J1503" t="s">
        <v>26</v>
      </c>
      <c r="K1503" s="57"/>
      <c r="L1503" s="31"/>
      <c r="M1503" s="31"/>
      <c r="N1503" s="31"/>
      <c r="O1503" s="31"/>
      <c r="S1503" s="57"/>
      <c r="X1503" s="57"/>
    </row>
    <row r="1504" spans="1:24" hidden="1" x14ac:dyDescent="0.35">
      <c r="A1504">
        <v>1500</v>
      </c>
      <c r="B1504">
        <v>1501</v>
      </c>
      <c r="C1504">
        <v>146.096819428</v>
      </c>
      <c r="D1504">
        <v>-17.651961224800001</v>
      </c>
      <c r="G1504" s="92"/>
      <c r="I1504">
        <v>8</v>
      </c>
      <c r="J1504" t="s">
        <v>26</v>
      </c>
      <c r="K1504" s="57"/>
      <c r="L1504" s="31"/>
      <c r="M1504" s="31"/>
      <c r="N1504" s="31"/>
      <c r="O1504" s="31"/>
      <c r="S1504" s="57"/>
      <c r="X1504" s="57"/>
    </row>
    <row r="1505" spans="1:24" hidden="1" x14ac:dyDescent="0.35">
      <c r="A1505">
        <v>1501</v>
      </c>
      <c r="B1505">
        <v>1502</v>
      </c>
      <c r="C1505">
        <v>146.096771305</v>
      </c>
      <c r="D1505">
        <v>-17.652033507900001</v>
      </c>
      <c r="G1505" s="92"/>
      <c r="I1505">
        <v>8</v>
      </c>
      <c r="J1505" t="s">
        <v>26</v>
      </c>
      <c r="K1505" s="57"/>
      <c r="L1505" s="31"/>
      <c r="M1505" s="31"/>
      <c r="N1505" s="31"/>
      <c r="O1505" s="31"/>
      <c r="S1505" s="57"/>
      <c r="X1505" s="57"/>
    </row>
    <row r="1506" spans="1:24" hidden="1" x14ac:dyDescent="0.35">
      <c r="A1506">
        <v>1502</v>
      </c>
      <c r="B1506">
        <v>1503</v>
      </c>
      <c r="C1506">
        <v>146.096723182999</v>
      </c>
      <c r="D1506">
        <v>-17.652105790899899</v>
      </c>
      <c r="G1506" s="92"/>
      <c r="I1506">
        <v>8</v>
      </c>
      <c r="J1506" t="s">
        <v>26</v>
      </c>
      <c r="K1506" s="57"/>
      <c r="L1506" s="31"/>
      <c r="M1506" s="31"/>
      <c r="N1506" s="31"/>
      <c r="O1506" s="31"/>
      <c r="S1506" s="57"/>
      <c r="X1506" s="57"/>
    </row>
    <row r="1507" spans="1:24" hidden="1" x14ac:dyDescent="0.35">
      <c r="A1507">
        <v>1503</v>
      </c>
      <c r="B1507">
        <v>1504</v>
      </c>
      <c r="C1507">
        <v>146.096675059999</v>
      </c>
      <c r="D1507">
        <v>-17.6521780739</v>
      </c>
      <c r="G1507" s="92"/>
      <c r="I1507">
        <v>8</v>
      </c>
      <c r="J1507" t="s">
        <v>26</v>
      </c>
      <c r="K1507" s="57"/>
      <c r="L1507" s="31"/>
      <c r="M1507" s="31"/>
      <c r="N1507" s="31"/>
      <c r="O1507" s="31"/>
      <c r="S1507" s="57"/>
      <c r="X1507" s="57"/>
    </row>
    <row r="1508" spans="1:24" hidden="1" x14ac:dyDescent="0.35">
      <c r="A1508">
        <v>1504</v>
      </c>
      <c r="B1508">
        <v>1505</v>
      </c>
      <c r="C1508">
        <v>146.09662693799999</v>
      </c>
      <c r="D1508">
        <v>-17.652250356900002</v>
      </c>
      <c r="G1508" s="92"/>
      <c r="I1508">
        <v>8</v>
      </c>
      <c r="J1508" t="s">
        <v>26</v>
      </c>
      <c r="K1508" s="57"/>
      <c r="L1508" s="31"/>
      <c r="M1508" s="31"/>
      <c r="N1508" s="31"/>
      <c r="O1508" s="31"/>
      <c r="S1508" s="57"/>
      <c r="X1508" s="57"/>
    </row>
    <row r="1509" spans="1:24" hidden="1" x14ac:dyDescent="0.35">
      <c r="A1509">
        <v>1505</v>
      </c>
      <c r="B1509">
        <v>1506</v>
      </c>
      <c r="C1509">
        <v>146.09657881499899</v>
      </c>
      <c r="D1509">
        <v>-17.652322639800001</v>
      </c>
      <c r="G1509" s="92"/>
      <c r="I1509">
        <v>8</v>
      </c>
      <c r="J1509" t="s">
        <v>26</v>
      </c>
      <c r="K1509" s="57"/>
      <c r="L1509" s="31"/>
      <c r="M1509" s="31"/>
      <c r="N1509" s="31"/>
      <c r="O1509" s="31"/>
      <c r="S1509" s="57"/>
      <c r="X1509" s="57"/>
    </row>
    <row r="1510" spans="1:24" hidden="1" x14ac:dyDescent="0.35">
      <c r="A1510">
        <v>1506</v>
      </c>
      <c r="B1510">
        <v>1507</v>
      </c>
      <c r="C1510">
        <v>146.09653069300001</v>
      </c>
      <c r="D1510">
        <v>-17.652394922700001</v>
      </c>
      <c r="G1510" s="92"/>
      <c r="I1510">
        <v>8</v>
      </c>
      <c r="J1510" t="s">
        <v>26</v>
      </c>
      <c r="K1510" s="57"/>
      <c r="L1510" s="31"/>
      <c r="M1510" s="31"/>
      <c r="N1510" s="31"/>
      <c r="O1510" s="31"/>
      <c r="S1510" s="57"/>
      <c r="X1510" s="57"/>
    </row>
    <row r="1511" spans="1:24" hidden="1" x14ac:dyDescent="0.35">
      <c r="A1511">
        <v>1507</v>
      </c>
      <c r="B1511">
        <v>1508</v>
      </c>
      <c r="C1511">
        <v>146.09647772400001</v>
      </c>
      <c r="D1511">
        <v>-17.6524638641</v>
      </c>
      <c r="G1511" s="92"/>
      <c r="I1511">
        <v>8</v>
      </c>
      <c r="J1511" t="s">
        <v>26</v>
      </c>
      <c r="K1511" s="57"/>
      <c r="L1511" s="31"/>
      <c r="M1511" s="31"/>
      <c r="N1511" s="31"/>
      <c r="O1511" s="31"/>
      <c r="S1511" s="57"/>
      <c r="X1511" s="57"/>
    </row>
    <row r="1512" spans="1:24" hidden="1" x14ac:dyDescent="0.35">
      <c r="A1512">
        <v>1508</v>
      </c>
      <c r="B1512">
        <v>1509</v>
      </c>
      <c r="C1512">
        <v>146.096420714999</v>
      </c>
      <c r="D1512">
        <v>-17.652530019</v>
      </c>
      <c r="G1512" s="92"/>
      <c r="I1512">
        <v>8</v>
      </c>
      <c r="J1512" t="s">
        <v>26</v>
      </c>
      <c r="K1512" s="57"/>
      <c r="L1512" s="31"/>
      <c r="M1512" s="31"/>
      <c r="N1512" s="31"/>
      <c r="O1512" s="31"/>
      <c r="S1512" s="57"/>
      <c r="X1512" s="57"/>
    </row>
    <row r="1513" spans="1:24" hidden="1" x14ac:dyDescent="0.35">
      <c r="A1513">
        <v>1509</v>
      </c>
      <c r="B1513">
        <v>1510</v>
      </c>
      <c r="C1513">
        <v>146.09636370600001</v>
      </c>
      <c r="D1513">
        <v>-17.6525961739999</v>
      </c>
      <c r="G1513" s="92"/>
      <c r="I1513">
        <v>8</v>
      </c>
      <c r="J1513" t="s">
        <v>26</v>
      </c>
      <c r="K1513" s="57"/>
      <c r="L1513" s="31"/>
      <c r="M1513" s="31"/>
      <c r="N1513" s="31"/>
      <c r="O1513" s="31"/>
      <c r="S1513" s="57"/>
      <c r="X1513" s="57"/>
    </row>
    <row r="1514" spans="1:24" hidden="1" x14ac:dyDescent="0.35">
      <c r="A1514">
        <v>1510</v>
      </c>
      <c r="B1514">
        <v>1511</v>
      </c>
      <c r="C1514">
        <v>146.09630669699899</v>
      </c>
      <c r="D1514">
        <v>-17.652662328800002</v>
      </c>
      <c r="G1514" s="92"/>
      <c r="I1514">
        <v>8</v>
      </c>
      <c r="J1514" t="s">
        <v>26</v>
      </c>
      <c r="K1514" s="57"/>
      <c r="L1514" s="31"/>
      <c r="M1514" s="31"/>
      <c r="N1514" s="31"/>
      <c r="O1514" s="31"/>
      <c r="S1514" s="57"/>
      <c r="X1514" s="57"/>
    </row>
    <row r="1515" spans="1:24" hidden="1" x14ac:dyDescent="0.35">
      <c r="A1515">
        <v>1511</v>
      </c>
      <c r="B1515">
        <v>1512</v>
      </c>
      <c r="C1515">
        <v>146.096249688</v>
      </c>
      <c r="D1515">
        <v>-17.652728483699899</v>
      </c>
      <c r="G1515" s="92"/>
      <c r="I1515">
        <v>8</v>
      </c>
      <c r="J1515" t="s">
        <v>26</v>
      </c>
      <c r="K1515" s="57"/>
      <c r="L1515" s="31"/>
      <c r="M1515" s="31"/>
      <c r="N1515" s="31"/>
      <c r="O1515" s="31"/>
      <c r="S1515" s="57"/>
      <c r="X1515" s="57"/>
    </row>
    <row r="1516" spans="1:24" hidden="1" x14ac:dyDescent="0.35">
      <c r="A1516">
        <v>1512</v>
      </c>
      <c r="B1516">
        <v>1513</v>
      </c>
      <c r="C1516">
        <v>146.09619267900001</v>
      </c>
      <c r="D1516">
        <v>-17.6527946386</v>
      </c>
      <c r="G1516" s="92"/>
      <c r="I1516">
        <v>8</v>
      </c>
      <c r="J1516" t="s">
        <v>26</v>
      </c>
      <c r="K1516" s="57"/>
      <c r="L1516" s="31"/>
      <c r="M1516" s="31"/>
      <c r="N1516" s="31"/>
      <c r="O1516" s="31"/>
      <c r="S1516" s="57"/>
      <c r="X1516" s="57"/>
    </row>
    <row r="1517" spans="1:24" hidden="1" x14ac:dyDescent="0.35">
      <c r="A1517">
        <v>1513</v>
      </c>
      <c r="B1517">
        <v>1514</v>
      </c>
      <c r="C1517">
        <v>146.096135669999</v>
      </c>
      <c r="D1517">
        <v>-17.652860793399899</v>
      </c>
      <c r="G1517" s="92"/>
      <c r="I1517">
        <v>8</v>
      </c>
      <c r="J1517" t="s">
        <v>26</v>
      </c>
      <c r="K1517" s="57"/>
      <c r="L1517" s="31"/>
      <c r="M1517" s="31"/>
      <c r="N1517" s="31"/>
      <c r="O1517" s="31"/>
      <c r="S1517" s="57"/>
      <c r="X1517" s="57"/>
    </row>
    <row r="1518" spans="1:24" hidden="1" x14ac:dyDescent="0.35">
      <c r="A1518">
        <v>1514</v>
      </c>
      <c r="B1518">
        <v>1515</v>
      </c>
      <c r="C1518">
        <v>146.09607866100001</v>
      </c>
      <c r="D1518">
        <v>-17.652926948200001</v>
      </c>
      <c r="G1518" s="92"/>
      <c r="I1518">
        <v>8</v>
      </c>
      <c r="J1518" t="s">
        <v>26</v>
      </c>
      <c r="K1518" s="57"/>
      <c r="L1518" s="31"/>
      <c r="M1518" s="31"/>
      <c r="N1518" s="31"/>
      <c r="O1518" s="31"/>
      <c r="S1518" s="57"/>
      <c r="X1518" s="57"/>
    </row>
    <row r="1519" spans="1:24" hidden="1" x14ac:dyDescent="0.35">
      <c r="A1519">
        <v>1515</v>
      </c>
      <c r="B1519">
        <v>1516</v>
      </c>
      <c r="C1519">
        <v>146.096021651999</v>
      </c>
      <c r="D1519">
        <v>-17.652993103</v>
      </c>
      <c r="G1519" s="92"/>
      <c r="I1519">
        <v>8</v>
      </c>
      <c r="J1519" t="s">
        <v>26</v>
      </c>
      <c r="K1519" s="57"/>
      <c r="L1519" s="31"/>
      <c r="M1519" s="31"/>
      <c r="N1519" s="31"/>
      <c r="O1519" s="31"/>
      <c r="S1519" s="57"/>
      <c r="X1519" s="57"/>
    </row>
    <row r="1520" spans="1:24" hidden="1" x14ac:dyDescent="0.35">
      <c r="A1520">
        <v>1516</v>
      </c>
      <c r="B1520">
        <v>1517</v>
      </c>
      <c r="C1520">
        <v>146.095964535999</v>
      </c>
      <c r="D1520">
        <v>-17.653059172900001</v>
      </c>
      <c r="G1520" s="92"/>
      <c r="I1520">
        <v>8</v>
      </c>
      <c r="J1520" t="s">
        <v>26</v>
      </c>
      <c r="K1520" s="57"/>
      <c r="L1520" s="31"/>
      <c r="M1520" s="31"/>
      <c r="N1520" s="31"/>
      <c r="O1520" s="31"/>
      <c r="S1520" s="57"/>
      <c r="X1520" s="57"/>
    </row>
    <row r="1521" spans="1:24" hidden="1" x14ac:dyDescent="0.35">
      <c r="A1521">
        <v>1517</v>
      </c>
      <c r="B1521">
        <v>1518</v>
      </c>
      <c r="C1521">
        <v>146.095906904</v>
      </c>
      <c r="D1521">
        <v>-17.653124835900002</v>
      </c>
      <c r="G1521" s="92"/>
      <c r="I1521">
        <v>8</v>
      </c>
      <c r="J1521" t="s">
        <v>26</v>
      </c>
      <c r="K1521" s="57"/>
      <c r="L1521" s="31"/>
      <c r="M1521" s="31"/>
      <c r="N1521" s="31"/>
      <c r="O1521" s="31"/>
      <c r="S1521" s="57"/>
      <c r="X1521" s="57"/>
    </row>
    <row r="1522" spans="1:24" hidden="1" x14ac:dyDescent="0.35">
      <c r="A1522">
        <v>1518</v>
      </c>
      <c r="B1522">
        <v>1519</v>
      </c>
      <c r="C1522">
        <v>146.095849272999</v>
      </c>
      <c r="D1522">
        <v>-17.653190499000001</v>
      </c>
      <c r="G1522" s="92"/>
      <c r="I1522">
        <v>8</v>
      </c>
      <c r="J1522" t="s">
        <v>26</v>
      </c>
      <c r="K1522" s="57"/>
      <c r="L1522" s="31"/>
      <c r="M1522" s="31"/>
      <c r="N1522" s="31"/>
      <c r="O1522" s="31"/>
      <c r="S1522" s="57"/>
      <c r="X1522" s="57"/>
    </row>
    <row r="1523" spans="1:24" hidden="1" x14ac:dyDescent="0.35">
      <c r="A1523">
        <v>1519</v>
      </c>
      <c r="B1523">
        <v>1520</v>
      </c>
      <c r="C1523">
        <v>146.09579164100001</v>
      </c>
      <c r="D1523">
        <v>-17.653256162000002</v>
      </c>
      <c r="G1523" s="92"/>
      <c r="I1523">
        <v>8</v>
      </c>
      <c r="J1523" t="s">
        <v>26</v>
      </c>
      <c r="K1523" s="57"/>
      <c r="L1523" s="31"/>
      <c r="M1523" s="31"/>
      <c r="N1523" s="31"/>
      <c r="O1523" s="31"/>
      <c r="S1523" s="57"/>
      <c r="X1523" s="57"/>
    </row>
    <row r="1524" spans="1:24" hidden="1" x14ac:dyDescent="0.35">
      <c r="A1524">
        <v>1520</v>
      </c>
      <c r="B1524">
        <v>1521</v>
      </c>
      <c r="C1524">
        <v>146.09573400900001</v>
      </c>
      <c r="D1524">
        <v>-17.6533218249999</v>
      </c>
      <c r="G1524" s="92"/>
      <c r="I1524">
        <v>8</v>
      </c>
      <c r="J1524" t="s">
        <v>26</v>
      </c>
      <c r="K1524" s="57"/>
      <c r="L1524" s="31"/>
      <c r="M1524" s="31"/>
      <c r="N1524" s="31"/>
      <c r="O1524" s="31"/>
      <c r="S1524" s="57"/>
      <c r="X1524" s="57"/>
    </row>
    <row r="1525" spans="1:24" hidden="1" x14ac:dyDescent="0.35">
      <c r="A1525">
        <v>1521</v>
      </c>
      <c r="B1525">
        <v>1522</v>
      </c>
      <c r="C1525">
        <v>146.09567637800001</v>
      </c>
      <c r="D1525">
        <v>-17.653387487900002</v>
      </c>
      <c r="G1525" s="92"/>
      <c r="I1525">
        <v>8</v>
      </c>
      <c r="J1525" t="s">
        <v>26</v>
      </c>
      <c r="K1525" s="57"/>
      <c r="L1525" s="31"/>
      <c r="M1525" s="31"/>
      <c r="N1525" s="31"/>
      <c r="O1525" s="31"/>
      <c r="S1525" s="57"/>
      <c r="X1525" s="57"/>
    </row>
    <row r="1526" spans="1:24" hidden="1" x14ac:dyDescent="0.35">
      <c r="A1526">
        <v>1522</v>
      </c>
      <c r="B1526">
        <v>1523</v>
      </c>
      <c r="C1526">
        <v>146.09561874600001</v>
      </c>
      <c r="D1526">
        <v>-17.6534531508999</v>
      </c>
      <c r="G1526" s="92"/>
      <c r="I1526">
        <v>8</v>
      </c>
      <c r="J1526" t="s">
        <v>26</v>
      </c>
      <c r="K1526" s="57"/>
      <c r="L1526" s="31"/>
      <c r="M1526" s="31"/>
      <c r="N1526" s="31"/>
      <c r="O1526" s="31"/>
      <c r="S1526" s="57"/>
      <c r="X1526" s="57"/>
    </row>
    <row r="1527" spans="1:24" hidden="1" x14ac:dyDescent="0.35">
      <c r="A1527">
        <v>1523</v>
      </c>
      <c r="B1527">
        <v>1524</v>
      </c>
      <c r="C1527">
        <v>146.09556111500001</v>
      </c>
      <c r="D1527">
        <v>-17.653518813800002</v>
      </c>
      <c r="G1527" s="92"/>
      <c r="I1527">
        <v>8</v>
      </c>
      <c r="J1527" t="s">
        <v>26</v>
      </c>
      <c r="K1527" s="57"/>
      <c r="L1527" s="31"/>
      <c r="M1527" s="31"/>
      <c r="N1527" s="31"/>
      <c r="O1527" s="31"/>
      <c r="S1527" s="57"/>
      <c r="X1527" s="57"/>
    </row>
    <row r="1528" spans="1:24" hidden="1" x14ac:dyDescent="0.35">
      <c r="A1528">
        <v>1524</v>
      </c>
      <c r="B1528">
        <v>1525</v>
      </c>
      <c r="C1528">
        <v>146.09550899000001</v>
      </c>
      <c r="D1528">
        <v>-17.6535881647</v>
      </c>
      <c r="G1528" s="92"/>
      <c r="I1528">
        <v>8</v>
      </c>
      <c r="J1528" t="s">
        <v>26</v>
      </c>
      <c r="K1528" s="57"/>
      <c r="L1528" s="31"/>
      <c r="M1528" s="31"/>
      <c r="N1528" s="31"/>
      <c r="O1528" s="31"/>
      <c r="S1528" s="57"/>
      <c r="X1528" s="57"/>
    </row>
    <row r="1529" spans="1:24" hidden="1" x14ac:dyDescent="0.35">
      <c r="A1529">
        <v>1525</v>
      </c>
      <c r="B1529">
        <v>1526</v>
      </c>
      <c r="C1529">
        <v>146.09546367300001</v>
      </c>
      <c r="D1529">
        <v>-17.6536620758</v>
      </c>
      <c r="G1529" s="92"/>
      <c r="I1529">
        <v>8</v>
      </c>
      <c r="J1529" t="s">
        <v>26</v>
      </c>
      <c r="K1529" s="57"/>
      <c r="L1529" s="31"/>
      <c r="M1529" s="31"/>
      <c r="N1529" s="31"/>
      <c r="O1529" s="31"/>
      <c r="S1529" s="57"/>
      <c r="X1529" s="57"/>
    </row>
    <row r="1530" spans="1:24" hidden="1" x14ac:dyDescent="0.35">
      <c r="A1530">
        <v>1526</v>
      </c>
      <c r="B1530">
        <v>1527</v>
      </c>
      <c r="C1530">
        <v>146.095418357</v>
      </c>
      <c r="D1530">
        <v>-17.6537359868999</v>
      </c>
      <c r="G1530" s="92"/>
      <c r="I1530">
        <v>8</v>
      </c>
      <c r="J1530" t="s">
        <v>26</v>
      </c>
      <c r="K1530" s="57"/>
      <c r="L1530" s="31"/>
      <c r="M1530" s="31"/>
      <c r="N1530" s="31"/>
      <c r="O1530" s="31"/>
      <c r="S1530" s="57"/>
      <c r="X1530" s="57"/>
    </row>
    <row r="1531" spans="1:24" hidden="1" x14ac:dyDescent="0.35">
      <c r="A1531">
        <v>1527</v>
      </c>
      <c r="B1531">
        <v>1528</v>
      </c>
      <c r="C1531">
        <v>146.09537304099899</v>
      </c>
      <c r="D1531">
        <v>-17.6538098979</v>
      </c>
      <c r="G1531" s="92"/>
      <c r="I1531">
        <v>8</v>
      </c>
      <c r="J1531" t="s">
        <v>26</v>
      </c>
      <c r="K1531" s="57"/>
      <c r="L1531" s="31"/>
      <c r="M1531" s="31"/>
      <c r="N1531" s="31"/>
      <c r="O1531" s="31"/>
      <c r="S1531" s="57"/>
      <c r="X1531" s="57"/>
    </row>
    <row r="1532" spans="1:24" hidden="1" x14ac:dyDescent="0.35">
      <c r="A1532">
        <v>1528</v>
      </c>
      <c r="B1532">
        <v>1529</v>
      </c>
      <c r="C1532">
        <v>146.095334984</v>
      </c>
      <c r="D1532">
        <v>-17.653886738299899</v>
      </c>
      <c r="G1532" s="92"/>
      <c r="I1532">
        <v>8</v>
      </c>
      <c r="J1532" t="s">
        <v>26</v>
      </c>
      <c r="K1532" s="57"/>
      <c r="L1532" s="31"/>
      <c r="M1532" s="31"/>
      <c r="N1532" s="31"/>
      <c r="O1532" s="31"/>
      <c r="S1532" s="57"/>
      <c r="X1532" s="57"/>
    </row>
    <row r="1533" spans="1:24" hidden="1" x14ac:dyDescent="0.35">
      <c r="A1533">
        <v>1529</v>
      </c>
      <c r="B1533">
        <v>1530</v>
      </c>
      <c r="C1533">
        <v>146.095310818</v>
      </c>
      <c r="D1533">
        <v>-17.653969183600001</v>
      </c>
      <c r="G1533" s="92"/>
      <c r="I1533">
        <v>8</v>
      </c>
      <c r="J1533" t="s">
        <v>26</v>
      </c>
      <c r="K1533" s="57"/>
      <c r="L1533" s="31"/>
      <c r="M1533" s="31"/>
      <c r="N1533" s="31"/>
      <c r="O1533" s="31"/>
      <c r="S1533" s="57"/>
      <c r="X1533" s="57"/>
    </row>
    <row r="1534" spans="1:24" hidden="1" x14ac:dyDescent="0.35">
      <c r="A1534">
        <v>1530</v>
      </c>
      <c r="B1534">
        <v>1531</v>
      </c>
      <c r="C1534">
        <v>146.095286651999</v>
      </c>
      <c r="D1534">
        <v>-17.654051628800001</v>
      </c>
      <c r="G1534" s="92"/>
      <c r="I1534">
        <v>8</v>
      </c>
      <c r="J1534" t="s">
        <v>26</v>
      </c>
      <c r="K1534" s="57"/>
      <c r="L1534" s="31"/>
      <c r="M1534" s="31"/>
      <c r="N1534" s="31"/>
      <c r="O1534" s="31"/>
      <c r="S1534" s="57"/>
      <c r="X1534" s="57"/>
    </row>
    <row r="1535" spans="1:24" hidden="1" x14ac:dyDescent="0.35">
      <c r="A1535">
        <v>1531</v>
      </c>
      <c r="B1535">
        <v>1532</v>
      </c>
      <c r="C1535">
        <v>146.095284827</v>
      </c>
      <c r="D1535">
        <v>-17.654136767000001</v>
      </c>
      <c r="G1535" s="92"/>
      <c r="I1535">
        <v>8</v>
      </c>
      <c r="J1535" t="s">
        <v>26</v>
      </c>
      <c r="K1535" s="57"/>
      <c r="L1535" s="31"/>
      <c r="M1535" s="31"/>
      <c r="N1535" s="31"/>
      <c r="O1535" s="31"/>
      <c r="S1535" s="57"/>
      <c r="X1535" s="57"/>
    </row>
    <row r="1536" spans="1:24" hidden="1" x14ac:dyDescent="0.35">
      <c r="A1536">
        <v>1532</v>
      </c>
      <c r="B1536">
        <v>1533</v>
      </c>
      <c r="C1536">
        <v>146.09528668799899</v>
      </c>
      <c r="D1536">
        <v>-17.654222349400001</v>
      </c>
      <c r="G1536" s="92"/>
      <c r="I1536">
        <v>8</v>
      </c>
      <c r="J1536" t="s">
        <v>26</v>
      </c>
      <c r="K1536" s="57"/>
      <c r="L1536" s="31"/>
      <c r="M1536" s="31"/>
      <c r="N1536" s="31"/>
      <c r="O1536" s="31"/>
      <c r="S1536" s="57"/>
      <c r="X1536" s="57"/>
    </row>
    <row r="1537" spans="1:26" hidden="1" x14ac:dyDescent="0.35">
      <c r="A1537">
        <v>1533</v>
      </c>
      <c r="B1537">
        <v>1534</v>
      </c>
      <c r="C1537">
        <v>146.095288549999</v>
      </c>
      <c r="D1537">
        <v>-17.6543079319</v>
      </c>
      <c r="G1537" s="92"/>
      <c r="I1537">
        <v>8</v>
      </c>
      <c r="J1537" t="s">
        <v>26</v>
      </c>
      <c r="K1537" s="57"/>
      <c r="L1537" s="31"/>
      <c r="M1537" s="31"/>
      <c r="N1537" s="31"/>
      <c r="O1537" s="31"/>
      <c r="S1537" s="57"/>
      <c r="X1537" s="57"/>
    </row>
    <row r="1538" spans="1:26" hidden="1" x14ac:dyDescent="0.35">
      <c r="A1538">
        <v>1534</v>
      </c>
      <c r="B1538">
        <v>1535</v>
      </c>
      <c r="C1538">
        <v>146.09530569399899</v>
      </c>
      <c r="D1538">
        <v>-17.654391210499899</v>
      </c>
      <c r="G1538" s="92"/>
      <c r="I1538">
        <v>8</v>
      </c>
      <c r="J1538" t="s">
        <v>26</v>
      </c>
      <c r="K1538" s="57"/>
      <c r="L1538" s="31"/>
      <c r="M1538" s="31"/>
      <c r="N1538" s="31"/>
      <c r="O1538" s="31"/>
      <c r="S1538" s="57"/>
      <c r="X1538" s="57"/>
    </row>
    <row r="1539" spans="1:26" hidden="1" x14ac:dyDescent="0.35">
      <c r="A1539">
        <v>1535</v>
      </c>
      <c r="B1539">
        <v>1536</v>
      </c>
      <c r="C1539">
        <v>146.095331643999</v>
      </c>
      <c r="D1539">
        <v>-17.654473161799899</v>
      </c>
      <c r="G1539" s="92"/>
      <c r="I1539">
        <v>8</v>
      </c>
      <c r="J1539" t="s">
        <v>26</v>
      </c>
      <c r="K1539" s="57"/>
      <c r="L1539" s="31"/>
      <c r="M1539" s="31"/>
      <c r="N1539" s="31"/>
      <c r="O1539" s="31"/>
      <c r="S1539" s="57"/>
      <c r="X1539" s="57"/>
    </row>
    <row r="1540" spans="1:26" hidden="1" x14ac:dyDescent="0.35">
      <c r="A1540">
        <v>1536</v>
      </c>
      <c r="B1540">
        <v>1537</v>
      </c>
      <c r="C1540">
        <v>146.095357594999</v>
      </c>
      <c r="D1540">
        <v>-17.654555113099899</v>
      </c>
      <c r="G1540" s="92"/>
      <c r="I1540">
        <v>8</v>
      </c>
      <c r="J1540" t="s">
        <v>26</v>
      </c>
      <c r="K1540" s="57"/>
      <c r="L1540" s="31"/>
      <c r="M1540" s="31"/>
      <c r="N1540" s="31"/>
      <c r="O1540" s="31"/>
      <c r="S1540" s="57"/>
      <c r="X1540" s="57"/>
    </row>
    <row r="1541" spans="1:26" hidden="1" x14ac:dyDescent="0.35">
      <c r="A1541">
        <v>1537</v>
      </c>
      <c r="B1541">
        <v>1538</v>
      </c>
      <c r="C1541">
        <v>146.095383545</v>
      </c>
      <c r="D1541">
        <v>-17.654637064300001</v>
      </c>
      <c r="G1541" s="92"/>
      <c r="I1541">
        <v>8</v>
      </c>
      <c r="J1541" t="s">
        <v>26</v>
      </c>
      <c r="K1541" s="57"/>
      <c r="L1541" s="31"/>
      <c r="M1541" s="31"/>
      <c r="N1541" s="31"/>
      <c r="O1541" s="31"/>
      <c r="S1541" s="57"/>
      <c r="X1541" s="57"/>
    </row>
    <row r="1542" spans="1:26" hidden="1" x14ac:dyDescent="0.35">
      <c r="A1542">
        <v>1538</v>
      </c>
      <c r="B1542">
        <v>1539</v>
      </c>
      <c r="C1542">
        <v>146.09540949500001</v>
      </c>
      <c r="D1542">
        <v>-17.654719015400001</v>
      </c>
      <c r="G1542" s="92"/>
      <c r="I1542">
        <v>8</v>
      </c>
      <c r="J1542" t="s">
        <v>26</v>
      </c>
      <c r="K1542" s="57"/>
      <c r="L1542" s="31"/>
      <c r="M1542" s="31"/>
      <c r="N1542" s="31"/>
      <c r="O1542" s="31"/>
      <c r="S1542" s="57"/>
      <c r="X1542" s="57"/>
    </row>
    <row r="1543" spans="1:26" hidden="1" x14ac:dyDescent="0.35">
      <c r="A1543">
        <v>1539</v>
      </c>
      <c r="B1543">
        <v>1540</v>
      </c>
      <c r="C1543">
        <v>146.095435444999</v>
      </c>
      <c r="D1543">
        <v>-17.654800966500002</v>
      </c>
      <c r="G1543" s="92"/>
      <c r="I1543">
        <v>8</v>
      </c>
      <c r="J1543" t="s">
        <v>26</v>
      </c>
      <c r="K1543" s="57"/>
      <c r="L1543" s="31"/>
      <c r="M1543" s="31"/>
      <c r="N1543" s="31"/>
      <c r="O1543" s="31"/>
      <c r="S1543" s="57"/>
      <c r="X1543" s="57"/>
    </row>
    <row r="1544" spans="1:26" hidden="1" x14ac:dyDescent="0.35">
      <c r="A1544">
        <v>1540</v>
      </c>
      <c r="B1544">
        <v>1541</v>
      </c>
      <c r="C1544">
        <v>146.095464112999</v>
      </c>
      <c r="D1544">
        <v>-17.6548820764</v>
      </c>
      <c r="G1544" s="92"/>
      <c r="I1544">
        <v>8</v>
      </c>
      <c r="J1544" t="s">
        <v>26</v>
      </c>
      <c r="K1544" s="57"/>
      <c r="L1544" s="31"/>
      <c r="M1544" s="31"/>
      <c r="N1544" s="31"/>
      <c r="O1544" s="31"/>
      <c r="S1544" s="57"/>
      <c r="X1544" s="57"/>
    </row>
    <row r="1545" spans="1:26" hidden="1" x14ac:dyDescent="0.35">
      <c r="A1545">
        <v>1541</v>
      </c>
      <c r="B1545">
        <v>1542</v>
      </c>
      <c r="C1545">
        <v>146.095493656999</v>
      </c>
      <c r="D1545">
        <v>-17.654962914999899</v>
      </c>
      <c r="G1545" s="92"/>
      <c r="I1545">
        <v>8</v>
      </c>
      <c r="J1545" t="s">
        <v>26</v>
      </c>
      <c r="K1545" s="57"/>
      <c r="L1545" s="31"/>
      <c r="M1545" s="31"/>
      <c r="N1545" s="31"/>
      <c r="O1545" s="31"/>
      <c r="S1545" s="57"/>
      <c r="X1545" s="57"/>
    </row>
    <row r="1546" spans="1:26" hidden="1" x14ac:dyDescent="0.35">
      <c r="A1546">
        <v>1542</v>
      </c>
      <c r="B1546">
        <v>1543</v>
      </c>
      <c r="C1546">
        <v>146.095523200999</v>
      </c>
      <c r="D1546">
        <v>-17.6550437536999</v>
      </c>
      <c r="G1546" s="92"/>
      <c r="I1546">
        <v>8</v>
      </c>
      <c r="J1546" t="s">
        <v>26</v>
      </c>
      <c r="K1546" s="57"/>
      <c r="L1546" s="31"/>
      <c r="M1546" s="31"/>
      <c r="N1546" s="31"/>
      <c r="O1546" s="31"/>
      <c r="S1546" s="57"/>
      <c r="X1546" s="57"/>
    </row>
    <row r="1547" spans="1:26" hidden="1" x14ac:dyDescent="0.35">
      <c r="A1547">
        <v>1543</v>
      </c>
      <c r="B1547">
        <v>1544</v>
      </c>
      <c r="C1547">
        <v>146.095552744999</v>
      </c>
      <c r="D1547">
        <v>-17.655124592300002</v>
      </c>
      <c r="G1547" s="92"/>
      <c r="I1547">
        <v>8</v>
      </c>
      <c r="J1547" t="s">
        <v>26</v>
      </c>
      <c r="K1547" s="57"/>
      <c r="L1547" s="31"/>
      <c r="M1547" s="31"/>
      <c r="N1547" s="31"/>
      <c r="O1547" s="31"/>
      <c r="S1547" s="57"/>
      <c r="X1547" s="57"/>
    </row>
    <row r="1548" spans="1:26" hidden="1" x14ac:dyDescent="0.35">
      <c r="A1548">
        <v>1544</v>
      </c>
      <c r="B1548">
        <v>1545</v>
      </c>
      <c r="C1548">
        <v>146.095582288</v>
      </c>
      <c r="D1548">
        <v>-17.655205430900001</v>
      </c>
      <c r="G1548" s="92"/>
      <c r="I1548">
        <v>8</v>
      </c>
      <c r="J1548" t="s">
        <v>26</v>
      </c>
      <c r="K1548" s="57"/>
      <c r="L1548" s="31"/>
      <c r="M1548" s="31"/>
      <c r="N1548" s="31"/>
      <c r="O1548" s="31"/>
      <c r="S1548" s="57"/>
      <c r="X1548" s="57"/>
    </row>
    <row r="1549" spans="1:26" hidden="1" x14ac:dyDescent="0.35">
      <c r="A1549">
        <v>1545</v>
      </c>
      <c r="B1549">
        <v>1546</v>
      </c>
      <c r="C1549">
        <v>146.095611832</v>
      </c>
      <c r="D1549">
        <v>-17.655286269400001</v>
      </c>
      <c r="G1549" s="92"/>
      <c r="I1549">
        <v>8</v>
      </c>
      <c r="J1549" t="s">
        <v>26</v>
      </c>
      <c r="K1549" s="57"/>
      <c r="L1549" s="31"/>
      <c r="M1549" s="31"/>
      <c r="N1549" s="31"/>
      <c r="O1549" s="31"/>
      <c r="S1549" s="57"/>
      <c r="X1549" s="57"/>
    </row>
    <row r="1550" spans="1:26" hidden="1" x14ac:dyDescent="0.35">
      <c r="A1550">
        <v>1546</v>
      </c>
      <c r="B1550">
        <v>1547</v>
      </c>
      <c r="C1550">
        <v>146.095641376</v>
      </c>
      <c r="D1550">
        <v>-17.655367107899899</v>
      </c>
      <c r="G1550" s="92"/>
      <c r="I1550">
        <v>8</v>
      </c>
      <c r="J1550" t="s">
        <v>26</v>
      </c>
      <c r="K1550" s="57"/>
      <c r="L1550" s="31"/>
      <c r="M1550" s="31"/>
      <c r="N1550" s="31"/>
      <c r="O1550" s="31"/>
      <c r="S1550" s="57"/>
      <c r="X1550" s="57"/>
      <c r="Z1550" s="57"/>
    </row>
    <row r="1551" spans="1:26" hidden="1" x14ac:dyDescent="0.35">
      <c r="A1551">
        <v>1547</v>
      </c>
      <c r="B1551">
        <v>1548</v>
      </c>
      <c r="C1551">
        <v>146.09567092</v>
      </c>
      <c r="D1551">
        <v>-17.655447946399899</v>
      </c>
      <c r="G1551" s="92"/>
      <c r="I1551">
        <v>8</v>
      </c>
      <c r="J1551" t="s">
        <v>26</v>
      </c>
      <c r="K1551" s="57"/>
      <c r="L1551" s="31"/>
      <c r="M1551" s="31"/>
      <c r="N1551" s="31"/>
      <c r="O1551" s="31"/>
      <c r="S1551" s="57"/>
      <c r="X1551" s="57"/>
    </row>
    <row r="1552" spans="1:26" hidden="1" x14ac:dyDescent="0.35">
      <c r="A1552">
        <v>1548</v>
      </c>
      <c r="B1552">
        <v>1549</v>
      </c>
      <c r="C1552">
        <v>146.095700464</v>
      </c>
      <c r="D1552">
        <v>-17.655528784800001</v>
      </c>
      <c r="G1552" s="92"/>
      <c r="I1552">
        <v>8</v>
      </c>
      <c r="J1552" t="s">
        <v>26</v>
      </c>
      <c r="K1552" s="57"/>
      <c r="L1552" s="31"/>
      <c r="M1552" s="31"/>
      <c r="N1552" s="31"/>
      <c r="O1552" s="31"/>
      <c r="S1552" s="57"/>
      <c r="X1552" s="57"/>
    </row>
    <row r="1553" spans="1:24" hidden="1" x14ac:dyDescent="0.35">
      <c r="A1553">
        <v>1549</v>
      </c>
      <c r="B1553">
        <v>1550</v>
      </c>
      <c r="C1553">
        <v>146.09573673200001</v>
      </c>
      <c r="D1553">
        <v>-17.655606924800001</v>
      </c>
      <c r="G1553" s="92"/>
      <c r="I1553">
        <v>8</v>
      </c>
      <c r="J1553" t="s">
        <v>26</v>
      </c>
      <c r="K1553" s="57"/>
      <c r="L1553" s="31"/>
      <c r="M1553" s="31"/>
      <c r="N1553" s="31"/>
      <c r="O1553" s="31"/>
      <c r="S1553" s="57"/>
      <c r="X1553" s="57"/>
    </row>
    <row r="1554" spans="1:24" hidden="1" x14ac:dyDescent="0.35">
      <c r="A1554">
        <v>1550</v>
      </c>
      <c r="B1554">
        <v>1551</v>
      </c>
      <c r="C1554">
        <v>146.09577677600001</v>
      </c>
      <c r="D1554">
        <v>-17.6556835493999</v>
      </c>
      <c r="G1554" s="92"/>
      <c r="I1554">
        <v>8</v>
      </c>
      <c r="J1554" t="s">
        <v>26</v>
      </c>
      <c r="K1554" s="57"/>
      <c r="L1554" s="31"/>
      <c r="M1554" s="31"/>
      <c r="N1554" s="31"/>
      <c r="O1554" s="31"/>
      <c r="S1554" s="57"/>
      <c r="X1554" s="57"/>
    </row>
    <row r="1555" spans="1:24" hidden="1" x14ac:dyDescent="0.35">
      <c r="A1555">
        <v>1551</v>
      </c>
      <c r="B1555">
        <v>1552</v>
      </c>
      <c r="C1555">
        <v>146.095816821</v>
      </c>
      <c r="D1555">
        <v>-17.6557601738999</v>
      </c>
      <c r="G1555" s="92"/>
      <c r="I1555">
        <v>8</v>
      </c>
      <c r="J1555" t="s">
        <v>26</v>
      </c>
      <c r="K1555" s="57"/>
      <c r="L1555" s="31"/>
      <c r="M1555" s="31"/>
      <c r="N1555" s="31"/>
      <c r="O1555" s="31"/>
      <c r="S1555" s="57"/>
      <c r="X1555" s="57"/>
    </row>
    <row r="1556" spans="1:24" hidden="1" x14ac:dyDescent="0.35">
      <c r="A1556">
        <v>1552</v>
      </c>
      <c r="B1556">
        <v>1553</v>
      </c>
      <c r="C1556">
        <v>146.095856865999</v>
      </c>
      <c r="D1556">
        <v>-17.6558367983999</v>
      </c>
      <c r="G1556" s="92"/>
      <c r="I1556">
        <v>8</v>
      </c>
      <c r="J1556" t="s">
        <v>26</v>
      </c>
      <c r="K1556" s="57"/>
      <c r="L1556" s="31"/>
      <c r="M1556" s="31"/>
      <c r="N1556" s="31"/>
      <c r="O1556" s="31"/>
      <c r="S1556" s="57"/>
      <c r="X1556" s="57"/>
    </row>
    <row r="1557" spans="1:24" hidden="1" x14ac:dyDescent="0.35">
      <c r="A1557">
        <v>1553</v>
      </c>
      <c r="B1557">
        <v>1554</v>
      </c>
      <c r="C1557">
        <v>146.095896909999</v>
      </c>
      <c r="D1557">
        <v>-17.6559134228999</v>
      </c>
      <c r="G1557" s="92"/>
      <c r="I1557">
        <v>8</v>
      </c>
      <c r="J1557" t="s">
        <v>26</v>
      </c>
      <c r="K1557" s="57"/>
      <c r="L1557" s="31"/>
      <c r="M1557" s="31"/>
      <c r="N1557" s="31"/>
      <c r="O1557" s="31"/>
      <c r="S1557" s="57"/>
      <c r="X1557" s="57"/>
    </row>
    <row r="1558" spans="1:24" hidden="1" x14ac:dyDescent="0.35">
      <c r="A1558">
        <v>1554</v>
      </c>
      <c r="B1558">
        <v>1555</v>
      </c>
      <c r="C1558">
        <v>146.09593695500001</v>
      </c>
      <c r="D1558">
        <v>-17.655990047300001</v>
      </c>
      <c r="G1558" s="92"/>
      <c r="I1558">
        <v>8</v>
      </c>
      <c r="J1558" t="s">
        <v>26</v>
      </c>
      <c r="K1558" s="57"/>
      <c r="L1558" s="31"/>
      <c r="M1558" s="31"/>
      <c r="N1558" s="31"/>
      <c r="O1558" s="31"/>
      <c r="S1558" s="57"/>
      <c r="X1558" s="57"/>
    </row>
    <row r="1559" spans="1:24" hidden="1" x14ac:dyDescent="0.35">
      <c r="A1559">
        <v>1555</v>
      </c>
      <c r="B1559">
        <v>1556</v>
      </c>
      <c r="C1559">
        <v>146.095976449999</v>
      </c>
      <c r="D1559">
        <v>-17.6560669019999</v>
      </c>
      <c r="G1559" s="92"/>
      <c r="I1559">
        <v>8</v>
      </c>
      <c r="J1559" t="s">
        <v>26</v>
      </c>
      <c r="K1559" s="57"/>
      <c r="L1559" s="31"/>
      <c r="M1559" s="31"/>
      <c r="N1559" s="31"/>
      <c r="O1559" s="31"/>
      <c r="S1559" s="57"/>
      <c r="X1559" s="57"/>
    </row>
    <row r="1560" spans="1:24" hidden="1" x14ac:dyDescent="0.35">
      <c r="A1560">
        <v>1556</v>
      </c>
      <c r="B1560">
        <v>1557</v>
      </c>
      <c r="C1560">
        <v>146.09600864500001</v>
      </c>
      <c r="D1560">
        <v>-17.656146815700001</v>
      </c>
      <c r="G1560" s="92"/>
      <c r="I1560">
        <v>8</v>
      </c>
      <c r="J1560" t="s">
        <v>26</v>
      </c>
      <c r="K1560" s="57"/>
      <c r="L1560" s="31"/>
      <c r="M1560" s="31"/>
      <c r="N1560" s="31"/>
      <c r="O1560" s="31"/>
      <c r="S1560" s="57"/>
      <c r="X1560" s="57"/>
    </row>
    <row r="1561" spans="1:24" hidden="1" x14ac:dyDescent="0.35">
      <c r="A1561">
        <v>1557</v>
      </c>
      <c r="B1561">
        <v>1558</v>
      </c>
      <c r="C1561">
        <v>146.09604083900001</v>
      </c>
      <c r="D1561">
        <v>-17.6562267294</v>
      </c>
      <c r="G1561" s="92"/>
      <c r="I1561">
        <v>8</v>
      </c>
      <c r="J1561" t="s">
        <v>26</v>
      </c>
      <c r="K1561" s="57"/>
      <c r="L1561" s="31"/>
      <c r="M1561" s="31"/>
      <c r="N1561" s="31"/>
      <c r="O1561" s="31"/>
      <c r="S1561" s="57"/>
      <c r="X1561" s="57"/>
    </row>
    <row r="1562" spans="1:24" hidden="1" x14ac:dyDescent="0.35">
      <c r="A1562">
        <v>1558</v>
      </c>
      <c r="B1562">
        <v>1559</v>
      </c>
      <c r="C1562">
        <v>146.096073034</v>
      </c>
      <c r="D1562">
        <v>-17.656306643099899</v>
      </c>
      <c r="G1562" s="92"/>
      <c r="I1562">
        <v>8</v>
      </c>
      <c r="J1562" t="s">
        <v>26</v>
      </c>
      <c r="K1562" s="57"/>
      <c r="L1562" s="31"/>
      <c r="M1562" s="31"/>
      <c r="N1562" s="31"/>
      <c r="O1562" s="31"/>
      <c r="S1562" s="57"/>
      <c r="X1562" s="57"/>
    </row>
    <row r="1563" spans="1:24" hidden="1" x14ac:dyDescent="0.35">
      <c r="A1563">
        <v>1559</v>
      </c>
      <c r="B1563">
        <v>1560</v>
      </c>
      <c r="C1563">
        <v>146.096105227999</v>
      </c>
      <c r="D1563">
        <v>-17.6563865566999</v>
      </c>
      <c r="G1563" s="92"/>
      <c r="I1563">
        <v>8</v>
      </c>
      <c r="J1563" t="s">
        <v>26</v>
      </c>
      <c r="K1563" s="57"/>
      <c r="L1563" s="31"/>
      <c r="M1563" s="31"/>
      <c r="N1563" s="31"/>
      <c r="O1563" s="31"/>
      <c r="S1563" s="57"/>
      <c r="X1563" s="57"/>
    </row>
    <row r="1564" spans="1:24" hidden="1" x14ac:dyDescent="0.35">
      <c r="A1564">
        <v>1560</v>
      </c>
      <c r="B1564">
        <v>1561</v>
      </c>
      <c r="C1564">
        <v>146.096115685999</v>
      </c>
      <c r="D1564">
        <v>-17.6564707793999</v>
      </c>
      <c r="G1564" s="92"/>
      <c r="I1564">
        <v>8</v>
      </c>
      <c r="J1564" t="s">
        <v>26</v>
      </c>
      <c r="K1564" s="57"/>
      <c r="L1564" s="31"/>
      <c r="M1564" s="31"/>
      <c r="N1564" s="31"/>
      <c r="O1564" s="31"/>
      <c r="S1564" s="57"/>
      <c r="X1564" s="57"/>
    </row>
    <row r="1565" spans="1:24" hidden="1" x14ac:dyDescent="0.35">
      <c r="A1565">
        <v>1561</v>
      </c>
      <c r="B1565">
        <v>1562</v>
      </c>
      <c r="C1565">
        <v>146.096119608999</v>
      </c>
      <c r="D1565">
        <v>-17.6565562975</v>
      </c>
      <c r="G1565" s="92"/>
      <c r="I1565">
        <v>8</v>
      </c>
      <c r="J1565" t="s">
        <v>26</v>
      </c>
      <c r="K1565" s="57"/>
      <c r="L1565" s="31"/>
      <c r="M1565" s="31"/>
      <c r="N1565" s="31"/>
      <c r="O1565" s="31"/>
      <c r="S1565" s="57"/>
      <c r="X1565" s="57"/>
    </row>
    <row r="1566" spans="1:24" hidden="1" x14ac:dyDescent="0.35">
      <c r="A1566">
        <v>1562</v>
      </c>
      <c r="B1566">
        <v>1563</v>
      </c>
      <c r="C1566">
        <v>146.096123532999</v>
      </c>
      <c r="D1566">
        <v>-17.656641815499899</v>
      </c>
      <c r="G1566" s="92"/>
      <c r="I1566">
        <v>8</v>
      </c>
      <c r="J1566" t="s">
        <v>26</v>
      </c>
      <c r="K1566" s="57"/>
      <c r="L1566" s="31"/>
      <c r="M1566" s="31"/>
      <c r="N1566" s="31"/>
      <c r="O1566" s="31"/>
      <c r="S1566" s="57"/>
      <c r="X1566" s="57"/>
    </row>
    <row r="1567" spans="1:24" hidden="1" x14ac:dyDescent="0.35">
      <c r="A1567">
        <v>1563</v>
      </c>
      <c r="B1567">
        <v>1564</v>
      </c>
      <c r="C1567">
        <v>146.09612028999899</v>
      </c>
      <c r="D1567">
        <v>-17.6567269051999</v>
      </c>
      <c r="G1567" s="92"/>
      <c r="I1567">
        <v>8</v>
      </c>
      <c r="J1567" t="s">
        <v>26</v>
      </c>
      <c r="K1567" s="57"/>
      <c r="L1567" s="31"/>
      <c r="M1567" s="31"/>
      <c r="N1567" s="31"/>
      <c r="O1567" s="31"/>
      <c r="S1567" s="57"/>
      <c r="X1567" s="57"/>
    </row>
    <row r="1568" spans="1:24" hidden="1" x14ac:dyDescent="0.35">
      <c r="A1568">
        <v>1564</v>
      </c>
      <c r="B1568">
        <v>1565</v>
      </c>
      <c r="C1568">
        <v>146.09610518700001</v>
      </c>
      <c r="D1568">
        <v>-17.656811286500002</v>
      </c>
      <c r="G1568" s="92"/>
      <c r="I1568">
        <v>8</v>
      </c>
      <c r="J1568" t="s">
        <v>26</v>
      </c>
      <c r="K1568" s="57"/>
      <c r="L1568" s="31"/>
      <c r="M1568" s="31"/>
      <c r="N1568" s="31"/>
      <c r="O1568" s="31"/>
      <c r="S1568" s="57"/>
      <c r="X1568" s="57"/>
    </row>
    <row r="1569" spans="1:24" hidden="1" x14ac:dyDescent="0.35">
      <c r="A1569">
        <v>1565</v>
      </c>
      <c r="B1569">
        <v>1566</v>
      </c>
      <c r="C1569">
        <v>146.096090083999</v>
      </c>
      <c r="D1569">
        <v>-17.656895667699899</v>
      </c>
      <c r="G1569" s="92"/>
      <c r="I1569">
        <v>8</v>
      </c>
      <c r="J1569" t="s">
        <v>26</v>
      </c>
      <c r="K1569" s="57"/>
      <c r="L1569" s="31"/>
      <c r="M1569" s="31"/>
      <c r="N1569" s="31"/>
      <c r="O1569" s="31"/>
      <c r="S1569" s="57"/>
      <c r="X1569" s="57"/>
    </row>
    <row r="1570" spans="1:24" hidden="1" x14ac:dyDescent="0.35">
      <c r="A1570">
        <v>1566</v>
      </c>
      <c r="B1570">
        <v>1567</v>
      </c>
      <c r="C1570">
        <v>146.096067328999</v>
      </c>
      <c r="D1570">
        <v>-17.656977853600001</v>
      </c>
      <c r="G1570" s="92"/>
      <c r="I1570">
        <v>8</v>
      </c>
      <c r="J1570" t="s">
        <v>26</v>
      </c>
      <c r="K1570" s="57"/>
      <c r="L1570" s="31"/>
      <c r="M1570" s="31"/>
      <c r="N1570" s="31"/>
      <c r="O1570" s="31"/>
      <c r="S1570" s="57"/>
      <c r="X1570" s="57"/>
    </row>
    <row r="1571" spans="1:24" hidden="1" x14ac:dyDescent="0.35">
      <c r="A1571">
        <v>1567</v>
      </c>
      <c r="B1571">
        <v>1568</v>
      </c>
      <c r="C1571">
        <v>146.096031038999</v>
      </c>
      <c r="D1571">
        <v>-17.6570561576</v>
      </c>
      <c r="G1571" s="92"/>
      <c r="I1571">
        <v>8</v>
      </c>
      <c r="J1571" t="s">
        <v>26</v>
      </c>
      <c r="K1571" s="57"/>
      <c r="L1571" s="31"/>
      <c r="M1571" s="31"/>
      <c r="N1571" s="31"/>
      <c r="O1571" s="31"/>
      <c r="S1571" s="57"/>
      <c r="X1571" s="57"/>
    </row>
    <row r="1572" spans="1:24" hidden="1" x14ac:dyDescent="0.35">
      <c r="A1572">
        <v>1568</v>
      </c>
      <c r="B1572">
        <v>1569</v>
      </c>
      <c r="C1572">
        <v>146.09599474999899</v>
      </c>
      <c r="D1572">
        <v>-17.6571344615</v>
      </c>
      <c r="G1572" s="92"/>
      <c r="I1572">
        <v>8</v>
      </c>
      <c r="J1572" t="s">
        <v>26</v>
      </c>
      <c r="K1572" s="57"/>
      <c r="L1572" s="31"/>
      <c r="M1572" s="31"/>
      <c r="N1572" s="31"/>
      <c r="O1572" s="31"/>
      <c r="S1572" s="57"/>
      <c r="X1572" s="57"/>
    </row>
    <row r="1573" spans="1:24" hidden="1" x14ac:dyDescent="0.35">
      <c r="A1573">
        <v>1569</v>
      </c>
      <c r="B1573">
        <v>1570</v>
      </c>
      <c r="C1573">
        <v>146.095958459999</v>
      </c>
      <c r="D1573">
        <v>-17.657212765400001</v>
      </c>
      <c r="G1573" s="92"/>
      <c r="I1573">
        <v>8</v>
      </c>
      <c r="J1573" t="s">
        <v>26</v>
      </c>
      <c r="K1573" s="57"/>
      <c r="L1573" s="31"/>
      <c r="M1573" s="31"/>
      <c r="N1573" s="31"/>
      <c r="O1573" s="31"/>
      <c r="S1573" s="57"/>
      <c r="X1573" s="57"/>
    </row>
    <row r="1574" spans="1:24" hidden="1" x14ac:dyDescent="0.35">
      <c r="A1574">
        <v>1570</v>
      </c>
      <c r="B1574">
        <v>1571</v>
      </c>
      <c r="C1574">
        <v>146.09592217100001</v>
      </c>
      <c r="D1574">
        <v>-17.657291069300001</v>
      </c>
      <c r="G1574" s="92"/>
      <c r="I1574">
        <v>8</v>
      </c>
      <c r="J1574" t="s">
        <v>26</v>
      </c>
      <c r="K1574" s="57"/>
      <c r="L1574" s="31"/>
      <c r="M1574" s="31"/>
      <c r="N1574" s="31"/>
      <c r="O1574" s="31"/>
      <c r="S1574" s="57"/>
      <c r="X1574" s="57"/>
    </row>
    <row r="1575" spans="1:24" hidden="1" x14ac:dyDescent="0.35">
      <c r="A1575">
        <v>1571</v>
      </c>
      <c r="B1575">
        <v>1572</v>
      </c>
      <c r="C1575">
        <v>146.095881058</v>
      </c>
      <c r="D1575">
        <v>-17.6573665013</v>
      </c>
      <c r="G1575" s="92"/>
      <c r="I1575">
        <v>8</v>
      </c>
      <c r="J1575" t="s">
        <v>26</v>
      </c>
      <c r="K1575" s="57"/>
      <c r="L1575" s="31"/>
      <c r="M1575" s="31"/>
      <c r="N1575" s="31"/>
      <c r="O1575" s="31"/>
      <c r="S1575" s="57"/>
      <c r="X1575" s="57"/>
    </row>
    <row r="1576" spans="1:24" hidden="1" x14ac:dyDescent="0.35">
      <c r="A1576">
        <v>1572</v>
      </c>
      <c r="B1576">
        <v>1573</v>
      </c>
      <c r="C1576">
        <v>146.09582312000001</v>
      </c>
      <c r="D1576">
        <v>-17.657431917499899</v>
      </c>
      <c r="G1576" s="92"/>
      <c r="I1576">
        <v>8</v>
      </c>
      <c r="J1576" t="s">
        <v>26</v>
      </c>
      <c r="K1576" s="57"/>
      <c r="L1576" s="31"/>
      <c r="M1576" s="31"/>
      <c r="N1576" s="31"/>
      <c r="O1576" s="31"/>
      <c r="S1576" s="57"/>
      <c r="X1576" s="57"/>
    </row>
    <row r="1577" spans="1:24" hidden="1" x14ac:dyDescent="0.35">
      <c r="A1577">
        <v>1573</v>
      </c>
      <c r="B1577">
        <v>1574</v>
      </c>
      <c r="C1577">
        <v>146.09576518200001</v>
      </c>
      <c r="D1577">
        <v>-17.6574973337</v>
      </c>
      <c r="G1577" s="92"/>
      <c r="I1577">
        <v>8</v>
      </c>
      <c r="J1577" t="s">
        <v>26</v>
      </c>
      <c r="K1577" s="57"/>
      <c r="L1577" s="31"/>
      <c r="M1577" s="31"/>
      <c r="N1577" s="31"/>
      <c r="O1577" s="31"/>
      <c r="S1577" s="57"/>
      <c r="X1577" s="57"/>
    </row>
    <row r="1578" spans="1:24" hidden="1" x14ac:dyDescent="0.35">
      <c r="A1578">
        <v>1574</v>
      </c>
      <c r="B1578">
        <v>1575</v>
      </c>
      <c r="C1578">
        <v>146.09570724400001</v>
      </c>
      <c r="D1578">
        <v>-17.6575627498</v>
      </c>
      <c r="G1578" s="92"/>
      <c r="I1578">
        <v>8</v>
      </c>
      <c r="J1578" t="s">
        <v>26</v>
      </c>
      <c r="K1578" s="57"/>
      <c r="L1578" s="31"/>
      <c r="M1578" s="31"/>
      <c r="N1578" s="31"/>
      <c r="O1578" s="31"/>
      <c r="S1578" s="57"/>
      <c r="X1578" s="57"/>
    </row>
    <row r="1579" spans="1:24" hidden="1" x14ac:dyDescent="0.35">
      <c r="A1579">
        <v>1575</v>
      </c>
      <c r="B1579">
        <v>1576</v>
      </c>
      <c r="C1579">
        <v>146.09564930600001</v>
      </c>
      <c r="D1579">
        <v>-17.6576281659</v>
      </c>
      <c r="G1579" s="92"/>
      <c r="I1579">
        <v>8</v>
      </c>
      <c r="J1579" t="s">
        <v>26</v>
      </c>
      <c r="K1579" s="57"/>
      <c r="L1579" s="31"/>
      <c r="M1579" s="31"/>
      <c r="N1579" s="31"/>
      <c r="O1579" s="31"/>
      <c r="S1579" s="57"/>
      <c r="X1579" s="57"/>
    </row>
    <row r="1580" spans="1:24" hidden="1" x14ac:dyDescent="0.35">
      <c r="A1580">
        <v>1576</v>
      </c>
      <c r="B1580">
        <v>1577</v>
      </c>
      <c r="C1580">
        <v>146.095581611</v>
      </c>
      <c r="D1580">
        <v>-17.6576823949</v>
      </c>
      <c r="G1580" s="92"/>
      <c r="I1580">
        <v>8</v>
      </c>
      <c r="J1580" t="s">
        <v>26</v>
      </c>
      <c r="K1580" s="57"/>
      <c r="L1580" s="31"/>
      <c r="M1580" s="31"/>
      <c r="N1580" s="31"/>
      <c r="O1580" s="31"/>
      <c r="S1580" s="57"/>
      <c r="X1580" s="57"/>
    </row>
    <row r="1581" spans="1:24" hidden="1" x14ac:dyDescent="0.35">
      <c r="A1581">
        <v>1577</v>
      </c>
      <c r="B1581">
        <v>1578</v>
      </c>
      <c r="C1581">
        <v>146.09550351799899</v>
      </c>
      <c r="D1581">
        <v>-17.6577247025999</v>
      </c>
      <c r="G1581" s="92"/>
      <c r="I1581">
        <v>8</v>
      </c>
      <c r="J1581" t="s">
        <v>26</v>
      </c>
      <c r="K1581" s="57"/>
      <c r="L1581" s="31"/>
      <c r="M1581" s="31"/>
      <c r="N1581" s="31"/>
      <c r="O1581" s="31"/>
      <c r="S1581" s="57"/>
      <c r="X1581" s="57"/>
    </row>
    <row r="1582" spans="1:24" hidden="1" x14ac:dyDescent="0.35">
      <c r="A1582">
        <v>1578</v>
      </c>
      <c r="B1582">
        <v>1579</v>
      </c>
      <c r="C1582">
        <v>146.095425425999</v>
      </c>
      <c r="D1582">
        <v>-17.657767010200001</v>
      </c>
      <c r="G1582" s="92"/>
      <c r="I1582">
        <v>8</v>
      </c>
      <c r="J1582" t="s">
        <v>26</v>
      </c>
      <c r="K1582" s="57"/>
      <c r="L1582" s="31"/>
      <c r="M1582" s="31"/>
      <c r="N1582" s="31"/>
      <c r="O1582" s="31"/>
      <c r="S1582" s="57"/>
      <c r="X1582" s="57"/>
    </row>
    <row r="1583" spans="1:24" hidden="1" x14ac:dyDescent="0.35">
      <c r="A1583">
        <v>1579</v>
      </c>
      <c r="B1583">
        <v>1580</v>
      </c>
      <c r="C1583">
        <v>146.095347333999</v>
      </c>
      <c r="D1583">
        <v>-17.6578093179</v>
      </c>
      <c r="G1583" s="92"/>
      <c r="I1583">
        <v>8</v>
      </c>
      <c r="J1583" t="s">
        <v>26</v>
      </c>
      <c r="K1583" s="57"/>
      <c r="L1583" s="31"/>
      <c r="M1583" s="31"/>
      <c r="N1583" s="31"/>
      <c r="O1583" s="31"/>
      <c r="S1583" s="57"/>
      <c r="X1583" s="57"/>
    </row>
    <row r="1584" spans="1:24" hidden="1" x14ac:dyDescent="0.35">
      <c r="A1584">
        <v>1580</v>
      </c>
      <c r="B1584">
        <v>1581</v>
      </c>
      <c r="C1584">
        <v>146.09526495399899</v>
      </c>
      <c r="D1584">
        <v>-17.6578417811</v>
      </c>
      <c r="G1584" s="92"/>
      <c r="I1584">
        <v>8</v>
      </c>
      <c r="J1584" t="s">
        <v>26</v>
      </c>
      <c r="K1584" s="57"/>
      <c r="L1584" s="31"/>
      <c r="M1584" s="31"/>
      <c r="N1584" s="31"/>
      <c r="O1584" s="31"/>
      <c r="S1584" s="57"/>
      <c r="X1584" s="57"/>
    </row>
    <row r="1585" spans="1:24" hidden="1" x14ac:dyDescent="0.35">
      <c r="A1585">
        <v>1581</v>
      </c>
      <c r="B1585">
        <v>1582</v>
      </c>
      <c r="C1585">
        <v>146.095178371999</v>
      </c>
      <c r="D1585">
        <v>-17.657864595100001</v>
      </c>
      <c r="G1585" s="92"/>
      <c r="I1585">
        <v>8</v>
      </c>
      <c r="J1585" t="s">
        <v>26</v>
      </c>
      <c r="K1585" s="57"/>
      <c r="L1585" s="31"/>
      <c r="M1585" s="31"/>
      <c r="N1585" s="31"/>
      <c r="O1585" s="31"/>
      <c r="S1585" s="57"/>
      <c r="X1585" s="57"/>
    </row>
    <row r="1586" spans="1:24" hidden="1" x14ac:dyDescent="0.35">
      <c r="A1586">
        <v>1582</v>
      </c>
      <c r="B1586">
        <v>1583</v>
      </c>
      <c r="C1586">
        <v>146.095091789999</v>
      </c>
      <c r="D1586">
        <v>-17.657887409000001</v>
      </c>
      <c r="G1586" s="92"/>
      <c r="I1586">
        <v>8</v>
      </c>
      <c r="J1586" t="s">
        <v>26</v>
      </c>
      <c r="K1586" s="57"/>
      <c r="L1586" s="31"/>
      <c r="M1586" s="31"/>
      <c r="N1586" s="31"/>
      <c r="O1586" s="31"/>
      <c r="S1586" s="57"/>
      <c r="X1586" s="57"/>
    </row>
    <row r="1587" spans="1:24" hidden="1" x14ac:dyDescent="0.35">
      <c r="A1587">
        <v>1583</v>
      </c>
      <c r="B1587">
        <v>1584</v>
      </c>
      <c r="C1587">
        <v>146.095005208</v>
      </c>
      <c r="D1587">
        <v>-17.657910222999899</v>
      </c>
      <c r="G1587" s="92"/>
      <c r="I1587">
        <v>8</v>
      </c>
      <c r="J1587" t="s">
        <v>26</v>
      </c>
      <c r="K1587" s="57"/>
      <c r="L1587" s="31"/>
      <c r="M1587" s="31"/>
      <c r="N1587" s="31"/>
      <c r="O1587" s="31"/>
      <c r="S1587" s="57"/>
      <c r="X1587" s="57"/>
    </row>
    <row r="1588" spans="1:24" hidden="1" x14ac:dyDescent="0.35">
      <c r="A1588">
        <v>1584</v>
      </c>
      <c r="B1588">
        <v>1585</v>
      </c>
      <c r="C1588">
        <v>146.094920088999</v>
      </c>
      <c r="D1588">
        <v>-17.657936681500001</v>
      </c>
      <c r="G1588" s="92"/>
      <c r="I1588">
        <v>8</v>
      </c>
      <c r="J1588" t="s">
        <v>26</v>
      </c>
      <c r="K1588" s="57"/>
      <c r="L1588" s="31"/>
      <c r="M1588" s="31"/>
      <c r="N1588" s="31"/>
      <c r="O1588" s="31"/>
      <c r="S1588" s="57"/>
      <c r="X1588" s="57"/>
    </row>
    <row r="1589" spans="1:24" hidden="1" x14ac:dyDescent="0.35">
      <c r="A1589">
        <v>1585</v>
      </c>
      <c r="B1589">
        <v>1586</v>
      </c>
      <c r="C1589">
        <v>146.09483964699899</v>
      </c>
      <c r="D1589">
        <v>-17.6579747812</v>
      </c>
      <c r="G1589" s="92"/>
      <c r="I1589">
        <v>8</v>
      </c>
      <c r="J1589" t="s">
        <v>26</v>
      </c>
      <c r="K1589" s="57"/>
      <c r="L1589" s="31"/>
      <c r="M1589" s="31"/>
      <c r="N1589" s="31"/>
      <c r="O1589" s="31"/>
      <c r="S1589" s="57"/>
      <c r="X1589" s="57"/>
    </row>
    <row r="1590" spans="1:24" hidden="1" x14ac:dyDescent="0.35">
      <c r="A1590">
        <v>1586</v>
      </c>
      <c r="B1590">
        <v>1587</v>
      </c>
      <c r="C1590">
        <v>146.09475920400001</v>
      </c>
      <c r="D1590">
        <v>-17.6580128808999</v>
      </c>
      <c r="G1590" s="92"/>
      <c r="I1590">
        <v>8</v>
      </c>
      <c r="J1590" t="s">
        <v>26</v>
      </c>
      <c r="K1590" s="57"/>
      <c r="L1590" s="31"/>
      <c r="M1590" s="31"/>
      <c r="N1590" s="31"/>
      <c r="O1590" s="31"/>
      <c r="S1590" s="57"/>
      <c r="X1590" s="57"/>
    </row>
    <row r="1591" spans="1:24" hidden="1" x14ac:dyDescent="0.35">
      <c r="A1591">
        <v>1587</v>
      </c>
      <c r="B1591">
        <v>1588</v>
      </c>
      <c r="C1591">
        <v>146.09467876100001</v>
      </c>
      <c r="D1591">
        <v>-17.658050980599899</v>
      </c>
      <c r="G1591" s="92"/>
      <c r="I1591">
        <v>8</v>
      </c>
      <c r="J1591" t="s">
        <v>26</v>
      </c>
      <c r="K1591" s="57"/>
      <c r="L1591" s="31"/>
      <c r="M1591" s="31"/>
      <c r="N1591" s="31"/>
      <c r="O1591" s="31"/>
      <c r="S1591" s="57"/>
      <c r="X1591" s="57"/>
    </row>
    <row r="1592" spans="1:24" hidden="1" x14ac:dyDescent="0.35">
      <c r="A1592">
        <v>1588</v>
      </c>
      <c r="B1592">
        <v>1589</v>
      </c>
      <c r="C1592">
        <v>146.094598318999</v>
      </c>
      <c r="D1592">
        <v>-17.658089080300002</v>
      </c>
      <c r="G1592" s="92"/>
      <c r="I1592">
        <v>8</v>
      </c>
      <c r="J1592" t="s">
        <v>26</v>
      </c>
      <c r="K1592" s="57"/>
      <c r="L1592" s="31"/>
      <c r="M1592" s="31"/>
      <c r="N1592" s="31"/>
      <c r="O1592" s="31"/>
      <c r="S1592" s="57"/>
      <c r="X1592" s="57"/>
    </row>
    <row r="1593" spans="1:24" hidden="1" x14ac:dyDescent="0.35">
      <c r="A1593">
        <v>1589</v>
      </c>
      <c r="B1593">
        <v>1590</v>
      </c>
      <c r="C1593">
        <v>146.094517875999</v>
      </c>
      <c r="D1593">
        <v>-17.658127180000001</v>
      </c>
      <c r="G1593" s="92"/>
      <c r="I1593">
        <v>8</v>
      </c>
      <c r="J1593" t="s">
        <v>26</v>
      </c>
      <c r="K1593" s="57"/>
      <c r="L1593" s="31"/>
      <c r="M1593" s="31"/>
      <c r="N1593" s="31"/>
      <c r="O1593" s="31"/>
      <c r="S1593" s="57"/>
      <c r="X1593" s="57"/>
    </row>
    <row r="1594" spans="1:24" hidden="1" x14ac:dyDescent="0.35">
      <c r="A1594">
        <v>1590</v>
      </c>
      <c r="B1594">
        <v>1591</v>
      </c>
      <c r="C1594">
        <v>146.094441993999</v>
      </c>
      <c r="D1594">
        <v>-17.658172345099899</v>
      </c>
      <c r="G1594" s="92"/>
      <c r="I1594">
        <v>8</v>
      </c>
      <c r="J1594" t="s">
        <v>26</v>
      </c>
      <c r="K1594" s="57"/>
      <c r="L1594" s="31"/>
      <c r="M1594" s="31"/>
      <c r="N1594" s="31"/>
      <c r="O1594" s="31"/>
      <c r="S1594" s="57"/>
      <c r="X1594" s="57"/>
    </row>
    <row r="1595" spans="1:24" hidden="1" x14ac:dyDescent="0.35">
      <c r="A1595">
        <v>1591</v>
      </c>
      <c r="B1595">
        <v>1592</v>
      </c>
      <c r="C1595">
        <v>146.09437002799899</v>
      </c>
      <c r="D1595">
        <v>-17.658223576200001</v>
      </c>
      <c r="G1595" s="92"/>
      <c r="I1595">
        <v>8</v>
      </c>
      <c r="J1595" t="s">
        <v>26</v>
      </c>
      <c r="K1595" s="57"/>
      <c r="L1595" s="31"/>
      <c r="M1595" s="31"/>
      <c r="N1595" s="31"/>
      <c r="O1595" s="31"/>
      <c r="S1595" s="57"/>
      <c r="X1595" s="57"/>
    </row>
    <row r="1596" spans="1:24" hidden="1" x14ac:dyDescent="0.35">
      <c r="A1596">
        <v>1592</v>
      </c>
      <c r="B1596">
        <v>1593</v>
      </c>
      <c r="C1596">
        <v>146.09429806200001</v>
      </c>
      <c r="D1596">
        <v>-17.6582748073</v>
      </c>
      <c r="G1596" s="92"/>
      <c r="I1596">
        <v>8</v>
      </c>
      <c r="J1596" t="s">
        <v>26</v>
      </c>
      <c r="K1596" s="57"/>
      <c r="L1596" s="31"/>
      <c r="M1596" s="31"/>
      <c r="N1596" s="31"/>
      <c r="O1596" s="31"/>
      <c r="S1596" s="57"/>
      <c r="X1596" s="57"/>
    </row>
    <row r="1597" spans="1:24" hidden="1" x14ac:dyDescent="0.35">
      <c r="A1597">
        <v>1593</v>
      </c>
      <c r="B1597">
        <v>1594</v>
      </c>
      <c r="C1597">
        <v>146.094226096</v>
      </c>
      <c r="D1597">
        <v>-17.6583260383</v>
      </c>
      <c r="G1597" s="92"/>
      <c r="I1597">
        <v>8</v>
      </c>
      <c r="J1597" t="s">
        <v>26</v>
      </c>
      <c r="K1597" s="57"/>
      <c r="L1597" s="31"/>
      <c r="M1597" s="31"/>
      <c r="N1597" s="31"/>
      <c r="O1597" s="31"/>
      <c r="S1597" s="57"/>
      <c r="X1597" s="57"/>
    </row>
    <row r="1598" spans="1:24" hidden="1" x14ac:dyDescent="0.35">
      <c r="A1598">
        <v>1594</v>
      </c>
      <c r="B1598">
        <v>1595</v>
      </c>
      <c r="C1598">
        <v>146.094154129999</v>
      </c>
      <c r="D1598">
        <v>-17.658377269399899</v>
      </c>
      <c r="G1598" s="92"/>
      <c r="I1598">
        <v>8</v>
      </c>
      <c r="J1598" t="s">
        <v>26</v>
      </c>
      <c r="K1598" s="57"/>
      <c r="L1598" s="31"/>
      <c r="M1598" s="31"/>
      <c r="N1598" s="31"/>
      <c r="O1598" s="31"/>
      <c r="S1598" s="57"/>
      <c r="X1598" s="57"/>
    </row>
    <row r="1599" spans="1:24" hidden="1" x14ac:dyDescent="0.35">
      <c r="A1599">
        <v>1595</v>
      </c>
      <c r="B1599">
        <v>1596</v>
      </c>
      <c r="C1599">
        <v>146.09408259400001</v>
      </c>
      <c r="D1599">
        <v>-17.6584290409</v>
      </c>
      <c r="G1599" s="92"/>
      <c r="I1599">
        <v>8</v>
      </c>
      <c r="J1599" t="s">
        <v>26</v>
      </c>
      <c r="K1599" s="57"/>
      <c r="L1599" s="31"/>
      <c r="M1599" s="31"/>
      <c r="N1599" s="31"/>
      <c r="O1599" s="31"/>
      <c r="S1599" s="57"/>
      <c r="X1599" s="57"/>
    </row>
    <row r="1600" spans="1:24" hidden="1" x14ac:dyDescent="0.35">
      <c r="A1600">
        <v>1596</v>
      </c>
      <c r="B1600">
        <v>1597</v>
      </c>
      <c r="C1600">
        <v>146.09401134500001</v>
      </c>
      <c r="D1600">
        <v>-17.6584811739</v>
      </c>
      <c r="G1600" s="92"/>
      <c r="I1600">
        <v>8</v>
      </c>
      <c r="J1600" t="s">
        <v>26</v>
      </c>
      <c r="K1600" s="57"/>
      <c r="L1600" s="31"/>
      <c r="M1600" s="31"/>
      <c r="N1600" s="31"/>
      <c r="O1600" s="31"/>
      <c r="S1600" s="57"/>
      <c r="X1600" s="57"/>
    </row>
    <row r="1601" spans="1:24" hidden="1" x14ac:dyDescent="0.35">
      <c r="A1601">
        <v>1597</v>
      </c>
      <c r="B1601">
        <v>1598</v>
      </c>
      <c r="C1601">
        <v>146.09394009600001</v>
      </c>
      <c r="D1601">
        <v>-17.658533306900001</v>
      </c>
      <c r="G1601" s="92"/>
      <c r="I1601">
        <v>8</v>
      </c>
      <c r="J1601" t="s">
        <v>26</v>
      </c>
      <c r="K1601" s="57"/>
      <c r="L1601" s="31"/>
      <c r="M1601" s="31"/>
      <c r="N1601" s="31"/>
      <c r="O1601" s="31"/>
      <c r="S1601" s="57"/>
      <c r="X1601" s="57"/>
    </row>
    <row r="1602" spans="1:24" hidden="1" x14ac:dyDescent="0.35">
      <c r="A1602">
        <v>1598</v>
      </c>
      <c r="B1602">
        <v>1599</v>
      </c>
      <c r="C1602">
        <v>146.09386884700001</v>
      </c>
      <c r="D1602">
        <v>-17.658585439900001</v>
      </c>
      <c r="G1602" s="92"/>
      <c r="I1602">
        <v>8</v>
      </c>
      <c r="J1602" t="s">
        <v>26</v>
      </c>
      <c r="K1602" s="57"/>
      <c r="L1602" s="31"/>
      <c r="M1602" s="31"/>
      <c r="N1602" s="31"/>
      <c r="O1602" s="31"/>
      <c r="S1602" s="57"/>
      <c r="X1602" s="57"/>
    </row>
    <row r="1603" spans="1:24" hidden="1" x14ac:dyDescent="0.35">
      <c r="A1603">
        <v>1599</v>
      </c>
      <c r="B1603">
        <v>1600</v>
      </c>
      <c r="C1603">
        <v>146.09379759800001</v>
      </c>
      <c r="D1603">
        <v>-17.658637572899899</v>
      </c>
      <c r="G1603" s="92"/>
      <c r="I1603">
        <v>8</v>
      </c>
      <c r="J1603" t="s">
        <v>26</v>
      </c>
      <c r="K1603" s="57"/>
      <c r="L1603" s="31"/>
      <c r="M1603" s="31"/>
      <c r="N1603" s="31"/>
      <c r="O1603" s="31"/>
      <c r="S1603" s="57"/>
      <c r="X1603" s="57"/>
    </row>
    <row r="1604" spans="1:24" hidden="1" x14ac:dyDescent="0.35">
      <c r="A1604">
        <v>1600</v>
      </c>
      <c r="B1604">
        <v>1601</v>
      </c>
      <c r="C1604">
        <v>146.09372744800001</v>
      </c>
      <c r="D1604">
        <v>-17.6586910254</v>
      </c>
      <c r="G1604" s="92"/>
      <c r="I1604">
        <v>8</v>
      </c>
      <c r="J1604" t="s">
        <v>26</v>
      </c>
      <c r="K1604" s="57"/>
      <c r="L1604" s="31"/>
      <c r="M1604" s="31"/>
      <c r="N1604" s="31"/>
      <c r="O1604" s="31"/>
      <c r="S1604" s="57"/>
      <c r="X1604" s="57"/>
    </row>
    <row r="1605" spans="1:24" hidden="1" x14ac:dyDescent="0.35">
      <c r="A1605">
        <v>1601</v>
      </c>
      <c r="B1605">
        <v>1602</v>
      </c>
      <c r="C1605">
        <v>146.09365800200001</v>
      </c>
      <c r="D1605">
        <v>-17.658745321400001</v>
      </c>
      <c r="G1605" s="92"/>
      <c r="I1605">
        <v>8</v>
      </c>
      <c r="J1605" t="s">
        <v>26</v>
      </c>
      <c r="K1605" s="57"/>
      <c r="L1605" s="31"/>
      <c r="M1605" s="31"/>
      <c r="N1605" s="31"/>
      <c r="O1605" s="31"/>
      <c r="S1605" s="57"/>
      <c r="X1605" s="57"/>
    </row>
    <row r="1606" spans="1:24" hidden="1" x14ac:dyDescent="0.35">
      <c r="A1606">
        <v>1602</v>
      </c>
      <c r="B1606">
        <v>1603</v>
      </c>
      <c r="C1606">
        <v>146.093588554999</v>
      </c>
      <c r="D1606">
        <v>-17.658799617500001</v>
      </c>
      <c r="G1606" s="92"/>
      <c r="I1606">
        <v>8</v>
      </c>
      <c r="J1606" t="s">
        <v>26</v>
      </c>
      <c r="K1606" s="57"/>
      <c r="L1606" s="31"/>
      <c r="M1606" s="31"/>
      <c r="N1606" s="31"/>
      <c r="O1606" s="31"/>
      <c r="S1606" s="57"/>
      <c r="X1606" s="57"/>
    </row>
    <row r="1607" spans="1:24" hidden="1" x14ac:dyDescent="0.35">
      <c r="A1607">
        <v>1603</v>
      </c>
      <c r="B1607">
        <v>1604</v>
      </c>
      <c r="C1607">
        <v>146.09351910800001</v>
      </c>
      <c r="D1607">
        <v>-17.6588539135</v>
      </c>
      <c r="G1607" s="92"/>
      <c r="I1607">
        <v>8</v>
      </c>
      <c r="J1607" t="s">
        <v>26</v>
      </c>
      <c r="K1607" s="57"/>
      <c r="L1607" s="31"/>
      <c r="M1607" s="31"/>
      <c r="N1607" s="31"/>
      <c r="O1607" s="31"/>
      <c r="S1607" s="57"/>
      <c r="X1607" s="57"/>
    </row>
    <row r="1608" spans="1:24" hidden="1" x14ac:dyDescent="0.35">
      <c r="A1608">
        <v>1604</v>
      </c>
      <c r="B1608">
        <v>1605</v>
      </c>
      <c r="C1608">
        <v>146.09345832100001</v>
      </c>
      <c r="D1608">
        <v>-17.658916918900001</v>
      </c>
      <c r="G1608" s="92"/>
      <c r="I1608">
        <v>8</v>
      </c>
      <c r="J1608" t="s">
        <v>26</v>
      </c>
      <c r="K1608" s="57"/>
      <c r="L1608" s="31"/>
      <c r="M1608" s="31"/>
      <c r="N1608" s="31"/>
      <c r="O1608" s="31"/>
      <c r="S1608" s="57"/>
      <c r="X1608" s="57"/>
    </row>
    <row r="1609" spans="1:24" hidden="1" x14ac:dyDescent="0.35">
      <c r="A1609">
        <v>1605</v>
      </c>
      <c r="B1609">
        <v>1606</v>
      </c>
      <c r="C1609">
        <v>146.09339768000001</v>
      </c>
      <c r="D1609">
        <v>-17.6589800709</v>
      </c>
      <c r="G1609" s="92"/>
      <c r="I1609">
        <v>8</v>
      </c>
      <c r="J1609" t="s">
        <v>26</v>
      </c>
      <c r="K1609" s="57"/>
      <c r="L1609" s="31"/>
      <c r="M1609" s="31"/>
      <c r="N1609" s="31"/>
      <c r="O1609" s="31"/>
      <c r="S1609" s="57"/>
      <c r="X1609" s="57"/>
    </row>
    <row r="1610" spans="1:24" hidden="1" x14ac:dyDescent="0.35">
      <c r="A1610">
        <v>1606</v>
      </c>
      <c r="B1610">
        <v>1607</v>
      </c>
      <c r="C1610">
        <v>146.09333703900001</v>
      </c>
      <c r="D1610">
        <v>-17.659043223000001</v>
      </c>
      <c r="G1610" s="92"/>
      <c r="I1610">
        <v>8</v>
      </c>
      <c r="J1610" t="s">
        <v>26</v>
      </c>
      <c r="K1610" s="57"/>
      <c r="L1610" s="31"/>
      <c r="M1610" s="31"/>
      <c r="N1610" s="31"/>
      <c r="O1610" s="31"/>
      <c r="S1610" s="57"/>
      <c r="X1610" s="57"/>
    </row>
    <row r="1611" spans="1:24" hidden="1" x14ac:dyDescent="0.35">
      <c r="A1611">
        <v>1607</v>
      </c>
      <c r="B1611">
        <v>1608</v>
      </c>
      <c r="C1611">
        <v>146.093274772999</v>
      </c>
      <c r="D1611">
        <v>-17.659104750600001</v>
      </c>
      <c r="G1611" s="92"/>
      <c r="I1611">
        <v>8</v>
      </c>
      <c r="J1611" t="s">
        <v>26</v>
      </c>
      <c r="K1611" s="57"/>
      <c r="L1611" s="31"/>
      <c r="M1611" s="31"/>
      <c r="N1611" s="31"/>
      <c r="O1611" s="31"/>
      <c r="S1611" s="57"/>
      <c r="X1611" s="57"/>
    </row>
    <row r="1612" spans="1:24" hidden="1" x14ac:dyDescent="0.35">
      <c r="A1612">
        <v>1608</v>
      </c>
      <c r="B1612">
        <v>1609</v>
      </c>
      <c r="C1612">
        <v>146.09320565900001</v>
      </c>
      <c r="D1612">
        <v>-17.6591594305999</v>
      </c>
      <c r="G1612" s="92"/>
      <c r="I1612">
        <v>8</v>
      </c>
      <c r="J1612" t="s">
        <v>26</v>
      </c>
      <c r="K1612" s="57"/>
      <c r="L1612" s="31"/>
      <c r="M1612" s="31"/>
      <c r="N1612" s="31"/>
      <c r="O1612" s="31"/>
      <c r="S1612" s="57"/>
      <c r="X1612" s="57"/>
    </row>
    <row r="1613" spans="1:24" hidden="1" x14ac:dyDescent="0.35">
      <c r="A1613">
        <v>1609</v>
      </c>
      <c r="B1613">
        <v>1610</v>
      </c>
      <c r="C1613">
        <v>146.093136544999</v>
      </c>
      <c r="D1613">
        <v>-17.659214110499899</v>
      </c>
      <c r="G1613" s="92"/>
      <c r="I1613">
        <v>8</v>
      </c>
      <c r="J1613" t="s">
        <v>26</v>
      </c>
      <c r="K1613" s="57"/>
      <c r="L1613" s="31"/>
      <c r="M1613" s="31"/>
      <c r="N1613" s="31"/>
      <c r="O1613" s="31"/>
      <c r="S1613" s="57"/>
      <c r="X1613" s="57"/>
    </row>
    <row r="1614" spans="1:24" hidden="1" x14ac:dyDescent="0.35">
      <c r="A1614">
        <v>1610</v>
      </c>
      <c r="B1614">
        <v>1611</v>
      </c>
      <c r="C1614">
        <v>146.09306743100001</v>
      </c>
      <c r="D1614">
        <v>-17.659268790500001</v>
      </c>
      <c r="G1614" s="92"/>
      <c r="I1614">
        <v>8</v>
      </c>
      <c r="J1614" t="s">
        <v>26</v>
      </c>
      <c r="K1614" s="57"/>
      <c r="L1614" s="31"/>
      <c r="M1614" s="31"/>
      <c r="N1614" s="31"/>
      <c r="O1614" s="31"/>
      <c r="S1614" s="57"/>
      <c r="X1614" s="57"/>
    </row>
    <row r="1615" spans="1:24" hidden="1" x14ac:dyDescent="0.35">
      <c r="A1615">
        <v>1611</v>
      </c>
      <c r="B1615">
        <v>1612</v>
      </c>
      <c r="C1615">
        <v>146.092998722999</v>
      </c>
      <c r="D1615">
        <v>-17.659323927700001</v>
      </c>
      <c r="G1615" s="92"/>
      <c r="I1615">
        <v>8</v>
      </c>
      <c r="J1615" t="s">
        <v>26</v>
      </c>
      <c r="K1615" s="57"/>
      <c r="L1615" s="31"/>
      <c r="M1615" s="31"/>
      <c r="N1615" s="31"/>
      <c r="O1615" s="31"/>
      <c r="S1615" s="57"/>
      <c r="X1615" s="57"/>
    </row>
    <row r="1616" spans="1:24" hidden="1" x14ac:dyDescent="0.35">
      <c r="A1616">
        <v>1612</v>
      </c>
      <c r="B1616">
        <v>1613</v>
      </c>
      <c r="C1616">
        <v>146.09293083099899</v>
      </c>
      <c r="D1616">
        <v>-17.659379980299899</v>
      </c>
      <c r="G1616" s="92"/>
      <c r="I1616">
        <v>8</v>
      </c>
      <c r="J1616" t="s">
        <v>26</v>
      </c>
      <c r="K1616" s="57"/>
      <c r="L1616" s="31"/>
      <c r="M1616" s="31"/>
      <c r="N1616" s="31"/>
      <c r="O1616" s="31"/>
      <c r="S1616" s="57"/>
      <c r="X1616" s="57"/>
    </row>
    <row r="1617" spans="1:24" hidden="1" x14ac:dyDescent="0.35">
      <c r="A1617">
        <v>1613</v>
      </c>
      <c r="B1617">
        <v>1614</v>
      </c>
      <c r="C1617">
        <v>146.09286293900001</v>
      </c>
      <c r="D1617">
        <v>-17.6594360329</v>
      </c>
      <c r="G1617" s="92"/>
      <c r="I1617">
        <v>8</v>
      </c>
      <c r="J1617" t="s">
        <v>26</v>
      </c>
      <c r="K1617" s="57"/>
      <c r="L1617" s="31"/>
      <c r="M1617" s="31"/>
      <c r="N1617" s="31"/>
      <c r="O1617" s="31"/>
      <c r="S1617" s="57"/>
      <c r="X1617" s="57"/>
    </row>
    <row r="1618" spans="1:24" hidden="1" x14ac:dyDescent="0.35">
      <c r="A1618">
        <v>1614</v>
      </c>
      <c r="B1618">
        <v>1615</v>
      </c>
      <c r="C1618">
        <v>146.092781223999</v>
      </c>
      <c r="D1618">
        <v>-17.6594694528</v>
      </c>
      <c r="G1618" s="92"/>
      <c r="I1618">
        <v>8</v>
      </c>
      <c r="J1618" t="s">
        <v>26</v>
      </c>
      <c r="K1618" s="57"/>
      <c r="L1618" s="31"/>
      <c r="M1618" s="31"/>
      <c r="N1618" s="31"/>
      <c r="O1618" s="31"/>
      <c r="S1618" s="57"/>
      <c r="X1618" s="57"/>
    </row>
    <row r="1619" spans="1:24" hidden="1" x14ac:dyDescent="0.35">
      <c r="A1619">
        <v>1615</v>
      </c>
      <c r="B1619">
        <v>1616</v>
      </c>
      <c r="C1619">
        <v>146.092696539</v>
      </c>
      <c r="D1619">
        <v>-17.659498009499899</v>
      </c>
      <c r="G1619" s="92"/>
      <c r="I1619">
        <v>8</v>
      </c>
      <c r="J1619" t="s">
        <v>26</v>
      </c>
      <c r="K1619" s="57"/>
      <c r="L1619" s="31"/>
      <c r="M1619" s="31"/>
      <c r="N1619" s="31"/>
      <c r="O1619" s="31"/>
      <c r="S1619" s="57"/>
      <c r="X1619" s="57"/>
    </row>
    <row r="1620" spans="1:24" hidden="1" x14ac:dyDescent="0.35">
      <c r="A1620">
        <v>1616</v>
      </c>
      <c r="B1620">
        <v>1617</v>
      </c>
      <c r="C1620">
        <v>146.09261185400001</v>
      </c>
      <c r="D1620">
        <v>-17.6595265662</v>
      </c>
      <c r="G1620" s="92"/>
      <c r="I1620">
        <v>8</v>
      </c>
      <c r="J1620" t="s">
        <v>26</v>
      </c>
      <c r="K1620" s="57"/>
      <c r="L1620" s="31"/>
      <c r="M1620" s="31"/>
      <c r="N1620" s="31"/>
      <c r="O1620" s="31"/>
      <c r="S1620" s="57"/>
      <c r="X1620" s="57"/>
    </row>
    <row r="1621" spans="1:24" hidden="1" x14ac:dyDescent="0.35">
      <c r="A1621">
        <v>1617</v>
      </c>
      <c r="B1621">
        <v>1618</v>
      </c>
      <c r="C1621">
        <v>146.092526448</v>
      </c>
      <c r="D1621">
        <v>-17.659552145300001</v>
      </c>
      <c r="G1621" s="92"/>
      <c r="I1621">
        <v>8</v>
      </c>
      <c r="J1621" t="s">
        <v>26</v>
      </c>
      <c r="K1621" s="57"/>
      <c r="L1621" s="31"/>
      <c r="M1621" s="31"/>
      <c r="N1621" s="31"/>
      <c r="O1621" s="31"/>
      <c r="S1621" s="57"/>
      <c r="X1621" s="57"/>
    </row>
    <row r="1622" spans="1:24" hidden="1" x14ac:dyDescent="0.35">
      <c r="A1622">
        <v>1618</v>
      </c>
      <c r="B1622">
        <v>1619</v>
      </c>
      <c r="C1622">
        <v>146.09243718900001</v>
      </c>
      <c r="D1622">
        <v>-17.6595617957</v>
      </c>
      <c r="G1622" s="92"/>
      <c r="I1622">
        <v>8</v>
      </c>
      <c r="J1622" t="s">
        <v>26</v>
      </c>
      <c r="K1622" s="57"/>
      <c r="L1622" s="31"/>
      <c r="M1622" s="31"/>
      <c r="N1622" s="31"/>
      <c r="O1622" s="31"/>
      <c r="S1622" s="57"/>
      <c r="X1622" s="57"/>
    </row>
    <row r="1623" spans="1:24" hidden="1" x14ac:dyDescent="0.35">
      <c r="A1623">
        <v>1619</v>
      </c>
      <c r="B1623">
        <v>1620</v>
      </c>
      <c r="C1623">
        <v>146.09234793100001</v>
      </c>
      <c r="D1623">
        <v>-17.659571446200001</v>
      </c>
      <c r="G1623" s="92"/>
      <c r="I1623">
        <v>8</v>
      </c>
      <c r="J1623" t="s">
        <v>26</v>
      </c>
      <c r="K1623" s="57"/>
      <c r="L1623" s="31"/>
      <c r="M1623" s="31"/>
      <c r="N1623" s="31"/>
      <c r="O1623" s="31"/>
      <c r="S1623" s="57"/>
      <c r="X1623" s="57"/>
    </row>
    <row r="1624" spans="1:24" hidden="1" x14ac:dyDescent="0.35">
      <c r="A1624">
        <v>1620</v>
      </c>
      <c r="B1624">
        <v>1621</v>
      </c>
      <c r="C1624">
        <v>146.09225867200001</v>
      </c>
      <c r="D1624">
        <v>-17.659581096699899</v>
      </c>
      <c r="G1624" s="92"/>
      <c r="I1624">
        <v>8</v>
      </c>
      <c r="J1624" t="s">
        <v>26</v>
      </c>
      <c r="K1624" s="57"/>
      <c r="L1624" s="31"/>
      <c r="M1624" s="31"/>
      <c r="N1624" s="31"/>
      <c r="O1624" s="31"/>
      <c r="S1624" s="57"/>
      <c r="X1624" s="57"/>
    </row>
    <row r="1625" spans="1:24" hidden="1" x14ac:dyDescent="0.35">
      <c r="A1625">
        <v>1621</v>
      </c>
      <c r="B1625">
        <v>1622</v>
      </c>
      <c r="C1625">
        <v>146.092169412999</v>
      </c>
      <c r="D1625">
        <v>-17.659590747100001</v>
      </c>
      <c r="G1625" s="92"/>
      <c r="I1625">
        <v>8</v>
      </c>
      <c r="J1625" t="s">
        <v>26</v>
      </c>
      <c r="K1625" s="57"/>
      <c r="L1625" s="31"/>
      <c r="M1625" s="31"/>
      <c r="N1625" s="31"/>
      <c r="O1625" s="31"/>
      <c r="S1625" s="57"/>
      <c r="X1625" s="57"/>
    </row>
    <row r="1626" spans="1:24" hidden="1" x14ac:dyDescent="0.35">
      <c r="A1626">
        <v>1622</v>
      </c>
      <c r="B1626">
        <v>1623</v>
      </c>
      <c r="C1626">
        <v>146.092080154</v>
      </c>
      <c r="D1626">
        <v>-17.659600397599899</v>
      </c>
      <c r="G1626" s="92"/>
      <c r="I1626">
        <v>8</v>
      </c>
      <c r="J1626" t="s">
        <v>26</v>
      </c>
      <c r="K1626" s="57"/>
      <c r="L1626" s="31"/>
      <c r="M1626" s="31"/>
      <c r="N1626" s="31"/>
      <c r="O1626" s="31"/>
      <c r="S1626" s="57"/>
      <c r="X1626" s="57"/>
    </row>
    <row r="1627" spans="1:24" hidden="1" x14ac:dyDescent="0.35">
      <c r="A1627">
        <v>1623</v>
      </c>
      <c r="B1627">
        <v>1624</v>
      </c>
      <c r="C1627">
        <v>146.09199089500001</v>
      </c>
      <c r="D1627">
        <v>-17.659610048000001</v>
      </c>
      <c r="G1627" s="92"/>
      <c r="I1627">
        <v>8</v>
      </c>
      <c r="J1627" t="s">
        <v>26</v>
      </c>
      <c r="K1627" s="57"/>
      <c r="L1627" s="31"/>
      <c r="M1627" s="31"/>
      <c r="N1627" s="31"/>
      <c r="O1627" s="31"/>
      <c r="S1627" s="57"/>
      <c r="X1627" s="57"/>
    </row>
    <row r="1628" spans="1:24" hidden="1" x14ac:dyDescent="0.35">
      <c r="A1628">
        <v>1624</v>
      </c>
      <c r="B1628">
        <v>1625</v>
      </c>
      <c r="C1628">
        <v>146.09190176499899</v>
      </c>
      <c r="D1628">
        <v>-17.6596164354</v>
      </c>
      <c r="G1628" s="92"/>
      <c r="I1628">
        <v>8</v>
      </c>
      <c r="J1628" t="s">
        <v>26</v>
      </c>
      <c r="K1628" s="57"/>
      <c r="L1628" s="31"/>
      <c r="M1628" s="31"/>
      <c r="N1628" s="31"/>
      <c r="O1628" s="31"/>
      <c r="S1628" s="57"/>
      <c r="X1628" s="57"/>
    </row>
    <row r="1629" spans="1:24" hidden="1" x14ac:dyDescent="0.35">
      <c r="A1629">
        <v>1625</v>
      </c>
      <c r="B1629">
        <v>1626</v>
      </c>
      <c r="C1629">
        <v>146.09181351800001</v>
      </c>
      <c r="D1629">
        <v>-17.659600429600001</v>
      </c>
      <c r="G1629" s="92"/>
      <c r="I1629">
        <v>8</v>
      </c>
      <c r="J1629" t="s">
        <v>26</v>
      </c>
      <c r="K1629" s="57"/>
      <c r="L1629" s="31"/>
      <c r="M1629" s="31"/>
      <c r="N1629" s="31"/>
      <c r="O1629" s="31"/>
      <c r="S1629" s="57"/>
      <c r="X1629" s="57"/>
    </row>
    <row r="1630" spans="1:24" hidden="1" x14ac:dyDescent="0.35">
      <c r="A1630">
        <v>1626</v>
      </c>
      <c r="B1630">
        <v>1627</v>
      </c>
      <c r="C1630">
        <v>146.091725271</v>
      </c>
      <c r="D1630">
        <v>-17.659584423799899</v>
      </c>
      <c r="G1630" s="92"/>
      <c r="I1630">
        <v>8</v>
      </c>
      <c r="J1630" t="s">
        <v>26</v>
      </c>
      <c r="K1630" s="57"/>
      <c r="L1630" s="31"/>
      <c r="M1630" s="31"/>
      <c r="N1630" s="31"/>
      <c r="O1630" s="31"/>
      <c r="S1630" s="57"/>
      <c r="X1630" s="57"/>
    </row>
    <row r="1631" spans="1:24" hidden="1" x14ac:dyDescent="0.35">
      <c r="A1631">
        <v>1627</v>
      </c>
      <c r="B1631">
        <v>1628</v>
      </c>
      <c r="C1631">
        <v>146.091637023999</v>
      </c>
      <c r="D1631">
        <v>-17.659568417900001</v>
      </c>
      <c r="G1631" s="92"/>
      <c r="I1631">
        <v>8</v>
      </c>
      <c r="J1631" t="s">
        <v>26</v>
      </c>
      <c r="K1631" s="57"/>
      <c r="L1631" s="31"/>
      <c r="M1631" s="31"/>
      <c r="N1631" s="31"/>
      <c r="O1631" s="31"/>
      <c r="S1631" s="57"/>
      <c r="X1631" s="57"/>
    </row>
    <row r="1632" spans="1:24" hidden="1" x14ac:dyDescent="0.35">
      <c r="A1632">
        <v>1628</v>
      </c>
      <c r="B1632">
        <v>1629</v>
      </c>
      <c r="C1632">
        <v>146.09154877700001</v>
      </c>
      <c r="D1632">
        <v>-17.659552412099899</v>
      </c>
      <c r="G1632" s="92"/>
      <c r="I1632">
        <v>8</v>
      </c>
      <c r="J1632" t="s">
        <v>26</v>
      </c>
      <c r="K1632" s="57"/>
      <c r="L1632" s="31"/>
      <c r="M1632" s="31"/>
      <c r="N1632" s="31"/>
      <c r="O1632" s="31"/>
      <c r="S1632" s="57"/>
      <c r="X1632" s="57"/>
    </row>
    <row r="1633" spans="1:24" hidden="1" x14ac:dyDescent="0.35">
      <c r="A1633">
        <v>1629</v>
      </c>
      <c r="B1633">
        <v>1630</v>
      </c>
      <c r="C1633">
        <v>146.09146053000001</v>
      </c>
      <c r="D1633">
        <v>-17.659536406200001</v>
      </c>
      <c r="G1633" s="92"/>
      <c r="I1633">
        <v>8</v>
      </c>
      <c r="J1633" t="s">
        <v>26</v>
      </c>
      <c r="K1633" s="57"/>
      <c r="L1633" s="31"/>
      <c r="M1633" s="31"/>
      <c r="N1633" s="31"/>
      <c r="O1633" s="31"/>
      <c r="S1633" s="57"/>
      <c r="X1633" s="57"/>
    </row>
    <row r="1634" spans="1:24" hidden="1" x14ac:dyDescent="0.35">
      <c r="A1634">
        <v>1630</v>
      </c>
      <c r="B1634">
        <v>1631</v>
      </c>
      <c r="C1634">
        <v>146.091372282999</v>
      </c>
      <c r="D1634">
        <v>-17.659520400400002</v>
      </c>
      <c r="G1634" s="92"/>
      <c r="I1634">
        <v>8</v>
      </c>
      <c r="J1634" t="s">
        <v>26</v>
      </c>
      <c r="K1634" s="57"/>
      <c r="L1634" s="31"/>
      <c r="M1634" s="31"/>
      <c r="N1634" s="31"/>
      <c r="O1634" s="31"/>
      <c r="S1634" s="57"/>
      <c r="X1634" s="57"/>
    </row>
    <row r="1635" spans="1:24" hidden="1" x14ac:dyDescent="0.35">
      <c r="A1635">
        <v>1631</v>
      </c>
      <c r="B1635">
        <v>1632</v>
      </c>
      <c r="C1635">
        <v>146.09128690399899</v>
      </c>
      <c r="D1635">
        <v>-17.659494369200001</v>
      </c>
      <c r="G1635" s="92"/>
      <c r="I1635">
        <v>8</v>
      </c>
      <c r="J1635" t="s">
        <v>26</v>
      </c>
      <c r="K1635" s="57"/>
      <c r="L1635" s="31"/>
      <c r="M1635" s="31"/>
      <c r="N1635" s="31"/>
      <c r="O1635" s="31"/>
      <c r="S1635" s="57"/>
      <c r="X1635" s="57"/>
    </row>
    <row r="1636" spans="1:24" hidden="1" x14ac:dyDescent="0.35">
      <c r="A1636">
        <v>1632</v>
      </c>
      <c r="B1636">
        <v>1633</v>
      </c>
      <c r="C1636">
        <v>146.09120234100001</v>
      </c>
      <c r="D1636">
        <v>-17.659465484599899</v>
      </c>
      <c r="G1636" s="92"/>
      <c r="I1636">
        <v>8</v>
      </c>
      <c r="J1636" t="s">
        <v>26</v>
      </c>
      <c r="K1636" s="57"/>
      <c r="L1636" s="31"/>
      <c r="M1636" s="31"/>
      <c r="N1636" s="31"/>
      <c r="O1636" s="31"/>
      <c r="S1636" s="57"/>
      <c r="X1636" s="57"/>
    </row>
    <row r="1637" spans="1:24" hidden="1" x14ac:dyDescent="0.35">
      <c r="A1637">
        <v>1633</v>
      </c>
      <c r="B1637">
        <v>1634</v>
      </c>
      <c r="C1637">
        <v>146.091117779</v>
      </c>
      <c r="D1637">
        <v>-17.659436599900001</v>
      </c>
      <c r="G1637" s="92"/>
      <c r="I1637">
        <v>8</v>
      </c>
      <c r="J1637" t="s">
        <v>26</v>
      </c>
      <c r="K1637" s="57"/>
      <c r="L1637" s="31"/>
      <c r="M1637" s="31"/>
      <c r="N1637" s="31"/>
      <c r="O1637" s="31"/>
      <c r="S1637" s="57"/>
      <c r="X1637" s="57"/>
    </row>
    <row r="1638" spans="1:24" hidden="1" x14ac:dyDescent="0.35">
      <c r="A1638">
        <v>1634</v>
      </c>
      <c r="B1638">
        <v>1635</v>
      </c>
      <c r="C1638">
        <v>146.091033216</v>
      </c>
      <c r="D1638">
        <v>-17.6594077152</v>
      </c>
      <c r="G1638" s="92"/>
      <c r="I1638">
        <v>8</v>
      </c>
      <c r="J1638" t="s">
        <v>26</v>
      </c>
      <c r="K1638" s="57"/>
      <c r="L1638" s="31"/>
      <c r="M1638" s="31"/>
      <c r="N1638" s="31"/>
      <c r="O1638" s="31"/>
      <c r="S1638" s="57"/>
      <c r="X1638" s="57"/>
    </row>
    <row r="1639" spans="1:24" hidden="1" x14ac:dyDescent="0.35">
      <c r="A1639">
        <v>1635</v>
      </c>
      <c r="B1639">
        <v>1636</v>
      </c>
      <c r="C1639">
        <v>146.09094865399899</v>
      </c>
      <c r="D1639">
        <v>-17.6593788305</v>
      </c>
      <c r="G1639" s="92"/>
      <c r="I1639">
        <v>8</v>
      </c>
      <c r="J1639" t="s">
        <v>26</v>
      </c>
      <c r="K1639" s="57"/>
      <c r="L1639" s="31"/>
      <c r="M1639" s="31"/>
      <c r="N1639" s="31"/>
      <c r="O1639" s="31"/>
      <c r="S1639" s="57"/>
      <c r="X1639" s="57"/>
    </row>
    <row r="1640" spans="1:24" hidden="1" x14ac:dyDescent="0.35">
      <c r="A1640">
        <v>1636</v>
      </c>
      <c r="B1640">
        <v>1637</v>
      </c>
      <c r="C1640">
        <v>146.090863294999</v>
      </c>
      <c r="D1640">
        <v>-17.659352179500001</v>
      </c>
      <c r="G1640" s="92"/>
      <c r="I1640">
        <v>8</v>
      </c>
      <c r="J1640" t="s">
        <v>26</v>
      </c>
      <c r="K1640" s="57"/>
      <c r="L1640" s="31"/>
      <c r="M1640" s="31"/>
      <c r="N1640" s="31"/>
      <c r="O1640" s="31"/>
      <c r="S1640" s="57"/>
      <c r="X1640" s="57"/>
    </row>
    <row r="1641" spans="1:24" hidden="1" x14ac:dyDescent="0.35">
      <c r="A1641">
        <v>1637</v>
      </c>
      <c r="B1641">
        <v>1638</v>
      </c>
      <c r="C1641">
        <v>146.090777755</v>
      </c>
      <c r="D1641">
        <v>-17.659326041</v>
      </c>
      <c r="G1641" s="92"/>
      <c r="I1641">
        <v>8</v>
      </c>
      <c r="J1641" t="s">
        <v>26</v>
      </c>
      <c r="K1641" s="57"/>
      <c r="L1641" s="31"/>
      <c r="M1641" s="31"/>
      <c r="N1641" s="31"/>
      <c r="O1641" s="31"/>
      <c r="S1641" s="57"/>
      <c r="X1641" s="57"/>
    </row>
    <row r="1642" spans="1:24" hidden="1" x14ac:dyDescent="0.35">
      <c r="A1642">
        <v>1638</v>
      </c>
      <c r="B1642">
        <v>1639</v>
      </c>
      <c r="C1642">
        <v>146.090692214</v>
      </c>
      <c r="D1642">
        <v>-17.659299902400001</v>
      </c>
      <c r="G1642" s="92"/>
      <c r="I1642">
        <v>8</v>
      </c>
      <c r="J1642" t="s">
        <v>26</v>
      </c>
      <c r="K1642" s="57"/>
      <c r="L1642" s="31"/>
      <c r="M1642" s="31"/>
      <c r="N1642" s="31"/>
      <c r="O1642" s="31"/>
      <c r="S1642" s="57"/>
      <c r="X1642" s="57"/>
    </row>
    <row r="1643" spans="1:24" hidden="1" x14ac:dyDescent="0.35">
      <c r="A1643">
        <v>1639</v>
      </c>
      <c r="B1643">
        <v>1640</v>
      </c>
      <c r="C1643">
        <v>146.090606672999</v>
      </c>
      <c r="D1643">
        <v>-17.6592737639</v>
      </c>
      <c r="G1643" s="92"/>
      <c r="I1643">
        <v>8</v>
      </c>
      <c r="J1643" t="s">
        <v>26</v>
      </c>
      <c r="K1643" s="57"/>
      <c r="L1643" s="31"/>
      <c r="M1643" s="31"/>
      <c r="N1643" s="31"/>
      <c r="O1643" s="31"/>
      <c r="S1643" s="57"/>
      <c r="X1643" s="57"/>
    </row>
    <row r="1644" spans="1:24" hidden="1" x14ac:dyDescent="0.35">
      <c r="A1644">
        <v>1640</v>
      </c>
      <c r="B1644">
        <v>1641</v>
      </c>
      <c r="C1644">
        <v>146.090521131999</v>
      </c>
      <c r="D1644">
        <v>-17.659247625300001</v>
      </c>
      <c r="G1644" s="92"/>
      <c r="I1644">
        <v>8</v>
      </c>
      <c r="J1644" t="s">
        <v>26</v>
      </c>
      <c r="K1644" s="57"/>
      <c r="L1644" s="31"/>
      <c r="M1644" s="31"/>
      <c r="N1644" s="31"/>
      <c r="O1644" s="31"/>
      <c r="S1644" s="57"/>
      <c r="X1644" s="57"/>
    </row>
    <row r="1645" spans="1:24" hidden="1" x14ac:dyDescent="0.35">
      <c r="A1645">
        <v>1641</v>
      </c>
      <c r="B1645">
        <v>1642</v>
      </c>
      <c r="C1645">
        <v>146.090436334</v>
      </c>
      <c r="D1645">
        <v>-17.659220218400002</v>
      </c>
      <c r="G1645" s="92"/>
      <c r="I1645">
        <v>8</v>
      </c>
      <c r="J1645" t="s">
        <v>26</v>
      </c>
      <c r="K1645" s="57"/>
      <c r="L1645" s="31"/>
      <c r="M1645" s="31"/>
      <c r="N1645" s="31"/>
      <c r="O1645" s="31"/>
      <c r="S1645" s="57"/>
      <c r="X1645" s="57"/>
    </row>
    <row r="1646" spans="1:24" hidden="1" x14ac:dyDescent="0.35">
      <c r="A1646">
        <v>1642</v>
      </c>
      <c r="B1646">
        <v>1643</v>
      </c>
      <c r="C1646">
        <v>146.090368076</v>
      </c>
      <c r="D1646">
        <v>-17.659164570400002</v>
      </c>
      <c r="G1646" s="92"/>
      <c r="I1646">
        <v>8</v>
      </c>
      <c r="J1646" t="s">
        <v>26</v>
      </c>
      <c r="K1646" s="57"/>
      <c r="L1646" s="31"/>
      <c r="M1646" s="31"/>
      <c r="N1646" s="31"/>
      <c r="O1646" s="31"/>
      <c r="S1646" s="57"/>
      <c r="X1646" s="57"/>
    </row>
    <row r="1647" spans="1:24" hidden="1" x14ac:dyDescent="0.35">
      <c r="A1647">
        <v>1643</v>
      </c>
      <c r="B1647">
        <v>1644</v>
      </c>
      <c r="C1647">
        <v>146.09029981800001</v>
      </c>
      <c r="D1647">
        <v>-17.6591089225</v>
      </c>
      <c r="G1647" s="92"/>
      <c r="I1647">
        <v>8</v>
      </c>
      <c r="J1647" t="s">
        <v>26</v>
      </c>
      <c r="K1647" s="57"/>
      <c r="L1647" s="31"/>
      <c r="M1647" s="31"/>
      <c r="N1647" s="31"/>
      <c r="O1647" s="31"/>
      <c r="S1647" s="57"/>
      <c r="X1647" s="57"/>
    </row>
    <row r="1648" spans="1:24" hidden="1" x14ac:dyDescent="0.35">
      <c r="A1648">
        <v>1644</v>
      </c>
      <c r="B1648">
        <v>1645</v>
      </c>
      <c r="C1648">
        <v>146.090254428999</v>
      </c>
      <c r="D1648">
        <v>-17.659035067800001</v>
      </c>
      <c r="G1648" s="92"/>
      <c r="I1648">
        <v>8</v>
      </c>
      <c r="J1648" t="s">
        <v>26</v>
      </c>
      <c r="K1648" s="57"/>
      <c r="L1648" s="31"/>
      <c r="M1648" s="31"/>
      <c r="N1648" s="31"/>
      <c r="O1648" s="31"/>
      <c r="S1648" s="57"/>
      <c r="X1648" s="57"/>
    </row>
    <row r="1649" spans="1:24" hidden="1" x14ac:dyDescent="0.35">
      <c r="A1649">
        <v>1645</v>
      </c>
      <c r="B1649">
        <v>1646</v>
      </c>
      <c r="C1649">
        <v>146.09020909700001</v>
      </c>
      <c r="D1649">
        <v>-17.658961167600001</v>
      </c>
      <c r="G1649" s="92"/>
      <c r="I1649">
        <v>8</v>
      </c>
      <c r="J1649" t="s">
        <v>26</v>
      </c>
      <c r="K1649" s="57"/>
      <c r="L1649" s="31"/>
      <c r="M1649" s="31"/>
      <c r="N1649" s="31"/>
      <c r="O1649" s="31"/>
      <c r="S1649" s="57"/>
      <c r="X1649" s="57"/>
    </row>
    <row r="1650" spans="1:24" hidden="1" x14ac:dyDescent="0.35">
      <c r="A1650">
        <v>1646</v>
      </c>
      <c r="B1650">
        <v>1647</v>
      </c>
      <c r="C1650">
        <v>146.090163765</v>
      </c>
      <c r="D1650">
        <v>-17.658887267400001</v>
      </c>
      <c r="G1650" s="92"/>
      <c r="I1650">
        <v>8</v>
      </c>
      <c r="J1650" t="s">
        <v>26</v>
      </c>
      <c r="K1650" s="57"/>
      <c r="L1650" s="31"/>
      <c r="M1650" s="31"/>
      <c r="N1650" s="31"/>
      <c r="O1650" s="31"/>
      <c r="S1650" s="57"/>
      <c r="X1650" s="57"/>
    </row>
    <row r="1651" spans="1:24" hidden="1" x14ac:dyDescent="0.35">
      <c r="A1651">
        <v>1647</v>
      </c>
      <c r="B1651">
        <v>1648</v>
      </c>
      <c r="C1651">
        <v>146.090126228999</v>
      </c>
      <c r="D1651">
        <v>-17.658810031600002</v>
      </c>
      <c r="G1651" s="92"/>
      <c r="I1651">
        <v>8</v>
      </c>
      <c r="J1651" t="s">
        <v>26</v>
      </c>
      <c r="K1651" s="57"/>
      <c r="L1651" s="31"/>
      <c r="M1651" s="31"/>
      <c r="N1651" s="31"/>
      <c r="O1651" s="31"/>
      <c r="S1651" s="57"/>
      <c r="X1651" s="57"/>
    </row>
    <row r="1652" spans="1:24" hidden="1" x14ac:dyDescent="0.35">
      <c r="A1652">
        <v>1648</v>
      </c>
      <c r="B1652">
        <v>1649</v>
      </c>
      <c r="C1652">
        <v>146.09009838700001</v>
      </c>
      <c r="D1652">
        <v>-17.658728648099899</v>
      </c>
      <c r="G1652" s="92"/>
      <c r="I1652">
        <v>8</v>
      </c>
      <c r="J1652" t="s">
        <v>26</v>
      </c>
      <c r="K1652" s="57"/>
      <c r="L1652" s="31"/>
      <c r="M1652" s="31"/>
      <c r="N1652" s="31"/>
      <c r="O1652" s="31"/>
      <c r="S1652" s="57"/>
      <c r="X1652" s="57"/>
    </row>
    <row r="1653" spans="1:24" hidden="1" x14ac:dyDescent="0.35">
      <c r="A1653">
        <v>1649</v>
      </c>
      <c r="B1653">
        <v>1650</v>
      </c>
      <c r="C1653">
        <v>146.09007054400001</v>
      </c>
      <c r="D1653">
        <v>-17.658647264700001</v>
      </c>
      <c r="G1653" s="92"/>
      <c r="I1653">
        <v>8</v>
      </c>
      <c r="J1653" t="s">
        <v>26</v>
      </c>
      <c r="K1653" s="57"/>
      <c r="L1653" s="31"/>
      <c r="M1653" s="31"/>
      <c r="N1653" s="31"/>
      <c r="O1653" s="31"/>
      <c r="S1653" s="57"/>
      <c r="X1653" s="57"/>
    </row>
    <row r="1654" spans="1:24" hidden="1" x14ac:dyDescent="0.35">
      <c r="A1654">
        <v>1650</v>
      </c>
      <c r="B1654">
        <v>1651</v>
      </c>
      <c r="C1654">
        <v>146.09004270200001</v>
      </c>
      <c r="D1654">
        <v>-17.6585658810999</v>
      </c>
      <c r="G1654" s="92"/>
      <c r="I1654">
        <v>8</v>
      </c>
      <c r="J1654" t="s">
        <v>26</v>
      </c>
      <c r="K1654" s="57"/>
      <c r="L1654" s="31"/>
      <c r="M1654" s="31"/>
      <c r="N1654" s="31"/>
      <c r="O1654" s="31"/>
      <c r="S1654" s="57"/>
      <c r="X1654" s="57"/>
    </row>
    <row r="1655" spans="1:24" hidden="1" x14ac:dyDescent="0.35">
      <c r="A1655">
        <v>1651</v>
      </c>
      <c r="B1655">
        <v>1652</v>
      </c>
      <c r="C1655">
        <v>146.090014859999</v>
      </c>
      <c r="D1655">
        <v>-17.6584844976</v>
      </c>
      <c r="G1655" s="92"/>
      <c r="I1655">
        <v>8</v>
      </c>
      <c r="J1655" t="s">
        <v>26</v>
      </c>
      <c r="K1655" s="57"/>
      <c r="L1655" s="31"/>
      <c r="M1655" s="31"/>
      <c r="N1655" s="31"/>
      <c r="O1655" s="31"/>
      <c r="S1655" s="57"/>
      <c r="X1655" s="57"/>
    </row>
    <row r="1656" spans="1:24" hidden="1" x14ac:dyDescent="0.35">
      <c r="A1656">
        <v>1652</v>
      </c>
      <c r="B1656">
        <v>1653</v>
      </c>
      <c r="C1656">
        <v>146.089987016999</v>
      </c>
      <c r="D1656">
        <v>-17.658403113999899</v>
      </c>
      <c r="G1656" s="92"/>
      <c r="I1656">
        <v>8</v>
      </c>
      <c r="J1656" t="s">
        <v>26</v>
      </c>
      <c r="K1656" s="57"/>
      <c r="L1656" s="31"/>
      <c r="M1656" s="31"/>
      <c r="N1656" s="31"/>
      <c r="O1656" s="31"/>
      <c r="S1656" s="57"/>
      <c r="X1656" s="57"/>
    </row>
    <row r="1657" spans="1:24" hidden="1" x14ac:dyDescent="0.35">
      <c r="A1657">
        <v>1653</v>
      </c>
      <c r="B1657">
        <v>1654</v>
      </c>
      <c r="C1657">
        <v>146.089974044</v>
      </c>
      <c r="D1657">
        <v>-17.6583189418999</v>
      </c>
      <c r="G1657" s="92"/>
      <c r="I1657">
        <v>8</v>
      </c>
      <c r="J1657" t="s">
        <v>26</v>
      </c>
      <c r="K1657" s="57"/>
      <c r="L1657" s="31"/>
      <c r="M1657" s="31"/>
      <c r="N1657" s="31"/>
      <c r="O1657" s="31"/>
      <c r="S1657" s="57"/>
      <c r="X1657" s="57"/>
    </row>
    <row r="1658" spans="1:24" hidden="1" x14ac:dyDescent="0.35">
      <c r="A1658">
        <v>1654</v>
      </c>
      <c r="B1658">
        <v>1655</v>
      </c>
      <c r="C1658">
        <v>146.089967446</v>
      </c>
      <c r="D1658">
        <v>-17.658233574200001</v>
      </c>
      <c r="G1658" s="92"/>
      <c r="I1658">
        <v>8</v>
      </c>
      <c r="J1658" t="s">
        <v>26</v>
      </c>
      <c r="K1658" s="57"/>
      <c r="L1658" s="31"/>
      <c r="M1658" s="31"/>
      <c r="N1658" s="31"/>
      <c r="O1658" s="31"/>
      <c r="S1658" s="57"/>
      <c r="X1658" s="57"/>
    </row>
    <row r="1659" spans="1:24" hidden="1" x14ac:dyDescent="0.35">
      <c r="A1659">
        <v>1655</v>
      </c>
      <c r="B1659">
        <v>1656</v>
      </c>
      <c r="C1659">
        <v>146.089960848</v>
      </c>
      <c r="D1659">
        <v>-17.658148206500002</v>
      </c>
      <c r="G1659" s="92"/>
      <c r="I1659">
        <v>8</v>
      </c>
      <c r="J1659" t="s">
        <v>26</v>
      </c>
      <c r="K1659" s="57"/>
      <c r="L1659" s="31"/>
      <c r="M1659" s="31"/>
      <c r="N1659" s="31"/>
      <c r="O1659" s="31"/>
      <c r="S1659" s="57"/>
      <c r="X1659" s="57"/>
    </row>
    <row r="1660" spans="1:24" hidden="1" x14ac:dyDescent="0.35">
      <c r="A1660">
        <v>1656</v>
      </c>
      <c r="B1660">
        <v>1657</v>
      </c>
      <c r="C1660">
        <v>146.08995424899899</v>
      </c>
      <c r="D1660">
        <v>-17.658062838700001</v>
      </c>
      <c r="G1660" s="92"/>
      <c r="I1660">
        <v>8</v>
      </c>
      <c r="J1660" t="s">
        <v>26</v>
      </c>
      <c r="K1660" s="57"/>
      <c r="L1660" s="31"/>
      <c r="M1660" s="31"/>
      <c r="N1660" s="31"/>
      <c r="O1660" s="31"/>
      <c r="S1660" s="57"/>
      <c r="X1660" s="57"/>
    </row>
    <row r="1661" spans="1:24" hidden="1" x14ac:dyDescent="0.35">
      <c r="A1661">
        <v>1657</v>
      </c>
      <c r="B1661">
        <v>1658</v>
      </c>
      <c r="C1661">
        <v>146.08994765099899</v>
      </c>
      <c r="D1661">
        <v>-17.657977470900001</v>
      </c>
      <c r="G1661" s="92"/>
      <c r="I1661">
        <v>8</v>
      </c>
      <c r="J1661" t="s">
        <v>26</v>
      </c>
      <c r="K1661" s="57"/>
      <c r="L1661" s="31"/>
      <c r="M1661" s="31"/>
      <c r="N1661" s="31"/>
      <c r="O1661" s="31"/>
      <c r="S1661" s="57"/>
      <c r="X1661" s="57"/>
    </row>
    <row r="1662" spans="1:24" hidden="1" x14ac:dyDescent="0.35">
      <c r="A1662">
        <v>1658</v>
      </c>
      <c r="B1662">
        <v>1659</v>
      </c>
      <c r="C1662">
        <v>146.089941052999</v>
      </c>
      <c r="D1662">
        <v>-17.657892102999899</v>
      </c>
      <c r="G1662" s="92"/>
      <c r="I1662">
        <v>8</v>
      </c>
      <c r="J1662" t="s">
        <v>26</v>
      </c>
      <c r="K1662" s="57"/>
      <c r="L1662" s="31"/>
      <c r="M1662" s="31"/>
      <c r="N1662" s="31"/>
      <c r="O1662" s="31"/>
      <c r="S1662" s="57"/>
      <c r="X1662" s="57"/>
    </row>
    <row r="1663" spans="1:24" hidden="1" x14ac:dyDescent="0.35">
      <c r="A1663">
        <v>1659</v>
      </c>
      <c r="B1663">
        <v>1660</v>
      </c>
      <c r="C1663">
        <v>146.089942858999</v>
      </c>
      <c r="D1663">
        <v>-17.6578070859</v>
      </c>
      <c r="G1663" s="92"/>
      <c r="I1663">
        <v>8</v>
      </c>
      <c r="J1663" t="s">
        <v>26</v>
      </c>
      <c r="K1663" s="57"/>
      <c r="L1663" s="31"/>
      <c r="M1663" s="31"/>
      <c r="N1663" s="31"/>
      <c r="O1663" s="31"/>
      <c r="S1663" s="57"/>
      <c r="X1663" s="57"/>
    </row>
    <row r="1664" spans="1:24" hidden="1" x14ac:dyDescent="0.35">
      <c r="A1664">
        <v>1660</v>
      </c>
      <c r="B1664">
        <v>1661</v>
      </c>
      <c r="C1664">
        <v>146.089957265999</v>
      </c>
      <c r="D1664">
        <v>-17.657722594900001</v>
      </c>
      <c r="G1664" s="92"/>
      <c r="I1664">
        <v>8</v>
      </c>
      <c r="J1664" t="s">
        <v>26</v>
      </c>
      <c r="K1664" s="57"/>
      <c r="L1664" s="31"/>
      <c r="M1664" s="31"/>
      <c r="N1664" s="31"/>
      <c r="O1664" s="31"/>
      <c r="S1664" s="57"/>
      <c r="X1664" s="57"/>
    </row>
    <row r="1665" spans="1:24" hidden="1" x14ac:dyDescent="0.35">
      <c r="A1665">
        <v>1661</v>
      </c>
      <c r="B1665">
        <v>1662</v>
      </c>
      <c r="C1665">
        <v>146.08997167300001</v>
      </c>
      <c r="D1665">
        <v>-17.6576381038</v>
      </c>
      <c r="G1665" s="92"/>
      <c r="I1665">
        <v>8</v>
      </c>
      <c r="J1665" t="s">
        <v>26</v>
      </c>
      <c r="K1665" s="57"/>
      <c r="L1665" s="31"/>
      <c r="M1665" s="31"/>
      <c r="N1665" s="31"/>
      <c r="O1665" s="31"/>
      <c r="S1665" s="57"/>
      <c r="X1665" s="57"/>
    </row>
    <row r="1666" spans="1:24" hidden="1" x14ac:dyDescent="0.35">
      <c r="A1666">
        <v>1662</v>
      </c>
      <c r="B1666">
        <v>1663</v>
      </c>
      <c r="C1666">
        <v>146.08998608100001</v>
      </c>
      <c r="D1666">
        <v>-17.657553612600001</v>
      </c>
      <c r="G1666" s="92"/>
      <c r="I1666">
        <v>8</v>
      </c>
      <c r="J1666" t="s">
        <v>26</v>
      </c>
      <c r="K1666" s="57"/>
      <c r="L1666" s="31"/>
      <c r="M1666" s="31"/>
      <c r="N1666" s="31"/>
      <c r="O1666" s="31"/>
      <c r="S1666" s="57"/>
      <c r="X1666" s="57"/>
    </row>
    <row r="1667" spans="1:24" hidden="1" x14ac:dyDescent="0.35">
      <c r="A1667">
        <v>1663</v>
      </c>
      <c r="B1667">
        <v>1664</v>
      </c>
      <c r="C1667">
        <v>146.09000048799899</v>
      </c>
      <c r="D1667">
        <v>-17.657469121399899</v>
      </c>
      <c r="G1667" s="92"/>
      <c r="I1667">
        <v>8</v>
      </c>
      <c r="J1667" t="s">
        <v>26</v>
      </c>
      <c r="K1667" s="57"/>
      <c r="L1667" s="31"/>
      <c r="M1667" s="31"/>
      <c r="N1667" s="31"/>
      <c r="O1667" s="31"/>
      <c r="S1667" s="57"/>
      <c r="X1667" s="57"/>
    </row>
    <row r="1668" spans="1:24" hidden="1" x14ac:dyDescent="0.35">
      <c r="A1668">
        <v>1664</v>
      </c>
      <c r="B1668">
        <v>1665</v>
      </c>
      <c r="C1668">
        <v>146.090014894999</v>
      </c>
      <c r="D1668">
        <v>-17.6573846301999</v>
      </c>
      <c r="G1668" s="92"/>
      <c r="I1668">
        <v>8</v>
      </c>
      <c r="J1668" t="s">
        <v>26</v>
      </c>
      <c r="K1668" s="57"/>
      <c r="L1668" s="31"/>
      <c r="M1668" s="31"/>
      <c r="N1668" s="31"/>
      <c r="O1668" s="31"/>
      <c r="S1668" s="57"/>
      <c r="X1668" s="57"/>
    </row>
    <row r="1669" spans="1:24" hidden="1" x14ac:dyDescent="0.35">
      <c r="A1669">
        <v>1665</v>
      </c>
      <c r="B1669">
        <v>1666</v>
      </c>
      <c r="C1669">
        <v>146.090029302999</v>
      </c>
      <c r="D1669">
        <v>-17.657300138899899</v>
      </c>
      <c r="G1669" s="92"/>
      <c r="I1669">
        <v>8</v>
      </c>
      <c r="J1669" t="s">
        <v>26</v>
      </c>
      <c r="K1669" s="57"/>
      <c r="L1669" s="31"/>
      <c r="M1669" s="31"/>
      <c r="N1669" s="31"/>
      <c r="O1669" s="31"/>
      <c r="S1669" s="57"/>
      <c r="X1669" s="57"/>
    </row>
    <row r="1670" spans="1:24" hidden="1" x14ac:dyDescent="0.35">
      <c r="A1670">
        <v>1666</v>
      </c>
      <c r="B1670">
        <v>1667</v>
      </c>
      <c r="C1670">
        <v>146.090052697999</v>
      </c>
      <c r="D1670">
        <v>-17.6572178981999</v>
      </c>
      <c r="G1670" s="92"/>
      <c r="I1670">
        <v>8</v>
      </c>
      <c r="J1670" t="s">
        <v>26</v>
      </c>
      <c r="K1670" s="57"/>
      <c r="L1670" s="31"/>
      <c r="M1670" s="31"/>
      <c r="N1670" s="31"/>
      <c r="O1670" s="31"/>
      <c r="S1670" s="57"/>
      <c r="X1670" s="57"/>
    </row>
    <row r="1671" spans="1:24" hidden="1" x14ac:dyDescent="0.35">
      <c r="A1671">
        <v>1667</v>
      </c>
      <c r="B1671">
        <v>1668</v>
      </c>
      <c r="C1671">
        <v>146.09008374300001</v>
      </c>
      <c r="D1671">
        <v>-17.6571375732</v>
      </c>
      <c r="G1671" s="92"/>
      <c r="I1671">
        <v>8</v>
      </c>
      <c r="J1671" t="s">
        <v>26</v>
      </c>
      <c r="K1671" s="57"/>
      <c r="L1671" s="31"/>
      <c r="M1671" s="31"/>
      <c r="N1671" s="31"/>
      <c r="O1671" s="31"/>
      <c r="S1671" s="57"/>
      <c r="X1671" s="57"/>
    </row>
    <row r="1672" spans="1:24" hidden="1" x14ac:dyDescent="0.35">
      <c r="A1672">
        <v>1668</v>
      </c>
      <c r="B1672">
        <v>1669</v>
      </c>
      <c r="C1672">
        <v>146.09011478900001</v>
      </c>
      <c r="D1672">
        <v>-17.657057248200001</v>
      </c>
      <c r="G1672" s="92"/>
      <c r="I1672">
        <v>8</v>
      </c>
      <c r="J1672" t="s">
        <v>26</v>
      </c>
      <c r="K1672" s="57"/>
      <c r="L1672" s="31"/>
      <c r="M1672" s="31"/>
      <c r="N1672" s="31"/>
      <c r="O1672" s="31"/>
      <c r="S1672" s="57"/>
      <c r="X1672" s="57"/>
    </row>
    <row r="1673" spans="1:24" hidden="1" x14ac:dyDescent="0.35">
      <c r="A1673">
        <v>1669</v>
      </c>
      <c r="B1673">
        <v>1670</v>
      </c>
      <c r="C1673">
        <v>146.09014583499899</v>
      </c>
      <c r="D1673">
        <v>-17.656976923199899</v>
      </c>
      <c r="G1673" s="92"/>
      <c r="I1673">
        <v>8</v>
      </c>
      <c r="J1673" t="s">
        <v>26</v>
      </c>
      <c r="K1673" s="57"/>
      <c r="L1673" s="31"/>
      <c r="M1673" s="31"/>
      <c r="N1673" s="31"/>
      <c r="O1673" s="31"/>
      <c r="S1673" s="57"/>
      <c r="X1673" s="57"/>
    </row>
    <row r="1674" spans="1:24" hidden="1" x14ac:dyDescent="0.35">
      <c r="A1674">
        <v>1670</v>
      </c>
      <c r="B1674">
        <v>1671</v>
      </c>
      <c r="C1674">
        <v>146.09017688</v>
      </c>
      <c r="D1674">
        <v>-17.656896598100001</v>
      </c>
      <c r="G1674" s="92"/>
      <c r="I1674">
        <v>8</v>
      </c>
      <c r="J1674" t="s">
        <v>26</v>
      </c>
      <c r="K1674" s="57"/>
      <c r="L1674" s="31"/>
      <c r="M1674" s="31"/>
      <c r="N1674" s="31"/>
      <c r="O1674" s="31"/>
      <c r="S1674" s="57"/>
      <c r="X1674" s="57"/>
    </row>
    <row r="1675" spans="1:24" hidden="1" x14ac:dyDescent="0.35">
      <c r="A1675">
        <v>1671</v>
      </c>
      <c r="B1675">
        <v>1672</v>
      </c>
      <c r="C1675">
        <v>146.090207921</v>
      </c>
      <c r="D1675">
        <v>-17.6568162712</v>
      </c>
      <c r="G1675" s="92"/>
      <c r="I1675">
        <v>8</v>
      </c>
      <c r="J1675" t="s">
        <v>26</v>
      </c>
      <c r="K1675" s="57"/>
      <c r="L1675" s="31"/>
      <c r="M1675" s="31"/>
      <c r="N1675" s="31"/>
      <c r="O1675" s="31"/>
      <c r="S1675" s="57"/>
      <c r="X1675" s="57"/>
    </row>
    <row r="1676" spans="1:24" hidden="1" x14ac:dyDescent="0.35">
      <c r="A1676">
        <v>1672</v>
      </c>
      <c r="B1676">
        <v>1673</v>
      </c>
      <c r="C1676">
        <v>146.090236309999</v>
      </c>
      <c r="D1676">
        <v>-17.656735058599899</v>
      </c>
      <c r="G1676" s="92"/>
      <c r="I1676">
        <v>8</v>
      </c>
      <c r="J1676" t="s">
        <v>26</v>
      </c>
      <c r="K1676" s="57"/>
      <c r="L1676" s="31"/>
      <c r="M1676" s="31"/>
      <c r="N1676" s="31"/>
      <c r="O1676" s="31"/>
      <c r="S1676" s="57"/>
      <c r="X1676" s="57"/>
    </row>
    <row r="1677" spans="1:24" hidden="1" x14ac:dyDescent="0.35">
      <c r="A1677">
        <v>1673</v>
      </c>
      <c r="B1677">
        <v>1674</v>
      </c>
      <c r="C1677">
        <v>146.09026469899899</v>
      </c>
      <c r="D1677">
        <v>-17.6566538458999</v>
      </c>
      <c r="G1677" s="92"/>
      <c r="I1677">
        <v>8</v>
      </c>
      <c r="J1677" t="s">
        <v>26</v>
      </c>
      <c r="K1677" s="57"/>
      <c r="L1677" s="31"/>
      <c r="M1677" s="31"/>
      <c r="N1677" s="31"/>
      <c r="O1677" s="31"/>
      <c r="S1677" s="57"/>
      <c r="X1677" s="57"/>
    </row>
    <row r="1678" spans="1:24" hidden="1" x14ac:dyDescent="0.35">
      <c r="A1678">
        <v>1674</v>
      </c>
      <c r="B1678">
        <v>1675</v>
      </c>
      <c r="C1678">
        <v>146.090293088999</v>
      </c>
      <c r="D1678">
        <v>-17.6565726332</v>
      </c>
      <c r="G1678" s="92"/>
      <c r="I1678">
        <v>8</v>
      </c>
      <c r="J1678" t="s">
        <v>26</v>
      </c>
      <c r="K1678" s="57"/>
      <c r="L1678" s="31"/>
      <c r="M1678" s="31"/>
      <c r="N1678" s="31"/>
      <c r="O1678" s="31"/>
      <c r="S1678" s="57"/>
      <c r="X1678" s="57"/>
    </row>
    <row r="1679" spans="1:24" hidden="1" x14ac:dyDescent="0.35">
      <c r="A1679">
        <v>1675</v>
      </c>
      <c r="B1679">
        <v>1676</v>
      </c>
      <c r="C1679">
        <v>146.090321477999</v>
      </c>
      <c r="D1679">
        <v>-17.656491420399899</v>
      </c>
      <c r="G1679" s="92"/>
      <c r="I1679">
        <v>8</v>
      </c>
      <c r="J1679" t="s">
        <v>26</v>
      </c>
      <c r="K1679" s="57"/>
      <c r="L1679" s="31"/>
      <c r="M1679" s="31"/>
      <c r="N1679" s="31"/>
      <c r="O1679" s="31"/>
      <c r="S1679" s="57"/>
      <c r="X1679" s="57"/>
    </row>
    <row r="1680" spans="1:24" hidden="1" x14ac:dyDescent="0.35">
      <c r="A1680">
        <v>1676</v>
      </c>
      <c r="B1680">
        <v>1677</v>
      </c>
      <c r="C1680">
        <v>146.09034986699899</v>
      </c>
      <c r="D1680">
        <v>-17.6564102076</v>
      </c>
      <c r="G1680" s="92"/>
      <c r="I1680">
        <v>8</v>
      </c>
      <c r="J1680" t="s">
        <v>26</v>
      </c>
      <c r="K1680" s="57"/>
      <c r="L1680" s="31"/>
      <c r="M1680" s="31"/>
      <c r="N1680" s="31"/>
      <c r="O1680" s="31"/>
      <c r="S1680" s="57"/>
      <c r="X1680" s="57"/>
    </row>
    <row r="1681" spans="1:24" hidden="1" x14ac:dyDescent="0.35">
      <c r="A1681">
        <v>1677</v>
      </c>
      <c r="B1681">
        <v>1678</v>
      </c>
      <c r="C1681">
        <v>146.09037825600001</v>
      </c>
      <c r="D1681">
        <v>-17.6563289947999</v>
      </c>
      <c r="G1681" s="92"/>
      <c r="I1681">
        <v>8</v>
      </c>
      <c r="J1681" t="s">
        <v>26</v>
      </c>
      <c r="K1681" s="57"/>
      <c r="L1681" s="31"/>
      <c r="M1681" s="31"/>
      <c r="N1681" s="31"/>
      <c r="O1681" s="31"/>
      <c r="S1681" s="57"/>
      <c r="X1681" s="57"/>
    </row>
    <row r="1682" spans="1:24" hidden="1" x14ac:dyDescent="0.35">
      <c r="A1682">
        <v>1678</v>
      </c>
      <c r="B1682">
        <v>1679</v>
      </c>
      <c r="C1682">
        <v>146.090406645</v>
      </c>
      <c r="D1682">
        <v>-17.6562477818999</v>
      </c>
      <c r="G1682" s="92"/>
      <c r="I1682">
        <v>8</v>
      </c>
      <c r="J1682" t="s">
        <v>26</v>
      </c>
      <c r="K1682" s="57"/>
      <c r="L1682" s="31"/>
      <c r="M1682" s="31"/>
      <c r="N1682" s="31"/>
      <c r="O1682" s="31"/>
      <c r="S1682" s="57"/>
      <c r="X1682" s="57"/>
    </row>
    <row r="1683" spans="1:24" hidden="1" x14ac:dyDescent="0.35">
      <c r="A1683">
        <v>1679</v>
      </c>
      <c r="B1683">
        <v>1680</v>
      </c>
      <c r="C1683">
        <v>146.09043503500001</v>
      </c>
      <c r="D1683">
        <v>-17.656166569</v>
      </c>
      <c r="G1683" s="92"/>
      <c r="I1683">
        <v>8</v>
      </c>
      <c r="J1683" t="s">
        <v>26</v>
      </c>
      <c r="K1683" s="57"/>
      <c r="L1683" s="31"/>
      <c r="M1683" s="31"/>
      <c r="N1683" s="31"/>
      <c r="O1683" s="31"/>
      <c r="S1683" s="57"/>
      <c r="X1683" s="57"/>
    </row>
    <row r="1684" spans="1:24" hidden="1" x14ac:dyDescent="0.35">
      <c r="A1684">
        <v>1680</v>
      </c>
      <c r="B1684">
        <v>1681</v>
      </c>
      <c r="C1684">
        <v>146.090451755</v>
      </c>
      <c r="D1684">
        <v>-17.6560826276</v>
      </c>
      <c r="G1684" s="92"/>
      <c r="I1684">
        <v>8</v>
      </c>
      <c r="J1684" t="s">
        <v>26</v>
      </c>
      <c r="K1684" s="57"/>
      <c r="L1684" s="31"/>
      <c r="M1684" s="31"/>
      <c r="N1684" s="31"/>
      <c r="O1684" s="31"/>
      <c r="S1684" s="57"/>
      <c r="X1684" s="57"/>
    </row>
    <row r="1685" spans="1:24" hidden="1" x14ac:dyDescent="0.35">
      <c r="A1685">
        <v>1681</v>
      </c>
      <c r="B1685">
        <v>1682</v>
      </c>
      <c r="C1685">
        <v>146.090466042</v>
      </c>
      <c r="D1685">
        <v>-17.6559981171999</v>
      </c>
      <c r="G1685" s="92"/>
      <c r="I1685">
        <v>8</v>
      </c>
      <c r="J1685" t="s">
        <v>26</v>
      </c>
      <c r="K1685" s="57"/>
      <c r="L1685" s="31"/>
      <c r="M1685" s="31"/>
      <c r="N1685" s="31"/>
      <c r="O1685" s="31"/>
      <c r="S1685" s="57"/>
      <c r="X1685" s="57"/>
    </row>
    <row r="1686" spans="1:24" hidden="1" x14ac:dyDescent="0.35">
      <c r="A1686">
        <v>1682</v>
      </c>
      <c r="B1686">
        <v>1683</v>
      </c>
      <c r="C1686">
        <v>146.090480329</v>
      </c>
      <c r="D1686">
        <v>-17.6559136067</v>
      </c>
      <c r="G1686" s="92"/>
      <c r="I1686">
        <v>8</v>
      </c>
      <c r="J1686" t="s">
        <v>26</v>
      </c>
      <c r="K1686" s="57"/>
      <c r="L1686" s="31"/>
      <c r="M1686" s="31"/>
      <c r="N1686" s="31"/>
      <c r="O1686" s="31"/>
      <c r="S1686" s="57"/>
      <c r="X1686" s="57"/>
    </row>
    <row r="1687" spans="1:24" hidden="1" x14ac:dyDescent="0.35">
      <c r="A1687">
        <v>1683</v>
      </c>
      <c r="B1687">
        <v>1684</v>
      </c>
      <c r="C1687">
        <v>146.090494616999</v>
      </c>
      <c r="D1687">
        <v>-17.6558290963</v>
      </c>
      <c r="G1687" s="92"/>
      <c r="I1687">
        <v>8</v>
      </c>
      <c r="J1687" t="s">
        <v>26</v>
      </c>
      <c r="K1687" s="57"/>
      <c r="L1687" s="31"/>
      <c r="M1687" s="31"/>
      <c r="N1687" s="31"/>
      <c r="O1687" s="31"/>
      <c r="S1687" s="57"/>
      <c r="X1687" s="57"/>
    </row>
    <row r="1688" spans="1:24" hidden="1" x14ac:dyDescent="0.35">
      <c r="A1688">
        <v>1684</v>
      </c>
      <c r="B1688">
        <v>1685</v>
      </c>
      <c r="C1688">
        <v>146.09050890399899</v>
      </c>
      <c r="D1688">
        <v>-17.655744585800001</v>
      </c>
      <c r="G1688" s="92"/>
      <c r="I1688">
        <v>8</v>
      </c>
      <c r="J1688" t="s">
        <v>26</v>
      </c>
      <c r="K1688" s="57"/>
      <c r="L1688" s="31"/>
      <c r="M1688" s="31"/>
      <c r="N1688" s="31"/>
      <c r="O1688" s="31"/>
      <c r="S1688" s="57"/>
      <c r="X1688" s="57"/>
    </row>
    <row r="1689" spans="1:24" hidden="1" x14ac:dyDescent="0.35">
      <c r="A1689">
        <v>1685</v>
      </c>
      <c r="B1689">
        <v>1686</v>
      </c>
      <c r="C1689">
        <v>146.09052319099899</v>
      </c>
      <c r="D1689">
        <v>-17.6556600752</v>
      </c>
      <c r="G1689" s="92"/>
      <c r="I1689">
        <v>8</v>
      </c>
      <c r="J1689" t="s">
        <v>26</v>
      </c>
      <c r="K1689" s="57"/>
      <c r="L1689" s="31"/>
      <c r="M1689" s="31"/>
      <c r="N1689" s="31"/>
      <c r="O1689" s="31"/>
      <c r="S1689" s="57"/>
      <c r="X1689" s="57"/>
    </row>
    <row r="1690" spans="1:24" hidden="1" x14ac:dyDescent="0.35">
      <c r="A1690">
        <v>1686</v>
      </c>
      <c r="B1690">
        <v>1687</v>
      </c>
      <c r="C1690">
        <v>146.09050217999899</v>
      </c>
      <c r="D1690">
        <v>-17.655577040299899</v>
      </c>
      <c r="G1690" s="92"/>
      <c r="I1690">
        <v>8</v>
      </c>
      <c r="J1690" t="s">
        <v>26</v>
      </c>
      <c r="K1690" s="57"/>
      <c r="L1690" s="31"/>
      <c r="M1690" s="31"/>
      <c r="N1690" s="31"/>
      <c r="O1690" s="31"/>
      <c r="S1690" s="57"/>
      <c r="X1690" s="57"/>
    </row>
    <row r="1691" spans="1:24" hidden="1" x14ac:dyDescent="0.35">
      <c r="A1691">
        <v>1687</v>
      </c>
      <c r="B1691">
        <v>1688</v>
      </c>
      <c r="C1691">
        <v>146.090480181</v>
      </c>
      <c r="D1691">
        <v>-17.655494046600001</v>
      </c>
      <c r="G1691" s="92"/>
      <c r="I1691">
        <v>8</v>
      </c>
      <c r="J1691" t="s">
        <v>26</v>
      </c>
      <c r="K1691" s="57"/>
      <c r="L1691" s="31"/>
      <c r="M1691" s="31"/>
      <c r="N1691" s="31"/>
      <c r="O1691" s="31"/>
      <c r="S1691" s="57"/>
      <c r="X1691" s="57"/>
    </row>
    <row r="1692" spans="1:24" hidden="1" x14ac:dyDescent="0.35">
      <c r="A1692">
        <v>1688</v>
      </c>
      <c r="B1692">
        <v>1689</v>
      </c>
      <c r="C1692">
        <v>146.09043430099899</v>
      </c>
      <c r="D1692">
        <v>-17.655422686200001</v>
      </c>
      <c r="G1692" s="92"/>
      <c r="I1692">
        <v>8</v>
      </c>
      <c r="J1692" t="s">
        <v>26</v>
      </c>
      <c r="K1692" s="57"/>
      <c r="L1692" s="31"/>
      <c r="M1692" s="31"/>
      <c r="N1692" s="31"/>
      <c r="O1692" s="31"/>
      <c r="S1692" s="57"/>
      <c r="X1692" s="57"/>
    </row>
    <row r="1693" spans="1:24" hidden="1" x14ac:dyDescent="0.35">
      <c r="A1693">
        <v>1689</v>
      </c>
      <c r="B1693">
        <v>1690</v>
      </c>
      <c r="C1693">
        <v>146.090376585</v>
      </c>
      <c r="D1693">
        <v>-17.655357091500001</v>
      </c>
      <c r="G1693" s="92"/>
      <c r="I1693">
        <v>8</v>
      </c>
      <c r="J1693" t="s">
        <v>26</v>
      </c>
      <c r="K1693" s="57"/>
      <c r="L1693" s="31"/>
      <c r="M1693" s="31"/>
      <c r="N1693" s="31"/>
      <c r="O1693" s="31"/>
      <c r="S1693" s="57"/>
      <c r="X1693" s="57"/>
    </row>
    <row r="1694" spans="1:24" hidden="1" x14ac:dyDescent="0.35">
      <c r="A1694">
        <v>1690</v>
      </c>
      <c r="B1694">
        <v>1691</v>
      </c>
      <c r="C1694">
        <v>146.090318867999</v>
      </c>
      <c r="D1694">
        <v>-17.6552914968</v>
      </c>
      <c r="G1694" s="92"/>
      <c r="I1694">
        <v>8</v>
      </c>
      <c r="J1694" t="s">
        <v>26</v>
      </c>
      <c r="K1694" s="57"/>
      <c r="L1694" s="31"/>
      <c r="M1694" s="31"/>
      <c r="N1694" s="31"/>
      <c r="O1694" s="31"/>
      <c r="S1694" s="57"/>
      <c r="X1694" s="57"/>
    </row>
    <row r="1695" spans="1:24" hidden="1" x14ac:dyDescent="0.35">
      <c r="A1695">
        <v>1691</v>
      </c>
      <c r="B1695">
        <v>1692</v>
      </c>
      <c r="C1695">
        <v>146.09024375800001</v>
      </c>
      <c r="D1695">
        <v>-17.6552472897</v>
      </c>
      <c r="G1695" s="92"/>
      <c r="I1695">
        <v>8</v>
      </c>
      <c r="J1695" t="s">
        <v>26</v>
      </c>
      <c r="K1695" s="57"/>
      <c r="L1695" s="31"/>
      <c r="M1695" s="31"/>
      <c r="N1695" s="31"/>
      <c r="O1695" s="31"/>
      <c r="S1695" s="57"/>
      <c r="X1695" s="57"/>
    </row>
    <row r="1696" spans="1:24" hidden="1" x14ac:dyDescent="0.35">
      <c r="A1696">
        <v>1692</v>
      </c>
      <c r="B1696">
        <v>1693</v>
      </c>
      <c r="C1696">
        <v>146.090162695999</v>
      </c>
      <c r="D1696">
        <v>-17.6552104023</v>
      </c>
      <c r="G1696" s="92"/>
      <c r="I1696">
        <v>8</v>
      </c>
      <c r="J1696" t="s">
        <v>26</v>
      </c>
      <c r="K1696" s="57"/>
      <c r="L1696" s="31"/>
      <c r="M1696" s="31"/>
      <c r="N1696" s="31"/>
      <c r="O1696" s="31"/>
      <c r="S1696" s="57"/>
      <c r="X1696" s="57"/>
    </row>
    <row r="1697" spans="1:24" hidden="1" x14ac:dyDescent="0.35">
      <c r="A1697">
        <v>1693</v>
      </c>
      <c r="B1697">
        <v>1694</v>
      </c>
      <c r="C1697">
        <v>146.09008163300001</v>
      </c>
      <c r="D1697">
        <v>-17.6551735149</v>
      </c>
      <c r="G1697" s="92"/>
      <c r="I1697">
        <v>8</v>
      </c>
      <c r="J1697" t="s">
        <v>26</v>
      </c>
      <c r="K1697" s="57"/>
      <c r="L1697" s="31"/>
      <c r="M1697" s="31"/>
      <c r="N1697" s="31"/>
      <c r="O1697" s="31"/>
      <c r="S1697" s="57"/>
      <c r="X1697" s="57"/>
    </row>
    <row r="1698" spans="1:24" hidden="1" x14ac:dyDescent="0.35">
      <c r="A1698">
        <v>1694</v>
      </c>
      <c r="B1698">
        <v>1695</v>
      </c>
      <c r="C1698">
        <v>146.08999372100001</v>
      </c>
      <c r="D1698">
        <v>-17.655159251099899</v>
      </c>
      <c r="G1698" s="92"/>
      <c r="I1698">
        <v>8</v>
      </c>
      <c r="J1698" t="s">
        <v>26</v>
      </c>
      <c r="K1698" s="57"/>
      <c r="L1698" s="31"/>
      <c r="M1698" s="31"/>
      <c r="N1698" s="31"/>
      <c r="O1698" s="31"/>
      <c r="S1698" s="57"/>
      <c r="X1698" s="57"/>
    </row>
    <row r="1699" spans="1:24" hidden="1" x14ac:dyDescent="0.35">
      <c r="A1699">
        <v>1695</v>
      </c>
      <c r="B1699">
        <v>1696</v>
      </c>
      <c r="C1699">
        <v>146.08990449500001</v>
      </c>
      <c r="D1699">
        <v>-17.655149328699899</v>
      </c>
      <c r="G1699" s="92"/>
      <c r="I1699">
        <v>8</v>
      </c>
      <c r="J1699" t="s">
        <v>26</v>
      </c>
      <c r="K1699" s="57"/>
      <c r="L1699" s="31"/>
      <c r="M1699" s="31"/>
      <c r="N1699" s="31"/>
      <c r="O1699" s="31"/>
      <c r="S1699" s="57"/>
      <c r="X1699" s="57"/>
    </row>
    <row r="1700" spans="1:24" hidden="1" x14ac:dyDescent="0.35">
      <c r="A1700">
        <v>1696</v>
      </c>
      <c r="B1700">
        <v>1697</v>
      </c>
      <c r="C1700">
        <v>146.08981526900001</v>
      </c>
      <c r="D1700">
        <v>-17.6551394062</v>
      </c>
      <c r="G1700" s="92"/>
      <c r="I1700">
        <v>8</v>
      </c>
      <c r="J1700" t="s">
        <v>26</v>
      </c>
      <c r="K1700" s="57"/>
      <c r="L1700" s="31"/>
      <c r="M1700" s="31"/>
      <c r="N1700" s="31"/>
      <c r="O1700" s="31"/>
      <c r="S1700" s="57"/>
      <c r="X1700" s="57"/>
    </row>
    <row r="1701" spans="1:24" hidden="1" x14ac:dyDescent="0.35">
      <c r="A1701">
        <v>1697</v>
      </c>
      <c r="B1701">
        <v>1698</v>
      </c>
      <c r="C1701">
        <v>146.089726971</v>
      </c>
      <c r="D1701">
        <v>-17.655152288</v>
      </c>
      <c r="G1701" s="92"/>
      <c r="I1701">
        <v>8</v>
      </c>
      <c r="J1701" t="s">
        <v>26</v>
      </c>
      <c r="K1701" s="57"/>
      <c r="L1701" s="31"/>
      <c r="M1701" s="31"/>
      <c r="N1701" s="31"/>
      <c r="O1701" s="31"/>
      <c r="S1701" s="57"/>
      <c r="X1701" s="57"/>
    </row>
    <row r="1702" spans="1:24" hidden="1" x14ac:dyDescent="0.35">
      <c r="A1702">
        <v>1698</v>
      </c>
      <c r="B1702">
        <v>1699</v>
      </c>
      <c r="C1702">
        <v>146.08963882</v>
      </c>
      <c r="D1702">
        <v>-17.6551687675999</v>
      </c>
      <c r="G1702" s="92"/>
      <c r="I1702">
        <v>8</v>
      </c>
      <c r="J1702" t="s">
        <v>26</v>
      </c>
      <c r="K1702" s="57"/>
      <c r="L1702" s="31"/>
      <c r="M1702" s="31"/>
      <c r="N1702" s="31"/>
      <c r="O1702" s="31"/>
      <c r="S1702" s="57"/>
      <c r="X1702" s="57"/>
    </row>
    <row r="1703" spans="1:24" hidden="1" x14ac:dyDescent="0.35">
      <c r="A1703">
        <v>1699</v>
      </c>
      <c r="B1703">
        <v>1700</v>
      </c>
      <c r="C1703">
        <v>146.089550669</v>
      </c>
      <c r="D1703">
        <v>-17.655185247199899</v>
      </c>
      <c r="G1703" s="92"/>
      <c r="I1703">
        <v>8</v>
      </c>
      <c r="J1703" t="s">
        <v>26</v>
      </c>
      <c r="K1703" s="57"/>
      <c r="L1703" s="31"/>
      <c r="M1703" s="31"/>
      <c r="N1703" s="31"/>
      <c r="O1703" s="31"/>
      <c r="S1703" s="57"/>
      <c r="X1703" s="57"/>
    </row>
    <row r="1704" spans="1:24" hidden="1" x14ac:dyDescent="0.35">
      <c r="A1704">
        <v>1700</v>
      </c>
      <c r="B1704">
        <v>1701</v>
      </c>
      <c r="C1704">
        <v>146.08946419399899</v>
      </c>
      <c r="D1704">
        <v>-17.6552051789999</v>
      </c>
      <c r="G1704" s="92"/>
      <c r="I1704">
        <v>8</v>
      </c>
      <c r="J1704" t="s">
        <v>26</v>
      </c>
      <c r="K1704" s="57"/>
      <c r="L1704" s="31"/>
      <c r="M1704" s="31"/>
      <c r="N1704" s="31"/>
      <c r="O1704" s="31"/>
      <c r="S1704" s="57"/>
      <c r="X1704" s="57"/>
    </row>
    <row r="1705" spans="1:24" hidden="1" x14ac:dyDescent="0.35">
      <c r="A1705">
        <v>1701</v>
      </c>
      <c r="B1705">
        <v>1702</v>
      </c>
      <c r="C1705">
        <v>146.089393943999</v>
      </c>
      <c r="D1705">
        <v>-17.6552585294999</v>
      </c>
      <c r="G1705" s="92"/>
      <c r="I1705">
        <v>8</v>
      </c>
      <c r="J1705" t="s">
        <v>26</v>
      </c>
      <c r="K1705" s="57"/>
      <c r="L1705" s="31"/>
      <c r="M1705" s="31"/>
      <c r="N1705" s="31"/>
      <c r="O1705" s="31"/>
      <c r="S1705" s="57"/>
      <c r="X1705" s="57"/>
    </row>
    <row r="1706" spans="1:24" hidden="1" x14ac:dyDescent="0.35">
      <c r="A1706">
        <v>1702</v>
      </c>
      <c r="B1706">
        <v>1703</v>
      </c>
      <c r="C1706">
        <v>146.089323694</v>
      </c>
      <c r="D1706">
        <v>-17.6553118799999</v>
      </c>
      <c r="G1706" s="92"/>
      <c r="I1706">
        <v>8</v>
      </c>
      <c r="J1706" t="s">
        <v>26</v>
      </c>
      <c r="K1706" s="57"/>
      <c r="L1706" s="31"/>
      <c r="M1706" s="31"/>
      <c r="N1706" s="31"/>
      <c r="O1706" s="31"/>
      <c r="S1706" s="57"/>
      <c r="X1706" s="57"/>
    </row>
    <row r="1707" spans="1:24" hidden="1" x14ac:dyDescent="0.35">
      <c r="A1707">
        <v>1703</v>
      </c>
      <c r="B1707">
        <v>1704</v>
      </c>
      <c r="C1707">
        <v>146.08925344400001</v>
      </c>
      <c r="D1707">
        <v>-17.655365230400001</v>
      </c>
      <c r="G1707" s="92"/>
      <c r="I1707">
        <v>8</v>
      </c>
      <c r="J1707" t="s">
        <v>26</v>
      </c>
      <c r="K1707" s="57"/>
      <c r="L1707" s="31"/>
      <c r="M1707" s="31"/>
      <c r="N1707" s="31"/>
      <c r="O1707" s="31"/>
      <c r="S1707" s="57"/>
      <c r="X1707" s="57"/>
    </row>
    <row r="1708" spans="1:24" hidden="1" x14ac:dyDescent="0.35">
      <c r="A1708">
        <v>1704</v>
      </c>
      <c r="B1708">
        <v>1705</v>
      </c>
      <c r="C1708">
        <v>146.089183192999</v>
      </c>
      <c r="D1708">
        <v>-17.6554185807999</v>
      </c>
      <c r="G1708" s="92"/>
      <c r="I1708">
        <v>8</v>
      </c>
      <c r="J1708" t="s">
        <v>26</v>
      </c>
      <c r="K1708" s="57"/>
      <c r="L1708" s="31"/>
      <c r="M1708" s="31"/>
      <c r="N1708" s="31"/>
      <c r="O1708" s="31"/>
      <c r="S1708" s="57"/>
      <c r="X1708" s="57"/>
    </row>
    <row r="1709" spans="1:24" hidden="1" x14ac:dyDescent="0.35">
      <c r="A1709">
        <v>1705</v>
      </c>
      <c r="B1709">
        <v>1706</v>
      </c>
      <c r="C1709">
        <v>146.08912344500001</v>
      </c>
      <c r="D1709">
        <v>-17.655482273499899</v>
      </c>
      <c r="G1709" s="92"/>
      <c r="I1709">
        <v>8</v>
      </c>
      <c r="J1709" t="s">
        <v>26</v>
      </c>
      <c r="K1709" s="57"/>
      <c r="L1709" s="31"/>
      <c r="M1709" s="31"/>
      <c r="N1709" s="31"/>
      <c r="O1709" s="31"/>
      <c r="S1709" s="57"/>
      <c r="X1709" s="57"/>
    </row>
    <row r="1710" spans="1:24" hidden="1" x14ac:dyDescent="0.35">
      <c r="A1710">
        <v>1706</v>
      </c>
      <c r="B1710">
        <v>1707</v>
      </c>
      <c r="C1710">
        <v>146.08906518000001</v>
      </c>
      <c r="D1710">
        <v>-17.655547425400002</v>
      </c>
      <c r="G1710" s="92"/>
      <c r="I1710">
        <v>8</v>
      </c>
      <c r="J1710" t="s">
        <v>26</v>
      </c>
      <c r="K1710" s="57"/>
      <c r="L1710" s="31"/>
      <c r="M1710" s="31"/>
      <c r="N1710" s="31"/>
      <c r="O1710" s="31"/>
      <c r="S1710" s="57"/>
      <c r="X1710" s="57"/>
    </row>
    <row r="1711" spans="1:24" hidden="1" x14ac:dyDescent="0.35">
      <c r="A1711">
        <v>1707</v>
      </c>
      <c r="B1711">
        <v>1708</v>
      </c>
      <c r="C1711">
        <v>146.08900691400001</v>
      </c>
      <c r="D1711">
        <v>-17.655612577300001</v>
      </c>
      <c r="G1711" s="92"/>
      <c r="I1711">
        <v>8</v>
      </c>
      <c r="J1711" t="s">
        <v>26</v>
      </c>
      <c r="K1711" s="57"/>
      <c r="L1711" s="31"/>
      <c r="M1711" s="31"/>
      <c r="N1711" s="31"/>
      <c r="O1711" s="31"/>
      <c r="S1711" s="57"/>
      <c r="X1711" s="57"/>
    </row>
    <row r="1712" spans="1:24" hidden="1" x14ac:dyDescent="0.35">
      <c r="A1712">
        <v>1708</v>
      </c>
      <c r="B1712">
        <v>1709</v>
      </c>
      <c r="C1712">
        <v>146.08894864800001</v>
      </c>
      <c r="D1712">
        <v>-17.655677729200001</v>
      </c>
      <c r="G1712" s="92"/>
      <c r="I1712">
        <v>8</v>
      </c>
      <c r="J1712" t="s">
        <v>26</v>
      </c>
      <c r="K1712" s="57"/>
      <c r="L1712" s="31"/>
      <c r="M1712" s="31"/>
      <c r="N1712" s="31"/>
      <c r="O1712" s="31"/>
      <c r="S1712" s="57"/>
      <c r="X1712" s="57"/>
    </row>
    <row r="1713" spans="1:24" hidden="1" x14ac:dyDescent="0.35">
      <c r="A1713">
        <v>1709</v>
      </c>
      <c r="B1713">
        <v>1710</v>
      </c>
      <c r="C1713">
        <v>146.08889038199899</v>
      </c>
      <c r="D1713">
        <v>-17.6557428811</v>
      </c>
      <c r="G1713" s="92"/>
      <c r="I1713">
        <v>8</v>
      </c>
      <c r="J1713" t="s">
        <v>26</v>
      </c>
      <c r="K1713" s="57"/>
      <c r="L1713" s="31"/>
      <c r="M1713" s="31"/>
      <c r="N1713" s="31"/>
      <c r="O1713" s="31"/>
      <c r="S1713" s="57"/>
      <c r="X1713" s="57"/>
    </row>
    <row r="1714" spans="1:24" hidden="1" x14ac:dyDescent="0.35">
      <c r="A1714">
        <v>1710</v>
      </c>
      <c r="B1714">
        <v>1711</v>
      </c>
      <c r="C1714">
        <v>146.088834896999</v>
      </c>
      <c r="D1714">
        <v>-17.655809763000001</v>
      </c>
      <c r="G1714" s="92"/>
      <c r="I1714">
        <v>8</v>
      </c>
      <c r="J1714" t="s">
        <v>26</v>
      </c>
      <c r="K1714" s="57"/>
      <c r="L1714" s="31"/>
      <c r="M1714" s="31"/>
      <c r="N1714" s="31"/>
      <c r="O1714" s="31"/>
      <c r="S1714" s="57"/>
      <c r="X1714" s="57"/>
    </row>
    <row r="1715" spans="1:24" hidden="1" x14ac:dyDescent="0.35">
      <c r="A1715">
        <v>1711</v>
      </c>
      <c r="B1715">
        <v>1712</v>
      </c>
      <c r="C1715">
        <v>146.08879572999899</v>
      </c>
      <c r="D1715">
        <v>-17.655886798600001</v>
      </c>
      <c r="G1715" s="92"/>
      <c r="I1715">
        <v>8</v>
      </c>
      <c r="J1715" t="s">
        <v>26</v>
      </c>
      <c r="K1715" s="57"/>
      <c r="L1715" s="31"/>
      <c r="M1715" s="31"/>
      <c r="N1715" s="31"/>
      <c r="O1715" s="31"/>
      <c r="S1715" s="57"/>
      <c r="X1715" s="57"/>
    </row>
    <row r="1716" spans="1:24" hidden="1" x14ac:dyDescent="0.35">
      <c r="A1716">
        <v>1712</v>
      </c>
      <c r="B1716">
        <v>1713</v>
      </c>
      <c r="C1716">
        <v>146.088756563999</v>
      </c>
      <c r="D1716">
        <v>-17.6559638341</v>
      </c>
      <c r="G1716" s="92"/>
      <c r="I1716">
        <v>8</v>
      </c>
      <c r="J1716" t="s">
        <v>26</v>
      </c>
      <c r="K1716" s="57"/>
      <c r="L1716" s="31"/>
      <c r="M1716" s="31"/>
      <c r="N1716" s="31"/>
      <c r="O1716" s="31"/>
      <c r="S1716" s="57"/>
      <c r="X1716" s="57"/>
    </row>
    <row r="1717" spans="1:24" hidden="1" x14ac:dyDescent="0.35">
      <c r="A1717">
        <v>1713</v>
      </c>
      <c r="B1717">
        <v>1714</v>
      </c>
      <c r="C1717">
        <v>146.088717398</v>
      </c>
      <c r="D1717">
        <v>-17.656040869600002</v>
      </c>
      <c r="G1717" s="92"/>
      <c r="I1717">
        <v>8</v>
      </c>
      <c r="J1717" t="s">
        <v>26</v>
      </c>
      <c r="K1717" s="57"/>
      <c r="L1717" s="31"/>
      <c r="M1717" s="31"/>
      <c r="N1717" s="31"/>
      <c r="O1717" s="31"/>
      <c r="S1717" s="57"/>
      <c r="X1717" s="57"/>
    </row>
    <row r="1718" spans="1:24" hidden="1" x14ac:dyDescent="0.35">
      <c r="A1718">
        <v>1714</v>
      </c>
      <c r="B1718">
        <v>1715</v>
      </c>
      <c r="C1718">
        <v>146.08867823099899</v>
      </c>
      <c r="D1718">
        <v>-17.6561179051</v>
      </c>
      <c r="G1718" s="92"/>
      <c r="I1718">
        <v>8</v>
      </c>
      <c r="J1718" t="s">
        <v>26</v>
      </c>
      <c r="K1718" s="57"/>
      <c r="L1718" s="31"/>
      <c r="M1718" s="31"/>
      <c r="N1718" s="31"/>
      <c r="O1718" s="31"/>
      <c r="S1718" s="57"/>
      <c r="X1718" s="57"/>
    </row>
    <row r="1719" spans="1:24" hidden="1" x14ac:dyDescent="0.35">
      <c r="A1719">
        <v>1715</v>
      </c>
      <c r="B1719">
        <v>1716</v>
      </c>
      <c r="C1719">
        <v>146.088639064999</v>
      </c>
      <c r="D1719">
        <v>-17.656194940500001</v>
      </c>
      <c r="G1719" s="92"/>
      <c r="I1719">
        <v>8</v>
      </c>
      <c r="J1719" t="s">
        <v>26</v>
      </c>
      <c r="K1719" s="57"/>
      <c r="L1719" s="31"/>
      <c r="M1719" s="31"/>
      <c r="N1719" s="31"/>
      <c r="O1719" s="31"/>
      <c r="S1719" s="57"/>
      <c r="X1719" s="57"/>
    </row>
    <row r="1720" spans="1:24" hidden="1" x14ac:dyDescent="0.35">
      <c r="A1720">
        <v>1716</v>
      </c>
      <c r="B1720">
        <v>1717</v>
      </c>
      <c r="C1720">
        <v>146.088599899</v>
      </c>
      <c r="D1720">
        <v>-17.656271975900001</v>
      </c>
      <c r="G1720" s="92"/>
      <c r="I1720">
        <v>8</v>
      </c>
      <c r="J1720" t="s">
        <v>26</v>
      </c>
      <c r="K1720" s="57"/>
      <c r="L1720" s="31"/>
      <c r="M1720" s="31"/>
      <c r="N1720" s="31"/>
      <c r="O1720" s="31"/>
      <c r="S1720" s="57"/>
      <c r="X1720" s="57"/>
    </row>
    <row r="1721" spans="1:24" hidden="1" x14ac:dyDescent="0.35">
      <c r="A1721">
        <v>1717</v>
      </c>
      <c r="B1721">
        <v>1718</v>
      </c>
      <c r="C1721">
        <v>146.088560731999</v>
      </c>
      <c r="D1721">
        <v>-17.656349011300001</v>
      </c>
      <c r="G1721" s="92"/>
      <c r="I1721">
        <v>8</v>
      </c>
      <c r="J1721" t="s">
        <v>26</v>
      </c>
      <c r="K1721" s="57"/>
      <c r="L1721" s="31"/>
      <c r="M1721" s="31"/>
      <c r="N1721" s="31"/>
      <c r="O1721" s="31"/>
      <c r="S1721" s="57"/>
      <c r="X1721" s="57"/>
    </row>
    <row r="1722" spans="1:24" hidden="1" x14ac:dyDescent="0.35">
      <c r="A1722">
        <v>1718</v>
      </c>
      <c r="B1722">
        <v>1719</v>
      </c>
      <c r="C1722">
        <v>146.08852227400001</v>
      </c>
      <c r="D1722">
        <v>-17.6564263685</v>
      </c>
      <c r="G1722" s="92"/>
      <c r="I1722">
        <v>8</v>
      </c>
      <c r="J1722" t="s">
        <v>26</v>
      </c>
      <c r="K1722" s="57"/>
      <c r="L1722" s="31"/>
      <c r="M1722" s="31"/>
      <c r="N1722" s="31"/>
      <c r="O1722" s="31"/>
      <c r="S1722" s="57"/>
      <c r="X1722" s="57"/>
    </row>
    <row r="1723" spans="1:24" hidden="1" x14ac:dyDescent="0.35">
      <c r="A1723">
        <v>1719</v>
      </c>
      <c r="B1723">
        <v>1720</v>
      </c>
      <c r="C1723">
        <v>146.08848408399899</v>
      </c>
      <c r="D1723">
        <v>-17.656503847700002</v>
      </c>
      <c r="G1723" s="92"/>
      <c r="I1723">
        <v>8</v>
      </c>
      <c r="J1723" t="s">
        <v>26</v>
      </c>
      <c r="K1723" s="57"/>
      <c r="L1723" s="31"/>
      <c r="M1723" s="31"/>
      <c r="N1723" s="31"/>
      <c r="O1723" s="31"/>
      <c r="S1723" s="57"/>
      <c r="X1723" s="57"/>
    </row>
    <row r="1724" spans="1:24" hidden="1" x14ac:dyDescent="0.35">
      <c r="A1724">
        <v>1720</v>
      </c>
      <c r="B1724">
        <v>1721</v>
      </c>
      <c r="C1724">
        <v>146.08844589399899</v>
      </c>
      <c r="D1724">
        <v>-17.6565813269</v>
      </c>
      <c r="G1724" s="92"/>
      <c r="I1724">
        <v>8</v>
      </c>
      <c r="J1724" t="s">
        <v>26</v>
      </c>
      <c r="K1724" s="57"/>
      <c r="L1724" s="31"/>
      <c r="M1724" s="31"/>
      <c r="N1724" s="31"/>
      <c r="O1724" s="31"/>
      <c r="S1724" s="57"/>
      <c r="X1724" s="57"/>
    </row>
    <row r="1725" spans="1:24" hidden="1" x14ac:dyDescent="0.35">
      <c r="A1725">
        <v>1721</v>
      </c>
      <c r="B1725">
        <v>1722</v>
      </c>
      <c r="C1725">
        <v>146.088407703999</v>
      </c>
      <c r="D1725">
        <v>-17.656658806100001</v>
      </c>
      <c r="G1725" s="92"/>
      <c r="I1725">
        <v>8</v>
      </c>
      <c r="J1725" t="s">
        <v>26</v>
      </c>
      <c r="K1725" s="57"/>
      <c r="L1725" s="31"/>
      <c r="M1725" s="31"/>
      <c r="N1725" s="31"/>
      <c r="O1725" s="31"/>
      <c r="S1725" s="57"/>
      <c r="X1725" s="57"/>
    </row>
    <row r="1726" spans="1:24" hidden="1" x14ac:dyDescent="0.35">
      <c r="A1726">
        <v>1722</v>
      </c>
      <c r="B1726">
        <v>1723</v>
      </c>
      <c r="C1726">
        <v>146.08836951500001</v>
      </c>
      <c r="D1726">
        <v>-17.656736285200001</v>
      </c>
      <c r="G1726" s="92"/>
      <c r="I1726">
        <v>8</v>
      </c>
      <c r="J1726" t="s">
        <v>26</v>
      </c>
      <c r="K1726" s="57"/>
      <c r="L1726" s="31"/>
      <c r="M1726" s="31"/>
      <c r="N1726" s="31"/>
      <c r="O1726" s="31"/>
      <c r="S1726" s="57"/>
      <c r="X1726" s="57"/>
    </row>
    <row r="1727" spans="1:24" hidden="1" x14ac:dyDescent="0.35">
      <c r="A1727">
        <v>1723</v>
      </c>
      <c r="B1727">
        <v>1724</v>
      </c>
      <c r="C1727">
        <v>146.08833556600001</v>
      </c>
      <c r="D1727">
        <v>-17.656815204800001</v>
      </c>
      <c r="G1727" s="92"/>
      <c r="I1727">
        <v>8</v>
      </c>
      <c r="J1727" t="s">
        <v>26</v>
      </c>
      <c r="K1727" s="57"/>
      <c r="L1727" s="31"/>
      <c r="M1727" s="31"/>
      <c r="N1727" s="31"/>
      <c r="O1727" s="31"/>
      <c r="S1727" s="57"/>
      <c r="X1727" s="57"/>
    </row>
    <row r="1728" spans="1:24" hidden="1" x14ac:dyDescent="0.35">
      <c r="A1728">
        <v>1724</v>
      </c>
      <c r="B1728">
        <v>1725</v>
      </c>
      <c r="C1728">
        <v>146.08831371400001</v>
      </c>
      <c r="D1728">
        <v>-17.6568982332</v>
      </c>
      <c r="G1728" s="92"/>
      <c r="I1728">
        <v>8</v>
      </c>
      <c r="J1728" t="s">
        <v>26</v>
      </c>
      <c r="K1728" s="57"/>
      <c r="L1728" s="31"/>
      <c r="M1728" s="31"/>
      <c r="N1728" s="31"/>
      <c r="O1728" s="31"/>
      <c r="S1728" s="57"/>
      <c r="X1728" s="57"/>
    </row>
    <row r="1729" spans="1:24" hidden="1" x14ac:dyDescent="0.35">
      <c r="A1729">
        <v>1725</v>
      </c>
      <c r="B1729">
        <v>1726</v>
      </c>
      <c r="C1729">
        <v>146.08829186200001</v>
      </c>
      <c r="D1729">
        <v>-17.656981261599899</v>
      </c>
      <c r="G1729" s="92"/>
      <c r="I1729">
        <v>8</v>
      </c>
      <c r="J1729" t="s">
        <v>26</v>
      </c>
      <c r="K1729" s="57"/>
      <c r="L1729" s="31"/>
      <c r="M1729" s="31"/>
      <c r="N1729" s="31"/>
      <c r="O1729" s="31"/>
      <c r="S1729" s="57"/>
      <c r="X1729" s="57"/>
    </row>
    <row r="1730" spans="1:24" hidden="1" x14ac:dyDescent="0.35">
      <c r="A1730">
        <v>1726</v>
      </c>
      <c r="B1730">
        <v>1727</v>
      </c>
      <c r="C1730">
        <v>146.088270010999</v>
      </c>
      <c r="D1730">
        <v>-17.657064290000001</v>
      </c>
      <c r="G1730" s="92"/>
      <c r="I1730">
        <v>8</v>
      </c>
      <c r="J1730" t="s">
        <v>26</v>
      </c>
      <c r="K1730" s="57"/>
      <c r="L1730" s="31"/>
      <c r="M1730" s="31"/>
      <c r="N1730" s="31"/>
      <c r="O1730" s="31"/>
      <c r="S1730" s="57"/>
      <c r="X1730" s="57"/>
    </row>
    <row r="1731" spans="1:24" hidden="1" x14ac:dyDescent="0.35">
      <c r="A1731">
        <v>1727</v>
      </c>
      <c r="B1731">
        <v>1728</v>
      </c>
      <c r="C1731">
        <v>146.08824815899899</v>
      </c>
      <c r="D1731">
        <v>-17.6571473184</v>
      </c>
      <c r="G1731" s="92"/>
      <c r="I1731">
        <v>8</v>
      </c>
      <c r="J1731" t="s">
        <v>26</v>
      </c>
      <c r="K1731" s="57"/>
      <c r="L1731" s="31"/>
      <c r="M1731" s="31"/>
      <c r="N1731" s="31"/>
      <c r="O1731" s="31"/>
      <c r="S1731" s="57"/>
      <c r="X1731" s="57"/>
    </row>
    <row r="1732" spans="1:24" hidden="1" x14ac:dyDescent="0.35">
      <c r="A1732">
        <v>1728</v>
      </c>
      <c r="B1732">
        <v>1729</v>
      </c>
      <c r="C1732">
        <v>146.088226308</v>
      </c>
      <c r="D1732">
        <v>-17.6572303467</v>
      </c>
      <c r="G1732" s="92"/>
      <c r="I1732">
        <v>8</v>
      </c>
      <c r="J1732" t="s">
        <v>26</v>
      </c>
      <c r="K1732" s="57"/>
      <c r="L1732" s="31"/>
      <c r="M1732" s="31"/>
      <c r="N1732" s="31"/>
      <c r="O1732" s="31"/>
      <c r="S1732" s="57"/>
      <c r="X1732" s="57"/>
    </row>
    <row r="1733" spans="1:24" hidden="1" x14ac:dyDescent="0.35">
      <c r="A1733">
        <v>1729</v>
      </c>
      <c r="B1733">
        <v>1730</v>
      </c>
      <c r="C1733">
        <v>146.088204456</v>
      </c>
      <c r="D1733">
        <v>-17.657313375000001</v>
      </c>
      <c r="G1733" s="92"/>
      <c r="I1733">
        <v>8</v>
      </c>
      <c r="J1733" t="s">
        <v>26</v>
      </c>
      <c r="K1733" s="57"/>
      <c r="L1733" s="31"/>
      <c r="M1733" s="31"/>
      <c r="N1733" s="31"/>
      <c r="O1733" s="31"/>
      <c r="S1733" s="57"/>
      <c r="X1733" s="57"/>
    </row>
    <row r="1734" spans="1:24" hidden="1" x14ac:dyDescent="0.35">
      <c r="A1734">
        <v>1730</v>
      </c>
      <c r="B1734">
        <v>1731</v>
      </c>
      <c r="C1734">
        <v>146.08818260499899</v>
      </c>
      <c r="D1734">
        <v>-17.6573964032</v>
      </c>
      <c r="G1734" s="92"/>
      <c r="I1734">
        <v>8</v>
      </c>
      <c r="J1734" t="s">
        <v>26</v>
      </c>
      <c r="K1734" s="57"/>
      <c r="L1734" s="31"/>
      <c r="M1734" s="31"/>
      <c r="N1734" s="31"/>
      <c r="O1734" s="31"/>
      <c r="S1734" s="57"/>
      <c r="X1734" s="57"/>
    </row>
    <row r="1735" spans="1:24" hidden="1" x14ac:dyDescent="0.35">
      <c r="A1735">
        <v>1731</v>
      </c>
      <c r="B1735">
        <v>1732</v>
      </c>
      <c r="C1735">
        <v>146.08817717700001</v>
      </c>
      <c r="D1735">
        <v>-17.6574811799</v>
      </c>
      <c r="G1735" s="92"/>
      <c r="I1735">
        <v>8</v>
      </c>
      <c r="J1735" t="s">
        <v>26</v>
      </c>
      <c r="K1735" s="57"/>
      <c r="L1735" s="31"/>
      <c r="M1735" s="31"/>
      <c r="N1735" s="31"/>
      <c r="O1735" s="31"/>
      <c r="S1735" s="57"/>
      <c r="X1735" s="57"/>
    </row>
    <row r="1736" spans="1:24" hidden="1" x14ac:dyDescent="0.35">
      <c r="A1736">
        <v>1732</v>
      </c>
      <c r="B1736">
        <v>1733</v>
      </c>
      <c r="C1736">
        <v>146.08817926</v>
      </c>
      <c r="D1736">
        <v>-17.6575667561</v>
      </c>
      <c r="G1736" s="92"/>
      <c r="I1736">
        <v>8</v>
      </c>
      <c r="J1736" t="s">
        <v>26</v>
      </c>
      <c r="K1736" s="57"/>
      <c r="L1736" s="31"/>
      <c r="M1736" s="31"/>
      <c r="N1736" s="31"/>
      <c r="O1736" s="31"/>
      <c r="S1736" s="57"/>
      <c r="X1736" s="57"/>
    </row>
    <row r="1737" spans="1:24" hidden="1" x14ac:dyDescent="0.35">
      <c r="A1737">
        <v>1733</v>
      </c>
      <c r="B1737">
        <v>1734</v>
      </c>
      <c r="C1737">
        <v>146.088181343</v>
      </c>
      <c r="D1737">
        <v>-17.6576523323</v>
      </c>
      <c r="G1737" s="92"/>
      <c r="I1737">
        <v>8</v>
      </c>
      <c r="J1737" t="s">
        <v>26</v>
      </c>
      <c r="K1737" s="57"/>
      <c r="L1737" s="31"/>
      <c r="M1737" s="31"/>
      <c r="N1737" s="31"/>
      <c r="O1737" s="31"/>
      <c r="S1737" s="57"/>
      <c r="X1737" s="57"/>
    </row>
    <row r="1738" spans="1:24" hidden="1" x14ac:dyDescent="0.35">
      <c r="A1738">
        <v>1734</v>
      </c>
      <c r="B1738">
        <v>1735</v>
      </c>
      <c r="C1738">
        <v>146.088183426</v>
      </c>
      <c r="D1738">
        <v>-17.6577379085</v>
      </c>
      <c r="G1738" s="92"/>
      <c r="I1738">
        <v>8</v>
      </c>
      <c r="J1738" t="s">
        <v>26</v>
      </c>
      <c r="K1738" s="57"/>
      <c r="L1738" s="31"/>
      <c r="M1738" s="31"/>
      <c r="N1738" s="31"/>
      <c r="O1738" s="31"/>
      <c r="S1738" s="57"/>
      <c r="X1738" s="57"/>
    </row>
    <row r="1739" spans="1:24" hidden="1" x14ac:dyDescent="0.35">
      <c r="A1739">
        <v>1735</v>
      </c>
      <c r="B1739">
        <v>1736</v>
      </c>
      <c r="C1739">
        <v>146.08818550800001</v>
      </c>
      <c r="D1739">
        <v>-17.657823484600002</v>
      </c>
      <c r="G1739" s="92"/>
      <c r="I1739">
        <v>8</v>
      </c>
      <c r="J1739" t="s">
        <v>26</v>
      </c>
      <c r="K1739" s="57"/>
      <c r="L1739" s="31"/>
      <c r="M1739" s="31"/>
      <c r="N1739" s="31"/>
      <c r="O1739" s="31"/>
      <c r="S1739" s="57"/>
      <c r="X1739" s="57"/>
    </row>
    <row r="1740" spans="1:24" hidden="1" x14ac:dyDescent="0.35">
      <c r="A1740">
        <v>1736</v>
      </c>
      <c r="B1740">
        <v>1737</v>
      </c>
      <c r="C1740">
        <v>146.08818759100001</v>
      </c>
      <c r="D1740">
        <v>-17.6579090607</v>
      </c>
      <c r="G1740" s="92"/>
      <c r="I1740">
        <v>8</v>
      </c>
      <c r="J1740" t="s">
        <v>26</v>
      </c>
      <c r="K1740" s="57"/>
      <c r="L1740" s="31"/>
      <c r="M1740" s="31"/>
      <c r="N1740" s="31"/>
      <c r="O1740" s="31"/>
      <c r="S1740" s="57"/>
      <c r="X1740" s="57"/>
    </row>
    <row r="1741" spans="1:24" hidden="1" x14ac:dyDescent="0.35">
      <c r="A1741">
        <v>1737</v>
      </c>
      <c r="B1741">
        <v>1738</v>
      </c>
      <c r="C1741">
        <v>146.08819654499899</v>
      </c>
      <c r="D1741">
        <v>-17.6579941765999</v>
      </c>
      <c r="G1741" s="92"/>
      <c r="I1741">
        <v>8</v>
      </c>
      <c r="J1741" t="s">
        <v>26</v>
      </c>
      <c r="K1741" s="57"/>
      <c r="L1741" s="31"/>
      <c r="M1741" s="31"/>
      <c r="N1741" s="31"/>
      <c r="O1741" s="31"/>
      <c r="S1741" s="57"/>
      <c r="X1741" s="57"/>
    </row>
    <row r="1742" spans="1:24" hidden="1" x14ac:dyDescent="0.35">
      <c r="A1742">
        <v>1738</v>
      </c>
      <c r="B1742">
        <v>1739</v>
      </c>
      <c r="C1742">
        <v>146.08820704300001</v>
      </c>
      <c r="D1742">
        <v>-17.6580791891</v>
      </c>
      <c r="G1742" s="92"/>
      <c r="I1742">
        <v>8</v>
      </c>
      <c r="J1742" t="s">
        <v>26</v>
      </c>
      <c r="K1742" s="57"/>
      <c r="L1742" s="31"/>
      <c r="M1742" s="31"/>
      <c r="N1742" s="31"/>
      <c r="O1742" s="31"/>
      <c r="S1742" s="57"/>
      <c r="X1742" s="57"/>
    </row>
    <row r="1743" spans="1:24" hidden="1" x14ac:dyDescent="0.35">
      <c r="A1743">
        <v>1739</v>
      </c>
      <c r="B1743">
        <v>1740</v>
      </c>
      <c r="C1743">
        <v>146.08821754100001</v>
      </c>
      <c r="D1743">
        <v>-17.6581642015</v>
      </c>
      <c r="G1743" s="92"/>
      <c r="I1743">
        <v>8</v>
      </c>
      <c r="J1743" t="s">
        <v>26</v>
      </c>
      <c r="K1743" s="57"/>
      <c r="L1743" s="31"/>
      <c r="M1743" s="31"/>
      <c r="N1743" s="31"/>
      <c r="O1743" s="31"/>
      <c r="S1743" s="57"/>
      <c r="X1743" s="57"/>
    </row>
    <row r="1744" spans="1:24" hidden="1" x14ac:dyDescent="0.35">
      <c r="A1744">
        <v>1740</v>
      </c>
      <c r="B1744">
        <v>1741</v>
      </c>
      <c r="C1744">
        <v>146.088228039999</v>
      </c>
      <c r="D1744">
        <v>-17.6582492139</v>
      </c>
      <c r="G1744" s="92"/>
      <c r="I1744">
        <v>8</v>
      </c>
      <c r="J1744" t="s">
        <v>26</v>
      </c>
      <c r="K1744" s="57"/>
      <c r="L1744" s="31"/>
      <c r="M1744" s="31"/>
      <c r="N1744" s="31"/>
      <c r="O1744" s="31"/>
      <c r="S1744" s="57"/>
      <c r="X1744" s="57"/>
    </row>
    <row r="1745" spans="1:24" hidden="1" x14ac:dyDescent="0.35">
      <c r="A1745">
        <v>1741</v>
      </c>
      <c r="B1745">
        <v>1742</v>
      </c>
      <c r="C1745">
        <v>146.08823853800001</v>
      </c>
      <c r="D1745">
        <v>-17.658334226200001</v>
      </c>
      <c r="G1745" s="92"/>
      <c r="I1745">
        <v>8</v>
      </c>
      <c r="J1745" t="s">
        <v>26</v>
      </c>
      <c r="K1745" s="57"/>
      <c r="L1745" s="31"/>
      <c r="M1745" s="31"/>
      <c r="N1745" s="31"/>
      <c r="O1745" s="31"/>
      <c r="S1745" s="57"/>
      <c r="X1745" s="57"/>
    </row>
    <row r="1746" spans="1:24" hidden="1" x14ac:dyDescent="0.35">
      <c r="A1746">
        <v>1742</v>
      </c>
      <c r="B1746">
        <v>1743</v>
      </c>
      <c r="C1746">
        <v>146.08824903600001</v>
      </c>
      <c r="D1746">
        <v>-17.658419238600001</v>
      </c>
      <c r="G1746" s="92"/>
      <c r="I1746">
        <v>8</v>
      </c>
      <c r="J1746" t="s">
        <v>26</v>
      </c>
      <c r="K1746" s="57"/>
      <c r="L1746" s="31"/>
      <c r="M1746" s="31"/>
      <c r="N1746" s="31"/>
      <c r="O1746" s="31"/>
      <c r="S1746" s="57"/>
      <c r="X1746" s="57"/>
    </row>
    <row r="1747" spans="1:24" hidden="1" x14ac:dyDescent="0.35">
      <c r="A1747">
        <v>1743</v>
      </c>
      <c r="B1747">
        <v>1744</v>
      </c>
      <c r="C1747">
        <v>146.08827523599899</v>
      </c>
      <c r="D1747">
        <v>-17.658500601899899</v>
      </c>
      <c r="G1747" s="92"/>
      <c r="I1747">
        <v>8</v>
      </c>
      <c r="J1747" t="s">
        <v>26</v>
      </c>
      <c r="K1747" s="57"/>
      <c r="L1747" s="31"/>
      <c r="M1747" s="31"/>
      <c r="N1747" s="31"/>
      <c r="O1747" s="31"/>
      <c r="S1747" s="57"/>
      <c r="X1747" s="57"/>
    </row>
    <row r="1748" spans="1:24" hidden="1" x14ac:dyDescent="0.35">
      <c r="A1748">
        <v>1744</v>
      </c>
      <c r="B1748">
        <v>1745</v>
      </c>
      <c r="C1748">
        <v>146.08830698899899</v>
      </c>
      <c r="D1748">
        <v>-17.6585806748</v>
      </c>
      <c r="G1748" s="92"/>
      <c r="I1748">
        <v>8</v>
      </c>
      <c r="J1748" t="s">
        <v>26</v>
      </c>
      <c r="K1748" s="57"/>
      <c r="L1748" s="31"/>
      <c r="M1748" s="31"/>
      <c r="N1748" s="31"/>
      <c r="O1748" s="31"/>
      <c r="S1748" s="57"/>
      <c r="X1748" s="57"/>
    </row>
    <row r="1749" spans="1:24" hidden="1" x14ac:dyDescent="0.35">
      <c r="A1749">
        <v>1745</v>
      </c>
      <c r="B1749">
        <v>1746</v>
      </c>
      <c r="C1749">
        <v>146.088338741999</v>
      </c>
      <c r="D1749">
        <v>-17.658660747700001</v>
      </c>
      <c r="G1749" s="92"/>
      <c r="I1749">
        <v>8</v>
      </c>
      <c r="J1749" t="s">
        <v>26</v>
      </c>
      <c r="K1749" s="57"/>
      <c r="L1749" s="31"/>
      <c r="M1749" s="31"/>
      <c r="N1749" s="31"/>
      <c r="O1749" s="31"/>
      <c r="S1749" s="57"/>
      <c r="X1749" s="57"/>
    </row>
    <row r="1750" spans="1:24" hidden="1" x14ac:dyDescent="0.35">
      <c r="A1750">
        <v>1746</v>
      </c>
      <c r="B1750">
        <v>1747</v>
      </c>
      <c r="C1750">
        <v>146.088370494999</v>
      </c>
      <c r="D1750">
        <v>-17.658740820599899</v>
      </c>
      <c r="G1750" s="92"/>
      <c r="I1750">
        <v>8</v>
      </c>
      <c r="J1750" t="s">
        <v>26</v>
      </c>
      <c r="K1750" s="57"/>
      <c r="L1750" s="31"/>
      <c r="M1750" s="31"/>
      <c r="N1750" s="31"/>
      <c r="O1750" s="31"/>
      <c r="S1750" s="57"/>
      <c r="X1750" s="57"/>
    </row>
    <row r="1751" spans="1:24" hidden="1" x14ac:dyDescent="0.35">
      <c r="A1751">
        <v>1747</v>
      </c>
      <c r="B1751">
        <v>1748</v>
      </c>
      <c r="C1751">
        <v>146.088402247999</v>
      </c>
      <c r="D1751">
        <v>-17.658820893400001</v>
      </c>
      <c r="G1751" s="92"/>
      <c r="I1751">
        <v>8</v>
      </c>
      <c r="J1751" t="s">
        <v>26</v>
      </c>
      <c r="K1751" s="57"/>
      <c r="L1751" s="31"/>
      <c r="M1751" s="31"/>
      <c r="N1751" s="31"/>
      <c r="O1751" s="31"/>
      <c r="S1751" s="57"/>
      <c r="X1751" s="57"/>
    </row>
    <row r="1752" spans="1:24" hidden="1" x14ac:dyDescent="0.35">
      <c r="A1752">
        <v>1748</v>
      </c>
      <c r="B1752">
        <v>1749</v>
      </c>
      <c r="C1752">
        <v>146.088434000999</v>
      </c>
      <c r="D1752">
        <v>-17.6589009660999</v>
      </c>
      <c r="G1752" s="92"/>
      <c r="I1752">
        <v>8</v>
      </c>
      <c r="J1752" t="s">
        <v>26</v>
      </c>
      <c r="K1752" s="57"/>
      <c r="L1752" s="31"/>
      <c r="M1752" s="31"/>
      <c r="N1752" s="31"/>
      <c r="O1752" s="31"/>
      <c r="S1752" s="57"/>
      <c r="X1752" s="57"/>
    </row>
    <row r="1753" spans="1:24" hidden="1" x14ac:dyDescent="0.35">
      <c r="A1753">
        <v>1749</v>
      </c>
      <c r="B1753">
        <v>1750</v>
      </c>
      <c r="C1753">
        <v>146.08847001300001</v>
      </c>
      <c r="D1753">
        <v>-17.658979280600001</v>
      </c>
      <c r="G1753" s="92"/>
      <c r="I1753">
        <v>8</v>
      </c>
      <c r="J1753" t="s">
        <v>26</v>
      </c>
      <c r="K1753" s="57"/>
      <c r="L1753" s="31"/>
      <c r="M1753" s="31"/>
      <c r="N1753" s="31"/>
      <c r="O1753" s="31"/>
      <c r="S1753" s="57"/>
      <c r="X1753" s="57"/>
    </row>
    <row r="1754" spans="1:24" hidden="1" x14ac:dyDescent="0.35">
      <c r="A1754">
        <v>1750</v>
      </c>
      <c r="B1754">
        <v>1751</v>
      </c>
      <c r="C1754">
        <v>146.088509603999</v>
      </c>
      <c r="D1754">
        <v>-17.659056117399899</v>
      </c>
      <c r="G1754" s="92"/>
      <c r="I1754">
        <v>8</v>
      </c>
      <c r="J1754" t="s">
        <v>26</v>
      </c>
      <c r="K1754" s="57"/>
      <c r="L1754" s="31"/>
      <c r="M1754" s="31"/>
      <c r="N1754" s="31"/>
      <c r="O1754" s="31"/>
      <c r="S1754" s="57"/>
      <c r="X1754" s="57"/>
    </row>
    <row r="1755" spans="1:24" hidden="1" x14ac:dyDescent="0.35">
      <c r="A1755">
        <v>1751</v>
      </c>
      <c r="B1755">
        <v>1752</v>
      </c>
      <c r="C1755">
        <v>146.08854919500001</v>
      </c>
      <c r="D1755">
        <v>-17.659132954299899</v>
      </c>
      <c r="G1755" s="92"/>
      <c r="I1755">
        <v>8</v>
      </c>
      <c r="J1755" t="s">
        <v>26</v>
      </c>
      <c r="K1755" s="57"/>
      <c r="L1755" s="31"/>
      <c r="M1755" s="31"/>
      <c r="N1755" s="31"/>
      <c r="O1755" s="31"/>
      <c r="S1755" s="57"/>
      <c r="X1755" s="57"/>
    </row>
    <row r="1756" spans="1:24" hidden="1" x14ac:dyDescent="0.35">
      <c r="A1756">
        <v>1752</v>
      </c>
      <c r="B1756">
        <v>1753</v>
      </c>
      <c r="C1756">
        <v>146.088588786</v>
      </c>
      <c r="D1756">
        <v>-17.6592097911</v>
      </c>
      <c r="G1756" s="92"/>
      <c r="I1756">
        <v>8</v>
      </c>
      <c r="J1756" t="s">
        <v>26</v>
      </c>
      <c r="K1756" s="57"/>
      <c r="L1756" s="31"/>
      <c r="M1756" s="31"/>
      <c r="N1756" s="31"/>
      <c r="O1756" s="31"/>
      <c r="S1756" s="57"/>
      <c r="X1756" s="57"/>
    </row>
    <row r="1757" spans="1:24" hidden="1" x14ac:dyDescent="0.35">
      <c r="A1757">
        <v>1753</v>
      </c>
      <c r="B1757">
        <v>1754</v>
      </c>
      <c r="C1757">
        <v>146.088628376999</v>
      </c>
      <c r="D1757">
        <v>-17.659286627899899</v>
      </c>
      <c r="G1757" s="92"/>
      <c r="I1757">
        <v>8</v>
      </c>
      <c r="J1757" t="s">
        <v>26</v>
      </c>
      <c r="K1757" s="57"/>
      <c r="L1757" s="31"/>
      <c r="M1757" s="31"/>
      <c r="N1757" s="31"/>
      <c r="O1757" s="31"/>
      <c r="S1757" s="57"/>
      <c r="X1757" s="57"/>
    </row>
    <row r="1758" spans="1:24" hidden="1" x14ac:dyDescent="0.35">
      <c r="A1758">
        <v>1754</v>
      </c>
      <c r="B1758">
        <v>1755</v>
      </c>
      <c r="C1758">
        <v>146.088646312999</v>
      </c>
      <c r="D1758">
        <v>-17.659370288200002</v>
      </c>
      <c r="G1758" s="92"/>
      <c r="I1758">
        <v>8</v>
      </c>
      <c r="J1758" t="s">
        <v>26</v>
      </c>
      <c r="K1758" s="57"/>
      <c r="L1758" s="31"/>
      <c r="M1758" s="31"/>
      <c r="N1758" s="31"/>
      <c r="O1758" s="31"/>
      <c r="S1758" s="57"/>
      <c r="X1758" s="57"/>
    </row>
    <row r="1759" spans="1:24" hidden="1" x14ac:dyDescent="0.35">
      <c r="A1759">
        <v>1755</v>
      </c>
      <c r="B1759">
        <v>1756</v>
      </c>
      <c r="C1759">
        <v>146.08866259800001</v>
      </c>
      <c r="D1759">
        <v>-17.659454468100002</v>
      </c>
      <c r="G1759" s="92"/>
      <c r="I1759">
        <v>8</v>
      </c>
      <c r="J1759" t="s">
        <v>26</v>
      </c>
      <c r="K1759" s="57"/>
      <c r="L1759" s="31"/>
      <c r="M1759" s="31"/>
      <c r="N1759" s="31"/>
      <c r="O1759" s="31"/>
      <c r="S1759" s="57"/>
      <c r="X1759" s="57"/>
    </row>
    <row r="1760" spans="1:24" hidden="1" x14ac:dyDescent="0.35">
      <c r="A1760">
        <v>1756</v>
      </c>
      <c r="B1760">
        <v>1757</v>
      </c>
      <c r="C1760">
        <v>146.08867888399899</v>
      </c>
      <c r="D1760">
        <v>-17.6595386479</v>
      </c>
      <c r="G1760" s="92"/>
      <c r="I1760">
        <v>8</v>
      </c>
      <c r="J1760" t="s">
        <v>26</v>
      </c>
      <c r="K1760" s="57"/>
      <c r="L1760" s="31"/>
      <c r="M1760" s="31"/>
      <c r="N1760" s="31"/>
      <c r="O1760" s="31"/>
      <c r="S1760" s="57"/>
      <c r="X1760" s="57"/>
    </row>
    <row r="1761" spans="1:24" hidden="1" x14ac:dyDescent="0.35">
      <c r="A1761">
        <v>1757</v>
      </c>
      <c r="B1761">
        <v>1758</v>
      </c>
      <c r="C1761">
        <v>146.088696857</v>
      </c>
      <c r="D1761">
        <v>-17.659622491099899</v>
      </c>
      <c r="G1761" s="92"/>
      <c r="I1761">
        <v>8</v>
      </c>
      <c r="J1761" t="s">
        <v>26</v>
      </c>
      <c r="K1761" s="57"/>
      <c r="L1761" s="31"/>
      <c r="M1761" s="31"/>
      <c r="N1761" s="31"/>
      <c r="O1761" s="31"/>
      <c r="S1761" s="57"/>
      <c r="X1761" s="57"/>
    </row>
    <row r="1762" spans="1:24" hidden="1" x14ac:dyDescent="0.35">
      <c r="A1762">
        <v>1758</v>
      </c>
      <c r="B1762">
        <v>1759</v>
      </c>
      <c r="C1762">
        <v>146.088717395</v>
      </c>
      <c r="D1762">
        <v>-17.659705822100001</v>
      </c>
      <c r="G1762" s="92"/>
      <c r="I1762">
        <v>8</v>
      </c>
      <c r="J1762" t="s">
        <v>26</v>
      </c>
      <c r="K1762" s="57"/>
      <c r="L1762" s="31"/>
      <c r="M1762" s="31"/>
      <c r="N1762" s="31"/>
      <c r="O1762" s="31"/>
      <c r="S1762" s="57"/>
      <c r="X1762" s="57"/>
    </row>
    <row r="1763" spans="1:24" hidden="1" x14ac:dyDescent="0.35">
      <c r="A1763">
        <v>1759</v>
      </c>
      <c r="B1763">
        <v>1760</v>
      </c>
      <c r="C1763">
        <v>146.088737933</v>
      </c>
      <c r="D1763">
        <v>-17.659789153199899</v>
      </c>
      <c r="G1763" s="92"/>
      <c r="I1763">
        <v>8</v>
      </c>
      <c r="J1763" t="s">
        <v>26</v>
      </c>
      <c r="K1763" s="57"/>
      <c r="L1763" s="31"/>
      <c r="M1763" s="31"/>
      <c r="N1763" s="31"/>
      <c r="O1763" s="31"/>
      <c r="S1763" s="57"/>
      <c r="X1763" s="57"/>
    </row>
    <row r="1764" spans="1:24" hidden="1" x14ac:dyDescent="0.35">
      <c r="A1764">
        <v>1760</v>
      </c>
      <c r="B1764">
        <v>1761</v>
      </c>
      <c r="C1764">
        <v>146.088753693999</v>
      </c>
      <c r="D1764">
        <v>-17.659870783900001</v>
      </c>
      <c r="G1764" s="92"/>
      <c r="I1764">
        <v>8</v>
      </c>
      <c r="J1764" t="s">
        <v>26</v>
      </c>
      <c r="K1764" s="57"/>
      <c r="L1764" s="31"/>
      <c r="M1764" s="31"/>
      <c r="N1764" s="31"/>
      <c r="O1764" s="31"/>
      <c r="S1764" s="57"/>
      <c r="X1764" s="57"/>
    </row>
    <row r="1765" spans="1:24" hidden="1" x14ac:dyDescent="0.35">
      <c r="A1765">
        <v>1761</v>
      </c>
      <c r="B1765">
        <v>1762</v>
      </c>
      <c r="C1765">
        <v>146.088753263999</v>
      </c>
      <c r="D1765">
        <v>-17.659956381000001</v>
      </c>
      <c r="G1765" s="92"/>
      <c r="I1765">
        <v>8</v>
      </c>
      <c r="J1765" t="s">
        <v>26</v>
      </c>
      <c r="K1765" s="57"/>
      <c r="L1765" s="31"/>
      <c r="M1765" s="31"/>
      <c r="N1765" s="31"/>
      <c r="O1765" s="31"/>
      <c r="S1765" s="57"/>
      <c r="X1765" s="57"/>
    </row>
    <row r="1766" spans="1:24" hidden="1" x14ac:dyDescent="0.35">
      <c r="A1766">
        <v>1762</v>
      </c>
      <c r="B1766">
        <v>1763</v>
      </c>
      <c r="C1766">
        <v>146.088742994</v>
      </c>
      <c r="D1766">
        <v>-17.660041270699899</v>
      </c>
      <c r="G1766" s="92"/>
      <c r="I1766">
        <v>8</v>
      </c>
      <c r="J1766" t="s">
        <v>26</v>
      </c>
      <c r="K1766" s="57"/>
      <c r="L1766" s="31"/>
      <c r="M1766" s="31"/>
      <c r="N1766" s="31"/>
      <c r="O1766" s="31"/>
      <c r="S1766" s="57"/>
      <c r="X1766" s="57"/>
    </row>
    <row r="1767" spans="1:24" hidden="1" x14ac:dyDescent="0.35">
      <c r="A1767">
        <v>1763</v>
      </c>
      <c r="B1767">
        <v>1764</v>
      </c>
      <c r="C1767">
        <v>146.08872122899899</v>
      </c>
      <c r="D1767">
        <v>-17.660124039500001</v>
      </c>
      <c r="G1767" s="92"/>
      <c r="I1767">
        <v>8</v>
      </c>
      <c r="J1767" t="s">
        <v>26</v>
      </c>
      <c r="K1767" s="57"/>
      <c r="L1767" s="31"/>
      <c r="M1767" s="31"/>
      <c r="N1767" s="31"/>
      <c r="O1767" s="31"/>
      <c r="S1767" s="57"/>
      <c r="X1767" s="57"/>
    </row>
    <row r="1768" spans="1:24" hidden="1" x14ac:dyDescent="0.35">
      <c r="A1768">
        <v>1764</v>
      </c>
      <c r="B1768">
        <v>1765</v>
      </c>
      <c r="C1768">
        <v>146.08869391600001</v>
      </c>
      <c r="D1768">
        <v>-17.660205585100002</v>
      </c>
      <c r="G1768" s="92"/>
      <c r="I1768">
        <v>8</v>
      </c>
      <c r="J1768" t="s">
        <v>26</v>
      </c>
      <c r="K1768" s="57"/>
      <c r="L1768" s="31"/>
      <c r="M1768" s="31"/>
      <c r="N1768" s="31"/>
      <c r="O1768" s="31"/>
      <c r="S1768" s="57"/>
      <c r="X1768" s="57"/>
    </row>
    <row r="1769" spans="1:24" hidden="1" x14ac:dyDescent="0.35">
      <c r="A1769">
        <v>1765</v>
      </c>
      <c r="B1769">
        <v>1766</v>
      </c>
      <c r="C1769">
        <v>146.08866660300001</v>
      </c>
      <c r="D1769">
        <v>-17.660287130699899</v>
      </c>
      <c r="G1769" s="92"/>
      <c r="I1769">
        <v>8</v>
      </c>
      <c r="J1769" t="s">
        <v>26</v>
      </c>
      <c r="K1769" s="57"/>
      <c r="L1769" s="31"/>
      <c r="M1769" s="31"/>
      <c r="N1769" s="31"/>
      <c r="O1769" s="31"/>
      <c r="S1769" s="57"/>
      <c r="X1769" s="57"/>
    </row>
    <row r="1770" spans="1:24" hidden="1" x14ac:dyDescent="0.35">
      <c r="A1770">
        <v>1766</v>
      </c>
      <c r="B1770">
        <v>1767</v>
      </c>
      <c r="C1770">
        <v>146.088643394</v>
      </c>
      <c r="D1770">
        <v>-17.660369614</v>
      </c>
      <c r="G1770" s="92"/>
      <c r="I1770">
        <v>8</v>
      </c>
      <c r="J1770" t="s">
        <v>26</v>
      </c>
      <c r="K1770" s="57"/>
      <c r="L1770" s="31"/>
      <c r="M1770" s="31"/>
      <c r="N1770" s="31"/>
      <c r="O1770" s="31"/>
      <c r="S1770" s="57"/>
      <c r="X1770" s="57"/>
    </row>
    <row r="1771" spans="1:24" hidden="1" x14ac:dyDescent="0.35">
      <c r="A1771">
        <v>1767</v>
      </c>
      <c r="B1771">
        <v>1768</v>
      </c>
      <c r="C1771">
        <v>146.08862892100001</v>
      </c>
      <c r="D1771">
        <v>-17.6604540937</v>
      </c>
      <c r="G1771" s="92"/>
      <c r="I1771">
        <v>8</v>
      </c>
      <c r="J1771" t="s">
        <v>26</v>
      </c>
      <c r="K1771" s="57"/>
      <c r="L1771" s="31"/>
      <c r="M1771" s="31"/>
      <c r="N1771" s="31"/>
      <c r="O1771" s="31"/>
      <c r="S1771" s="57"/>
      <c r="X1771" s="57"/>
    </row>
    <row r="1772" spans="1:24" hidden="1" x14ac:dyDescent="0.35">
      <c r="A1772">
        <v>1768</v>
      </c>
      <c r="B1772">
        <v>1769</v>
      </c>
      <c r="C1772">
        <v>146.088614449</v>
      </c>
      <c r="D1772">
        <v>-17.660538573299899</v>
      </c>
      <c r="G1772" s="92"/>
      <c r="I1772">
        <v>8</v>
      </c>
      <c r="J1772" t="s">
        <v>26</v>
      </c>
      <c r="K1772" s="57"/>
      <c r="L1772" s="31"/>
      <c r="M1772" s="31"/>
      <c r="N1772" s="31"/>
      <c r="O1772" s="31"/>
      <c r="S1772" s="57"/>
      <c r="X1772" s="57"/>
    </row>
    <row r="1773" spans="1:24" hidden="1" x14ac:dyDescent="0.35">
      <c r="A1773">
        <v>1769</v>
      </c>
      <c r="B1773">
        <v>1770</v>
      </c>
      <c r="C1773">
        <v>146.08859997600001</v>
      </c>
      <c r="D1773">
        <v>-17.6606230529</v>
      </c>
      <c r="G1773" s="92"/>
      <c r="I1773">
        <v>8</v>
      </c>
      <c r="J1773" t="s">
        <v>26</v>
      </c>
      <c r="K1773" s="57"/>
      <c r="L1773" s="31"/>
      <c r="M1773" s="31"/>
      <c r="N1773" s="31"/>
      <c r="O1773" s="31"/>
      <c r="S1773" s="57"/>
      <c r="X1773" s="57"/>
    </row>
    <row r="1774" spans="1:24" hidden="1" x14ac:dyDescent="0.35">
      <c r="A1774">
        <v>1770</v>
      </c>
      <c r="B1774">
        <v>1771</v>
      </c>
      <c r="C1774">
        <v>146.088585502999</v>
      </c>
      <c r="D1774">
        <v>-17.6607075324</v>
      </c>
      <c r="G1774" s="92"/>
      <c r="I1774">
        <v>8</v>
      </c>
      <c r="J1774" t="s">
        <v>26</v>
      </c>
      <c r="K1774" s="57"/>
      <c r="L1774" s="31"/>
      <c r="M1774" s="31"/>
      <c r="N1774" s="31"/>
      <c r="O1774" s="31"/>
      <c r="S1774" s="57"/>
      <c r="X1774" s="57"/>
    </row>
    <row r="1775" spans="1:24" hidden="1" x14ac:dyDescent="0.35">
      <c r="A1775">
        <v>1771</v>
      </c>
      <c r="B1775">
        <v>1772</v>
      </c>
      <c r="C1775">
        <v>146.08858123600001</v>
      </c>
      <c r="D1775">
        <v>-17.660792650400001</v>
      </c>
      <c r="G1775" s="92"/>
      <c r="I1775">
        <v>8</v>
      </c>
      <c r="J1775" t="s">
        <v>26</v>
      </c>
      <c r="K1775" s="57"/>
      <c r="L1775" s="31"/>
      <c r="M1775" s="31"/>
      <c r="N1775" s="31"/>
      <c r="O1775" s="31"/>
      <c r="S1775" s="57"/>
      <c r="X1775" s="57"/>
    </row>
    <row r="1776" spans="1:24" hidden="1" x14ac:dyDescent="0.35">
      <c r="A1776">
        <v>1772</v>
      </c>
      <c r="B1776">
        <v>1773</v>
      </c>
      <c r="C1776">
        <v>146.088583991999</v>
      </c>
      <c r="D1776">
        <v>-17.6608782078</v>
      </c>
      <c r="G1776" s="92"/>
      <c r="I1776">
        <v>8</v>
      </c>
      <c r="J1776" t="s">
        <v>26</v>
      </c>
      <c r="K1776" s="57"/>
      <c r="L1776" s="31"/>
      <c r="M1776" s="31"/>
      <c r="N1776" s="31"/>
      <c r="O1776" s="31"/>
      <c r="S1776" s="57"/>
      <c r="X1776" s="57"/>
    </row>
    <row r="1777" spans="1:24" hidden="1" x14ac:dyDescent="0.35">
      <c r="A1777">
        <v>1773</v>
      </c>
      <c r="B1777">
        <v>1774</v>
      </c>
      <c r="C1777">
        <v>146.088593696</v>
      </c>
      <c r="D1777">
        <v>-17.6609626089</v>
      </c>
      <c r="G1777" s="92"/>
      <c r="I1777">
        <v>8</v>
      </c>
      <c r="J1777" t="s">
        <v>26</v>
      </c>
      <c r="K1777" s="57"/>
      <c r="L1777" s="31"/>
      <c r="M1777" s="31"/>
      <c r="N1777" s="31"/>
      <c r="O1777" s="31"/>
      <c r="S1777" s="57"/>
      <c r="X1777" s="57"/>
    </row>
    <row r="1778" spans="1:24" hidden="1" x14ac:dyDescent="0.35">
      <c r="A1778">
        <v>1774</v>
      </c>
      <c r="B1778">
        <v>1775</v>
      </c>
      <c r="C1778">
        <v>146.08862153800001</v>
      </c>
      <c r="D1778">
        <v>-17.6610439916</v>
      </c>
      <c r="G1778" s="92"/>
      <c r="I1778">
        <v>8</v>
      </c>
      <c r="J1778" t="s">
        <v>26</v>
      </c>
      <c r="K1778" s="57"/>
      <c r="L1778" s="31"/>
      <c r="M1778" s="31"/>
      <c r="N1778" s="31"/>
      <c r="O1778" s="31"/>
      <c r="S1778" s="57"/>
      <c r="X1778" s="57"/>
    </row>
    <row r="1779" spans="1:24" hidden="1" x14ac:dyDescent="0.35">
      <c r="A1779">
        <v>1775</v>
      </c>
      <c r="B1779">
        <v>1776</v>
      </c>
      <c r="C1779">
        <v>146.088649379999</v>
      </c>
      <c r="D1779">
        <v>-17.661125374200001</v>
      </c>
      <c r="G1779" s="92"/>
      <c r="I1779">
        <v>8</v>
      </c>
      <c r="J1779" t="s">
        <v>26</v>
      </c>
      <c r="K1779" s="57"/>
      <c r="L1779" s="31"/>
      <c r="M1779" s="31"/>
      <c r="N1779" s="31"/>
      <c r="O1779" s="31"/>
      <c r="S1779" s="57"/>
      <c r="X1779" s="57"/>
    </row>
    <row r="1780" spans="1:24" hidden="1" x14ac:dyDescent="0.35">
      <c r="A1780">
        <v>1776</v>
      </c>
      <c r="B1780">
        <v>1777</v>
      </c>
      <c r="C1780">
        <v>146.08868042</v>
      </c>
      <c r="D1780">
        <v>-17.6612052682</v>
      </c>
      <c r="G1780" s="92"/>
      <c r="I1780">
        <v>8</v>
      </c>
      <c r="J1780" t="s">
        <v>26</v>
      </c>
      <c r="K1780" s="57"/>
      <c r="L1780" s="31"/>
      <c r="M1780" s="31"/>
      <c r="N1780" s="31"/>
      <c r="O1780" s="31"/>
      <c r="S1780" s="57"/>
      <c r="X1780" s="57"/>
    </row>
    <row r="1781" spans="1:24" hidden="1" x14ac:dyDescent="0.35">
      <c r="A1781">
        <v>1777</v>
      </c>
      <c r="B1781">
        <v>1778</v>
      </c>
      <c r="C1781">
        <v>146.08873065399899</v>
      </c>
      <c r="D1781">
        <v>-17.661276231399899</v>
      </c>
      <c r="G1781" s="92"/>
      <c r="I1781">
        <v>8</v>
      </c>
      <c r="J1781" t="s">
        <v>26</v>
      </c>
      <c r="K1781" s="57"/>
      <c r="L1781" s="31"/>
      <c r="M1781" s="31"/>
      <c r="N1781" s="31"/>
      <c r="O1781" s="31"/>
      <c r="S1781" s="57"/>
      <c r="X1781" s="57"/>
    </row>
    <row r="1782" spans="1:24" hidden="1" x14ac:dyDescent="0.35">
      <c r="A1782">
        <v>1778</v>
      </c>
      <c r="B1782">
        <v>1779</v>
      </c>
      <c r="C1782">
        <v>146.088780888</v>
      </c>
      <c r="D1782">
        <v>-17.6613471946999</v>
      </c>
      <c r="G1782" s="92"/>
      <c r="I1782">
        <v>8</v>
      </c>
      <c r="J1782" t="s">
        <v>26</v>
      </c>
      <c r="K1782" s="57"/>
      <c r="L1782" s="31"/>
      <c r="M1782" s="31"/>
      <c r="N1782" s="31"/>
      <c r="O1782" s="31"/>
      <c r="S1782" s="57"/>
      <c r="X1782" s="57"/>
    </row>
    <row r="1783" spans="1:24" hidden="1" x14ac:dyDescent="0.35">
      <c r="A1783">
        <v>1779</v>
      </c>
      <c r="B1783">
        <v>1780</v>
      </c>
      <c r="C1783">
        <v>146.088831120999</v>
      </c>
      <c r="D1783">
        <v>-17.661418157899899</v>
      </c>
      <c r="G1783" s="92"/>
      <c r="I1783">
        <v>8</v>
      </c>
      <c r="J1783" t="s">
        <v>26</v>
      </c>
      <c r="K1783" s="57"/>
      <c r="L1783" s="31"/>
      <c r="M1783" s="31"/>
      <c r="N1783" s="31"/>
      <c r="O1783" s="31"/>
      <c r="S1783" s="57"/>
      <c r="X1783" s="57"/>
    </row>
    <row r="1784" spans="1:24" hidden="1" x14ac:dyDescent="0.35">
      <c r="A1784">
        <v>1780</v>
      </c>
      <c r="B1784">
        <v>1781</v>
      </c>
      <c r="C1784">
        <v>146.08889346199899</v>
      </c>
      <c r="D1784">
        <v>-17.661478685100001</v>
      </c>
      <c r="G1784" s="92"/>
      <c r="I1784">
        <v>8</v>
      </c>
      <c r="J1784" t="s">
        <v>26</v>
      </c>
      <c r="K1784" s="57"/>
      <c r="L1784" s="31"/>
      <c r="M1784" s="31"/>
      <c r="N1784" s="31"/>
      <c r="O1784" s="31"/>
      <c r="S1784" s="57"/>
      <c r="X1784" s="57"/>
    </row>
    <row r="1785" spans="1:24" hidden="1" x14ac:dyDescent="0.35">
      <c r="A1785">
        <v>1781</v>
      </c>
      <c r="B1785">
        <v>1782</v>
      </c>
      <c r="C1785">
        <v>146.088962541</v>
      </c>
      <c r="D1785">
        <v>-17.6615334052</v>
      </c>
      <c r="G1785" s="92"/>
      <c r="I1785">
        <v>8</v>
      </c>
      <c r="J1785" t="s">
        <v>26</v>
      </c>
      <c r="K1785" s="57"/>
      <c r="L1785" s="31"/>
      <c r="M1785" s="31"/>
      <c r="N1785" s="31"/>
      <c r="O1785" s="31"/>
      <c r="S1785" s="57"/>
      <c r="X1785" s="57"/>
    </row>
    <row r="1786" spans="1:24" hidden="1" x14ac:dyDescent="0.35">
      <c r="A1786">
        <v>1782</v>
      </c>
      <c r="B1786">
        <v>1783</v>
      </c>
      <c r="C1786">
        <v>146.08903161999899</v>
      </c>
      <c r="D1786">
        <v>-17.661588125200002</v>
      </c>
      <c r="G1786" s="92"/>
      <c r="I1786">
        <v>8</v>
      </c>
      <c r="J1786" t="s">
        <v>26</v>
      </c>
      <c r="K1786" s="57"/>
      <c r="L1786" s="31"/>
      <c r="M1786" s="31"/>
      <c r="N1786" s="31"/>
      <c r="O1786" s="31"/>
      <c r="S1786" s="57"/>
      <c r="X1786" s="57"/>
    </row>
    <row r="1787" spans="1:24" hidden="1" x14ac:dyDescent="0.35">
      <c r="A1787">
        <v>1783</v>
      </c>
      <c r="B1787">
        <v>1784</v>
      </c>
      <c r="C1787">
        <v>146.08910069800001</v>
      </c>
      <c r="D1787">
        <v>-17.6616428451999</v>
      </c>
      <c r="G1787" s="92"/>
      <c r="I1787">
        <v>8</v>
      </c>
      <c r="J1787" t="s">
        <v>26</v>
      </c>
      <c r="K1787" s="57"/>
      <c r="L1787" s="31"/>
      <c r="M1787" s="31"/>
      <c r="N1787" s="31"/>
      <c r="O1787" s="31"/>
      <c r="S1787" s="57"/>
      <c r="X1787" s="57"/>
    </row>
    <row r="1788" spans="1:24" hidden="1" x14ac:dyDescent="0.35">
      <c r="A1788">
        <v>1784</v>
      </c>
      <c r="B1788">
        <v>1785</v>
      </c>
      <c r="C1788">
        <v>146.089169776999</v>
      </c>
      <c r="D1788">
        <v>-17.6616975652999</v>
      </c>
      <c r="G1788" s="92"/>
      <c r="I1788">
        <v>8</v>
      </c>
      <c r="J1788" t="s">
        <v>26</v>
      </c>
      <c r="K1788" s="57"/>
      <c r="L1788" s="31"/>
      <c r="M1788" s="31"/>
      <c r="N1788" s="31"/>
      <c r="O1788" s="31"/>
      <c r="S1788" s="57"/>
      <c r="X1788" s="57"/>
    </row>
    <row r="1789" spans="1:24" hidden="1" x14ac:dyDescent="0.35">
      <c r="A1789">
        <v>1785</v>
      </c>
      <c r="B1789">
        <v>1786</v>
      </c>
      <c r="C1789">
        <v>146.089244777999</v>
      </c>
      <c r="D1789">
        <v>-17.661744638599899</v>
      </c>
      <c r="G1789" s="92"/>
      <c r="I1789">
        <v>8</v>
      </c>
      <c r="J1789" t="s">
        <v>26</v>
      </c>
      <c r="K1789" s="57"/>
      <c r="L1789" s="31"/>
      <c r="M1789" s="31"/>
      <c r="N1789" s="31"/>
      <c r="O1789" s="31"/>
      <c r="S1789" s="57"/>
      <c r="X1789" s="57"/>
    </row>
    <row r="1790" spans="1:24" hidden="1" x14ac:dyDescent="0.35">
      <c r="A1790">
        <v>1786</v>
      </c>
      <c r="B1790">
        <v>1787</v>
      </c>
      <c r="C1790">
        <v>146.08932001700001</v>
      </c>
      <c r="D1790">
        <v>-17.661791404100001</v>
      </c>
      <c r="G1790" s="92"/>
      <c r="I1790">
        <v>8</v>
      </c>
      <c r="J1790" t="s">
        <v>26</v>
      </c>
      <c r="K1790" s="57"/>
      <c r="L1790" s="31"/>
      <c r="M1790" s="31"/>
      <c r="N1790" s="31"/>
      <c r="O1790" s="31"/>
      <c r="S1790" s="57"/>
      <c r="X1790" s="57"/>
    </row>
    <row r="1791" spans="1:24" hidden="1" x14ac:dyDescent="0.35">
      <c r="A1791">
        <v>1787</v>
      </c>
      <c r="B1791">
        <v>1788</v>
      </c>
      <c r="C1791">
        <v>146.08939525700001</v>
      </c>
      <c r="D1791">
        <v>-17.6618381695999</v>
      </c>
      <c r="G1791" s="92"/>
      <c r="I1791">
        <v>8</v>
      </c>
      <c r="J1791" t="s">
        <v>26</v>
      </c>
      <c r="K1791" s="57"/>
      <c r="L1791" s="31"/>
      <c r="M1791" s="31"/>
      <c r="N1791" s="31"/>
      <c r="O1791" s="31"/>
      <c r="S1791" s="57"/>
      <c r="X1791" s="57"/>
    </row>
    <row r="1792" spans="1:24" hidden="1" x14ac:dyDescent="0.35">
      <c r="A1792">
        <v>1788</v>
      </c>
      <c r="B1792">
        <v>1789</v>
      </c>
      <c r="C1792">
        <v>146.089470495999</v>
      </c>
      <c r="D1792">
        <v>-17.661884935100002</v>
      </c>
      <c r="G1792" s="92"/>
      <c r="I1792">
        <v>8</v>
      </c>
      <c r="J1792" t="s">
        <v>26</v>
      </c>
      <c r="K1792" s="57"/>
      <c r="L1792" s="31"/>
      <c r="M1792" s="31"/>
      <c r="N1792" s="31"/>
      <c r="O1792" s="31"/>
      <c r="S1792" s="57"/>
      <c r="X1792" s="57"/>
    </row>
    <row r="1793" spans="1:24" hidden="1" x14ac:dyDescent="0.35">
      <c r="A1793">
        <v>1789</v>
      </c>
      <c r="B1793">
        <v>1790</v>
      </c>
      <c r="C1793">
        <v>146.089545735999</v>
      </c>
      <c r="D1793">
        <v>-17.661931700499899</v>
      </c>
      <c r="G1793" s="92"/>
      <c r="I1793">
        <v>8</v>
      </c>
      <c r="J1793" t="s">
        <v>26</v>
      </c>
      <c r="K1793" s="57"/>
      <c r="L1793" s="31"/>
      <c r="M1793" s="31"/>
      <c r="N1793" s="31"/>
      <c r="O1793" s="31"/>
      <c r="S1793" s="57"/>
      <c r="X1793" s="57"/>
    </row>
    <row r="1794" spans="1:24" hidden="1" x14ac:dyDescent="0.35">
      <c r="A1794">
        <v>1790</v>
      </c>
      <c r="B1794">
        <v>1791</v>
      </c>
      <c r="C1794">
        <v>146.089625947999</v>
      </c>
      <c r="D1794">
        <v>-17.6619698838999</v>
      </c>
      <c r="G1794" s="92"/>
      <c r="I1794">
        <v>8</v>
      </c>
      <c r="J1794" t="s">
        <v>26</v>
      </c>
      <c r="K1794" s="57"/>
      <c r="L1794" s="31"/>
      <c r="M1794" s="31"/>
      <c r="N1794" s="31"/>
      <c r="O1794" s="31"/>
      <c r="S1794" s="57"/>
      <c r="X1794" s="57"/>
    </row>
    <row r="1795" spans="1:24" hidden="1" x14ac:dyDescent="0.35">
      <c r="A1795">
        <v>1791</v>
      </c>
      <c r="B1795">
        <v>1792</v>
      </c>
      <c r="C1795">
        <v>146.08970756400001</v>
      </c>
      <c r="D1795">
        <v>-17.662005644499899</v>
      </c>
      <c r="G1795" s="92"/>
      <c r="I1795">
        <v>8</v>
      </c>
      <c r="J1795" t="s">
        <v>26</v>
      </c>
      <c r="K1795" s="57"/>
      <c r="L1795" s="31"/>
      <c r="M1795" s="31"/>
      <c r="N1795" s="31"/>
      <c r="O1795" s="31"/>
      <c r="S1795" s="57"/>
      <c r="X1795" s="57"/>
    </row>
    <row r="1796" spans="1:24" hidden="1" x14ac:dyDescent="0.35">
      <c r="A1796">
        <v>1792</v>
      </c>
      <c r="B1796">
        <v>1793</v>
      </c>
      <c r="C1796">
        <v>146.08978918099899</v>
      </c>
      <c r="D1796">
        <v>-17.662041405</v>
      </c>
      <c r="G1796" s="92"/>
      <c r="I1796">
        <v>8</v>
      </c>
      <c r="J1796" t="s">
        <v>26</v>
      </c>
      <c r="K1796" s="57"/>
      <c r="L1796" s="31"/>
      <c r="M1796" s="31"/>
      <c r="N1796" s="31"/>
      <c r="O1796" s="31"/>
      <c r="S1796" s="57"/>
      <c r="X1796" s="57"/>
    </row>
    <row r="1797" spans="1:24" hidden="1" x14ac:dyDescent="0.35">
      <c r="A1797">
        <v>1793</v>
      </c>
      <c r="B1797">
        <v>1794</v>
      </c>
      <c r="C1797">
        <v>146.089870797</v>
      </c>
      <c r="D1797">
        <v>-17.662077165500001</v>
      </c>
      <c r="G1797" s="92"/>
      <c r="I1797">
        <v>8</v>
      </c>
      <c r="J1797" t="s">
        <v>26</v>
      </c>
      <c r="K1797" s="57"/>
      <c r="L1797" s="31"/>
      <c r="M1797" s="31"/>
      <c r="N1797" s="31"/>
      <c r="O1797" s="31"/>
      <c r="S1797" s="57"/>
      <c r="X1797" s="57"/>
    </row>
    <row r="1798" spans="1:24" hidden="1" x14ac:dyDescent="0.35">
      <c r="A1798">
        <v>1794</v>
      </c>
      <c r="B1798">
        <v>1795</v>
      </c>
      <c r="C1798">
        <v>146.08995241400001</v>
      </c>
      <c r="D1798">
        <v>-17.662112926100001</v>
      </c>
      <c r="G1798" s="92"/>
      <c r="I1798">
        <v>8</v>
      </c>
      <c r="J1798" t="s">
        <v>26</v>
      </c>
      <c r="K1798" s="57"/>
      <c r="L1798" s="31"/>
      <c r="M1798" s="31"/>
      <c r="N1798" s="31"/>
      <c r="O1798" s="31"/>
      <c r="S1798" s="57"/>
      <c r="X1798" s="57"/>
    </row>
    <row r="1799" spans="1:24" hidden="1" x14ac:dyDescent="0.35">
      <c r="A1799">
        <v>1795</v>
      </c>
      <c r="B1799">
        <v>1796</v>
      </c>
      <c r="C1799">
        <v>146.090034029999</v>
      </c>
      <c r="D1799">
        <v>-17.662148686599899</v>
      </c>
      <c r="G1799" s="92"/>
      <c r="I1799">
        <v>8</v>
      </c>
      <c r="J1799" t="s">
        <v>26</v>
      </c>
      <c r="K1799" s="57"/>
      <c r="L1799" s="31"/>
      <c r="M1799" s="31"/>
      <c r="N1799" s="31"/>
      <c r="O1799" s="31"/>
      <c r="S1799" s="57"/>
      <c r="X1799" s="57"/>
    </row>
    <row r="1800" spans="1:24" hidden="1" x14ac:dyDescent="0.35">
      <c r="A1800">
        <v>1796</v>
      </c>
      <c r="B1800">
        <v>1797</v>
      </c>
      <c r="C1800">
        <v>146.09011564599899</v>
      </c>
      <c r="D1800">
        <v>-17.6621844471</v>
      </c>
      <c r="G1800" s="92"/>
      <c r="I1800">
        <v>8</v>
      </c>
      <c r="J1800" t="s">
        <v>26</v>
      </c>
      <c r="K1800" s="57"/>
      <c r="L1800" s="31"/>
      <c r="M1800" s="31"/>
      <c r="N1800" s="31"/>
      <c r="O1800" s="31"/>
      <c r="S1800" s="57"/>
      <c r="X1800" s="57"/>
    </row>
    <row r="1801" spans="1:24" hidden="1" x14ac:dyDescent="0.35">
      <c r="A1801">
        <v>1797</v>
      </c>
      <c r="B1801">
        <v>1798</v>
      </c>
      <c r="C1801">
        <v>146.09019857000001</v>
      </c>
      <c r="D1801">
        <v>-17.6622170873</v>
      </c>
      <c r="G1801" s="92"/>
      <c r="I1801">
        <v>8</v>
      </c>
      <c r="J1801" t="s">
        <v>26</v>
      </c>
      <c r="K1801" s="57"/>
      <c r="L1801" s="31"/>
      <c r="M1801" s="31"/>
      <c r="N1801" s="31"/>
      <c r="O1801" s="31"/>
      <c r="S1801" s="57"/>
      <c r="X1801" s="57"/>
    </row>
    <row r="1802" spans="1:24" hidden="1" x14ac:dyDescent="0.35">
      <c r="A1802">
        <v>1798</v>
      </c>
      <c r="B1802">
        <v>1799</v>
      </c>
      <c r="C1802">
        <v>146.090283599999</v>
      </c>
      <c r="D1802">
        <v>-17.662244696999899</v>
      </c>
      <c r="G1802" s="92"/>
      <c r="I1802">
        <v>8</v>
      </c>
      <c r="J1802" t="s">
        <v>26</v>
      </c>
      <c r="K1802" s="57"/>
      <c r="L1802" s="31"/>
      <c r="M1802" s="31"/>
      <c r="N1802" s="31"/>
      <c r="O1802" s="31"/>
      <c r="S1802" s="57"/>
      <c r="X1802" s="57"/>
    </row>
    <row r="1803" spans="1:24" hidden="1" x14ac:dyDescent="0.35">
      <c r="A1803">
        <v>1799</v>
      </c>
      <c r="B1803">
        <v>1800</v>
      </c>
      <c r="C1803">
        <v>146.09036863</v>
      </c>
      <c r="D1803">
        <v>-17.662272306799899</v>
      </c>
      <c r="G1803" s="92"/>
      <c r="I1803">
        <v>8</v>
      </c>
      <c r="J1803" t="s">
        <v>26</v>
      </c>
      <c r="K1803" s="57"/>
      <c r="L1803" s="31"/>
      <c r="M1803" s="31"/>
      <c r="N1803" s="31"/>
      <c r="O1803" s="31"/>
      <c r="S1803" s="57"/>
      <c r="X1803" s="57"/>
    </row>
    <row r="1804" spans="1:24" hidden="1" x14ac:dyDescent="0.35">
      <c r="A1804">
        <v>1800</v>
      </c>
      <c r="B1804">
        <v>1801</v>
      </c>
      <c r="C1804">
        <v>146.09045366000001</v>
      </c>
      <c r="D1804">
        <v>-17.6622999165</v>
      </c>
      <c r="G1804" s="92"/>
      <c r="I1804">
        <v>8</v>
      </c>
      <c r="J1804" t="s">
        <v>26</v>
      </c>
      <c r="K1804" s="57"/>
      <c r="L1804" s="31"/>
      <c r="M1804" s="31"/>
      <c r="N1804" s="31"/>
      <c r="O1804" s="31"/>
      <c r="S1804" s="57"/>
      <c r="X1804" s="57"/>
    </row>
    <row r="1805" spans="1:24" hidden="1" x14ac:dyDescent="0.35">
      <c r="A1805">
        <v>1801</v>
      </c>
      <c r="B1805">
        <v>1802</v>
      </c>
      <c r="C1805">
        <v>146.09053972199899</v>
      </c>
      <c r="D1805">
        <v>-17.6623200497</v>
      </c>
      <c r="G1805" s="92"/>
      <c r="I1805">
        <v>8</v>
      </c>
      <c r="J1805" t="s">
        <v>26</v>
      </c>
      <c r="K1805" s="57"/>
      <c r="L1805" s="31"/>
      <c r="M1805" s="31"/>
      <c r="N1805" s="31"/>
      <c r="O1805" s="31"/>
      <c r="S1805" s="57"/>
      <c r="X1805" s="57"/>
    </row>
    <row r="1806" spans="1:24" hidden="1" x14ac:dyDescent="0.35">
      <c r="A1806">
        <v>1802</v>
      </c>
      <c r="B1806">
        <v>1803</v>
      </c>
      <c r="C1806">
        <v>146.090629352999</v>
      </c>
      <c r="D1806">
        <v>-17.662314327800001</v>
      </c>
      <c r="G1806" s="92"/>
      <c r="I1806">
        <v>8</v>
      </c>
      <c r="J1806" t="s">
        <v>26</v>
      </c>
      <c r="K1806" s="57"/>
      <c r="L1806" s="31"/>
      <c r="M1806" s="31"/>
      <c r="N1806" s="31"/>
      <c r="O1806" s="31"/>
      <c r="S1806" s="57"/>
      <c r="X1806" s="57"/>
    </row>
    <row r="1807" spans="1:24" hidden="1" x14ac:dyDescent="0.35">
      <c r="A1807">
        <v>1803</v>
      </c>
      <c r="B1807">
        <v>1804</v>
      </c>
      <c r="C1807">
        <v>146.09071898299899</v>
      </c>
      <c r="D1807">
        <v>-17.6623086058</v>
      </c>
      <c r="G1807" s="92"/>
      <c r="I1807">
        <v>8</v>
      </c>
      <c r="J1807" t="s">
        <v>26</v>
      </c>
      <c r="K1807" s="57"/>
      <c r="L1807" s="31"/>
      <c r="M1807" s="31"/>
      <c r="N1807" s="31"/>
      <c r="O1807" s="31"/>
      <c r="S1807" s="57"/>
      <c r="X1807" s="57"/>
    </row>
    <row r="1808" spans="1:24" hidden="1" x14ac:dyDescent="0.35">
      <c r="A1808">
        <v>1804</v>
      </c>
      <c r="B1808">
        <v>1805</v>
      </c>
      <c r="C1808">
        <v>146.090808613999</v>
      </c>
      <c r="D1808">
        <v>-17.662302883900001</v>
      </c>
      <c r="G1808" s="92"/>
      <c r="I1808">
        <v>8</v>
      </c>
      <c r="J1808" t="s">
        <v>26</v>
      </c>
      <c r="K1808" s="57"/>
      <c r="L1808" s="31"/>
      <c r="M1808" s="31"/>
      <c r="N1808" s="31"/>
      <c r="O1808" s="31"/>
      <c r="S1808" s="57"/>
      <c r="X1808" s="57"/>
    </row>
    <row r="1809" spans="1:24" hidden="1" x14ac:dyDescent="0.35">
      <c r="A1809">
        <v>1805</v>
      </c>
      <c r="B1809">
        <v>1806</v>
      </c>
      <c r="C1809">
        <v>146.09089824399899</v>
      </c>
      <c r="D1809">
        <v>-17.662297162000002</v>
      </c>
      <c r="G1809" s="92"/>
      <c r="I1809">
        <v>8</v>
      </c>
      <c r="J1809" t="s">
        <v>26</v>
      </c>
      <c r="K1809" s="57"/>
      <c r="L1809" s="31"/>
      <c r="M1809" s="31"/>
      <c r="N1809" s="31"/>
      <c r="O1809" s="31"/>
      <c r="S1809" s="57"/>
      <c r="X1809" s="57"/>
    </row>
    <row r="1810" spans="1:24" hidden="1" x14ac:dyDescent="0.35">
      <c r="A1810">
        <v>1806</v>
      </c>
      <c r="B1810">
        <v>1807</v>
      </c>
      <c r="C1810">
        <v>146.09098644700001</v>
      </c>
      <c r="D1810">
        <v>-17.662282584</v>
      </c>
      <c r="G1810" s="92"/>
      <c r="I1810">
        <v>8</v>
      </c>
      <c r="J1810" t="s">
        <v>26</v>
      </c>
      <c r="K1810" s="57"/>
      <c r="L1810" s="31"/>
      <c r="M1810" s="31"/>
      <c r="N1810" s="31"/>
      <c r="O1810" s="31"/>
      <c r="S1810" s="57"/>
      <c r="X1810" s="57"/>
    </row>
    <row r="1811" spans="1:24" hidden="1" x14ac:dyDescent="0.35">
      <c r="A1811">
        <v>1807</v>
      </c>
      <c r="B1811">
        <v>1808</v>
      </c>
      <c r="C1811">
        <v>146.09107374800001</v>
      </c>
      <c r="D1811">
        <v>-17.662262409</v>
      </c>
      <c r="G1811" s="92"/>
      <c r="I1811">
        <v>8</v>
      </c>
      <c r="J1811" t="s">
        <v>26</v>
      </c>
      <c r="K1811" s="57"/>
      <c r="L1811" s="31"/>
      <c r="M1811" s="31"/>
      <c r="N1811" s="31"/>
      <c r="O1811" s="31"/>
      <c r="S1811" s="57"/>
      <c r="X1811" s="57"/>
    </row>
    <row r="1812" spans="1:24" hidden="1" x14ac:dyDescent="0.35">
      <c r="A1812">
        <v>1808</v>
      </c>
      <c r="B1812">
        <v>1809</v>
      </c>
      <c r="C1812">
        <v>146.091161048</v>
      </c>
      <c r="D1812">
        <v>-17.662242233899899</v>
      </c>
      <c r="G1812" s="92"/>
      <c r="I1812">
        <v>8</v>
      </c>
      <c r="J1812" t="s">
        <v>26</v>
      </c>
      <c r="K1812" s="57"/>
      <c r="L1812" s="31"/>
      <c r="M1812" s="31"/>
      <c r="N1812" s="31"/>
      <c r="O1812" s="31"/>
      <c r="S1812" s="57"/>
      <c r="X1812" s="57"/>
    </row>
    <row r="1813" spans="1:24" hidden="1" x14ac:dyDescent="0.35">
      <c r="A1813">
        <v>1809</v>
      </c>
      <c r="B1813">
        <v>1810</v>
      </c>
      <c r="C1813">
        <v>146.09124834900001</v>
      </c>
      <c r="D1813">
        <v>-17.662222058800001</v>
      </c>
      <c r="G1813" s="92"/>
      <c r="I1813">
        <v>8</v>
      </c>
      <c r="J1813" t="s">
        <v>26</v>
      </c>
      <c r="K1813" s="57"/>
      <c r="L1813" s="31"/>
      <c r="M1813" s="31"/>
      <c r="N1813" s="31"/>
      <c r="O1813" s="31"/>
      <c r="S1813" s="57"/>
      <c r="X1813" s="57"/>
    </row>
    <row r="1814" spans="1:24" hidden="1" x14ac:dyDescent="0.35">
      <c r="A1814">
        <v>1810</v>
      </c>
      <c r="B1814">
        <v>1811</v>
      </c>
      <c r="C1814">
        <v>146.091335649999</v>
      </c>
      <c r="D1814">
        <v>-17.6622018837</v>
      </c>
      <c r="G1814" s="92"/>
      <c r="I1814">
        <v>8</v>
      </c>
      <c r="J1814" t="s">
        <v>26</v>
      </c>
      <c r="K1814" s="57"/>
      <c r="L1814" s="31"/>
      <c r="M1814" s="31"/>
      <c r="N1814" s="31"/>
      <c r="O1814" s="31"/>
      <c r="S1814" s="57"/>
      <c r="X1814" s="57"/>
    </row>
    <row r="1815" spans="1:24" hidden="1" x14ac:dyDescent="0.35">
      <c r="A1815">
        <v>1811</v>
      </c>
      <c r="B1815">
        <v>1812</v>
      </c>
      <c r="C1815">
        <v>146.09142290899899</v>
      </c>
      <c r="D1815">
        <v>-17.6621815512</v>
      </c>
      <c r="G1815" s="92"/>
      <c r="I1815">
        <v>8</v>
      </c>
      <c r="J1815" t="s">
        <v>26</v>
      </c>
      <c r="K1815" s="57"/>
      <c r="L1815" s="31"/>
      <c r="M1815" s="31"/>
      <c r="N1815" s="31"/>
      <c r="O1815" s="31"/>
      <c r="S1815" s="57"/>
      <c r="X1815" s="57"/>
    </row>
    <row r="1816" spans="1:24" hidden="1" x14ac:dyDescent="0.35">
      <c r="A1816">
        <v>1812</v>
      </c>
      <c r="B1816">
        <v>1813</v>
      </c>
      <c r="C1816">
        <v>146.09150983999899</v>
      </c>
      <c r="D1816">
        <v>-17.6621599775</v>
      </c>
      <c r="G1816" s="92"/>
      <c r="I1816">
        <v>8</v>
      </c>
      <c r="J1816" t="s">
        <v>26</v>
      </c>
      <c r="K1816" s="57"/>
      <c r="L1816" s="31"/>
      <c r="M1816" s="31"/>
      <c r="N1816" s="31"/>
      <c r="O1816" s="31"/>
      <c r="S1816" s="57"/>
      <c r="X1816" s="57"/>
    </row>
    <row r="1817" spans="1:24" hidden="1" x14ac:dyDescent="0.35">
      <c r="A1817">
        <v>1813</v>
      </c>
      <c r="B1817">
        <v>1814</v>
      </c>
      <c r="C1817">
        <v>146.091596772</v>
      </c>
      <c r="D1817">
        <v>-17.6621384038</v>
      </c>
      <c r="G1817" s="92"/>
      <c r="I1817">
        <v>8</v>
      </c>
      <c r="J1817" t="s">
        <v>26</v>
      </c>
      <c r="K1817" s="57"/>
      <c r="L1817" s="31"/>
      <c r="M1817" s="31"/>
      <c r="N1817" s="31"/>
      <c r="O1817" s="31"/>
      <c r="S1817" s="57"/>
      <c r="X1817" s="57"/>
    </row>
    <row r="1818" spans="1:24" hidden="1" x14ac:dyDescent="0.35">
      <c r="A1818">
        <v>1814</v>
      </c>
      <c r="B1818">
        <v>1815</v>
      </c>
      <c r="C1818">
        <v>146.091683703</v>
      </c>
      <c r="D1818">
        <v>-17.662116829999899</v>
      </c>
      <c r="G1818" s="92"/>
      <c r="I1818">
        <v>8</v>
      </c>
      <c r="J1818" t="s">
        <v>26</v>
      </c>
      <c r="K1818" s="57"/>
      <c r="L1818" s="31"/>
      <c r="M1818" s="31"/>
      <c r="N1818" s="31"/>
      <c r="O1818" s="31"/>
      <c r="S1818" s="57"/>
      <c r="X1818" s="57"/>
    </row>
    <row r="1819" spans="1:24" hidden="1" x14ac:dyDescent="0.35">
      <c r="A1819">
        <v>1815</v>
      </c>
      <c r="B1819">
        <v>1816</v>
      </c>
      <c r="C1819">
        <v>146.09177063499899</v>
      </c>
      <c r="D1819">
        <v>-17.662095256299899</v>
      </c>
      <c r="G1819" s="92"/>
      <c r="I1819">
        <v>8</v>
      </c>
      <c r="J1819" t="s">
        <v>26</v>
      </c>
      <c r="K1819" s="57"/>
      <c r="L1819" s="31"/>
      <c r="M1819" s="31"/>
      <c r="N1819" s="31"/>
      <c r="O1819" s="31"/>
      <c r="S1819" s="57"/>
      <c r="X1819" s="57"/>
    </row>
    <row r="1820" spans="1:24" hidden="1" x14ac:dyDescent="0.35">
      <c r="A1820">
        <v>1816</v>
      </c>
      <c r="B1820">
        <v>1817</v>
      </c>
      <c r="C1820">
        <v>146.09185756599899</v>
      </c>
      <c r="D1820">
        <v>-17.6620736825999</v>
      </c>
      <c r="G1820" s="92"/>
      <c r="I1820">
        <v>8</v>
      </c>
      <c r="J1820" t="s">
        <v>26</v>
      </c>
      <c r="K1820" s="57"/>
      <c r="L1820" s="31"/>
      <c r="M1820" s="31"/>
      <c r="N1820" s="31"/>
      <c r="O1820" s="31"/>
      <c r="S1820" s="57"/>
      <c r="X1820" s="57"/>
    </row>
    <row r="1821" spans="1:24" hidden="1" x14ac:dyDescent="0.35">
      <c r="A1821">
        <v>1817</v>
      </c>
      <c r="B1821">
        <v>1818</v>
      </c>
      <c r="C1821">
        <v>146.091944498</v>
      </c>
      <c r="D1821">
        <v>-17.6620521088999</v>
      </c>
      <c r="G1821" s="92"/>
      <c r="I1821">
        <v>8</v>
      </c>
      <c r="J1821" t="s">
        <v>26</v>
      </c>
      <c r="K1821" s="57"/>
      <c r="L1821" s="31"/>
      <c r="M1821" s="31"/>
      <c r="N1821" s="31"/>
      <c r="O1821" s="31"/>
      <c r="S1821" s="57"/>
      <c r="X1821" s="57"/>
    </row>
    <row r="1822" spans="1:24" hidden="1" x14ac:dyDescent="0.35">
      <c r="A1822">
        <v>1818</v>
      </c>
      <c r="B1822">
        <v>1819</v>
      </c>
      <c r="C1822">
        <v>146.092031429999</v>
      </c>
      <c r="D1822">
        <v>-17.662030535100001</v>
      </c>
      <c r="G1822" s="92"/>
      <c r="I1822">
        <v>8</v>
      </c>
      <c r="J1822" t="s">
        <v>26</v>
      </c>
      <c r="K1822" s="57"/>
      <c r="L1822" s="31"/>
      <c r="M1822" s="31"/>
      <c r="N1822" s="31"/>
      <c r="O1822" s="31"/>
      <c r="S1822" s="57"/>
      <c r="X1822" s="57"/>
    </row>
    <row r="1823" spans="1:24" hidden="1" x14ac:dyDescent="0.35">
      <c r="A1823">
        <v>1819</v>
      </c>
      <c r="B1823">
        <v>1820</v>
      </c>
      <c r="C1823">
        <v>146.092118360999</v>
      </c>
      <c r="D1823">
        <v>-17.662008961400002</v>
      </c>
      <c r="G1823" s="92"/>
      <c r="I1823">
        <v>8</v>
      </c>
      <c r="J1823" t="s">
        <v>26</v>
      </c>
      <c r="K1823" s="57"/>
      <c r="L1823" s="31"/>
      <c r="M1823" s="31"/>
      <c r="N1823" s="31"/>
      <c r="O1823" s="31"/>
      <c r="S1823" s="57"/>
      <c r="X1823" s="57"/>
    </row>
    <row r="1824" spans="1:24" hidden="1" x14ac:dyDescent="0.35">
      <c r="A1824">
        <v>1820</v>
      </c>
      <c r="B1824">
        <v>1821</v>
      </c>
      <c r="C1824">
        <v>146.09220529300001</v>
      </c>
      <c r="D1824">
        <v>-17.661987387700002</v>
      </c>
      <c r="G1824" s="92"/>
      <c r="I1824">
        <v>8</v>
      </c>
      <c r="J1824" t="s">
        <v>26</v>
      </c>
      <c r="K1824" s="57"/>
      <c r="L1824" s="31"/>
      <c r="M1824" s="31"/>
      <c r="N1824" s="31"/>
      <c r="O1824" s="31"/>
      <c r="S1824" s="57"/>
      <c r="X1824" s="57"/>
    </row>
    <row r="1825" spans="1:24" hidden="1" x14ac:dyDescent="0.35">
      <c r="A1825">
        <v>1821</v>
      </c>
      <c r="B1825">
        <v>1822</v>
      </c>
      <c r="C1825">
        <v>146.092292224</v>
      </c>
      <c r="D1825">
        <v>-17.6619658139</v>
      </c>
      <c r="G1825" s="92"/>
      <c r="I1825">
        <v>8</v>
      </c>
      <c r="J1825" t="s">
        <v>26</v>
      </c>
      <c r="K1825" s="57"/>
      <c r="L1825" s="31"/>
      <c r="M1825" s="31"/>
      <c r="N1825" s="31"/>
      <c r="O1825" s="31"/>
      <c r="S1825" s="57"/>
      <c r="X1825" s="57"/>
    </row>
    <row r="1826" spans="1:24" hidden="1" x14ac:dyDescent="0.35">
      <c r="A1826">
        <v>1822</v>
      </c>
      <c r="B1826">
        <v>1823</v>
      </c>
      <c r="C1826">
        <v>146.092380117999</v>
      </c>
      <c r="D1826">
        <v>-17.661960825600001</v>
      </c>
      <c r="G1826" s="92"/>
      <c r="I1826">
        <v>8</v>
      </c>
      <c r="J1826" t="s">
        <v>26</v>
      </c>
      <c r="K1826" s="57"/>
      <c r="L1826" s="31"/>
      <c r="M1826" s="31"/>
      <c r="N1826" s="31"/>
      <c r="O1826" s="31"/>
      <c r="S1826" s="57"/>
      <c r="X1826" s="57"/>
    </row>
    <row r="1827" spans="1:24" hidden="1" x14ac:dyDescent="0.35">
      <c r="A1827">
        <v>1823</v>
      </c>
      <c r="B1827">
        <v>1824</v>
      </c>
      <c r="C1827">
        <v>146.092469015999</v>
      </c>
      <c r="D1827">
        <v>-17.6619731356</v>
      </c>
      <c r="G1827" s="92"/>
      <c r="I1827">
        <v>8</v>
      </c>
      <c r="J1827" t="s">
        <v>26</v>
      </c>
      <c r="K1827" s="57"/>
      <c r="L1827" s="31"/>
      <c r="M1827" s="31"/>
      <c r="N1827" s="31"/>
      <c r="O1827" s="31"/>
      <c r="S1827" s="57"/>
      <c r="X1827" s="57"/>
    </row>
    <row r="1828" spans="1:24" hidden="1" x14ac:dyDescent="0.35">
      <c r="A1828">
        <v>1824</v>
      </c>
      <c r="B1828">
        <v>1825</v>
      </c>
      <c r="C1828">
        <v>146.09255791300001</v>
      </c>
      <c r="D1828">
        <v>-17.661985445700001</v>
      </c>
      <c r="G1828" s="92"/>
      <c r="I1828">
        <v>8</v>
      </c>
      <c r="J1828" t="s">
        <v>26</v>
      </c>
      <c r="K1828" s="57"/>
      <c r="L1828" s="31"/>
      <c r="M1828" s="31"/>
      <c r="N1828" s="31"/>
      <c r="O1828" s="31"/>
      <c r="S1828" s="57"/>
      <c r="X1828" s="57"/>
    </row>
    <row r="1829" spans="1:24" hidden="1" x14ac:dyDescent="0.35">
      <c r="A1829">
        <v>1825</v>
      </c>
      <c r="B1829">
        <v>1826</v>
      </c>
      <c r="C1829">
        <v>146.09264681100001</v>
      </c>
      <c r="D1829">
        <v>-17.661997755800002</v>
      </c>
      <c r="G1829" s="92"/>
      <c r="I1829">
        <v>8</v>
      </c>
      <c r="J1829" t="s">
        <v>26</v>
      </c>
      <c r="K1829" s="57"/>
      <c r="L1829" s="31"/>
      <c r="M1829" s="31"/>
      <c r="N1829" s="31"/>
      <c r="O1829" s="31"/>
      <c r="S1829" s="57"/>
      <c r="X1829" s="57"/>
    </row>
    <row r="1830" spans="1:24" hidden="1" x14ac:dyDescent="0.35">
      <c r="A1830">
        <v>1826</v>
      </c>
      <c r="B1830">
        <v>1827</v>
      </c>
      <c r="C1830">
        <v>146.092728198</v>
      </c>
      <c r="D1830">
        <v>-17.6620333008999</v>
      </c>
      <c r="G1830" s="92"/>
      <c r="I1830">
        <v>8</v>
      </c>
      <c r="J1830" t="s">
        <v>26</v>
      </c>
      <c r="K1830" s="57"/>
      <c r="L1830" s="31"/>
      <c r="M1830" s="31"/>
      <c r="N1830" s="31"/>
      <c r="O1830" s="31"/>
      <c r="S1830" s="57"/>
      <c r="X1830" s="57"/>
    </row>
    <row r="1831" spans="1:24" hidden="1" x14ac:dyDescent="0.35">
      <c r="A1831">
        <v>1827</v>
      </c>
      <c r="B1831">
        <v>1828</v>
      </c>
      <c r="C1831">
        <v>146.09280895699899</v>
      </c>
      <c r="D1831">
        <v>-17.662070787200001</v>
      </c>
      <c r="G1831" s="92"/>
      <c r="I1831">
        <v>8</v>
      </c>
      <c r="J1831" t="s">
        <v>26</v>
      </c>
      <c r="K1831" s="57"/>
      <c r="L1831" s="31"/>
      <c r="M1831" s="31"/>
      <c r="N1831" s="31"/>
      <c r="O1831" s="31"/>
      <c r="S1831" s="57"/>
      <c r="X1831" s="57"/>
    </row>
    <row r="1832" spans="1:24" hidden="1" x14ac:dyDescent="0.35">
      <c r="A1832">
        <v>1828</v>
      </c>
      <c r="B1832">
        <v>1829</v>
      </c>
      <c r="C1832">
        <v>146.092889716</v>
      </c>
      <c r="D1832">
        <v>-17.662108273600001</v>
      </c>
      <c r="G1832" s="92"/>
      <c r="I1832">
        <v>8</v>
      </c>
      <c r="J1832" t="s">
        <v>26</v>
      </c>
      <c r="K1832" s="57"/>
      <c r="L1832" s="31"/>
      <c r="M1832" s="31"/>
      <c r="N1832" s="31"/>
      <c r="O1832" s="31"/>
      <c r="S1832" s="57"/>
      <c r="X1832" s="57"/>
    </row>
    <row r="1833" spans="1:24" hidden="1" x14ac:dyDescent="0.35">
      <c r="A1833">
        <v>1829</v>
      </c>
      <c r="B1833">
        <v>1830</v>
      </c>
      <c r="C1833">
        <v>146.092970473999</v>
      </c>
      <c r="D1833">
        <v>-17.662145760000001</v>
      </c>
      <c r="G1833" s="92"/>
      <c r="I1833">
        <v>8</v>
      </c>
      <c r="J1833" t="s">
        <v>26</v>
      </c>
      <c r="K1833" s="57"/>
      <c r="L1833" s="31"/>
      <c r="M1833" s="31"/>
      <c r="N1833" s="31"/>
      <c r="O1833" s="31"/>
      <c r="S1833" s="57"/>
      <c r="X1833" s="57"/>
    </row>
    <row r="1834" spans="1:24" hidden="1" x14ac:dyDescent="0.35">
      <c r="A1834">
        <v>1830</v>
      </c>
      <c r="B1834">
        <v>1831</v>
      </c>
      <c r="C1834">
        <v>146.093039602999</v>
      </c>
      <c r="D1834">
        <v>-17.6621991361</v>
      </c>
      <c r="G1834" s="92"/>
      <c r="I1834">
        <v>8</v>
      </c>
      <c r="J1834" t="s">
        <v>26</v>
      </c>
      <c r="K1834" s="57"/>
      <c r="L1834" s="31"/>
      <c r="M1834" s="31"/>
      <c r="N1834" s="31"/>
      <c r="O1834" s="31"/>
      <c r="S1834" s="57"/>
      <c r="X1834" s="57"/>
    </row>
    <row r="1835" spans="1:24" hidden="1" x14ac:dyDescent="0.35">
      <c r="A1835">
        <v>1831</v>
      </c>
      <c r="B1835">
        <v>1832</v>
      </c>
      <c r="C1835">
        <v>146.093104425999</v>
      </c>
      <c r="D1835">
        <v>-17.6622583957</v>
      </c>
      <c r="G1835" s="92"/>
      <c r="I1835">
        <v>8</v>
      </c>
      <c r="J1835" t="s">
        <v>26</v>
      </c>
      <c r="K1835" s="57"/>
      <c r="L1835" s="31"/>
      <c r="M1835" s="31"/>
      <c r="N1835" s="31"/>
      <c r="O1835" s="31"/>
      <c r="S1835" s="57"/>
      <c r="X1835" s="57"/>
    </row>
    <row r="1836" spans="1:24" hidden="1" x14ac:dyDescent="0.35">
      <c r="A1836">
        <v>1832</v>
      </c>
      <c r="B1836">
        <v>1833</v>
      </c>
      <c r="C1836">
        <v>146.09316078699899</v>
      </c>
      <c r="D1836">
        <v>-17.6623246636</v>
      </c>
      <c r="G1836" s="92"/>
      <c r="I1836">
        <v>8</v>
      </c>
      <c r="J1836" t="s">
        <v>26</v>
      </c>
      <c r="K1836" s="57"/>
      <c r="L1836" s="31"/>
      <c r="M1836" s="31"/>
      <c r="N1836" s="31"/>
      <c r="O1836" s="31"/>
      <c r="S1836" s="57"/>
      <c r="X1836" s="57"/>
    </row>
    <row r="1837" spans="1:24" hidden="1" x14ac:dyDescent="0.35">
      <c r="A1837">
        <v>1833</v>
      </c>
      <c r="B1837">
        <v>1834</v>
      </c>
      <c r="C1837">
        <v>146.09320661300001</v>
      </c>
      <c r="D1837">
        <v>-17.662396531199899</v>
      </c>
      <c r="G1837" s="92"/>
      <c r="I1837">
        <v>8</v>
      </c>
      <c r="J1837" t="s">
        <v>26</v>
      </c>
      <c r="K1837" s="57"/>
      <c r="L1837" s="31"/>
      <c r="M1837" s="31"/>
      <c r="N1837" s="31"/>
      <c r="O1837" s="31"/>
      <c r="S1837" s="57"/>
      <c r="X1837" s="57"/>
    </row>
    <row r="1838" spans="1:24" hidden="1" x14ac:dyDescent="0.35">
      <c r="A1838">
        <v>1834</v>
      </c>
      <c r="B1838">
        <v>1835</v>
      </c>
      <c r="C1838">
        <v>146.09321604799899</v>
      </c>
      <c r="D1838">
        <v>-17.662481654699899</v>
      </c>
      <c r="G1838" s="92"/>
      <c r="I1838">
        <v>8</v>
      </c>
      <c r="J1838" t="s">
        <v>26</v>
      </c>
      <c r="K1838" s="57"/>
      <c r="L1838" s="31"/>
      <c r="M1838" s="31"/>
      <c r="N1838" s="31"/>
      <c r="O1838" s="31"/>
      <c r="S1838" s="57"/>
      <c r="X1838" s="57"/>
    </row>
    <row r="1839" spans="1:24" hidden="1" x14ac:dyDescent="0.35">
      <c r="A1839">
        <v>1835</v>
      </c>
      <c r="B1839">
        <v>1836</v>
      </c>
      <c r="C1839">
        <v>146.093200354</v>
      </c>
      <c r="D1839">
        <v>-17.662564140000001</v>
      </c>
      <c r="G1839" s="92"/>
      <c r="I1839">
        <v>8</v>
      </c>
      <c r="J1839" t="s">
        <v>26</v>
      </c>
      <c r="K1839" s="57"/>
      <c r="L1839" s="31"/>
      <c r="M1839" s="31"/>
      <c r="N1839" s="31"/>
      <c r="O1839" s="31"/>
      <c r="S1839" s="57"/>
      <c r="X1839" s="57"/>
    </row>
    <row r="1840" spans="1:24" hidden="1" x14ac:dyDescent="0.35">
      <c r="A1840">
        <v>1836</v>
      </c>
      <c r="B1840">
        <v>1837</v>
      </c>
      <c r="C1840">
        <v>146.093171960999</v>
      </c>
      <c r="D1840">
        <v>-17.662645344600001</v>
      </c>
      <c r="G1840" s="92"/>
      <c r="I1840">
        <v>8</v>
      </c>
      <c r="J1840" t="s">
        <v>26</v>
      </c>
      <c r="K1840" s="57"/>
      <c r="L1840" s="31"/>
      <c r="M1840" s="31"/>
      <c r="N1840" s="31"/>
      <c r="O1840" s="31"/>
      <c r="S1840" s="57"/>
      <c r="X1840" s="57"/>
    </row>
    <row r="1841" spans="1:24" hidden="1" x14ac:dyDescent="0.35">
      <c r="A1841">
        <v>1837</v>
      </c>
      <c r="B1841">
        <v>1838</v>
      </c>
      <c r="C1841">
        <v>146.093146171999</v>
      </c>
      <c r="D1841">
        <v>-17.6627273384</v>
      </c>
      <c r="G1841" s="92"/>
      <c r="I1841">
        <v>8</v>
      </c>
      <c r="J1841" t="s">
        <v>26</v>
      </c>
      <c r="K1841" s="57"/>
      <c r="L1841" s="31"/>
      <c r="M1841" s="31"/>
      <c r="N1841" s="31"/>
      <c r="O1841" s="31"/>
      <c r="S1841" s="57"/>
      <c r="X1841" s="57"/>
    </row>
    <row r="1842" spans="1:24" hidden="1" x14ac:dyDescent="0.35">
      <c r="A1842">
        <v>1838</v>
      </c>
      <c r="B1842">
        <v>1839</v>
      </c>
      <c r="C1842">
        <v>146.093120384</v>
      </c>
      <c r="D1842">
        <v>-17.662809332199899</v>
      </c>
      <c r="G1842" s="92"/>
      <c r="I1842">
        <v>8</v>
      </c>
      <c r="J1842" t="s">
        <v>26</v>
      </c>
      <c r="K1842" s="57"/>
      <c r="L1842" s="31"/>
      <c r="M1842" s="31"/>
      <c r="N1842" s="31"/>
      <c r="O1842" s="31"/>
      <c r="S1842" s="57"/>
      <c r="X1842" s="57"/>
    </row>
    <row r="1843" spans="1:24" hidden="1" x14ac:dyDescent="0.35">
      <c r="A1843">
        <v>1839</v>
      </c>
      <c r="B1843">
        <v>1840</v>
      </c>
      <c r="C1843">
        <v>146.09310970000001</v>
      </c>
      <c r="D1843">
        <v>-17.662893937300002</v>
      </c>
      <c r="G1843" s="92"/>
      <c r="I1843">
        <v>8</v>
      </c>
      <c r="J1843" t="s">
        <v>26</v>
      </c>
      <c r="K1843" s="57"/>
      <c r="L1843" s="31"/>
      <c r="M1843" s="31"/>
      <c r="N1843" s="31"/>
      <c r="O1843" s="31"/>
      <c r="S1843" s="57"/>
      <c r="X1843" s="57"/>
    </row>
    <row r="1844" spans="1:24" hidden="1" x14ac:dyDescent="0.35">
      <c r="A1844">
        <v>1840</v>
      </c>
      <c r="B1844">
        <v>1841</v>
      </c>
      <c r="C1844">
        <v>146.093103614</v>
      </c>
      <c r="D1844">
        <v>-17.662979337300001</v>
      </c>
      <c r="G1844" s="92"/>
      <c r="I1844">
        <v>8</v>
      </c>
      <c r="J1844" t="s">
        <v>26</v>
      </c>
      <c r="K1844" s="57"/>
      <c r="L1844" s="31"/>
      <c r="M1844" s="31"/>
      <c r="N1844" s="31"/>
      <c r="O1844" s="31"/>
      <c r="S1844" s="57"/>
      <c r="X1844" s="57"/>
    </row>
    <row r="1845" spans="1:24" hidden="1" x14ac:dyDescent="0.35">
      <c r="A1845">
        <v>1841</v>
      </c>
      <c r="B1845">
        <v>1842</v>
      </c>
      <c r="C1845">
        <v>146.093097529</v>
      </c>
      <c r="D1845">
        <v>-17.663064737300001</v>
      </c>
      <c r="G1845" s="92"/>
      <c r="I1845">
        <v>8</v>
      </c>
      <c r="J1845" t="s">
        <v>26</v>
      </c>
      <c r="K1845" s="57"/>
      <c r="L1845" s="31"/>
      <c r="M1845" s="31"/>
      <c r="N1845" s="31"/>
      <c r="O1845" s="31"/>
      <c r="S1845" s="57"/>
      <c r="X1845" s="57"/>
    </row>
    <row r="1846" spans="1:24" hidden="1" x14ac:dyDescent="0.35">
      <c r="A1846">
        <v>1842</v>
      </c>
      <c r="B1846">
        <v>1843</v>
      </c>
      <c r="C1846">
        <v>146.093091442999</v>
      </c>
      <c r="D1846">
        <v>-17.663150137300001</v>
      </c>
      <c r="G1846" s="92"/>
      <c r="I1846">
        <v>8</v>
      </c>
      <c r="J1846" t="s">
        <v>26</v>
      </c>
      <c r="K1846" s="57"/>
      <c r="L1846" s="31"/>
      <c r="M1846" s="31"/>
      <c r="N1846" s="31"/>
      <c r="O1846" s="31"/>
      <c r="S1846" s="57"/>
      <c r="X1846" s="57"/>
    </row>
    <row r="1847" spans="1:24" hidden="1" x14ac:dyDescent="0.35">
      <c r="A1847">
        <v>1843</v>
      </c>
      <c r="B1847">
        <v>1844</v>
      </c>
      <c r="C1847">
        <v>146.09308535700001</v>
      </c>
      <c r="D1847">
        <v>-17.663235537199899</v>
      </c>
      <c r="G1847" s="92"/>
      <c r="I1847">
        <v>8</v>
      </c>
      <c r="J1847" t="s">
        <v>26</v>
      </c>
      <c r="K1847" s="57"/>
      <c r="L1847" s="31"/>
      <c r="M1847" s="31"/>
      <c r="N1847" s="31"/>
      <c r="O1847" s="31"/>
      <c r="S1847" s="57"/>
      <c r="X1847" s="57"/>
    </row>
    <row r="1848" spans="1:24" hidden="1" x14ac:dyDescent="0.35">
      <c r="A1848">
        <v>1844</v>
      </c>
      <c r="B1848">
        <v>1845</v>
      </c>
      <c r="C1848">
        <v>146.09308991500001</v>
      </c>
      <c r="D1848">
        <v>-17.663320528900002</v>
      </c>
      <c r="G1848" s="92"/>
      <c r="I1848">
        <v>8</v>
      </c>
      <c r="J1848" t="s">
        <v>26</v>
      </c>
      <c r="K1848" s="57"/>
      <c r="L1848" s="31"/>
      <c r="M1848" s="31"/>
      <c r="N1848" s="31"/>
      <c r="O1848" s="31"/>
      <c r="S1848" s="57"/>
      <c r="X1848" s="57"/>
    </row>
    <row r="1849" spans="1:24" hidden="1" x14ac:dyDescent="0.35">
      <c r="A1849">
        <v>1845</v>
      </c>
      <c r="B1849">
        <v>1846</v>
      </c>
      <c r="C1849">
        <v>146.09310318300001</v>
      </c>
      <c r="D1849">
        <v>-17.663405186599899</v>
      </c>
      <c r="G1849" s="92"/>
      <c r="I1849">
        <v>8</v>
      </c>
      <c r="J1849" t="s">
        <v>26</v>
      </c>
      <c r="K1849" s="57"/>
      <c r="L1849" s="31"/>
      <c r="M1849" s="31"/>
      <c r="N1849" s="31"/>
      <c r="O1849" s="31"/>
      <c r="S1849" s="57"/>
      <c r="X1849" s="57"/>
    </row>
    <row r="1850" spans="1:24" hidden="1" x14ac:dyDescent="0.35">
      <c r="A1850">
        <v>1846</v>
      </c>
      <c r="B1850">
        <v>1847</v>
      </c>
      <c r="C1850">
        <v>146.093116452</v>
      </c>
      <c r="D1850">
        <v>-17.663489844200001</v>
      </c>
      <c r="G1850" s="92"/>
      <c r="I1850">
        <v>8</v>
      </c>
      <c r="J1850" t="s">
        <v>26</v>
      </c>
      <c r="K1850" s="57"/>
      <c r="L1850" s="31"/>
      <c r="M1850" s="31"/>
      <c r="N1850" s="31"/>
      <c r="O1850" s="31"/>
      <c r="S1850" s="57"/>
      <c r="X1850" s="57"/>
    </row>
    <row r="1851" spans="1:24" hidden="1" x14ac:dyDescent="0.35">
      <c r="A1851">
        <v>1847</v>
      </c>
      <c r="B1851">
        <v>1848</v>
      </c>
      <c r="C1851">
        <v>146.09312972000001</v>
      </c>
      <c r="D1851">
        <v>-17.663574501700001</v>
      </c>
      <c r="G1851" s="92"/>
      <c r="I1851">
        <v>8</v>
      </c>
      <c r="J1851" t="s">
        <v>26</v>
      </c>
      <c r="K1851" s="57"/>
      <c r="L1851" s="31"/>
      <c r="M1851" s="31"/>
      <c r="N1851" s="31"/>
      <c r="O1851" s="31"/>
      <c r="S1851" s="57"/>
      <c r="X1851" s="57"/>
    </row>
    <row r="1852" spans="1:24" hidden="1" x14ac:dyDescent="0.35">
      <c r="A1852">
        <v>1848</v>
      </c>
      <c r="B1852">
        <v>1849</v>
      </c>
      <c r="C1852">
        <v>146.093142989</v>
      </c>
      <c r="D1852">
        <v>-17.663659159200002</v>
      </c>
      <c r="G1852" s="92"/>
      <c r="I1852">
        <v>8</v>
      </c>
      <c r="J1852" t="s">
        <v>26</v>
      </c>
      <c r="K1852" s="57"/>
      <c r="L1852" s="31"/>
      <c r="M1852" s="31"/>
      <c r="N1852" s="31"/>
      <c r="O1852" s="31"/>
      <c r="S1852" s="57"/>
      <c r="X1852" s="57"/>
    </row>
    <row r="1853" spans="1:24" hidden="1" x14ac:dyDescent="0.35">
      <c r="A1853">
        <v>1849</v>
      </c>
      <c r="B1853">
        <v>1850</v>
      </c>
      <c r="C1853">
        <v>146.093156321999</v>
      </c>
      <c r="D1853">
        <v>-17.6637438073999</v>
      </c>
      <c r="G1853" s="92"/>
      <c r="I1853">
        <v>8</v>
      </c>
      <c r="J1853" t="s">
        <v>26</v>
      </c>
      <c r="K1853" s="57"/>
      <c r="L1853" s="31"/>
      <c r="M1853" s="31"/>
      <c r="N1853" s="31"/>
      <c r="O1853" s="31"/>
      <c r="S1853" s="57"/>
      <c r="X1853" s="57"/>
    </row>
    <row r="1854" spans="1:24" hidden="1" x14ac:dyDescent="0.35">
      <c r="A1854">
        <v>1850</v>
      </c>
      <c r="B1854">
        <v>1851</v>
      </c>
      <c r="C1854">
        <v>146.093169684</v>
      </c>
      <c r="D1854">
        <v>-17.663828451499899</v>
      </c>
      <c r="G1854" s="92"/>
      <c r="I1854">
        <v>8</v>
      </c>
      <c r="J1854" t="s">
        <v>26</v>
      </c>
      <c r="K1854" s="57"/>
      <c r="L1854" s="31"/>
      <c r="M1854" s="31"/>
      <c r="N1854" s="31"/>
      <c r="O1854" s="31"/>
      <c r="S1854" s="57"/>
      <c r="X1854" s="57"/>
    </row>
    <row r="1855" spans="1:24" hidden="1" x14ac:dyDescent="0.35">
      <c r="A1855">
        <v>1851</v>
      </c>
      <c r="B1855">
        <v>1852</v>
      </c>
      <c r="C1855">
        <v>146.09318271800001</v>
      </c>
      <c r="D1855">
        <v>-17.6639131182</v>
      </c>
      <c r="G1855" s="92"/>
      <c r="I1855">
        <v>8</v>
      </c>
      <c r="J1855" t="s">
        <v>26</v>
      </c>
      <c r="K1855" s="57"/>
      <c r="L1855" s="31"/>
      <c r="M1855" s="31"/>
      <c r="N1855" s="31"/>
      <c r="O1855" s="31"/>
      <c r="S1855" s="57"/>
      <c r="X1855" s="57"/>
    </row>
    <row r="1856" spans="1:24" hidden="1" x14ac:dyDescent="0.35">
      <c r="A1856">
        <v>1852</v>
      </c>
      <c r="B1856">
        <v>1853</v>
      </c>
      <c r="C1856">
        <v>146.093182288999</v>
      </c>
      <c r="D1856">
        <v>-17.663998713400002</v>
      </c>
      <c r="G1856" s="92"/>
      <c r="I1856">
        <v>8</v>
      </c>
      <c r="J1856" t="s">
        <v>26</v>
      </c>
      <c r="K1856" s="57"/>
      <c r="L1856" s="31"/>
      <c r="M1856" s="31"/>
      <c r="N1856" s="31"/>
      <c r="O1856" s="31"/>
      <c r="S1856" s="57"/>
      <c r="X1856" s="57"/>
    </row>
    <row r="1857" spans="1:24" hidden="1" x14ac:dyDescent="0.35">
      <c r="A1857">
        <v>1853</v>
      </c>
      <c r="B1857">
        <v>1854</v>
      </c>
      <c r="C1857">
        <v>146.09318186100001</v>
      </c>
      <c r="D1857">
        <v>-17.6640843086</v>
      </c>
      <c r="G1857" s="92"/>
      <c r="I1857">
        <v>8</v>
      </c>
      <c r="J1857" t="s">
        <v>26</v>
      </c>
      <c r="K1857" s="57"/>
      <c r="L1857" s="31"/>
      <c r="M1857" s="31"/>
      <c r="N1857" s="31"/>
      <c r="O1857" s="31"/>
      <c r="S1857" s="57"/>
      <c r="X1857" s="57"/>
    </row>
    <row r="1858" spans="1:24" hidden="1" x14ac:dyDescent="0.35">
      <c r="A1858">
        <v>1854</v>
      </c>
      <c r="B1858">
        <v>1855</v>
      </c>
      <c r="C1858">
        <v>146.093174688</v>
      </c>
      <c r="D1858">
        <v>-17.664168706600002</v>
      </c>
      <c r="G1858" s="92"/>
      <c r="I1858">
        <v>8</v>
      </c>
      <c r="J1858" t="s">
        <v>26</v>
      </c>
      <c r="K1858" s="57"/>
      <c r="L1858" s="31"/>
      <c r="M1858" s="31"/>
      <c r="N1858" s="31"/>
      <c r="O1858" s="31"/>
      <c r="S1858" s="57"/>
      <c r="X1858" s="57"/>
    </row>
    <row r="1859" spans="1:24" hidden="1" x14ac:dyDescent="0.35">
      <c r="A1859">
        <v>1855</v>
      </c>
      <c r="B1859">
        <v>1856</v>
      </c>
      <c r="C1859">
        <v>146.093142739999</v>
      </c>
      <c r="D1859">
        <v>-17.664248706599899</v>
      </c>
      <c r="G1859" s="92"/>
      <c r="I1859">
        <v>8</v>
      </c>
      <c r="J1859" t="s">
        <v>26</v>
      </c>
      <c r="K1859" s="57"/>
      <c r="L1859" s="31"/>
      <c r="M1859" s="31"/>
      <c r="N1859" s="31"/>
      <c r="O1859" s="31"/>
      <c r="S1859" s="57"/>
      <c r="X1859" s="57"/>
    </row>
    <row r="1860" spans="1:24" hidden="1" x14ac:dyDescent="0.35">
      <c r="A1860">
        <v>1856</v>
      </c>
      <c r="B1860">
        <v>1857</v>
      </c>
      <c r="C1860">
        <v>146.093110792</v>
      </c>
      <c r="D1860">
        <v>-17.6643287063999</v>
      </c>
      <c r="G1860" s="92"/>
      <c r="I1860">
        <v>8</v>
      </c>
      <c r="J1860" t="s">
        <v>26</v>
      </c>
      <c r="K1860" s="57"/>
      <c r="L1860" s="31"/>
      <c r="M1860" s="31"/>
      <c r="N1860" s="31"/>
      <c r="O1860" s="31"/>
      <c r="S1860" s="57"/>
      <c r="X1860" s="57"/>
    </row>
    <row r="1861" spans="1:24" hidden="1" x14ac:dyDescent="0.35">
      <c r="A1861">
        <v>1857</v>
      </c>
      <c r="B1861">
        <v>1858</v>
      </c>
      <c r="C1861">
        <v>146.093081721999</v>
      </c>
      <c r="D1861">
        <v>-17.664409689100001</v>
      </c>
      <c r="G1861" s="92"/>
      <c r="I1861">
        <v>8</v>
      </c>
      <c r="J1861" t="s">
        <v>26</v>
      </c>
      <c r="K1861" s="57"/>
      <c r="L1861" s="31"/>
      <c r="M1861" s="31"/>
      <c r="N1861" s="31"/>
      <c r="O1861" s="31"/>
      <c r="S1861" s="57"/>
      <c r="X1861" s="57"/>
    </row>
    <row r="1862" spans="1:24" hidden="1" x14ac:dyDescent="0.35">
      <c r="A1862">
        <v>1858</v>
      </c>
      <c r="B1862">
        <v>1859</v>
      </c>
      <c r="C1862">
        <v>146.09305438600001</v>
      </c>
      <c r="D1862">
        <v>-17.664491021700002</v>
      </c>
      <c r="G1862" s="92"/>
      <c r="I1862">
        <v>8</v>
      </c>
      <c r="J1862" t="s">
        <v>26</v>
      </c>
      <c r="K1862" s="57"/>
      <c r="L1862" s="31"/>
      <c r="M1862" s="31"/>
      <c r="N1862" s="31"/>
      <c r="O1862" s="31"/>
      <c r="S1862" s="57"/>
      <c r="X1862" s="57"/>
    </row>
    <row r="1863" spans="1:24" hidden="1" x14ac:dyDescent="0.35">
      <c r="A1863">
        <v>1859</v>
      </c>
      <c r="B1863">
        <v>1860</v>
      </c>
      <c r="C1863">
        <v>146.093053956999</v>
      </c>
      <c r="D1863">
        <v>-17.6645766167</v>
      </c>
      <c r="G1863" s="92"/>
      <c r="I1863">
        <v>8</v>
      </c>
      <c r="J1863" t="s">
        <v>26</v>
      </c>
      <c r="K1863" s="57"/>
      <c r="L1863" s="31"/>
      <c r="M1863" s="31"/>
      <c r="N1863" s="31"/>
      <c r="O1863" s="31"/>
      <c r="S1863" s="57"/>
      <c r="X1863" s="57"/>
    </row>
    <row r="1864" spans="1:24" hidden="1" x14ac:dyDescent="0.35">
      <c r="A1864">
        <v>1860</v>
      </c>
      <c r="B1864">
        <v>1861</v>
      </c>
      <c r="C1864">
        <v>146.093073489999</v>
      </c>
      <c r="D1864">
        <v>-17.664657609199899</v>
      </c>
      <c r="G1864" s="92"/>
      <c r="I1864">
        <v>8</v>
      </c>
      <c r="J1864" t="s">
        <v>26</v>
      </c>
      <c r="K1864" s="57"/>
      <c r="L1864" s="31"/>
      <c r="M1864" s="31"/>
      <c r="N1864" s="31"/>
      <c r="O1864" s="31"/>
      <c r="S1864" s="57"/>
      <c r="X1864" s="57"/>
    </row>
    <row r="1865" spans="1:24" hidden="1" x14ac:dyDescent="0.35">
      <c r="A1865">
        <v>1861</v>
      </c>
      <c r="B1865">
        <v>1862</v>
      </c>
      <c r="C1865">
        <v>146.093114939999</v>
      </c>
      <c r="D1865">
        <v>-17.664733548400001</v>
      </c>
      <c r="G1865" s="92"/>
      <c r="I1865">
        <v>8</v>
      </c>
      <c r="J1865" t="s">
        <v>26</v>
      </c>
      <c r="K1865" s="57"/>
      <c r="L1865" s="31"/>
      <c r="M1865" s="31"/>
      <c r="N1865" s="31"/>
      <c r="O1865" s="31"/>
      <c r="S1865" s="57"/>
      <c r="X1865" s="57"/>
    </row>
    <row r="1866" spans="1:24" hidden="1" x14ac:dyDescent="0.35">
      <c r="A1866">
        <v>1862</v>
      </c>
      <c r="B1866">
        <v>1863</v>
      </c>
      <c r="C1866">
        <v>146.09316696400001</v>
      </c>
      <c r="D1866">
        <v>-17.664803203400002</v>
      </c>
      <c r="G1866" s="92"/>
      <c r="I1866">
        <v>8</v>
      </c>
      <c r="J1866" t="s">
        <v>26</v>
      </c>
      <c r="K1866" s="57"/>
      <c r="L1866" s="31"/>
      <c r="M1866" s="31"/>
      <c r="N1866" s="31"/>
      <c r="O1866" s="31"/>
      <c r="S1866" s="57"/>
      <c r="X1866" s="57"/>
    </row>
    <row r="1867" spans="1:24" hidden="1" x14ac:dyDescent="0.35">
      <c r="A1867">
        <v>1863</v>
      </c>
      <c r="B1867">
        <v>1864</v>
      </c>
      <c r="C1867">
        <v>146.093235179</v>
      </c>
      <c r="D1867">
        <v>-17.664856774</v>
      </c>
      <c r="G1867" s="92"/>
      <c r="I1867">
        <v>8</v>
      </c>
      <c r="J1867" t="s">
        <v>26</v>
      </c>
      <c r="K1867" s="57"/>
      <c r="L1867" s="31"/>
      <c r="M1867" s="31"/>
      <c r="N1867" s="31"/>
      <c r="O1867" s="31"/>
      <c r="S1867" s="57"/>
      <c r="X1867" s="57"/>
    </row>
    <row r="1868" spans="1:24" hidden="1" x14ac:dyDescent="0.35">
      <c r="A1868">
        <v>1864</v>
      </c>
      <c r="B1868">
        <v>1865</v>
      </c>
      <c r="C1868">
        <v>146.093306124999</v>
      </c>
      <c r="D1868">
        <v>-17.6649083601</v>
      </c>
      <c r="G1868" s="92"/>
      <c r="I1868">
        <v>8</v>
      </c>
      <c r="J1868" t="s">
        <v>26</v>
      </c>
      <c r="K1868" s="57"/>
      <c r="L1868" s="31"/>
      <c r="M1868" s="31"/>
      <c r="N1868" s="31"/>
      <c r="O1868" s="31"/>
      <c r="S1868" s="57"/>
      <c r="X1868" s="57"/>
    </row>
    <row r="1869" spans="1:24" hidden="1" x14ac:dyDescent="0.35">
      <c r="A1869">
        <v>1865</v>
      </c>
      <c r="B1869">
        <v>1866</v>
      </c>
      <c r="C1869">
        <v>146.09330581699899</v>
      </c>
      <c r="D1869">
        <v>-17.6649781743</v>
      </c>
      <c r="G1869" s="92"/>
      <c r="I1869">
        <v>8</v>
      </c>
      <c r="J1869" t="s">
        <v>26</v>
      </c>
      <c r="K1869" s="57"/>
      <c r="L1869" s="31"/>
      <c r="M1869" s="31"/>
      <c r="N1869" s="31"/>
      <c r="O1869" s="31"/>
      <c r="S1869" s="57"/>
      <c r="X1869" s="57"/>
    </row>
    <row r="1870" spans="1:24" hidden="1" x14ac:dyDescent="0.35">
      <c r="A1870">
        <v>1866</v>
      </c>
      <c r="B1870">
        <v>1867</v>
      </c>
      <c r="C1870">
        <v>146.093229073</v>
      </c>
      <c r="D1870">
        <v>-17.665011281799899</v>
      </c>
      <c r="G1870" s="92"/>
      <c r="I1870">
        <v>8</v>
      </c>
      <c r="J1870" t="s">
        <v>26</v>
      </c>
      <c r="K1870" s="57"/>
      <c r="L1870" s="31"/>
      <c r="M1870" s="31"/>
      <c r="N1870" s="31"/>
      <c r="O1870" s="31"/>
      <c r="S1870" s="57"/>
      <c r="X1870" s="57"/>
    </row>
    <row r="1871" spans="1:24" hidden="1" x14ac:dyDescent="0.35">
      <c r="A1871">
        <v>1867</v>
      </c>
      <c r="B1871">
        <v>1868</v>
      </c>
      <c r="C1871">
        <v>146.09313924200001</v>
      </c>
      <c r="D1871">
        <v>-17.665010867900001</v>
      </c>
      <c r="G1871" s="92"/>
      <c r="I1871">
        <v>8</v>
      </c>
      <c r="J1871" t="s">
        <v>26</v>
      </c>
      <c r="K1871" s="57"/>
      <c r="L1871" s="31"/>
      <c r="M1871" s="31"/>
      <c r="N1871" s="31"/>
      <c r="O1871" s="31"/>
      <c r="S1871" s="57"/>
      <c r="X1871" s="57"/>
    </row>
    <row r="1872" spans="1:24" hidden="1" x14ac:dyDescent="0.35">
      <c r="A1872">
        <v>1868</v>
      </c>
      <c r="B1872">
        <v>1869</v>
      </c>
      <c r="C1872">
        <v>146.093049411999</v>
      </c>
      <c r="D1872">
        <v>-17.665010455000001</v>
      </c>
      <c r="G1872" s="92"/>
      <c r="I1872">
        <v>8</v>
      </c>
      <c r="J1872" t="s">
        <v>26</v>
      </c>
      <c r="K1872" s="57"/>
      <c r="L1872" s="31"/>
      <c r="M1872" s="31"/>
      <c r="N1872" s="31"/>
      <c r="O1872" s="31"/>
      <c r="S1872" s="57"/>
      <c r="X1872" s="57"/>
    </row>
    <row r="1873" spans="1:24" hidden="1" x14ac:dyDescent="0.35">
      <c r="A1873">
        <v>1869</v>
      </c>
      <c r="B1873">
        <v>1870</v>
      </c>
      <c r="C1873">
        <v>146.092959704999</v>
      </c>
      <c r="D1873">
        <v>-17.665014816900001</v>
      </c>
      <c r="G1873" s="92"/>
      <c r="I1873">
        <v>8</v>
      </c>
      <c r="J1873" t="s">
        <v>26</v>
      </c>
      <c r="K1873" s="57"/>
      <c r="L1873" s="31"/>
      <c r="M1873" s="31"/>
      <c r="N1873" s="31"/>
      <c r="O1873" s="31"/>
      <c r="S1873" s="57"/>
      <c r="X1873" s="57"/>
    </row>
    <row r="1874" spans="1:24" hidden="1" x14ac:dyDescent="0.35">
      <c r="A1874">
        <v>1870</v>
      </c>
      <c r="B1874">
        <v>1871</v>
      </c>
      <c r="C1874">
        <v>146.09287505399899</v>
      </c>
      <c r="D1874">
        <v>-17.6650377072</v>
      </c>
      <c r="G1874" s="92"/>
      <c r="I1874">
        <v>8</v>
      </c>
      <c r="J1874" t="s">
        <v>26</v>
      </c>
      <c r="K1874" s="57"/>
      <c r="L1874" s="31"/>
      <c r="M1874" s="31"/>
      <c r="N1874" s="31"/>
      <c r="O1874" s="31"/>
      <c r="S1874" s="57"/>
      <c r="X1874" s="57"/>
    </row>
    <row r="1875" spans="1:24" hidden="1" x14ac:dyDescent="0.35">
      <c r="A1875">
        <v>1871</v>
      </c>
      <c r="B1875">
        <v>1872</v>
      </c>
      <c r="C1875">
        <v>146.09279895200001</v>
      </c>
      <c r="D1875">
        <v>-17.665081568600002</v>
      </c>
      <c r="G1875" s="92"/>
      <c r="I1875">
        <v>8</v>
      </c>
      <c r="J1875" t="s">
        <v>26</v>
      </c>
      <c r="K1875" s="57"/>
      <c r="L1875" s="31"/>
      <c r="M1875" s="31"/>
      <c r="N1875" s="31"/>
      <c r="O1875" s="31"/>
      <c r="S1875" s="57"/>
      <c r="X1875" s="57"/>
    </row>
    <row r="1876" spans="1:24" hidden="1" x14ac:dyDescent="0.35">
      <c r="A1876">
        <v>1872</v>
      </c>
      <c r="B1876">
        <v>1873</v>
      </c>
      <c r="C1876">
        <v>146.09273532</v>
      </c>
      <c r="D1876">
        <v>-17.665141987399899</v>
      </c>
      <c r="G1876" s="92"/>
      <c r="I1876">
        <v>8</v>
      </c>
      <c r="J1876" t="s">
        <v>26</v>
      </c>
      <c r="K1876" s="57"/>
      <c r="L1876" s="31"/>
      <c r="M1876" s="31"/>
      <c r="N1876" s="31"/>
      <c r="O1876" s="31"/>
      <c r="S1876" s="57"/>
      <c r="X1876" s="57"/>
    </row>
    <row r="1877" spans="1:24" hidden="1" x14ac:dyDescent="0.35">
      <c r="A1877">
        <v>1873</v>
      </c>
      <c r="B1877">
        <v>1874</v>
      </c>
      <c r="C1877">
        <v>146.092671687999</v>
      </c>
      <c r="D1877">
        <v>-17.665202406100001</v>
      </c>
      <c r="G1877" s="92"/>
      <c r="I1877">
        <v>8</v>
      </c>
      <c r="J1877" t="s">
        <v>26</v>
      </c>
      <c r="K1877" s="57"/>
      <c r="L1877" s="31"/>
      <c r="M1877" s="31"/>
      <c r="N1877" s="31"/>
      <c r="O1877" s="31"/>
      <c r="S1877" s="57"/>
      <c r="X1877" s="57"/>
    </row>
    <row r="1878" spans="1:24" hidden="1" x14ac:dyDescent="0.35">
      <c r="A1878">
        <v>1874</v>
      </c>
      <c r="B1878">
        <v>1875</v>
      </c>
      <c r="C1878">
        <v>146.092605945</v>
      </c>
      <c r="D1878">
        <v>-17.6652604569</v>
      </c>
      <c r="G1878" s="92"/>
      <c r="I1878">
        <v>8</v>
      </c>
      <c r="J1878" t="s">
        <v>26</v>
      </c>
      <c r="K1878" s="57"/>
      <c r="L1878" s="31"/>
      <c r="M1878" s="31"/>
      <c r="N1878" s="31"/>
      <c r="O1878" s="31"/>
      <c r="S1878" s="57"/>
      <c r="X1878" s="57"/>
    </row>
    <row r="1879" spans="1:24" hidden="1" x14ac:dyDescent="0.35">
      <c r="A1879">
        <v>1875</v>
      </c>
      <c r="B1879">
        <v>1876</v>
      </c>
      <c r="C1879">
        <v>146.092533086</v>
      </c>
      <c r="D1879">
        <v>-17.665310526900001</v>
      </c>
      <c r="G1879" s="92"/>
      <c r="I1879">
        <v>8</v>
      </c>
      <c r="J1879" t="s">
        <v>26</v>
      </c>
      <c r="K1879" s="57"/>
      <c r="L1879" s="31"/>
      <c r="M1879" s="31"/>
      <c r="N1879" s="31"/>
      <c r="O1879" s="31"/>
      <c r="S1879" s="57"/>
      <c r="X1879" s="57"/>
    </row>
    <row r="1880" spans="1:24" hidden="1" x14ac:dyDescent="0.35">
      <c r="A1880">
        <v>1876</v>
      </c>
      <c r="B1880">
        <v>1877</v>
      </c>
      <c r="C1880">
        <v>146.092460227</v>
      </c>
      <c r="D1880">
        <v>-17.665360596900001</v>
      </c>
      <c r="G1880" s="92"/>
      <c r="I1880">
        <v>8</v>
      </c>
      <c r="J1880" t="s">
        <v>26</v>
      </c>
      <c r="K1880" s="57"/>
      <c r="L1880" s="31"/>
      <c r="M1880" s="31"/>
      <c r="N1880" s="31"/>
      <c r="O1880" s="31"/>
      <c r="S1880" s="57"/>
      <c r="X1880" s="57"/>
    </row>
    <row r="1881" spans="1:24" hidden="1" x14ac:dyDescent="0.35">
      <c r="A1881">
        <v>1877</v>
      </c>
      <c r="B1881">
        <v>1878</v>
      </c>
      <c r="C1881">
        <v>146.092385702</v>
      </c>
      <c r="D1881">
        <v>-17.665408151400001</v>
      </c>
      <c r="G1881" s="92"/>
      <c r="I1881">
        <v>8</v>
      </c>
      <c r="J1881" t="s">
        <v>26</v>
      </c>
      <c r="K1881" s="57"/>
      <c r="L1881" s="31"/>
      <c r="M1881" s="31"/>
      <c r="N1881" s="31"/>
      <c r="O1881" s="31"/>
      <c r="S1881" s="57"/>
      <c r="X1881" s="57"/>
    </row>
    <row r="1882" spans="1:24" hidden="1" x14ac:dyDescent="0.35">
      <c r="A1882">
        <v>1878</v>
      </c>
      <c r="B1882">
        <v>1879</v>
      </c>
      <c r="C1882">
        <v>146.09230692700001</v>
      </c>
      <c r="D1882">
        <v>-17.6654492921</v>
      </c>
      <c r="G1882" s="92"/>
      <c r="I1882">
        <v>8</v>
      </c>
      <c r="J1882" t="s">
        <v>26</v>
      </c>
      <c r="K1882" s="57"/>
      <c r="L1882" s="31"/>
      <c r="M1882" s="31"/>
      <c r="N1882" s="31"/>
      <c r="O1882" s="31"/>
      <c r="S1882" s="57"/>
      <c r="X1882" s="57"/>
    </row>
    <row r="1883" spans="1:24" hidden="1" x14ac:dyDescent="0.35">
      <c r="A1883">
        <v>1879</v>
      </c>
      <c r="B1883">
        <v>1880</v>
      </c>
      <c r="C1883">
        <v>146.092228151999</v>
      </c>
      <c r="D1883">
        <v>-17.665490432799899</v>
      </c>
      <c r="G1883" s="92"/>
      <c r="I1883">
        <v>8</v>
      </c>
      <c r="J1883" t="s">
        <v>26</v>
      </c>
      <c r="K1883" s="57"/>
      <c r="L1883" s="31"/>
      <c r="M1883" s="31"/>
      <c r="N1883" s="31"/>
      <c r="O1883" s="31"/>
      <c r="S1883" s="57"/>
      <c r="X1883" s="57"/>
    </row>
    <row r="1884" spans="1:24" hidden="1" x14ac:dyDescent="0.35">
      <c r="A1884">
        <v>1880</v>
      </c>
      <c r="B1884">
        <v>1881</v>
      </c>
      <c r="C1884">
        <v>146.092149376999</v>
      </c>
      <c r="D1884">
        <v>-17.665531573500001</v>
      </c>
      <c r="G1884" s="92"/>
      <c r="I1884">
        <v>8</v>
      </c>
      <c r="J1884" t="s">
        <v>26</v>
      </c>
      <c r="K1884" s="57"/>
      <c r="L1884" s="31"/>
      <c r="M1884" s="31"/>
      <c r="N1884" s="31"/>
      <c r="O1884" s="31"/>
      <c r="S1884" s="57"/>
      <c r="X1884" s="57"/>
    </row>
    <row r="1885" spans="1:24" hidden="1" x14ac:dyDescent="0.35">
      <c r="A1885">
        <v>1881</v>
      </c>
      <c r="B1885">
        <v>1882</v>
      </c>
      <c r="C1885">
        <v>146.09207060200001</v>
      </c>
      <c r="D1885">
        <v>-17.665572714100001</v>
      </c>
      <c r="G1885" s="92"/>
      <c r="I1885">
        <v>8</v>
      </c>
      <c r="J1885" t="s">
        <v>26</v>
      </c>
      <c r="K1885" s="57"/>
      <c r="L1885" s="31"/>
      <c r="M1885" s="31"/>
      <c r="N1885" s="31"/>
      <c r="O1885" s="31"/>
      <c r="S1885" s="57"/>
      <c r="X1885" s="57"/>
    </row>
    <row r="1886" spans="1:24" hidden="1" x14ac:dyDescent="0.35">
      <c r="A1886">
        <v>1882</v>
      </c>
      <c r="B1886">
        <v>1883</v>
      </c>
      <c r="C1886">
        <v>146.092003664</v>
      </c>
      <c r="D1886">
        <v>-17.665628384200001</v>
      </c>
      <c r="G1886" s="92"/>
      <c r="I1886">
        <v>8</v>
      </c>
      <c r="J1886" t="s">
        <v>26</v>
      </c>
      <c r="K1886" s="57"/>
      <c r="L1886" s="31"/>
      <c r="M1886" s="31"/>
      <c r="N1886" s="31"/>
      <c r="O1886" s="31"/>
      <c r="S1886" s="57"/>
      <c r="X1886" s="57"/>
    </row>
    <row r="1887" spans="1:24" hidden="1" x14ac:dyDescent="0.35">
      <c r="A1887">
        <v>1883</v>
      </c>
      <c r="B1887">
        <v>1884</v>
      </c>
      <c r="C1887">
        <v>146.091942278</v>
      </c>
      <c r="D1887">
        <v>-17.665690876900001</v>
      </c>
      <c r="G1887" s="92"/>
      <c r="I1887">
        <v>8</v>
      </c>
      <c r="J1887" t="s">
        <v>26</v>
      </c>
      <c r="K1887" s="57"/>
      <c r="L1887" s="31"/>
      <c r="M1887" s="31"/>
      <c r="N1887" s="31"/>
      <c r="O1887" s="31"/>
      <c r="S1887" s="57"/>
      <c r="X1887" s="57"/>
    </row>
    <row r="1888" spans="1:24" hidden="1" x14ac:dyDescent="0.35">
      <c r="A1888">
        <v>1884</v>
      </c>
      <c r="B1888">
        <v>1885</v>
      </c>
      <c r="C1888">
        <v>146.09188036</v>
      </c>
      <c r="D1888">
        <v>-17.665752891</v>
      </c>
      <c r="G1888" s="92"/>
      <c r="I1888">
        <v>8</v>
      </c>
      <c r="J1888" t="s">
        <v>26</v>
      </c>
      <c r="K1888" s="57"/>
      <c r="L1888" s="31"/>
      <c r="M1888" s="31"/>
      <c r="N1888" s="31"/>
      <c r="O1888" s="31"/>
      <c r="S1888" s="57"/>
      <c r="X1888" s="57"/>
    </row>
    <row r="1889" spans="1:24" hidden="1" x14ac:dyDescent="0.35">
      <c r="A1889">
        <v>1885</v>
      </c>
      <c r="B1889">
        <v>1886</v>
      </c>
      <c r="C1889">
        <v>146.091818442</v>
      </c>
      <c r="D1889">
        <v>-17.6658149051</v>
      </c>
      <c r="G1889" s="92"/>
      <c r="I1889">
        <v>8</v>
      </c>
      <c r="J1889" t="s">
        <v>26</v>
      </c>
      <c r="K1889" s="57"/>
      <c r="L1889" s="31"/>
      <c r="M1889" s="31"/>
      <c r="N1889" s="31"/>
      <c r="O1889" s="31"/>
      <c r="S1889" s="57"/>
      <c r="X1889" s="57"/>
    </row>
    <row r="1890" spans="1:24" hidden="1" x14ac:dyDescent="0.35">
      <c r="A1890">
        <v>1886</v>
      </c>
      <c r="B1890">
        <v>1887</v>
      </c>
      <c r="C1890">
        <v>146.091762361999</v>
      </c>
      <c r="D1890">
        <v>-17.665881691700001</v>
      </c>
      <c r="G1890" s="92"/>
      <c r="I1890">
        <v>8</v>
      </c>
      <c r="J1890" t="s">
        <v>26</v>
      </c>
      <c r="K1890" s="57"/>
      <c r="L1890" s="31"/>
      <c r="M1890" s="31"/>
      <c r="N1890" s="31"/>
      <c r="O1890" s="31"/>
      <c r="S1890" s="57"/>
      <c r="X1890" s="57"/>
    </row>
    <row r="1891" spans="1:24" hidden="1" x14ac:dyDescent="0.35">
      <c r="A1891">
        <v>1887</v>
      </c>
      <c r="B1891">
        <v>1888</v>
      </c>
      <c r="C1891">
        <v>146.091707458999</v>
      </c>
      <c r="D1891">
        <v>-17.6659494395</v>
      </c>
      <c r="G1891" s="92"/>
      <c r="I1891">
        <v>8</v>
      </c>
      <c r="J1891" t="s">
        <v>26</v>
      </c>
      <c r="K1891" s="57"/>
      <c r="L1891" s="31"/>
      <c r="M1891" s="31"/>
      <c r="N1891" s="31"/>
      <c r="O1891" s="31"/>
      <c r="S1891" s="57"/>
      <c r="X1891" s="57"/>
    </row>
    <row r="1892" spans="1:24" hidden="1" x14ac:dyDescent="0.35">
      <c r="A1892">
        <v>1888</v>
      </c>
      <c r="B1892">
        <v>1889</v>
      </c>
      <c r="C1892">
        <v>146.091652554999</v>
      </c>
      <c r="D1892">
        <v>-17.6660171871</v>
      </c>
      <c r="G1892" s="92"/>
      <c r="I1892">
        <v>8</v>
      </c>
      <c r="J1892" t="s">
        <v>26</v>
      </c>
      <c r="K1892" s="57"/>
      <c r="L1892" s="31"/>
      <c r="M1892" s="31"/>
      <c r="N1892" s="31"/>
      <c r="O1892" s="31"/>
      <c r="S1892" s="57"/>
      <c r="X1892" s="57"/>
    </row>
    <row r="1893" spans="1:24" hidden="1" x14ac:dyDescent="0.35">
      <c r="A1893">
        <v>1889</v>
      </c>
      <c r="B1893">
        <v>1890</v>
      </c>
      <c r="C1893">
        <v>146.091597651</v>
      </c>
      <c r="D1893">
        <v>-17.666084934600001</v>
      </c>
      <c r="G1893" s="92"/>
      <c r="I1893">
        <v>8</v>
      </c>
      <c r="J1893" t="s">
        <v>26</v>
      </c>
      <c r="K1893" s="57"/>
      <c r="L1893" s="31"/>
      <c r="M1893" s="31"/>
      <c r="N1893" s="31"/>
      <c r="O1893" s="31"/>
      <c r="S1893" s="57"/>
      <c r="X1893" s="57"/>
    </row>
    <row r="1894" spans="1:24" hidden="1" x14ac:dyDescent="0.35">
      <c r="A1894">
        <v>1890</v>
      </c>
      <c r="B1894">
        <v>1891</v>
      </c>
      <c r="C1894">
        <v>146.091546566999</v>
      </c>
      <c r="D1894">
        <v>-17.6661553008</v>
      </c>
      <c r="G1894" s="92"/>
      <c r="I1894">
        <v>8</v>
      </c>
      <c r="J1894" t="s">
        <v>26</v>
      </c>
      <c r="K1894" s="57"/>
      <c r="L1894" s="31"/>
      <c r="M1894" s="31"/>
      <c r="N1894" s="31"/>
      <c r="O1894" s="31"/>
      <c r="S1894" s="57"/>
      <c r="X1894" s="57"/>
    </row>
    <row r="1895" spans="1:24" hidden="1" x14ac:dyDescent="0.35">
      <c r="A1895">
        <v>1891</v>
      </c>
      <c r="B1895">
        <v>1892</v>
      </c>
      <c r="C1895">
        <v>146.09149658800001</v>
      </c>
      <c r="D1895">
        <v>-17.6662264257</v>
      </c>
      <c r="G1895" s="92"/>
      <c r="I1895">
        <v>8</v>
      </c>
      <c r="J1895" t="s">
        <v>26</v>
      </c>
      <c r="K1895" s="57"/>
      <c r="L1895" s="31"/>
      <c r="M1895" s="31"/>
      <c r="N1895" s="31"/>
      <c r="O1895" s="31"/>
      <c r="S1895" s="57"/>
      <c r="X1895" s="57"/>
    </row>
    <row r="1896" spans="1:24" hidden="1" x14ac:dyDescent="0.35">
      <c r="A1896">
        <v>1892</v>
      </c>
      <c r="B1896">
        <v>1893</v>
      </c>
      <c r="C1896">
        <v>146.091446609999</v>
      </c>
      <c r="D1896">
        <v>-17.6662975506</v>
      </c>
      <c r="G1896" s="92"/>
      <c r="I1896">
        <v>8</v>
      </c>
      <c r="J1896" t="s">
        <v>26</v>
      </c>
      <c r="K1896" s="57"/>
      <c r="L1896" s="31"/>
      <c r="M1896" s="31"/>
      <c r="N1896" s="31"/>
      <c r="O1896" s="31"/>
      <c r="S1896" s="57"/>
      <c r="X1896" s="57"/>
    </row>
    <row r="1897" spans="1:24" hidden="1" x14ac:dyDescent="0.35">
      <c r="A1897">
        <v>1893</v>
      </c>
      <c r="B1897">
        <v>1894</v>
      </c>
      <c r="C1897">
        <v>146.091396631999</v>
      </c>
      <c r="D1897">
        <v>-17.666368675400001</v>
      </c>
      <c r="G1897" s="92"/>
      <c r="I1897">
        <v>8</v>
      </c>
      <c r="J1897" t="s">
        <v>26</v>
      </c>
      <c r="K1897" s="57"/>
      <c r="L1897" s="31"/>
      <c r="M1897" s="31"/>
      <c r="N1897" s="31"/>
      <c r="O1897" s="31"/>
      <c r="S1897" s="57"/>
      <c r="X1897" s="57"/>
    </row>
    <row r="1898" spans="1:24" hidden="1" x14ac:dyDescent="0.35">
      <c r="A1898">
        <v>1894</v>
      </c>
      <c r="B1898">
        <v>1895</v>
      </c>
      <c r="C1898">
        <v>146.091346563</v>
      </c>
      <c r="D1898">
        <v>-17.6664397370999</v>
      </c>
      <c r="G1898" s="92"/>
      <c r="I1898">
        <v>8</v>
      </c>
      <c r="J1898" t="s">
        <v>26</v>
      </c>
      <c r="K1898" s="57"/>
      <c r="L1898" s="31"/>
      <c r="M1898" s="31"/>
      <c r="N1898" s="31"/>
      <c r="O1898" s="31"/>
      <c r="S1898" s="57"/>
      <c r="X1898" s="57"/>
    </row>
    <row r="1899" spans="1:24" hidden="1" x14ac:dyDescent="0.35">
      <c r="A1899">
        <v>1895</v>
      </c>
      <c r="B1899">
        <v>1896</v>
      </c>
      <c r="C1899">
        <v>146.09129116099899</v>
      </c>
      <c r="D1899">
        <v>-17.6665071155</v>
      </c>
      <c r="G1899" s="92"/>
      <c r="I1899">
        <v>8</v>
      </c>
      <c r="J1899" t="s">
        <v>26</v>
      </c>
      <c r="K1899" s="57"/>
      <c r="L1899" s="31"/>
      <c r="M1899" s="31"/>
      <c r="N1899" s="31"/>
      <c r="O1899" s="31"/>
      <c r="S1899" s="57"/>
      <c r="X1899" s="57"/>
    </row>
    <row r="1900" spans="1:24" hidden="1" x14ac:dyDescent="0.35">
      <c r="A1900">
        <v>1896</v>
      </c>
      <c r="B1900">
        <v>1897</v>
      </c>
      <c r="C1900">
        <v>146.09123575999899</v>
      </c>
      <c r="D1900">
        <v>-17.666574493799899</v>
      </c>
      <c r="G1900" s="92"/>
      <c r="I1900">
        <v>8</v>
      </c>
      <c r="J1900" t="s">
        <v>26</v>
      </c>
      <c r="K1900" s="57"/>
      <c r="L1900" s="31"/>
      <c r="M1900" s="31"/>
      <c r="N1900" s="31"/>
      <c r="O1900" s="31"/>
      <c r="S1900" s="57"/>
      <c r="X1900" s="57"/>
    </row>
    <row r="1901" spans="1:24" hidden="1" x14ac:dyDescent="0.35">
      <c r="A1901">
        <v>1897</v>
      </c>
      <c r="B1901">
        <v>1898</v>
      </c>
      <c r="C1901">
        <v>146.091180358</v>
      </c>
      <c r="D1901">
        <v>-17.6666418722</v>
      </c>
      <c r="G1901" s="92"/>
      <c r="I1901">
        <v>8</v>
      </c>
      <c r="J1901" t="s">
        <v>26</v>
      </c>
      <c r="K1901" s="57"/>
      <c r="L1901" s="31"/>
      <c r="M1901" s="31"/>
      <c r="N1901" s="31"/>
      <c r="O1901" s="31"/>
      <c r="S1901" s="57"/>
      <c r="X1901" s="57"/>
    </row>
    <row r="1902" spans="1:24" hidden="1" x14ac:dyDescent="0.35">
      <c r="A1902">
        <v>1898</v>
      </c>
      <c r="B1902">
        <v>1899</v>
      </c>
      <c r="C1902">
        <v>146.09112495599899</v>
      </c>
      <c r="D1902">
        <v>-17.6667092504</v>
      </c>
      <c r="G1902" s="92"/>
      <c r="I1902">
        <v>8</v>
      </c>
      <c r="J1902" t="s">
        <v>26</v>
      </c>
      <c r="K1902" s="57"/>
      <c r="L1902" s="31"/>
      <c r="M1902" s="31"/>
      <c r="N1902" s="31"/>
      <c r="O1902" s="31"/>
      <c r="S1902" s="57"/>
      <c r="X1902" s="57"/>
    </row>
    <row r="1903" spans="1:24" hidden="1" x14ac:dyDescent="0.35">
      <c r="A1903">
        <v>1899</v>
      </c>
      <c r="B1903">
        <v>1900</v>
      </c>
      <c r="C1903">
        <v>146.091059973</v>
      </c>
      <c r="D1903">
        <v>-17.6667678407</v>
      </c>
      <c r="G1903" s="92"/>
      <c r="I1903">
        <v>8</v>
      </c>
      <c r="J1903" t="s">
        <v>26</v>
      </c>
      <c r="K1903" s="57"/>
      <c r="L1903" s="31"/>
      <c r="M1903" s="31"/>
      <c r="N1903" s="31"/>
      <c r="O1903" s="31"/>
      <c r="S1903" s="57"/>
      <c r="X1903" s="57"/>
    </row>
    <row r="1904" spans="1:24" hidden="1" x14ac:dyDescent="0.35">
      <c r="A1904">
        <v>1900</v>
      </c>
      <c r="B1904">
        <v>1901</v>
      </c>
      <c r="C1904">
        <v>146.090991422</v>
      </c>
      <c r="D1904">
        <v>-17.6668231582</v>
      </c>
      <c r="G1904" s="92"/>
      <c r="I1904">
        <v>8</v>
      </c>
      <c r="J1904" t="s">
        <v>26</v>
      </c>
      <c r="K1904" s="57"/>
      <c r="L1904" s="31"/>
      <c r="M1904" s="31"/>
      <c r="N1904" s="31"/>
      <c r="O1904" s="31"/>
      <c r="S1904" s="57"/>
      <c r="X1904" s="57"/>
    </row>
    <row r="1905" spans="1:24" hidden="1" x14ac:dyDescent="0.35">
      <c r="A1905">
        <v>1901</v>
      </c>
      <c r="B1905">
        <v>1902</v>
      </c>
      <c r="C1905">
        <v>146.090922871</v>
      </c>
      <c r="D1905">
        <v>-17.6668784754999</v>
      </c>
      <c r="G1905" s="92"/>
      <c r="I1905">
        <v>8</v>
      </c>
      <c r="J1905" t="s">
        <v>26</v>
      </c>
      <c r="K1905" s="57"/>
      <c r="L1905" s="31"/>
      <c r="M1905" s="31"/>
      <c r="N1905" s="31"/>
      <c r="O1905" s="31"/>
      <c r="S1905" s="57"/>
      <c r="X1905" s="57"/>
    </row>
    <row r="1906" spans="1:24" hidden="1" x14ac:dyDescent="0.35">
      <c r="A1906">
        <v>1902</v>
      </c>
      <c r="B1906">
        <v>1903</v>
      </c>
      <c r="C1906">
        <v>146.09085432000001</v>
      </c>
      <c r="D1906">
        <v>-17.666933792799899</v>
      </c>
      <c r="G1906" s="92"/>
      <c r="I1906">
        <v>8</v>
      </c>
      <c r="J1906" t="s">
        <v>26</v>
      </c>
      <c r="K1906" s="57"/>
      <c r="L1906" s="31"/>
      <c r="M1906" s="31"/>
      <c r="N1906" s="31"/>
      <c r="O1906" s="31"/>
      <c r="S1906" s="57"/>
      <c r="X1906" s="57"/>
    </row>
    <row r="1907" spans="1:24" hidden="1" x14ac:dyDescent="0.35">
      <c r="A1907">
        <v>1903</v>
      </c>
      <c r="B1907">
        <v>1904</v>
      </c>
      <c r="C1907">
        <v>146.09078576799899</v>
      </c>
      <c r="D1907">
        <v>-17.6669891099999</v>
      </c>
      <c r="G1907" s="92"/>
      <c r="I1907">
        <v>8</v>
      </c>
      <c r="J1907" t="s">
        <v>26</v>
      </c>
      <c r="K1907" s="57"/>
      <c r="L1907" s="31"/>
      <c r="M1907" s="31"/>
      <c r="N1907" s="31"/>
      <c r="O1907" s="31"/>
      <c r="S1907" s="57"/>
      <c r="X1907" s="57"/>
    </row>
    <row r="1908" spans="1:24" hidden="1" x14ac:dyDescent="0.35">
      <c r="A1908">
        <v>1904</v>
      </c>
      <c r="B1908">
        <v>1905</v>
      </c>
      <c r="C1908">
        <v>146.090717216999</v>
      </c>
      <c r="D1908">
        <v>-17.6670444272</v>
      </c>
      <c r="G1908" s="92"/>
      <c r="I1908">
        <v>8</v>
      </c>
      <c r="J1908" t="s">
        <v>26</v>
      </c>
      <c r="K1908" s="57"/>
      <c r="L1908" s="31"/>
      <c r="M1908" s="31"/>
      <c r="N1908" s="31"/>
      <c r="O1908" s="31"/>
      <c r="S1908" s="57"/>
      <c r="X1908" s="57"/>
    </row>
    <row r="1909" spans="1:24" hidden="1" x14ac:dyDescent="0.35">
      <c r="A1909">
        <v>1905</v>
      </c>
      <c r="B1909">
        <v>1906</v>
      </c>
      <c r="C1909">
        <v>146.090647899999</v>
      </c>
      <c r="D1909">
        <v>-17.667098832499899</v>
      </c>
      <c r="G1909" s="92"/>
      <c r="I1909">
        <v>8</v>
      </c>
      <c r="J1909" t="s">
        <v>26</v>
      </c>
      <c r="K1909" s="57"/>
      <c r="L1909" s="31"/>
      <c r="M1909" s="31"/>
      <c r="N1909" s="31"/>
      <c r="O1909" s="31"/>
      <c r="S1909" s="57"/>
      <c r="X1909" s="57"/>
    </row>
    <row r="1910" spans="1:24" hidden="1" x14ac:dyDescent="0.35">
      <c r="A1910">
        <v>1906</v>
      </c>
      <c r="B1910">
        <v>1907</v>
      </c>
      <c r="C1910">
        <v>146.09057621100001</v>
      </c>
      <c r="D1910">
        <v>-17.667150411800002</v>
      </c>
      <c r="G1910" s="92"/>
      <c r="I1910">
        <v>8</v>
      </c>
      <c r="J1910" t="s">
        <v>26</v>
      </c>
      <c r="K1910" s="57"/>
      <c r="L1910" s="31"/>
      <c r="M1910" s="31"/>
      <c r="N1910" s="31"/>
      <c r="O1910" s="31"/>
      <c r="S1910" s="57"/>
      <c r="X1910" s="57"/>
    </row>
    <row r="1911" spans="1:24" hidden="1" x14ac:dyDescent="0.35">
      <c r="A1911">
        <v>1907</v>
      </c>
      <c r="B1911">
        <v>1908</v>
      </c>
      <c r="C1911">
        <v>146.09050452100001</v>
      </c>
      <c r="D1911">
        <v>-17.667201991100001</v>
      </c>
      <c r="G1911" s="92"/>
      <c r="I1911">
        <v>8</v>
      </c>
      <c r="J1911" t="s">
        <v>26</v>
      </c>
      <c r="K1911" s="57"/>
      <c r="L1911" s="31"/>
      <c r="M1911" s="31"/>
      <c r="N1911" s="31"/>
      <c r="O1911" s="31"/>
      <c r="S1911" s="57"/>
      <c r="X1911" s="57"/>
    </row>
    <row r="1912" spans="1:24" hidden="1" x14ac:dyDescent="0.35">
      <c r="A1912">
        <v>1908</v>
      </c>
      <c r="B1912">
        <v>1909</v>
      </c>
      <c r="C1912">
        <v>146.090432832</v>
      </c>
      <c r="D1912">
        <v>-17.6672535704</v>
      </c>
      <c r="G1912" s="92"/>
      <c r="I1912">
        <v>8</v>
      </c>
      <c r="J1912" t="s">
        <v>26</v>
      </c>
      <c r="K1912" s="57"/>
      <c r="L1912" s="31"/>
      <c r="M1912" s="31"/>
      <c r="N1912" s="31"/>
      <c r="O1912" s="31"/>
      <c r="S1912" s="57"/>
      <c r="X1912" s="57"/>
    </row>
    <row r="1913" spans="1:24" hidden="1" x14ac:dyDescent="0.35">
      <c r="A1913">
        <v>1909</v>
      </c>
      <c r="B1913">
        <v>1910</v>
      </c>
      <c r="C1913">
        <v>146.09036114200001</v>
      </c>
      <c r="D1913">
        <v>-17.667305149699899</v>
      </c>
      <c r="G1913" s="92"/>
      <c r="I1913">
        <v>8</v>
      </c>
      <c r="J1913" t="s">
        <v>26</v>
      </c>
      <c r="K1913" s="57"/>
      <c r="L1913" s="31"/>
      <c r="M1913" s="31"/>
      <c r="N1913" s="31"/>
      <c r="O1913" s="31"/>
      <c r="S1913" s="57"/>
      <c r="X1913" s="57"/>
    </row>
    <row r="1914" spans="1:24" hidden="1" x14ac:dyDescent="0.35">
      <c r="A1914">
        <v>1910</v>
      </c>
      <c r="B1914">
        <v>1911</v>
      </c>
      <c r="C1914">
        <v>146.090289452999</v>
      </c>
      <c r="D1914">
        <v>-17.6673567289</v>
      </c>
      <c r="G1914" s="92"/>
      <c r="I1914">
        <v>8</v>
      </c>
      <c r="J1914" t="s">
        <v>26</v>
      </c>
      <c r="K1914" s="57"/>
      <c r="L1914" s="31"/>
      <c r="M1914" s="31"/>
      <c r="N1914" s="31"/>
      <c r="O1914" s="31"/>
      <c r="S1914" s="57"/>
      <c r="X1914" s="57"/>
    </row>
    <row r="1915" spans="1:24" hidden="1" x14ac:dyDescent="0.35">
      <c r="A1915">
        <v>1911</v>
      </c>
      <c r="B1915">
        <v>1912</v>
      </c>
      <c r="C1915">
        <v>146.090217762999</v>
      </c>
      <c r="D1915">
        <v>-17.667408308199899</v>
      </c>
      <c r="G1915" s="92"/>
      <c r="I1915">
        <v>8</v>
      </c>
      <c r="J1915" t="s">
        <v>26</v>
      </c>
      <c r="K1915" s="57"/>
      <c r="L1915" s="31"/>
      <c r="M1915" s="31"/>
      <c r="N1915" s="31"/>
      <c r="O1915" s="31"/>
      <c r="S1915" s="57"/>
      <c r="X1915" s="57"/>
    </row>
    <row r="1916" spans="1:24" hidden="1" x14ac:dyDescent="0.35">
      <c r="A1916">
        <v>1912</v>
      </c>
      <c r="B1916">
        <v>1913</v>
      </c>
      <c r="C1916">
        <v>146.090139504999</v>
      </c>
      <c r="D1916">
        <v>-17.667450021400001</v>
      </c>
      <c r="G1916" s="92"/>
      <c r="I1916">
        <v>8</v>
      </c>
      <c r="J1916" t="s">
        <v>26</v>
      </c>
      <c r="K1916" s="57"/>
      <c r="L1916" s="31"/>
      <c r="M1916" s="31"/>
      <c r="N1916" s="31"/>
      <c r="O1916" s="31"/>
      <c r="S1916" s="57"/>
      <c r="X1916" s="57"/>
    </row>
    <row r="1917" spans="1:24" hidden="1" x14ac:dyDescent="0.35">
      <c r="A1917">
        <v>1913</v>
      </c>
      <c r="B1917">
        <v>1914</v>
      </c>
      <c r="C1917">
        <v>146.09005998800001</v>
      </c>
      <c r="D1917">
        <v>-17.6674898451</v>
      </c>
      <c r="G1917" s="92"/>
      <c r="I1917">
        <v>8</v>
      </c>
      <c r="J1917" t="s">
        <v>26</v>
      </c>
      <c r="K1917" s="57"/>
      <c r="L1917" s="31"/>
      <c r="M1917" s="31"/>
      <c r="N1917" s="31"/>
      <c r="O1917" s="31"/>
      <c r="S1917" s="57"/>
      <c r="X1917" s="57"/>
    </row>
    <row r="1918" spans="1:24" hidden="1" x14ac:dyDescent="0.35">
      <c r="A1918">
        <v>1914</v>
      </c>
      <c r="B1918">
        <v>1915</v>
      </c>
      <c r="C1918">
        <v>146.08998047200001</v>
      </c>
      <c r="D1918">
        <v>-17.667529668899899</v>
      </c>
      <c r="G1918" s="92"/>
      <c r="I1918">
        <v>8</v>
      </c>
      <c r="J1918" t="s">
        <v>26</v>
      </c>
      <c r="K1918" s="57"/>
      <c r="L1918" s="31"/>
      <c r="M1918" s="31"/>
      <c r="N1918" s="31"/>
      <c r="O1918" s="31"/>
      <c r="S1918" s="57"/>
      <c r="X1918" s="57"/>
    </row>
    <row r="1919" spans="1:24" hidden="1" x14ac:dyDescent="0.35">
      <c r="A1919">
        <v>1915</v>
      </c>
      <c r="B1919">
        <v>1916</v>
      </c>
      <c r="C1919">
        <v>146.089900954999</v>
      </c>
      <c r="D1919">
        <v>-17.667569492599899</v>
      </c>
      <c r="G1919" s="92"/>
      <c r="I1919">
        <v>8</v>
      </c>
      <c r="J1919" t="s">
        <v>26</v>
      </c>
      <c r="K1919" s="57"/>
      <c r="L1919" s="31"/>
      <c r="M1919" s="31"/>
      <c r="N1919" s="31"/>
      <c r="O1919" s="31"/>
      <c r="S1919" s="57"/>
      <c r="X1919" s="57"/>
    </row>
    <row r="1920" spans="1:24" hidden="1" x14ac:dyDescent="0.35">
      <c r="A1920">
        <v>1916</v>
      </c>
      <c r="B1920">
        <v>1917</v>
      </c>
      <c r="C1920">
        <v>146.089821438999</v>
      </c>
      <c r="D1920">
        <v>-17.667609316299899</v>
      </c>
      <c r="G1920" s="92"/>
      <c r="I1920">
        <v>8</v>
      </c>
      <c r="J1920" t="s">
        <v>26</v>
      </c>
      <c r="K1920" s="57"/>
      <c r="L1920" s="31"/>
      <c r="M1920" s="31"/>
      <c r="N1920" s="31"/>
      <c r="O1920" s="31"/>
      <c r="S1920" s="57"/>
      <c r="X1920" s="57"/>
    </row>
    <row r="1921" spans="1:24" hidden="1" x14ac:dyDescent="0.35">
      <c r="A1921">
        <v>1917</v>
      </c>
      <c r="B1921">
        <v>1918</v>
      </c>
      <c r="C1921">
        <v>146.089741922</v>
      </c>
      <c r="D1921">
        <v>-17.667649140000002</v>
      </c>
      <c r="G1921" s="92"/>
      <c r="I1921">
        <v>8</v>
      </c>
      <c r="J1921" t="s">
        <v>26</v>
      </c>
      <c r="K1921" s="57"/>
      <c r="L1921" s="31"/>
      <c r="M1921" s="31"/>
      <c r="N1921" s="31"/>
      <c r="O1921" s="31"/>
      <c r="S1921" s="57"/>
      <c r="X1921" s="57"/>
    </row>
    <row r="1922" spans="1:24" hidden="1" x14ac:dyDescent="0.35">
      <c r="A1922">
        <v>1918</v>
      </c>
      <c r="B1922">
        <v>1919</v>
      </c>
      <c r="C1922">
        <v>146.08966240500001</v>
      </c>
      <c r="D1922">
        <v>-17.667688963700002</v>
      </c>
      <c r="G1922" s="92"/>
      <c r="I1922">
        <v>8</v>
      </c>
      <c r="J1922" t="s">
        <v>26</v>
      </c>
      <c r="K1922" s="57"/>
      <c r="L1922" s="31"/>
      <c r="M1922" s="31"/>
      <c r="N1922" s="31"/>
      <c r="O1922" s="31"/>
      <c r="S1922" s="57"/>
      <c r="X1922" s="57"/>
    </row>
    <row r="1923" spans="1:24" hidden="1" x14ac:dyDescent="0.35">
      <c r="A1923">
        <v>1919</v>
      </c>
      <c r="B1923">
        <v>1920</v>
      </c>
      <c r="C1923">
        <v>146.08958288900001</v>
      </c>
      <c r="D1923">
        <v>-17.667728787400002</v>
      </c>
      <c r="G1923" s="92"/>
      <c r="I1923">
        <v>8</v>
      </c>
      <c r="J1923" t="s">
        <v>26</v>
      </c>
      <c r="K1923" s="57"/>
      <c r="L1923" s="31"/>
      <c r="M1923" s="31"/>
      <c r="N1923" s="31"/>
      <c r="O1923" s="31"/>
      <c r="S1923" s="57"/>
      <c r="X1923" s="57"/>
    </row>
    <row r="1924" spans="1:24" hidden="1" x14ac:dyDescent="0.35">
      <c r="A1924">
        <v>1920</v>
      </c>
      <c r="B1924">
        <v>1921</v>
      </c>
      <c r="C1924">
        <v>146.089503371999</v>
      </c>
      <c r="D1924">
        <v>-17.667768611</v>
      </c>
      <c r="G1924" s="92"/>
      <c r="I1924">
        <v>8</v>
      </c>
      <c r="J1924" t="s">
        <v>26</v>
      </c>
      <c r="K1924" s="57"/>
      <c r="L1924" s="31"/>
      <c r="M1924" s="31"/>
      <c r="N1924" s="31"/>
      <c r="O1924" s="31"/>
      <c r="S1924" s="57"/>
      <c r="X1924" s="57"/>
    </row>
    <row r="1925" spans="1:24" hidden="1" x14ac:dyDescent="0.35">
      <c r="A1925">
        <v>1921</v>
      </c>
      <c r="B1925">
        <v>1922</v>
      </c>
      <c r="C1925">
        <v>146.089423855999</v>
      </c>
      <c r="D1925">
        <v>-17.6678084347</v>
      </c>
      <c r="G1925" s="92"/>
      <c r="I1925">
        <v>8</v>
      </c>
      <c r="J1925" t="s">
        <v>26</v>
      </c>
      <c r="K1925" s="57"/>
      <c r="L1925" s="31"/>
      <c r="M1925" s="31"/>
      <c r="N1925" s="31"/>
      <c r="O1925" s="31"/>
      <c r="S1925" s="57"/>
      <c r="X1925" s="57"/>
    </row>
    <row r="1926" spans="1:24" hidden="1" x14ac:dyDescent="0.35">
      <c r="A1926">
        <v>1922</v>
      </c>
      <c r="B1926">
        <v>1923</v>
      </c>
      <c r="C1926">
        <v>146.08934433900001</v>
      </c>
      <c r="D1926">
        <v>-17.667848258300001</v>
      </c>
      <c r="G1926" s="92"/>
      <c r="I1926">
        <v>8</v>
      </c>
      <c r="J1926" t="s">
        <v>26</v>
      </c>
      <c r="K1926" s="57"/>
      <c r="L1926" s="31"/>
      <c r="M1926" s="31"/>
      <c r="N1926" s="31"/>
      <c r="O1926" s="31"/>
      <c r="S1926" s="57"/>
      <c r="X1926" s="57"/>
    </row>
    <row r="1927" spans="1:24" hidden="1" x14ac:dyDescent="0.35">
      <c r="A1927">
        <v>1923</v>
      </c>
      <c r="B1927">
        <v>1924</v>
      </c>
      <c r="C1927">
        <v>146.08926482300001</v>
      </c>
      <c r="D1927">
        <v>-17.667888082000001</v>
      </c>
      <c r="G1927" s="92"/>
      <c r="I1927">
        <v>8</v>
      </c>
      <c r="J1927" t="s">
        <v>26</v>
      </c>
      <c r="K1927" s="57"/>
      <c r="L1927" s="31"/>
      <c r="M1927" s="31"/>
      <c r="N1927" s="31"/>
      <c r="O1927" s="31"/>
      <c r="S1927" s="57"/>
      <c r="X1927" s="57"/>
    </row>
    <row r="1928" spans="1:24" hidden="1" x14ac:dyDescent="0.35">
      <c r="A1928">
        <v>1924</v>
      </c>
      <c r="B1928">
        <v>1925</v>
      </c>
      <c r="C1928">
        <v>146.089185305999</v>
      </c>
      <c r="D1928">
        <v>-17.6679279055999</v>
      </c>
      <c r="G1928" s="92"/>
      <c r="I1928">
        <v>8</v>
      </c>
      <c r="J1928" t="s">
        <v>26</v>
      </c>
      <c r="K1928" s="57"/>
      <c r="L1928" s="31"/>
      <c r="M1928" s="31"/>
      <c r="N1928" s="31"/>
      <c r="O1928" s="31"/>
      <c r="S1928" s="57"/>
      <c r="X1928" s="57"/>
    </row>
    <row r="1929" spans="1:24" hidden="1" x14ac:dyDescent="0.35">
      <c r="A1929">
        <v>1925</v>
      </c>
      <c r="B1929">
        <v>1926</v>
      </c>
      <c r="C1929">
        <v>146.08910417499899</v>
      </c>
      <c r="D1929">
        <v>-17.667964615300001</v>
      </c>
      <c r="G1929" s="92"/>
      <c r="I1929">
        <v>8</v>
      </c>
      <c r="J1929" t="s">
        <v>26</v>
      </c>
      <c r="K1929" s="57"/>
      <c r="L1929" s="31"/>
      <c r="M1929" s="31"/>
      <c r="N1929" s="31"/>
      <c r="O1929" s="31"/>
      <c r="S1929" s="57"/>
      <c r="X1929" s="57"/>
    </row>
    <row r="1930" spans="1:24" hidden="1" x14ac:dyDescent="0.35">
      <c r="A1930">
        <v>1926</v>
      </c>
      <c r="B1930">
        <v>1927</v>
      </c>
      <c r="C1930">
        <v>146.08902267600001</v>
      </c>
      <c r="D1930">
        <v>-17.668000617600001</v>
      </c>
      <c r="G1930" s="92"/>
      <c r="I1930">
        <v>8</v>
      </c>
      <c r="J1930" t="s">
        <v>26</v>
      </c>
      <c r="K1930" s="57"/>
      <c r="L1930" s="31"/>
      <c r="M1930" s="31"/>
      <c r="N1930" s="31"/>
      <c r="O1930" s="31"/>
      <c r="S1930" s="57"/>
      <c r="X1930" s="57"/>
    </row>
    <row r="1931" spans="1:24" hidden="1" x14ac:dyDescent="0.35">
      <c r="A1931">
        <v>1927</v>
      </c>
      <c r="B1931">
        <v>1928</v>
      </c>
      <c r="C1931">
        <v>146.08894117700001</v>
      </c>
      <c r="D1931">
        <v>-17.668036619999899</v>
      </c>
      <c r="G1931" s="92"/>
      <c r="I1931">
        <v>8</v>
      </c>
      <c r="J1931" t="s">
        <v>26</v>
      </c>
      <c r="K1931" s="57"/>
      <c r="L1931" s="31"/>
      <c r="M1931" s="31"/>
      <c r="N1931" s="31"/>
      <c r="O1931" s="31"/>
      <c r="S1931" s="57"/>
      <c r="X1931" s="57"/>
    </row>
    <row r="1932" spans="1:24" hidden="1" x14ac:dyDescent="0.35">
      <c r="A1932">
        <v>1928</v>
      </c>
      <c r="B1932">
        <v>1929</v>
      </c>
      <c r="C1932">
        <v>146.088859678999</v>
      </c>
      <c r="D1932">
        <v>-17.6680726224</v>
      </c>
      <c r="G1932" s="92"/>
      <c r="I1932">
        <v>8</v>
      </c>
      <c r="J1932" t="s">
        <v>26</v>
      </c>
      <c r="K1932" s="57"/>
      <c r="L1932" s="31"/>
      <c r="M1932" s="31"/>
      <c r="N1932" s="31"/>
      <c r="O1932" s="31"/>
      <c r="S1932" s="57"/>
      <c r="X1932" s="57"/>
    </row>
    <row r="1933" spans="1:24" hidden="1" x14ac:dyDescent="0.35">
      <c r="A1933">
        <v>1929</v>
      </c>
      <c r="B1933">
        <v>1930</v>
      </c>
      <c r="C1933">
        <v>146.088776590999</v>
      </c>
      <c r="D1933">
        <v>-17.668105076500002</v>
      </c>
      <c r="G1933" s="92"/>
      <c r="I1933">
        <v>8</v>
      </c>
      <c r="J1933" t="s">
        <v>26</v>
      </c>
      <c r="K1933" s="57"/>
      <c r="L1933" s="31"/>
      <c r="M1933" s="31"/>
      <c r="N1933" s="31"/>
      <c r="O1933" s="31"/>
      <c r="S1933" s="57"/>
      <c r="X1933" s="57"/>
    </row>
    <row r="1934" spans="1:24" hidden="1" x14ac:dyDescent="0.35">
      <c r="A1934">
        <v>1930</v>
      </c>
      <c r="B1934">
        <v>1931</v>
      </c>
      <c r="C1934">
        <v>146.08869292</v>
      </c>
      <c r="D1934">
        <v>-17.6681362287</v>
      </c>
      <c r="G1934" s="92"/>
      <c r="I1934">
        <v>8</v>
      </c>
      <c r="J1934" t="s">
        <v>26</v>
      </c>
      <c r="K1934" s="57"/>
      <c r="L1934" s="31"/>
      <c r="M1934" s="31"/>
      <c r="N1934" s="31"/>
      <c r="O1934" s="31"/>
      <c r="S1934" s="57"/>
      <c r="X1934" s="57"/>
    </row>
    <row r="1935" spans="1:24" hidden="1" x14ac:dyDescent="0.35">
      <c r="A1935">
        <v>1931</v>
      </c>
      <c r="B1935">
        <v>1932</v>
      </c>
      <c r="C1935">
        <v>146.088609249999</v>
      </c>
      <c r="D1935">
        <v>-17.668167380900002</v>
      </c>
      <c r="G1935" s="92"/>
      <c r="I1935">
        <v>8</v>
      </c>
      <c r="J1935" t="s">
        <v>26</v>
      </c>
      <c r="K1935" s="57"/>
      <c r="L1935" s="31"/>
      <c r="M1935" s="31"/>
      <c r="N1935" s="31"/>
      <c r="O1935" s="31"/>
      <c r="S1935" s="57"/>
      <c r="X1935" s="57"/>
    </row>
    <row r="1936" spans="1:24" hidden="1" x14ac:dyDescent="0.35">
      <c r="A1936">
        <v>1932</v>
      </c>
      <c r="B1936">
        <v>1933</v>
      </c>
      <c r="C1936">
        <v>146.088521130999</v>
      </c>
      <c r="D1936">
        <v>-17.668181868200001</v>
      </c>
      <c r="G1936" s="92"/>
      <c r="I1936">
        <v>8</v>
      </c>
      <c r="J1936" t="s">
        <v>26</v>
      </c>
      <c r="K1936" s="57"/>
      <c r="L1936" s="31"/>
      <c r="M1936" s="31"/>
      <c r="N1936" s="31"/>
      <c r="O1936" s="31"/>
      <c r="S1936" s="57"/>
      <c r="X1936" s="57"/>
    </row>
    <row r="1937" spans="1:24" hidden="1" x14ac:dyDescent="0.35">
      <c r="A1937">
        <v>1933</v>
      </c>
      <c r="B1937">
        <v>1934</v>
      </c>
      <c r="C1937">
        <v>146.088432006999</v>
      </c>
      <c r="D1937">
        <v>-17.668192592600001</v>
      </c>
      <c r="G1937" s="92"/>
      <c r="I1937">
        <v>8</v>
      </c>
      <c r="J1937" t="s">
        <v>26</v>
      </c>
      <c r="K1937" s="57"/>
      <c r="L1937" s="31"/>
      <c r="M1937" s="31"/>
      <c r="N1937" s="31"/>
      <c r="O1937" s="31"/>
      <c r="S1937" s="57"/>
      <c r="X1937" s="57"/>
    </row>
    <row r="1938" spans="1:24" hidden="1" x14ac:dyDescent="0.35">
      <c r="A1938">
        <v>1934</v>
      </c>
      <c r="B1938">
        <v>1935</v>
      </c>
      <c r="C1938">
        <v>146.08834263</v>
      </c>
      <c r="D1938">
        <v>-17.668185939600001</v>
      </c>
      <c r="G1938" s="92"/>
      <c r="I1938">
        <v>8</v>
      </c>
      <c r="J1938" t="s">
        <v>26</v>
      </c>
      <c r="K1938" s="57"/>
      <c r="L1938" s="31"/>
      <c r="M1938" s="31"/>
      <c r="N1938" s="31"/>
      <c r="O1938" s="31"/>
      <c r="S1938" s="57"/>
      <c r="X1938" s="57"/>
    </row>
    <row r="1939" spans="1:24" hidden="1" x14ac:dyDescent="0.35">
      <c r="A1939">
        <v>1935</v>
      </c>
      <c r="B1939">
        <v>1936</v>
      </c>
      <c r="C1939">
        <v>146.08825322800001</v>
      </c>
      <c r="D1939">
        <v>-17.668177576200002</v>
      </c>
      <c r="G1939" s="92"/>
      <c r="I1939">
        <v>8</v>
      </c>
      <c r="J1939" t="s">
        <v>26</v>
      </c>
      <c r="K1939" s="57"/>
      <c r="L1939" s="31"/>
      <c r="M1939" s="31"/>
      <c r="N1939" s="31"/>
      <c r="O1939" s="31"/>
      <c r="S1939" s="57"/>
      <c r="X1939" s="57"/>
    </row>
    <row r="1940" spans="1:24" hidden="1" x14ac:dyDescent="0.35">
      <c r="A1940">
        <v>1936</v>
      </c>
      <c r="B1940">
        <v>1937</v>
      </c>
      <c r="C1940">
        <v>146.08816850100001</v>
      </c>
      <c r="D1940">
        <v>-17.6681493578999</v>
      </c>
      <c r="G1940" s="92"/>
      <c r="I1940">
        <v>8</v>
      </c>
      <c r="J1940" t="s">
        <v>26</v>
      </c>
      <c r="K1940" s="57"/>
      <c r="L1940" s="31"/>
      <c r="M1940" s="31"/>
      <c r="N1940" s="31"/>
      <c r="O1940" s="31"/>
      <c r="S1940" s="57"/>
      <c r="X1940" s="57"/>
    </row>
    <row r="1941" spans="1:24" hidden="1" x14ac:dyDescent="0.35">
      <c r="A1941">
        <v>1937</v>
      </c>
      <c r="B1941">
        <v>1938</v>
      </c>
      <c r="C1941">
        <v>146.088086484999</v>
      </c>
      <c r="D1941">
        <v>-17.668115609000001</v>
      </c>
      <c r="G1941" s="92"/>
      <c r="I1941">
        <v>8</v>
      </c>
      <c r="J1941" t="s">
        <v>26</v>
      </c>
      <c r="K1941" s="57"/>
      <c r="L1941" s="31"/>
      <c r="M1941" s="31"/>
      <c r="N1941" s="31"/>
      <c r="O1941" s="31"/>
      <c r="S1941" s="57"/>
      <c r="X1941" s="57"/>
    </row>
    <row r="1942" spans="1:24" hidden="1" x14ac:dyDescent="0.35">
      <c r="A1942">
        <v>1938</v>
      </c>
      <c r="B1942">
        <v>1939</v>
      </c>
      <c r="C1942">
        <v>146.088011292999</v>
      </c>
      <c r="D1942">
        <v>-17.668068775599899</v>
      </c>
      <c r="G1942" s="92"/>
      <c r="I1942">
        <v>8</v>
      </c>
      <c r="J1942" t="s">
        <v>26</v>
      </c>
      <c r="K1942" s="57"/>
      <c r="L1942" s="31"/>
      <c r="M1942" s="31"/>
      <c r="N1942" s="31"/>
      <c r="O1942" s="31"/>
      <c r="S1942" s="57"/>
      <c r="X1942" s="57"/>
    </row>
    <row r="1943" spans="1:24" hidden="1" x14ac:dyDescent="0.35">
      <c r="A1943">
        <v>1939</v>
      </c>
      <c r="B1943">
        <v>1940</v>
      </c>
      <c r="C1943">
        <v>146.087957762999</v>
      </c>
      <c r="D1943">
        <v>-17.668000718199899</v>
      </c>
      <c r="G1943" s="92"/>
      <c r="I1943">
        <v>8</v>
      </c>
      <c r="J1943" t="s">
        <v>26</v>
      </c>
      <c r="K1943" s="57"/>
      <c r="L1943" s="31"/>
      <c r="M1943" s="31"/>
      <c r="N1943" s="31"/>
      <c r="O1943" s="31"/>
      <c r="S1943" s="57"/>
      <c r="X1943" s="57"/>
    </row>
    <row r="1944" spans="1:24" hidden="1" x14ac:dyDescent="0.35">
      <c r="A1944">
        <v>1940</v>
      </c>
      <c r="B1944">
        <v>1941</v>
      </c>
      <c r="C1944">
        <v>146.08791564500001</v>
      </c>
      <c r="D1944">
        <v>-17.6679275083</v>
      </c>
      <c r="G1944" s="92"/>
      <c r="I1944">
        <v>8</v>
      </c>
      <c r="J1944" t="s">
        <v>26</v>
      </c>
      <c r="K1944" s="57"/>
      <c r="L1944" s="31"/>
      <c r="M1944" s="31"/>
      <c r="N1944" s="31"/>
      <c r="O1944" s="31"/>
      <c r="S1944" s="57"/>
      <c r="X1944" s="57"/>
    </row>
    <row r="1945" spans="1:24" hidden="1" x14ac:dyDescent="0.35">
      <c r="A1945">
        <v>1941</v>
      </c>
      <c r="B1945">
        <v>1942</v>
      </c>
      <c r="C1945">
        <v>146.08791228800001</v>
      </c>
      <c r="D1945">
        <v>-17.6678419737</v>
      </c>
      <c r="G1945" s="92"/>
      <c r="I1945">
        <v>8</v>
      </c>
      <c r="J1945" t="s">
        <v>26</v>
      </c>
      <c r="K1945" s="57"/>
      <c r="L1945" s="31"/>
      <c r="M1945" s="31"/>
      <c r="N1945" s="31"/>
      <c r="O1945" s="31"/>
      <c r="S1945" s="57"/>
      <c r="X1945" s="57"/>
    </row>
    <row r="1946" spans="1:24" hidden="1" x14ac:dyDescent="0.35">
      <c r="A1946">
        <v>1942</v>
      </c>
      <c r="B1946">
        <v>1943</v>
      </c>
      <c r="C1946">
        <v>146.08790802799899</v>
      </c>
      <c r="D1946">
        <v>-17.667756492700001</v>
      </c>
      <c r="G1946" s="92"/>
      <c r="I1946">
        <v>8</v>
      </c>
      <c r="J1946" t="s">
        <v>26</v>
      </c>
      <c r="K1946" s="57"/>
      <c r="L1946" s="31"/>
      <c r="M1946" s="31"/>
      <c r="N1946" s="31"/>
      <c r="O1946" s="31"/>
      <c r="S1946" s="57"/>
      <c r="X1946" s="57"/>
    </row>
    <row r="1947" spans="1:24" hidden="1" x14ac:dyDescent="0.35">
      <c r="A1947">
        <v>1943</v>
      </c>
      <c r="B1947">
        <v>1944</v>
      </c>
      <c r="C1947">
        <v>146.087900224999</v>
      </c>
      <c r="D1947">
        <v>-17.6676712217999</v>
      </c>
      <c r="G1947" s="92"/>
      <c r="I1947">
        <v>8</v>
      </c>
      <c r="J1947" t="s">
        <v>26</v>
      </c>
      <c r="K1947" s="57"/>
      <c r="L1947" s="31"/>
      <c r="M1947" s="31"/>
      <c r="N1947" s="31"/>
      <c r="O1947" s="31"/>
      <c r="S1947" s="57"/>
      <c r="X1947" s="57"/>
    </row>
    <row r="1948" spans="1:24" hidden="1" x14ac:dyDescent="0.35">
      <c r="A1948">
        <v>1944</v>
      </c>
      <c r="B1948">
        <v>1945</v>
      </c>
      <c r="C1948">
        <v>146.087892423</v>
      </c>
      <c r="D1948">
        <v>-17.6675859507999</v>
      </c>
      <c r="G1948" s="92"/>
      <c r="I1948">
        <v>8</v>
      </c>
      <c r="J1948" t="s">
        <v>26</v>
      </c>
      <c r="K1948" s="57"/>
      <c r="L1948" s="31"/>
      <c r="M1948" s="31"/>
      <c r="N1948" s="31"/>
      <c r="O1948" s="31"/>
      <c r="S1948" s="57"/>
      <c r="X1948" s="57"/>
    </row>
    <row r="1949" spans="1:24" hidden="1" x14ac:dyDescent="0.35">
      <c r="A1949">
        <v>1945</v>
      </c>
      <c r="B1949">
        <v>1946</v>
      </c>
      <c r="C1949">
        <v>146.087884621</v>
      </c>
      <c r="D1949">
        <v>-17.667500679700002</v>
      </c>
      <c r="G1949" s="92"/>
      <c r="I1949">
        <v>8</v>
      </c>
      <c r="J1949" t="s">
        <v>26</v>
      </c>
      <c r="K1949" s="57"/>
      <c r="L1949" s="31"/>
      <c r="M1949" s="31"/>
      <c r="N1949" s="31"/>
      <c r="O1949" s="31"/>
      <c r="S1949" s="57"/>
      <c r="X1949" s="57"/>
    </row>
    <row r="1950" spans="1:24" hidden="1" x14ac:dyDescent="0.35">
      <c r="A1950">
        <v>1946</v>
      </c>
      <c r="B1950">
        <v>1947</v>
      </c>
      <c r="C1950">
        <v>146.087876819</v>
      </c>
      <c r="D1950">
        <v>-17.6674154086</v>
      </c>
      <c r="G1950" s="92"/>
      <c r="I1950">
        <v>8</v>
      </c>
      <c r="J1950" t="s">
        <v>26</v>
      </c>
      <c r="K1950" s="57"/>
      <c r="L1950" s="31"/>
      <c r="M1950" s="31"/>
      <c r="N1950" s="31"/>
      <c r="O1950" s="31"/>
      <c r="S1950" s="57"/>
      <c r="X1950" s="57"/>
    </row>
    <row r="1951" spans="1:24" hidden="1" x14ac:dyDescent="0.35">
      <c r="A1951">
        <v>1947</v>
      </c>
      <c r="B1951">
        <v>1948</v>
      </c>
      <c r="C1951">
        <v>146.08787665200001</v>
      </c>
      <c r="D1951">
        <v>-17.6673299337</v>
      </c>
      <c r="G1951" s="92"/>
      <c r="I1951">
        <v>8</v>
      </c>
      <c r="J1951" t="s">
        <v>26</v>
      </c>
      <c r="K1951" s="57"/>
      <c r="L1951" s="31"/>
      <c r="M1951" s="31"/>
      <c r="N1951" s="31"/>
      <c r="O1951" s="31"/>
      <c r="S1951" s="57"/>
      <c r="X1951" s="57"/>
    </row>
    <row r="1952" spans="1:24" hidden="1" x14ac:dyDescent="0.35">
      <c r="A1952">
        <v>1948</v>
      </c>
      <c r="B1952">
        <v>1949</v>
      </c>
      <c r="C1952">
        <v>146.087879431999</v>
      </c>
      <c r="D1952">
        <v>-17.667244380100001</v>
      </c>
      <c r="G1952" s="92"/>
      <c r="I1952">
        <v>8</v>
      </c>
      <c r="J1952" t="s">
        <v>26</v>
      </c>
      <c r="K1952" s="57"/>
      <c r="L1952" s="31"/>
      <c r="M1952" s="31"/>
      <c r="N1952" s="31"/>
      <c r="O1952" s="31"/>
      <c r="S1952" s="57"/>
      <c r="X1952" s="57"/>
    </row>
    <row r="1953" spans="1:24" hidden="1" x14ac:dyDescent="0.35">
      <c r="A1953">
        <v>1949</v>
      </c>
      <c r="B1953">
        <v>1950</v>
      </c>
      <c r="C1953">
        <v>146.08788221200001</v>
      </c>
      <c r="D1953">
        <v>-17.667158826400001</v>
      </c>
      <c r="G1953" s="92"/>
      <c r="I1953">
        <v>8</v>
      </c>
      <c r="J1953" t="s">
        <v>26</v>
      </c>
      <c r="K1953" s="57"/>
      <c r="L1953" s="31"/>
      <c r="M1953" s="31"/>
      <c r="N1953" s="31"/>
      <c r="O1953" s="31"/>
      <c r="S1953" s="57"/>
      <c r="X1953" s="57"/>
    </row>
    <row r="1954" spans="1:24" hidden="1" x14ac:dyDescent="0.35">
      <c r="A1954">
        <v>1950</v>
      </c>
      <c r="B1954">
        <v>1951</v>
      </c>
      <c r="C1954">
        <v>146.087890383999</v>
      </c>
      <c r="D1954">
        <v>-17.6670736996</v>
      </c>
      <c r="G1954" s="92"/>
      <c r="I1954">
        <v>8</v>
      </c>
      <c r="J1954" t="s">
        <v>26</v>
      </c>
      <c r="K1954" s="57"/>
      <c r="L1954" s="31"/>
      <c r="M1954" s="31"/>
      <c r="N1954" s="31"/>
      <c r="O1954" s="31"/>
      <c r="S1954" s="57"/>
      <c r="X1954" s="57"/>
    </row>
    <row r="1955" spans="1:24" hidden="1" x14ac:dyDescent="0.35">
      <c r="A1955">
        <v>1951</v>
      </c>
      <c r="B1955">
        <v>1952</v>
      </c>
      <c r="C1955">
        <v>146.087902460999</v>
      </c>
      <c r="D1955">
        <v>-17.6669888819</v>
      </c>
      <c r="G1955" s="92"/>
      <c r="I1955">
        <v>8</v>
      </c>
      <c r="J1955" t="s">
        <v>26</v>
      </c>
      <c r="K1955" s="57"/>
      <c r="L1955" s="31"/>
      <c r="M1955" s="31"/>
      <c r="N1955" s="31"/>
      <c r="O1955" s="31"/>
      <c r="S1955" s="57"/>
      <c r="X1955" s="57"/>
    </row>
    <row r="1956" spans="1:24" hidden="1" x14ac:dyDescent="0.35">
      <c r="A1956">
        <v>1952</v>
      </c>
      <c r="B1956">
        <v>1953</v>
      </c>
      <c r="C1956">
        <v>146.08791453699899</v>
      </c>
      <c r="D1956">
        <v>-17.666904064099899</v>
      </c>
      <c r="G1956" s="92"/>
      <c r="I1956">
        <v>8</v>
      </c>
      <c r="J1956" t="s">
        <v>26</v>
      </c>
      <c r="K1956" s="57"/>
      <c r="L1956" s="31"/>
      <c r="M1956" s="31"/>
      <c r="N1956" s="31"/>
      <c r="O1956" s="31"/>
      <c r="S1956" s="57"/>
      <c r="X1956" s="57"/>
    </row>
    <row r="1957" spans="1:24" hidden="1" x14ac:dyDescent="0.35">
      <c r="A1957">
        <v>1953</v>
      </c>
      <c r="B1957">
        <v>1954</v>
      </c>
      <c r="C1957">
        <v>146.087930744</v>
      </c>
      <c r="D1957">
        <v>-17.666820009799899</v>
      </c>
      <c r="G1957" s="92"/>
      <c r="I1957">
        <v>8</v>
      </c>
      <c r="J1957" t="s">
        <v>26</v>
      </c>
      <c r="K1957" s="57"/>
      <c r="L1957" s="31"/>
      <c r="M1957" s="31"/>
      <c r="N1957" s="31"/>
      <c r="O1957" s="31"/>
      <c r="S1957" s="57"/>
      <c r="X1957" s="57"/>
    </row>
    <row r="1958" spans="1:24" hidden="1" x14ac:dyDescent="0.35">
      <c r="A1958">
        <v>1954</v>
      </c>
      <c r="B1958">
        <v>1955</v>
      </c>
      <c r="C1958">
        <v>146.087952825</v>
      </c>
      <c r="D1958">
        <v>-17.666737041000001</v>
      </c>
      <c r="G1958" s="92"/>
      <c r="I1958">
        <v>8</v>
      </c>
      <c r="J1958" t="s">
        <v>26</v>
      </c>
      <c r="K1958" s="57"/>
      <c r="L1958" s="31"/>
      <c r="M1958" s="31"/>
      <c r="N1958" s="31"/>
      <c r="O1958" s="31"/>
      <c r="S1958" s="57"/>
      <c r="X1958" s="57"/>
    </row>
    <row r="1959" spans="1:24" hidden="1" x14ac:dyDescent="0.35">
      <c r="A1959">
        <v>1955</v>
      </c>
      <c r="B1959">
        <v>1956</v>
      </c>
      <c r="C1959">
        <v>146.087974905999</v>
      </c>
      <c r="D1959">
        <v>-17.6666540722</v>
      </c>
      <c r="G1959" s="92"/>
      <c r="I1959">
        <v>8</v>
      </c>
      <c r="J1959" t="s">
        <v>26</v>
      </c>
      <c r="K1959" s="57"/>
      <c r="L1959" s="31"/>
      <c r="M1959" s="31"/>
      <c r="N1959" s="31"/>
      <c r="O1959" s="31"/>
      <c r="S1959" s="57"/>
      <c r="X1959" s="57"/>
    </row>
    <row r="1960" spans="1:24" hidden="1" x14ac:dyDescent="0.35">
      <c r="A1960">
        <v>1956</v>
      </c>
      <c r="B1960">
        <v>1957</v>
      </c>
      <c r="C1960">
        <v>146.08799698799899</v>
      </c>
      <c r="D1960">
        <v>-17.6665711033999</v>
      </c>
      <c r="G1960" s="92"/>
      <c r="I1960">
        <v>8</v>
      </c>
      <c r="J1960" t="s">
        <v>26</v>
      </c>
      <c r="K1960" s="57"/>
      <c r="L1960" s="31"/>
      <c r="M1960" s="31"/>
      <c r="N1960" s="31"/>
      <c r="O1960" s="31"/>
      <c r="S1960" s="57"/>
      <c r="X1960" s="57"/>
    </row>
    <row r="1961" spans="1:24" hidden="1" x14ac:dyDescent="0.35">
      <c r="A1961">
        <v>1957</v>
      </c>
      <c r="B1961">
        <v>1958</v>
      </c>
      <c r="C1961">
        <v>146.08801906900001</v>
      </c>
      <c r="D1961">
        <v>-17.666488134600002</v>
      </c>
      <c r="G1961" s="92"/>
      <c r="I1961">
        <v>8</v>
      </c>
      <c r="J1961" t="s">
        <v>26</v>
      </c>
      <c r="K1961" s="57"/>
      <c r="L1961" s="31"/>
      <c r="M1961" s="31"/>
      <c r="N1961" s="31"/>
      <c r="O1961" s="31"/>
      <c r="S1961" s="57"/>
      <c r="X1961" s="57"/>
    </row>
    <row r="1962" spans="1:24" hidden="1" x14ac:dyDescent="0.35">
      <c r="A1962">
        <v>1958</v>
      </c>
      <c r="B1962">
        <v>1959</v>
      </c>
      <c r="C1962">
        <v>146.08804525599899</v>
      </c>
      <c r="D1962">
        <v>-17.666406496699899</v>
      </c>
      <c r="G1962" s="92"/>
      <c r="I1962">
        <v>8</v>
      </c>
      <c r="J1962" t="s">
        <v>26</v>
      </c>
      <c r="K1962" s="57"/>
      <c r="L1962" s="31"/>
      <c r="M1962" s="31"/>
      <c r="N1962" s="31"/>
      <c r="O1962" s="31"/>
      <c r="S1962" s="57"/>
      <c r="X1962" s="57"/>
    </row>
    <row r="1963" spans="1:24" hidden="1" x14ac:dyDescent="0.35">
      <c r="A1963">
        <v>1959</v>
      </c>
      <c r="B1963">
        <v>1960</v>
      </c>
      <c r="C1963">
        <v>146.08808085800001</v>
      </c>
      <c r="D1963">
        <v>-17.666327910700002</v>
      </c>
      <c r="G1963" s="92"/>
      <c r="I1963">
        <v>8</v>
      </c>
      <c r="J1963" t="s">
        <v>26</v>
      </c>
      <c r="K1963" s="57"/>
      <c r="L1963" s="31"/>
      <c r="M1963" s="31"/>
      <c r="N1963" s="31"/>
      <c r="O1963" s="31"/>
      <c r="S1963" s="57"/>
      <c r="X1963" s="57"/>
    </row>
    <row r="1964" spans="1:24" hidden="1" x14ac:dyDescent="0.35">
      <c r="A1964">
        <v>1960</v>
      </c>
      <c r="B1964">
        <v>1961</v>
      </c>
      <c r="C1964">
        <v>146.088120957999</v>
      </c>
      <c r="D1964">
        <v>-17.6662515292</v>
      </c>
      <c r="G1964" s="92"/>
      <c r="I1964">
        <v>8</v>
      </c>
      <c r="J1964" t="s">
        <v>26</v>
      </c>
      <c r="K1964" s="57"/>
      <c r="L1964" s="31"/>
      <c r="M1964" s="31"/>
      <c r="N1964" s="31"/>
      <c r="O1964" s="31"/>
      <c r="S1964" s="57"/>
      <c r="X1964" s="57"/>
    </row>
    <row r="1965" spans="1:24" hidden="1" x14ac:dyDescent="0.35">
      <c r="A1965">
        <v>1961</v>
      </c>
      <c r="B1965">
        <v>1962</v>
      </c>
      <c r="C1965">
        <v>146.08816734000001</v>
      </c>
      <c r="D1965">
        <v>-17.666178225700001</v>
      </c>
      <c r="G1965" s="92"/>
      <c r="I1965">
        <v>8</v>
      </c>
      <c r="J1965" t="s">
        <v>26</v>
      </c>
      <c r="K1965" s="57"/>
      <c r="L1965" s="31"/>
      <c r="M1965" s="31"/>
      <c r="N1965" s="31"/>
      <c r="O1965" s="31"/>
      <c r="S1965" s="57"/>
      <c r="X1965" s="57"/>
    </row>
    <row r="1966" spans="1:24" hidden="1" x14ac:dyDescent="0.35">
      <c r="A1966">
        <v>1962</v>
      </c>
      <c r="B1966">
        <v>1963</v>
      </c>
      <c r="C1966">
        <v>146.088213945999</v>
      </c>
      <c r="D1966">
        <v>-17.666105094700001</v>
      </c>
      <c r="G1966" s="92"/>
      <c r="I1966">
        <v>8</v>
      </c>
      <c r="J1966" t="s">
        <v>26</v>
      </c>
      <c r="K1966" s="57"/>
      <c r="L1966" s="31"/>
      <c r="M1966" s="31"/>
      <c r="N1966" s="31"/>
      <c r="O1966" s="31"/>
      <c r="S1966" s="57"/>
      <c r="X1966" s="57"/>
    </row>
    <row r="1967" spans="1:24" hidden="1" x14ac:dyDescent="0.35">
      <c r="A1967">
        <v>1963</v>
      </c>
      <c r="B1967">
        <v>1964</v>
      </c>
      <c r="C1967">
        <v>146.08827926999899</v>
      </c>
      <c r="D1967">
        <v>-17.6660463382999</v>
      </c>
      <c r="G1967" s="92"/>
      <c r="I1967">
        <v>8</v>
      </c>
      <c r="J1967" t="s">
        <v>26</v>
      </c>
      <c r="K1967" s="57"/>
      <c r="L1967" s="31"/>
      <c r="M1967" s="31"/>
      <c r="N1967" s="31"/>
      <c r="O1967" s="31"/>
      <c r="S1967" s="57"/>
      <c r="X1967" s="57"/>
    </row>
    <row r="1968" spans="1:24" hidden="1" x14ac:dyDescent="0.35">
      <c r="A1968">
        <v>1964</v>
      </c>
      <c r="B1968">
        <v>1965</v>
      </c>
      <c r="C1968">
        <v>146.08834459299899</v>
      </c>
      <c r="D1968">
        <v>-17.6659875818</v>
      </c>
      <c r="G1968" s="92"/>
      <c r="I1968">
        <v>8</v>
      </c>
      <c r="J1968" t="s">
        <v>26</v>
      </c>
      <c r="K1968" s="57"/>
      <c r="L1968" s="31"/>
      <c r="M1968" s="31"/>
      <c r="N1968" s="31"/>
      <c r="O1968" s="31"/>
      <c r="S1968" s="57"/>
      <c r="X1968" s="57"/>
    </row>
    <row r="1969" spans="1:24" hidden="1" x14ac:dyDescent="0.35">
      <c r="A1969">
        <v>1965</v>
      </c>
      <c r="B1969">
        <v>1966</v>
      </c>
      <c r="C1969">
        <v>146.08841030900001</v>
      </c>
      <c r="D1969">
        <v>-17.665929223700001</v>
      </c>
      <c r="G1969" s="92"/>
      <c r="I1969">
        <v>8</v>
      </c>
      <c r="J1969" t="s">
        <v>26</v>
      </c>
      <c r="K1969" s="57"/>
      <c r="L1969" s="31"/>
      <c r="M1969" s="31"/>
      <c r="N1969" s="31"/>
      <c r="O1969" s="31"/>
      <c r="S1969" s="57"/>
      <c r="X1969" s="57"/>
    </row>
    <row r="1970" spans="1:24" hidden="1" x14ac:dyDescent="0.35">
      <c r="A1970">
        <v>1966</v>
      </c>
      <c r="B1970">
        <v>1967</v>
      </c>
      <c r="C1970">
        <v>146.08847573400001</v>
      </c>
      <c r="D1970">
        <v>-17.665870580100002</v>
      </c>
      <c r="G1970" s="92"/>
      <c r="I1970">
        <v>8</v>
      </c>
      <c r="J1970" t="s">
        <v>26</v>
      </c>
      <c r="K1970" s="57"/>
      <c r="L1970" s="31"/>
      <c r="M1970" s="31"/>
      <c r="N1970" s="31"/>
      <c r="O1970" s="31"/>
      <c r="S1970" s="57"/>
      <c r="X1970" s="57"/>
    </row>
    <row r="1971" spans="1:24" hidden="1" x14ac:dyDescent="0.35">
      <c r="A1971">
        <v>1967</v>
      </c>
      <c r="B1971">
        <v>1968</v>
      </c>
      <c r="C1971">
        <v>146.08853936700001</v>
      </c>
      <c r="D1971">
        <v>-17.6658101628</v>
      </c>
      <c r="G1971" s="92"/>
      <c r="I1971">
        <v>8</v>
      </c>
      <c r="J1971" t="s">
        <v>26</v>
      </c>
      <c r="K1971" s="57"/>
      <c r="L1971" s="31"/>
      <c r="M1971" s="31"/>
      <c r="N1971" s="31"/>
      <c r="O1971" s="31"/>
      <c r="S1971" s="57"/>
      <c r="X1971" s="57"/>
    </row>
    <row r="1972" spans="1:24" hidden="1" x14ac:dyDescent="0.35">
      <c r="A1972">
        <v>1968</v>
      </c>
      <c r="B1972">
        <v>1969</v>
      </c>
      <c r="C1972">
        <v>146.088603000999</v>
      </c>
      <c r="D1972">
        <v>-17.6657497453999</v>
      </c>
      <c r="G1972" s="92"/>
      <c r="I1972">
        <v>8</v>
      </c>
      <c r="J1972" t="s">
        <v>26</v>
      </c>
      <c r="K1972" s="57"/>
      <c r="L1972" s="31"/>
      <c r="M1972" s="31"/>
      <c r="N1972" s="31"/>
      <c r="O1972" s="31"/>
      <c r="S1972" s="57"/>
      <c r="X1972" s="57"/>
    </row>
    <row r="1973" spans="1:24" hidden="1" x14ac:dyDescent="0.35">
      <c r="A1973">
        <v>1969</v>
      </c>
      <c r="B1973">
        <v>1970</v>
      </c>
      <c r="C1973">
        <v>146.088667611999</v>
      </c>
      <c r="D1973">
        <v>-17.665690293400001</v>
      </c>
      <c r="G1973" s="92"/>
      <c r="I1973">
        <v>8</v>
      </c>
      <c r="J1973" t="s">
        <v>26</v>
      </c>
      <c r="K1973" s="57"/>
      <c r="L1973" s="31"/>
      <c r="M1973" s="31"/>
      <c r="N1973" s="31"/>
      <c r="O1973" s="31"/>
      <c r="S1973" s="57"/>
      <c r="X1973" s="57"/>
    </row>
    <row r="1974" spans="1:24" hidden="1" x14ac:dyDescent="0.35">
      <c r="A1974">
        <v>1970</v>
      </c>
      <c r="B1974">
        <v>1971</v>
      </c>
      <c r="C1974">
        <v>146.08873325600001</v>
      </c>
      <c r="D1974">
        <v>-17.6656318627</v>
      </c>
      <c r="G1974" s="92"/>
      <c r="I1974">
        <v>8</v>
      </c>
      <c r="J1974" t="s">
        <v>26</v>
      </c>
      <c r="K1974" s="57"/>
      <c r="L1974" s="31"/>
      <c r="M1974" s="31"/>
      <c r="N1974" s="31"/>
      <c r="O1974" s="31"/>
      <c r="S1974" s="57"/>
      <c r="X1974" s="57"/>
    </row>
    <row r="1975" spans="1:24" hidden="1" x14ac:dyDescent="0.35">
      <c r="A1975">
        <v>1971</v>
      </c>
      <c r="B1975">
        <v>1972</v>
      </c>
      <c r="C1975">
        <v>146.088797534999</v>
      </c>
      <c r="D1975">
        <v>-17.665572082299899</v>
      </c>
      <c r="G1975" s="92"/>
      <c r="I1975">
        <v>8</v>
      </c>
      <c r="J1975" t="s">
        <v>26</v>
      </c>
      <c r="K1975" s="57"/>
      <c r="L1975" s="31"/>
      <c r="M1975" s="31"/>
      <c r="N1975" s="31"/>
      <c r="O1975" s="31"/>
      <c r="S1975" s="57"/>
      <c r="X1975" s="57"/>
    </row>
    <row r="1976" spans="1:24" hidden="1" x14ac:dyDescent="0.35">
      <c r="A1976">
        <v>1972</v>
      </c>
      <c r="B1976">
        <v>1973</v>
      </c>
      <c r="C1976">
        <v>146.088861167999</v>
      </c>
      <c r="D1976">
        <v>-17.665511664899899</v>
      </c>
      <c r="G1976" s="92"/>
      <c r="I1976">
        <v>8</v>
      </c>
      <c r="J1976" t="s">
        <v>26</v>
      </c>
      <c r="K1976" s="57"/>
      <c r="L1976" s="31"/>
      <c r="M1976" s="31"/>
      <c r="N1976" s="31"/>
      <c r="O1976" s="31"/>
      <c r="S1976" s="57"/>
      <c r="X1976" s="57"/>
    </row>
    <row r="1977" spans="1:24" hidden="1" x14ac:dyDescent="0.35">
      <c r="A1977">
        <v>1973</v>
      </c>
      <c r="B1977">
        <v>1974</v>
      </c>
      <c r="C1977">
        <v>146.088915737999</v>
      </c>
      <c r="D1977">
        <v>-17.665444074100002</v>
      </c>
      <c r="G1977" s="92"/>
      <c r="I1977">
        <v>8</v>
      </c>
      <c r="J1977" t="s">
        <v>26</v>
      </c>
      <c r="K1977" s="57"/>
      <c r="L1977" s="31"/>
      <c r="M1977" s="31"/>
      <c r="N1977" s="31"/>
      <c r="O1977" s="31"/>
      <c r="S1977" s="57"/>
      <c r="X1977" s="57"/>
    </row>
    <row r="1978" spans="1:24" hidden="1" x14ac:dyDescent="0.35">
      <c r="A1978">
        <v>1974</v>
      </c>
      <c r="B1978">
        <v>1975</v>
      </c>
      <c r="C1978">
        <v>146.088966397999</v>
      </c>
      <c r="D1978">
        <v>-17.6653733881999</v>
      </c>
      <c r="G1978" s="92"/>
      <c r="I1978">
        <v>8</v>
      </c>
      <c r="J1978" t="s">
        <v>26</v>
      </c>
      <c r="K1978" s="57"/>
      <c r="L1978" s="31"/>
      <c r="M1978" s="31"/>
      <c r="N1978" s="31"/>
      <c r="O1978" s="31"/>
      <c r="S1978" s="57"/>
      <c r="X1978" s="57"/>
    </row>
    <row r="1979" spans="1:24" hidden="1" x14ac:dyDescent="0.35">
      <c r="A1979">
        <v>1975</v>
      </c>
      <c r="B1979">
        <v>1976</v>
      </c>
      <c r="C1979">
        <v>146.08901573700001</v>
      </c>
      <c r="D1979">
        <v>-17.665301918400001</v>
      </c>
      <c r="G1979" s="92"/>
      <c r="I1979">
        <v>8</v>
      </c>
      <c r="J1979" t="s">
        <v>26</v>
      </c>
      <c r="K1979" s="57"/>
      <c r="L1979" s="31"/>
      <c r="M1979" s="31"/>
      <c r="N1979" s="31"/>
      <c r="O1979" s="31"/>
      <c r="S1979" s="57"/>
      <c r="X1979" s="57"/>
    </row>
    <row r="1980" spans="1:24" hidden="1" x14ac:dyDescent="0.35">
      <c r="A1980">
        <v>1976</v>
      </c>
      <c r="B1980">
        <v>1977</v>
      </c>
      <c r="C1980">
        <v>146.089059950999</v>
      </c>
      <c r="D1980">
        <v>-17.665227408500002</v>
      </c>
      <c r="G1980" s="92"/>
      <c r="I1980">
        <v>8</v>
      </c>
      <c r="J1980" t="s">
        <v>26</v>
      </c>
      <c r="K1980" s="57"/>
      <c r="L1980" s="31"/>
      <c r="M1980" s="31"/>
      <c r="N1980" s="31"/>
      <c r="O1980" s="31"/>
      <c r="S1980" s="57"/>
      <c r="X1980" s="57"/>
    </row>
    <row r="1981" spans="1:24" hidden="1" x14ac:dyDescent="0.35">
      <c r="A1981">
        <v>1977</v>
      </c>
      <c r="B1981">
        <v>1978</v>
      </c>
      <c r="C1981">
        <v>146.089090873</v>
      </c>
      <c r="D1981">
        <v>-17.665147572799899</v>
      </c>
      <c r="G1981" s="92"/>
      <c r="I1981">
        <v>8</v>
      </c>
      <c r="J1981" t="s">
        <v>26</v>
      </c>
      <c r="K1981" s="57"/>
      <c r="L1981" s="31"/>
      <c r="M1981" s="31"/>
      <c r="N1981" s="31"/>
      <c r="O1981" s="31"/>
      <c r="S1981" s="57"/>
      <c r="X1981" s="57"/>
    </row>
    <row r="1982" spans="1:24" hidden="1" x14ac:dyDescent="0.35">
      <c r="A1982">
        <v>1978</v>
      </c>
      <c r="B1982">
        <v>1979</v>
      </c>
      <c r="C1982">
        <v>146.089115827999</v>
      </c>
      <c r="D1982">
        <v>-17.665065345999899</v>
      </c>
      <c r="G1982" s="92"/>
      <c r="I1982">
        <v>8</v>
      </c>
      <c r="J1982" t="s">
        <v>26</v>
      </c>
      <c r="K1982" s="57"/>
      <c r="L1982" s="31"/>
      <c r="M1982" s="31"/>
      <c r="N1982" s="31"/>
      <c r="O1982" s="31"/>
      <c r="S1982" s="57"/>
      <c r="X1982" s="57"/>
    </row>
    <row r="1983" spans="1:24" hidden="1" x14ac:dyDescent="0.35">
      <c r="A1983">
        <v>1979</v>
      </c>
      <c r="B1983">
        <v>1980</v>
      </c>
      <c r="C1983">
        <v>146.08914078199899</v>
      </c>
      <c r="D1983">
        <v>-17.6649831193</v>
      </c>
      <c r="G1983" s="92"/>
      <c r="I1983">
        <v>8</v>
      </c>
      <c r="J1983" t="s">
        <v>26</v>
      </c>
      <c r="K1983" s="57"/>
      <c r="L1983" s="31"/>
      <c r="M1983" s="31"/>
      <c r="N1983" s="31"/>
      <c r="O1983" s="31"/>
      <c r="S1983" s="57"/>
      <c r="X1983" s="57"/>
    </row>
    <row r="1984" spans="1:24" hidden="1" x14ac:dyDescent="0.35">
      <c r="A1984">
        <v>1980</v>
      </c>
      <c r="B1984">
        <v>1981</v>
      </c>
      <c r="C1984">
        <v>146.08915441900001</v>
      </c>
      <c r="D1984">
        <v>-17.664898846100002</v>
      </c>
      <c r="G1984" s="92"/>
      <c r="I1984">
        <v>8</v>
      </c>
      <c r="J1984" t="s">
        <v>26</v>
      </c>
      <c r="K1984" s="57"/>
      <c r="L1984" s="31"/>
      <c r="M1984" s="31"/>
      <c r="N1984" s="31"/>
      <c r="O1984" s="31"/>
      <c r="S1984" s="57"/>
      <c r="X1984" s="57"/>
    </row>
    <row r="1985" spans="1:24" hidden="1" x14ac:dyDescent="0.35">
      <c r="A1985">
        <v>1981</v>
      </c>
      <c r="B1985">
        <v>1982</v>
      </c>
      <c r="C1985">
        <v>146.08916281200001</v>
      </c>
      <c r="D1985">
        <v>-17.664813624699899</v>
      </c>
      <c r="G1985" s="92"/>
      <c r="I1985">
        <v>8</v>
      </c>
      <c r="J1985" t="s">
        <v>26</v>
      </c>
      <c r="K1985" s="57"/>
      <c r="L1985" s="31"/>
      <c r="M1985" s="31"/>
      <c r="N1985" s="31"/>
      <c r="O1985" s="31"/>
      <c r="S1985" s="57"/>
      <c r="X1985" s="57"/>
    </row>
    <row r="1986" spans="1:24" hidden="1" x14ac:dyDescent="0.35">
      <c r="A1986">
        <v>1982</v>
      </c>
      <c r="B1986">
        <v>1983</v>
      </c>
      <c r="C1986">
        <v>146.08917120500001</v>
      </c>
      <c r="D1986">
        <v>-17.664728403400002</v>
      </c>
      <c r="G1986" s="92"/>
      <c r="I1986">
        <v>8</v>
      </c>
      <c r="J1986" t="s">
        <v>26</v>
      </c>
      <c r="K1986" s="57"/>
      <c r="L1986" s="31"/>
      <c r="M1986" s="31"/>
      <c r="N1986" s="31"/>
      <c r="O1986" s="31"/>
      <c r="S1986" s="57"/>
      <c r="X1986" s="57"/>
    </row>
    <row r="1987" spans="1:24" hidden="1" x14ac:dyDescent="0.35">
      <c r="A1987">
        <v>1983</v>
      </c>
      <c r="B1987">
        <v>1984</v>
      </c>
      <c r="C1987">
        <v>146.08917959799899</v>
      </c>
      <c r="D1987">
        <v>-17.664643181900001</v>
      </c>
      <c r="G1987" s="92"/>
      <c r="I1987">
        <v>8</v>
      </c>
      <c r="J1987" t="s">
        <v>26</v>
      </c>
      <c r="K1987" s="57"/>
      <c r="L1987" s="31"/>
      <c r="M1987" s="31"/>
      <c r="N1987" s="31"/>
      <c r="O1987" s="31"/>
      <c r="S1987" s="57"/>
      <c r="X1987" s="57"/>
    </row>
    <row r="1988" spans="1:24" hidden="1" x14ac:dyDescent="0.35">
      <c r="A1988">
        <v>1984</v>
      </c>
      <c r="B1988">
        <v>1985</v>
      </c>
      <c r="C1988">
        <v>146.08918799099899</v>
      </c>
      <c r="D1988">
        <v>-17.6645579604</v>
      </c>
      <c r="G1988" s="92"/>
      <c r="I1988">
        <v>8</v>
      </c>
      <c r="J1988" t="s">
        <v>26</v>
      </c>
      <c r="K1988" s="57"/>
      <c r="L1988" s="31"/>
      <c r="M1988" s="31"/>
      <c r="N1988" s="31"/>
      <c r="O1988" s="31"/>
      <c r="S1988" s="57"/>
      <c r="X1988" s="57"/>
    </row>
    <row r="1989" spans="1:24" hidden="1" x14ac:dyDescent="0.35">
      <c r="A1989">
        <v>1985</v>
      </c>
      <c r="B1989">
        <v>1986</v>
      </c>
      <c r="C1989">
        <v>146.08919768300001</v>
      </c>
      <c r="D1989">
        <v>-17.664472928799899</v>
      </c>
      <c r="G1989" s="92"/>
      <c r="I1989">
        <v>8</v>
      </c>
      <c r="J1989" t="s">
        <v>26</v>
      </c>
      <c r="K1989" s="57"/>
      <c r="L1989" s="31"/>
      <c r="M1989" s="31"/>
      <c r="N1989" s="31"/>
      <c r="O1989" s="31"/>
      <c r="S1989" s="57"/>
      <c r="X1989" s="57"/>
    </row>
    <row r="1990" spans="1:24" hidden="1" x14ac:dyDescent="0.35">
      <c r="A1990">
        <v>1986</v>
      </c>
      <c r="B1990">
        <v>1987</v>
      </c>
      <c r="C1990">
        <v>146.089216501999</v>
      </c>
      <c r="D1990">
        <v>-17.664389232400001</v>
      </c>
      <c r="G1990" s="92"/>
      <c r="I1990">
        <v>8</v>
      </c>
      <c r="J1990" t="s">
        <v>26</v>
      </c>
      <c r="K1990" s="57"/>
      <c r="L1990" s="31"/>
      <c r="M1990" s="31"/>
      <c r="N1990" s="31"/>
      <c r="O1990" s="31"/>
      <c r="S1990" s="57"/>
      <c r="X1990" s="57"/>
    </row>
    <row r="1991" spans="1:24" hidden="1" x14ac:dyDescent="0.35">
      <c r="A1991">
        <v>1987</v>
      </c>
      <c r="B1991">
        <v>1988</v>
      </c>
      <c r="C1991">
        <v>146.08923532200001</v>
      </c>
      <c r="D1991">
        <v>-17.664305535899899</v>
      </c>
      <c r="G1991" s="92"/>
      <c r="I1991">
        <v>8</v>
      </c>
      <c r="J1991" t="s">
        <v>26</v>
      </c>
      <c r="K1991" s="57"/>
      <c r="L1991" s="31"/>
      <c r="M1991" s="31"/>
      <c r="N1991" s="31"/>
      <c r="O1991" s="31"/>
      <c r="S1991" s="57"/>
      <c r="X1991" s="57"/>
    </row>
    <row r="1992" spans="1:24" hidden="1" x14ac:dyDescent="0.35">
      <c r="A1992">
        <v>1988</v>
      </c>
      <c r="B1992">
        <v>1989</v>
      </c>
      <c r="C1992">
        <v>146.08925414199899</v>
      </c>
      <c r="D1992">
        <v>-17.664221839300001</v>
      </c>
      <c r="G1992" s="92"/>
      <c r="I1992">
        <v>8</v>
      </c>
      <c r="J1992" t="s">
        <v>26</v>
      </c>
      <c r="K1992" s="57"/>
      <c r="L1992" s="31"/>
      <c r="M1992" s="31"/>
      <c r="N1992" s="31"/>
      <c r="O1992" s="31"/>
      <c r="S1992" s="57"/>
      <c r="X1992" s="57"/>
    </row>
    <row r="1993" spans="1:24" hidden="1" x14ac:dyDescent="0.35">
      <c r="A1993">
        <v>1989</v>
      </c>
      <c r="B1993">
        <v>1990</v>
      </c>
      <c r="C1993">
        <v>146.089248357</v>
      </c>
      <c r="D1993">
        <v>-17.6641367169</v>
      </c>
      <c r="G1993" s="92"/>
      <c r="I1993">
        <v>8</v>
      </c>
      <c r="J1993" t="s">
        <v>26</v>
      </c>
      <c r="K1993" s="57"/>
      <c r="L1993" s="31"/>
      <c r="M1993" s="31"/>
      <c r="N1993" s="31"/>
      <c r="O1993" s="31"/>
      <c r="S1993" s="57"/>
      <c r="X1993" s="57"/>
    </row>
    <row r="1994" spans="1:24" hidden="1" x14ac:dyDescent="0.35">
      <c r="A1994">
        <v>1990</v>
      </c>
      <c r="B1994">
        <v>1991</v>
      </c>
      <c r="C1994">
        <v>146.08923460400001</v>
      </c>
      <c r="D1994">
        <v>-17.664053044700001</v>
      </c>
      <c r="G1994" s="92"/>
      <c r="I1994">
        <v>8</v>
      </c>
      <c r="J1994" t="s">
        <v>26</v>
      </c>
      <c r="K1994" s="57"/>
      <c r="L1994" s="31"/>
      <c r="M1994" s="31"/>
      <c r="N1994" s="31"/>
      <c r="O1994" s="31"/>
      <c r="S1994" s="57"/>
      <c r="X1994" s="57"/>
    </row>
    <row r="1995" spans="1:24" hidden="1" x14ac:dyDescent="0.35">
      <c r="A1995">
        <v>1991</v>
      </c>
      <c r="B1995">
        <v>1992</v>
      </c>
      <c r="C1995">
        <v>146.08919350400001</v>
      </c>
      <c r="D1995">
        <v>-17.663976932699899</v>
      </c>
      <c r="G1995" s="92"/>
      <c r="I1995">
        <v>8</v>
      </c>
      <c r="J1995" t="s">
        <v>26</v>
      </c>
      <c r="K1995" s="57"/>
      <c r="L1995" s="31"/>
      <c r="M1995" s="31"/>
      <c r="N1995" s="31"/>
      <c r="O1995" s="31"/>
      <c r="S1995" s="57"/>
      <c r="X1995" s="57"/>
    </row>
    <row r="1996" spans="1:24" hidden="1" x14ac:dyDescent="0.35">
      <c r="A1996">
        <v>1992</v>
      </c>
      <c r="B1996">
        <v>1993</v>
      </c>
      <c r="C1996">
        <v>146.08914449599899</v>
      </c>
      <c r="D1996">
        <v>-17.6639079782999</v>
      </c>
      <c r="G1996" s="92"/>
      <c r="I1996">
        <v>8</v>
      </c>
      <c r="J1996" t="s">
        <v>26</v>
      </c>
      <c r="K1996" s="57"/>
      <c r="L1996" s="31"/>
      <c r="M1996" s="31"/>
      <c r="N1996" s="31"/>
      <c r="O1996" s="31"/>
      <c r="S1996" s="57"/>
      <c r="X1996" s="57"/>
    </row>
    <row r="1997" spans="1:24" hidden="1" x14ac:dyDescent="0.35">
      <c r="A1997">
        <v>1993</v>
      </c>
      <c r="B1997">
        <v>1994</v>
      </c>
      <c r="C1997">
        <v>146.08906254300001</v>
      </c>
      <c r="D1997">
        <v>-17.663874098600001</v>
      </c>
      <c r="G1997" s="92"/>
      <c r="I1997">
        <v>8</v>
      </c>
      <c r="J1997" t="s">
        <v>26</v>
      </c>
      <c r="K1997" s="57"/>
      <c r="L1997" s="31"/>
      <c r="M1997" s="31"/>
      <c r="N1997" s="31"/>
      <c r="O1997" s="31"/>
      <c r="S1997" s="57"/>
      <c r="X1997" s="57"/>
    </row>
    <row r="1998" spans="1:24" hidden="1" x14ac:dyDescent="0.35">
      <c r="A1998">
        <v>1994</v>
      </c>
      <c r="B1998">
        <v>1995</v>
      </c>
      <c r="C1998">
        <v>146.08897712300001</v>
      </c>
      <c r="D1998">
        <v>-17.6638476056999</v>
      </c>
      <c r="G1998" s="92"/>
      <c r="I1998">
        <v>8</v>
      </c>
      <c r="J1998" t="s">
        <v>26</v>
      </c>
      <c r="K1998" s="57"/>
      <c r="L1998" s="31"/>
      <c r="M1998" s="31"/>
      <c r="N1998" s="31"/>
      <c r="O1998" s="31"/>
      <c r="S1998" s="57"/>
      <c r="X1998" s="57"/>
    </row>
    <row r="1999" spans="1:24" hidden="1" x14ac:dyDescent="0.35">
      <c r="A1999">
        <v>1995</v>
      </c>
      <c r="B1999">
        <v>1996</v>
      </c>
      <c r="C1999">
        <v>146.08888895300001</v>
      </c>
      <c r="D1999">
        <v>-17.6638345763999</v>
      </c>
      <c r="G1999" s="92"/>
      <c r="I1999">
        <v>8</v>
      </c>
      <c r="J1999" t="s">
        <v>26</v>
      </c>
      <c r="K1999" s="57"/>
      <c r="L1999" s="31"/>
      <c r="M1999" s="31"/>
      <c r="N1999" s="31"/>
      <c r="O1999" s="31"/>
      <c r="S1999" s="57"/>
      <c r="X1999" s="57"/>
    </row>
    <row r="2000" spans="1:24" hidden="1" x14ac:dyDescent="0.35">
      <c r="A2000">
        <v>1996</v>
      </c>
      <c r="B2000">
        <v>1997</v>
      </c>
      <c r="C2000">
        <v>146.088799338999</v>
      </c>
      <c r="D2000">
        <v>-17.663828618</v>
      </c>
      <c r="G2000" s="92"/>
      <c r="I2000">
        <v>8</v>
      </c>
      <c r="J2000" t="s">
        <v>26</v>
      </c>
      <c r="K2000" s="57"/>
      <c r="L2000" s="31"/>
      <c r="M2000" s="31"/>
      <c r="N2000" s="31"/>
      <c r="O2000" s="31"/>
      <c r="S2000" s="57"/>
      <c r="X2000" s="57"/>
    </row>
    <row r="2001" spans="1:24" hidden="1" x14ac:dyDescent="0.35">
      <c r="A2001">
        <v>1997</v>
      </c>
      <c r="B2001">
        <v>1998</v>
      </c>
      <c r="C2001">
        <v>146.08870980500001</v>
      </c>
      <c r="D2001">
        <v>-17.663821970000001</v>
      </c>
      <c r="G2001" s="92"/>
      <c r="I2001">
        <v>8</v>
      </c>
      <c r="J2001" t="s">
        <v>26</v>
      </c>
      <c r="K2001" s="57"/>
      <c r="L2001" s="31"/>
      <c r="M2001" s="31"/>
      <c r="N2001" s="31"/>
      <c r="O2001" s="31"/>
      <c r="S2001" s="57"/>
      <c r="X2001" s="57"/>
    </row>
    <row r="2002" spans="1:24" hidden="1" x14ac:dyDescent="0.35">
      <c r="A2002">
        <v>1998</v>
      </c>
      <c r="B2002">
        <v>1999</v>
      </c>
      <c r="C2002">
        <v>146.08862095000001</v>
      </c>
      <c r="D2002">
        <v>-17.6638093804</v>
      </c>
      <c r="G2002" s="92"/>
      <c r="I2002">
        <v>8</v>
      </c>
      <c r="J2002" t="s">
        <v>26</v>
      </c>
      <c r="K2002" s="57"/>
      <c r="L2002" s="31"/>
      <c r="M2002" s="31"/>
      <c r="N2002" s="31"/>
      <c r="O2002" s="31"/>
      <c r="S2002" s="57"/>
      <c r="X2002" s="57"/>
    </row>
    <row r="2003" spans="1:24" hidden="1" x14ac:dyDescent="0.35">
      <c r="A2003">
        <v>1999</v>
      </c>
      <c r="B2003">
        <v>2000</v>
      </c>
      <c r="C2003">
        <v>146.088532095999</v>
      </c>
      <c r="D2003">
        <v>-17.663796790700001</v>
      </c>
      <c r="G2003" s="92"/>
      <c r="I2003">
        <v>8</v>
      </c>
      <c r="J2003" t="s">
        <v>26</v>
      </c>
      <c r="K2003" s="57"/>
      <c r="L2003" s="31"/>
      <c r="M2003" s="31"/>
      <c r="N2003" s="31"/>
      <c r="O2003" s="31"/>
      <c r="S2003" s="57"/>
      <c r="X2003" s="57"/>
    </row>
    <row r="2004" spans="1:24" hidden="1" x14ac:dyDescent="0.35">
      <c r="A2004">
        <v>2000</v>
      </c>
      <c r="B2004">
        <v>2001</v>
      </c>
      <c r="C2004">
        <v>146.08844306399899</v>
      </c>
      <c r="D2004">
        <v>-17.663785943800001</v>
      </c>
      <c r="G2004" s="92"/>
      <c r="I2004">
        <v>8</v>
      </c>
      <c r="J2004" t="s">
        <v>26</v>
      </c>
      <c r="K2004" s="57"/>
      <c r="L2004" s="31"/>
      <c r="M2004" s="31"/>
      <c r="N2004" s="31"/>
      <c r="O2004" s="31"/>
      <c r="S2004" s="57"/>
      <c r="X2004" s="57"/>
    </row>
    <row r="2005" spans="1:24" hidden="1" x14ac:dyDescent="0.35">
      <c r="A2005">
        <v>2001</v>
      </c>
      <c r="B2005">
        <v>2002</v>
      </c>
      <c r="C2005">
        <v>146.088353323999</v>
      </c>
      <c r="D2005">
        <v>-17.663782086400001</v>
      </c>
      <c r="G2005" s="92"/>
      <c r="I2005">
        <v>8</v>
      </c>
      <c r="J2005" t="s">
        <v>26</v>
      </c>
      <c r="K2005" s="57"/>
      <c r="L2005" s="31"/>
      <c r="M2005" s="31"/>
      <c r="N2005" s="31"/>
      <c r="O2005" s="31"/>
      <c r="S2005" s="57"/>
      <c r="X2005" s="57"/>
    </row>
    <row r="2006" spans="1:24" hidden="1" x14ac:dyDescent="0.35">
      <c r="A2006">
        <v>2002</v>
      </c>
      <c r="B2006">
        <v>2003</v>
      </c>
      <c r="C2006">
        <v>146.088263584</v>
      </c>
      <c r="D2006">
        <v>-17.663778228999899</v>
      </c>
      <c r="G2006" s="92"/>
      <c r="I2006">
        <v>8</v>
      </c>
      <c r="J2006" t="s">
        <v>26</v>
      </c>
      <c r="K2006" s="57"/>
      <c r="L2006" s="31"/>
      <c r="M2006" s="31"/>
      <c r="N2006" s="31"/>
      <c r="O2006" s="31"/>
      <c r="S2006" s="57"/>
      <c r="X2006" s="57"/>
    </row>
    <row r="2007" spans="1:24" hidden="1" x14ac:dyDescent="0.35">
      <c r="A2007">
        <v>2003</v>
      </c>
      <c r="B2007">
        <v>2004</v>
      </c>
      <c r="C2007">
        <v>146.088173842999</v>
      </c>
      <c r="D2007">
        <v>-17.663774371599899</v>
      </c>
      <c r="G2007" s="92"/>
      <c r="I2007">
        <v>8</v>
      </c>
      <c r="J2007" t="s">
        <v>26</v>
      </c>
      <c r="K2007" s="57"/>
      <c r="L2007" s="31"/>
      <c r="M2007" s="31"/>
      <c r="N2007" s="31"/>
      <c r="O2007" s="31"/>
      <c r="S2007" s="57"/>
      <c r="X2007" s="57"/>
    </row>
    <row r="2008" spans="1:24" hidden="1" x14ac:dyDescent="0.35">
      <c r="A2008">
        <v>2004</v>
      </c>
      <c r="B2008">
        <v>2005</v>
      </c>
      <c r="C2008">
        <v>146.088084597999</v>
      </c>
      <c r="D2008">
        <v>-17.6637735218</v>
      </c>
      <c r="G2008" s="92"/>
      <c r="I2008">
        <v>8</v>
      </c>
      <c r="J2008" t="s">
        <v>26</v>
      </c>
      <c r="K2008" s="57"/>
      <c r="L2008" s="31"/>
      <c r="M2008" s="31"/>
      <c r="N2008" s="31"/>
      <c r="O2008" s="31"/>
      <c r="S2008" s="57"/>
      <c r="X2008" s="57"/>
    </row>
    <row r="2009" spans="1:24" hidden="1" x14ac:dyDescent="0.35">
      <c r="A2009">
        <v>2005</v>
      </c>
      <c r="B2009">
        <v>2006</v>
      </c>
      <c r="C2009">
        <v>146.088000397</v>
      </c>
      <c r="D2009">
        <v>-17.6638033495</v>
      </c>
      <c r="G2009" s="92"/>
      <c r="I2009">
        <v>8</v>
      </c>
      <c r="J2009" t="s">
        <v>26</v>
      </c>
      <c r="K2009" s="57"/>
      <c r="L2009" s="31"/>
      <c r="M2009" s="31"/>
      <c r="N2009" s="31"/>
      <c r="O2009" s="31"/>
      <c r="S2009" s="57"/>
      <c r="X2009" s="57"/>
    </row>
    <row r="2010" spans="1:24" hidden="1" x14ac:dyDescent="0.35">
      <c r="A2010">
        <v>2006</v>
      </c>
      <c r="B2010">
        <v>2007</v>
      </c>
      <c r="C2010">
        <v>146.08791619600001</v>
      </c>
      <c r="D2010">
        <v>-17.663833177200001</v>
      </c>
      <c r="G2010" s="92"/>
      <c r="I2010">
        <v>8</v>
      </c>
      <c r="J2010" t="s">
        <v>26</v>
      </c>
      <c r="K2010" s="57"/>
      <c r="L2010" s="31"/>
      <c r="M2010" s="31"/>
      <c r="N2010" s="31"/>
      <c r="O2010" s="31"/>
      <c r="S2010" s="57"/>
      <c r="X2010" s="57"/>
    </row>
    <row r="2011" spans="1:24" hidden="1" x14ac:dyDescent="0.35">
      <c r="A2011">
        <v>2007</v>
      </c>
      <c r="B2011">
        <v>2008</v>
      </c>
      <c r="C2011">
        <v>146.087835200999</v>
      </c>
      <c r="D2011">
        <v>-17.6638687135999</v>
      </c>
      <c r="G2011" s="92"/>
      <c r="I2011">
        <v>8</v>
      </c>
      <c r="J2011" t="s">
        <v>26</v>
      </c>
      <c r="K2011" s="57"/>
      <c r="L2011" s="31"/>
      <c r="M2011" s="31"/>
      <c r="N2011" s="31"/>
      <c r="O2011" s="31"/>
      <c r="S2011" s="57"/>
      <c r="X2011" s="57"/>
    </row>
    <row r="2012" spans="1:24" hidden="1" x14ac:dyDescent="0.35">
      <c r="A2012">
        <v>2008</v>
      </c>
      <c r="B2012">
        <v>2009</v>
      </c>
      <c r="C2012">
        <v>146.087762448999</v>
      </c>
      <c r="D2012">
        <v>-17.663918924600001</v>
      </c>
      <c r="G2012" s="92"/>
      <c r="I2012">
        <v>8</v>
      </c>
      <c r="J2012" t="s">
        <v>26</v>
      </c>
      <c r="K2012" s="57"/>
      <c r="L2012" s="31"/>
      <c r="M2012" s="31"/>
      <c r="N2012" s="31"/>
      <c r="O2012" s="31"/>
      <c r="S2012" s="57"/>
      <c r="X2012" s="57"/>
    </row>
    <row r="2013" spans="1:24" hidden="1" x14ac:dyDescent="0.35">
      <c r="A2013">
        <v>2009</v>
      </c>
      <c r="B2013">
        <v>2010</v>
      </c>
      <c r="C2013">
        <v>146.087689697</v>
      </c>
      <c r="D2013">
        <v>-17.663969135599899</v>
      </c>
      <c r="G2013" s="92"/>
      <c r="I2013">
        <v>8</v>
      </c>
      <c r="J2013" t="s">
        <v>26</v>
      </c>
      <c r="K2013" s="57"/>
      <c r="L2013" s="31"/>
      <c r="M2013" s="31"/>
      <c r="N2013" s="31"/>
      <c r="O2013" s="31"/>
      <c r="S2013" s="57"/>
      <c r="X2013" s="57"/>
    </row>
    <row r="2014" spans="1:24" hidden="1" x14ac:dyDescent="0.35">
      <c r="A2014">
        <v>2010</v>
      </c>
      <c r="B2014">
        <v>2011</v>
      </c>
      <c r="C2014">
        <v>146.08761694500001</v>
      </c>
      <c r="D2014">
        <v>-17.6640193466</v>
      </c>
      <c r="G2014" s="92"/>
      <c r="I2014">
        <v>8</v>
      </c>
      <c r="J2014" t="s">
        <v>26</v>
      </c>
      <c r="K2014" s="57"/>
      <c r="L2014" s="31"/>
      <c r="M2014" s="31"/>
      <c r="N2014" s="31"/>
      <c r="O2014" s="31"/>
      <c r="S2014" s="57"/>
      <c r="X2014" s="57"/>
    </row>
    <row r="2015" spans="1:24" hidden="1" x14ac:dyDescent="0.35">
      <c r="A2015">
        <v>2011</v>
      </c>
      <c r="B2015">
        <v>2012</v>
      </c>
      <c r="C2015">
        <v>146.08757506200001</v>
      </c>
      <c r="D2015">
        <v>-17.664094235699899</v>
      </c>
      <c r="G2015" s="92"/>
      <c r="I2015">
        <v>8</v>
      </c>
      <c r="J2015" t="s">
        <v>26</v>
      </c>
      <c r="K2015" s="57"/>
      <c r="L2015" s="31"/>
      <c r="M2015" s="31"/>
      <c r="N2015" s="31"/>
      <c r="O2015" s="31"/>
      <c r="S2015" s="57"/>
      <c r="X2015" s="57"/>
    </row>
    <row r="2016" spans="1:24" hidden="1" x14ac:dyDescent="0.35">
      <c r="A2016">
        <v>2012</v>
      </c>
      <c r="B2016">
        <v>2013</v>
      </c>
      <c r="C2016">
        <v>146.08753581100001</v>
      </c>
      <c r="D2016">
        <v>-17.6641712286999</v>
      </c>
      <c r="G2016" s="92"/>
      <c r="I2016">
        <v>8</v>
      </c>
      <c r="J2016" t="s">
        <v>26</v>
      </c>
      <c r="K2016" s="57"/>
      <c r="L2016" s="31"/>
      <c r="M2016" s="31"/>
      <c r="N2016" s="31"/>
      <c r="O2016" s="31"/>
      <c r="S2016" s="57"/>
      <c r="X2016" s="57"/>
    </row>
    <row r="2017" spans="1:24" hidden="1" x14ac:dyDescent="0.35">
      <c r="A2017">
        <v>2013</v>
      </c>
      <c r="B2017">
        <v>2014</v>
      </c>
      <c r="C2017">
        <v>146.08750352300001</v>
      </c>
      <c r="D2017">
        <v>-17.6642502565999</v>
      </c>
      <c r="G2017" s="92"/>
      <c r="I2017">
        <v>8</v>
      </c>
      <c r="J2017" t="s">
        <v>26</v>
      </c>
      <c r="K2017" s="57"/>
      <c r="L2017" s="31"/>
      <c r="M2017" s="31"/>
      <c r="N2017" s="31"/>
      <c r="O2017" s="31"/>
      <c r="S2017" s="57"/>
      <c r="X2017" s="57"/>
    </row>
    <row r="2018" spans="1:24" hidden="1" x14ac:dyDescent="0.35">
      <c r="A2018">
        <v>2014</v>
      </c>
      <c r="B2018">
        <v>2015</v>
      </c>
      <c r="C2018">
        <v>146.087490715</v>
      </c>
      <c r="D2018">
        <v>-17.6643349781999</v>
      </c>
      <c r="G2018" s="92"/>
      <c r="I2018">
        <v>8</v>
      </c>
      <c r="J2018" t="s">
        <v>26</v>
      </c>
      <c r="K2018" s="57"/>
      <c r="L2018" s="31"/>
      <c r="M2018" s="31"/>
      <c r="N2018" s="31"/>
      <c r="O2018" s="31"/>
      <c r="S2018" s="57"/>
      <c r="X2018" s="57"/>
    </row>
    <row r="2019" spans="1:24" hidden="1" x14ac:dyDescent="0.35">
      <c r="A2019">
        <v>2015</v>
      </c>
      <c r="B2019">
        <v>2016</v>
      </c>
      <c r="C2019">
        <v>146.087477906999</v>
      </c>
      <c r="D2019">
        <v>-17.6644196998</v>
      </c>
      <c r="G2019" s="92"/>
      <c r="I2019">
        <v>8</v>
      </c>
      <c r="J2019" t="s">
        <v>26</v>
      </c>
      <c r="K2019" s="57"/>
      <c r="L2019" s="31"/>
      <c r="M2019" s="31"/>
      <c r="N2019" s="31"/>
      <c r="O2019" s="31"/>
      <c r="S2019" s="57"/>
      <c r="X2019" s="57"/>
    </row>
    <row r="2020" spans="1:24" hidden="1" x14ac:dyDescent="0.35">
      <c r="A2020">
        <v>2016</v>
      </c>
      <c r="B2020">
        <v>2017</v>
      </c>
      <c r="C2020">
        <v>146.08746509900001</v>
      </c>
      <c r="D2020">
        <v>-17.664504421299899</v>
      </c>
      <c r="G2020" s="92"/>
      <c r="I2020">
        <v>8</v>
      </c>
      <c r="J2020" t="s">
        <v>26</v>
      </c>
      <c r="K2020" s="57"/>
      <c r="L2020" s="31"/>
      <c r="M2020" s="31"/>
      <c r="N2020" s="31"/>
      <c r="O2020" s="31"/>
      <c r="S2020" s="57"/>
      <c r="X2020" s="57"/>
    </row>
    <row r="2021" spans="1:24" hidden="1" x14ac:dyDescent="0.35">
      <c r="A2021">
        <v>2017</v>
      </c>
      <c r="B2021">
        <v>2018</v>
      </c>
      <c r="C2021">
        <v>146.087453060999</v>
      </c>
      <c r="D2021">
        <v>-17.664589213300001</v>
      </c>
      <c r="G2021" s="92"/>
      <c r="I2021">
        <v>8</v>
      </c>
      <c r="J2021" t="s">
        <v>26</v>
      </c>
      <c r="K2021" s="57"/>
      <c r="L2021" s="31"/>
      <c r="M2021" s="31"/>
      <c r="N2021" s="31"/>
      <c r="O2021" s="31"/>
      <c r="S2021" s="57"/>
      <c r="X2021" s="57"/>
    </row>
    <row r="2022" spans="1:24" hidden="1" x14ac:dyDescent="0.35">
      <c r="A2022">
        <v>2018</v>
      </c>
      <c r="B2022">
        <v>2019</v>
      </c>
      <c r="C2022">
        <v>146.08744866500001</v>
      </c>
      <c r="D2022">
        <v>-17.664674706700001</v>
      </c>
      <c r="G2022" s="92"/>
      <c r="I2022">
        <v>8</v>
      </c>
      <c r="J2022" t="s">
        <v>26</v>
      </c>
      <c r="K2022" s="57"/>
      <c r="L2022" s="31"/>
      <c r="M2022" s="31"/>
      <c r="N2022" s="31"/>
      <c r="O2022" s="31"/>
      <c r="S2022" s="57"/>
      <c r="X2022" s="57"/>
    </row>
    <row r="2023" spans="1:24" hidden="1" x14ac:dyDescent="0.35">
      <c r="A2023">
        <v>2019</v>
      </c>
      <c r="B2023">
        <v>2020</v>
      </c>
      <c r="C2023">
        <v>146.087444269</v>
      </c>
      <c r="D2023">
        <v>-17.6647602</v>
      </c>
      <c r="G2023" s="92"/>
      <c r="I2023">
        <v>8</v>
      </c>
      <c r="J2023" t="s">
        <v>26</v>
      </c>
      <c r="K2023" s="57"/>
      <c r="L2023" s="31"/>
      <c r="M2023" s="31"/>
      <c r="N2023" s="31"/>
      <c r="O2023" s="31"/>
      <c r="S2023" s="57"/>
      <c r="X2023" s="57"/>
    </row>
    <row r="2024" spans="1:24" hidden="1" x14ac:dyDescent="0.35">
      <c r="A2024">
        <v>2020</v>
      </c>
      <c r="B2024">
        <v>2021</v>
      </c>
      <c r="C2024">
        <v>146.08743987400001</v>
      </c>
      <c r="D2024">
        <v>-17.6648456932</v>
      </c>
      <c r="G2024" s="92"/>
      <c r="I2024">
        <v>8</v>
      </c>
      <c r="J2024" t="s">
        <v>26</v>
      </c>
      <c r="K2024" s="57"/>
      <c r="L2024" s="31"/>
      <c r="M2024" s="31"/>
      <c r="N2024" s="31"/>
      <c r="O2024" s="31"/>
      <c r="S2024" s="57"/>
      <c r="X2024" s="57"/>
    </row>
    <row r="2025" spans="1:24" hidden="1" x14ac:dyDescent="0.35">
      <c r="A2025">
        <v>2021</v>
      </c>
      <c r="B2025">
        <v>2022</v>
      </c>
      <c r="C2025">
        <v>146.087439923999</v>
      </c>
      <c r="D2025">
        <v>-17.664931109400001</v>
      </c>
      <c r="G2025" s="92"/>
      <c r="I2025">
        <v>8</v>
      </c>
      <c r="J2025" t="s">
        <v>26</v>
      </c>
      <c r="K2025" s="57"/>
      <c r="L2025" s="31"/>
      <c r="M2025" s="31"/>
      <c r="N2025" s="31"/>
      <c r="O2025" s="31"/>
      <c r="S2025" s="57"/>
      <c r="X2025" s="57"/>
    </row>
    <row r="2026" spans="1:24" hidden="1" x14ac:dyDescent="0.35">
      <c r="A2026">
        <v>2022</v>
      </c>
      <c r="B2026">
        <v>2023</v>
      </c>
      <c r="C2026">
        <v>146.087447577999</v>
      </c>
      <c r="D2026">
        <v>-17.6650163939</v>
      </c>
      <c r="G2026" s="92"/>
      <c r="I2026">
        <v>8</v>
      </c>
      <c r="J2026" t="s">
        <v>26</v>
      </c>
      <c r="K2026" s="57"/>
      <c r="L2026" s="31"/>
      <c r="M2026" s="31"/>
      <c r="N2026" s="31"/>
      <c r="O2026" s="31"/>
      <c r="S2026" s="57"/>
      <c r="X2026" s="57"/>
    </row>
    <row r="2027" spans="1:24" hidden="1" x14ac:dyDescent="0.35">
      <c r="A2027">
        <v>2023</v>
      </c>
      <c r="B2027">
        <v>2024</v>
      </c>
      <c r="C2027">
        <v>146.087449042999</v>
      </c>
      <c r="D2027">
        <v>-17.6651018071999</v>
      </c>
      <c r="G2027" s="92"/>
      <c r="I2027">
        <v>8</v>
      </c>
      <c r="J2027" t="s">
        <v>26</v>
      </c>
      <c r="K2027" s="57"/>
      <c r="L2027" s="31"/>
      <c r="M2027" s="31"/>
      <c r="N2027" s="31"/>
      <c r="O2027" s="31"/>
      <c r="S2027" s="57"/>
      <c r="X2027" s="57"/>
    </row>
    <row r="2028" spans="1:24" hidden="1" x14ac:dyDescent="0.35">
      <c r="A2028">
        <v>2024</v>
      </c>
      <c r="B2028">
        <v>2025</v>
      </c>
      <c r="C2028">
        <v>146.087445306999</v>
      </c>
      <c r="D2028">
        <v>-17.665187328799899</v>
      </c>
      <c r="G2028" s="92"/>
      <c r="I2028">
        <v>8</v>
      </c>
      <c r="J2028" t="s">
        <v>26</v>
      </c>
      <c r="K2028" s="57"/>
      <c r="L2028" s="31"/>
      <c r="M2028" s="31"/>
      <c r="N2028" s="31"/>
      <c r="O2028" s="31"/>
      <c r="S2028" s="57"/>
      <c r="X2028" s="57"/>
    </row>
    <row r="2029" spans="1:24" hidden="1" x14ac:dyDescent="0.35">
      <c r="A2029">
        <v>2025</v>
      </c>
      <c r="B2029">
        <v>2026</v>
      </c>
      <c r="C2029">
        <v>146.087431482</v>
      </c>
      <c r="D2029">
        <v>-17.665270616800001</v>
      </c>
      <c r="G2029" s="92"/>
      <c r="I2029">
        <v>8</v>
      </c>
      <c r="J2029" t="s">
        <v>26</v>
      </c>
      <c r="K2029" s="57"/>
      <c r="L2029" s="31"/>
      <c r="M2029" s="31"/>
      <c r="N2029" s="31"/>
      <c r="O2029" s="31"/>
      <c r="S2029" s="57"/>
      <c r="X2029" s="57"/>
    </row>
    <row r="2030" spans="1:24" hidden="1" x14ac:dyDescent="0.35">
      <c r="A2030">
        <v>2026</v>
      </c>
      <c r="B2030">
        <v>2027</v>
      </c>
      <c r="C2030">
        <v>146.08739526400001</v>
      </c>
      <c r="D2030">
        <v>-17.6653489471</v>
      </c>
      <c r="G2030" s="92"/>
      <c r="I2030">
        <v>8</v>
      </c>
      <c r="J2030" t="s">
        <v>26</v>
      </c>
      <c r="K2030" s="57"/>
      <c r="L2030" s="31"/>
      <c r="M2030" s="31"/>
      <c r="N2030" s="31"/>
      <c r="O2030" s="31"/>
      <c r="S2030" s="57"/>
      <c r="X2030" s="57"/>
    </row>
    <row r="2031" spans="1:24" hidden="1" x14ac:dyDescent="0.35">
      <c r="A2031">
        <v>2027</v>
      </c>
      <c r="B2031">
        <v>2028</v>
      </c>
      <c r="C2031">
        <v>146.087349009999</v>
      </c>
      <c r="D2031">
        <v>-17.6654222035</v>
      </c>
      <c r="G2031" s="92"/>
      <c r="I2031">
        <v>8</v>
      </c>
      <c r="J2031" t="s">
        <v>26</v>
      </c>
      <c r="K2031" s="57"/>
      <c r="L2031" s="31"/>
      <c r="M2031" s="31"/>
      <c r="N2031" s="31"/>
      <c r="O2031" s="31"/>
      <c r="S2031" s="57"/>
      <c r="X2031" s="57"/>
    </row>
    <row r="2032" spans="1:24" hidden="1" x14ac:dyDescent="0.35">
      <c r="A2032">
        <v>2028</v>
      </c>
      <c r="B2032">
        <v>2029</v>
      </c>
      <c r="C2032">
        <v>146.08730770700001</v>
      </c>
      <c r="D2032">
        <v>-17.6654975438999</v>
      </c>
      <c r="G2032" s="92"/>
      <c r="I2032">
        <v>8</v>
      </c>
      <c r="J2032" t="s">
        <v>26</v>
      </c>
      <c r="K2032" s="57"/>
      <c r="L2032" s="31"/>
      <c r="M2032" s="31"/>
      <c r="N2032" s="31"/>
      <c r="O2032" s="31"/>
      <c r="S2032" s="57"/>
      <c r="X2032" s="57"/>
    </row>
    <row r="2033" spans="1:24" hidden="1" x14ac:dyDescent="0.35">
      <c r="A2033">
        <v>2029</v>
      </c>
      <c r="B2033">
        <v>2030</v>
      </c>
      <c r="C2033">
        <v>146.08728064799899</v>
      </c>
      <c r="D2033">
        <v>-17.665579164</v>
      </c>
      <c r="G2033" s="92"/>
      <c r="I2033">
        <v>8</v>
      </c>
      <c r="J2033" t="s">
        <v>26</v>
      </c>
      <c r="K2033" s="57"/>
      <c r="L2033" s="31"/>
      <c r="M2033" s="31"/>
      <c r="N2033" s="31"/>
      <c r="O2033" s="31"/>
      <c r="S2033" s="57"/>
      <c r="X2033" s="57"/>
    </row>
    <row r="2034" spans="1:24" hidden="1" x14ac:dyDescent="0.35">
      <c r="A2034">
        <v>2030</v>
      </c>
      <c r="B2034">
        <v>2031</v>
      </c>
      <c r="C2034">
        <v>146.08725358999899</v>
      </c>
      <c r="D2034">
        <v>-17.665660784100002</v>
      </c>
      <c r="G2034" s="92"/>
      <c r="I2034">
        <v>8</v>
      </c>
      <c r="J2034" t="s">
        <v>26</v>
      </c>
      <c r="K2034" s="57"/>
      <c r="L2034" s="31"/>
      <c r="M2034" s="31"/>
      <c r="N2034" s="31"/>
      <c r="O2034" s="31"/>
      <c r="S2034" s="57"/>
      <c r="X2034" s="57"/>
    </row>
    <row r="2035" spans="1:24" hidden="1" x14ac:dyDescent="0.35">
      <c r="A2035">
        <v>2031</v>
      </c>
      <c r="B2035">
        <v>2032</v>
      </c>
      <c r="C2035">
        <v>146.08723673</v>
      </c>
      <c r="D2035">
        <v>-17.665744365199899</v>
      </c>
      <c r="G2035" s="92"/>
      <c r="I2035">
        <v>8</v>
      </c>
      <c r="J2035" t="s">
        <v>26</v>
      </c>
      <c r="K2035" s="57"/>
      <c r="L2035" s="31"/>
      <c r="M2035" s="31"/>
      <c r="N2035" s="31"/>
      <c r="O2035" s="31"/>
      <c r="S2035" s="57"/>
      <c r="X2035" s="57"/>
    </row>
    <row r="2036" spans="1:24" hidden="1" x14ac:dyDescent="0.35">
      <c r="A2036">
        <v>2032</v>
      </c>
      <c r="B2036">
        <v>2033</v>
      </c>
      <c r="C2036">
        <v>146.08722845200001</v>
      </c>
      <c r="D2036">
        <v>-17.6658295963</v>
      </c>
      <c r="G2036" s="92"/>
      <c r="I2036">
        <v>8</v>
      </c>
      <c r="J2036" t="s">
        <v>26</v>
      </c>
      <c r="K2036" s="57"/>
      <c r="L2036" s="31"/>
      <c r="M2036" s="31"/>
      <c r="N2036" s="31"/>
      <c r="O2036" s="31"/>
      <c r="S2036" s="57"/>
      <c r="X2036" s="57"/>
    </row>
    <row r="2037" spans="1:24" hidden="1" x14ac:dyDescent="0.35">
      <c r="A2037">
        <v>2033</v>
      </c>
      <c r="B2037">
        <v>2034</v>
      </c>
      <c r="C2037">
        <v>146.08722017400001</v>
      </c>
      <c r="D2037">
        <v>-17.665914827400002</v>
      </c>
      <c r="G2037" s="92"/>
      <c r="I2037">
        <v>8</v>
      </c>
      <c r="J2037" t="s">
        <v>26</v>
      </c>
      <c r="K2037" s="57"/>
      <c r="L2037" s="31"/>
      <c r="M2037" s="31"/>
      <c r="N2037" s="31"/>
      <c r="O2037" s="31"/>
      <c r="S2037" s="57"/>
      <c r="X2037" s="57"/>
    </row>
    <row r="2038" spans="1:24" hidden="1" x14ac:dyDescent="0.35">
      <c r="A2038">
        <v>2034</v>
      </c>
      <c r="B2038">
        <v>2035</v>
      </c>
      <c r="C2038">
        <v>146.087205310999</v>
      </c>
      <c r="D2038">
        <v>-17.6659991514999</v>
      </c>
      <c r="G2038" s="92"/>
      <c r="I2038">
        <v>8</v>
      </c>
      <c r="J2038" t="s">
        <v>26</v>
      </c>
      <c r="K2038" s="57"/>
      <c r="L2038" s="31"/>
      <c r="M2038" s="31"/>
      <c r="N2038" s="31"/>
      <c r="O2038" s="31"/>
      <c r="S2038" s="57"/>
      <c r="X2038" s="57"/>
    </row>
    <row r="2039" spans="1:24" hidden="1" x14ac:dyDescent="0.35">
      <c r="A2039">
        <v>2035</v>
      </c>
      <c r="B2039">
        <v>2036</v>
      </c>
      <c r="C2039">
        <v>146.08718791800001</v>
      </c>
      <c r="D2039">
        <v>-17.666083126899899</v>
      </c>
      <c r="G2039" s="92"/>
      <c r="I2039">
        <v>8</v>
      </c>
      <c r="J2039" t="s">
        <v>26</v>
      </c>
      <c r="K2039" s="57"/>
      <c r="L2039" s="31"/>
      <c r="M2039" s="31"/>
      <c r="N2039" s="31"/>
      <c r="O2039" s="31"/>
      <c r="S2039" s="57"/>
      <c r="X2039" s="57"/>
    </row>
    <row r="2040" spans="1:24" hidden="1" x14ac:dyDescent="0.35">
      <c r="A2040">
        <v>2036</v>
      </c>
      <c r="B2040">
        <v>2037</v>
      </c>
      <c r="C2040">
        <v>146.08716664599899</v>
      </c>
      <c r="D2040">
        <v>-17.6661655272</v>
      </c>
      <c r="G2040" s="92"/>
      <c r="I2040">
        <v>8</v>
      </c>
      <c r="J2040" t="s">
        <v>26</v>
      </c>
      <c r="K2040" s="57"/>
      <c r="L2040" s="31"/>
      <c r="M2040" s="31"/>
      <c r="N2040" s="31"/>
      <c r="O2040" s="31"/>
      <c r="S2040" s="57"/>
      <c r="X2040" s="57"/>
    </row>
    <row r="2041" spans="1:24" hidden="1" x14ac:dyDescent="0.35">
      <c r="A2041">
        <v>2037</v>
      </c>
      <c r="B2041">
        <v>2038</v>
      </c>
      <c r="C2041">
        <v>146.087115259</v>
      </c>
      <c r="D2041">
        <v>-17.666235732800001</v>
      </c>
      <c r="G2041" s="92"/>
      <c r="I2041">
        <v>8</v>
      </c>
      <c r="J2041" t="s">
        <v>26</v>
      </c>
      <c r="K2041" s="57"/>
      <c r="L2041" s="31"/>
      <c r="M2041" s="31"/>
      <c r="N2041" s="31"/>
      <c r="O2041" s="31"/>
      <c r="S2041" s="57"/>
      <c r="X2041" s="57"/>
    </row>
    <row r="2042" spans="1:24" hidden="1" x14ac:dyDescent="0.35">
      <c r="A2042">
        <v>2038</v>
      </c>
      <c r="B2042">
        <v>2039</v>
      </c>
      <c r="C2042">
        <v>146.087055520999</v>
      </c>
      <c r="D2042">
        <v>-17.6662985367999</v>
      </c>
      <c r="G2042" s="92"/>
      <c r="I2042">
        <v>8</v>
      </c>
      <c r="J2042" t="s">
        <v>26</v>
      </c>
      <c r="K2042" s="57"/>
      <c r="L2042" s="31"/>
      <c r="M2042" s="31"/>
      <c r="N2042" s="31"/>
      <c r="O2042" s="31"/>
      <c r="S2042" s="57"/>
      <c r="X2042" s="57"/>
    </row>
    <row r="2043" spans="1:24" hidden="1" x14ac:dyDescent="0.35">
      <c r="A2043">
        <v>2039</v>
      </c>
      <c r="B2043">
        <v>2040</v>
      </c>
      <c r="C2043">
        <v>146.086986701999</v>
      </c>
      <c r="D2043">
        <v>-17.6663535518</v>
      </c>
      <c r="G2043" s="92"/>
      <c r="I2043">
        <v>8</v>
      </c>
      <c r="J2043" t="s">
        <v>26</v>
      </c>
      <c r="K2043" s="57"/>
      <c r="L2043" s="31"/>
      <c r="M2043" s="31"/>
      <c r="N2043" s="31"/>
      <c r="O2043" s="31"/>
      <c r="S2043" s="57"/>
      <c r="X2043" s="57"/>
    </row>
    <row r="2044" spans="1:24" hidden="1" x14ac:dyDescent="0.35">
      <c r="A2044">
        <v>2040</v>
      </c>
      <c r="B2044">
        <v>2041</v>
      </c>
      <c r="C2044">
        <v>146.08690976700001</v>
      </c>
      <c r="D2044">
        <v>-17.6663941179999</v>
      </c>
      <c r="G2044" s="92"/>
      <c r="I2044">
        <v>8</v>
      </c>
      <c r="J2044" t="s">
        <v>26</v>
      </c>
      <c r="K2044" s="57"/>
      <c r="L2044" s="31"/>
      <c r="M2044" s="31"/>
      <c r="N2044" s="31"/>
      <c r="O2044" s="31"/>
      <c r="S2044" s="57"/>
      <c r="X2044" s="57"/>
    </row>
    <row r="2045" spans="1:24" hidden="1" x14ac:dyDescent="0.35">
      <c r="A2045">
        <v>2041</v>
      </c>
      <c r="B2045">
        <v>2042</v>
      </c>
      <c r="C2045">
        <v>146.086823554999</v>
      </c>
      <c r="D2045">
        <v>-17.666418171899899</v>
      </c>
      <c r="G2045" s="92"/>
      <c r="I2045">
        <v>8</v>
      </c>
      <c r="J2045" t="s">
        <v>26</v>
      </c>
      <c r="K2045" s="57"/>
      <c r="L2045" s="31"/>
      <c r="M2045" s="31"/>
      <c r="N2045" s="31"/>
      <c r="O2045" s="31"/>
      <c r="S2045" s="57"/>
      <c r="X2045" s="57"/>
    </row>
    <row r="2046" spans="1:24" hidden="1" x14ac:dyDescent="0.35">
      <c r="A2046">
        <v>2042</v>
      </c>
      <c r="B2046">
        <v>2043</v>
      </c>
      <c r="C2046">
        <v>146.08673693</v>
      </c>
      <c r="D2046">
        <v>-17.666440405500001</v>
      </c>
      <c r="G2046" s="92"/>
      <c r="I2046">
        <v>8</v>
      </c>
      <c r="J2046" t="s">
        <v>26</v>
      </c>
      <c r="K2046" s="57"/>
      <c r="L2046" s="31"/>
      <c r="M2046" s="31"/>
      <c r="N2046" s="31"/>
      <c r="O2046" s="31"/>
      <c r="S2046" s="57"/>
      <c r="X2046" s="57"/>
    </row>
    <row r="2047" spans="1:24" hidden="1" x14ac:dyDescent="0.35">
      <c r="A2047">
        <v>2043</v>
      </c>
      <c r="B2047">
        <v>2044</v>
      </c>
      <c r="C2047">
        <v>146.086648002999</v>
      </c>
      <c r="D2047">
        <v>-17.6664525214</v>
      </c>
      <c r="G2047" s="92"/>
      <c r="I2047">
        <v>8</v>
      </c>
      <c r="J2047" t="s">
        <v>26</v>
      </c>
      <c r="K2047" s="57"/>
      <c r="L2047" s="31"/>
      <c r="M2047" s="31"/>
      <c r="N2047" s="31"/>
      <c r="O2047" s="31"/>
      <c r="S2047" s="57"/>
      <c r="X2047" s="57"/>
    </row>
    <row r="2048" spans="1:24" hidden="1" x14ac:dyDescent="0.35">
      <c r="A2048">
        <v>2044</v>
      </c>
      <c r="B2048">
        <v>2045</v>
      </c>
      <c r="C2048">
        <v>146.08655907599899</v>
      </c>
      <c r="D2048">
        <v>-17.666464637299899</v>
      </c>
      <c r="G2048" s="92"/>
      <c r="I2048">
        <v>8</v>
      </c>
      <c r="J2048" t="s">
        <v>26</v>
      </c>
      <c r="K2048" s="57"/>
      <c r="L2048" s="31"/>
      <c r="M2048" s="31"/>
      <c r="N2048" s="31"/>
      <c r="O2048" s="31"/>
      <c r="S2048" s="57"/>
      <c r="X2048" s="57"/>
    </row>
    <row r="2049" spans="1:24" hidden="1" x14ac:dyDescent="0.35">
      <c r="A2049">
        <v>2045</v>
      </c>
      <c r="B2049">
        <v>2046</v>
      </c>
      <c r="C2049">
        <v>146.08646987200001</v>
      </c>
      <c r="D2049">
        <v>-17.6664716808999</v>
      </c>
      <c r="G2049" s="92"/>
      <c r="I2049">
        <v>8</v>
      </c>
      <c r="J2049" t="s">
        <v>26</v>
      </c>
      <c r="K2049" s="57"/>
      <c r="L2049" s="31"/>
      <c r="M2049" s="31"/>
      <c r="N2049" s="31"/>
      <c r="O2049" s="31"/>
      <c r="S2049" s="57"/>
      <c r="X2049" s="57"/>
    </row>
    <row r="2050" spans="1:24" hidden="1" x14ac:dyDescent="0.35">
      <c r="A2050">
        <v>2046</v>
      </c>
      <c r="B2050">
        <v>2047</v>
      </c>
      <c r="C2050">
        <v>146.086380106999</v>
      </c>
      <c r="D2050">
        <v>-17.6664683955999</v>
      </c>
      <c r="G2050" s="92"/>
      <c r="I2050">
        <v>8</v>
      </c>
      <c r="J2050" t="s">
        <v>26</v>
      </c>
      <c r="K2050" s="57"/>
      <c r="L2050" s="31"/>
      <c r="M2050" s="31"/>
      <c r="N2050" s="31"/>
      <c r="O2050" s="31"/>
      <c r="S2050" s="57"/>
      <c r="X2050" s="57"/>
    </row>
    <row r="2051" spans="1:24" hidden="1" x14ac:dyDescent="0.35">
      <c r="A2051">
        <v>2047</v>
      </c>
      <c r="B2051">
        <v>2048</v>
      </c>
      <c r="C2051">
        <v>146.08629034200001</v>
      </c>
      <c r="D2051">
        <v>-17.6664651102999</v>
      </c>
      <c r="G2051" s="92"/>
      <c r="I2051">
        <v>8</v>
      </c>
      <c r="J2051" t="s">
        <v>26</v>
      </c>
      <c r="K2051" s="57"/>
      <c r="L2051" s="31"/>
      <c r="M2051" s="31"/>
      <c r="N2051" s="31"/>
      <c r="O2051" s="31"/>
      <c r="S2051" s="57"/>
      <c r="X2051" s="57"/>
    </row>
    <row r="2052" spans="1:24" hidden="1" x14ac:dyDescent="0.35">
      <c r="A2052">
        <v>2048</v>
      </c>
      <c r="B2052">
        <v>2049</v>
      </c>
      <c r="C2052">
        <v>146.086202579</v>
      </c>
      <c r="D2052">
        <v>-17.666447742100001</v>
      </c>
      <c r="G2052" s="92"/>
      <c r="I2052">
        <v>8</v>
      </c>
      <c r="J2052" t="s">
        <v>26</v>
      </c>
      <c r="K2052" s="57"/>
      <c r="L2052" s="31"/>
      <c r="M2052" s="31"/>
      <c r="N2052" s="31"/>
      <c r="O2052" s="31"/>
      <c r="S2052" s="57"/>
      <c r="X2052" s="57"/>
    </row>
    <row r="2053" spans="1:24" hidden="1" x14ac:dyDescent="0.35">
      <c r="A2053">
        <v>2049</v>
      </c>
      <c r="B2053">
        <v>2050</v>
      </c>
      <c r="C2053">
        <v>146.08611513100001</v>
      </c>
      <c r="D2053">
        <v>-17.666428152799899</v>
      </c>
      <c r="G2053" s="92"/>
      <c r="I2053">
        <v>8</v>
      </c>
      <c r="J2053" t="s">
        <v>26</v>
      </c>
      <c r="K2053" s="57"/>
      <c r="L2053" s="31"/>
      <c r="M2053" s="31"/>
      <c r="N2053" s="31"/>
      <c r="O2053" s="31"/>
      <c r="S2053" s="57"/>
      <c r="X2053" s="57"/>
    </row>
    <row r="2054" spans="1:24" hidden="1" x14ac:dyDescent="0.35">
      <c r="A2054">
        <v>2050</v>
      </c>
      <c r="B2054">
        <v>2051</v>
      </c>
      <c r="C2054">
        <v>146.08602768399899</v>
      </c>
      <c r="D2054">
        <v>-17.666408563600001</v>
      </c>
      <c r="G2054" s="92"/>
      <c r="I2054">
        <v>8</v>
      </c>
      <c r="J2054" t="s">
        <v>26</v>
      </c>
      <c r="K2054" s="57"/>
      <c r="L2054" s="31"/>
      <c r="M2054" s="31"/>
      <c r="N2054" s="31"/>
      <c r="O2054" s="31"/>
      <c r="S2054" s="57"/>
      <c r="X2054" s="57"/>
    </row>
    <row r="2055" spans="1:24" hidden="1" x14ac:dyDescent="0.35">
      <c r="A2055">
        <v>2051</v>
      </c>
      <c r="B2055">
        <v>2052</v>
      </c>
      <c r="C2055">
        <v>146.085950730999</v>
      </c>
      <c r="D2055">
        <v>-17.6663651229</v>
      </c>
      <c r="G2055" s="92"/>
      <c r="I2055">
        <v>8</v>
      </c>
      <c r="J2055" t="s">
        <v>26</v>
      </c>
      <c r="K2055" s="57"/>
      <c r="L2055" s="31"/>
      <c r="M2055" s="31"/>
      <c r="N2055" s="31"/>
      <c r="O2055" s="31"/>
      <c r="S2055" s="57"/>
      <c r="X2055" s="57"/>
    </row>
    <row r="2056" spans="1:24" hidden="1" x14ac:dyDescent="0.35">
      <c r="A2056">
        <v>2052</v>
      </c>
      <c r="B2056">
        <v>2053</v>
      </c>
      <c r="C2056">
        <v>146.08587476899899</v>
      </c>
      <c r="D2056">
        <v>-17.6663194323</v>
      </c>
      <c r="G2056" s="92"/>
      <c r="I2056">
        <v>8</v>
      </c>
      <c r="J2056" t="s">
        <v>26</v>
      </c>
      <c r="K2056" s="57"/>
      <c r="L2056" s="31"/>
      <c r="M2056" s="31"/>
      <c r="N2056" s="31"/>
      <c r="O2056" s="31"/>
      <c r="S2056" s="57"/>
      <c r="X2056" s="57"/>
    </row>
    <row r="2057" spans="1:24" hidden="1" x14ac:dyDescent="0.35">
      <c r="A2057">
        <v>2053</v>
      </c>
      <c r="B2057">
        <v>2054</v>
      </c>
      <c r="C2057">
        <v>146.08580088900001</v>
      </c>
      <c r="D2057">
        <v>-17.6662715203</v>
      </c>
      <c r="G2057" s="92"/>
      <c r="I2057">
        <v>8</v>
      </c>
      <c r="J2057" t="s">
        <v>26</v>
      </c>
      <c r="K2057" s="57"/>
      <c r="L2057" s="31"/>
      <c r="M2057" s="31"/>
      <c r="N2057" s="31"/>
      <c r="O2057" s="31"/>
      <c r="S2057" s="57"/>
      <c r="X2057" s="57"/>
    </row>
    <row r="2058" spans="1:24" hidden="1" x14ac:dyDescent="0.35">
      <c r="A2058">
        <v>2054</v>
      </c>
      <c r="B2058">
        <v>2055</v>
      </c>
      <c r="C2058">
        <v>146.085744691</v>
      </c>
      <c r="D2058">
        <v>-17.6662047429</v>
      </c>
      <c r="G2058" s="92"/>
      <c r="I2058">
        <v>8</v>
      </c>
      <c r="J2058" t="s">
        <v>26</v>
      </c>
      <c r="K2058" s="57"/>
      <c r="L2058" s="31"/>
      <c r="M2058" s="31"/>
      <c r="N2058" s="31"/>
      <c r="O2058" s="31"/>
      <c r="S2058" s="57"/>
      <c r="X2058" s="57"/>
    </row>
    <row r="2059" spans="1:24" hidden="1" x14ac:dyDescent="0.35">
      <c r="A2059">
        <v>2055</v>
      </c>
      <c r="B2059">
        <v>2056</v>
      </c>
      <c r="C2059">
        <v>146.08568849400001</v>
      </c>
      <c r="D2059">
        <v>-17.6661379654999</v>
      </c>
      <c r="G2059" s="92"/>
      <c r="I2059">
        <v>8</v>
      </c>
      <c r="J2059" t="s">
        <v>26</v>
      </c>
      <c r="K2059" s="57"/>
      <c r="L2059" s="31"/>
      <c r="M2059" s="31"/>
      <c r="N2059" s="31"/>
      <c r="O2059" s="31"/>
      <c r="S2059" s="57"/>
      <c r="X2059" s="57"/>
    </row>
    <row r="2060" spans="1:24" hidden="1" x14ac:dyDescent="0.35">
      <c r="A2060">
        <v>2056</v>
      </c>
      <c r="B2060">
        <v>2057</v>
      </c>
      <c r="C2060">
        <v>146.08563124400001</v>
      </c>
      <c r="D2060">
        <v>-17.6660720474</v>
      </c>
      <c r="G2060" s="92"/>
      <c r="I2060">
        <v>8</v>
      </c>
      <c r="J2060" t="s">
        <v>26</v>
      </c>
      <c r="K2060" s="57"/>
      <c r="L2060" s="31"/>
      <c r="M2060" s="31"/>
      <c r="N2060" s="31"/>
      <c r="O2060" s="31"/>
      <c r="S2060" s="57"/>
      <c r="X2060" s="57"/>
    </row>
    <row r="2061" spans="1:24" hidden="1" x14ac:dyDescent="0.35">
      <c r="A2061">
        <v>2057</v>
      </c>
      <c r="B2061">
        <v>2058</v>
      </c>
      <c r="C2061">
        <v>146.08557055200001</v>
      </c>
      <c r="D2061">
        <v>-17.6660089431</v>
      </c>
      <c r="G2061" s="92"/>
      <c r="I2061">
        <v>8</v>
      </c>
      <c r="J2061" t="s">
        <v>26</v>
      </c>
      <c r="K2061" s="57"/>
      <c r="L2061" s="31"/>
      <c r="M2061" s="31"/>
      <c r="N2061" s="31"/>
      <c r="O2061" s="31"/>
      <c r="S2061" s="57"/>
      <c r="X2061" s="57"/>
    </row>
    <row r="2062" spans="1:24" hidden="1" x14ac:dyDescent="0.35">
      <c r="A2062">
        <v>2058</v>
      </c>
      <c r="B2062">
        <v>2059</v>
      </c>
      <c r="C2062">
        <v>146.08550985900001</v>
      </c>
      <c r="D2062">
        <v>-17.6659458387999</v>
      </c>
      <c r="G2062" s="92"/>
      <c r="I2062">
        <v>8</v>
      </c>
      <c r="J2062" t="s">
        <v>26</v>
      </c>
      <c r="K2062" s="57"/>
      <c r="L2062" s="31"/>
      <c r="M2062" s="31"/>
      <c r="N2062" s="31"/>
      <c r="O2062" s="31"/>
      <c r="S2062" s="57"/>
      <c r="X2062" s="57"/>
    </row>
    <row r="2063" spans="1:24" hidden="1" x14ac:dyDescent="0.35">
      <c r="A2063">
        <v>2059</v>
      </c>
      <c r="B2063">
        <v>2060</v>
      </c>
      <c r="C2063">
        <v>146.08544916599899</v>
      </c>
      <c r="D2063">
        <v>-17.6658827344</v>
      </c>
      <c r="G2063" s="92"/>
      <c r="I2063">
        <v>8</v>
      </c>
      <c r="J2063" t="s">
        <v>26</v>
      </c>
      <c r="K2063" s="57"/>
      <c r="L2063" s="31"/>
      <c r="M2063" s="31"/>
      <c r="N2063" s="31"/>
      <c r="O2063" s="31"/>
      <c r="S2063" s="57"/>
      <c r="X2063" s="57"/>
    </row>
    <row r="2064" spans="1:24" hidden="1" x14ac:dyDescent="0.35">
      <c r="A2064">
        <v>2060</v>
      </c>
      <c r="B2064">
        <v>2061</v>
      </c>
      <c r="C2064">
        <v>146.08536914000001</v>
      </c>
      <c r="D2064">
        <v>-17.665844244399899</v>
      </c>
      <c r="G2064" s="92"/>
      <c r="I2064">
        <v>8</v>
      </c>
      <c r="J2064" t="s">
        <v>26</v>
      </c>
      <c r="K2064" s="57"/>
      <c r="L2064" s="31"/>
      <c r="M2064" s="31"/>
      <c r="N2064" s="31"/>
      <c r="O2064" s="31"/>
      <c r="S2064" s="57"/>
      <c r="X2064" s="57"/>
    </row>
    <row r="2065" spans="1:24" hidden="1" x14ac:dyDescent="0.35">
      <c r="A2065">
        <v>2061</v>
      </c>
      <c r="B2065">
        <v>2062</v>
      </c>
      <c r="C2065">
        <v>146.085288485999</v>
      </c>
      <c r="D2065">
        <v>-17.665806553500001</v>
      </c>
      <c r="G2065" s="92"/>
      <c r="I2065">
        <v>8</v>
      </c>
      <c r="J2065" t="s">
        <v>26</v>
      </c>
      <c r="K2065" s="57"/>
      <c r="L2065" s="31"/>
      <c r="M2065" s="31"/>
      <c r="N2065" s="31"/>
      <c r="O2065" s="31"/>
      <c r="S2065" s="57"/>
      <c r="X2065" s="57"/>
    </row>
    <row r="2066" spans="1:24" hidden="1" x14ac:dyDescent="0.35">
      <c r="A2066">
        <v>2062</v>
      </c>
      <c r="B2066">
        <v>2063</v>
      </c>
      <c r="C2066">
        <v>146.085206284999</v>
      </c>
      <c r="D2066">
        <v>-17.6657722247</v>
      </c>
      <c r="G2066" s="92"/>
      <c r="I2066">
        <v>8</v>
      </c>
      <c r="J2066" t="s">
        <v>26</v>
      </c>
      <c r="K2066" s="57"/>
      <c r="L2066" s="31"/>
      <c r="M2066" s="31"/>
      <c r="N2066" s="31"/>
      <c r="O2066" s="31"/>
      <c r="S2066" s="57"/>
      <c r="X2066" s="57"/>
    </row>
    <row r="2067" spans="1:24" hidden="1" x14ac:dyDescent="0.35">
      <c r="A2067">
        <v>2063</v>
      </c>
      <c r="B2067">
        <v>2064</v>
      </c>
      <c r="C2067">
        <v>146.085122560999</v>
      </c>
      <c r="D2067">
        <v>-17.6657412015999</v>
      </c>
      <c r="G2067" s="92"/>
      <c r="I2067">
        <v>8</v>
      </c>
      <c r="J2067" t="s">
        <v>26</v>
      </c>
      <c r="K2067" s="57"/>
      <c r="L2067" s="31"/>
      <c r="M2067" s="31"/>
      <c r="N2067" s="31"/>
      <c r="O2067" s="31"/>
      <c r="S2067" s="57"/>
      <c r="X2067" s="57"/>
    </row>
    <row r="2068" spans="1:24" hidden="1" x14ac:dyDescent="0.35">
      <c r="A2068">
        <v>2064</v>
      </c>
      <c r="B2068">
        <v>2065</v>
      </c>
      <c r="C2068">
        <v>146.08503883700001</v>
      </c>
      <c r="D2068">
        <v>-17.6657101784999</v>
      </c>
      <c r="G2068" s="92"/>
      <c r="I2068">
        <v>8</v>
      </c>
      <c r="J2068" t="s">
        <v>26</v>
      </c>
      <c r="K2068" s="57"/>
      <c r="L2068" s="31"/>
      <c r="M2068" s="31"/>
      <c r="N2068" s="31"/>
      <c r="O2068" s="31"/>
      <c r="S2068" s="57"/>
      <c r="X2068" s="57"/>
    </row>
    <row r="2069" spans="1:24" hidden="1" x14ac:dyDescent="0.35">
      <c r="A2069">
        <v>2065</v>
      </c>
      <c r="B2069">
        <v>2066</v>
      </c>
      <c r="C2069">
        <v>146.084955113999</v>
      </c>
      <c r="D2069">
        <v>-17.6656791553999</v>
      </c>
      <c r="G2069" s="92"/>
      <c r="I2069">
        <v>8</v>
      </c>
      <c r="J2069" t="s">
        <v>26</v>
      </c>
      <c r="K2069" s="57"/>
      <c r="L2069" s="31"/>
      <c r="M2069" s="31"/>
      <c r="N2069" s="31"/>
      <c r="O2069" s="31"/>
      <c r="S2069" s="57"/>
      <c r="X2069" s="57"/>
    </row>
    <row r="2070" spans="1:24" hidden="1" x14ac:dyDescent="0.35">
      <c r="A2070">
        <v>2066</v>
      </c>
      <c r="B2070">
        <v>2067</v>
      </c>
      <c r="C2070">
        <v>146.084866465</v>
      </c>
      <c r="D2070">
        <v>-17.6656748457</v>
      </c>
      <c r="G2070" s="92"/>
      <c r="I2070">
        <v>8</v>
      </c>
      <c r="J2070" t="s">
        <v>26</v>
      </c>
      <c r="K2070" s="57"/>
      <c r="L2070" s="31"/>
      <c r="M2070" s="31"/>
      <c r="N2070" s="31"/>
      <c r="O2070" s="31"/>
      <c r="S2070" s="57"/>
      <c r="X2070" s="57"/>
    </row>
    <row r="2071" spans="1:24" hidden="1" x14ac:dyDescent="0.35">
      <c r="A2071">
        <v>2067</v>
      </c>
      <c r="B2071">
        <v>2068</v>
      </c>
      <c r="C2071">
        <v>146.084776656999</v>
      </c>
      <c r="D2071">
        <v>-17.665676819600002</v>
      </c>
      <c r="G2071" s="92"/>
      <c r="I2071">
        <v>8</v>
      </c>
      <c r="J2071" t="s">
        <v>26</v>
      </c>
      <c r="K2071" s="57"/>
      <c r="L2071" s="31"/>
      <c r="M2071" s="31"/>
      <c r="N2071" s="31"/>
      <c r="O2071" s="31"/>
      <c r="S2071" s="57"/>
      <c r="X2071" s="57"/>
    </row>
    <row r="2072" spans="1:24" hidden="1" x14ac:dyDescent="0.35">
      <c r="A2072">
        <v>2068</v>
      </c>
      <c r="B2072">
        <v>2069</v>
      </c>
      <c r="C2072">
        <v>146.08468684900001</v>
      </c>
      <c r="D2072">
        <v>-17.665678793600001</v>
      </c>
      <c r="G2072" s="92"/>
      <c r="I2072">
        <v>8</v>
      </c>
      <c r="J2072" t="s">
        <v>26</v>
      </c>
      <c r="K2072" s="57"/>
      <c r="L2072" s="31"/>
      <c r="M2072" s="31"/>
      <c r="N2072" s="31"/>
      <c r="O2072" s="31"/>
      <c r="S2072" s="57"/>
      <c r="X2072" s="57"/>
    </row>
    <row r="2073" spans="1:24" hidden="1" x14ac:dyDescent="0.35">
      <c r="A2073">
        <v>2069</v>
      </c>
      <c r="B2073">
        <v>2070</v>
      </c>
      <c r="C2073">
        <v>146.084602412999</v>
      </c>
      <c r="D2073">
        <v>-17.6657059650999</v>
      </c>
      <c r="G2073" s="92"/>
      <c r="I2073">
        <v>8</v>
      </c>
      <c r="J2073" t="s">
        <v>26</v>
      </c>
      <c r="K2073" s="57"/>
      <c r="L2073" s="31"/>
      <c r="M2073" s="31"/>
      <c r="N2073" s="31"/>
      <c r="O2073" s="31"/>
      <c r="S2073" s="57"/>
      <c r="X2073" s="57"/>
    </row>
    <row r="2074" spans="1:24" hidden="1" x14ac:dyDescent="0.35">
      <c r="A2074">
        <v>2070</v>
      </c>
      <c r="B2074">
        <v>2071</v>
      </c>
      <c r="C2074">
        <v>146.08452118899899</v>
      </c>
      <c r="D2074">
        <v>-17.665740427900001</v>
      </c>
      <c r="G2074" s="92"/>
      <c r="I2074">
        <v>8</v>
      </c>
      <c r="J2074" t="s">
        <v>26</v>
      </c>
      <c r="K2074" s="57"/>
      <c r="L2074" s="31"/>
      <c r="M2074" s="31"/>
      <c r="N2074" s="31"/>
      <c r="O2074" s="31"/>
      <c r="S2074" s="57"/>
      <c r="X2074" s="57"/>
    </row>
    <row r="2075" spans="1:24" hidden="1" x14ac:dyDescent="0.35">
      <c r="A2075">
        <v>2071</v>
      </c>
      <c r="B2075">
        <v>2072</v>
      </c>
      <c r="C2075">
        <v>146.08447007300001</v>
      </c>
      <c r="D2075">
        <v>-17.665809941900001</v>
      </c>
      <c r="G2075" s="92"/>
      <c r="I2075">
        <v>8</v>
      </c>
      <c r="J2075" t="s">
        <v>26</v>
      </c>
      <c r="K2075" s="57"/>
      <c r="L2075" s="31"/>
      <c r="M2075" s="31"/>
      <c r="N2075" s="31"/>
      <c r="O2075" s="31"/>
      <c r="S2075" s="57"/>
      <c r="X2075" s="57"/>
    </row>
    <row r="2076" spans="1:24" hidden="1" x14ac:dyDescent="0.35">
      <c r="A2076">
        <v>2072</v>
      </c>
      <c r="B2076">
        <v>2073</v>
      </c>
      <c r="C2076">
        <v>146.08444445200001</v>
      </c>
      <c r="D2076">
        <v>-17.6658919819</v>
      </c>
      <c r="G2076" s="92"/>
      <c r="I2076">
        <v>8</v>
      </c>
      <c r="J2076" t="s">
        <v>26</v>
      </c>
      <c r="K2076" s="57"/>
      <c r="L2076" s="31"/>
      <c r="M2076" s="31"/>
      <c r="N2076" s="31"/>
      <c r="O2076" s="31"/>
      <c r="S2076" s="57"/>
      <c r="X2076" s="57"/>
    </row>
    <row r="2077" spans="1:24" hidden="1" x14ac:dyDescent="0.35">
      <c r="A2077">
        <v>2073</v>
      </c>
      <c r="B2077">
        <v>2074</v>
      </c>
      <c r="C2077">
        <v>146.08444060100001</v>
      </c>
      <c r="D2077">
        <v>-17.6659762743</v>
      </c>
      <c r="G2077" s="92"/>
      <c r="I2077">
        <v>8</v>
      </c>
      <c r="J2077" t="s">
        <v>26</v>
      </c>
      <c r="K2077" s="57"/>
      <c r="L2077" s="31"/>
      <c r="M2077" s="31"/>
      <c r="N2077" s="31"/>
      <c r="O2077" s="31"/>
      <c r="S2077" s="57"/>
      <c r="X2077" s="57"/>
    </row>
    <row r="2078" spans="1:24" hidden="1" x14ac:dyDescent="0.35">
      <c r="A2078">
        <v>2074</v>
      </c>
      <c r="B2078">
        <v>2075</v>
      </c>
      <c r="C2078">
        <v>146.084447143999</v>
      </c>
      <c r="D2078">
        <v>-17.666061642100001</v>
      </c>
      <c r="G2078" s="92"/>
      <c r="I2078">
        <v>8</v>
      </c>
      <c r="J2078" t="s">
        <v>26</v>
      </c>
      <c r="K2078" s="57"/>
      <c r="L2078" s="31"/>
      <c r="M2078" s="31"/>
      <c r="N2078" s="31"/>
      <c r="O2078" s="31"/>
      <c r="S2078" s="57"/>
      <c r="X2078" s="57"/>
    </row>
    <row r="2079" spans="1:24" hidden="1" x14ac:dyDescent="0.35">
      <c r="A2079">
        <v>2075</v>
      </c>
      <c r="B2079">
        <v>2076</v>
      </c>
      <c r="C2079">
        <v>146.08445973400001</v>
      </c>
      <c r="D2079">
        <v>-17.6661462</v>
      </c>
      <c r="G2079" s="92"/>
      <c r="I2079">
        <v>8</v>
      </c>
      <c r="J2079" t="s">
        <v>26</v>
      </c>
      <c r="K2079" s="57"/>
      <c r="L2079" s="31"/>
      <c r="M2079" s="31"/>
      <c r="N2079" s="31"/>
      <c r="O2079" s="31"/>
      <c r="S2079" s="57"/>
      <c r="X2079" s="57"/>
    </row>
    <row r="2080" spans="1:24" hidden="1" x14ac:dyDescent="0.35">
      <c r="A2080">
        <v>2076</v>
      </c>
      <c r="B2080">
        <v>2077</v>
      </c>
      <c r="C2080">
        <v>146.084478144999</v>
      </c>
      <c r="D2080">
        <v>-17.666229978200001</v>
      </c>
      <c r="G2080" s="92"/>
      <c r="I2080">
        <v>8</v>
      </c>
      <c r="J2080" t="s">
        <v>26</v>
      </c>
      <c r="K2080" s="57"/>
      <c r="L2080" s="31"/>
      <c r="M2080" s="31"/>
      <c r="N2080" s="31"/>
      <c r="O2080" s="31"/>
      <c r="S2080" s="57"/>
      <c r="X2080" s="57"/>
    </row>
    <row r="2081" spans="1:24" hidden="1" x14ac:dyDescent="0.35">
      <c r="A2081">
        <v>2077</v>
      </c>
      <c r="B2081">
        <v>2078</v>
      </c>
      <c r="C2081">
        <v>146.084496556</v>
      </c>
      <c r="D2081">
        <v>-17.6663137562999</v>
      </c>
      <c r="G2081" s="92"/>
      <c r="I2081">
        <v>8</v>
      </c>
      <c r="J2081" t="s">
        <v>26</v>
      </c>
      <c r="K2081" s="57"/>
      <c r="L2081" s="31"/>
      <c r="M2081" s="31"/>
      <c r="N2081" s="31"/>
      <c r="O2081" s="31"/>
      <c r="S2081" s="57"/>
      <c r="X2081" s="57"/>
    </row>
    <row r="2082" spans="1:24" hidden="1" x14ac:dyDescent="0.35">
      <c r="A2082">
        <v>2078</v>
      </c>
      <c r="B2082">
        <v>2079</v>
      </c>
      <c r="C2082">
        <v>146.08451569900001</v>
      </c>
      <c r="D2082">
        <v>-17.666397380700001</v>
      </c>
      <c r="G2082" s="92"/>
      <c r="I2082">
        <v>8</v>
      </c>
      <c r="J2082" t="s">
        <v>26</v>
      </c>
      <c r="K2082" s="57"/>
      <c r="L2082" s="31"/>
      <c r="M2082" s="31"/>
      <c r="N2082" s="31"/>
      <c r="O2082" s="31"/>
      <c r="S2082" s="57"/>
      <c r="X2082" s="57"/>
    </row>
    <row r="2083" spans="1:24" hidden="1" x14ac:dyDescent="0.35">
      <c r="A2083">
        <v>2079</v>
      </c>
      <c r="B2083">
        <v>2080</v>
      </c>
      <c r="C2083">
        <v>146.084535963999</v>
      </c>
      <c r="D2083">
        <v>-17.666480769300001</v>
      </c>
      <c r="G2083" s="92"/>
      <c r="I2083">
        <v>8</v>
      </c>
      <c r="J2083" t="s">
        <v>26</v>
      </c>
      <c r="K2083" s="57"/>
      <c r="L2083" s="31"/>
      <c r="M2083" s="31"/>
      <c r="N2083" s="31"/>
      <c r="O2083" s="31"/>
      <c r="S2083" s="57"/>
      <c r="X2083" s="57"/>
    </row>
    <row r="2084" spans="1:24" hidden="1" x14ac:dyDescent="0.35">
      <c r="A2084">
        <v>2080</v>
      </c>
      <c r="B2084">
        <v>2081</v>
      </c>
      <c r="C2084">
        <v>146.08455622899899</v>
      </c>
      <c r="D2084">
        <v>-17.6665641578</v>
      </c>
      <c r="G2084" s="92"/>
      <c r="I2084">
        <v>8</v>
      </c>
      <c r="J2084" t="s">
        <v>26</v>
      </c>
      <c r="K2084" s="57"/>
      <c r="L2084" s="31"/>
      <c r="M2084" s="31"/>
      <c r="N2084" s="31"/>
      <c r="O2084" s="31"/>
      <c r="S2084" s="57"/>
      <c r="X2084" s="57"/>
    </row>
    <row r="2085" spans="1:24" hidden="1" x14ac:dyDescent="0.35">
      <c r="A2085">
        <v>2081</v>
      </c>
      <c r="B2085">
        <v>2082</v>
      </c>
      <c r="C2085">
        <v>146.084576494</v>
      </c>
      <c r="D2085">
        <v>-17.666647546299899</v>
      </c>
      <c r="G2085" s="92"/>
      <c r="I2085">
        <v>8</v>
      </c>
      <c r="J2085" t="s">
        <v>26</v>
      </c>
      <c r="K2085" s="57"/>
      <c r="L2085" s="31"/>
      <c r="M2085" s="31"/>
      <c r="N2085" s="31"/>
      <c r="O2085" s="31"/>
      <c r="S2085" s="57"/>
      <c r="X2085" s="57"/>
    </row>
    <row r="2086" spans="1:24" hidden="1" x14ac:dyDescent="0.35">
      <c r="A2086">
        <v>2082</v>
      </c>
      <c r="B2086">
        <v>2083</v>
      </c>
      <c r="C2086">
        <v>146.08460117000001</v>
      </c>
      <c r="D2086">
        <v>-17.666729824600001</v>
      </c>
      <c r="G2086" s="92"/>
      <c r="I2086">
        <v>8</v>
      </c>
      <c r="J2086" t="s">
        <v>26</v>
      </c>
      <c r="K2086" s="57"/>
      <c r="L2086" s="31"/>
      <c r="M2086" s="31"/>
      <c r="N2086" s="31"/>
      <c r="O2086" s="31"/>
      <c r="S2086" s="57"/>
      <c r="X2086" s="57"/>
    </row>
    <row r="2087" spans="1:24" hidden="1" x14ac:dyDescent="0.35">
      <c r="A2087">
        <v>2083</v>
      </c>
      <c r="B2087">
        <v>2084</v>
      </c>
      <c r="C2087">
        <v>146.084626764999</v>
      </c>
      <c r="D2087">
        <v>-17.666811871699899</v>
      </c>
      <c r="G2087" s="92"/>
      <c r="I2087">
        <v>8</v>
      </c>
      <c r="J2087" t="s">
        <v>26</v>
      </c>
      <c r="K2087" s="57"/>
      <c r="L2087" s="31"/>
      <c r="M2087" s="31"/>
      <c r="N2087" s="31"/>
      <c r="O2087" s="31"/>
      <c r="S2087" s="57"/>
      <c r="X2087" s="57"/>
    </row>
    <row r="2088" spans="1:24" hidden="1" x14ac:dyDescent="0.35">
      <c r="A2088">
        <v>2084</v>
      </c>
      <c r="B2088">
        <v>2085</v>
      </c>
      <c r="C2088">
        <v>146.08465236000001</v>
      </c>
      <c r="D2088">
        <v>-17.6668939188</v>
      </c>
      <c r="G2088" s="92"/>
      <c r="I2088">
        <v>8</v>
      </c>
      <c r="J2088" t="s">
        <v>26</v>
      </c>
      <c r="K2088" s="57"/>
      <c r="L2088" s="31"/>
      <c r="M2088" s="31"/>
      <c r="N2088" s="31"/>
      <c r="O2088" s="31"/>
      <c r="S2088" s="57"/>
      <c r="X2088" s="57"/>
    </row>
    <row r="2089" spans="1:24" hidden="1" x14ac:dyDescent="0.35">
      <c r="A2089">
        <v>2085</v>
      </c>
      <c r="B2089">
        <v>2086</v>
      </c>
      <c r="C2089">
        <v>146.084677954</v>
      </c>
      <c r="D2089">
        <v>-17.666975965799899</v>
      </c>
      <c r="G2089" s="92"/>
      <c r="I2089">
        <v>8</v>
      </c>
      <c r="J2089" t="s">
        <v>26</v>
      </c>
      <c r="K2089" s="57"/>
      <c r="L2089" s="31"/>
      <c r="M2089" s="31"/>
      <c r="N2089" s="31"/>
      <c r="O2089" s="31"/>
      <c r="S2089" s="57"/>
      <c r="X2089" s="57"/>
    </row>
    <row r="2090" spans="1:24" hidden="1" x14ac:dyDescent="0.35">
      <c r="A2090">
        <v>2086</v>
      </c>
      <c r="B2090">
        <v>2087</v>
      </c>
      <c r="C2090">
        <v>146.084710717999</v>
      </c>
      <c r="D2090">
        <v>-17.667055608999899</v>
      </c>
      <c r="G2090" s="92"/>
      <c r="I2090">
        <v>8</v>
      </c>
      <c r="J2090" t="s">
        <v>26</v>
      </c>
      <c r="K2090" s="57"/>
      <c r="L2090" s="31"/>
      <c r="M2090" s="31"/>
      <c r="N2090" s="31"/>
      <c r="O2090" s="31"/>
      <c r="S2090" s="57"/>
      <c r="X2090" s="57"/>
    </row>
    <row r="2091" spans="1:24" hidden="1" x14ac:dyDescent="0.35">
      <c r="A2091">
        <v>2087</v>
      </c>
      <c r="B2091">
        <v>2088</v>
      </c>
      <c r="C2091">
        <v>146.084744688</v>
      </c>
      <c r="D2091">
        <v>-17.667134847700002</v>
      </c>
      <c r="G2091" s="92"/>
      <c r="I2091">
        <v>8</v>
      </c>
      <c r="J2091" t="s">
        <v>26</v>
      </c>
      <c r="K2091" s="57"/>
      <c r="L2091" s="31"/>
      <c r="M2091" s="31"/>
      <c r="N2091" s="31"/>
      <c r="O2091" s="31"/>
      <c r="S2091" s="57"/>
      <c r="X2091" s="57"/>
    </row>
    <row r="2092" spans="1:24" hidden="1" x14ac:dyDescent="0.35">
      <c r="A2092">
        <v>2088</v>
      </c>
      <c r="B2092">
        <v>2089</v>
      </c>
      <c r="C2092">
        <v>146.084761009999</v>
      </c>
      <c r="D2092">
        <v>-17.6672182824</v>
      </c>
      <c r="G2092" s="92"/>
      <c r="I2092">
        <v>8</v>
      </c>
      <c r="J2092" t="s">
        <v>26</v>
      </c>
      <c r="K2092" s="57"/>
      <c r="L2092" s="31"/>
      <c r="M2092" s="31"/>
      <c r="N2092" s="31"/>
      <c r="O2092" s="31"/>
      <c r="S2092" s="57"/>
      <c r="X2092" s="57"/>
    </row>
    <row r="2093" spans="1:24" hidden="1" x14ac:dyDescent="0.35">
      <c r="A2093">
        <v>2089</v>
      </c>
      <c r="B2093">
        <v>2090</v>
      </c>
      <c r="C2093">
        <v>146.08477009200001</v>
      </c>
      <c r="D2093">
        <v>-17.6673034384999</v>
      </c>
      <c r="G2093" s="92"/>
      <c r="I2093">
        <v>8</v>
      </c>
      <c r="J2093" t="s">
        <v>26</v>
      </c>
      <c r="K2093" s="57"/>
      <c r="L2093" s="31"/>
      <c r="M2093" s="31"/>
      <c r="N2093" s="31"/>
      <c r="O2093" s="31"/>
      <c r="S2093" s="57"/>
      <c r="X2093" s="57"/>
    </row>
    <row r="2094" spans="1:24" hidden="1" x14ac:dyDescent="0.35">
      <c r="A2094">
        <v>2090</v>
      </c>
      <c r="B2094">
        <v>2091</v>
      </c>
      <c r="C2094">
        <v>146.084765916999</v>
      </c>
      <c r="D2094">
        <v>-17.667387404100001</v>
      </c>
      <c r="G2094" s="92"/>
      <c r="I2094">
        <v>8</v>
      </c>
      <c r="J2094" t="s">
        <v>26</v>
      </c>
      <c r="K2094" s="57"/>
      <c r="L2094" s="31"/>
      <c r="M2094" s="31"/>
      <c r="N2094" s="31"/>
      <c r="O2094" s="31"/>
      <c r="S2094" s="57"/>
      <c r="X2094" s="57"/>
    </row>
    <row r="2095" spans="1:24" hidden="1" x14ac:dyDescent="0.35">
      <c r="A2095">
        <v>2091</v>
      </c>
      <c r="B2095">
        <v>2092</v>
      </c>
      <c r="C2095">
        <v>146.084740296999</v>
      </c>
      <c r="D2095">
        <v>-17.667469443800002</v>
      </c>
      <c r="G2095" s="92"/>
      <c r="I2095">
        <v>8</v>
      </c>
      <c r="J2095" t="s">
        <v>26</v>
      </c>
      <c r="K2095" s="57"/>
      <c r="L2095" s="31"/>
      <c r="M2095" s="31"/>
      <c r="N2095" s="31"/>
      <c r="O2095" s="31"/>
      <c r="S2095" s="57"/>
      <c r="X2095" s="57"/>
    </row>
    <row r="2096" spans="1:24" hidden="1" x14ac:dyDescent="0.35">
      <c r="A2096">
        <v>2092</v>
      </c>
      <c r="B2096">
        <v>2093</v>
      </c>
      <c r="C2096">
        <v>146.084701980999</v>
      </c>
      <c r="D2096">
        <v>-17.667546765000001</v>
      </c>
      <c r="G2096" s="92"/>
      <c r="I2096">
        <v>8</v>
      </c>
      <c r="J2096" t="s">
        <v>26</v>
      </c>
      <c r="K2096" s="57"/>
      <c r="L2096" s="31"/>
      <c r="M2096" s="31"/>
      <c r="N2096" s="31"/>
      <c r="O2096" s="31"/>
      <c r="S2096" s="57"/>
      <c r="X2096" s="57"/>
    </row>
    <row r="2097" spans="1:24" hidden="1" x14ac:dyDescent="0.35">
      <c r="A2097">
        <v>2093</v>
      </c>
      <c r="B2097">
        <v>2094</v>
      </c>
      <c r="C2097">
        <v>146.08466253700001</v>
      </c>
      <c r="D2097">
        <v>-17.667623666400001</v>
      </c>
      <c r="G2097" s="92"/>
      <c r="I2097">
        <v>8</v>
      </c>
      <c r="J2097" t="s">
        <v>26</v>
      </c>
      <c r="K2097" s="57"/>
      <c r="L2097" s="31"/>
      <c r="M2097" s="31"/>
      <c r="N2097" s="31"/>
      <c r="O2097" s="31"/>
      <c r="S2097" s="57"/>
      <c r="X2097" s="57"/>
    </row>
    <row r="2098" spans="1:24" hidden="1" x14ac:dyDescent="0.35">
      <c r="A2098">
        <v>2094</v>
      </c>
      <c r="B2098">
        <v>2095</v>
      </c>
      <c r="C2098">
        <v>146.08462309199899</v>
      </c>
      <c r="D2098">
        <v>-17.667700567699899</v>
      </c>
      <c r="G2098" s="92"/>
      <c r="I2098">
        <v>8</v>
      </c>
      <c r="J2098" t="s">
        <v>26</v>
      </c>
      <c r="K2098" s="57"/>
      <c r="L2098" s="31"/>
      <c r="M2098" s="31"/>
      <c r="N2098" s="31"/>
      <c r="O2098" s="31"/>
      <c r="S2098" s="57"/>
      <c r="X2098" s="57"/>
    </row>
    <row r="2099" spans="1:24" hidden="1" x14ac:dyDescent="0.35">
      <c r="A2099">
        <v>2095</v>
      </c>
      <c r="B2099">
        <v>2096</v>
      </c>
      <c r="C2099">
        <v>146.084584925999</v>
      </c>
      <c r="D2099">
        <v>-17.667778047900001</v>
      </c>
      <c r="G2099" s="92"/>
      <c r="I2099">
        <v>8</v>
      </c>
      <c r="J2099" t="s">
        <v>26</v>
      </c>
      <c r="K2099" s="57"/>
      <c r="L2099" s="31"/>
      <c r="M2099" s="31"/>
      <c r="N2099" s="31"/>
      <c r="O2099" s="31"/>
      <c r="S2099" s="57"/>
      <c r="X2099" s="57"/>
    </row>
    <row r="2100" spans="1:24" hidden="1" x14ac:dyDescent="0.35">
      <c r="A2100">
        <v>2096</v>
      </c>
      <c r="B2100">
        <v>2097</v>
      </c>
      <c r="C2100">
        <v>146.08454729100001</v>
      </c>
      <c r="D2100">
        <v>-17.667855768500001</v>
      </c>
      <c r="G2100" s="92"/>
      <c r="I2100">
        <v>8</v>
      </c>
      <c r="J2100" t="s">
        <v>26</v>
      </c>
      <c r="K2100" s="57"/>
      <c r="L2100" s="31"/>
      <c r="M2100" s="31"/>
      <c r="N2100" s="31"/>
      <c r="O2100" s="31"/>
      <c r="S2100" s="57"/>
      <c r="X2100" s="57"/>
    </row>
    <row r="2101" spans="1:24" hidden="1" x14ac:dyDescent="0.35">
      <c r="A2101">
        <v>2097</v>
      </c>
      <c r="B2101">
        <v>2098</v>
      </c>
      <c r="C2101">
        <v>146.084499327</v>
      </c>
      <c r="D2101">
        <v>-17.6679272979</v>
      </c>
      <c r="G2101" s="92"/>
      <c r="I2101">
        <v>8</v>
      </c>
      <c r="J2101" t="s">
        <v>26</v>
      </c>
      <c r="K2101" s="57"/>
      <c r="L2101" s="31"/>
      <c r="M2101" s="31"/>
      <c r="N2101" s="31"/>
      <c r="O2101" s="31"/>
      <c r="S2101" s="57"/>
      <c r="X2101" s="57"/>
    </row>
    <row r="2102" spans="1:24" hidden="1" x14ac:dyDescent="0.35">
      <c r="A2102">
        <v>2098</v>
      </c>
      <c r="B2102">
        <v>2099</v>
      </c>
      <c r="C2102">
        <v>146.08444209300001</v>
      </c>
      <c r="D2102">
        <v>-17.667993270099899</v>
      </c>
      <c r="G2102" s="92"/>
      <c r="I2102">
        <v>8</v>
      </c>
      <c r="J2102" t="s">
        <v>26</v>
      </c>
      <c r="K2102" s="57"/>
      <c r="L2102" s="31"/>
      <c r="M2102" s="31"/>
      <c r="N2102" s="31"/>
      <c r="O2102" s="31"/>
      <c r="S2102" s="57"/>
      <c r="X2102" s="57"/>
    </row>
    <row r="2103" spans="1:24" hidden="1" x14ac:dyDescent="0.35">
      <c r="A2103">
        <v>2099</v>
      </c>
      <c r="B2103">
        <v>2100</v>
      </c>
      <c r="C2103">
        <v>146.08436895200001</v>
      </c>
      <c r="D2103">
        <v>-17.668040540900002</v>
      </c>
      <c r="G2103" s="92"/>
      <c r="I2103">
        <v>8</v>
      </c>
      <c r="J2103" t="s">
        <v>26</v>
      </c>
      <c r="K2103" s="57"/>
      <c r="L2103" s="31"/>
      <c r="M2103" s="31"/>
      <c r="N2103" s="31"/>
      <c r="O2103" s="31"/>
      <c r="S2103" s="57"/>
      <c r="X2103" s="57"/>
    </row>
    <row r="2104" spans="1:24" hidden="1" x14ac:dyDescent="0.35">
      <c r="A2104">
        <v>2100</v>
      </c>
      <c r="B2104">
        <v>2101</v>
      </c>
      <c r="C2104">
        <v>146.08428936000001</v>
      </c>
      <c r="D2104">
        <v>-17.668080228000001</v>
      </c>
      <c r="G2104" s="92"/>
      <c r="I2104">
        <v>8</v>
      </c>
      <c r="J2104" t="s">
        <v>26</v>
      </c>
      <c r="K2104" s="57"/>
      <c r="L2104" s="31"/>
      <c r="M2104" s="31"/>
      <c r="N2104" s="31"/>
      <c r="O2104" s="31"/>
      <c r="S2104" s="57"/>
      <c r="X2104" s="57"/>
    </row>
    <row r="2105" spans="1:24" hidden="1" x14ac:dyDescent="0.35">
      <c r="A2105">
        <v>2101</v>
      </c>
      <c r="B2105">
        <v>2102</v>
      </c>
      <c r="C2105">
        <v>146.084201844999</v>
      </c>
      <c r="D2105">
        <v>-17.668098773400001</v>
      </c>
      <c r="G2105" s="92"/>
      <c r="I2105">
        <v>8</v>
      </c>
      <c r="J2105" t="s">
        <v>26</v>
      </c>
      <c r="K2105" s="57"/>
      <c r="L2105" s="31"/>
      <c r="M2105" s="31"/>
      <c r="N2105" s="31"/>
      <c r="O2105" s="31"/>
      <c r="S2105" s="57"/>
      <c r="X2105" s="57"/>
    </row>
    <row r="2106" spans="1:24" hidden="1" x14ac:dyDescent="0.35">
      <c r="A2106">
        <v>2102</v>
      </c>
      <c r="B2106">
        <v>2103</v>
      </c>
      <c r="C2106">
        <v>146.08411351999899</v>
      </c>
      <c r="D2106">
        <v>-17.668114152200001</v>
      </c>
      <c r="G2106" s="92"/>
      <c r="I2106">
        <v>8</v>
      </c>
      <c r="J2106" t="s">
        <v>26</v>
      </c>
      <c r="K2106" s="57"/>
      <c r="L2106" s="31"/>
      <c r="M2106" s="31"/>
      <c r="N2106" s="31"/>
      <c r="O2106" s="31"/>
      <c r="S2106" s="57"/>
      <c r="X2106" s="57"/>
    </row>
    <row r="2107" spans="1:24" hidden="1" x14ac:dyDescent="0.35">
      <c r="A2107">
        <v>2103</v>
      </c>
      <c r="B2107">
        <v>2104</v>
      </c>
      <c r="C2107">
        <v>146.084024540999</v>
      </c>
      <c r="D2107">
        <v>-17.6681259158999</v>
      </c>
      <c r="G2107" s="92"/>
      <c r="I2107">
        <v>8</v>
      </c>
      <c r="J2107" t="s">
        <v>26</v>
      </c>
      <c r="K2107" s="57"/>
      <c r="L2107" s="31"/>
      <c r="M2107" s="31"/>
      <c r="N2107" s="31"/>
      <c r="O2107" s="31"/>
      <c r="S2107" s="57"/>
      <c r="X2107" s="57"/>
    </row>
    <row r="2108" spans="1:24" hidden="1" x14ac:dyDescent="0.35">
      <c r="A2108">
        <v>2104</v>
      </c>
      <c r="B2108">
        <v>2105</v>
      </c>
      <c r="C2108">
        <v>146.083935561999</v>
      </c>
      <c r="D2108">
        <v>-17.6681376794999</v>
      </c>
      <c r="G2108" s="92"/>
      <c r="I2108">
        <v>8</v>
      </c>
      <c r="J2108" t="s">
        <v>26</v>
      </c>
      <c r="K2108" s="57"/>
      <c r="L2108" s="31"/>
      <c r="M2108" s="31"/>
      <c r="N2108" s="31"/>
      <c r="O2108" s="31"/>
      <c r="S2108" s="57"/>
      <c r="X2108" s="57"/>
    </row>
    <row r="2109" spans="1:24" hidden="1" x14ac:dyDescent="0.35">
      <c r="A2109">
        <v>2105</v>
      </c>
      <c r="B2109">
        <v>2106</v>
      </c>
      <c r="C2109">
        <v>146.083846582999</v>
      </c>
      <c r="D2109">
        <v>-17.668149443200001</v>
      </c>
      <c r="G2109" s="92"/>
      <c r="I2109">
        <v>8</v>
      </c>
      <c r="J2109" t="s">
        <v>26</v>
      </c>
      <c r="K2109" s="57"/>
      <c r="L2109" s="31"/>
      <c r="M2109" s="31"/>
      <c r="N2109" s="31"/>
      <c r="O2109" s="31"/>
      <c r="S2109" s="57"/>
      <c r="X2109" s="57"/>
    </row>
    <row r="2110" spans="1:24" hidden="1" x14ac:dyDescent="0.35">
      <c r="A2110">
        <v>2106</v>
      </c>
      <c r="B2110">
        <v>2107</v>
      </c>
      <c r="C2110">
        <v>146.083757429999</v>
      </c>
      <c r="D2110">
        <v>-17.6681421356</v>
      </c>
      <c r="G2110" s="92"/>
      <c r="I2110">
        <v>8</v>
      </c>
      <c r="J2110" t="s">
        <v>26</v>
      </c>
      <c r="K2110" s="57"/>
      <c r="L2110" s="31"/>
      <c r="M2110" s="31"/>
      <c r="N2110" s="31"/>
      <c r="O2110" s="31"/>
      <c r="S2110" s="57"/>
      <c r="X2110" s="57"/>
    </row>
    <row r="2111" spans="1:24" hidden="1" x14ac:dyDescent="0.35">
      <c r="A2111">
        <v>2107</v>
      </c>
      <c r="B2111">
        <v>2108</v>
      </c>
      <c r="C2111">
        <v>146.083668248999</v>
      </c>
      <c r="D2111">
        <v>-17.6681318503</v>
      </c>
      <c r="G2111" s="92"/>
      <c r="I2111">
        <v>8</v>
      </c>
      <c r="J2111" t="s">
        <v>26</v>
      </c>
      <c r="K2111" s="57"/>
      <c r="L2111" s="31"/>
      <c r="M2111" s="31"/>
      <c r="N2111" s="31"/>
      <c r="O2111" s="31"/>
      <c r="S2111" s="57"/>
      <c r="X2111" s="57"/>
    </row>
    <row r="2112" spans="1:24" hidden="1" x14ac:dyDescent="0.35">
      <c r="A2112">
        <v>2108</v>
      </c>
      <c r="B2112">
        <v>2109</v>
      </c>
      <c r="C2112">
        <v>146.08358559499899</v>
      </c>
      <c r="D2112">
        <v>-17.668101151199899</v>
      </c>
      <c r="G2112" s="92"/>
      <c r="I2112">
        <v>8</v>
      </c>
      <c r="J2112" t="s">
        <v>26</v>
      </c>
      <c r="K2112" s="57"/>
      <c r="L2112" s="31"/>
      <c r="M2112" s="31"/>
      <c r="N2112" s="31"/>
      <c r="O2112" s="31"/>
      <c r="S2112" s="57"/>
      <c r="X2112" s="57"/>
    </row>
    <row r="2113" spans="1:24" hidden="1" x14ac:dyDescent="0.35">
      <c r="A2113">
        <v>2109</v>
      </c>
      <c r="B2113">
        <v>2110</v>
      </c>
      <c r="C2113">
        <v>146.08350679399899</v>
      </c>
      <c r="D2113">
        <v>-17.6680607825</v>
      </c>
      <c r="G2113" s="92"/>
      <c r="I2113">
        <v>8</v>
      </c>
      <c r="J2113" t="s">
        <v>26</v>
      </c>
      <c r="K2113" s="57"/>
      <c r="L2113" s="31"/>
      <c r="M2113" s="31"/>
      <c r="N2113" s="31"/>
      <c r="O2113" s="31"/>
      <c r="S2113" s="57"/>
      <c r="X2113" s="57"/>
    </row>
    <row r="2114" spans="1:24" hidden="1" x14ac:dyDescent="0.35">
      <c r="A2114">
        <v>2110</v>
      </c>
      <c r="B2114">
        <v>2111</v>
      </c>
      <c r="C2114">
        <v>146.083451655</v>
      </c>
      <c r="D2114">
        <v>-17.6679949376</v>
      </c>
      <c r="G2114" s="92"/>
      <c r="I2114">
        <v>8</v>
      </c>
      <c r="J2114" t="s">
        <v>26</v>
      </c>
      <c r="K2114" s="57"/>
      <c r="L2114" s="31"/>
      <c r="M2114" s="31"/>
      <c r="N2114" s="31"/>
      <c r="O2114" s="31"/>
      <c r="S2114" s="57"/>
      <c r="X2114" s="57"/>
    </row>
    <row r="2115" spans="1:24" hidden="1" x14ac:dyDescent="0.35">
      <c r="A2115">
        <v>2111</v>
      </c>
      <c r="B2115">
        <v>2112</v>
      </c>
      <c r="C2115">
        <v>146.083477759</v>
      </c>
      <c r="D2115">
        <v>-17.667919571700001</v>
      </c>
      <c r="G2115" s="92"/>
      <c r="I2115">
        <v>8</v>
      </c>
      <c r="J2115" t="s">
        <v>26</v>
      </c>
      <c r="K2115" s="57"/>
      <c r="L2115" s="31"/>
      <c r="M2115" s="31"/>
      <c r="N2115" s="31"/>
      <c r="O2115" s="31"/>
      <c r="S2115" s="57"/>
      <c r="X2115" s="57"/>
    </row>
    <row r="2116" spans="1:24" hidden="1" x14ac:dyDescent="0.35">
      <c r="A2116">
        <v>2112</v>
      </c>
      <c r="B2116">
        <v>2113</v>
      </c>
      <c r="C2116">
        <v>146.083558729999</v>
      </c>
      <c r="D2116">
        <v>-17.667890224899899</v>
      </c>
      <c r="G2116" s="92"/>
      <c r="I2116">
        <v>8</v>
      </c>
      <c r="J2116" t="s">
        <v>26</v>
      </c>
      <c r="K2116" s="57"/>
      <c r="L2116" s="31"/>
      <c r="M2116" s="31"/>
      <c r="N2116" s="31"/>
      <c r="O2116" s="31"/>
      <c r="S2116" s="57"/>
      <c r="X2116" s="57"/>
    </row>
    <row r="2117" spans="1:24" hidden="1" x14ac:dyDescent="0.35">
      <c r="A2117">
        <v>2113</v>
      </c>
      <c r="B2117">
        <v>2114</v>
      </c>
      <c r="C2117">
        <v>146.08364677</v>
      </c>
      <c r="D2117">
        <v>-17.667873228800001</v>
      </c>
      <c r="G2117" s="92"/>
      <c r="I2117">
        <v>8</v>
      </c>
      <c r="J2117" t="s">
        <v>26</v>
      </c>
      <c r="K2117" s="57"/>
      <c r="L2117" s="31"/>
      <c r="M2117" s="31"/>
      <c r="N2117" s="31"/>
      <c r="O2117" s="31"/>
      <c r="S2117" s="57"/>
      <c r="X2117" s="57"/>
    </row>
    <row r="2118" spans="1:24" hidden="1" x14ac:dyDescent="0.35">
      <c r="A2118">
        <v>2114</v>
      </c>
      <c r="B2118">
        <v>2115</v>
      </c>
      <c r="C2118">
        <v>146.08373467499899</v>
      </c>
      <c r="D2118">
        <v>-17.667855597700001</v>
      </c>
      <c r="G2118" s="92"/>
      <c r="I2118">
        <v>8</v>
      </c>
      <c r="J2118" t="s">
        <v>26</v>
      </c>
      <c r="K2118" s="57"/>
      <c r="L2118" s="31"/>
      <c r="M2118" s="31"/>
      <c r="N2118" s="31"/>
      <c r="O2118" s="31"/>
      <c r="S2118" s="57"/>
      <c r="X2118" s="57"/>
    </row>
    <row r="2119" spans="1:24" hidden="1" x14ac:dyDescent="0.35">
      <c r="A2119">
        <v>2115</v>
      </c>
      <c r="B2119">
        <v>2116</v>
      </c>
      <c r="C2119">
        <v>146.083822768</v>
      </c>
      <c r="D2119">
        <v>-17.667839727400001</v>
      </c>
      <c r="G2119" s="92"/>
      <c r="I2119">
        <v>8</v>
      </c>
      <c r="J2119" t="s">
        <v>26</v>
      </c>
      <c r="K2119" s="57"/>
      <c r="L2119" s="31"/>
      <c r="M2119" s="31"/>
      <c r="N2119" s="31"/>
      <c r="O2119" s="31"/>
      <c r="S2119" s="57"/>
      <c r="X2119" s="57"/>
    </row>
    <row r="2120" spans="1:24" hidden="1" x14ac:dyDescent="0.35">
      <c r="A2120">
        <v>2116</v>
      </c>
      <c r="B2120">
        <v>2117</v>
      </c>
      <c r="C2120">
        <v>146.083912599</v>
      </c>
      <c r="D2120">
        <v>-17.6678401458</v>
      </c>
      <c r="G2120" s="92"/>
      <c r="I2120">
        <v>8</v>
      </c>
      <c r="J2120" t="s">
        <v>26</v>
      </c>
      <c r="K2120" s="57"/>
      <c r="L2120" s="31"/>
      <c r="M2120" s="31"/>
      <c r="N2120" s="31"/>
      <c r="O2120" s="31"/>
      <c r="S2120" s="57"/>
      <c r="X2120" s="57"/>
    </row>
    <row r="2121" spans="1:24" hidden="1" x14ac:dyDescent="0.35">
      <c r="A2121">
        <v>2117</v>
      </c>
      <c r="B2121">
        <v>2118</v>
      </c>
      <c r="C2121">
        <v>146.08400242900001</v>
      </c>
      <c r="D2121">
        <v>-17.667840564199899</v>
      </c>
      <c r="G2121" s="92"/>
      <c r="I2121">
        <v>8</v>
      </c>
      <c r="J2121" t="s">
        <v>26</v>
      </c>
      <c r="K2121" s="57"/>
      <c r="L2121" s="31"/>
      <c r="M2121" s="31"/>
      <c r="N2121" s="31"/>
      <c r="O2121" s="31"/>
      <c r="S2121" s="57"/>
      <c r="X2121" s="57"/>
    </row>
    <row r="2122" spans="1:24" hidden="1" x14ac:dyDescent="0.35">
      <c r="A2122">
        <v>2118</v>
      </c>
      <c r="B2122">
        <v>2119</v>
      </c>
      <c r="C2122">
        <v>146.084092161999</v>
      </c>
      <c r="D2122">
        <v>-17.6678399969</v>
      </c>
      <c r="G2122" s="92"/>
      <c r="I2122">
        <v>8</v>
      </c>
      <c r="J2122" t="s">
        <v>26</v>
      </c>
      <c r="K2122" s="57"/>
      <c r="L2122" s="31"/>
      <c r="M2122" s="31"/>
      <c r="N2122" s="31"/>
      <c r="O2122" s="31"/>
      <c r="S2122" s="57"/>
      <c r="X2122" s="57"/>
    </row>
    <row r="2123" spans="1:24" hidden="1" x14ac:dyDescent="0.35">
      <c r="A2123">
        <v>2119</v>
      </c>
      <c r="B2123">
        <v>2120</v>
      </c>
      <c r="C2123">
        <v>146.084180312999</v>
      </c>
      <c r="D2123">
        <v>-17.6678235215999</v>
      </c>
      <c r="G2123" s="92"/>
      <c r="I2123">
        <v>8</v>
      </c>
      <c r="J2123" t="s">
        <v>26</v>
      </c>
      <c r="K2123" s="57"/>
      <c r="L2123" s="31"/>
      <c r="M2123" s="31"/>
      <c r="N2123" s="31"/>
      <c r="O2123" s="31"/>
      <c r="S2123" s="57"/>
      <c r="X2123" s="57"/>
    </row>
    <row r="2124" spans="1:24" hidden="1" x14ac:dyDescent="0.35">
      <c r="A2124">
        <v>2120</v>
      </c>
      <c r="B2124">
        <v>2121</v>
      </c>
      <c r="C2124">
        <v>146.08426846500001</v>
      </c>
      <c r="D2124">
        <v>-17.667807045699899</v>
      </c>
      <c r="G2124" s="92"/>
      <c r="I2124">
        <v>8</v>
      </c>
      <c r="J2124" t="s">
        <v>26</v>
      </c>
      <c r="K2124" s="57"/>
      <c r="L2124" s="31"/>
      <c r="M2124" s="31"/>
      <c r="N2124" s="31"/>
      <c r="O2124" s="31"/>
      <c r="S2124" s="57"/>
      <c r="X2124" s="57"/>
    </row>
    <row r="2125" spans="1:24" hidden="1" x14ac:dyDescent="0.35">
      <c r="A2125">
        <v>2121</v>
      </c>
      <c r="B2125">
        <v>2122</v>
      </c>
      <c r="C2125">
        <v>146.08435307900001</v>
      </c>
      <c r="D2125">
        <v>-17.6677801121999</v>
      </c>
      <c r="G2125" s="92"/>
      <c r="I2125">
        <v>8</v>
      </c>
      <c r="J2125" t="s">
        <v>26</v>
      </c>
      <c r="K2125" s="57"/>
      <c r="L2125" s="31"/>
      <c r="M2125" s="31"/>
      <c r="N2125" s="31"/>
      <c r="O2125" s="31"/>
      <c r="S2125" s="57"/>
      <c r="X2125" s="57"/>
    </row>
    <row r="2126" spans="1:24" hidden="1" x14ac:dyDescent="0.35">
      <c r="A2126">
        <v>2122</v>
      </c>
      <c r="B2126">
        <v>2123</v>
      </c>
      <c r="C2126">
        <v>146.08442811500001</v>
      </c>
      <c r="D2126">
        <v>-17.6677353482999</v>
      </c>
      <c r="G2126" s="92"/>
      <c r="I2126">
        <v>8</v>
      </c>
      <c r="J2126" t="s">
        <v>26</v>
      </c>
      <c r="K2126" s="57"/>
      <c r="L2126" s="31"/>
      <c r="M2126" s="31"/>
      <c r="N2126" s="31"/>
      <c r="O2126" s="31"/>
      <c r="S2126" s="57"/>
      <c r="X2126" s="57"/>
    </row>
    <row r="2127" spans="1:24" hidden="1" x14ac:dyDescent="0.35">
      <c r="A2127">
        <v>2123</v>
      </c>
      <c r="B2127">
        <v>2124</v>
      </c>
      <c r="C2127">
        <v>146.084491748999</v>
      </c>
      <c r="D2127">
        <v>-17.667674932800001</v>
      </c>
      <c r="G2127" s="92"/>
      <c r="I2127">
        <v>8</v>
      </c>
      <c r="J2127" t="s">
        <v>26</v>
      </c>
      <c r="K2127" s="57"/>
      <c r="L2127" s="31"/>
      <c r="M2127" s="31"/>
      <c r="N2127" s="31"/>
      <c r="O2127" s="31"/>
      <c r="S2127" s="57"/>
      <c r="X2127" s="57"/>
    </row>
    <row r="2128" spans="1:24" hidden="1" x14ac:dyDescent="0.35">
      <c r="A2128">
        <v>2124</v>
      </c>
      <c r="B2128">
        <v>2125</v>
      </c>
      <c r="C2128">
        <v>146.08454323500001</v>
      </c>
      <c r="D2128">
        <v>-17.667606982599899</v>
      </c>
      <c r="G2128" s="92"/>
      <c r="I2128">
        <v>8</v>
      </c>
      <c r="J2128" t="s">
        <v>26</v>
      </c>
      <c r="K2128" s="57"/>
      <c r="L2128" s="31"/>
      <c r="M2128" s="31"/>
      <c r="N2128" s="31"/>
      <c r="O2128" s="31"/>
      <c r="S2128" s="57"/>
      <c r="X2128" s="57"/>
    </row>
    <row r="2129" spans="1:24" hidden="1" x14ac:dyDescent="0.35">
      <c r="A2129">
        <v>2125</v>
      </c>
      <c r="B2129">
        <v>2126</v>
      </c>
      <c r="C2129">
        <v>146.08457544999899</v>
      </c>
      <c r="D2129">
        <v>-17.667527081500001</v>
      </c>
      <c r="G2129" s="92"/>
      <c r="I2129">
        <v>8</v>
      </c>
      <c r="J2129" t="s">
        <v>26</v>
      </c>
      <c r="K2129" s="57"/>
      <c r="L2129" s="31"/>
      <c r="M2129" s="31"/>
      <c r="N2129" s="31"/>
      <c r="O2129" s="31"/>
      <c r="S2129" s="57"/>
      <c r="X2129" s="57"/>
    </row>
    <row r="2130" spans="1:24" hidden="1" x14ac:dyDescent="0.35">
      <c r="A2130">
        <v>2126</v>
      </c>
      <c r="B2130">
        <v>2127</v>
      </c>
      <c r="C2130">
        <v>146.08458504800001</v>
      </c>
      <c r="D2130">
        <v>-17.667444461700001</v>
      </c>
      <c r="G2130" s="92"/>
      <c r="I2130">
        <v>8</v>
      </c>
      <c r="J2130" t="s">
        <v>26</v>
      </c>
      <c r="K2130" s="57"/>
      <c r="L2130" s="31"/>
      <c r="M2130" s="31"/>
      <c r="N2130" s="31"/>
      <c r="O2130" s="31"/>
      <c r="S2130" s="57"/>
      <c r="X2130" s="57"/>
    </row>
    <row r="2131" spans="1:24" hidden="1" x14ac:dyDescent="0.35">
      <c r="A2131">
        <v>2127</v>
      </c>
      <c r="B2131">
        <v>2128</v>
      </c>
      <c r="C2131">
        <v>146.08457466799899</v>
      </c>
      <c r="D2131">
        <v>-17.6673594405</v>
      </c>
      <c r="G2131" s="92"/>
      <c r="I2131">
        <v>8</v>
      </c>
      <c r="J2131" t="s">
        <v>26</v>
      </c>
      <c r="K2131" s="57"/>
      <c r="L2131" s="31"/>
      <c r="M2131" s="31"/>
      <c r="N2131" s="31"/>
      <c r="O2131" s="31"/>
      <c r="S2131" s="57"/>
      <c r="X2131" s="57"/>
    </row>
    <row r="2132" spans="1:24" hidden="1" x14ac:dyDescent="0.35">
      <c r="A2132">
        <v>2128</v>
      </c>
      <c r="B2132">
        <v>2129</v>
      </c>
      <c r="C2132">
        <v>146.08456428900001</v>
      </c>
      <c r="D2132">
        <v>-17.6672744191</v>
      </c>
      <c r="G2132" s="92"/>
      <c r="I2132">
        <v>8</v>
      </c>
      <c r="J2132" t="s">
        <v>26</v>
      </c>
      <c r="K2132" s="57"/>
      <c r="L2132" s="31"/>
      <c r="M2132" s="31"/>
      <c r="N2132" s="31"/>
      <c r="O2132" s="31"/>
      <c r="S2132" s="57"/>
      <c r="X2132" s="57"/>
    </row>
    <row r="2133" spans="1:24" hidden="1" x14ac:dyDescent="0.35">
      <c r="A2133">
        <v>2129</v>
      </c>
      <c r="B2133">
        <v>2130</v>
      </c>
      <c r="C2133">
        <v>146.08455191799899</v>
      </c>
      <c r="D2133">
        <v>-17.667189806500001</v>
      </c>
      <c r="G2133" s="92"/>
      <c r="I2133">
        <v>8</v>
      </c>
      <c r="J2133" t="s">
        <v>26</v>
      </c>
      <c r="K2133" s="57"/>
      <c r="L2133" s="31"/>
      <c r="M2133" s="31"/>
      <c r="N2133" s="31"/>
      <c r="O2133" s="31"/>
      <c r="S2133" s="57"/>
      <c r="X2133" s="57"/>
    </row>
    <row r="2134" spans="1:24" hidden="1" x14ac:dyDescent="0.35">
      <c r="A2134">
        <v>2130</v>
      </c>
      <c r="B2134">
        <v>2131</v>
      </c>
      <c r="C2134">
        <v>146.084524633999</v>
      </c>
      <c r="D2134">
        <v>-17.667108255300001</v>
      </c>
      <c r="G2134" s="92"/>
      <c r="I2134">
        <v>8</v>
      </c>
      <c r="J2134" t="s">
        <v>26</v>
      </c>
      <c r="K2134" s="57"/>
      <c r="L2134" s="31"/>
      <c r="M2134" s="31"/>
      <c r="N2134" s="31"/>
      <c r="O2134" s="31"/>
      <c r="S2134" s="57"/>
      <c r="X2134" s="57"/>
    </row>
    <row r="2135" spans="1:24" hidden="1" x14ac:dyDescent="0.35">
      <c r="A2135">
        <v>2131</v>
      </c>
      <c r="B2135">
        <v>2132</v>
      </c>
      <c r="C2135">
        <v>146.084497349999</v>
      </c>
      <c r="D2135">
        <v>-17.667026704000001</v>
      </c>
      <c r="G2135" s="92"/>
      <c r="I2135">
        <v>8</v>
      </c>
      <c r="J2135" t="s">
        <v>26</v>
      </c>
      <c r="K2135" s="57"/>
      <c r="L2135" s="31"/>
      <c r="M2135" s="31"/>
      <c r="N2135" s="31"/>
      <c r="O2135" s="31"/>
      <c r="S2135" s="57"/>
      <c r="X2135" s="57"/>
    </row>
    <row r="2136" spans="1:24" hidden="1" x14ac:dyDescent="0.35">
      <c r="A2136">
        <v>2132</v>
      </c>
      <c r="B2136">
        <v>2133</v>
      </c>
      <c r="C2136">
        <v>146.084470065999</v>
      </c>
      <c r="D2136">
        <v>-17.666945152699899</v>
      </c>
      <c r="G2136" s="92"/>
      <c r="I2136">
        <v>8</v>
      </c>
      <c r="J2136" t="s">
        <v>26</v>
      </c>
      <c r="K2136" s="57"/>
      <c r="L2136" s="31"/>
      <c r="M2136" s="31"/>
      <c r="N2136" s="31"/>
      <c r="O2136" s="31"/>
      <c r="S2136" s="57"/>
      <c r="X2136" s="57"/>
    </row>
    <row r="2137" spans="1:24" hidden="1" x14ac:dyDescent="0.35">
      <c r="A2137">
        <v>2133</v>
      </c>
      <c r="B2137">
        <v>2134</v>
      </c>
      <c r="C2137">
        <v>146.08444055199899</v>
      </c>
      <c r="D2137">
        <v>-17.6668645522</v>
      </c>
      <c r="G2137" s="92"/>
      <c r="I2137">
        <v>8</v>
      </c>
      <c r="J2137" t="s">
        <v>26</v>
      </c>
      <c r="K2137" s="57"/>
      <c r="L2137" s="31"/>
      <c r="M2137" s="31"/>
      <c r="N2137" s="31"/>
      <c r="O2137" s="31"/>
      <c r="S2137" s="57"/>
      <c r="X2137" s="57"/>
    </row>
    <row r="2138" spans="1:24" hidden="1" x14ac:dyDescent="0.35">
      <c r="A2138">
        <v>2134</v>
      </c>
      <c r="B2138">
        <v>2135</v>
      </c>
      <c r="C2138">
        <v>146.08439491600001</v>
      </c>
      <c r="D2138">
        <v>-17.666790825900001</v>
      </c>
      <c r="G2138" s="92"/>
      <c r="I2138">
        <v>8</v>
      </c>
      <c r="J2138" t="s">
        <v>26</v>
      </c>
      <c r="K2138" s="57"/>
      <c r="L2138" s="31"/>
      <c r="M2138" s="31"/>
      <c r="N2138" s="31"/>
      <c r="O2138" s="31"/>
      <c r="S2138" s="57"/>
      <c r="X2138" s="57"/>
    </row>
    <row r="2139" spans="1:24" hidden="1" x14ac:dyDescent="0.35">
      <c r="A2139">
        <v>2135</v>
      </c>
      <c r="B2139">
        <v>2136</v>
      </c>
      <c r="C2139">
        <v>146.08434927900001</v>
      </c>
      <c r="D2139">
        <v>-17.666717099500001</v>
      </c>
      <c r="G2139" s="92"/>
      <c r="I2139">
        <v>8</v>
      </c>
      <c r="J2139" t="s">
        <v>26</v>
      </c>
      <c r="K2139" s="57"/>
      <c r="L2139" s="31"/>
      <c r="M2139" s="31"/>
      <c r="N2139" s="31"/>
      <c r="O2139" s="31"/>
      <c r="S2139" s="57"/>
      <c r="X2139" s="57"/>
    </row>
    <row r="2140" spans="1:24" hidden="1" x14ac:dyDescent="0.35">
      <c r="A2140">
        <v>2136</v>
      </c>
      <c r="B2140">
        <v>2137</v>
      </c>
      <c r="C2140">
        <v>146.08430364200001</v>
      </c>
      <c r="D2140">
        <v>-17.6666433729999</v>
      </c>
      <c r="G2140" s="92"/>
      <c r="I2140">
        <v>8</v>
      </c>
      <c r="J2140" t="s">
        <v>26</v>
      </c>
      <c r="K2140" s="57"/>
      <c r="L2140" s="31"/>
      <c r="M2140" s="31"/>
      <c r="N2140" s="31"/>
      <c r="O2140" s="31"/>
      <c r="S2140" s="57"/>
      <c r="X2140" s="57"/>
    </row>
    <row r="2141" spans="1:24" hidden="1" x14ac:dyDescent="0.35">
      <c r="A2141">
        <v>2137</v>
      </c>
      <c r="B2141">
        <v>2138</v>
      </c>
      <c r="C2141">
        <v>146.084263268</v>
      </c>
      <c r="D2141">
        <v>-17.666567436400001</v>
      </c>
      <c r="G2141" s="92"/>
      <c r="I2141">
        <v>8</v>
      </c>
      <c r="J2141" t="s">
        <v>26</v>
      </c>
      <c r="K2141" s="57"/>
      <c r="L2141" s="31"/>
      <c r="M2141" s="31"/>
      <c r="N2141" s="31"/>
      <c r="O2141" s="31"/>
      <c r="S2141" s="57"/>
      <c r="X2141" s="57"/>
    </row>
    <row r="2142" spans="1:24" hidden="1" x14ac:dyDescent="0.35">
      <c r="A2142">
        <v>2138</v>
      </c>
      <c r="B2142">
        <v>2139</v>
      </c>
      <c r="C2142">
        <v>146.084236941</v>
      </c>
      <c r="D2142">
        <v>-17.6664855997</v>
      </c>
      <c r="G2142" s="92"/>
      <c r="I2142">
        <v>8</v>
      </c>
      <c r="J2142" t="s">
        <v>26</v>
      </c>
      <c r="K2142" s="57"/>
      <c r="L2142" s="31"/>
      <c r="M2142" s="31"/>
      <c r="N2142" s="31"/>
      <c r="O2142" s="31"/>
      <c r="S2142" s="57"/>
      <c r="X2142" s="57"/>
    </row>
    <row r="2143" spans="1:24" hidden="1" x14ac:dyDescent="0.35">
      <c r="A2143">
        <v>2139</v>
      </c>
      <c r="B2143">
        <v>2140</v>
      </c>
      <c r="C2143">
        <v>146.084210614</v>
      </c>
      <c r="D2143">
        <v>-17.6664037631</v>
      </c>
      <c r="G2143" s="92"/>
      <c r="I2143">
        <v>8</v>
      </c>
      <c r="J2143" t="s">
        <v>26</v>
      </c>
      <c r="K2143" s="57"/>
      <c r="L2143" s="31"/>
      <c r="M2143" s="31"/>
      <c r="N2143" s="31"/>
      <c r="O2143" s="31"/>
      <c r="S2143" s="57"/>
      <c r="X2143" s="57"/>
    </row>
    <row r="2144" spans="1:24" hidden="1" x14ac:dyDescent="0.35">
      <c r="A2144">
        <v>2140</v>
      </c>
      <c r="B2144">
        <v>2141</v>
      </c>
      <c r="C2144">
        <v>146.084184286999</v>
      </c>
      <c r="D2144">
        <v>-17.6663219263</v>
      </c>
      <c r="G2144" s="92"/>
      <c r="I2144">
        <v>8</v>
      </c>
      <c r="J2144" t="s">
        <v>26</v>
      </c>
      <c r="K2144" s="57"/>
      <c r="L2144" s="31"/>
      <c r="M2144" s="31"/>
      <c r="N2144" s="31"/>
      <c r="O2144" s="31"/>
      <c r="S2144" s="57"/>
      <c r="X2144" s="57"/>
    </row>
    <row r="2145" spans="1:24" hidden="1" x14ac:dyDescent="0.35">
      <c r="A2145">
        <v>2141</v>
      </c>
      <c r="B2145">
        <v>2142</v>
      </c>
      <c r="C2145">
        <v>146.084157959999</v>
      </c>
      <c r="D2145">
        <v>-17.6662400897</v>
      </c>
      <c r="G2145" s="92"/>
      <c r="I2145">
        <v>8</v>
      </c>
      <c r="J2145" t="s">
        <v>26</v>
      </c>
      <c r="K2145" s="57"/>
      <c r="L2145" s="31"/>
      <c r="M2145" s="31"/>
      <c r="N2145" s="31"/>
      <c r="O2145" s="31"/>
      <c r="S2145" s="57"/>
      <c r="X2145" s="57"/>
    </row>
    <row r="2146" spans="1:24" hidden="1" x14ac:dyDescent="0.35">
      <c r="A2146">
        <v>2142</v>
      </c>
      <c r="B2146">
        <v>2143</v>
      </c>
      <c r="C2146">
        <v>146.08415458100001</v>
      </c>
      <c r="D2146">
        <v>-17.666155030799899</v>
      </c>
      <c r="G2146" s="92"/>
      <c r="I2146">
        <v>8</v>
      </c>
      <c r="J2146" t="s">
        <v>26</v>
      </c>
      <c r="K2146" s="57"/>
      <c r="L2146" s="31"/>
      <c r="M2146" s="31"/>
      <c r="N2146" s="31"/>
      <c r="O2146" s="31"/>
      <c r="S2146" s="57"/>
      <c r="X2146" s="57"/>
    </row>
    <row r="2147" spans="1:24" hidden="1" x14ac:dyDescent="0.35">
      <c r="A2147">
        <v>2143</v>
      </c>
      <c r="B2147">
        <v>2144</v>
      </c>
      <c r="C2147">
        <v>146.084155014</v>
      </c>
      <c r="D2147">
        <v>-17.666069436600001</v>
      </c>
      <c r="G2147" s="92"/>
      <c r="I2147">
        <v>8</v>
      </c>
      <c r="J2147" t="s">
        <v>26</v>
      </c>
      <c r="K2147" s="57"/>
      <c r="L2147" s="31"/>
      <c r="M2147" s="31"/>
      <c r="N2147" s="31"/>
      <c r="O2147" s="31"/>
      <c r="S2147" s="57"/>
      <c r="X2147" s="57"/>
    </row>
    <row r="2148" spans="1:24" hidden="1" x14ac:dyDescent="0.35">
      <c r="A2148">
        <v>2144</v>
      </c>
      <c r="B2148">
        <v>2145</v>
      </c>
      <c r="C2148">
        <v>146.08416118400001</v>
      </c>
      <c r="D2148">
        <v>-17.665984333800001</v>
      </c>
      <c r="G2148" s="92"/>
      <c r="I2148">
        <v>8</v>
      </c>
      <c r="J2148" t="s">
        <v>26</v>
      </c>
      <c r="K2148" s="57"/>
      <c r="L2148" s="31"/>
      <c r="M2148" s="31"/>
      <c r="N2148" s="31"/>
      <c r="O2148" s="31"/>
      <c r="S2148" s="57"/>
      <c r="X2148" s="57"/>
    </row>
    <row r="2149" spans="1:24" hidden="1" x14ac:dyDescent="0.35">
      <c r="A2149">
        <v>2145</v>
      </c>
      <c r="B2149">
        <v>2146</v>
      </c>
      <c r="C2149">
        <v>146.084176783999</v>
      </c>
      <c r="D2149">
        <v>-17.665900039099899</v>
      </c>
      <c r="G2149" s="92"/>
      <c r="I2149">
        <v>8</v>
      </c>
      <c r="J2149" t="s">
        <v>26</v>
      </c>
      <c r="K2149" s="57"/>
      <c r="L2149" s="31"/>
      <c r="M2149" s="31"/>
      <c r="N2149" s="31"/>
      <c r="O2149" s="31"/>
      <c r="S2149" s="57"/>
      <c r="X2149" s="57"/>
    </row>
    <row r="2150" spans="1:24" hidden="1" x14ac:dyDescent="0.35">
      <c r="A2150">
        <v>2146</v>
      </c>
      <c r="B2150">
        <v>2147</v>
      </c>
      <c r="C2150">
        <v>146.084192384</v>
      </c>
      <c r="D2150">
        <v>-17.665815744300001</v>
      </c>
      <c r="G2150" s="92"/>
      <c r="I2150">
        <v>8</v>
      </c>
      <c r="J2150" t="s">
        <v>26</v>
      </c>
      <c r="K2150" s="57"/>
      <c r="L2150" s="31"/>
      <c r="M2150" s="31"/>
      <c r="N2150" s="31"/>
      <c r="O2150" s="31"/>
      <c r="S2150" s="57"/>
      <c r="X2150" s="57"/>
    </row>
    <row r="2151" spans="1:24" hidden="1" x14ac:dyDescent="0.35">
      <c r="A2151">
        <v>2147</v>
      </c>
      <c r="B2151">
        <v>2148</v>
      </c>
      <c r="C2151">
        <v>146.084236228999</v>
      </c>
      <c r="D2151">
        <v>-17.6657413468999</v>
      </c>
      <c r="G2151" s="92"/>
      <c r="I2151">
        <v>8</v>
      </c>
      <c r="J2151" t="s">
        <v>26</v>
      </c>
      <c r="K2151" s="57"/>
      <c r="L2151" s="31"/>
      <c r="M2151" s="31"/>
      <c r="N2151" s="31"/>
      <c r="O2151" s="31"/>
      <c r="S2151" s="57"/>
      <c r="X2151" s="57"/>
    </row>
    <row r="2152" spans="1:24" hidden="1" x14ac:dyDescent="0.35">
      <c r="A2152">
        <v>2148</v>
      </c>
      <c r="B2152">
        <v>2149</v>
      </c>
      <c r="C2152">
        <v>146.084281661999</v>
      </c>
      <c r="D2152">
        <v>-17.665667505999899</v>
      </c>
      <c r="G2152" s="92"/>
      <c r="I2152">
        <v>8</v>
      </c>
      <c r="J2152" t="s">
        <v>26</v>
      </c>
      <c r="K2152" s="57"/>
      <c r="L2152" s="31"/>
      <c r="M2152" s="31"/>
      <c r="N2152" s="31"/>
      <c r="O2152" s="31"/>
      <c r="S2152" s="57"/>
      <c r="X2152" s="57"/>
    </row>
    <row r="2153" spans="1:24" hidden="1" x14ac:dyDescent="0.35">
      <c r="A2153">
        <v>2149</v>
      </c>
      <c r="B2153">
        <v>2150</v>
      </c>
      <c r="C2153">
        <v>146.084344157999</v>
      </c>
      <c r="D2153">
        <v>-17.665608085100001</v>
      </c>
      <c r="G2153" s="92"/>
      <c r="I2153">
        <v>8</v>
      </c>
      <c r="J2153" t="s">
        <v>26</v>
      </c>
      <c r="K2153" s="57"/>
      <c r="L2153" s="31"/>
      <c r="M2153" s="31"/>
      <c r="N2153" s="31"/>
      <c r="O2153" s="31"/>
      <c r="S2153" s="57"/>
      <c r="X2153" s="57"/>
    </row>
    <row r="2154" spans="1:24" hidden="1" x14ac:dyDescent="0.35">
      <c r="A2154">
        <v>2150</v>
      </c>
      <c r="B2154">
        <v>2151</v>
      </c>
      <c r="C2154">
        <v>146.08441567400001</v>
      </c>
      <c r="D2154">
        <v>-17.6655562870999</v>
      </c>
      <c r="G2154" s="92"/>
      <c r="I2154">
        <v>8</v>
      </c>
      <c r="J2154" t="s">
        <v>26</v>
      </c>
      <c r="K2154" s="57"/>
      <c r="L2154" s="31"/>
      <c r="M2154" s="31"/>
      <c r="N2154" s="31"/>
      <c r="O2154" s="31"/>
      <c r="S2154" s="57"/>
      <c r="X2154" s="57"/>
    </row>
    <row r="2155" spans="1:24" hidden="1" x14ac:dyDescent="0.35">
      <c r="A2155">
        <v>2151</v>
      </c>
      <c r="B2155">
        <v>2152</v>
      </c>
      <c r="C2155">
        <v>146.08449542899899</v>
      </c>
      <c r="D2155">
        <v>-17.6655234031</v>
      </c>
      <c r="G2155" s="92"/>
      <c r="I2155">
        <v>8</v>
      </c>
      <c r="J2155" t="s">
        <v>26</v>
      </c>
      <c r="K2155" s="57"/>
      <c r="L2155" s="31"/>
      <c r="M2155" s="31"/>
      <c r="N2155" s="31"/>
      <c r="O2155" s="31"/>
      <c r="S2155" s="57"/>
      <c r="X2155" s="57"/>
    </row>
    <row r="2156" spans="1:24" hidden="1" x14ac:dyDescent="0.35">
      <c r="A2156">
        <v>2152</v>
      </c>
      <c r="B2156">
        <v>2153</v>
      </c>
      <c r="C2156">
        <v>146.084584419999</v>
      </c>
      <c r="D2156">
        <v>-17.6655117225</v>
      </c>
      <c r="G2156" s="92"/>
      <c r="I2156">
        <v>8</v>
      </c>
      <c r="J2156" t="s">
        <v>26</v>
      </c>
      <c r="K2156" s="57"/>
      <c r="L2156" s="31"/>
      <c r="M2156" s="31"/>
      <c r="N2156" s="31"/>
      <c r="O2156" s="31"/>
      <c r="S2156" s="57"/>
      <c r="X2156" s="57"/>
    </row>
    <row r="2157" spans="1:24" hidden="1" x14ac:dyDescent="0.35">
      <c r="A2157">
        <v>2153</v>
      </c>
      <c r="B2157">
        <v>2154</v>
      </c>
      <c r="C2157">
        <v>146.08467339200001</v>
      </c>
      <c r="D2157">
        <v>-17.665499910600001</v>
      </c>
      <c r="G2157" s="92"/>
      <c r="I2157">
        <v>8</v>
      </c>
      <c r="J2157" t="s">
        <v>26</v>
      </c>
      <c r="K2157" s="57"/>
      <c r="L2157" s="31"/>
      <c r="M2157" s="31"/>
      <c r="N2157" s="31"/>
      <c r="O2157" s="31"/>
      <c r="S2157" s="57"/>
      <c r="X2157" s="57"/>
    </row>
    <row r="2158" spans="1:24" hidden="1" x14ac:dyDescent="0.35">
      <c r="A2158">
        <v>2154</v>
      </c>
      <c r="B2158">
        <v>2155</v>
      </c>
      <c r="C2158">
        <v>146.08476234700001</v>
      </c>
      <c r="D2158">
        <v>-17.6654879767</v>
      </c>
      <c r="G2158" s="92"/>
      <c r="I2158">
        <v>8</v>
      </c>
      <c r="J2158" t="s">
        <v>26</v>
      </c>
      <c r="K2158" s="57"/>
      <c r="L2158" s="31"/>
      <c r="M2158" s="31"/>
      <c r="N2158" s="31"/>
      <c r="O2158" s="31"/>
      <c r="S2158" s="57"/>
      <c r="X2158" s="57"/>
    </row>
    <row r="2159" spans="1:24" hidden="1" x14ac:dyDescent="0.35">
      <c r="A2159">
        <v>2155</v>
      </c>
      <c r="B2159">
        <v>2156</v>
      </c>
      <c r="C2159">
        <v>146.08485130099899</v>
      </c>
      <c r="D2159">
        <v>-17.6654760427</v>
      </c>
      <c r="G2159" s="92"/>
      <c r="I2159">
        <v>8</v>
      </c>
      <c r="J2159" t="s">
        <v>26</v>
      </c>
      <c r="K2159" s="57"/>
      <c r="L2159" s="31"/>
      <c r="M2159" s="31"/>
      <c r="N2159" s="31"/>
      <c r="O2159" s="31"/>
      <c r="S2159" s="57"/>
      <c r="X2159" s="57"/>
    </row>
    <row r="2160" spans="1:24" hidden="1" x14ac:dyDescent="0.35">
      <c r="A2160">
        <v>2156</v>
      </c>
      <c r="B2160">
        <v>2157</v>
      </c>
      <c r="C2160">
        <v>146.084940254999</v>
      </c>
      <c r="D2160">
        <v>-17.665464108799899</v>
      </c>
      <c r="G2160" s="92"/>
      <c r="I2160">
        <v>8</v>
      </c>
      <c r="J2160" t="s">
        <v>26</v>
      </c>
      <c r="K2160" s="57"/>
      <c r="L2160" s="31"/>
      <c r="M2160" s="31"/>
      <c r="N2160" s="31"/>
      <c r="O2160" s="31"/>
      <c r="S2160" s="57"/>
      <c r="X2160" s="57"/>
    </row>
    <row r="2161" spans="1:24" hidden="1" x14ac:dyDescent="0.35">
      <c r="A2161">
        <v>2157</v>
      </c>
      <c r="B2161">
        <v>2158</v>
      </c>
      <c r="C2161">
        <v>146.085025827999</v>
      </c>
      <c r="D2161">
        <v>-17.665483057300001</v>
      </c>
      <c r="G2161" s="92"/>
      <c r="I2161">
        <v>8</v>
      </c>
      <c r="J2161" t="s">
        <v>26</v>
      </c>
      <c r="K2161" s="57"/>
      <c r="L2161" s="31"/>
      <c r="M2161" s="31"/>
      <c r="N2161" s="31"/>
      <c r="O2161" s="31"/>
      <c r="S2161" s="57"/>
      <c r="X2161" s="57"/>
    </row>
    <row r="2162" spans="1:24" hidden="1" x14ac:dyDescent="0.35">
      <c r="A2162">
        <v>2158</v>
      </c>
      <c r="B2162">
        <v>2159</v>
      </c>
      <c r="C2162">
        <v>146.085110280999</v>
      </c>
      <c r="D2162">
        <v>-17.665512229400001</v>
      </c>
      <c r="G2162" s="92"/>
      <c r="I2162">
        <v>8</v>
      </c>
      <c r="J2162" t="s">
        <v>26</v>
      </c>
      <c r="K2162" s="57"/>
      <c r="L2162" s="31"/>
      <c r="M2162" s="31"/>
      <c r="N2162" s="31"/>
      <c r="O2162" s="31"/>
      <c r="S2162" s="57"/>
      <c r="X2162" s="57"/>
    </row>
    <row r="2163" spans="1:24" hidden="1" x14ac:dyDescent="0.35">
      <c r="A2163">
        <v>2159</v>
      </c>
      <c r="B2163">
        <v>2160</v>
      </c>
      <c r="C2163">
        <v>146.085194405999</v>
      </c>
      <c r="D2163">
        <v>-17.665542068099899</v>
      </c>
      <c r="G2163" s="92"/>
      <c r="I2163">
        <v>8</v>
      </c>
      <c r="J2163" t="s">
        <v>26</v>
      </c>
      <c r="K2163" s="57"/>
      <c r="L2163" s="31"/>
      <c r="M2163" s="31"/>
      <c r="N2163" s="31"/>
      <c r="O2163" s="31"/>
      <c r="S2163" s="57"/>
      <c r="X2163" s="57"/>
    </row>
    <row r="2164" spans="1:24" hidden="1" x14ac:dyDescent="0.35">
      <c r="A2164">
        <v>2160</v>
      </c>
      <c r="B2164">
        <v>2161</v>
      </c>
      <c r="C2164">
        <v>146.085271943999</v>
      </c>
      <c r="D2164">
        <v>-17.665585290100001</v>
      </c>
      <c r="G2164" s="92"/>
      <c r="I2164">
        <v>8</v>
      </c>
      <c r="J2164" t="s">
        <v>26</v>
      </c>
      <c r="K2164" s="57"/>
      <c r="L2164" s="31"/>
      <c r="M2164" s="31"/>
      <c r="N2164" s="31"/>
      <c r="O2164" s="31"/>
      <c r="S2164" s="57"/>
      <c r="X2164" s="57"/>
    </row>
    <row r="2165" spans="1:24" hidden="1" x14ac:dyDescent="0.35">
      <c r="A2165">
        <v>2161</v>
      </c>
      <c r="B2165">
        <v>2162</v>
      </c>
      <c r="C2165">
        <v>146.08534948100001</v>
      </c>
      <c r="D2165">
        <v>-17.6656285121</v>
      </c>
      <c r="G2165" s="92"/>
      <c r="I2165">
        <v>8</v>
      </c>
      <c r="J2165" t="s">
        <v>26</v>
      </c>
      <c r="K2165" s="57"/>
      <c r="L2165" s="31"/>
      <c r="M2165" s="31"/>
      <c r="N2165" s="31"/>
      <c r="O2165" s="31"/>
      <c r="S2165" s="57"/>
      <c r="X2165" s="57"/>
    </row>
    <row r="2166" spans="1:24" hidden="1" x14ac:dyDescent="0.35">
      <c r="A2166">
        <v>2162</v>
      </c>
      <c r="B2166">
        <v>2163</v>
      </c>
      <c r="C2166">
        <v>146.08542701900001</v>
      </c>
      <c r="D2166">
        <v>-17.665671734099899</v>
      </c>
      <c r="G2166" s="92"/>
      <c r="I2166">
        <v>8</v>
      </c>
      <c r="J2166" t="s">
        <v>26</v>
      </c>
      <c r="K2166" s="57"/>
      <c r="L2166" s="31"/>
      <c r="M2166" s="31"/>
      <c r="N2166" s="31"/>
      <c r="O2166" s="31"/>
      <c r="S2166" s="57"/>
      <c r="X2166" s="57"/>
    </row>
    <row r="2167" spans="1:24" hidden="1" x14ac:dyDescent="0.35">
      <c r="A2167">
        <v>2163</v>
      </c>
      <c r="B2167">
        <v>2164</v>
      </c>
      <c r="C2167">
        <v>146.085502337999</v>
      </c>
      <c r="D2167">
        <v>-17.6657179519</v>
      </c>
      <c r="G2167" s="92"/>
      <c r="I2167">
        <v>8</v>
      </c>
      <c r="J2167" t="s">
        <v>26</v>
      </c>
      <c r="K2167" s="57"/>
      <c r="L2167" s="31"/>
      <c r="M2167" s="31"/>
      <c r="N2167" s="31"/>
      <c r="O2167" s="31"/>
      <c r="S2167" s="57"/>
      <c r="X2167" s="57"/>
    </row>
    <row r="2168" spans="1:24" hidden="1" x14ac:dyDescent="0.35">
      <c r="A2168">
        <v>2164</v>
      </c>
      <c r="B2168">
        <v>2165</v>
      </c>
      <c r="C2168">
        <v>146.085571057999</v>
      </c>
      <c r="D2168">
        <v>-17.665773078800001</v>
      </c>
      <c r="G2168" s="92"/>
      <c r="I2168">
        <v>8</v>
      </c>
      <c r="J2168" t="s">
        <v>26</v>
      </c>
      <c r="K2168" s="57"/>
      <c r="L2168" s="31"/>
      <c r="M2168" s="31"/>
      <c r="N2168" s="31"/>
      <c r="O2168" s="31"/>
      <c r="S2168" s="57"/>
      <c r="X2168" s="57"/>
    </row>
    <row r="2169" spans="1:24" hidden="1" x14ac:dyDescent="0.35">
      <c r="A2169">
        <v>2165</v>
      </c>
      <c r="B2169">
        <v>2166</v>
      </c>
      <c r="C2169">
        <v>146.085639778</v>
      </c>
      <c r="D2169">
        <v>-17.665828205699899</v>
      </c>
      <c r="G2169" s="92"/>
      <c r="I2169">
        <v>8</v>
      </c>
      <c r="J2169" t="s">
        <v>26</v>
      </c>
      <c r="K2169" s="57"/>
      <c r="L2169" s="31"/>
      <c r="M2169" s="31"/>
      <c r="N2169" s="31"/>
      <c r="O2169" s="31"/>
      <c r="S2169" s="57"/>
      <c r="X2169" s="57"/>
    </row>
    <row r="2170" spans="1:24" hidden="1" x14ac:dyDescent="0.35">
      <c r="A2170">
        <v>2166</v>
      </c>
      <c r="B2170">
        <v>2167</v>
      </c>
      <c r="C2170">
        <v>146.085708498999</v>
      </c>
      <c r="D2170">
        <v>-17.6658833326</v>
      </c>
      <c r="G2170" s="92"/>
      <c r="I2170">
        <v>8</v>
      </c>
      <c r="J2170" t="s">
        <v>26</v>
      </c>
      <c r="K2170" s="57"/>
      <c r="L2170" s="31"/>
      <c r="M2170" s="31"/>
      <c r="N2170" s="31"/>
      <c r="O2170" s="31"/>
      <c r="S2170" s="57"/>
      <c r="X2170" s="57"/>
    </row>
    <row r="2171" spans="1:24" hidden="1" x14ac:dyDescent="0.35">
      <c r="A2171">
        <v>2167</v>
      </c>
      <c r="B2171">
        <v>2168</v>
      </c>
      <c r="C2171">
        <v>146.085784512999</v>
      </c>
      <c r="D2171">
        <v>-17.665927002499899</v>
      </c>
      <c r="G2171" s="92"/>
      <c r="I2171">
        <v>8</v>
      </c>
      <c r="J2171" t="s">
        <v>26</v>
      </c>
      <c r="K2171" s="57"/>
      <c r="L2171" s="31"/>
      <c r="M2171" s="31"/>
      <c r="N2171" s="31"/>
      <c r="O2171" s="31"/>
      <c r="S2171" s="57"/>
      <c r="X2171" s="57"/>
    </row>
    <row r="2172" spans="1:24" hidden="1" x14ac:dyDescent="0.35">
      <c r="A2172">
        <v>2168</v>
      </c>
      <c r="B2172">
        <v>2169</v>
      </c>
      <c r="C2172">
        <v>146.08586757200001</v>
      </c>
      <c r="D2172">
        <v>-17.6659596085</v>
      </c>
      <c r="G2172" s="92"/>
      <c r="I2172">
        <v>8</v>
      </c>
      <c r="J2172" t="s">
        <v>26</v>
      </c>
      <c r="K2172" s="57"/>
      <c r="L2172" s="31"/>
      <c r="M2172" s="31"/>
      <c r="N2172" s="31"/>
      <c r="O2172" s="31"/>
      <c r="S2172" s="57"/>
      <c r="X2172" s="57"/>
    </row>
    <row r="2173" spans="1:24" hidden="1" x14ac:dyDescent="0.35">
      <c r="A2173">
        <v>2169</v>
      </c>
      <c r="B2173">
        <v>2170</v>
      </c>
      <c r="C2173">
        <v>146.08595063000001</v>
      </c>
      <c r="D2173">
        <v>-17.665992214500001</v>
      </c>
      <c r="G2173" s="92"/>
      <c r="I2173">
        <v>8</v>
      </c>
      <c r="J2173" t="s">
        <v>26</v>
      </c>
      <c r="K2173" s="57"/>
      <c r="L2173" s="31"/>
      <c r="M2173" s="31"/>
      <c r="N2173" s="31"/>
      <c r="O2173" s="31"/>
      <c r="S2173" s="57"/>
      <c r="X2173" s="57"/>
    </row>
    <row r="2174" spans="1:24" hidden="1" x14ac:dyDescent="0.35">
      <c r="A2174">
        <v>2170</v>
      </c>
      <c r="B2174">
        <v>2171</v>
      </c>
      <c r="C2174">
        <v>146.086033689</v>
      </c>
      <c r="D2174">
        <v>-17.666024820499899</v>
      </c>
      <c r="G2174" s="92"/>
      <c r="I2174">
        <v>8</v>
      </c>
      <c r="J2174" t="s">
        <v>26</v>
      </c>
      <c r="K2174" s="57"/>
      <c r="L2174" s="31"/>
      <c r="M2174" s="31"/>
      <c r="N2174" s="31"/>
      <c r="O2174" s="31"/>
      <c r="S2174" s="57"/>
      <c r="X2174" s="57"/>
    </row>
    <row r="2175" spans="1:24" hidden="1" x14ac:dyDescent="0.35">
      <c r="A2175">
        <v>2171</v>
      </c>
      <c r="B2175">
        <v>2172</v>
      </c>
      <c r="C2175">
        <v>146.08611674700001</v>
      </c>
      <c r="D2175">
        <v>-17.6660574265</v>
      </c>
      <c r="G2175" s="92"/>
      <c r="I2175">
        <v>8</v>
      </c>
      <c r="J2175" t="s">
        <v>26</v>
      </c>
      <c r="K2175" s="57"/>
      <c r="L2175" s="31"/>
      <c r="M2175" s="31"/>
      <c r="N2175" s="31"/>
      <c r="O2175" s="31"/>
      <c r="S2175" s="57"/>
      <c r="X2175" s="57"/>
    </row>
    <row r="2176" spans="1:24" hidden="1" x14ac:dyDescent="0.35">
      <c r="A2176">
        <v>2172</v>
      </c>
      <c r="B2176">
        <v>2173</v>
      </c>
      <c r="C2176">
        <v>146.08619826200001</v>
      </c>
      <c r="D2176">
        <v>-17.666093375700001</v>
      </c>
      <c r="G2176" s="92"/>
      <c r="I2176">
        <v>8</v>
      </c>
      <c r="J2176" t="s">
        <v>26</v>
      </c>
      <c r="K2176" s="57"/>
      <c r="L2176" s="31"/>
      <c r="M2176" s="31"/>
      <c r="N2176" s="31"/>
      <c r="O2176" s="31"/>
      <c r="S2176" s="57"/>
      <c r="X2176" s="57"/>
    </row>
    <row r="2177" spans="1:24" hidden="1" x14ac:dyDescent="0.35">
      <c r="A2177">
        <v>2173</v>
      </c>
      <c r="B2177">
        <v>2174</v>
      </c>
      <c r="C2177">
        <v>146.086279601</v>
      </c>
      <c r="D2177">
        <v>-17.6661297035999</v>
      </c>
      <c r="G2177" s="92"/>
      <c r="I2177">
        <v>8</v>
      </c>
      <c r="J2177" t="s">
        <v>26</v>
      </c>
      <c r="K2177" s="57"/>
      <c r="L2177" s="31"/>
      <c r="M2177" s="31"/>
      <c r="N2177" s="31"/>
      <c r="O2177" s="31"/>
      <c r="S2177" s="57"/>
      <c r="X2177" s="57"/>
    </row>
    <row r="2178" spans="1:24" hidden="1" x14ac:dyDescent="0.35">
      <c r="A2178">
        <v>2174</v>
      </c>
      <c r="B2178">
        <v>2175</v>
      </c>
      <c r="C2178">
        <v>146.08636094100001</v>
      </c>
      <c r="D2178">
        <v>-17.666166031500001</v>
      </c>
      <c r="G2178" s="92"/>
      <c r="I2178">
        <v>8</v>
      </c>
      <c r="J2178" t="s">
        <v>26</v>
      </c>
      <c r="K2178" s="57"/>
      <c r="L2178" s="31"/>
      <c r="M2178" s="31"/>
      <c r="N2178" s="31"/>
      <c r="O2178" s="31"/>
      <c r="S2178" s="57"/>
      <c r="X2178" s="57"/>
    </row>
    <row r="2179" spans="1:24" hidden="1" x14ac:dyDescent="0.35">
      <c r="A2179">
        <v>2175</v>
      </c>
      <c r="B2179">
        <v>2176</v>
      </c>
      <c r="C2179">
        <v>146.08644228</v>
      </c>
      <c r="D2179">
        <v>-17.6662023594</v>
      </c>
      <c r="G2179" s="92"/>
      <c r="I2179">
        <v>8</v>
      </c>
      <c r="J2179" t="s">
        <v>26</v>
      </c>
      <c r="K2179" s="57"/>
      <c r="L2179" s="31"/>
      <c r="M2179" s="31"/>
      <c r="N2179" s="31"/>
      <c r="O2179" s="31"/>
      <c r="S2179" s="57"/>
      <c r="X2179" s="57"/>
    </row>
    <row r="2180" spans="1:24" hidden="1" x14ac:dyDescent="0.35">
      <c r="A2180">
        <v>2176</v>
      </c>
      <c r="B2180">
        <v>2177</v>
      </c>
      <c r="C2180">
        <v>146.08652475700001</v>
      </c>
      <c r="D2180">
        <v>-17.666236082400001</v>
      </c>
      <c r="G2180" s="92"/>
      <c r="I2180">
        <v>8</v>
      </c>
      <c r="J2180" t="s">
        <v>26</v>
      </c>
      <c r="K2180" s="57"/>
      <c r="L2180" s="31"/>
      <c r="M2180" s="31"/>
      <c r="N2180" s="31"/>
      <c r="O2180" s="31"/>
      <c r="S2180" s="57"/>
      <c r="X2180" s="57"/>
    </row>
    <row r="2181" spans="1:24" hidden="1" x14ac:dyDescent="0.35">
      <c r="A2181">
        <v>2177</v>
      </c>
      <c r="B2181">
        <v>2178</v>
      </c>
      <c r="C2181">
        <v>146.086609146999</v>
      </c>
      <c r="D2181">
        <v>-17.6662654183</v>
      </c>
      <c r="G2181" s="92"/>
      <c r="I2181">
        <v>8</v>
      </c>
      <c r="J2181" t="s">
        <v>26</v>
      </c>
      <c r="K2181" s="57"/>
      <c r="L2181" s="31"/>
      <c r="M2181" s="31"/>
      <c r="N2181" s="31"/>
      <c r="O2181" s="31"/>
      <c r="S2181" s="57"/>
      <c r="X2181" s="57"/>
    </row>
    <row r="2182" spans="1:24" hidden="1" x14ac:dyDescent="0.35">
      <c r="A2182">
        <v>2178</v>
      </c>
      <c r="B2182">
        <v>2179</v>
      </c>
      <c r="C2182">
        <v>146.086693537999</v>
      </c>
      <c r="D2182">
        <v>-17.6662947545999</v>
      </c>
      <c r="G2182" s="92"/>
      <c r="I2182">
        <v>8</v>
      </c>
      <c r="J2182" t="s">
        <v>26</v>
      </c>
      <c r="K2182" s="57"/>
      <c r="L2182" s="31"/>
      <c r="M2182" s="31"/>
      <c r="N2182" s="31"/>
      <c r="O2182" s="31"/>
      <c r="S2182" s="57"/>
      <c r="X2182" s="57"/>
    </row>
    <row r="2183" spans="1:24" hidden="1" x14ac:dyDescent="0.35">
      <c r="A2183">
        <v>2179</v>
      </c>
      <c r="B2183">
        <v>2180</v>
      </c>
      <c r="C2183">
        <v>146.086782841999</v>
      </c>
      <c r="D2183">
        <v>-17.6662922432999</v>
      </c>
      <c r="G2183" s="92"/>
      <c r="I2183">
        <v>8</v>
      </c>
      <c r="J2183" t="s">
        <v>26</v>
      </c>
      <c r="K2183" s="57"/>
      <c r="L2183" s="31"/>
      <c r="M2183" s="31"/>
      <c r="N2183" s="31"/>
      <c r="O2183" s="31"/>
      <c r="S2183" s="57"/>
      <c r="X2183" s="57"/>
    </row>
    <row r="2184" spans="1:24" hidden="1" x14ac:dyDescent="0.35">
      <c r="A2184">
        <v>2180</v>
      </c>
      <c r="B2184">
        <v>2181</v>
      </c>
      <c r="C2184">
        <v>146.08686873900001</v>
      </c>
      <c r="D2184">
        <v>-17.6662710015</v>
      </c>
      <c r="G2184" s="92"/>
      <c r="I2184">
        <v>8</v>
      </c>
      <c r="J2184" t="s">
        <v>26</v>
      </c>
      <c r="K2184" s="57"/>
      <c r="L2184" s="31"/>
      <c r="M2184" s="31"/>
      <c r="N2184" s="31"/>
      <c r="O2184" s="31"/>
      <c r="S2184" s="57"/>
      <c r="X2184" s="57"/>
    </row>
    <row r="2185" spans="1:24" hidden="1" x14ac:dyDescent="0.35">
      <c r="A2185">
        <v>2181</v>
      </c>
      <c r="B2185">
        <v>2182</v>
      </c>
      <c r="C2185">
        <v>146.08694365599899</v>
      </c>
      <c r="D2185">
        <v>-17.6662288289</v>
      </c>
      <c r="G2185" s="92"/>
      <c r="I2185">
        <v>8</v>
      </c>
      <c r="J2185" t="s">
        <v>26</v>
      </c>
      <c r="K2185" s="57"/>
      <c r="L2185" s="31"/>
      <c r="M2185" s="31"/>
      <c r="N2185" s="31"/>
      <c r="O2185" s="31"/>
      <c r="S2185" s="57"/>
      <c r="X2185" s="57"/>
    </row>
    <row r="2186" spans="1:24" hidden="1" x14ac:dyDescent="0.35">
      <c r="A2186">
        <v>2182</v>
      </c>
      <c r="B2186">
        <v>2183</v>
      </c>
      <c r="C2186">
        <v>146.086996919</v>
      </c>
      <c r="D2186">
        <v>-17.666159902099899</v>
      </c>
      <c r="G2186" s="92"/>
      <c r="I2186">
        <v>8</v>
      </c>
      <c r="J2186" t="s">
        <v>26</v>
      </c>
      <c r="K2186" s="57"/>
      <c r="L2186" s="31"/>
      <c r="M2186" s="31"/>
      <c r="N2186" s="31"/>
      <c r="O2186" s="31"/>
      <c r="S2186" s="57"/>
      <c r="X2186" s="57"/>
    </row>
    <row r="2187" spans="1:24" hidden="1" x14ac:dyDescent="0.35">
      <c r="A2187">
        <v>2183</v>
      </c>
      <c r="B2187">
        <v>2184</v>
      </c>
      <c r="C2187">
        <v>146.08702412599899</v>
      </c>
      <c r="D2187">
        <v>-17.6660798546</v>
      </c>
      <c r="G2187" s="92"/>
      <c r="I2187">
        <v>8</v>
      </c>
      <c r="J2187" t="s">
        <v>26</v>
      </c>
      <c r="K2187" s="57"/>
      <c r="L2187" s="31"/>
      <c r="M2187" s="31"/>
      <c r="N2187" s="31"/>
      <c r="O2187" s="31"/>
      <c r="S2187" s="57"/>
      <c r="X2187" s="57"/>
    </row>
    <row r="2188" spans="1:24" hidden="1" x14ac:dyDescent="0.35">
      <c r="A2188">
        <v>2184</v>
      </c>
      <c r="B2188">
        <v>2185</v>
      </c>
      <c r="C2188">
        <v>146.08704264299899</v>
      </c>
      <c r="D2188">
        <v>-17.665996097600001</v>
      </c>
      <c r="G2188" s="92"/>
      <c r="I2188">
        <v>8</v>
      </c>
      <c r="J2188" t="s">
        <v>26</v>
      </c>
      <c r="K2188" s="57"/>
      <c r="L2188" s="31"/>
      <c r="M2188" s="31"/>
      <c r="N2188" s="31"/>
      <c r="O2188" s="31"/>
      <c r="S2188" s="57"/>
      <c r="X2188" s="57"/>
    </row>
    <row r="2189" spans="1:24" hidden="1" x14ac:dyDescent="0.35">
      <c r="A2189">
        <v>2185</v>
      </c>
      <c r="B2189">
        <v>2186</v>
      </c>
      <c r="C2189">
        <v>146.08705504900001</v>
      </c>
      <c r="D2189">
        <v>-17.665911787700001</v>
      </c>
      <c r="G2189" s="92"/>
      <c r="I2189">
        <v>8</v>
      </c>
      <c r="J2189" t="s">
        <v>26</v>
      </c>
      <c r="K2189" s="57"/>
      <c r="L2189" s="31"/>
      <c r="M2189" s="31"/>
      <c r="N2189" s="31"/>
      <c r="O2189" s="31"/>
      <c r="S2189" s="57"/>
      <c r="X2189" s="57"/>
    </row>
    <row r="2190" spans="1:24" hidden="1" x14ac:dyDescent="0.35">
      <c r="A2190">
        <v>2186</v>
      </c>
      <c r="B2190">
        <v>2187</v>
      </c>
      <c r="C2190">
        <v>146.08705340500001</v>
      </c>
      <c r="D2190">
        <v>-17.6658262067</v>
      </c>
      <c r="G2190" s="92"/>
      <c r="I2190">
        <v>8</v>
      </c>
      <c r="J2190" t="s">
        <v>26</v>
      </c>
      <c r="K2190" s="57"/>
      <c r="L2190" s="31"/>
      <c r="M2190" s="31"/>
      <c r="N2190" s="31"/>
      <c r="O2190" s="31"/>
      <c r="S2190" s="57"/>
      <c r="X2190" s="57"/>
    </row>
    <row r="2191" spans="1:24" hidden="1" x14ac:dyDescent="0.35">
      <c r="A2191">
        <v>2187</v>
      </c>
      <c r="B2191">
        <v>2188</v>
      </c>
      <c r="C2191">
        <v>146.087051760999</v>
      </c>
      <c r="D2191">
        <v>-17.6657406257</v>
      </c>
      <c r="G2191" s="92"/>
      <c r="I2191">
        <v>8</v>
      </c>
      <c r="J2191" t="s">
        <v>26</v>
      </c>
      <c r="K2191" s="57"/>
      <c r="L2191" s="31"/>
      <c r="M2191" s="31"/>
      <c r="N2191" s="31"/>
      <c r="O2191" s="31"/>
      <c r="S2191" s="57"/>
      <c r="X2191" s="57"/>
    </row>
    <row r="2192" spans="1:24" hidden="1" x14ac:dyDescent="0.35">
      <c r="A2192">
        <v>2188</v>
      </c>
      <c r="B2192">
        <v>2189</v>
      </c>
      <c r="C2192">
        <v>146.087050116999</v>
      </c>
      <c r="D2192">
        <v>-17.6656550446999</v>
      </c>
      <c r="G2192" s="92"/>
      <c r="I2192">
        <v>8</v>
      </c>
      <c r="J2192" t="s">
        <v>26</v>
      </c>
      <c r="K2192" s="57"/>
      <c r="L2192" s="31"/>
      <c r="M2192" s="31"/>
      <c r="N2192" s="31"/>
      <c r="O2192" s="31"/>
      <c r="S2192" s="57"/>
      <c r="X2192" s="57"/>
    </row>
    <row r="2193" spans="1:24" hidden="1" x14ac:dyDescent="0.35">
      <c r="A2193">
        <v>2189</v>
      </c>
      <c r="B2193">
        <v>2190</v>
      </c>
      <c r="C2193">
        <v>146.08704489900001</v>
      </c>
      <c r="D2193">
        <v>-17.6655696165999</v>
      </c>
      <c r="G2193" s="92"/>
      <c r="I2193">
        <v>8</v>
      </c>
      <c r="J2193" t="s">
        <v>26</v>
      </c>
      <c r="K2193" s="57"/>
      <c r="L2193" s="31"/>
      <c r="M2193" s="31"/>
      <c r="N2193" s="31"/>
      <c r="O2193" s="31"/>
      <c r="S2193" s="57"/>
      <c r="X2193" s="57"/>
    </row>
    <row r="2194" spans="1:24" hidden="1" x14ac:dyDescent="0.35">
      <c r="A2194">
        <v>2190</v>
      </c>
      <c r="B2194">
        <v>2191</v>
      </c>
      <c r="C2194">
        <v>146.08703848100001</v>
      </c>
      <c r="D2194">
        <v>-17.6654842399</v>
      </c>
      <c r="G2194" s="92"/>
      <c r="I2194">
        <v>8</v>
      </c>
      <c r="J2194" t="s">
        <v>26</v>
      </c>
      <c r="K2194" s="57"/>
      <c r="L2194" s="31"/>
      <c r="M2194" s="31"/>
      <c r="N2194" s="31"/>
      <c r="O2194" s="31"/>
      <c r="S2194" s="57"/>
      <c r="X2194" s="57"/>
    </row>
    <row r="2195" spans="1:24" hidden="1" x14ac:dyDescent="0.35">
      <c r="A2195">
        <v>2191</v>
      </c>
      <c r="B2195">
        <v>2192</v>
      </c>
      <c r="C2195">
        <v>146.087032063999</v>
      </c>
      <c r="D2195">
        <v>-17.665398863099899</v>
      </c>
      <c r="G2195" s="92"/>
      <c r="I2195">
        <v>8</v>
      </c>
      <c r="J2195" t="s">
        <v>26</v>
      </c>
      <c r="K2195" s="57"/>
      <c r="L2195" s="31"/>
      <c r="M2195" s="31"/>
      <c r="N2195" s="31"/>
      <c r="O2195" s="31"/>
      <c r="S2195" s="57"/>
      <c r="X2195" s="57"/>
    </row>
    <row r="2196" spans="1:24" hidden="1" x14ac:dyDescent="0.35">
      <c r="A2196">
        <v>2192</v>
      </c>
      <c r="B2196">
        <v>2193</v>
      </c>
      <c r="C2196">
        <v>146.087025646</v>
      </c>
      <c r="D2196">
        <v>-17.665313486300001</v>
      </c>
      <c r="G2196" s="92"/>
      <c r="I2196">
        <v>8</v>
      </c>
      <c r="J2196" t="s">
        <v>26</v>
      </c>
      <c r="K2196" s="57"/>
      <c r="L2196" s="31"/>
      <c r="M2196" s="31"/>
      <c r="N2196" s="31"/>
      <c r="O2196" s="31"/>
      <c r="S2196" s="57"/>
      <c r="X2196" s="57"/>
    </row>
    <row r="2197" spans="1:24" hidden="1" x14ac:dyDescent="0.35">
      <c r="A2197">
        <v>2193</v>
      </c>
      <c r="B2197">
        <v>2194</v>
      </c>
      <c r="C2197">
        <v>146.08701437900001</v>
      </c>
      <c r="D2197">
        <v>-17.6652287305999</v>
      </c>
      <c r="G2197" s="92"/>
      <c r="I2197">
        <v>8</v>
      </c>
      <c r="J2197" t="s">
        <v>26</v>
      </c>
      <c r="K2197" s="57"/>
      <c r="L2197" s="31"/>
      <c r="M2197" s="31"/>
      <c r="N2197" s="31"/>
      <c r="O2197" s="31"/>
      <c r="S2197" s="57"/>
      <c r="X2197" s="57"/>
    </row>
    <row r="2198" spans="1:24" hidden="1" x14ac:dyDescent="0.35">
      <c r="A2198">
        <v>2194</v>
      </c>
      <c r="B2198">
        <v>2195</v>
      </c>
      <c r="C2198">
        <v>146.086996905999</v>
      </c>
      <c r="D2198">
        <v>-17.6651447696999</v>
      </c>
      <c r="G2198" s="92"/>
      <c r="I2198">
        <v>8</v>
      </c>
      <c r="J2198" t="s">
        <v>26</v>
      </c>
      <c r="K2198" s="57"/>
      <c r="L2198" s="31"/>
      <c r="M2198" s="31"/>
      <c r="N2198" s="31"/>
      <c r="O2198" s="31"/>
      <c r="S2198" s="57"/>
      <c r="X2198" s="57"/>
    </row>
    <row r="2199" spans="1:24" hidden="1" x14ac:dyDescent="0.35">
      <c r="A2199">
        <v>2195</v>
      </c>
      <c r="B2199">
        <v>2196</v>
      </c>
      <c r="C2199">
        <v>146.08697943300001</v>
      </c>
      <c r="D2199">
        <v>-17.665060808900002</v>
      </c>
      <c r="G2199" s="92"/>
      <c r="I2199">
        <v>8</v>
      </c>
      <c r="J2199" t="s">
        <v>26</v>
      </c>
      <c r="K2199" s="57"/>
      <c r="L2199" s="31"/>
      <c r="M2199" s="31"/>
      <c r="N2199" s="31"/>
      <c r="O2199" s="31"/>
      <c r="S2199" s="57"/>
      <c r="X2199" s="57"/>
    </row>
    <row r="2200" spans="1:24" hidden="1" x14ac:dyDescent="0.35">
      <c r="A2200">
        <v>2196</v>
      </c>
      <c r="B2200">
        <v>2197</v>
      </c>
      <c r="C2200">
        <v>146.086961959999</v>
      </c>
      <c r="D2200">
        <v>-17.664976847999899</v>
      </c>
      <c r="G2200" s="92"/>
      <c r="I2200">
        <v>8</v>
      </c>
      <c r="J2200" t="s">
        <v>26</v>
      </c>
      <c r="K2200" s="57"/>
      <c r="L2200" s="31"/>
      <c r="M2200" s="31"/>
      <c r="N2200" s="31"/>
      <c r="O2200" s="31"/>
      <c r="S2200" s="57"/>
      <c r="X2200" s="57"/>
    </row>
    <row r="2201" spans="1:24" hidden="1" x14ac:dyDescent="0.35">
      <c r="A2201">
        <v>2197</v>
      </c>
      <c r="B2201">
        <v>2198</v>
      </c>
      <c r="C2201">
        <v>146.08694412200001</v>
      </c>
      <c r="D2201">
        <v>-17.664892957100001</v>
      </c>
      <c r="G2201" s="92"/>
      <c r="I2201">
        <v>8</v>
      </c>
      <c r="J2201" t="s">
        <v>26</v>
      </c>
      <c r="K2201" s="57"/>
      <c r="L2201" s="31"/>
      <c r="M2201" s="31"/>
      <c r="N2201" s="31"/>
      <c r="O2201" s="31"/>
      <c r="S2201" s="57"/>
      <c r="X2201" s="57"/>
    </row>
    <row r="2202" spans="1:24" hidden="1" x14ac:dyDescent="0.35">
      <c r="A2202">
        <v>2198</v>
      </c>
      <c r="B2202">
        <v>2199</v>
      </c>
      <c r="C2202">
        <v>146.08693090099899</v>
      </c>
      <c r="D2202">
        <v>-17.664809188300001</v>
      </c>
      <c r="G2202" s="92"/>
      <c r="I2202">
        <v>8</v>
      </c>
      <c r="J2202" t="s">
        <v>26</v>
      </c>
      <c r="K2202" s="57"/>
      <c r="L2202" s="31"/>
      <c r="M2202" s="31"/>
      <c r="N2202" s="31"/>
      <c r="O2202" s="31"/>
      <c r="S2202" s="57"/>
      <c r="X2202" s="57"/>
    </row>
    <row r="2203" spans="1:24" hidden="1" x14ac:dyDescent="0.35">
      <c r="A2203">
        <v>2199</v>
      </c>
      <c r="B2203">
        <v>2200</v>
      </c>
      <c r="C2203">
        <v>146.08695215200001</v>
      </c>
      <c r="D2203">
        <v>-17.6647261972</v>
      </c>
      <c r="G2203" s="92"/>
      <c r="I2203">
        <v>8</v>
      </c>
      <c r="J2203" t="s">
        <v>26</v>
      </c>
      <c r="K2203" s="57"/>
      <c r="L2203" s="31"/>
      <c r="M2203" s="31"/>
      <c r="N2203" s="31"/>
      <c r="O2203" s="31"/>
      <c r="S2203" s="57"/>
      <c r="X2203" s="57"/>
    </row>
    <row r="2204" spans="1:24" hidden="1" x14ac:dyDescent="0.35">
      <c r="A2204">
        <v>2200</v>
      </c>
      <c r="B2204">
        <v>2201</v>
      </c>
      <c r="C2204">
        <v>146.087008048999</v>
      </c>
      <c r="D2204">
        <v>-17.664659190599899</v>
      </c>
      <c r="G2204" s="92"/>
      <c r="I2204">
        <v>8</v>
      </c>
      <c r="J2204" t="s">
        <v>26</v>
      </c>
      <c r="K2204" s="57"/>
      <c r="L2204" s="31"/>
      <c r="M2204" s="31"/>
      <c r="N2204" s="31"/>
      <c r="O2204" s="31"/>
      <c r="S2204" s="57"/>
      <c r="X2204" s="57"/>
    </row>
    <row r="2205" spans="1:24" hidden="1" x14ac:dyDescent="0.35">
      <c r="A2205">
        <v>2201</v>
      </c>
      <c r="B2205">
        <v>2202</v>
      </c>
      <c r="C2205">
        <v>146.087050121</v>
      </c>
      <c r="D2205">
        <v>-17.6645836177</v>
      </c>
      <c r="G2205" s="92"/>
      <c r="I2205">
        <v>8</v>
      </c>
      <c r="J2205" t="s">
        <v>26</v>
      </c>
      <c r="K2205" s="57"/>
      <c r="L2205" s="31"/>
      <c r="M2205" s="31"/>
      <c r="N2205" s="31"/>
      <c r="O2205" s="31"/>
      <c r="S2205" s="57"/>
      <c r="X2205" s="57"/>
    </row>
    <row r="2206" spans="1:24" hidden="1" x14ac:dyDescent="0.35">
      <c r="A2206">
        <v>2202</v>
      </c>
      <c r="B2206">
        <v>2203</v>
      </c>
      <c r="C2206">
        <v>146.08709172600001</v>
      </c>
      <c r="D2206">
        <v>-17.6645077557999</v>
      </c>
      <c r="G2206" s="92"/>
      <c r="I2206">
        <v>8</v>
      </c>
      <c r="J2206" t="s">
        <v>26</v>
      </c>
      <c r="K2206" s="57"/>
      <c r="L2206" s="31"/>
      <c r="M2206" s="31"/>
      <c r="N2206" s="31"/>
      <c r="O2206" s="31"/>
      <c r="S2206" s="57"/>
      <c r="X2206" s="57"/>
    </row>
    <row r="2207" spans="1:24" hidden="1" x14ac:dyDescent="0.35">
      <c r="A2207">
        <v>2203</v>
      </c>
      <c r="B2207">
        <v>2204</v>
      </c>
      <c r="C2207">
        <v>146.087133037999</v>
      </c>
      <c r="D2207">
        <v>-17.6644317489</v>
      </c>
      <c r="G2207" s="92"/>
      <c r="I2207">
        <v>8</v>
      </c>
      <c r="J2207" t="s">
        <v>26</v>
      </c>
      <c r="K2207" s="57"/>
      <c r="L2207" s="31"/>
      <c r="M2207" s="31"/>
      <c r="N2207" s="31"/>
      <c r="O2207" s="31"/>
      <c r="S2207" s="57"/>
      <c r="X2207" s="57"/>
    </row>
    <row r="2208" spans="1:24" hidden="1" x14ac:dyDescent="0.35">
      <c r="A2208">
        <v>2204</v>
      </c>
      <c r="B2208">
        <v>2205</v>
      </c>
      <c r="C2208">
        <v>146.08717340300001</v>
      </c>
      <c r="D2208">
        <v>-17.664355280900001</v>
      </c>
      <c r="G2208" s="92"/>
      <c r="I2208">
        <v>8</v>
      </c>
      <c r="J2208" t="s">
        <v>26</v>
      </c>
      <c r="K2208" s="57"/>
      <c r="L2208" s="31"/>
      <c r="M2208" s="31"/>
      <c r="N2208" s="31"/>
      <c r="O2208" s="31"/>
      <c r="S2208" s="57"/>
      <c r="X2208" s="57"/>
    </row>
    <row r="2209" spans="1:24" hidden="1" x14ac:dyDescent="0.35">
      <c r="A2209">
        <v>2205</v>
      </c>
      <c r="B2209">
        <v>2206</v>
      </c>
      <c r="C2209">
        <v>146.08721376899899</v>
      </c>
      <c r="D2209">
        <v>-17.664278812900001</v>
      </c>
      <c r="G2209" s="92"/>
      <c r="I2209">
        <v>8</v>
      </c>
      <c r="J2209" t="s">
        <v>26</v>
      </c>
      <c r="K2209" s="57"/>
      <c r="L2209" s="31"/>
      <c r="M2209" s="31"/>
      <c r="N2209" s="31"/>
      <c r="O2209" s="31"/>
      <c r="S2209" s="57"/>
      <c r="X2209" s="57"/>
    </row>
    <row r="2210" spans="1:24" hidden="1" x14ac:dyDescent="0.35">
      <c r="A2210">
        <v>2206</v>
      </c>
      <c r="B2210">
        <v>2207</v>
      </c>
      <c r="C2210">
        <v>146.08725413400001</v>
      </c>
      <c r="D2210">
        <v>-17.664202344900001</v>
      </c>
      <c r="G2210" s="92"/>
      <c r="I2210">
        <v>8</v>
      </c>
      <c r="J2210" t="s">
        <v>26</v>
      </c>
      <c r="K2210" s="57"/>
      <c r="L2210" s="31"/>
      <c r="M2210" s="31"/>
      <c r="N2210" s="31"/>
      <c r="O2210" s="31"/>
      <c r="S2210" s="57"/>
      <c r="X2210" s="57"/>
    </row>
    <row r="2211" spans="1:24" hidden="1" x14ac:dyDescent="0.35">
      <c r="A2211">
        <v>2207</v>
      </c>
      <c r="B2211">
        <v>2208</v>
      </c>
      <c r="C2211">
        <v>146.087296530999</v>
      </c>
      <c r="D2211">
        <v>-17.6641270062999</v>
      </c>
      <c r="G2211" s="92"/>
      <c r="I2211">
        <v>8</v>
      </c>
      <c r="J2211" t="s">
        <v>26</v>
      </c>
      <c r="K2211" s="57"/>
      <c r="L2211" s="31"/>
      <c r="M2211" s="31"/>
      <c r="N2211" s="31"/>
      <c r="O2211" s="31"/>
      <c r="S2211" s="57"/>
      <c r="X2211" s="57"/>
    </row>
    <row r="2212" spans="1:24" hidden="1" x14ac:dyDescent="0.35">
      <c r="A2212">
        <v>2208</v>
      </c>
      <c r="B2212">
        <v>2209</v>
      </c>
      <c r="C2212">
        <v>146.087346510999</v>
      </c>
      <c r="D2212">
        <v>-17.6640558813999</v>
      </c>
      <c r="G2212" s="92"/>
      <c r="I2212">
        <v>8</v>
      </c>
      <c r="J2212" t="s">
        <v>26</v>
      </c>
      <c r="K2212" s="57"/>
      <c r="L2212" s="31"/>
      <c r="M2212" s="31"/>
      <c r="N2212" s="31"/>
      <c r="O2212" s="31"/>
      <c r="S2212" s="57"/>
      <c r="X2212" s="57"/>
    </row>
    <row r="2213" spans="1:24" hidden="1" x14ac:dyDescent="0.35">
      <c r="A2213">
        <v>2209</v>
      </c>
      <c r="B2213">
        <v>2210</v>
      </c>
      <c r="C2213">
        <v>146.08739649</v>
      </c>
      <c r="D2213">
        <v>-17.663984756400001</v>
      </c>
      <c r="G2213" s="92"/>
      <c r="I2213">
        <v>8</v>
      </c>
      <c r="J2213" t="s">
        <v>26</v>
      </c>
      <c r="K2213" s="57"/>
      <c r="L2213" s="31"/>
      <c r="M2213" s="31"/>
      <c r="N2213" s="31"/>
      <c r="O2213" s="31"/>
      <c r="S2213" s="57"/>
      <c r="X2213" s="57"/>
    </row>
    <row r="2214" spans="1:24" hidden="1" x14ac:dyDescent="0.35">
      <c r="A2214">
        <v>2210</v>
      </c>
      <c r="B2214">
        <v>2211</v>
      </c>
      <c r="C2214">
        <v>146.087451106999</v>
      </c>
      <c r="D2214">
        <v>-17.6639176463</v>
      </c>
      <c r="G2214" s="92"/>
      <c r="I2214">
        <v>8</v>
      </c>
      <c r="J2214" t="s">
        <v>26</v>
      </c>
      <c r="K2214" s="57"/>
      <c r="L2214" s="31"/>
      <c r="M2214" s="31"/>
      <c r="N2214" s="31"/>
      <c r="O2214" s="31"/>
      <c r="S2214" s="57"/>
      <c r="X2214" s="57"/>
    </row>
    <row r="2215" spans="1:24" hidden="1" x14ac:dyDescent="0.35">
      <c r="A2215">
        <v>2211</v>
      </c>
      <c r="B2215">
        <v>2212</v>
      </c>
      <c r="C2215">
        <v>146.087520627999</v>
      </c>
      <c r="D2215">
        <v>-17.663863437100002</v>
      </c>
      <c r="G2215" s="92"/>
      <c r="I2215">
        <v>8</v>
      </c>
      <c r="J2215" t="s">
        <v>26</v>
      </c>
      <c r="K2215" s="57"/>
      <c r="L2215" s="31"/>
      <c r="M2215" s="31"/>
      <c r="N2215" s="31"/>
      <c r="O2215" s="31"/>
      <c r="S2215" s="57"/>
      <c r="X2215" s="57"/>
    </row>
    <row r="2216" spans="1:24" hidden="1" x14ac:dyDescent="0.35">
      <c r="A2216">
        <v>2212</v>
      </c>
      <c r="B2216">
        <v>2213</v>
      </c>
      <c r="C2216">
        <v>146.087590148</v>
      </c>
      <c r="D2216">
        <v>-17.6638092279</v>
      </c>
      <c r="G2216" s="92"/>
      <c r="I2216">
        <v>8</v>
      </c>
      <c r="J2216" t="s">
        <v>26</v>
      </c>
      <c r="K2216" s="57"/>
      <c r="L2216" s="31"/>
      <c r="M2216" s="31"/>
      <c r="N2216" s="31"/>
      <c r="O2216" s="31"/>
      <c r="S2216" s="57"/>
      <c r="X2216" s="57"/>
    </row>
    <row r="2217" spans="1:24" hidden="1" x14ac:dyDescent="0.35">
      <c r="A2217">
        <v>2213</v>
      </c>
      <c r="B2217">
        <v>2214</v>
      </c>
      <c r="C2217">
        <v>146.087661717999</v>
      </c>
      <c r="D2217">
        <v>-17.6637578311</v>
      </c>
      <c r="G2217" s="92"/>
      <c r="I2217">
        <v>8</v>
      </c>
      <c r="J2217" t="s">
        <v>26</v>
      </c>
      <c r="K2217" s="57"/>
      <c r="L2217" s="31"/>
      <c r="M2217" s="31"/>
      <c r="N2217" s="31"/>
      <c r="O2217" s="31"/>
      <c r="S2217" s="57"/>
      <c r="X2217" s="57"/>
    </row>
    <row r="2218" spans="1:24" hidden="1" x14ac:dyDescent="0.35">
      <c r="A2218">
        <v>2214</v>
      </c>
      <c r="B2218">
        <v>2215</v>
      </c>
      <c r="C2218">
        <v>146.087739314</v>
      </c>
      <c r="D2218">
        <v>-17.6637147046</v>
      </c>
      <c r="G2218" s="92"/>
      <c r="I2218">
        <v>8</v>
      </c>
      <c r="J2218" t="s">
        <v>26</v>
      </c>
      <c r="K2218" s="57"/>
      <c r="L2218" s="31"/>
      <c r="M2218" s="31"/>
      <c r="N2218" s="31"/>
      <c r="O2218" s="31"/>
      <c r="S2218" s="57"/>
      <c r="X2218" s="57"/>
    </row>
    <row r="2219" spans="1:24" hidden="1" x14ac:dyDescent="0.35">
      <c r="A2219">
        <v>2215</v>
      </c>
      <c r="B2219">
        <v>2216</v>
      </c>
      <c r="C2219">
        <v>146.08781690999899</v>
      </c>
      <c r="D2219">
        <v>-17.663671577999899</v>
      </c>
      <c r="G2219" s="92"/>
      <c r="I2219">
        <v>8</v>
      </c>
      <c r="J2219" t="s">
        <v>26</v>
      </c>
      <c r="K2219" s="57"/>
      <c r="L2219" s="31"/>
      <c r="M2219" s="31"/>
      <c r="N2219" s="31"/>
      <c r="O2219" s="31"/>
      <c r="S2219" s="57"/>
      <c r="X2219" s="57"/>
    </row>
    <row r="2220" spans="1:24" hidden="1" x14ac:dyDescent="0.35">
      <c r="A2220">
        <v>2216</v>
      </c>
      <c r="B2220">
        <v>2217</v>
      </c>
      <c r="C2220">
        <v>146.087899867999</v>
      </c>
      <c r="D2220">
        <v>-17.663642541800002</v>
      </c>
      <c r="G2220" s="92"/>
      <c r="I2220">
        <v>8</v>
      </c>
      <c r="J2220" t="s">
        <v>26</v>
      </c>
      <c r="K2220" s="57"/>
      <c r="L2220" s="31"/>
      <c r="M2220" s="31"/>
      <c r="N2220" s="31"/>
      <c r="O2220" s="31"/>
      <c r="S2220" s="57"/>
      <c r="X2220" s="57"/>
    </row>
    <row r="2221" spans="1:24" hidden="1" x14ac:dyDescent="0.35">
      <c r="A2221">
        <v>2217</v>
      </c>
      <c r="B2221">
        <v>2218</v>
      </c>
      <c r="C2221">
        <v>146.087988440999</v>
      </c>
      <c r="D2221">
        <v>-17.663628267099899</v>
      </c>
      <c r="G2221" s="92"/>
      <c r="I2221">
        <v>8</v>
      </c>
      <c r="J2221" t="s">
        <v>26</v>
      </c>
      <c r="K2221" s="57"/>
      <c r="L2221" s="31"/>
      <c r="M2221" s="31"/>
      <c r="N2221" s="31"/>
      <c r="O2221" s="31"/>
      <c r="S2221" s="57"/>
      <c r="X2221" s="57"/>
    </row>
    <row r="2222" spans="1:24" hidden="1" x14ac:dyDescent="0.35">
      <c r="A2222">
        <v>2218</v>
      </c>
      <c r="B2222">
        <v>2219</v>
      </c>
      <c r="C2222">
        <v>146.08807701500001</v>
      </c>
      <c r="D2222">
        <v>-17.663613992399899</v>
      </c>
      <c r="G2222" s="92"/>
      <c r="I2222">
        <v>8</v>
      </c>
      <c r="J2222" t="s">
        <v>26</v>
      </c>
      <c r="K2222" s="57"/>
      <c r="L2222" s="31"/>
      <c r="M2222" s="31"/>
      <c r="N2222" s="31"/>
      <c r="O2222" s="31"/>
      <c r="S2222" s="57"/>
      <c r="X2222" s="57"/>
    </row>
    <row r="2223" spans="1:24" hidden="1" x14ac:dyDescent="0.35">
      <c r="A2223">
        <v>2219</v>
      </c>
      <c r="B2223">
        <v>2220</v>
      </c>
      <c r="C2223">
        <v>146.08816558800001</v>
      </c>
      <c r="D2223">
        <v>-17.663599717699899</v>
      </c>
      <c r="G2223" s="92"/>
      <c r="I2223">
        <v>8</v>
      </c>
      <c r="J2223" t="s">
        <v>26</v>
      </c>
      <c r="K2223" s="57"/>
      <c r="L2223" s="31"/>
      <c r="M2223" s="31"/>
      <c r="N2223" s="31"/>
      <c r="O2223" s="31"/>
      <c r="S2223" s="57"/>
      <c r="X2223" s="57"/>
    </row>
    <row r="2224" spans="1:24" hidden="1" x14ac:dyDescent="0.35">
      <c r="A2224">
        <v>2220</v>
      </c>
      <c r="B2224">
        <v>2221</v>
      </c>
      <c r="C2224">
        <v>146.08825435200001</v>
      </c>
      <c r="D2224">
        <v>-17.663587403600001</v>
      </c>
      <c r="G2224" s="92"/>
      <c r="I2224">
        <v>8</v>
      </c>
      <c r="J2224" t="s">
        <v>26</v>
      </c>
      <c r="K2224" s="57"/>
      <c r="L2224" s="31"/>
      <c r="M2224" s="31"/>
      <c r="N2224" s="31"/>
      <c r="O2224" s="31"/>
      <c r="S2224" s="57"/>
      <c r="X2224" s="57"/>
    </row>
    <row r="2225" spans="1:24" hidden="1" x14ac:dyDescent="0.35">
      <c r="A2225">
        <v>2221</v>
      </c>
      <c r="B2225">
        <v>2222</v>
      </c>
      <c r="C2225">
        <v>146.08834417099899</v>
      </c>
      <c r="D2225">
        <v>-17.6635859477</v>
      </c>
      <c r="G2225" s="92"/>
      <c r="I2225">
        <v>8</v>
      </c>
      <c r="J2225" t="s">
        <v>26</v>
      </c>
      <c r="K2225" s="57"/>
      <c r="L2225" s="31"/>
      <c r="M2225" s="31"/>
      <c r="N2225" s="31"/>
      <c r="O2225" s="31"/>
      <c r="S2225" s="57"/>
      <c r="X2225" s="57"/>
    </row>
    <row r="2226" spans="1:24" hidden="1" x14ac:dyDescent="0.35">
      <c r="A2226">
        <v>2222</v>
      </c>
      <c r="B2226">
        <v>2223</v>
      </c>
      <c r="C2226">
        <v>146.08843398900001</v>
      </c>
      <c r="D2226">
        <v>-17.6635844919</v>
      </c>
      <c r="G2226" s="92"/>
      <c r="I2226">
        <v>8</v>
      </c>
      <c r="J2226" t="s">
        <v>26</v>
      </c>
      <c r="K2226" s="57"/>
      <c r="L2226" s="31"/>
      <c r="M2226" s="31"/>
      <c r="N2226" s="31"/>
      <c r="O2226" s="31"/>
      <c r="S2226" s="57"/>
      <c r="X2226" s="57"/>
    </row>
    <row r="2227" spans="1:24" hidden="1" x14ac:dyDescent="0.35">
      <c r="A2227">
        <v>2223</v>
      </c>
      <c r="B2227">
        <v>2224</v>
      </c>
      <c r="C2227">
        <v>146.088523807999</v>
      </c>
      <c r="D2227">
        <v>-17.663583035999899</v>
      </c>
      <c r="G2227" s="92"/>
      <c r="I2227">
        <v>8</v>
      </c>
      <c r="J2227" t="s">
        <v>26</v>
      </c>
      <c r="K2227" s="57"/>
      <c r="L2227" s="31"/>
      <c r="M2227" s="31"/>
      <c r="N2227" s="31"/>
      <c r="O2227" s="31"/>
      <c r="S2227" s="57"/>
      <c r="X2227" s="57"/>
    </row>
    <row r="2228" spans="1:24" hidden="1" x14ac:dyDescent="0.35">
      <c r="A2228">
        <v>2224</v>
      </c>
      <c r="B2228">
        <v>2225</v>
      </c>
      <c r="C2228">
        <v>146.08861363099899</v>
      </c>
      <c r="D2228">
        <v>-17.6635822796</v>
      </c>
      <c r="G2228" s="92"/>
      <c r="I2228">
        <v>8</v>
      </c>
      <c r="J2228" t="s">
        <v>26</v>
      </c>
      <c r="K2228" s="57"/>
      <c r="L2228" s="31"/>
      <c r="M2228" s="31"/>
      <c r="N2228" s="31"/>
      <c r="O2228" s="31"/>
      <c r="S2228" s="57"/>
      <c r="X2228" s="57"/>
    </row>
    <row r="2229" spans="1:24" hidden="1" x14ac:dyDescent="0.35">
      <c r="A2229">
        <v>2225</v>
      </c>
      <c r="B2229">
        <v>2226</v>
      </c>
      <c r="C2229">
        <v>146.088703460999</v>
      </c>
      <c r="D2229">
        <v>-17.663582695399899</v>
      </c>
      <c r="G2229" s="92"/>
      <c r="I2229">
        <v>8</v>
      </c>
      <c r="J2229" t="s">
        <v>26</v>
      </c>
      <c r="K2229" s="57"/>
      <c r="L2229" s="31"/>
      <c r="M2229" s="31"/>
      <c r="N2229" s="31"/>
      <c r="O2229" s="31"/>
      <c r="S2229" s="57"/>
      <c r="X2229" s="57"/>
    </row>
    <row r="2230" spans="1:24" hidden="1" x14ac:dyDescent="0.35">
      <c r="A2230">
        <v>2226</v>
      </c>
      <c r="B2230">
        <v>2227</v>
      </c>
      <c r="C2230">
        <v>146.088793291999</v>
      </c>
      <c r="D2230">
        <v>-17.663583111200001</v>
      </c>
      <c r="G2230" s="92"/>
      <c r="I2230">
        <v>8</v>
      </c>
      <c r="J2230" t="s">
        <v>26</v>
      </c>
      <c r="K2230" s="57"/>
      <c r="L2230" s="31"/>
      <c r="M2230" s="31"/>
      <c r="N2230" s="31"/>
      <c r="O2230" s="31"/>
      <c r="S2230" s="57"/>
      <c r="X2230" s="57"/>
    </row>
    <row r="2231" spans="1:24" hidden="1" x14ac:dyDescent="0.35">
      <c r="A2231">
        <v>2227</v>
      </c>
      <c r="B2231">
        <v>2228</v>
      </c>
      <c r="C2231">
        <v>146.08888287400001</v>
      </c>
      <c r="D2231">
        <v>-17.6635853664</v>
      </c>
      <c r="G2231" s="92"/>
      <c r="I2231">
        <v>8</v>
      </c>
      <c r="J2231" t="s">
        <v>26</v>
      </c>
      <c r="K2231" s="57"/>
      <c r="L2231" s="31"/>
      <c r="M2231" s="31"/>
      <c r="N2231" s="31"/>
      <c r="O2231" s="31"/>
      <c r="S2231" s="57"/>
      <c r="X2231" s="57"/>
    </row>
    <row r="2232" spans="1:24" hidden="1" x14ac:dyDescent="0.35">
      <c r="A2232">
        <v>2228</v>
      </c>
      <c r="B2232">
        <v>2229</v>
      </c>
      <c r="C2232">
        <v>146.088969883999</v>
      </c>
      <c r="D2232">
        <v>-17.6636066483</v>
      </c>
      <c r="G2232" s="92"/>
      <c r="I2232">
        <v>8</v>
      </c>
      <c r="J2232" t="s">
        <v>26</v>
      </c>
      <c r="K2232" s="57"/>
      <c r="L2232" s="31"/>
      <c r="M2232" s="31"/>
      <c r="N2232" s="31"/>
      <c r="O2232" s="31"/>
      <c r="S2232" s="57"/>
      <c r="X2232" s="57"/>
    </row>
    <row r="2233" spans="1:24" hidden="1" x14ac:dyDescent="0.35">
      <c r="A2233">
        <v>2229</v>
      </c>
      <c r="B2233">
        <v>2230</v>
      </c>
      <c r="C2233">
        <v>146.089056368999</v>
      </c>
      <c r="D2233">
        <v>-17.663629147599899</v>
      </c>
      <c r="G2233" s="92"/>
      <c r="I2233">
        <v>8</v>
      </c>
      <c r="J2233" t="s">
        <v>26</v>
      </c>
      <c r="K2233" s="57"/>
      <c r="L2233" s="31"/>
      <c r="M2233" s="31"/>
      <c r="N2233" s="31"/>
      <c r="O2233" s="31"/>
      <c r="S2233" s="57"/>
      <c r="X2233" s="57"/>
    </row>
    <row r="2234" spans="1:24" hidden="1" x14ac:dyDescent="0.35">
      <c r="A2234">
        <v>2230</v>
      </c>
      <c r="B2234">
        <v>2231</v>
      </c>
      <c r="C2234">
        <v>146.08913388100001</v>
      </c>
      <c r="D2234">
        <v>-17.663672410899899</v>
      </c>
      <c r="G2234" s="92"/>
      <c r="I2234">
        <v>8</v>
      </c>
      <c r="J2234" t="s">
        <v>26</v>
      </c>
      <c r="K2234" s="57"/>
      <c r="L2234" s="31"/>
      <c r="M2234" s="31"/>
      <c r="N2234" s="31"/>
      <c r="O2234" s="31"/>
      <c r="S2234" s="57"/>
      <c r="X2234" s="57"/>
    </row>
    <row r="2235" spans="1:24" hidden="1" x14ac:dyDescent="0.35">
      <c r="A2235">
        <v>2231</v>
      </c>
      <c r="B2235">
        <v>2232</v>
      </c>
      <c r="C2235">
        <v>146.08921139399899</v>
      </c>
      <c r="D2235">
        <v>-17.663715674100001</v>
      </c>
      <c r="G2235" s="92"/>
      <c r="I2235">
        <v>8</v>
      </c>
      <c r="J2235" t="s">
        <v>26</v>
      </c>
      <c r="K2235" s="57"/>
      <c r="L2235" s="31"/>
      <c r="M2235" s="31"/>
      <c r="N2235" s="31"/>
      <c r="O2235" s="31"/>
      <c r="S2235" s="57"/>
      <c r="X2235" s="57"/>
    </row>
    <row r="2236" spans="1:24" hidden="1" x14ac:dyDescent="0.35">
      <c r="A2236">
        <v>2232</v>
      </c>
      <c r="B2236">
        <v>2233</v>
      </c>
      <c r="C2236">
        <v>146.089288906999</v>
      </c>
      <c r="D2236">
        <v>-17.6637589372999</v>
      </c>
      <c r="G2236" s="92"/>
      <c r="I2236">
        <v>8</v>
      </c>
      <c r="J2236" t="s">
        <v>26</v>
      </c>
      <c r="K2236" s="57"/>
      <c r="L2236" s="31"/>
      <c r="M2236" s="31"/>
      <c r="N2236" s="31"/>
      <c r="O2236" s="31"/>
      <c r="S2236" s="57"/>
      <c r="X2236" s="57"/>
    </row>
    <row r="2237" spans="1:24" hidden="1" x14ac:dyDescent="0.35">
      <c r="A2237">
        <v>2233</v>
      </c>
      <c r="B2237">
        <v>2234</v>
      </c>
      <c r="C2237">
        <v>146.089337803999</v>
      </c>
      <c r="D2237">
        <v>-17.663829857900001</v>
      </c>
      <c r="G2237" s="92"/>
      <c r="I2237">
        <v>8</v>
      </c>
      <c r="J2237" t="s">
        <v>26</v>
      </c>
      <c r="K2237" s="57"/>
      <c r="L2237" s="31"/>
      <c r="M2237" s="31"/>
      <c r="N2237" s="31"/>
      <c r="O2237" s="31"/>
      <c r="S2237" s="57"/>
      <c r="X2237" s="57"/>
    </row>
    <row r="2238" spans="1:24" hidden="1" x14ac:dyDescent="0.35">
      <c r="A2238">
        <v>2234</v>
      </c>
      <c r="B2238">
        <v>2235</v>
      </c>
      <c r="C2238">
        <v>146.08938430699899</v>
      </c>
      <c r="D2238">
        <v>-17.663903092200002</v>
      </c>
      <c r="G2238" s="92"/>
      <c r="I2238">
        <v>8</v>
      </c>
      <c r="J2238" t="s">
        <v>26</v>
      </c>
      <c r="K2238" s="57"/>
      <c r="L2238" s="31"/>
      <c r="M2238" s="31"/>
      <c r="N2238" s="31"/>
      <c r="O2238" s="31"/>
      <c r="S2238" s="57"/>
      <c r="X2238" s="57"/>
    </row>
    <row r="2239" spans="1:24" hidden="1" x14ac:dyDescent="0.35">
      <c r="A2239">
        <v>2235</v>
      </c>
      <c r="B2239">
        <v>2236</v>
      </c>
      <c r="C2239">
        <v>146.089416851999</v>
      </c>
      <c r="D2239">
        <v>-17.663981013200001</v>
      </c>
      <c r="G2239" s="92"/>
      <c r="I2239">
        <v>8</v>
      </c>
      <c r="J2239" t="s">
        <v>26</v>
      </c>
      <c r="K2239" s="57"/>
      <c r="L2239" s="31"/>
      <c r="M2239" s="31"/>
      <c r="N2239" s="31"/>
      <c r="O2239" s="31"/>
      <c r="S2239" s="57"/>
      <c r="X2239" s="57"/>
    </row>
    <row r="2240" spans="1:24" hidden="1" x14ac:dyDescent="0.35">
      <c r="A2240">
        <v>2236</v>
      </c>
      <c r="B2240">
        <v>2237</v>
      </c>
      <c r="C2240">
        <v>146.089428806</v>
      </c>
      <c r="D2240">
        <v>-17.6640658482</v>
      </c>
      <c r="G2240" s="92"/>
      <c r="I2240">
        <v>8</v>
      </c>
      <c r="J2240" t="s">
        <v>26</v>
      </c>
      <c r="K2240" s="57"/>
      <c r="L2240" s="31"/>
      <c r="M2240" s="31"/>
      <c r="N2240" s="31"/>
      <c r="O2240" s="31"/>
      <c r="S2240" s="57"/>
      <c r="X2240" s="57"/>
    </row>
    <row r="2241" spans="1:24" hidden="1" x14ac:dyDescent="0.35">
      <c r="A2241">
        <v>2237</v>
      </c>
      <c r="B2241">
        <v>2238</v>
      </c>
      <c r="C2241">
        <v>146.08944076</v>
      </c>
      <c r="D2241">
        <v>-17.664150683100001</v>
      </c>
      <c r="G2241" s="92"/>
      <c r="I2241">
        <v>8</v>
      </c>
      <c r="J2241" t="s">
        <v>26</v>
      </c>
      <c r="K2241" s="57"/>
      <c r="L2241" s="31"/>
      <c r="M2241" s="31"/>
      <c r="N2241" s="31"/>
      <c r="O2241" s="31"/>
      <c r="S2241" s="57"/>
      <c r="X2241" s="57"/>
    </row>
    <row r="2242" spans="1:24" hidden="1" x14ac:dyDescent="0.35">
      <c r="A2242">
        <v>2238</v>
      </c>
      <c r="B2242">
        <v>2239</v>
      </c>
      <c r="C2242">
        <v>146.089452714</v>
      </c>
      <c r="D2242">
        <v>-17.6642355179</v>
      </c>
      <c r="G2242" s="92"/>
      <c r="I2242">
        <v>8</v>
      </c>
      <c r="J2242" t="s">
        <v>26</v>
      </c>
      <c r="K2242" s="57"/>
      <c r="L2242" s="31"/>
      <c r="M2242" s="31"/>
      <c r="N2242" s="31"/>
      <c r="O2242" s="31"/>
      <c r="S2242" s="57"/>
      <c r="X2242" s="57"/>
    </row>
    <row r="2243" spans="1:24" hidden="1" x14ac:dyDescent="0.35">
      <c r="A2243">
        <v>2239</v>
      </c>
      <c r="B2243">
        <v>2240</v>
      </c>
      <c r="C2243">
        <v>146.089459916999</v>
      </c>
      <c r="D2243">
        <v>-17.664320440000001</v>
      </c>
      <c r="G2243" s="92"/>
      <c r="I2243">
        <v>8</v>
      </c>
      <c r="J2243" t="s">
        <v>26</v>
      </c>
      <c r="K2243" s="57"/>
      <c r="L2243" s="31"/>
      <c r="M2243" s="31"/>
      <c r="N2243" s="31"/>
      <c r="O2243" s="31"/>
      <c r="S2243" s="57"/>
      <c r="X2243" s="57"/>
    </row>
    <row r="2244" spans="1:24" hidden="1" x14ac:dyDescent="0.35">
      <c r="A2244">
        <v>2240</v>
      </c>
      <c r="B2244">
        <v>2241</v>
      </c>
      <c r="C2244">
        <v>146.08945140399899</v>
      </c>
      <c r="D2244">
        <v>-17.6644056507999</v>
      </c>
      <c r="G2244" s="92"/>
      <c r="I2244">
        <v>8</v>
      </c>
      <c r="J2244" t="s">
        <v>26</v>
      </c>
      <c r="K2244" s="57"/>
      <c r="L2244" s="31"/>
      <c r="M2244" s="31"/>
      <c r="N2244" s="31"/>
      <c r="O2244" s="31"/>
      <c r="S2244" s="57"/>
      <c r="X2244" s="57"/>
    </row>
    <row r="2245" spans="1:24" hidden="1" x14ac:dyDescent="0.35">
      <c r="A2245">
        <v>2241</v>
      </c>
      <c r="B2245">
        <v>2242</v>
      </c>
      <c r="C2245">
        <v>146.089442891999</v>
      </c>
      <c r="D2245">
        <v>-17.664490861600001</v>
      </c>
      <c r="G2245" s="92"/>
      <c r="I2245">
        <v>8</v>
      </c>
      <c r="J2245" t="s">
        <v>26</v>
      </c>
      <c r="K2245" s="57"/>
      <c r="L2245" s="31"/>
      <c r="M2245" s="31"/>
      <c r="N2245" s="31"/>
      <c r="O2245" s="31"/>
      <c r="S2245" s="57"/>
      <c r="X2245" s="57"/>
    </row>
    <row r="2246" spans="1:24" hidden="1" x14ac:dyDescent="0.35">
      <c r="A2246">
        <v>2242</v>
      </c>
      <c r="B2246">
        <v>2243</v>
      </c>
      <c r="C2246">
        <v>146.08943437900001</v>
      </c>
      <c r="D2246">
        <v>-17.6645760723999</v>
      </c>
      <c r="G2246" s="92"/>
      <c r="I2246">
        <v>8</v>
      </c>
      <c r="J2246" t="s">
        <v>26</v>
      </c>
      <c r="K2246" s="57"/>
      <c r="L2246" s="31"/>
      <c r="M2246" s="31"/>
      <c r="N2246" s="31"/>
      <c r="O2246" s="31"/>
      <c r="S2246" s="57"/>
      <c r="X2246" s="57"/>
    </row>
    <row r="2247" spans="1:24" hidden="1" x14ac:dyDescent="0.35">
      <c r="A2247">
        <v>2243</v>
      </c>
      <c r="B2247">
        <v>2244</v>
      </c>
      <c r="C2247">
        <v>146.08942586699899</v>
      </c>
      <c r="D2247">
        <v>-17.6646612830999</v>
      </c>
      <c r="G2247" s="92"/>
      <c r="I2247">
        <v>8</v>
      </c>
      <c r="J2247" t="s">
        <v>26</v>
      </c>
      <c r="K2247" s="57"/>
      <c r="L2247" s="31"/>
      <c r="M2247" s="31"/>
      <c r="N2247" s="31"/>
      <c r="O2247" s="31"/>
      <c r="S2247" s="57"/>
      <c r="X2247" s="57"/>
    </row>
    <row r="2248" spans="1:24" hidden="1" x14ac:dyDescent="0.35">
      <c r="A2248">
        <v>2244</v>
      </c>
      <c r="B2248">
        <v>2245</v>
      </c>
      <c r="C2248">
        <v>146.089408864999</v>
      </c>
      <c r="D2248">
        <v>-17.664745132899899</v>
      </c>
      <c r="G2248" s="92"/>
      <c r="I2248">
        <v>8</v>
      </c>
      <c r="J2248" t="s">
        <v>26</v>
      </c>
      <c r="K2248" s="57"/>
      <c r="L2248" s="31"/>
      <c r="M2248" s="31"/>
      <c r="N2248" s="31"/>
      <c r="O2248" s="31"/>
      <c r="S2248" s="57"/>
      <c r="X2248" s="57"/>
    </row>
    <row r="2249" spans="1:24" hidden="1" x14ac:dyDescent="0.35">
      <c r="A2249">
        <v>2245</v>
      </c>
      <c r="B2249">
        <v>2246</v>
      </c>
      <c r="C2249">
        <v>146.089387649</v>
      </c>
      <c r="D2249">
        <v>-17.664828307299899</v>
      </c>
      <c r="G2249" s="92"/>
      <c r="I2249">
        <v>8</v>
      </c>
      <c r="J2249" t="s">
        <v>26</v>
      </c>
      <c r="K2249" s="57"/>
      <c r="L2249" s="31"/>
      <c r="M2249" s="31"/>
      <c r="N2249" s="31"/>
      <c r="O2249" s="31"/>
      <c r="S2249" s="57"/>
      <c r="X2249" s="57"/>
    </row>
    <row r="2250" spans="1:24" hidden="1" x14ac:dyDescent="0.35">
      <c r="A2250">
        <v>2246</v>
      </c>
      <c r="B2250">
        <v>2247</v>
      </c>
      <c r="C2250">
        <v>146.08936643300001</v>
      </c>
      <c r="D2250">
        <v>-17.664911481600001</v>
      </c>
      <c r="G2250" s="92"/>
      <c r="I2250">
        <v>8</v>
      </c>
      <c r="J2250" t="s">
        <v>26</v>
      </c>
      <c r="K2250" s="57"/>
      <c r="L2250" s="31"/>
      <c r="M2250" s="31"/>
      <c r="N2250" s="31"/>
      <c r="O2250" s="31"/>
      <c r="S2250" s="57"/>
      <c r="X2250" s="57"/>
    </row>
    <row r="2251" spans="1:24" hidden="1" x14ac:dyDescent="0.35">
      <c r="A2251">
        <v>2247</v>
      </c>
      <c r="B2251">
        <v>2248</v>
      </c>
      <c r="C2251">
        <v>146.08934521699899</v>
      </c>
      <c r="D2251">
        <v>-17.6649946558999</v>
      </c>
      <c r="G2251" s="92"/>
      <c r="I2251">
        <v>8</v>
      </c>
      <c r="J2251" t="s">
        <v>26</v>
      </c>
      <c r="K2251" s="57"/>
      <c r="L2251" s="31"/>
      <c r="M2251" s="31"/>
      <c r="N2251" s="31"/>
      <c r="O2251" s="31"/>
      <c r="S2251" s="57"/>
      <c r="X2251" s="57"/>
    </row>
    <row r="2252" spans="1:24" hidden="1" x14ac:dyDescent="0.35">
      <c r="A2252">
        <v>2248</v>
      </c>
      <c r="B2252">
        <v>2249</v>
      </c>
      <c r="C2252">
        <v>146.089318292999</v>
      </c>
      <c r="D2252">
        <v>-17.665076038599899</v>
      </c>
      <c r="G2252" s="92"/>
      <c r="I2252">
        <v>8</v>
      </c>
      <c r="J2252" t="s">
        <v>26</v>
      </c>
      <c r="K2252" s="57"/>
      <c r="L2252" s="31"/>
      <c r="M2252" s="31"/>
      <c r="N2252" s="31"/>
      <c r="O2252" s="31"/>
      <c r="S2252" s="57"/>
      <c r="X2252" s="57"/>
    </row>
    <row r="2253" spans="1:24" hidden="1" x14ac:dyDescent="0.35">
      <c r="A2253">
        <v>2249</v>
      </c>
      <c r="B2253">
        <v>2250</v>
      </c>
      <c r="C2253">
        <v>146.089283477999</v>
      </c>
      <c r="D2253">
        <v>-17.665154944600001</v>
      </c>
      <c r="G2253" s="92"/>
      <c r="I2253">
        <v>8</v>
      </c>
      <c r="J2253" t="s">
        <v>26</v>
      </c>
      <c r="K2253" s="57"/>
      <c r="L2253" s="31"/>
      <c r="M2253" s="31"/>
      <c r="N2253" s="31"/>
      <c r="O2253" s="31"/>
      <c r="S2253" s="57"/>
      <c r="X2253" s="57"/>
    </row>
    <row r="2254" spans="1:24" hidden="1" x14ac:dyDescent="0.35">
      <c r="A2254">
        <v>2250</v>
      </c>
      <c r="B2254">
        <v>2251</v>
      </c>
      <c r="C2254">
        <v>146.089248663999</v>
      </c>
      <c r="D2254">
        <v>-17.6652338506</v>
      </c>
      <c r="G2254" s="92"/>
      <c r="I2254">
        <v>8</v>
      </c>
      <c r="J2254" t="s">
        <v>26</v>
      </c>
      <c r="K2254" s="57"/>
      <c r="L2254" s="31"/>
      <c r="M2254" s="31"/>
      <c r="N2254" s="31"/>
      <c r="O2254" s="31"/>
      <c r="S2254" s="57"/>
      <c r="X2254" s="57"/>
    </row>
    <row r="2255" spans="1:24" hidden="1" x14ac:dyDescent="0.35">
      <c r="A2255">
        <v>2251</v>
      </c>
      <c r="B2255">
        <v>2252</v>
      </c>
      <c r="C2255">
        <v>146.089213849</v>
      </c>
      <c r="D2255">
        <v>-17.665312756500001</v>
      </c>
      <c r="G2255" s="92"/>
      <c r="I2255">
        <v>8</v>
      </c>
      <c r="J2255" t="s">
        <v>26</v>
      </c>
      <c r="K2255" s="57"/>
      <c r="L2255" s="31"/>
      <c r="M2255" s="31"/>
      <c r="N2255" s="31"/>
      <c r="O2255" s="31"/>
      <c r="S2255" s="57"/>
      <c r="X2255" s="57"/>
    </row>
    <row r="2256" spans="1:24" hidden="1" x14ac:dyDescent="0.35">
      <c r="A2256">
        <v>2252</v>
      </c>
      <c r="B2256">
        <v>2253</v>
      </c>
      <c r="C2256">
        <v>146.08917695700001</v>
      </c>
      <c r="D2256">
        <v>-17.665390575299899</v>
      </c>
      <c r="G2256" s="92"/>
      <c r="I2256">
        <v>8</v>
      </c>
      <c r="J2256" t="s">
        <v>26</v>
      </c>
      <c r="K2256" s="57"/>
      <c r="L2256" s="31"/>
      <c r="M2256" s="31"/>
      <c r="N2256" s="31"/>
      <c r="O2256" s="31"/>
      <c r="S2256" s="57"/>
      <c r="X2256" s="57"/>
    </row>
    <row r="2257" spans="1:24" hidden="1" x14ac:dyDescent="0.35">
      <c r="A2257">
        <v>2253</v>
      </c>
      <c r="B2257">
        <v>2254</v>
      </c>
      <c r="C2257">
        <v>146.08912573500001</v>
      </c>
      <c r="D2257">
        <v>-17.665460892599899</v>
      </c>
      <c r="G2257" s="92"/>
      <c r="I2257">
        <v>8</v>
      </c>
      <c r="J2257" t="s">
        <v>26</v>
      </c>
      <c r="K2257" s="57"/>
      <c r="L2257" s="31"/>
      <c r="M2257" s="31"/>
      <c r="N2257" s="31"/>
      <c r="O2257" s="31"/>
      <c r="S2257" s="57"/>
      <c r="X2257" s="57"/>
    </row>
    <row r="2258" spans="1:24" hidden="1" x14ac:dyDescent="0.35">
      <c r="A2258">
        <v>2254</v>
      </c>
      <c r="B2258">
        <v>2255</v>
      </c>
      <c r="C2258">
        <v>146.089074514</v>
      </c>
      <c r="D2258">
        <v>-17.6655312098999</v>
      </c>
      <c r="G2258" s="92"/>
      <c r="I2258">
        <v>8</v>
      </c>
      <c r="J2258" t="s">
        <v>26</v>
      </c>
      <c r="K2258" s="57"/>
      <c r="L2258" s="31"/>
      <c r="M2258" s="31"/>
      <c r="N2258" s="31"/>
      <c r="O2258" s="31"/>
      <c r="S2258" s="57"/>
      <c r="X2258" s="57"/>
    </row>
    <row r="2259" spans="1:24" hidden="1" x14ac:dyDescent="0.35">
      <c r="A2259">
        <v>2255</v>
      </c>
      <c r="B2259">
        <v>2256</v>
      </c>
      <c r="C2259">
        <v>146.08902329200001</v>
      </c>
      <c r="D2259">
        <v>-17.665601527100002</v>
      </c>
      <c r="G2259" s="92"/>
      <c r="I2259">
        <v>8</v>
      </c>
      <c r="J2259" t="s">
        <v>26</v>
      </c>
      <c r="K2259" s="57"/>
      <c r="L2259" s="31"/>
      <c r="M2259" s="31"/>
      <c r="N2259" s="31"/>
      <c r="O2259" s="31"/>
      <c r="S2259" s="57"/>
      <c r="X2259" s="57"/>
    </row>
    <row r="2260" spans="1:24" hidden="1" x14ac:dyDescent="0.35">
      <c r="A2260">
        <v>2256</v>
      </c>
      <c r="B2260">
        <v>2257</v>
      </c>
      <c r="C2260">
        <v>146.08897207000001</v>
      </c>
      <c r="D2260">
        <v>-17.665671844399899</v>
      </c>
      <c r="G2260" s="92"/>
      <c r="I2260">
        <v>8</v>
      </c>
      <c r="J2260" t="s">
        <v>26</v>
      </c>
      <c r="K2260" s="57"/>
      <c r="L2260" s="31"/>
      <c r="M2260" s="31"/>
      <c r="N2260" s="31"/>
      <c r="O2260" s="31"/>
      <c r="S2260" s="57"/>
      <c r="X2260" s="57"/>
    </row>
    <row r="2261" spans="1:24" hidden="1" x14ac:dyDescent="0.35">
      <c r="A2261">
        <v>2257</v>
      </c>
      <c r="B2261">
        <v>2258</v>
      </c>
      <c r="C2261">
        <v>146.08892084799899</v>
      </c>
      <c r="D2261">
        <v>-17.665742161600001</v>
      </c>
      <c r="G2261" s="92"/>
      <c r="I2261">
        <v>8</v>
      </c>
      <c r="J2261" t="s">
        <v>26</v>
      </c>
      <c r="K2261" s="57"/>
      <c r="L2261" s="31"/>
      <c r="M2261" s="31"/>
      <c r="N2261" s="31"/>
      <c r="O2261" s="31"/>
      <c r="S2261" s="57"/>
      <c r="X2261" s="57"/>
    </row>
    <row r="2262" spans="1:24" hidden="1" x14ac:dyDescent="0.35">
      <c r="A2262">
        <v>2258</v>
      </c>
      <c r="B2262">
        <v>2259</v>
      </c>
      <c r="C2262">
        <v>146.088869625999</v>
      </c>
      <c r="D2262">
        <v>-17.6658124787999</v>
      </c>
      <c r="G2262" s="92"/>
      <c r="I2262">
        <v>8</v>
      </c>
      <c r="J2262" t="s">
        <v>26</v>
      </c>
      <c r="K2262" s="57"/>
      <c r="L2262" s="31"/>
      <c r="M2262" s="31"/>
      <c r="N2262" s="31"/>
      <c r="O2262" s="31"/>
      <c r="S2262" s="57"/>
      <c r="X2262" s="57"/>
    </row>
    <row r="2263" spans="1:24" hidden="1" x14ac:dyDescent="0.35">
      <c r="A2263">
        <v>2259</v>
      </c>
      <c r="B2263">
        <v>2260</v>
      </c>
      <c r="C2263">
        <v>146.088817535999</v>
      </c>
      <c r="D2263">
        <v>-17.6658821975</v>
      </c>
      <c r="G2263" s="92"/>
      <c r="I2263">
        <v>8</v>
      </c>
      <c r="J2263" t="s">
        <v>26</v>
      </c>
      <c r="K2263" s="57"/>
      <c r="L2263" s="31"/>
      <c r="M2263" s="31"/>
      <c r="N2263" s="31"/>
      <c r="O2263" s="31"/>
      <c r="S2263" s="57"/>
      <c r="X2263" s="57"/>
    </row>
    <row r="2264" spans="1:24" hidden="1" x14ac:dyDescent="0.35">
      <c r="A2264">
        <v>2260</v>
      </c>
      <c r="B2264">
        <v>2261</v>
      </c>
      <c r="C2264">
        <v>146.08876350200001</v>
      </c>
      <c r="D2264">
        <v>-17.665950576899899</v>
      </c>
      <c r="G2264" s="92"/>
      <c r="I2264">
        <v>8</v>
      </c>
      <c r="J2264" t="s">
        <v>26</v>
      </c>
      <c r="K2264" s="57"/>
      <c r="L2264" s="31"/>
      <c r="M2264" s="31"/>
      <c r="N2264" s="31"/>
      <c r="O2264" s="31"/>
      <c r="S2264" s="57"/>
      <c r="X2264" s="57"/>
    </row>
    <row r="2265" spans="1:24" hidden="1" x14ac:dyDescent="0.35">
      <c r="A2265">
        <v>2261</v>
      </c>
      <c r="B2265">
        <v>2262</v>
      </c>
      <c r="C2265">
        <v>146.088709467999</v>
      </c>
      <c r="D2265">
        <v>-17.666018956199899</v>
      </c>
      <c r="G2265" s="92"/>
      <c r="I2265">
        <v>8</v>
      </c>
      <c r="J2265" t="s">
        <v>26</v>
      </c>
      <c r="K2265" s="57"/>
      <c r="L2265" s="31"/>
      <c r="M2265" s="31"/>
      <c r="N2265" s="31"/>
      <c r="O2265" s="31"/>
      <c r="S2265" s="57"/>
      <c r="X2265" s="57"/>
    </row>
    <row r="2266" spans="1:24" hidden="1" x14ac:dyDescent="0.35">
      <c r="A2266">
        <v>2262</v>
      </c>
      <c r="B2266">
        <v>2263</v>
      </c>
      <c r="C2266">
        <v>146.08865602700001</v>
      </c>
      <c r="D2266">
        <v>-17.666087752900001</v>
      </c>
      <c r="G2266" s="92"/>
      <c r="I2266">
        <v>8</v>
      </c>
      <c r="J2266" t="s">
        <v>26</v>
      </c>
      <c r="K2266" s="57"/>
      <c r="L2266" s="31"/>
      <c r="M2266" s="31"/>
      <c r="N2266" s="31"/>
      <c r="O2266" s="31"/>
      <c r="S2266" s="57"/>
      <c r="X2266" s="57"/>
    </row>
    <row r="2267" spans="1:24" hidden="1" x14ac:dyDescent="0.35">
      <c r="A2267">
        <v>2263</v>
      </c>
      <c r="B2267">
        <v>2264</v>
      </c>
      <c r="C2267">
        <v>146.088603398</v>
      </c>
      <c r="D2267">
        <v>-17.6661571194999</v>
      </c>
      <c r="G2267" s="92"/>
      <c r="I2267">
        <v>8</v>
      </c>
      <c r="J2267" t="s">
        <v>26</v>
      </c>
      <c r="K2267" s="57"/>
      <c r="L2267" s="31"/>
      <c r="M2267" s="31"/>
      <c r="N2267" s="31"/>
      <c r="O2267" s="31"/>
      <c r="S2267" s="57"/>
      <c r="X2267" s="57"/>
    </row>
    <row r="2268" spans="1:24" hidden="1" x14ac:dyDescent="0.35">
      <c r="A2268">
        <v>2264</v>
      </c>
      <c r="B2268">
        <v>2265</v>
      </c>
      <c r="C2268">
        <v>146.088550768</v>
      </c>
      <c r="D2268">
        <v>-17.666226486100001</v>
      </c>
      <c r="G2268" s="92"/>
      <c r="I2268">
        <v>8</v>
      </c>
      <c r="J2268" t="s">
        <v>26</v>
      </c>
      <c r="K2268" s="57"/>
      <c r="L2268" s="31"/>
      <c r="M2268" s="31"/>
      <c r="N2268" s="31"/>
      <c r="O2268" s="31"/>
      <c r="S2268" s="57"/>
      <c r="X2268" s="57"/>
    </row>
    <row r="2269" spans="1:24" hidden="1" x14ac:dyDescent="0.35">
      <c r="A2269">
        <v>2265</v>
      </c>
      <c r="B2269">
        <v>2266</v>
      </c>
      <c r="C2269">
        <v>146.088492884</v>
      </c>
      <c r="D2269">
        <v>-17.6662919010999</v>
      </c>
      <c r="G2269" s="92"/>
      <c r="I2269">
        <v>8</v>
      </c>
      <c r="J2269" t="s">
        <v>26</v>
      </c>
      <c r="K2269" s="57"/>
      <c r="L2269" s="31"/>
      <c r="M2269" s="31"/>
      <c r="N2269" s="31"/>
      <c r="O2269" s="31"/>
      <c r="S2269" s="57"/>
      <c r="X2269" s="57"/>
    </row>
    <row r="2270" spans="1:24" hidden="1" x14ac:dyDescent="0.35">
      <c r="A2270">
        <v>2266</v>
      </c>
      <c r="B2270">
        <v>2267</v>
      </c>
      <c r="C2270">
        <v>146.088434298999</v>
      </c>
      <c r="D2270">
        <v>-17.6663567885</v>
      </c>
      <c r="G2270" s="92"/>
      <c r="I2270">
        <v>8</v>
      </c>
      <c r="J2270" t="s">
        <v>26</v>
      </c>
      <c r="K2270" s="57"/>
      <c r="L2270" s="31"/>
      <c r="M2270" s="31"/>
      <c r="N2270" s="31"/>
      <c r="O2270" s="31"/>
      <c r="S2270" s="57"/>
      <c r="X2270" s="57"/>
    </row>
    <row r="2271" spans="1:24" hidden="1" x14ac:dyDescent="0.35">
      <c r="A2271">
        <v>2267</v>
      </c>
      <c r="B2271">
        <v>2268</v>
      </c>
      <c r="C2271">
        <v>146.088375713</v>
      </c>
      <c r="D2271">
        <v>-17.666421675999899</v>
      </c>
      <c r="G2271" s="92"/>
      <c r="I2271">
        <v>8</v>
      </c>
      <c r="J2271" t="s">
        <v>26</v>
      </c>
      <c r="K2271" s="57"/>
      <c r="L2271" s="31"/>
      <c r="M2271" s="31"/>
      <c r="N2271" s="31"/>
      <c r="O2271" s="31"/>
      <c r="S2271" s="57"/>
      <c r="X2271" s="57"/>
    </row>
    <row r="2272" spans="1:24" hidden="1" x14ac:dyDescent="0.35">
      <c r="A2272">
        <v>2268</v>
      </c>
      <c r="B2272">
        <v>2269</v>
      </c>
      <c r="C2272">
        <v>146.088317128</v>
      </c>
      <c r="D2272">
        <v>-17.6664865633999</v>
      </c>
      <c r="G2272" s="92"/>
      <c r="I2272">
        <v>8</v>
      </c>
      <c r="J2272" t="s">
        <v>26</v>
      </c>
      <c r="K2272" s="57"/>
      <c r="L2272" s="31"/>
      <c r="M2272" s="31"/>
      <c r="N2272" s="31"/>
      <c r="O2272" s="31"/>
      <c r="S2272" s="57"/>
      <c r="X2272" s="57"/>
    </row>
    <row r="2273" spans="1:24" hidden="1" x14ac:dyDescent="0.35">
      <c r="A2273">
        <v>2269</v>
      </c>
      <c r="B2273">
        <v>2270</v>
      </c>
      <c r="C2273">
        <v>146.08826649700001</v>
      </c>
      <c r="D2273">
        <v>-17.6665560856</v>
      </c>
      <c r="G2273" s="92"/>
      <c r="I2273">
        <v>8</v>
      </c>
      <c r="J2273" t="s">
        <v>26</v>
      </c>
      <c r="K2273" s="57"/>
      <c r="L2273" s="31"/>
      <c r="M2273" s="31"/>
      <c r="N2273" s="31"/>
      <c r="O2273" s="31"/>
      <c r="S2273" s="57"/>
      <c r="X2273" s="57"/>
    </row>
    <row r="2274" spans="1:24" hidden="1" x14ac:dyDescent="0.35">
      <c r="A2274">
        <v>2270</v>
      </c>
      <c r="B2274">
        <v>2271</v>
      </c>
      <c r="C2274">
        <v>146.08823256900001</v>
      </c>
      <c r="D2274">
        <v>-17.6666353407999</v>
      </c>
      <c r="G2274" s="92"/>
      <c r="I2274">
        <v>8</v>
      </c>
      <c r="J2274" t="s">
        <v>26</v>
      </c>
      <c r="K2274" s="57"/>
      <c r="L2274" s="31"/>
      <c r="M2274" s="31"/>
      <c r="N2274" s="31"/>
      <c r="O2274" s="31"/>
      <c r="S2274" s="57"/>
      <c r="X2274" s="57"/>
    </row>
    <row r="2275" spans="1:24" hidden="1" x14ac:dyDescent="0.35">
      <c r="A2275">
        <v>2271</v>
      </c>
      <c r="B2275">
        <v>2272</v>
      </c>
      <c r="C2275">
        <v>146.08819864</v>
      </c>
      <c r="D2275">
        <v>-17.666714595999899</v>
      </c>
      <c r="G2275" s="92"/>
      <c r="I2275">
        <v>8</v>
      </c>
      <c r="J2275" t="s">
        <v>26</v>
      </c>
      <c r="K2275" s="57"/>
      <c r="L2275" s="31"/>
      <c r="M2275" s="31"/>
      <c r="N2275" s="31"/>
      <c r="O2275" s="31"/>
      <c r="S2275" s="57"/>
      <c r="X2275" s="57"/>
    </row>
    <row r="2276" spans="1:24" hidden="1" x14ac:dyDescent="0.35">
      <c r="A2276">
        <v>2272</v>
      </c>
      <c r="B2276">
        <v>2273</v>
      </c>
      <c r="C2276">
        <v>146.08816471200001</v>
      </c>
      <c r="D2276">
        <v>-17.6667938511</v>
      </c>
      <c r="G2276" s="92"/>
      <c r="I2276">
        <v>8</v>
      </c>
      <c r="J2276" t="s">
        <v>26</v>
      </c>
      <c r="K2276" s="57"/>
      <c r="L2276" s="31"/>
      <c r="M2276" s="31"/>
      <c r="N2276" s="31"/>
      <c r="O2276" s="31"/>
      <c r="S2276" s="57"/>
      <c r="X2276" s="57"/>
    </row>
    <row r="2277" spans="1:24" hidden="1" x14ac:dyDescent="0.35">
      <c r="A2277">
        <v>2273</v>
      </c>
      <c r="B2277">
        <v>2274</v>
      </c>
      <c r="C2277">
        <v>146.088143819999</v>
      </c>
      <c r="D2277">
        <v>-17.6668763819</v>
      </c>
      <c r="G2277" s="92"/>
      <c r="I2277">
        <v>8</v>
      </c>
      <c r="J2277" t="s">
        <v>26</v>
      </c>
      <c r="K2277" s="57"/>
      <c r="L2277" s="31"/>
      <c r="M2277" s="31"/>
      <c r="N2277" s="31"/>
      <c r="O2277" s="31"/>
      <c r="S2277" s="57"/>
      <c r="X2277" s="57"/>
    </row>
    <row r="2278" spans="1:24" hidden="1" x14ac:dyDescent="0.35">
      <c r="A2278">
        <v>2274</v>
      </c>
      <c r="B2278">
        <v>2275</v>
      </c>
      <c r="C2278">
        <v>146.088132317</v>
      </c>
      <c r="D2278">
        <v>-17.6669612721</v>
      </c>
      <c r="G2278" s="92"/>
      <c r="I2278">
        <v>8</v>
      </c>
      <c r="J2278" t="s">
        <v>26</v>
      </c>
      <c r="K2278" s="57"/>
      <c r="L2278" s="31"/>
      <c r="M2278" s="31"/>
      <c r="N2278" s="31"/>
      <c r="O2278" s="31"/>
      <c r="S2278" s="57"/>
      <c r="X2278" s="57"/>
    </row>
    <row r="2279" spans="1:24" hidden="1" x14ac:dyDescent="0.35">
      <c r="A2279">
        <v>2275</v>
      </c>
      <c r="B2279">
        <v>2276</v>
      </c>
      <c r="C2279">
        <v>146.08812081400001</v>
      </c>
      <c r="D2279">
        <v>-17.667046162199899</v>
      </c>
      <c r="G2279" s="92"/>
      <c r="I2279">
        <v>8</v>
      </c>
      <c r="J2279" t="s">
        <v>26</v>
      </c>
      <c r="K2279" s="57"/>
      <c r="L2279" s="31"/>
      <c r="M2279" s="31"/>
      <c r="N2279" s="31"/>
      <c r="O2279" s="31"/>
      <c r="S2279" s="57"/>
      <c r="X2279" s="57"/>
    </row>
    <row r="2280" spans="1:24" hidden="1" x14ac:dyDescent="0.35">
      <c r="A2280">
        <v>2276</v>
      </c>
      <c r="B2280">
        <v>2277</v>
      </c>
      <c r="C2280">
        <v>146.088114931999</v>
      </c>
      <c r="D2280">
        <v>-17.6671310686</v>
      </c>
      <c r="G2280" s="92"/>
      <c r="I2280">
        <v>8</v>
      </c>
      <c r="J2280" t="s">
        <v>26</v>
      </c>
      <c r="K2280" s="57"/>
      <c r="L2280" s="31"/>
      <c r="M2280" s="31"/>
      <c r="N2280" s="31"/>
      <c r="O2280" s="31"/>
      <c r="S2280" s="57"/>
      <c r="X2280" s="57"/>
    </row>
    <row r="2281" spans="1:24" hidden="1" x14ac:dyDescent="0.35">
      <c r="A2281">
        <v>2277</v>
      </c>
      <c r="B2281">
        <v>2278</v>
      </c>
      <c r="C2281">
        <v>146.08812588999899</v>
      </c>
      <c r="D2281">
        <v>-17.667216023999899</v>
      </c>
      <c r="G2281" s="92"/>
      <c r="I2281">
        <v>8</v>
      </c>
      <c r="J2281" t="s">
        <v>26</v>
      </c>
      <c r="K2281" s="57"/>
      <c r="L2281" s="31"/>
      <c r="M2281" s="31"/>
      <c r="N2281" s="31"/>
      <c r="O2281" s="31"/>
      <c r="S2281" s="57"/>
      <c r="X2281" s="57"/>
    </row>
    <row r="2282" spans="1:24" hidden="1" x14ac:dyDescent="0.35">
      <c r="A2282">
        <v>2278</v>
      </c>
      <c r="B2282">
        <v>2279</v>
      </c>
      <c r="C2282">
        <v>146.088136848999</v>
      </c>
      <c r="D2282">
        <v>-17.667300979299899</v>
      </c>
      <c r="G2282" s="92"/>
      <c r="I2282">
        <v>8</v>
      </c>
      <c r="J2282" t="s">
        <v>26</v>
      </c>
      <c r="K2282" s="57"/>
      <c r="L2282" s="31"/>
      <c r="M2282" s="31"/>
      <c r="N2282" s="31"/>
      <c r="O2282" s="31"/>
      <c r="S2282" s="57"/>
      <c r="X2282" s="57"/>
    </row>
    <row r="2283" spans="1:24" hidden="1" x14ac:dyDescent="0.35">
      <c r="A2283">
        <v>2279</v>
      </c>
      <c r="B2283">
        <v>2280</v>
      </c>
      <c r="C2283">
        <v>146.088147808</v>
      </c>
      <c r="D2283">
        <v>-17.667385934599899</v>
      </c>
      <c r="G2283" s="92"/>
      <c r="I2283">
        <v>8</v>
      </c>
      <c r="J2283" t="s">
        <v>26</v>
      </c>
      <c r="K2283" s="57"/>
      <c r="L2283" s="31"/>
      <c r="M2283" s="31"/>
      <c r="N2283" s="31"/>
      <c r="O2283" s="31"/>
      <c r="S2283" s="57"/>
      <c r="X2283" s="57"/>
    </row>
    <row r="2284" spans="1:24" hidden="1" x14ac:dyDescent="0.35">
      <c r="A2284">
        <v>2280</v>
      </c>
      <c r="B2284">
        <v>2281</v>
      </c>
      <c r="C2284">
        <v>146.08815876700001</v>
      </c>
      <c r="D2284">
        <v>-17.667470889800001</v>
      </c>
      <c r="G2284" s="92"/>
      <c r="I2284">
        <v>8</v>
      </c>
      <c r="J2284" t="s">
        <v>26</v>
      </c>
      <c r="K2284" s="57"/>
      <c r="L2284" s="31"/>
      <c r="M2284" s="31"/>
      <c r="N2284" s="31"/>
      <c r="O2284" s="31"/>
      <c r="S2284" s="57"/>
      <c r="X2284" s="57"/>
    </row>
    <row r="2285" spans="1:24" hidden="1" x14ac:dyDescent="0.35">
      <c r="A2285">
        <v>2281</v>
      </c>
      <c r="B2285">
        <v>2282</v>
      </c>
      <c r="C2285">
        <v>146.088169725</v>
      </c>
      <c r="D2285">
        <v>-17.6675558449999</v>
      </c>
      <c r="G2285" s="92"/>
      <c r="I2285">
        <v>8</v>
      </c>
      <c r="J2285" t="s">
        <v>26</v>
      </c>
      <c r="K2285" s="57"/>
      <c r="L2285" s="31"/>
      <c r="M2285" s="31"/>
      <c r="N2285" s="31"/>
      <c r="O2285" s="31"/>
      <c r="S2285" s="57"/>
      <c r="X2285" s="57"/>
    </row>
    <row r="2286" spans="1:24" hidden="1" x14ac:dyDescent="0.35">
      <c r="A2286">
        <v>2282</v>
      </c>
      <c r="B2286">
        <v>2283</v>
      </c>
      <c r="C2286">
        <v>146.08819265700001</v>
      </c>
      <c r="D2286">
        <v>-17.667637404099899</v>
      </c>
      <c r="G2286" s="92"/>
      <c r="I2286">
        <v>8</v>
      </c>
      <c r="J2286" t="s">
        <v>26</v>
      </c>
      <c r="K2286" s="57"/>
      <c r="L2286" s="31"/>
      <c r="M2286" s="31"/>
      <c r="N2286" s="31"/>
      <c r="O2286" s="31"/>
      <c r="S2286" s="57"/>
      <c r="X2286" s="57"/>
    </row>
    <row r="2287" spans="1:24" hidden="1" x14ac:dyDescent="0.35">
      <c r="A2287">
        <v>2283</v>
      </c>
      <c r="B2287">
        <v>2284</v>
      </c>
      <c r="C2287">
        <v>146.08823224700001</v>
      </c>
      <c r="D2287">
        <v>-17.6677142375</v>
      </c>
      <c r="G2287" s="92"/>
      <c r="I2287">
        <v>8</v>
      </c>
      <c r="J2287" t="s">
        <v>26</v>
      </c>
      <c r="K2287" s="57"/>
      <c r="L2287" s="31"/>
      <c r="M2287" s="31"/>
      <c r="N2287" s="31"/>
      <c r="O2287" s="31"/>
      <c r="S2287" s="57"/>
      <c r="X2287" s="57"/>
    </row>
    <row r="2288" spans="1:24" hidden="1" x14ac:dyDescent="0.35">
      <c r="A2288">
        <v>2284</v>
      </c>
      <c r="B2288">
        <v>2285</v>
      </c>
      <c r="C2288">
        <v>146.08827183700001</v>
      </c>
      <c r="D2288">
        <v>-17.667791071</v>
      </c>
      <c r="G2288" s="92"/>
      <c r="I2288">
        <v>8</v>
      </c>
      <c r="J2288" t="s">
        <v>26</v>
      </c>
      <c r="K2288" s="57"/>
      <c r="L2288" s="31"/>
      <c r="M2288" s="31"/>
      <c r="N2288" s="31"/>
      <c r="O2288" s="31"/>
      <c r="S2288" s="57"/>
      <c r="X2288" s="57"/>
    </row>
    <row r="2289" spans="1:24" hidden="1" x14ac:dyDescent="0.35">
      <c r="A2289">
        <v>2285</v>
      </c>
      <c r="B2289">
        <v>2286</v>
      </c>
      <c r="C2289">
        <v>146.088318759999</v>
      </c>
      <c r="D2289">
        <v>-17.667862716999899</v>
      </c>
      <c r="G2289" s="92"/>
      <c r="I2289">
        <v>8</v>
      </c>
      <c r="J2289" t="s">
        <v>26</v>
      </c>
      <c r="K2289" s="57"/>
      <c r="L2289" s="31"/>
      <c r="M2289" s="31"/>
      <c r="N2289" s="31"/>
      <c r="O2289" s="31"/>
      <c r="S2289" s="57"/>
      <c r="X2289" s="57"/>
    </row>
    <row r="2290" spans="1:24" hidden="1" x14ac:dyDescent="0.35">
      <c r="A2290">
        <v>2286</v>
      </c>
      <c r="B2290">
        <v>2287</v>
      </c>
      <c r="C2290">
        <v>146.08838449999899</v>
      </c>
      <c r="D2290">
        <v>-17.6679210498</v>
      </c>
      <c r="G2290" s="92"/>
      <c r="I2290">
        <v>8</v>
      </c>
      <c r="J2290" t="s">
        <v>26</v>
      </c>
      <c r="K2290" s="57"/>
      <c r="L2290" s="31"/>
      <c r="M2290" s="31"/>
      <c r="N2290" s="31"/>
      <c r="O2290" s="31"/>
      <c r="S2290" s="57"/>
      <c r="X2290" s="57"/>
    </row>
    <row r="2291" spans="1:24" hidden="1" x14ac:dyDescent="0.35">
      <c r="A2291">
        <v>2287</v>
      </c>
      <c r="B2291">
        <v>2288</v>
      </c>
      <c r="C2291">
        <v>146.08847022200001</v>
      </c>
      <c r="D2291">
        <v>-17.667944576299899</v>
      </c>
      <c r="G2291" s="92"/>
      <c r="I2291">
        <v>8</v>
      </c>
      <c r="J2291" t="s">
        <v>26</v>
      </c>
      <c r="K2291" s="57"/>
      <c r="L2291" s="31"/>
      <c r="M2291" s="31"/>
      <c r="N2291" s="31"/>
      <c r="O2291" s="31"/>
      <c r="S2291" s="57"/>
      <c r="X2291" s="57"/>
    </row>
    <row r="2292" spans="1:24" hidden="1" x14ac:dyDescent="0.35">
      <c r="A2292">
        <v>2288</v>
      </c>
      <c r="B2292">
        <v>2289</v>
      </c>
      <c r="C2292">
        <v>146.08855362400001</v>
      </c>
      <c r="D2292">
        <v>-17.66793161</v>
      </c>
      <c r="G2292" s="92"/>
      <c r="I2292">
        <v>8</v>
      </c>
      <c r="J2292" t="s">
        <v>26</v>
      </c>
      <c r="K2292" s="57"/>
      <c r="L2292" s="31"/>
      <c r="M2292" s="31"/>
      <c r="N2292" s="31"/>
      <c r="O2292" s="31"/>
      <c r="S2292" s="57"/>
      <c r="X2292" s="57"/>
    </row>
    <row r="2293" spans="1:24" hidden="1" x14ac:dyDescent="0.35">
      <c r="A2293">
        <v>2289</v>
      </c>
      <c r="B2293">
        <v>2290</v>
      </c>
      <c r="C2293">
        <v>146.08863445700001</v>
      </c>
      <c r="D2293">
        <v>-17.667894271400002</v>
      </c>
      <c r="G2293" s="92"/>
      <c r="I2293">
        <v>8</v>
      </c>
      <c r="J2293" t="s">
        <v>26</v>
      </c>
      <c r="K2293" s="57"/>
      <c r="L2293" s="31"/>
      <c r="M2293" s="31"/>
      <c r="N2293" s="31"/>
      <c r="O2293" s="31"/>
      <c r="S2293" s="57"/>
      <c r="X2293" s="57"/>
    </row>
    <row r="2294" spans="1:24" hidden="1" x14ac:dyDescent="0.35">
      <c r="A2294">
        <v>2290</v>
      </c>
      <c r="B2294">
        <v>2291</v>
      </c>
      <c r="C2294">
        <v>146.088715291</v>
      </c>
      <c r="D2294">
        <v>-17.6678569321999</v>
      </c>
      <c r="G2294" s="92"/>
      <c r="I2294">
        <v>8</v>
      </c>
      <c r="J2294" t="s">
        <v>26</v>
      </c>
      <c r="K2294" s="57"/>
      <c r="L2294" s="31"/>
      <c r="M2294" s="31"/>
      <c r="N2294" s="31"/>
      <c r="O2294" s="31"/>
      <c r="S2294" s="57"/>
      <c r="X2294" s="57"/>
    </row>
    <row r="2295" spans="1:24" hidden="1" x14ac:dyDescent="0.35">
      <c r="A2295">
        <v>2291</v>
      </c>
      <c r="B2295">
        <v>2292</v>
      </c>
      <c r="C2295">
        <v>146.088796123999</v>
      </c>
      <c r="D2295">
        <v>-17.6678195928999</v>
      </c>
      <c r="G2295" s="92"/>
      <c r="I2295">
        <v>8</v>
      </c>
      <c r="J2295" t="s">
        <v>26</v>
      </c>
      <c r="K2295" s="57"/>
      <c r="L2295" s="31"/>
      <c r="M2295" s="31"/>
      <c r="N2295" s="31"/>
      <c r="O2295" s="31"/>
      <c r="S2295" s="57"/>
      <c r="X2295" s="57"/>
    </row>
    <row r="2296" spans="1:24" hidden="1" x14ac:dyDescent="0.35">
      <c r="A2296">
        <v>2292</v>
      </c>
      <c r="B2296">
        <v>2293</v>
      </c>
      <c r="C2296">
        <v>146.088878956999</v>
      </c>
      <c r="D2296">
        <v>-17.667786538200001</v>
      </c>
      <c r="G2296" s="92"/>
      <c r="I2296">
        <v>8</v>
      </c>
      <c r="J2296" t="s">
        <v>26</v>
      </c>
      <c r="K2296" s="57"/>
      <c r="L2296" s="31"/>
      <c r="M2296" s="31"/>
      <c r="N2296" s="31"/>
      <c r="O2296" s="31"/>
      <c r="S2296" s="57"/>
      <c r="X2296" s="57"/>
    </row>
    <row r="2297" spans="1:24" hidden="1" x14ac:dyDescent="0.35">
      <c r="A2297">
        <v>2293</v>
      </c>
      <c r="B2297">
        <v>2294</v>
      </c>
      <c r="C2297">
        <v>146.088962191999</v>
      </c>
      <c r="D2297">
        <v>-17.6677543437</v>
      </c>
      <c r="G2297" s="92"/>
      <c r="I2297">
        <v>8</v>
      </c>
      <c r="J2297" t="s">
        <v>26</v>
      </c>
      <c r="K2297" s="57"/>
      <c r="L2297" s="31"/>
      <c r="M2297" s="31"/>
      <c r="N2297" s="31"/>
      <c r="O2297" s="31"/>
      <c r="S2297" s="57"/>
      <c r="X2297" s="57"/>
    </row>
    <row r="2298" spans="1:24" hidden="1" x14ac:dyDescent="0.35">
      <c r="A2298">
        <v>2294</v>
      </c>
      <c r="B2298">
        <v>2295</v>
      </c>
      <c r="C2298">
        <v>146.089045427</v>
      </c>
      <c r="D2298">
        <v>-17.667722149300001</v>
      </c>
      <c r="G2298" s="92"/>
      <c r="I2298">
        <v>8</v>
      </c>
      <c r="J2298" t="s">
        <v>26</v>
      </c>
      <c r="K2298" s="57"/>
      <c r="L2298" s="31"/>
      <c r="M2298" s="31"/>
      <c r="N2298" s="31"/>
      <c r="O2298" s="31"/>
      <c r="S2298" s="57"/>
      <c r="X2298" s="57"/>
    </row>
    <row r="2299" spans="1:24" hidden="1" x14ac:dyDescent="0.35">
      <c r="A2299">
        <v>2295</v>
      </c>
      <c r="B2299">
        <v>2296</v>
      </c>
      <c r="C2299">
        <v>146.08912866200001</v>
      </c>
      <c r="D2299">
        <v>-17.6676899548</v>
      </c>
      <c r="G2299" s="92"/>
      <c r="I2299">
        <v>8</v>
      </c>
      <c r="J2299" t="s">
        <v>26</v>
      </c>
      <c r="K2299" s="57"/>
      <c r="L2299" s="31"/>
      <c r="M2299" s="31"/>
      <c r="N2299" s="31"/>
      <c r="O2299" s="31"/>
      <c r="S2299" s="57"/>
      <c r="X2299" s="57"/>
    </row>
    <row r="2300" spans="1:24" hidden="1" x14ac:dyDescent="0.35">
      <c r="A2300">
        <v>2296</v>
      </c>
      <c r="B2300">
        <v>2297</v>
      </c>
      <c r="C2300">
        <v>146.08921189700001</v>
      </c>
      <c r="D2300">
        <v>-17.6676577602999</v>
      </c>
      <c r="G2300" s="92"/>
      <c r="I2300">
        <v>8</v>
      </c>
      <c r="J2300" t="s">
        <v>26</v>
      </c>
      <c r="K2300" s="57"/>
      <c r="L2300" s="31"/>
      <c r="M2300" s="31"/>
      <c r="N2300" s="31"/>
      <c r="O2300" s="31"/>
      <c r="S2300" s="57"/>
      <c r="X2300" s="57"/>
    </row>
    <row r="2301" spans="1:24" hidden="1" x14ac:dyDescent="0.35">
      <c r="A2301">
        <v>2297</v>
      </c>
      <c r="B2301">
        <v>2298</v>
      </c>
      <c r="C2301">
        <v>146.08929513199899</v>
      </c>
      <c r="D2301">
        <v>-17.667625565800002</v>
      </c>
      <c r="G2301" s="92"/>
      <c r="I2301">
        <v>8</v>
      </c>
      <c r="J2301" t="s">
        <v>26</v>
      </c>
      <c r="K2301" s="57"/>
      <c r="L2301" s="31"/>
      <c r="M2301" s="31"/>
      <c r="N2301" s="31"/>
      <c r="O2301" s="31"/>
      <c r="S2301" s="57"/>
      <c r="X2301" s="57"/>
    </row>
    <row r="2302" spans="1:24" hidden="1" x14ac:dyDescent="0.35">
      <c r="A2302">
        <v>2298</v>
      </c>
      <c r="B2302">
        <v>2299</v>
      </c>
      <c r="C2302">
        <v>146.08937370999899</v>
      </c>
      <c r="D2302">
        <v>-17.667584122800001</v>
      </c>
      <c r="G2302" s="92"/>
      <c r="I2302">
        <v>8</v>
      </c>
      <c r="J2302" t="s">
        <v>26</v>
      </c>
      <c r="K2302" s="57"/>
      <c r="L2302" s="31"/>
      <c r="M2302" s="31"/>
      <c r="N2302" s="31"/>
      <c r="O2302" s="31"/>
      <c r="S2302" s="57"/>
      <c r="X2302" s="57"/>
    </row>
    <row r="2303" spans="1:24" hidden="1" x14ac:dyDescent="0.35">
      <c r="A2303">
        <v>2299</v>
      </c>
      <c r="B2303">
        <v>2300</v>
      </c>
      <c r="C2303">
        <v>146.089452144999</v>
      </c>
      <c r="D2303">
        <v>-17.667542397999899</v>
      </c>
      <c r="G2303" s="92"/>
      <c r="I2303">
        <v>8</v>
      </c>
      <c r="J2303" t="s">
        <v>26</v>
      </c>
      <c r="K2303" s="57"/>
      <c r="L2303" s="31"/>
      <c r="M2303" s="31"/>
      <c r="N2303" s="31"/>
      <c r="O2303" s="31"/>
      <c r="S2303" s="57"/>
      <c r="X2303" s="57"/>
    </row>
    <row r="2304" spans="1:24" hidden="1" x14ac:dyDescent="0.35">
      <c r="A2304">
        <v>2300</v>
      </c>
      <c r="B2304">
        <v>2301</v>
      </c>
      <c r="C2304">
        <v>146.089530580999</v>
      </c>
      <c r="D2304">
        <v>-17.6675006731999</v>
      </c>
      <c r="G2304" s="92"/>
      <c r="I2304">
        <v>8</v>
      </c>
      <c r="J2304" t="s">
        <v>26</v>
      </c>
      <c r="K2304" s="57"/>
      <c r="L2304" s="31"/>
      <c r="M2304" s="31"/>
      <c r="N2304" s="31"/>
      <c r="O2304" s="31"/>
      <c r="S2304" s="57"/>
      <c r="X2304" s="57"/>
    </row>
    <row r="2305" spans="1:24" hidden="1" x14ac:dyDescent="0.35">
      <c r="A2305">
        <v>2301</v>
      </c>
      <c r="B2305">
        <v>2302</v>
      </c>
      <c r="C2305">
        <v>146.089609015999</v>
      </c>
      <c r="D2305">
        <v>-17.667458948299899</v>
      </c>
      <c r="G2305" s="92"/>
      <c r="I2305">
        <v>8</v>
      </c>
      <c r="J2305" t="s">
        <v>26</v>
      </c>
      <c r="K2305" s="57"/>
      <c r="L2305" s="31"/>
      <c r="M2305" s="31"/>
      <c r="N2305" s="31"/>
      <c r="O2305" s="31"/>
      <c r="S2305" s="57"/>
      <c r="X2305" s="57"/>
    </row>
    <row r="2306" spans="1:24" hidden="1" x14ac:dyDescent="0.35">
      <c r="A2306">
        <v>2302</v>
      </c>
      <c r="B2306">
        <v>2303</v>
      </c>
      <c r="C2306">
        <v>146.089687451</v>
      </c>
      <c r="D2306">
        <v>-17.6674172234999</v>
      </c>
      <c r="G2306" s="92"/>
      <c r="I2306">
        <v>8</v>
      </c>
      <c r="J2306" t="s">
        <v>26</v>
      </c>
      <c r="K2306" s="57"/>
      <c r="L2306" s="31"/>
      <c r="M2306" s="31"/>
      <c r="N2306" s="31"/>
      <c r="O2306" s="31"/>
      <c r="S2306" s="57"/>
      <c r="X2306" s="57"/>
    </row>
    <row r="2307" spans="1:24" hidden="1" x14ac:dyDescent="0.35">
      <c r="A2307">
        <v>2303</v>
      </c>
      <c r="B2307">
        <v>2304</v>
      </c>
      <c r="C2307">
        <v>146.089765886999</v>
      </c>
      <c r="D2307">
        <v>-17.667375498599899</v>
      </c>
      <c r="G2307" s="92"/>
      <c r="I2307">
        <v>8</v>
      </c>
      <c r="J2307" t="s">
        <v>26</v>
      </c>
      <c r="K2307" s="57"/>
      <c r="L2307" s="31"/>
      <c r="M2307" s="31"/>
      <c r="N2307" s="31"/>
      <c r="O2307" s="31"/>
      <c r="S2307" s="57"/>
      <c r="X2307" s="57"/>
    </row>
    <row r="2308" spans="1:24" hidden="1" x14ac:dyDescent="0.35">
      <c r="A2308">
        <v>2304</v>
      </c>
      <c r="B2308">
        <v>2305</v>
      </c>
      <c r="C2308">
        <v>146.089844322</v>
      </c>
      <c r="D2308">
        <v>-17.667333773700001</v>
      </c>
      <c r="G2308" s="92"/>
      <c r="I2308">
        <v>8</v>
      </c>
      <c r="J2308" t="s">
        <v>26</v>
      </c>
      <c r="K2308" s="57"/>
      <c r="L2308" s="31"/>
      <c r="M2308" s="31"/>
      <c r="N2308" s="31"/>
      <c r="O2308" s="31"/>
      <c r="S2308" s="57"/>
      <c r="X2308" s="57"/>
    </row>
    <row r="2309" spans="1:24" hidden="1" x14ac:dyDescent="0.35">
      <c r="A2309">
        <v>2305</v>
      </c>
      <c r="B2309">
        <v>2306</v>
      </c>
      <c r="C2309">
        <v>146.089922758</v>
      </c>
      <c r="D2309">
        <v>-17.667292048899899</v>
      </c>
      <c r="G2309" s="92"/>
      <c r="I2309">
        <v>8</v>
      </c>
      <c r="J2309" t="s">
        <v>26</v>
      </c>
      <c r="K2309" s="57"/>
      <c r="L2309" s="31"/>
      <c r="M2309" s="31"/>
      <c r="N2309" s="31"/>
      <c r="O2309" s="31"/>
      <c r="S2309" s="57"/>
      <c r="X2309" s="57"/>
    </row>
    <row r="2310" spans="1:24" hidden="1" x14ac:dyDescent="0.35">
      <c r="A2310">
        <v>2306</v>
      </c>
      <c r="B2310">
        <v>2307</v>
      </c>
      <c r="C2310">
        <v>146.09000119300001</v>
      </c>
      <c r="D2310">
        <v>-17.667250324000001</v>
      </c>
      <c r="G2310" s="92"/>
      <c r="I2310">
        <v>8</v>
      </c>
      <c r="J2310" t="s">
        <v>26</v>
      </c>
      <c r="K2310" s="57"/>
      <c r="L2310" s="31"/>
      <c r="M2310" s="31"/>
      <c r="N2310" s="31"/>
      <c r="O2310" s="31"/>
      <c r="S2310" s="57"/>
      <c r="X2310" s="57"/>
    </row>
    <row r="2311" spans="1:24" hidden="1" x14ac:dyDescent="0.35">
      <c r="A2311">
        <v>2307</v>
      </c>
      <c r="B2311">
        <v>2308</v>
      </c>
      <c r="C2311">
        <v>146.09007740800001</v>
      </c>
      <c r="D2311">
        <v>-17.667205087300001</v>
      </c>
      <c r="G2311" s="92"/>
      <c r="I2311">
        <v>8</v>
      </c>
      <c r="J2311" t="s">
        <v>26</v>
      </c>
      <c r="K2311" s="57"/>
      <c r="L2311" s="31"/>
      <c r="M2311" s="31"/>
      <c r="N2311" s="31"/>
      <c r="O2311" s="31"/>
      <c r="S2311" s="57"/>
      <c r="X2311" s="57"/>
    </row>
    <row r="2312" spans="1:24" hidden="1" x14ac:dyDescent="0.35">
      <c r="A2312">
        <v>2308</v>
      </c>
      <c r="B2312">
        <v>2309</v>
      </c>
      <c r="C2312">
        <v>146.090152786999</v>
      </c>
      <c r="D2312">
        <v>-17.6671585271</v>
      </c>
      <c r="G2312" s="92"/>
      <c r="I2312">
        <v>8</v>
      </c>
      <c r="J2312" t="s">
        <v>26</v>
      </c>
      <c r="K2312" s="57"/>
      <c r="L2312" s="31"/>
      <c r="M2312" s="31"/>
      <c r="N2312" s="31"/>
      <c r="O2312" s="31"/>
      <c r="S2312" s="57"/>
      <c r="X2312" s="57"/>
    </row>
    <row r="2313" spans="1:24" hidden="1" x14ac:dyDescent="0.35">
      <c r="A2313">
        <v>2309</v>
      </c>
      <c r="B2313">
        <v>2310</v>
      </c>
      <c r="C2313">
        <v>146.09022816500001</v>
      </c>
      <c r="D2313">
        <v>-17.6671119668</v>
      </c>
      <c r="G2313" s="92"/>
      <c r="I2313">
        <v>8</v>
      </c>
      <c r="J2313" t="s">
        <v>26</v>
      </c>
      <c r="K2313" s="57"/>
      <c r="L2313" s="31"/>
      <c r="M2313" s="31"/>
      <c r="N2313" s="31"/>
      <c r="O2313" s="31"/>
      <c r="S2313" s="57"/>
      <c r="X2313" s="57"/>
    </row>
    <row r="2314" spans="1:24" hidden="1" x14ac:dyDescent="0.35">
      <c r="A2314">
        <v>2310</v>
      </c>
      <c r="B2314">
        <v>2311</v>
      </c>
      <c r="C2314">
        <v>146.090303543999</v>
      </c>
      <c r="D2314">
        <v>-17.667065406500001</v>
      </c>
      <c r="G2314" s="92"/>
      <c r="I2314">
        <v>8</v>
      </c>
      <c r="J2314" t="s">
        <v>26</v>
      </c>
      <c r="K2314" s="57"/>
      <c r="L2314" s="31"/>
      <c r="M2314" s="31"/>
      <c r="N2314" s="31"/>
      <c r="O2314" s="31"/>
      <c r="S2314" s="57"/>
      <c r="X2314" s="57"/>
    </row>
    <row r="2315" spans="1:24" hidden="1" x14ac:dyDescent="0.35">
      <c r="A2315">
        <v>2311</v>
      </c>
      <c r="B2315">
        <v>2312</v>
      </c>
      <c r="C2315">
        <v>146.09037892200001</v>
      </c>
      <c r="D2315">
        <v>-17.667018846200001</v>
      </c>
      <c r="G2315" s="92"/>
      <c r="I2315">
        <v>8</v>
      </c>
      <c r="J2315" t="s">
        <v>26</v>
      </c>
      <c r="K2315" s="57"/>
      <c r="L2315" s="31"/>
      <c r="M2315" s="31"/>
      <c r="N2315" s="31"/>
      <c r="O2315" s="31"/>
      <c r="S2315" s="57"/>
      <c r="X2315" s="57"/>
    </row>
    <row r="2316" spans="1:24" hidden="1" x14ac:dyDescent="0.35">
      <c r="A2316">
        <v>2312</v>
      </c>
      <c r="B2316">
        <v>2313</v>
      </c>
      <c r="C2316">
        <v>146.090454090999</v>
      </c>
      <c r="D2316">
        <v>-17.6669719994999</v>
      </c>
      <c r="G2316" s="92"/>
      <c r="I2316">
        <v>8</v>
      </c>
      <c r="J2316" t="s">
        <v>26</v>
      </c>
      <c r="K2316" s="57"/>
      <c r="L2316" s="31"/>
      <c r="M2316" s="31"/>
      <c r="N2316" s="31"/>
      <c r="O2316" s="31"/>
      <c r="S2316" s="57"/>
      <c r="X2316" s="57"/>
    </row>
    <row r="2317" spans="1:24" hidden="1" x14ac:dyDescent="0.35">
      <c r="A2317">
        <v>2313</v>
      </c>
      <c r="B2317">
        <v>2314</v>
      </c>
      <c r="C2317">
        <v>146.090529543</v>
      </c>
      <c r="D2317">
        <v>-17.6669255469</v>
      </c>
      <c r="G2317" s="92"/>
      <c r="I2317">
        <v>8</v>
      </c>
      <c r="J2317" t="s">
        <v>26</v>
      </c>
      <c r="K2317" s="57"/>
      <c r="L2317" s="31"/>
      <c r="M2317" s="31"/>
      <c r="N2317" s="31"/>
      <c r="O2317" s="31"/>
      <c r="S2317" s="57"/>
      <c r="X2317" s="57"/>
    </row>
    <row r="2318" spans="1:24" hidden="1" x14ac:dyDescent="0.35">
      <c r="A2318">
        <v>2314</v>
      </c>
      <c r="B2318">
        <v>2315</v>
      </c>
      <c r="C2318">
        <v>146.09060499399899</v>
      </c>
      <c r="D2318">
        <v>-17.6668790943</v>
      </c>
      <c r="G2318" s="92"/>
      <c r="I2318">
        <v>8</v>
      </c>
      <c r="J2318" t="s">
        <v>26</v>
      </c>
      <c r="K2318" s="57"/>
      <c r="L2318" s="31"/>
      <c r="M2318" s="31"/>
      <c r="N2318" s="31"/>
      <c r="O2318" s="31"/>
      <c r="S2318" s="57"/>
      <c r="X2318" s="57"/>
    </row>
    <row r="2319" spans="1:24" hidden="1" x14ac:dyDescent="0.35">
      <c r="A2319">
        <v>2315</v>
      </c>
      <c r="B2319">
        <v>2316</v>
      </c>
      <c r="C2319">
        <v>146.090675997999</v>
      </c>
      <c r="D2319">
        <v>-17.6668277031999</v>
      </c>
      <c r="G2319" s="92"/>
      <c r="I2319">
        <v>8</v>
      </c>
      <c r="J2319" t="s">
        <v>26</v>
      </c>
      <c r="K2319" s="57"/>
      <c r="L2319" s="31"/>
      <c r="M2319" s="31"/>
      <c r="N2319" s="31"/>
      <c r="O2319" s="31"/>
      <c r="S2319" s="57"/>
      <c r="X2319" s="57"/>
    </row>
    <row r="2320" spans="1:24" hidden="1" x14ac:dyDescent="0.35">
      <c r="A2320">
        <v>2316</v>
      </c>
      <c r="B2320">
        <v>2317</v>
      </c>
      <c r="C2320">
        <v>146.09073563800001</v>
      </c>
      <c r="D2320">
        <v>-17.6667636942</v>
      </c>
      <c r="G2320" s="92"/>
      <c r="I2320">
        <v>8</v>
      </c>
      <c r="J2320" t="s">
        <v>26</v>
      </c>
      <c r="K2320" s="57"/>
      <c r="L2320" s="31"/>
      <c r="M2320" s="31"/>
      <c r="N2320" s="31"/>
      <c r="O2320" s="31"/>
      <c r="S2320" s="57"/>
      <c r="X2320" s="57"/>
    </row>
    <row r="2321" spans="1:24" hidden="1" x14ac:dyDescent="0.35">
      <c r="A2321">
        <v>2317</v>
      </c>
      <c r="B2321">
        <v>2318</v>
      </c>
      <c r="C2321">
        <v>146.090795278999</v>
      </c>
      <c r="D2321">
        <v>-17.6666996854999</v>
      </c>
      <c r="G2321" s="92"/>
      <c r="I2321">
        <v>8</v>
      </c>
      <c r="J2321" t="s">
        <v>26</v>
      </c>
      <c r="K2321" s="57"/>
      <c r="L2321" s="31"/>
      <c r="M2321" s="31"/>
      <c r="N2321" s="31"/>
      <c r="O2321" s="31"/>
      <c r="S2321" s="57"/>
      <c r="X2321" s="57"/>
    </row>
    <row r="2322" spans="1:24" hidden="1" x14ac:dyDescent="0.35">
      <c r="A2322">
        <v>2318</v>
      </c>
      <c r="B2322">
        <v>2319</v>
      </c>
      <c r="C2322">
        <v>146.09085491900001</v>
      </c>
      <c r="D2322">
        <v>-17.6666356767</v>
      </c>
      <c r="G2322" s="92"/>
      <c r="I2322">
        <v>8</v>
      </c>
      <c r="J2322" t="s">
        <v>26</v>
      </c>
      <c r="K2322" s="57"/>
      <c r="L2322" s="31"/>
      <c r="M2322" s="31"/>
      <c r="N2322" s="31"/>
      <c r="O2322" s="31"/>
      <c r="S2322" s="57"/>
      <c r="X2322" s="57"/>
    </row>
    <row r="2323" spans="1:24" hidden="1" x14ac:dyDescent="0.35">
      <c r="A2323">
        <v>2319</v>
      </c>
      <c r="B2323">
        <v>2320</v>
      </c>
      <c r="C2323">
        <v>146.090914558999</v>
      </c>
      <c r="D2323">
        <v>-17.6665716678</v>
      </c>
      <c r="G2323" s="92"/>
      <c r="I2323">
        <v>8</v>
      </c>
      <c r="J2323" t="s">
        <v>26</v>
      </c>
      <c r="K2323" s="57"/>
      <c r="L2323" s="31"/>
      <c r="M2323" s="31"/>
      <c r="N2323" s="31"/>
      <c r="O2323" s="31"/>
      <c r="S2323" s="57"/>
      <c r="X2323" s="57"/>
    </row>
    <row r="2324" spans="1:24" hidden="1" x14ac:dyDescent="0.35">
      <c r="A2324">
        <v>2320</v>
      </c>
      <c r="B2324">
        <v>2321</v>
      </c>
      <c r="C2324">
        <v>146.09097419899899</v>
      </c>
      <c r="D2324">
        <v>-17.666507658800001</v>
      </c>
      <c r="G2324" s="92"/>
      <c r="I2324">
        <v>8</v>
      </c>
      <c r="J2324" t="s">
        <v>26</v>
      </c>
      <c r="K2324" s="57"/>
      <c r="L2324" s="31"/>
      <c r="M2324" s="31"/>
      <c r="N2324" s="31"/>
      <c r="O2324" s="31"/>
      <c r="S2324" s="57"/>
      <c r="X2324" s="57"/>
    </row>
    <row r="2325" spans="1:24" hidden="1" x14ac:dyDescent="0.35">
      <c r="A2325">
        <v>2321</v>
      </c>
      <c r="B2325">
        <v>2322</v>
      </c>
      <c r="C2325">
        <v>146.091025379</v>
      </c>
      <c r="D2325">
        <v>-17.6664378677999</v>
      </c>
      <c r="G2325" s="92"/>
      <c r="I2325">
        <v>8</v>
      </c>
      <c r="J2325" t="s">
        <v>26</v>
      </c>
      <c r="K2325" s="57"/>
      <c r="L2325" s="31"/>
      <c r="M2325" s="31"/>
      <c r="N2325" s="31"/>
      <c r="O2325" s="31"/>
      <c r="S2325" s="57"/>
      <c r="X2325" s="57"/>
    </row>
    <row r="2326" spans="1:24" hidden="1" x14ac:dyDescent="0.35">
      <c r="A2326">
        <v>2322</v>
      </c>
      <c r="B2326">
        <v>2323</v>
      </c>
      <c r="C2326">
        <v>146.09106989099899</v>
      </c>
      <c r="D2326">
        <v>-17.666363519400001</v>
      </c>
      <c r="G2326" s="92"/>
      <c r="I2326">
        <v>8</v>
      </c>
      <c r="J2326" t="s">
        <v>26</v>
      </c>
      <c r="K2326" s="57"/>
      <c r="L2326" s="31"/>
      <c r="M2326" s="31"/>
      <c r="N2326" s="31"/>
      <c r="O2326" s="31"/>
      <c r="S2326" s="57"/>
      <c r="X2326" s="57"/>
    </row>
    <row r="2327" spans="1:24" hidden="1" x14ac:dyDescent="0.35">
      <c r="A2327">
        <v>2323</v>
      </c>
      <c r="B2327">
        <v>2324</v>
      </c>
      <c r="C2327">
        <v>146.09111440300001</v>
      </c>
      <c r="D2327">
        <v>-17.666289171199899</v>
      </c>
      <c r="G2327" s="92"/>
      <c r="I2327">
        <v>8</v>
      </c>
      <c r="J2327" t="s">
        <v>26</v>
      </c>
      <c r="K2327" s="57"/>
      <c r="L2327" s="31"/>
      <c r="M2327" s="31"/>
      <c r="N2327" s="31"/>
      <c r="O2327" s="31"/>
      <c r="S2327" s="57"/>
      <c r="X2327" s="57"/>
    </row>
    <row r="2328" spans="1:24" hidden="1" x14ac:dyDescent="0.35">
      <c r="A2328">
        <v>2324</v>
      </c>
      <c r="B2328">
        <v>2325</v>
      </c>
      <c r="C2328">
        <v>146.091158285999</v>
      </c>
      <c r="D2328">
        <v>-17.666214541999899</v>
      </c>
      <c r="G2328" s="92"/>
      <c r="I2328">
        <v>8</v>
      </c>
      <c r="J2328" t="s">
        <v>26</v>
      </c>
      <c r="K2328" s="57"/>
      <c r="L2328" s="31"/>
      <c r="M2328" s="31"/>
      <c r="N2328" s="31"/>
      <c r="O2328" s="31"/>
      <c r="S2328" s="57"/>
      <c r="X2328" s="57"/>
    </row>
    <row r="2329" spans="1:24" hidden="1" x14ac:dyDescent="0.35">
      <c r="A2329">
        <v>2325</v>
      </c>
      <c r="B2329">
        <v>2326</v>
      </c>
      <c r="C2329">
        <v>146.09118984899899</v>
      </c>
      <c r="D2329">
        <v>-17.666134404200001</v>
      </c>
      <c r="G2329" s="92"/>
      <c r="I2329">
        <v>8</v>
      </c>
      <c r="J2329" t="s">
        <v>26</v>
      </c>
      <c r="K2329" s="57"/>
      <c r="L2329" s="31"/>
      <c r="M2329" s="31"/>
      <c r="N2329" s="31"/>
      <c r="O2329" s="31"/>
      <c r="S2329" s="57"/>
      <c r="X2329" s="57"/>
    </row>
    <row r="2330" spans="1:24" hidden="1" x14ac:dyDescent="0.35">
      <c r="A2330">
        <v>2326</v>
      </c>
      <c r="B2330">
        <v>2327</v>
      </c>
      <c r="C2330">
        <v>146.09122141200001</v>
      </c>
      <c r="D2330">
        <v>-17.6660542664</v>
      </c>
      <c r="G2330" s="92"/>
      <c r="I2330">
        <v>8</v>
      </c>
      <c r="J2330" t="s">
        <v>26</v>
      </c>
      <c r="K2330" s="57"/>
      <c r="L2330" s="31"/>
      <c r="M2330" s="31"/>
      <c r="N2330" s="31"/>
      <c r="O2330" s="31"/>
      <c r="S2330" s="57"/>
      <c r="X2330" s="57"/>
    </row>
    <row r="2331" spans="1:24" hidden="1" x14ac:dyDescent="0.35">
      <c r="A2331">
        <v>2327</v>
      </c>
      <c r="B2331">
        <v>2328</v>
      </c>
      <c r="C2331">
        <v>146.091252975</v>
      </c>
      <c r="D2331">
        <v>-17.665974128599899</v>
      </c>
      <c r="G2331" s="92"/>
      <c r="I2331">
        <v>8</v>
      </c>
      <c r="J2331" t="s">
        <v>26</v>
      </c>
      <c r="K2331" s="57"/>
      <c r="L2331" s="31"/>
      <c r="M2331" s="31"/>
      <c r="N2331" s="31"/>
      <c r="O2331" s="31"/>
      <c r="S2331" s="57"/>
      <c r="X2331" s="57"/>
    </row>
    <row r="2332" spans="1:24" hidden="1" x14ac:dyDescent="0.35">
      <c r="A2332">
        <v>2328</v>
      </c>
      <c r="B2332">
        <v>2329</v>
      </c>
      <c r="C2332">
        <v>146.0912907</v>
      </c>
      <c r="D2332">
        <v>-17.6658972822</v>
      </c>
      <c r="G2332" s="92"/>
      <c r="I2332">
        <v>8</v>
      </c>
      <c r="J2332" t="s">
        <v>26</v>
      </c>
      <c r="K2332" s="57"/>
      <c r="L2332" s="31"/>
      <c r="M2332" s="31"/>
      <c r="N2332" s="31"/>
      <c r="O2332" s="31"/>
      <c r="S2332" s="57"/>
      <c r="X2332" s="57"/>
    </row>
    <row r="2333" spans="1:24" hidden="1" x14ac:dyDescent="0.35">
      <c r="A2333">
        <v>2329</v>
      </c>
      <c r="B2333">
        <v>2330</v>
      </c>
      <c r="C2333">
        <v>146.09134598200001</v>
      </c>
      <c r="D2333">
        <v>-17.665829814799899</v>
      </c>
      <c r="G2333" s="92"/>
      <c r="I2333">
        <v>8</v>
      </c>
      <c r="J2333" t="s">
        <v>26</v>
      </c>
      <c r="K2333" s="57"/>
      <c r="L2333" s="31"/>
      <c r="M2333" s="31"/>
      <c r="N2333" s="31"/>
      <c r="O2333" s="31"/>
      <c r="S2333" s="57"/>
      <c r="X2333" s="57"/>
    </row>
    <row r="2334" spans="1:24" hidden="1" x14ac:dyDescent="0.35">
      <c r="A2334">
        <v>2330</v>
      </c>
      <c r="B2334">
        <v>2331</v>
      </c>
      <c r="C2334">
        <v>146.091401265</v>
      </c>
      <c r="D2334">
        <v>-17.665762347400001</v>
      </c>
      <c r="G2334" s="92"/>
      <c r="I2334">
        <v>8</v>
      </c>
      <c r="J2334" t="s">
        <v>26</v>
      </c>
      <c r="K2334" s="57"/>
      <c r="L2334" s="31"/>
      <c r="M2334" s="31"/>
      <c r="N2334" s="31"/>
      <c r="O2334" s="31"/>
      <c r="S2334" s="57"/>
      <c r="X2334" s="57"/>
    </row>
    <row r="2335" spans="1:24" hidden="1" x14ac:dyDescent="0.35">
      <c r="A2335">
        <v>2331</v>
      </c>
      <c r="B2335">
        <v>2332</v>
      </c>
      <c r="C2335">
        <v>146.09145654700001</v>
      </c>
      <c r="D2335">
        <v>-17.66569488</v>
      </c>
      <c r="G2335" s="92"/>
      <c r="I2335">
        <v>8</v>
      </c>
      <c r="J2335" t="s">
        <v>26</v>
      </c>
      <c r="K2335" s="57"/>
      <c r="L2335" s="31"/>
      <c r="M2335" s="31"/>
      <c r="N2335" s="31"/>
      <c r="O2335" s="31"/>
      <c r="S2335" s="57"/>
      <c r="X2335" s="57"/>
    </row>
    <row r="2336" spans="1:24" hidden="1" x14ac:dyDescent="0.35">
      <c r="A2336">
        <v>2332</v>
      </c>
      <c r="B2336">
        <v>2333</v>
      </c>
      <c r="C2336">
        <v>146.091518919999</v>
      </c>
      <c r="D2336">
        <v>-17.665634010800002</v>
      </c>
      <c r="G2336" s="92"/>
      <c r="I2336">
        <v>8</v>
      </c>
      <c r="J2336" t="s">
        <v>26</v>
      </c>
      <c r="K2336" s="57"/>
      <c r="L2336" s="31"/>
      <c r="M2336" s="31"/>
      <c r="N2336" s="31"/>
      <c r="O2336" s="31"/>
      <c r="S2336" s="57"/>
      <c r="X2336" s="57"/>
    </row>
    <row r="2337" spans="1:24" hidden="1" x14ac:dyDescent="0.35">
      <c r="A2337">
        <v>2333</v>
      </c>
      <c r="B2337">
        <v>2334</v>
      </c>
      <c r="C2337">
        <v>146.09158840000001</v>
      </c>
      <c r="D2337">
        <v>-17.665579755</v>
      </c>
      <c r="G2337" s="92"/>
      <c r="I2337">
        <v>8</v>
      </c>
      <c r="J2337" t="s">
        <v>26</v>
      </c>
      <c r="K2337" s="57"/>
      <c r="L2337" s="31"/>
      <c r="M2337" s="31"/>
      <c r="N2337" s="31"/>
      <c r="O2337" s="31"/>
      <c r="S2337" s="57"/>
      <c r="X2337" s="57"/>
    </row>
    <row r="2338" spans="1:24" hidden="1" x14ac:dyDescent="0.35">
      <c r="A2338">
        <v>2334</v>
      </c>
      <c r="B2338">
        <v>2335</v>
      </c>
      <c r="C2338">
        <v>146.09165788000001</v>
      </c>
      <c r="D2338">
        <v>-17.665525499200001</v>
      </c>
      <c r="G2338" s="92"/>
      <c r="I2338">
        <v>8</v>
      </c>
      <c r="J2338" t="s">
        <v>26</v>
      </c>
      <c r="K2338" s="57"/>
      <c r="L2338" s="31"/>
      <c r="M2338" s="31"/>
      <c r="N2338" s="31"/>
      <c r="O2338" s="31"/>
      <c r="S2338" s="57"/>
      <c r="X2338" s="57"/>
    </row>
    <row r="2339" spans="1:24" hidden="1" x14ac:dyDescent="0.35">
      <c r="A2339">
        <v>2335</v>
      </c>
      <c r="B2339">
        <v>2336</v>
      </c>
      <c r="C2339">
        <v>146.091727359</v>
      </c>
      <c r="D2339">
        <v>-17.665471243399899</v>
      </c>
      <c r="G2339" s="92"/>
      <c r="I2339">
        <v>8</v>
      </c>
      <c r="J2339" t="s">
        <v>26</v>
      </c>
      <c r="K2339" s="57"/>
      <c r="L2339" s="31"/>
      <c r="M2339" s="31"/>
      <c r="N2339" s="31"/>
      <c r="O2339" s="31"/>
      <c r="S2339" s="57"/>
      <c r="X2339" s="57"/>
    </row>
    <row r="2340" spans="1:24" hidden="1" x14ac:dyDescent="0.35">
      <c r="A2340">
        <v>2336</v>
      </c>
      <c r="B2340">
        <v>2337</v>
      </c>
      <c r="C2340">
        <v>146.09179683900001</v>
      </c>
      <c r="D2340">
        <v>-17.6654169876</v>
      </c>
      <c r="G2340" s="92"/>
      <c r="I2340">
        <v>8</v>
      </c>
      <c r="J2340" t="s">
        <v>26</v>
      </c>
      <c r="K2340" s="57"/>
      <c r="L2340" s="31"/>
      <c r="M2340" s="31"/>
      <c r="N2340" s="31"/>
      <c r="O2340" s="31"/>
      <c r="S2340" s="57"/>
      <c r="X2340" s="57"/>
    </row>
    <row r="2341" spans="1:24" hidden="1" x14ac:dyDescent="0.35">
      <c r="A2341">
        <v>2337</v>
      </c>
      <c r="B2341">
        <v>2338</v>
      </c>
      <c r="C2341">
        <v>146.091866318999</v>
      </c>
      <c r="D2341">
        <v>-17.6653627317</v>
      </c>
      <c r="G2341" s="92"/>
      <c r="I2341">
        <v>8</v>
      </c>
      <c r="J2341" t="s">
        <v>26</v>
      </c>
      <c r="K2341" s="57"/>
      <c r="L2341" s="31"/>
      <c r="M2341" s="31"/>
      <c r="N2341" s="31"/>
      <c r="O2341" s="31"/>
      <c r="S2341" s="57"/>
      <c r="X2341" s="57"/>
    </row>
    <row r="2342" spans="1:24" hidden="1" x14ac:dyDescent="0.35">
      <c r="A2342">
        <v>2338</v>
      </c>
      <c r="B2342">
        <v>2339</v>
      </c>
      <c r="C2342">
        <v>146.091935798999</v>
      </c>
      <c r="D2342">
        <v>-17.665308475900002</v>
      </c>
      <c r="G2342" s="92"/>
      <c r="I2342">
        <v>8</v>
      </c>
      <c r="J2342" t="s">
        <v>26</v>
      </c>
      <c r="K2342" s="57"/>
      <c r="L2342" s="31"/>
      <c r="M2342" s="31"/>
      <c r="N2342" s="31"/>
      <c r="O2342" s="31"/>
      <c r="S2342" s="57"/>
      <c r="X2342" s="57"/>
    </row>
    <row r="2343" spans="1:24" hidden="1" x14ac:dyDescent="0.35">
      <c r="A2343">
        <v>2339</v>
      </c>
      <c r="B2343">
        <v>2340</v>
      </c>
      <c r="C2343">
        <v>146.09200776399899</v>
      </c>
      <c r="D2343">
        <v>-17.665257264000001</v>
      </c>
      <c r="G2343" s="92"/>
      <c r="I2343">
        <v>8</v>
      </c>
      <c r="J2343" t="s">
        <v>26</v>
      </c>
      <c r="K2343" s="57"/>
      <c r="L2343" s="31"/>
      <c r="M2343" s="31"/>
      <c r="N2343" s="31"/>
      <c r="O2343" s="31"/>
      <c r="S2343" s="57"/>
      <c r="X2343" s="57"/>
    </row>
    <row r="2344" spans="1:24" hidden="1" x14ac:dyDescent="0.35">
      <c r="A2344">
        <v>2340</v>
      </c>
      <c r="B2344">
        <v>2341</v>
      </c>
      <c r="C2344">
        <v>146.092080038999</v>
      </c>
      <c r="D2344">
        <v>-17.6652064311</v>
      </c>
      <c r="G2344" s="92"/>
      <c r="I2344">
        <v>8</v>
      </c>
      <c r="J2344" t="s">
        <v>26</v>
      </c>
      <c r="K2344" s="57"/>
      <c r="L2344" s="31"/>
      <c r="M2344" s="31"/>
      <c r="N2344" s="31"/>
      <c r="O2344" s="31"/>
      <c r="S2344" s="57"/>
      <c r="X2344" s="57"/>
    </row>
    <row r="2345" spans="1:24" hidden="1" x14ac:dyDescent="0.35">
      <c r="A2345">
        <v>2341</v>
      </c>
      <c r="B2345">
        <v>2342</v>
      </c>
      <c r="C2345">
        <v>146.092152314</v>
      </c>
      <c r="D2345">
        <v>-17.6651555983</v>
      </c>
      <c r="G2345" s="92"/>
      <c r="I2345">
        <v>8</v>
      </c>
      <c r="J2345" t="s">
        <v>26</v>
      </c>
      <c r="K2345" s="57"/>
      <c r="L2345" s="31"/>
      <c r="M2345" s="31"/>
      <c r="N2345" s="31"/>
      <c r="O2345" s="31"/>
      <c r="S2345" s="57"/>
      <c r="X2345" s="57"/>
    </row>
    <row r="2346" spans="1:24" hidden="1" x14ac:dyDescent="0.35">
      <c r="A2346">
        <v>2342</v>
      </c>
      <c r="B2346">
        <v>2343</v>
      </c>
      <c r="C2346">
        <v>146.092224587999</v>
      </c>
      <c r="D2346">
        <v>-17.665104765399899</v>
      </c>
      <c r="G2346" s="92"/>
      <c r="I2346">
        <v>8</v>
      </c>
      <c r="J2346" t="s">
        <v>26</v>
      </c>
      <c r="K2346" s="57"/>
      <c r="L2346" s="31"/>
      <c r="M2346" s="31"/>
      <c r="N2346" s="31"/>
      <c r="O2346" s="31"/>
      <c r="S2346" s="57"/>
      <c r="X2346" s="57"/>
    </row>
    <row r="2347" spans="1:24" hidden="1" x14ac:dyDescent="0.35">
      <c r="A2347">
        <v>2343</v>
      </c>
      <c r="B2347">
        <v>2344</v>
      </c>
      <c r="C2347">
        <v>146.092296863</v>
      </c>
      <c r="D2347">
        <v>-17.6650539323999</v>
      </c>
      <c r="G2347" s="92"/>
      <c r="I2347">
        <v>8</v>
      </c>
      <c r="J2347" t="s">
        <v>26</v>
      </c>
      <c r="K2347" s="57"/>
      <c r="L2347" s="31"/>
      <c r="M2347" s="31"/>
      <c r="N2347" s="31"/>
      <c r="O2347" s="31"/>
      <c r="S2347" s="57"/>
      <c r="X2347" s="57"/>
    </row>
    <row r="2348" spans="1:24" hidden="1" x14ac:dyDescent="0.35">
      <c r="A2348">
        <v>2344</v>
      </c>
      <c r="B2348">
        <v>2345</v>
      </c>
      <c r="C2348">
        <v>146.092367827</v>
      </c>
      <c r="D2348">
        <v>-17.665001646</v>
      </c>
      <c r="G2348" s="92"/>
      <c r="I2348">
        <v>8</v>
      </c>
      <c r="J2348" t="s">
        <v>26</v>
      </c>
      <c r="K2348" s="57"/>
      <c r="L2348" s="31"/>
      <c r="M2348" s="31"/>
      <c r="N2348" s="31"/>
      <c r="O2348" s="31"/>
      <c r="S2348" s="57"/>
      <c r="X2348" s="57"/>
    </row>
    <row r="2349" spans="1:24" hidden="1" x14ac:dyDescent="0.35">
      <c r="A2349">
        <v>2345</v>
      </c>
      <c r="B2349">
        <v>2346</v>
      </c>
      <c r="C2349">
        <v>146.09243145900001</v>
      </c>
      <c r="D2349">
        <v>-17.6649412268</v>
      </c>
      <c r="G2349" s="92"/>
      <c r="I2349">
        <v>8</v>
      </c>
      <c r="J2349" t="s">
        <v>26</v>
      </c>
      <c r="K2349" s="57"/>
      <c r="L2349" s="31"/>
      <c r="M2349" s="31"/>
      <c r="N2349" s="31"/>
      <c r="O2349" s="31"/>
      <c r="S2349" s="57"/>
      <c r="X2349" s="57"/>
    </row>
    <row r="2350" spans="1:24" hidden="1" x14ac:dyDescent="0.35">
      <c r="A2350">
        <v>2346</v>
      </c>
      <c r="B2350">
        <v>2347</v>
      </c>
      <c r="C2350">
        <v>146.09247061299899</v>
      </c>
      <c r="D2350">
        <v>-17.6648642621</v>
      </c>
      <c r="G2350" s="92"/>
      <c r="I2350">
        <v>8</v>
      </c>
      <c r="J2350" t="s">
        <v>26</v>
      </c>
      <c r="K2350" s="57"/>
      <c r="L2350" s="31"/>
      <c r="M2350" s="31"/>
      <c r="N2350" s="31"/>
      <c r="O2350" s="31"/>
      <c r="S2350" s="57"/>
      <c r="X2350" s="57"/>
    </row>
    <row r="2351" spans="1:24" hidden="1" x14ac:dyDescent="0.35">
      <c r="A2351">
        <v>2347</v>
      </c>
      <c r="B2351">
        <v>2348</v>
      </c>
      <c r="C2351">
        <v>146.092507334</v>
      </c>
      <c r="D2351">
        <v>-17.664786530600001</v>
      </c>
      <c r="G2351" s="92"/>
      <c r="I2351">
        <v>8</v>
      </c>
      <c r="J2351" t="s">
        <v>26</v>
      </c>
      <c r="K2351" s="57"/>
      <c r="L2351" s="31"/>
      <c r="M2351" s="31"/>
      <c r="N2351" s="31"/>
      <c r="O2351" s="31"/>
      <c r="S2351" s="57"/>
      <c r="X2351" s="57"/>
    </row>
    <row r="2352" spans="1:24" hidden="1" x14ac:dyDescent="0.35">
      <c r="A2352">
        <v>2348</v>
      </c>
      <c r="B2352">
        <v>2349</v>
      </c>
      <c r="C2352">
        <v>146.092514609999</v>
      </c>
      <c r="D2352">
        <v>-17.664701216000001</v>
      </c>
      <c r="G2352" s="92"/>
      <c r="I2352">
        <v>8</v>
      </c>
      <c r="J2352" t="s">
        <v>26</v>
      </c>
      <c r="K2352" s="57"/>
      <c r="L2352" s="31"/>
      <c r="M2352" s="31"/>
      <c r="N2352" s="31"/>
      <c r="O2352" s="31"/>
      <c r="S2352" s="57"/>
      <c r="X2352" s="57"/>
    </row>
    <row r="2353" spans="1:24" hidden="1" x14ac:dyDescent="0.35">
      <c r="A2353">
        <v>2349</v>
      </c>
      <c r="B2353">
        <v>2350</v>
      </c>
      <c r="C2353">
        <v>146.09252188599899</v>
      </c>
      <c r="D2353">
        <v>-17.6646159012999</v>
      </c>
      <c r="G2353" s="92"/>
      <c r="I2353">
        <v>8</v>
      </c>
      <c r="J2353" t="s">
        <v>26</v>
      </c>
      <c r="K2353" s="57"/>
      <c r="L2353" s="31"/>
      <c r="M2353" s="31"/>
      <c r="N2353" s="31"/>
      <c r="O2353" s="31"/>
      <c r="S2353" s="57"/>
      <c r="X2353" s="57"/>
    </row>
    <row r="2354" spans="1:24" hidden="1" x14ac:dyDescent="0.35">
      <c r="A2354">
        <v>2350</v>
      </c>
      <c r="B2354">
        <v>2351</v>
      </c>
      <c r="C2354">
        <v>146.09252916200001</v>
      </c>
      <c r="D2354">
        <v>-17.6645305867</v>
      </c>
      <c r="G2354" s="92"/>
      <c r="I2354">
        <v>8</v>
      </c>
      <c r="J2354" t="s">
        <v>26</v>
      </c>
      <c r="K2354" s="57"/>
      <c r="L2354" s="31"/>
      <c r="M2354" s="31"/>
      <c r="N2354" s="31"/>
      <c r="O2354" s="31"/>
      <c r="S2354" s="57"/>
      <c r="X2354" s="57"/>
    </row>
    <row r="2355" spans="1:24" hidden="1" x14ac:dyDescent="0.35">
      <c r="A2355">
        <v>2351</v>
      </c>
      <c r="B2355">
        <v>2352</v>
      </c>
      <c r="C2355">
        <v>146.09253305300001</v>
      </c>
      <c r="D2355">
        <v>-17.6644450832</v>
      </c>
      <c r="G2355" s="92"/>
      <c r="I2355">
        <v>8</v>
      </c>
      <c r="J2355" t="s">
        <v>26</v>
      </c>
      <c r="K2355" s="57"/>
      <c r="L2355" s="31"/>
      <c r="M2355" s="31"/>
      <c r="N2355" s="31"/>
      <c r="O2355" s="31"/>
      <c r="S2355" s="57"/>
      <c r="X2355" s="57"/>
    </row>
    <row r="2356" spans="1:24" hidden="1" x14ac:dyDescent="0.35">
      <c r="A2356">
        <v>2352</v>
      </c>
      <c r="B2356">
        <v>2353</v>
      </c>
      <c r="C2356">
        <v>146.092536271</v>
      </c>
      <c r="D2356">
        <v>-17.664359542100001</v>
      </c>
      <c r="G2356" s="92"/>
      <c r="I2356">
        <v>8</v>
      </c>
      <c r="J2356" t="s">
        <v>26</v>
      </c>
      <c r="K2356" s="57"/>
      <c r="L2356" s="31"/>
      <c r="M2356" s="31"/>
      <c r="N2356" s="31"/>
      <c r="O2356" s="31"/>
      <c r="S2356" s="57"/>
      <c r="X2356" s="57"/>
    </row>
    <row r="2357" spans="1:24" hidden="1" x14ac:dyDescent="0.35">
      <c r="A2357">
        <v>2353</v>
      </c>
      <c r="B2357">
        <v>2354</v>
      </c>
      <c r="C2357">
        <v>146.09253948899899</v>
      </c>
      <c r="D2357">
        <v>-17.6642740009999</v>
      </c>
      <c r="G2357" s="92"/>
      <c r="I2357">
        <v>8</v>
      </c>
      <c r="J2357" t="s">
        <v>26</v>
      </c>
      <c r="K2357" s="57"/>
      <c r="L2357" s="31"/>
      <c r="M2357" s="31"/>
      <c r="N2357" s="31"/>
      <c r="O2357" s="31"/>
      <c r="S2357" s="57"/>
      <c r="X2357" s="57"/>
    </row>
    <row r="2358" spans="1:24" hidden="1" x14ac:dyDescent="0.35">
      <c r="A2358">
        <v>2354</v>
      </c>
      <c r="B2358">
        <v>2355</v>
      </c>
      <c r="C2358">
        <v>146.09254270599899</v>
      </c>
      <c r="D2358">
        <v>-17.6641884599</v>
      </c>
      <c r="G2358" s="92"/>
      <c r="I2358">
        <v>8</v>
      </c>
      <c r="J2358" t="s">
        <v>26</v>
      </c>
      <c r="K2358" s="57"/>
      <c r="L2358" s="31"/>
      <c r="M2358" s="31"/>
      <c r="N2358" s="31"/>
      <c r="O2358" s="31"/>
      <c r="S2358" s="57"/>
      <c r="X2358" s="57"/>
    </row>
    <row r="2359" spans="1:24" hidden="1" x14ac:dyDescent="0.35">
      <c r="A2359">
        <v>2355</v>
      </c>
      <c r="B2359">
        <v>2356</v>
      </c>
      <c r="C2359">
        <v>146.09254592400001</v>
      </c>
      <c r="D2359">
        <v>-17.6641029186999</v>
      </c>
      <c r="G2359" s="92"/>
      <c r="I2359">
        <v>8</v>
      </c>
      <c r="J2359" t="s">
        <v>26</v>
      </c>
      <c r="K2359" s="57"/>
      <c r="L2359" s="31"/>
      <c r="M2359" s="31"/>
      <c r="N2359" s="31"/>
      <c r="O2359" s="31"/>
      <c r="S2359" s="57"/>
      <c r="X2359" s="57"/>
    </row>
    <row r="2360" spans="1:24" hidden="1" x14ac:dyDescent="0.35">
      <c r="A2360">
        <v>2356</v>
      </c>
      <c r="B2360">
        <v>2357</v>
      </c>
      <c r="C2360">
        <v>146.092555720999</v>
      </c>
      <c r="D2360">
        <v>-17.664018030200001</v>
      </c>
      <c r="G2360" s="92"/>
      <c r="I2360">
        <v>8</v>
      </c>
      <c r="J2360" t="s">
        <v>26</v>
      </c>
      <c r="K2360" s="57"/>
      <c r="L2360" s="31"/>
      <c r="M2360" s="31"/>
      <c r="N2360" s="31"/>
      <c r="O2360" s="31"/>
      <c r="S2360" s="57"/>
      <c r="X2360" s="57"/>
    </row>
    <row r="2361" spans="1:24" hidden="1" x14ac:dyDescent="0.35">
      <c r="A2361">
        <v>2357</v>
      </c>
      <c r="B2361">
        <v>2358</v>
      </c>
      <c r="C2361">
        <v>146.092571066999</v>
      </c>
      <c r="D2361">
        <v>-17.663933692299899</v>
      </c>
      <c r="G2361" s="92"/>
      <c r="I2361">
        <v>8</v>
      </c>
      <c r="J2361" t="s">
        <v>26</v>
      </c>
      <c r="K2361" s="57"/>
      <c r="L2361" s="31"/>
      <c r="M2361" s="31"/>
      <c r="N2361" s="31"/>
      <c r="O2361" s="31"/>
      <c r="S2361" s="57"/>
      <c r="X2361" s="57"/>
    </row>
    <row r="2362" spans="1:24" hidden="1" x14ac:dyDescent="0.35">
      <c r="A2362">
        <v>2358</v>
      </c>
      <c r="B2362">
        <v>2359</v>
      </c>
      <c r="C2362">
        <v>146.092586412999</v>
      </c>
      <c r="D2362">
        <v>-17.663849354300002</v>
      </c>
      <c r="G2362" s="92"/>
      <c r="I2362">
        <v>8</v>
      </c>
      <c r="J2362" t="s">
        <v>26</v>
      </c>
      <c r="K2362" s="57"/>
      <c r="L2362" s="31"/>
      <c r="M2362" s="31"/>
      <c r="N2362" s="31"/>
      <c r="O2362" s="31"/>
      <c r="S2362" s="57"/>
      <c r="X2362" s="57"/>
    </row>
    <row r="2363" spans="1:24" hidden="1" x14ac:dyDescent="0.35">
      <c r="A2363">
        <v>2359</v>
      </c>
      <c r="B2363">
        <v>2360</v>
      </c>
      <c r="C2363">
        <v>146.092601758999</v>
      </c>
      <c r="D2363">
        <v>-17.663765016300001</v>
      </c>
      <c r="G2363" s="92"/>
      <c r="I2363">
        <v>8</v>
      </c>
      <c r="J2363" t="s">
        <v>26</v>
      </c>
      <c r="K2363" s="57"/>
      <c r="L2363" s="31"/>
      <c r="M2363" s="31"/>
      <c r="N2363" s="31"/>
      <c r="O2363" s="31"/>
      <c r="S2363" s="57"/>
      <c r="X2363" s="57"/>
    </row>
    <row r="2364" spans="1:24" hidden="1" x14ac:dyDescent="0.35">
      <c r="A2364">
        <v>2360</v>
      </c>
      <c r="B2364">
        <v>2361</v>
      </c>
      <c r="C2364">
        <v>146.09261710499899</v>
      </c>
      <c r="D2364">
        <v>-17.663680678199899</v>
      </c>
      <c r="G2364" s="92"/>
      <c r="I2364">
        <v>8</v>
      </c>
      <c r="J2364" t="s">
        <v>26</v>
      </c>
      <c r="K2364" s="57"/>
      <c r="L2364" s="31"/>
      <c r="M2364" s="31"/>
      <c r="N2364" s="31"/>
      <c r="O2364" s="31"/>
      <c r="S2364" s="57"/>
      <c r="X2364" s="57"/>
    </row>
    <row r="2365" spans="1:24" hidden="1" x14ac:dyDescent="0.35">
      <c r="A2365">
        <v>2361</v>
      </c>
      <c r="B2365">
        <v>2362</v>
      </c>
      <c r="C2365">
        <v>146.09263345400001</v>
      </c>
      <c r="D2365">
        <v>-17.6635965151</v>
      </c>
      <c r="G2365" s="92"/>
      <c r="I2365">
        <v>8</v>
      </c>
      <c r="J2365" t="s">
        <v>26</v>
      </c>
      <c r="K2365" s="57"/>
      <c r="L2365" s="31"/>
      <c r="M2365" s="31"/>
      <c r="N2365" s="31"/>
      <c r="O2365" s="31"/>
      <c r="S2365" s="57"/>
      <c r="X2365" s="57"/>
    </row>
    <row r="2366" spans="1:24" hidden="1" x14ac:dyDescent="0.35">
      <c r="A2366">
        <v>2362</v>
      </c>
      <c r="B2366">
        <v>2363</v>
      </c>
      <c r="C2366">
        <v>146.09265047599899</v>
      </c>
      <c r="D2366">
        <v>-17.663512469499899</v>
      </c>
      <c r="G2366" s="92"/>
      <c r="I2366">
        <v>8</v>
      </c>
      <c r="J2366" t="s">
        <v>26</v>
      </c>
      <c r="K2366" s="57"/>
      <c r="L2366" s="31"/>
      <c r="M2366" s="31"/>
      <c r="N2366" s="31"/>
      <c r="O2366" s="31"/>
      <c r="S2366" s="57"/>
      <c r="X2366" s="57"/>
    </row>
    <row r="2367" spans="1:24" hidden="1" x14ac:dyDescent="0.35">
      <c r="A2367">
        <v>2363</v>
      </c>
      <c r="B2367">
        <v>2364</v>
      </c>
      <c r="C2367">
        <v>146.09266749899899</v>
      </c>
      <c r="D2367">
        <v>-17.6634284239999</v>
      </c>
      <c r="G2367" s="92"/>
      <c r="I2367">
        <v>8</v>
      </c>
      <c r="J2367" t="s">
        <v>26</v>
      </c>
      <c r="K2367" s="57"/>
      <c r="L2367" s="31"/>
      <c r="M2367" s="31"/>
      <c r="N2367" s="31"/>
      <c r="O2367" s="31"/>
      <c r="S2367" s="57"/>
      <c r="X2367" s="57"/>
    </row>
    <row r="2368" spans="1:24" hidden="1" x14ac:dyDescent="0.35">
      <c r="A2368">
        <v>2364</v>
      </c>
      <c r="B2368">
        <v>2365</v>
      </c>
      <c r="C2368">
        <v>146.09267689800001</v>
      </c>
      <c r="D2368">
        <v>-17.663343628300002</v>
      </c>
      <c r="G2368" s="92"/>
      <c r="I2368">
        <v>8</v>
      </c>
      <c r="J2368" t="s">
        <v>26</v>
      </c>
      <c r="K2368" s="57"/>
      <c r="L2368" s="31"/>
      <c r="M2368" s="31"/>
      <c r="N2368" s="31"/>
      <c r="O2368" s="31"/>
      <c r="S2368" s="57"/>
      <c r="X2368" s="57"/>
    </row>
    <row r="2369" spans="1:24" hidden="1" x14ac:dyDescent="0.35">
      <c r="A2369">
        <v>2365</v>
      </c>
      <c r="B2369">
        <v>2366</v>
      </c>
      <c r="C2369">
        <v>146.09267825699899</v>
      </c>
      <c r="D2369">
        <v>-17.663258041599899</v>
      </c>
      <c r="G2369" s="92"/>
      <c r="I2369">
        <v>8</v>
      </c>
      <c r="J2369" t="s">
        <v>26</v>
      </c>
      <c r="K2369" s="57"/>
      <c r="L2369" s="31"/>
      <c r="M2369" s="31"/>
      <c r="N2369" s="31"/>
      <c r="O2369" s="31"/>
      <c r="S2369" s="57"/>
      <c r="X2369" s="57"/>
    </row>
    <row r="2370" spans="1:24" hidden="1" x14ac:dyDescent="0.35">
      <c r="A2370">
        <v>2366</v>
      </c>
      <c r="B2370">
        <v>2367</v>
      </c>
      <c r="C2370">
        <v>146.092679615999</v>
      </c>
      <c r="D2370">
        <v>-17.663172454800002</v>
      </c>
      <c r="G2370" s="92"/>
      <c r="I2370">
        <v>8</v>
      </c>
      <c r="J2370" t="s">
        <v>26</v>
      </c>
      <c r="K2370" s="57"/>
      <c r="L2370" s="31"/>
      <c r="M2370" s="31"/>
      <c r="N2370" s="31"/>
      <c r="O2370" s="31"/>
      <c r="S2370" s="57"/>
      <c r="X2370" s="57"/>
    </row>
    <row r="2371" spans="1:24" hidden="1" x14ac:dyDescent="0.35">
      <c r="A2371">
        <v>2367</v>
      </c>
      <c r="B2371">
        <v>2368</v>
      </c>
      <c r="C2371">
        <v>146.09268097500001</v>
      </c>
      <c r="D2371">
        <v>-17.663086868000001</v>
      </c>
      <c r="G2371" s="92"/>
      <c r="I2371">
        <v>8</v>
      </c>
      <c r="J2371" t="s">
        <v>26</v>
      </c>
      <c r="K2371" s="57"/>
      <c r="L2371" s="31"/>
      <c r="M2371" s="31"/>
      <c r="N2371" s="31"/>
      <c r="O2371" s="31"/>
      <c r="S2371" s="57"/>
      <c r="X2371" s="57"/>
    </row>
    <row r="2372" spans="1:24" hidden="1" x14ac:dyDescent="0.35">
      <c r="A2372">
        <v>2368</v>
      </c>
      <c r="B2372">
        <v>2369</v>
      </c>
      <c r="C2372">
        <v>146.09268233399899</v>
      </c>
      <c r="D2372">
        <v>-17.6630012812</v>
      </c>
      <c r="G2372" s="92"/>
      <c r="I2372">
        <v>8</v>
      </c>
      <c r="J2372" t="s">
        <v>26</v>
      </c>
      <c r="K2372" s="57"/>
      <c r="L2372" s="31"/>
      <c r="M2372" s="31"/>
      <c r="N2372" s="31"/>
      <c r="O2372" s="31"/>
      <c r="S2372" s="57"/>
      <c r="X2372" s="57"/>
    </row>
    <row r="2373" spans="1:24" hidden="1" x14ac:dyDescent="0.35">
      <c r="A2373">
        <v>2369</v>
      </c>
      <c r="B2373">
        <v>2370</v>
      </c>
      <c r="C2373">
        <v>146.092683692999</v>
      </c>
      <c r="D2373">
        <v>-17.662915694300001</v>
      </c>
      <c r="G2373" s="92"/>
      <c r="I2373">
        <v>8</v>
      </c>
      <c r="J2373" t="s">
        <v>26</v>
      </c>
      <c r="K2373" s="57"/>
      <c r="L2373" s="31"/>
      <c r="M2373" s="31"/>
      <c r="N2373" s="31"/>
      <c r="O2373" s="31"/>
      <c r="S2373" s="57"/>
      <c r="X2373" s="57"/>
    </row>
    <row r="2374" spans="1:24" hidden="1" x14ac:dyDescent="0.35">
      <c r="A2374">
        <v>2370</v>
      </c>
      <c r="B2374">
        <v>2371</v>
      </c>
      <c r="C2374">
        <v>146.09268505099899</v>
      </c>
      <c r="D2374">
        <v>-17.662830107400001</v>
      </c>
      <c r="G2374" s="92"/>
      <c r="I2374">
        <v>8</v>
      </c>
      <c r="J2374" t="s">
        <v>26</v>
      </c>
      <c r="K2374" s="57"/>
      <c r="L2374" s="31"/>
      <c r="M2374" s="31"/>
      <c r="N2374" s="31"/>
      <c r="O2374" s="31"/>
      <c r="S2374" s="57"/>
      <c r="X2374" s="57"/>
    </row>
    <row r="2375" spans="1:24" hidden="1" x14ac:dyDescent="0.35">
      <c r="A2375">
        <v>2371</v>
      </c>
      <c r="B2375">
        <v>2372</v>
      </c>
      <c r="C2375">
        <v>146.092686409999</v>
      </c>
      <c r="D2375">
        <v>-17.6627445204</v>
      </c>
      <c r="G2375" s="92"/>
      <c r="I2375">
        <v>8</v>
      </c>
      <c r="J2375" t="s">
        <v>26</v>
      </c>
      <c r="K2375" s="57"/>
      <c r="L2375" s="31"/>
      <c r="M2375" s="31"/>
      <c r="N2375" s="31"/>
      <c r="O2375" s="31"/>
      <c r="S2375" s="57"/>
      <c r="X2375" s="57"/>
    </row>
    <row r="2376" spans="1:24" hidden="1" x14ac:dyDescent="0.35">
      <c r="A2376">
        <v>2372</v>
      </c>
      <c r="B2376">
        <v>2373</v>
      </c>
      <c r="C2376">
        <v>146.092688898999</v>
      </c>
      <c r="D2376">
        <v>-17.662658961999899</v>
      </c>
      <c r="G2376" s="92"/>
      <c r="I2376">
        <v>8</v>
      </c>
      <c r="J2376" t="s">
        <v>26</v>
      </c>
      <c r="K2376" s="57"/>
      <c r="L2376" s="31"/>
      <c r="M2376" s="31"/>
      <c r="N2376" s="31"/>
      <c r="O2376" s="31"/>
      <c r="S2376" s="57"/>
      <c r="X2376" s="57"/>
    </row>
    <row r="2377" spans="1:24" hidden="1" x14ac:dyDescent="0.35">
      <c r="A2377">
        <v>2373</v>
      </c>
      <c r="B2377">
        <v>2374</v>
      </c>
      <c r="C2377">
        <v>146.09269230300001</v>
      </c>
      <c r="D2377">
        <v>-17.662573426600002</v>
      </c>
      <c r="G2377" s="92"/>
      <c r="I2377">
        <v>8</v>
      </c>
      <c r="J2377" t="s">
        <v>26</v>
      </c>
      <c r="K2377" s="57"/>
      <c r="L2377" s="31"/>
      <c r="M2377" s="31"/>
      <c r="N2377" s="31"/>
      <c r="O2377" s="31"/>
      <c r="S2377" s="57"/>
      <c r="X2377" s="57"/>
    </row>
    <row r="2378" spans="1:24" hidden="1" x14ac:dyDescent="0.35">
      <c r="A2378">
        <v>2374</v>
      </c>
      <c r="B2378">
        <v>2375</v>
      </c>
      <c r="C2378">
        <v>146.092694996999</v>
      </c>
      <c r="D2378">
        <v>-17.662487902500001</v>
      </c>
      <c r="G2378" s="92"/>
      <c r="I2378">
        <v>8</v>
      </c>
      <c r="J2378" t="s">
        <v>26</v>
      </c>
      <c r="K2378" s="57"/>
      <c r="L2378" s="31"/>
      <c r="M2378" s="31"/>
      <c r="N2378" s="31"/>
      <c r="O2378" s="31"/>
      <c r="S2378" s="57"/>
      <c r="X2378" s="57"/>
    </row>
    <row r="2379" spans="1:24" hidden="1" x14ac:dyDescent="0.35">
      <c r="A2379">
        <v>2375</v>
      </c>
      <c r="B2379">
        <v>2376</v>
      </c>
      <c r="C2379">
        <v>146.092688576</v>
      </c>
      <c r="D2379">
        <v>-17.662402524600001</v>
      </c>
      <c r="G2379" s="92"/>
      <c r="I2379">
        <v>8</v>
      </c>
      <c r="J2379" t="s">
        <v>26</v>
      </c>
      <c r="K2379" s="57"/>
      <c r="L2379" s="31"/>
      <c r="M2379" s="31"/>
      <c r="N2379" s="31"/>
      <c r="O2379" s="31"/>
      <c r="S2379" s="57"/>
      <c r="X2379" s="57"/>
    </row>
    <row r="2380" spans="1:24" hidden="1" x14ac:dyDescent="0.35">
      <c r="A2380">
        <v>2376</v>
      </c>
      <c r="B2380">
        <v>2377</v>
      </c>
      <c r="C2380">
        <v>146.09263187299899</v>
      </c>
      <c r="D2380">
        <v>-17.662336240599899</v>
      </c>
      <c r="G2380" s="92"/>
      <c r="I2380">
        <v>8</v>
      </c>
      <c r="J2380" t="s">
        <v>26</v>
      </c>
      <c r="K2380" s="57"/>
      <c r="L2380" s="31"/>
      <c r="M2380" s="31"/>
      <c r="N2380" s="31"/>
      <c r="O2380" s="31"/>
      <c r="S2380" s="57"/>
      <c r="X2380" s="57"/>
    </row>
    <row r="2381" spans="1:24" hidden="1" x14ac:dyDescent="0.35">
      <c r="A2381">
        <v>2377</v>
      </c>
      <c r="B2381">
        <v>2378</v>
      </c>
      <c r="C2381">
        <v>146.09255386500001</v>
      </c>
      <c r="D2381">
        <v>-17.6623010781</v>
      </c>
      <c r="G2381" s="92"/>
      <c r="I2381">
        <v>8</v>
      </c>
      <c r="J2381" t="s">
        <v>26</v>
      </c>
      <c r="K2381" s="57"/>
      <c r="L2381" s="31"/>
      <c r="M2381" s="31"/>
      <c r="N2381" s="31"/>
      <c r="O2381" s="31"/>
      <c r="S2381" s="57"/>
      <c r="X2381" s="57"/>
    </row>
    <row r="2382" spans="1:24" hidden="1" x14ac:dyDescent="0.35">
      <c r="A2382">
        <v>2378</v>
      </c>
      <c r="B2382">
        <v>2379</v>
      </c>
      <c r="C2382">
        <v>146.09246686399899</v>
      </c>
      <c r="D2382">
        <v>-17.662280378399899</v>
      </c>
      <c r="G2382" s="92"/>
      <c r="I2382">
        <v>8</v>
      </c>
      <c r="J2382" t="s">
        <v>26</v>
      </c>
      <c r="K2382" s="57"/>
      <c r="L2382" s="31"/>
      <c r="M2382" s="31"/>
      <c r="N2382" s="31"/>
      <c r="O2382" s="31"/>
      <c r="S2382" s="57"/>
      <c r="X2382" s="57"/>
    </row>
    <row r="2383" spans="1:24" hidden="1" x14ac:dyDescent="0.35">
      <c r="A2383">
        <v>2379</v>
      </c>
      <c r="B2383">
        <v>2380</v>
      </c>
      <c r="C2383">
        <v>146.09237718200001</v>
      </c>
      <c r="D2383">
        <v>-17.6622754387</v>
      </c>
      <c r="G2383" s="92"/>
      <c r="I2383">
        <v>8</v>
      </c>
      <c r="J2383" t="s">
        <v>26</v>
      </c>
      <c r="K2383" s="57"/>
      <c r="L2383" s="31"/>
      <c r="M2383" s="31"/>
      <c r="N2383" s="31"/>
      <c r="O2383" s="31"/>
      <c r="S2383" s="57"/>
      <c r="X2383" s="57"/>
    </row>
    <row r="2384" spans="1:24" hidden="1" x14ac:dyDescent="0.35">
      <c r="A2384">
        <v>2380</v>
      </c>
      <c r="B2384">
        <v>2381</v>
      </c>
      <c r="C2384">
        <v>146.09228915700001</v>
      </c>
      <c r="D2384">
        <v>-17.662285252299899</v>
      </c>
      <c r="G2384" s="92"/>
      <c r="I2384">
        <v>8</v>
      </c>
      <c r="J2384" t="s">
        <v>26</v>
      </c>
      <c r="K2384" s="57"/>
      <c r="L2384" s="31"/>
      <c r="M2384" s="31"/>
      <c r="N2384" s="31"/>
      <c r="O2384" s="31"/>
      <c r="S2384" s="57"/>
      <c r="X2384" s="57"/>
    </row>
    <row r="2385" spans="1:24" hidden="1" x14ac:dyDescent="0.35">
      <c r="A2385">
        <v>2381</v>
      </c>
      <c r="B2385">
        <v>2382</v>
      </c>
      <c r="C2385">
        <v>146.09220260199899</v>
      </c>
      <c r="D2385">
        <v>-17.6623081601</v>
      </c>
      <c r="G2385" s="92"/>
      <c r="I2385">
        <v>8</v>
      </c>
      <c r="J2385" t="s">
        <v>26</v>
      </c>
      <c r="K2385" s="57"/>
      <c r="L2385" s="31"/>
      <c r="M2385" s="31"/>
      <c r="N2385" s="31"/>
      <c r="O2385" s="31"/>
      <c r="S2385" s="57"/>
      <c r="X2385" s="57"/>
    </row>
    <row r="2386" spans="1:24" hidden="1" x14ac:dyDescent="0.35">
      <c r="A2386">
        <v>2382</v>
      </c>
      <c r="B2386">
        <v>2383</v>
      </c>
      <c r="C2386">
        <v>146.092116046999</v>
      </c>
      <c r="D2386">
        <v>-17.662331067899899</v>
      </c>
      <c r="G2386" s="92"/>
      <c r="I2386">
        <v>8</v>
      </c>
      <c r="J2386" t="s">
        <v>26</v>
      </c>
      <c r="K2386" s="57"/>
      <c r="L2386" s="31"/>
      <c r="M2386" s="31"/>
      <c r="N2386" s="31"/>
      <c r="O2386" s="31"/>
      <c r="S2386" s="57"/>
      <c r="X2386" s="57"/>
    </row>
    <row r="2387" spans="1:24" hidden="1" x14ac:dyDescent="0.35">
      <c r="A2387">
        <v>2383</v>
      </c>
      <c r="B2387">
        <v>2384</v>
      </c>
      <c r="C2387">
        <v>146.09202949300001</v>
      </c>
      <c r="D2387">
        <v>-17.6623539757</v>
      </c>
      <c r="G2387" s="92"/>
      <c r="I2387">
        <v>8</v>
      </c>
      <c r="J2387" t="s">
        <v>26</v>
      </c>
      <c r="K2387" s="57"/>
      <c r="L2387" s="31"/>
      <c r="M2387" s="31"/>
      <c r="N2387" s="31"/>
      <c r="O2387" s="31"/>
      <c r="S2387" s="57"/>
      <c r="X2387" s="57"/>
    </row>
    <row r="2388" spans="1:24" hidden="1" x14ac:dyDescent="0.35">
      <c r="A2388">
        <v>2384</v>
      </c>
      <c r="B2388">
        <v>2385</v>
      </c>
      <c r="C2388">
        <v>146.09194293799899</v>
      </c>
      <c r="D2388">
        <v>-17.662376883499899</v>
      </c>
      <c r="G2388" s="92"/>
      <c r="I2388">
        <v>8</v>
      </c>
      <c r="J2388" t="s">
        <v>26</v>
      </c>
      <c r="K2388" s="57"/>
      <c r="L2388" s="31"/>
      <c r="M2388" s="31"/>
      <c r="N2388" s="31"/>
      <c r="O2388" s="31"/>
      <c r="S2388" s="57"/>
      <c r="X2388" s="57"/>
    </row>
    <row r="2389" spans="1:24" hidden="1" x14ac:dyDescent="0.35">
      <c r="A2389">
        <v>2385</v>
      </c>
      <c r="B2389">
        <v>2386</v>
      </c>
      <c r="C2389">
        <v>146.09185653700001</v>
      </c>
      <c r="D2389">
        <v>-17.662400244699899</v>
      </c>
      <c r="G2389" s="92"/>
      <c r="I2389">
        <v>8</v>
      </c>
      <c r="J2389" t="s">
        <v>26</v>
      </c>
      <c r="K2389" s="57"/>
      <c r="L2389" s="31"/>
      <c r="M2389" s="31"/>
      <c r="N2389" s="31"/>
      <c r="O2389" s="31"/>
      <c r="S2389" s="57"/>
      <c r="X2389" s="57"/>
    </row>
    <row r="2390" spans="1:24" hidden="1" x14ac:dyDescent="0.35">
      <c r="A2390">
        <v>2386</v>
      </c>
      <c r="B2390">
        <v>2387</v>
      </c>
      <c r="C2390">
        <v>146.091772289999</v>
      </c>
      <c r="D2390">
        <v>-17.662429955499899</v>
      </c>
      <c r="G2390" s="92"/>
      <c r="I2390">
        <v>8</v>
      </c>
      <c r="J2390" t="s">
        <v>26</v>
      </c>
      <c r="K2390" s="57"/>
      <c r="L2390" s="31"/>
      <c r="M2390" s="31"/>
      <c r="N2390" s="31"/>
      <c r="O2390" s="31"/>
      <c r="S2390" s="57"/>
      <c r="X2390" s="57"/>
    </row>
    <row r="2391" spans="1:24" hidden="1" x14ac:dyDescent="0.35">
      <c r="A2391">
        <v>2387</v>
      </c>
      <c r="B2391">
        <v>2388</v>
      </c>
      <c r="C2391">
        <v>146.091688043999</v>
      </c>
      <c r="D2391">
        <v>-17.662459666299899</v>
      </c>
      <c r="G2391" s="92"/>
      <c r="I2391">
        <v>8</v>
      </c>
      <c r="J2391" t="s">
        <v>26</v>
      </c>
      <c r="K2391" s="57"/>
      <c r="L2391" s="31"/>
      <c r="M2391" s="31"/>
      <c r="N2391" s="31"/>
      <c r="O2391" s="31"/>
      <c r="S2391" s="57"/>
      <c r="X2391" s="57"/>
    </row>
    <row r="2392" spans="1:24" hidden="1" x14ac:dyDescent="0.35">
      <c r="A2392">
        <v>2388</v>
      </c>
      <c r="B2392">
        <v>2389</v>
      </c>
      <c r="C2392">
        <v>146.091603797</v>
      </c>
      <c r="D2392">
        <v>-17.662489377100002</v>
      </c>
      <c r="G2392" s="92"/>
      <c r="I2392">
        <v>8</v>
      </c>
      <c r="J2392" t="s">
        <v>26</v>
      </c>
      <c r="K2392" s="57"/>
      <c r="L2392" s="31"/>
      <c r="M2392" s="31"/>
      <c r="N2392" s="31"/>
      <c r="O2392" s="31"/>
      <c r="S2392" s="57"/>
      <c r="X2392" s="57"/>
    </row>
    <row r="2393" spans="1:24" hidden="1" x14ac:dyDescent="0.35">
      <c r="A2393">
        <v>2389</v>
      </c>
      <c r="B2393">
        <v>2390</v>
      </c>
      <c r="C2393">
        <v>146.091519551</v>
      </c>
      <c r="D2393">
        <v>-17.662519087900002</v>
      </c>
      <c r="G2393" s="92"/>
      <c r="I2393">
        <v>8</v>
      </c>
      <c r="J2393" t="s">
        <v>26</v>
      </c>
      <c r="K2393" s="57"/>
      <c r="L2393" s="31"/>
      <c r="M2393" s="31"/>
      <c r="N2393" s="31"/>
      <c r="O2393" s="31"/>
      <c r="S2393" s="57"/>
      <c r="X2393" s="57"/>
    </row>
    <row r="2394" spans="1:24" hidden="1" x14ac:dyDescent="0.35">
      <c r="A2394">
        <v>2390</v>
      </c>
      <c r="B2394">
        <v>2391</v>
      </c>
      <c r="C2394">
        <v>146.09143530399899</v>
      </c>
      <c r="D2394">
        <v>-17.662548798700001</v>
      </c>
      <c r="G2394" s="92"/>
      <c r="I2394">
        <v>8</v>
      </c>
      <c r="J2394" t="s">
        <v>26</v>
      </c>
      <c r="K2394" s="57"/>
      <c r="L2394" s="31"/>
      <c r="M2394" s="31"/>
      <c r="N2394" s="31"/>
      <c r="O2394" s="31"/>
      <c r="S2394" s="57"/>
      <c r="X2394" s="57"/>
    </row>
    <row r="2395" spans="1:24" hidden="1" x14ac:dyDescent="0.35">
      <c r="A2395">
        <v>2391</v>
      </c>
      <c r="B2395">
        <v>2392</v>
      </c>
      <c r="C2395">
        <v>146.09135105799899</v>
      </c>
      <c r="D2395">
        <v>-17.662578509500001</v>
      </c>
      <c r="G2395" s="92"/>
      <c r="I2395">
        <v>8</v>
      </c>
      <c r="J2395" t="s">
        <v>26</v>
      </c>
      <c r="K2395" s="57"/>
      <c r="L2395" s="31"/>
      <c r="M2395" s="31"/>
      <c r="N2395" s="31"/>
      <c r="O2395" s="31"/>
      <c r="S2395" s="57"/>
      <c r="X2395" s="57"/>
    </row>
    <row r="2396" spans="1:24" hidden="1" x14ac:dyDescent="0.35">
      <c r="A2396">
        <v>2392</v>
      </c>
      <c r="B2396">
        <v>2393</v>
      </c>
      <c r="C2396">
        <v>146.09126629599899</v>
      </c>
      <c r="D2396">
        <v>-17.662606816899899</v>
      </c>
      <c r="G2396" s="92"/>
      <c r="I2396">
        <v>8</v>
      </c>
      <c r="J2396" t="s">
        <v>26</v>
      </c>
      <c r="K2396" s="57"/>
      <c r="L2396" s="31"/>
      <c r="M2396" s="31"/>
      <c r="N2396" s="31"/>
      <c r="O2396" s="31"/>
      <c r="S2396" s="57"/>
      <c r="X2396" s="57"/>
    </row>
    <row r="2397" spans="1:24" hidden="1" x14ac:dyDescent="0.35">
      <c r="A2397">
        <v>2393</v>
      </c>
      <c r="B2397">
        <v>2394</v>
      </c>
      <c r="C2397">
        <v>146.091180989999</v>
      </c>
      <c r="D2397">
        <v>-17.6626336411999</v>
      </c>
      <c r="G2397" s="92"/>
      <c r="I2397">
        <v>8</v>
      </c>
      <c r="J2397" t="s">
        <v>26</v>
      </c>
      <c r="K2397" s="57"/>
      <c r="L2397" s="31"/>
      <c r="M2397" s="31"/>
      <c r="N2397" s="31"/>
      <c r="O2397" s="31"/>
      <c r="S2397" s="57"/>
      <c r="X2397" s="57"/>
    </row>
    <row r="2398" spans="1:24" hidden="1" x14ac:dyDescent="0.35">
      <c r="A2398">
        <v>2394</v>
      </c>
      <c r="B2398">
        <v>2395</v>
      </c>
      <c r="C2398">
        <v>146.091095682999</v>
      </c>
      <c r="D2398">
        <v>-17.662660465399899</v>
      </c>
      <c r="G2398" s="92"/>
      <c r="I2398">
        <v>8</v>
      </c>
      <c r="J2398" t="s">
        <v>26</v>
      </c>
      <c r="K2398" s="57"/>
      <c r="L2398" s="31"/>
      <c r="M2398" s="31"/>
      <c r="N2398" s="31"/>
      <c r="O2398" s="31"/>
      <c r="S2398" s="57"/>
      <c r="X2398" s="57"/>
    </row>
    <row r="2399" spans="1:24" hidden="1" x14ac:dyDescent="0.35">
      <c r="A2399">
        <v>2395</v>
      </c>
      <c r="B2399">
        <v>2396</v>
      </c>
      <c r="C2399">
        <v>146.091010377</v>
      </c>
      <c r="D2399">
        <v>-17.6626872896999</v>
      </c>
      <c r="G2399" s="92"/>
      <c r="I2399">
        <v>8</v>
      </c>
      <c r="J2399" t="s">
        <v>26</v>
      </c>
      <c r="K2399" s="57"/>
      <c r="L2399" s="31"/>
      <c r="M2399" s="31"/>
      <c r="N2399" s="31"/>
      <c r="O2399" s="31"/>
      <c r="S2399" s="57"/>
      <c r="X2399" s="57"/>
    </row>
    <row r="2400" spans="1:24" hidden="1" x14ac:dyDescent="0.35">
      <c r="A2400">
        <v>2396</v>
      </c>
      <c r="B2400">
        <v>2397</v>
      </c>
      <c r="C2400">
        <v>146.090925069999</v>
      </c>
      <c r="D2400">
        <v>-17.662714113900002</v>
      </c>
      <c r="G2400" s="92"/>
      <c r="I2400">
        <v>8</v>
      </c>
      <c r="J2400" t="s">
        <v>26</v>
      </c>
      <c r="K2400" s="57"/>
      <c r="L2400" s="31"/>
      <c r="M2400" s="31"/>
      <c r="N2400" s="31"/>
      <c r="O2400" s="31"/>
      <c r="S2400" s="57"/>
      <c r="X2400" s="57"/>
    </row>
    <row r="2401" spans="1:24" hidden="1" x14ac:dyDescent="0.35">
      <c r="A2401">
        <v>2397</v>
      </c>
      <c r="B2401">
        <v>2398</v>
      </c>
      <c r="C2401">
        <v>146.09083627300001</v>
      </c>
      <c r="D2401">
        <v>-17.6627145892</v>
      </c>
      <c r="G2401" s="92"/>
      <c r="I2401">
        <v>8</v>
      </c>
      <c r="J2401" t="s">
        <v>26</v>
      </c>
      <c r="K2401" s="57"/>
      <c r="L2401" s="31"/>
      <c r="M2401" s="31"/>
      <c r="N2401" s="31"/>
      <c r="O2401" s="31"/>
      <c r="S2401" s="57"/>
      <c r="X2401" s="57"/>
    </row>
    <row r="2402" spans="1:24" hidden="1" x14ac:dyDescent="0.35">
      <c r="A2402">
        <v>2398</v>
      </c>
      <c r="B2402">
        <v>2399</v>
      </c>
      <c r="C2402">
        <v>146.090746647</v>
      </c>
      <c r="D2402">
        <v>-17.662708803200001</v>
      </c>
      <c r="G2402" s="92"/>
      <c r="I2402">
        <v>8</v>
      </c>
      <c r="J2402" t="s">
        <v>26</v>
      </c>
      <c r="K2402" s="57"/>
      <c r="L2402" s="31"/>
      <c r="M2402" s="31"/>
      <c r="N2402" s="31"/>
      <c r="O2402" s="31"/>
      <c r="S2402" s="57"/>
      <c r="X2402" s="57"/>
    </row>
    <row r="2403" spans="1:24" hidden="1" x14ac:dyDescent="0.35">
      <c r="A2403">
        <v>2399</v>
      </c>
      <c r="B2403">
        <v>2400</v>
      </c>
      <c r="C2403">
        <v>146.09065792300001</v>
      </c>
      <c r="D2403">
        <v>-17.662698939599899</v>
      </c>
      <c r="G2403" s="92"/>
      <c r="I2403">
        <v>8</v>
      </c>
      <c r="J2403" t="s">
        <v>26</v>
      </c>
      <c r="K2403" s="57"/>
      <c r="L2403" s="31"/>
      <c r="M2403" s="31"/>
      <c r="N2403" s="31"/>
      <c r="O2403" s="31"/>
      <c r="S2403" s="57"/>
      <c r="X2403" s="57"/>
    </row>
    <row r="2404" spans="1:24" hidden="1" x14ac:dyDescent="0.35">
      <c r="A2404">
        <v>2400</v>
      </c>
      <c r="B2404">
        <v>2401</v>
      </c>
      <c r="C2404">
        <v>146.090573468</v>
      </c>
      <c r="D2404">
        <v>-17.6626697700999</v>
      </c>
      <c r="G2404" s="92"/>
      <c r="I2404">
        <v>8</v>
      </c>
      <c r="J2404" t="s">
        <v>26</v>
      </c>
      <c r="K2404" s="57"/>
      <c r="L2404" s="31"/>
      <c r="M2404" s="31"/>
      <c r="N2404" s="31"/>
      <c r="O2404" s="31"/>
      <c r="S2404" s="57"/>
      <c r="X2404" s="57"/>
    </row>
    <row r="2405" spans="1:24" hidden="1" x14ac:dyDescent="0.35">
      <c r="A2405">
        <v>2401</v>
      </c>
      <c r="B2405">
        <v>2402</v>
      </c>
      <c r="C2405">
        <v>146.09048901400001</v>
      </c>
      <c r="D2405">
        <v>-17.6626406006</v>
      </c>
      <c r="G2405" s="92"/>
      <c r="I2405">
        <v>8</v>
      </c>
      <c r="J2405" t="s">
        <v>26</v>
      </c>
      <c r="K2405" s="57"/>
      <c r="L2405" s="31"/>
      <c r="M2405" s="31"/>
      <c r="N2405" s="31"/>
      <c r="O2405" s="31"/>
      <c r="S2405" s="57"/>
      <c r="X2405" s="57"/>
    </row>
    <row r="2406" spans="1:24" hidden="1" x14ac:dyDescent="0.35">
      <c r="A2406">
        <v>2402</v>
      </c>
      <c r="B2406">
        <v>2403</v>
      </c>
      <c r="C2406">
        <v>146.09040455900001</v>
      </c>
      <c r="D2406">
        <v>-17.6626114311</v>
      </c>
      <c r="G2406" s="92"/>
      <c r="I2406">
        <v>8</v>
      </c>
      <c r="J2406" t="s">
        <v>26</v>
      </c>
      <c r="K2406" s="57"/>
      <c r="L2406" s="31"/>
      <c r="M2406" s="31"/>
      <c r="N2406" s="31"/>
      <c r="O2406" s="31"/>
      <c r="S2406" s="57"/>
      <c r="X2406" s="57"/>
    </row>
    <row r="2407" spans="1:24" hidden="1" x14ac:dyDescent="0.35">
      <c r="A2407">
        <v>2403</v>
      </c>
      <c r="B2407">
        <v>2404</v>
      </c>
      <c r="C2407">
        <v>146.09032010499899</v>
      </c>
      <c r="D2407">
        <v>-17.662582261600001</v>
      </c>
      <c r="G2407" s="92"/>
      <c r="I2407">
        <v>8</v>
      </c>
      <c r="J2407" t="s">
        <v>26</v>
      </c>
      <c r="K2407" s="57"/>
      <c r="L2407" s="31"/>
      <c r="M2407" s="31"/>
      <c r="N2407" s="31"/>
      <c r="O2407" s="31"/>
      <c r="S2407" s="57"/>
      <c r="X2407" s="57"/>
    </row>
    <row r="2408" spans="1:24" hidden="1" x14ac:dyDescent="0.35">
      <c r="A2408">
        <v>2404</v>
      </c>
      <c r="B2408">
        <v>2405</v>
      </c>
      <c r="C2408">
        <v>146.09023565000001</v>
      </c>
      <c r="D2408">
        <v>-17.662553092</v>
      </c>
      <c r="G2408" s="92"/>
      <c r="I2408">
        <v>8</v>
      </c>
      <c r="J2408" t="s">
        <v>26</v>
      </c>
      <c r="K2408" s="57"/>
      <c r="L2408" s="31"/>
      <c r="M2408" s="31"/>
      <c r="N2408" s="31"/>
      <c r="O2408" s="31"/>
      <c r="S2408" s="57"/>
      <c r="X2408" s="57"/>
    </row>
    <row r="2409" spans="1:24" hidden="1" x14ac:dyDescent="0.35">
      <c r="A2409">
        <v>2405</v>
      </c>
      <c r="B2409">
        <v>2406</v>
      </c>
      <c r="C2409">
        <v>146.09015299800001</v>
      </c>
      <c r="D2409">
        <v>-17.6625196576999</v>
      </c>
      <c r="G2409" s="92"/>
      <c r="I2409">
        <v>8</v>
      </c>
      <c r="J2409" t="s">
        <v>26</v>
      </c>
      <c r="K2409" s="57"/>
      <c r="L2409" s="31"/>
      <c r="M2409" s="31"/>
      <c r="N2409" s="31"/>
      <c r="O2409" s="31"/>
      <c r="S2409" s="57"/>
      <c r="X2409" s="57"/>
    </row>
    <row r="2410" spans="1:24" hidden="1" x14ac:dyDescent="0.35">
      <c r="A2410">
        <v>2406</v>
      </c>
      <c r="B2410">
        <v>2407</v>
      </c>
      <c r="C2410">
        <v>146.09007089299899</v>
      </c>
      <c r="D2410">
        <v>-17.6624849271</v>
      </c>
      <c r="G2410" s="92"/>
      <c r="I2410">
        <v>8</v>
      </c>
      <c r="J2410" t="s">
        <v>26</v>
      </c>
      <c r="K2410" s="57"/>
      <c r="L2410" s="31"/>
      <c r="M2410" s="31"/>
      <c r="N2410" s="31"/>
      <c r="O2410" s="31"/>
      <c r="S2410" s="57"/>
      <c r="X2410" s="57"/>
    </row>
    <row r="2411" spans="1:24" hidden="1" x14ac:dyDescent="0.35">
      <c r="A2411">
        <v>2407</v>
      </c>
      <c r="B2411">
        <v>2408</v>
      </c>
      <c r="C2411">
        <v>146.089988787999</v>
      </c>
      <c r="D2411">
        <v>-17.6624501965</v>
      </c>
      <c r="G2411" s="92"/>
      <c r="I2411">
        <v>8</v>
      </c>
      <c r="J2411" t="s">
        <v>26</v>
      </c>
      <c r="K2411" s="57"/>
      <c r="L2411" s="31"/>
      <c r="M2411" s="31"/>
      <c r="N2411" s="31"/>
      <c r="O2411" s="31"/>
      <c r="S2411" s="57"/>
      <c r="X2411" s="57"/>
    </row>
    <row r="2412" spans="1:24" hidden="1" x14ac:dyDescent="0.35">
      <c r="A2412">
        <v>2408</v>
      </c>
      <c r="B2412">
        <v>2409</v>
      </c>
      <c r="C2412">
        <v>146.08990668300001</v>
      </c>
      <c r="D2412">
        <v>-17.662415465999899</v>
      </c>
      <c r="G2412" s="92"/>
      <c r="I2412">
        <v>8</v>
      </c>
      <c r="J2412" t="s">
        <v>26</v>
      </c>
      <c r="K2412" s="57"/>
      <c r="L2412" s="31"/>
      <c r="M2412" s="31"/>
      <c r="N2412" s="31"/>
      <c r="O2412" s="31"/>
      <c r="S2412" s="57"/>
      <c r="X2412" s="57"/>
    </row>
    <row r="2413" spans="1:24" hidden="1" x14ac:dyDescent="0.35">
      <c r="A2413">
        <v>2409</v>
      </c>
      <c r="B2413">
        <v>2410</v>
      </c>
      <c r="C2413">
        <v>146.08982457900001</v>
      </c>
      <c r="D2413">
        <v>-17.6623807353999</v>
      </c>
      <c r="G2413" s="92"/>
      <c r="I2413">
        <v>8</v>
      </c>
      <c r="J2413" t="s">
        <v>26</v>
      </c>
      <c r="K2413" s="57"/>
      <c r="L2413" s="31"/>
      <c r="M2413" s="31"/>
      <c r="N2413" s="31"/>
      <c r="O2413" s="31"/>
      <c r="S2413" s="57"/>
      <c r="X2413" s="57"/>
    </row>
    <row r="2414" spans="1:24" hidden="1" x14ac:dyDescent="0.35">
      <c r="A2414">
        <v>2410</v>
      </c>
      <c r="B2414">
        <v>2411</v>
      </c>
      <c r="C2414">
        <v>146.089743024999</v>
      </c>
      <c r="D2414">
        <v>-17.662344923300001</v>
      </c>
      <c r="G2414" s="92"/>
      <c r="I2414">
        <v>8</v>
      </c>
      <c r="J2414" t="s">
        <v>26</v>
      </c>
      <c r="K2414" s="57"/>
      <c r="L2414" s="31"/>
      <c r="M2414" s="31"/>
      <c r="N2414" s="31"/>
      <c r="O2414" s="31"/>
      <c r="S2414" s="57"/>
      <c r="X2414" s="57"/>
    </row>
    <row r="2415" spans="1:24" hidden="1" x14ac:dyDescent="0.35">
      <c r="A2415">
        <v>2411</v>
      </c>
      <c r="B2415">
        <v>2412</v>
      </c>
      <c r="C2415">
        <v>146.08966358199899</v>
      </c>
      <c r="D2415">
        <v>-17.662304965200001</v>
      </c>
      <c r="G2415" s="92"/>
      <c r="I2415">
        <v>8</v>
      </c>
      <c r="J2415" t="s">
        <v>26</v>
      </c>
      <c r="K2415" s="57"/>
      <c r="L2415" s="31"/>
      <c r="M2415" s="31"/>
      <c r="N2415" s="31"/>
      <c r="O2415" s="31"/>
      <c r="S2415" s="57"/>
      <c r="X2415" s="57"/>
    </row>
    <row r="2416" spans="1:24" hidden="1" x14ac:dyDescent="0.35">
      <c r="A2416">
        <v>2412</v>
      </c>
      <c r="B2416">
        <v>2413</v>
      </c>
      <c r="C2416">
        <v>146.08958413900001</v>
      </c>
      <c r="D2416">
        <v>-17.662265006999899</v>
      </c>
      <c r="G2416" s="92"/>
      <c r="I2416">
        <v>8</v>
      </c>
      <c r="J2416" t="s">
        <v>26</v>
      </c>
      <c r="K2416" s="57"/>
      <c r="L2416" s="31"/>
      <c r="M2416" s="31"/>
      <c r="N2416" s="31"/>
      <c r="O2416" s="31"/>
      <c r="S2416" s="57"/>
      <c r="X2416" s="57"/>
    </row>
    <row r="2417" spans="1:24" hidden="1" x14ac:dyDescent="0.35">
      <c r="A2417">
        <v>2413</v>
      </c>
      <c r="B2417">
        <v>2414</v>
      </c>
      <c r="C2417">
        <v>146.08950469600001</v>
      </c>
      <c r="D2417">
        <v>-17.6622250488</v>
      </c>
      <c r="G2417" s="92"/>
      <c r="I2417">
        <v>8</v>
      </c>
      <c r="J2417" t="s">
        <v>26</v>
      </c>
      <c r="K2417" s="57"/>
      <c r="L2417" s="31"/>
      <c r="M2417" s="31"/>
      <c r="N2417" s="31"/>
      <c r="O2417" s="31"/>
      <c r="S2417" s="57"/>
      <c r="X2417" s="57"/>
    </row>
    <row r="2418" spans="1:24" hidden="1" x14ac:dyDescent="0.35">
      <c r="A2418">
        <v>2414</v>
      </c>
      <c r="B2418">
        <v>2415</v>
      </c>
      <c r="C2418">
        <v>146.089425253</v>
      </c>
      <c r="D2418">
        <v>-17.6621850907</v>
      </c>
      <c r="G2418" s="92"/>
      <c r="I2418">
        <v>8</v>
      </c>
      <c r="J2418" t="s">
        <v>26</v>
      </c>
      <c r="K2418" s="57"/>
      <c r="L2418" s="31"/>
      <c r="M2418" s="31"/>
      <c r="N2418" s="31"/>
      <c r="O2418" s="31"/>
      <c r="S2418" s="57"/>
      <c r="X2418" s="57"/>
    </row>
    <row r="2419" spans="1:24" hidden="1" x14ac:dyDescent="0.35">
      <c r="A2419">
        <v>2415</v>
      </c>
      <c r="B2419">
        <v>2416</v>
      </c>
      <c r="C2419">
        <v>146.08934717400001</v>
      </c>
      <c r="D2419">
        <v>-17.6621430418</v>
      </c>
      <c r="G2419" s="92"/>
      <c r="I2419">
        <v>8</v>
      </c>
      <c r="J2419" t="s">
        <v>26</v>
      </c>
      <c r="K2419" s="57"/>
      <c r="L2419" s="31"/>
      <c r="M2419" s="31"/>
      <c r="N2419" s="31"/>
      <c r="O2419" s="31"/>
      <c r="S2419" s="57"/>
      <c r="X2419" s="57"/>
    </row>
    <row r="2420" spans="1:24" hidden="1" x14ac:dyDescent="0.35">
      <c r="A2420">
        <v>2416</v>
      </c>
      <c r="B2420">
        <v>2417</v>
      </c>
      <c r="C2420">
        <v>146.089274418</v>
      </c>
      <c r="D2420">
        <v>-17.662092835300001</v>
      </c>
      <c r="G2420" s="92"/>
      <c r="I2420">
        <v>8</v>
      </c>
      <c r="J2420" t="s">
        <v>26</v>
      </c>
      <c r="K2420" s="57"/>
      <c r="L2420" s="31"/>
      <c r="M2420" s="31"/>
      <c r="N2420" s="31"/>
      <c r="O2420" s="31"/>
      <c r="S2420" s="57"/>
      <c r="X2420" s="57"/>
    </row>
    <row r="2421" spans="1:24" hidden="1" x14ac:dyDescent="0.35">
      <c r="A2421">
        <v>2417</v>
      </c>
      <c r="B2421">
        <v>2418</v>
      </c>
      <c r="C2421">
        <v>146.089201661999</v>
      </c>
      <c r="D2421">
        <v>-17.6620426289</v>
      </c>
      <c r="G2421" s="92"/>
      <c r="I2421">
        <v>8</v>
      </c>
      <c r="J2421" t="s">
        <v>26</v>
      </c>
      <c r="K2421" s="57"/>
      <c r="L2421" s="31"/>
      <c r="M2421" s="31"/>
      <c r="N2421" s="31"/>
      <c r="O2421" s="31"/>
      <c r="S2421" s="57"/>
      <c r="X2421" s="57"/>
    </row>
    <row r="2422" spans="1:24" hidden="1" x14ac:dyDescent="0.35">
      <c r="A2422">
        <v>2418</v>
      </c>
      <c r="B2422">
        <v>2419</v>
      </c>
      <c r="C2422">
        <v>146.08912890600001</v>
      </c>
      <c r="D2422">
        <v>-17.661992422400001</v>
      </c>
      <c r="G2422" s="92"/>
      <c r="I2422">
        <v>8</v>
      </c>
      <c r="J2422" t="s">
        <v>26</v>
      </c>
      <c r="K2422" s="57"/>
      <c r="L2422" s="31"/>
      <c r="M2422" s="31"/>
      <c r="N2422" s="31"/>
      <c r="O2422" s="31"/>
      <c r="S2422" s="57"/>
      <c r="X2422" s="57"/>
    </row>
    <row r="2423" spans="1:24" hidden="1" x14ac:dyDescent="0.35">
      <c r="A2423">
        <v>2419</v>
      </c>
      <c r="B2423">
        <v>2420</v>
      </c>
      <c r="C2423">
        <v>146.08905615</v>
      </c>
      <c r="D2423">
        <v>-17.661942215900002</v>
      </c>
      <c r="G2423" s="92"/>
      <c r="I2423">
        <v>8</v>
      </c>
      <c r="J2423" t="s">
        <v>26</v>
      </c>
      <c r="K2423" s="57"/>
      <c r="L2423" s="31"/>
      <c r="M2423" s="31"/>
      <c r="N2423" s="31"/>
      <c r="O2423" s="31"/>
      <c r="S2423" s="57"/>
      <c r="X2423" s="57"/>
    </row>
    <row r="2424" spans="1:24" hidden="1" x14ac:dyDescent="0.35">
      <c r="A2424">
        <v>2420</v>
      </c>
      <c r="B2424">
        <v>2421</v>
      </c>
      <c r="C2424">
        <v>146.088983393999</v>
      </c>
      <c r="D2424">
        <v>-17.661892009399899</v>
      </c>
      <c r="G2424" s="92"/>
      <c r="I2424">
        <v>8</v>
      </c>
      <c r="J2424" t="s">
        <v>26</v>
      </c>
      <c r="K2424" s="57"/>
      <c r="L2424" s="31"/>
      <c r="M2424" s="31"/>
      <c r="N2424" s="31"/>
      <c r="O2424" s="31"/>
      <c r="S2424" s="57"/>
      <c r="X2424" s="57"/>
    </row>
    <row r="2425" spans="1:24" hidden="1" x14ac:dyDescent="0.35">
      <c r="A2425">
        <v>2421</v>
      </c>
      <c r="B2425">
        <v>2422</v>
      </c>
      <c r="C2425">
        <v>146.08891063799899</v>
      </c>
      <c r="D2425">
        <v>-17.6618418029</v>
      </c>
      <c r="G2425" s="92"/>
      <c r="I2425">
        <v>8</v>
      </c>
      <c r="J2425" t="s">
        <v>26</v>
      </c>
      <c r="K2425" s="57"/>
      <c r="L2425" s="31"/>
      <c r="M2425" s="31"/>
      <c r="N2425" s="31"/>
      <c r="O2425" s="31"/>
      <c r="S2425" s="57"/>
      <c r="X2425" s="57"/>
    </row>
    <row r="2426" spans="1:24" hidden="1" x14ac:dyDescent="0.35">
      <c r="A2426">
        <v>2422</v>
      </c>
      <c r="B2426">
        <v>2423</v>
      </c>
      <c r="C2426">
        <v>146.08883788200001</v>
      </c>
      <c r="D2426">
        <v>-17.661791596299899</v>
      </c>
      <c r="G2426" s="92"/>
      <c r="I2426">
        <v>8</v>
      </c>
      <c r="J2426" t="s">
        <v>26</v>
      </c>
      <c r="K2426" s="57"/>
      <c r="L2426" s="31"/>
      <c r="M2426" s="31"/>
      <c r="N2426" s="31"/>
      <c r="O2426" s="31"/>
      <c r="S2426" s="57"/>
      <c r="X2426" s="57"/>
    </row>
    <row r="2427" spans="1:24" hidden="1" x14ac:dyDescent="0.35">
      <c r="A2427">
        <v>2423</v>
      </c>
      <c r="B2427">
        <v>2424</v>
      </c>
      <c r="C2427">
        <v>146.08876735800001</v>
      </c>
      <c r="D2427">
        <v>-17.661739224400002</v>
      </c>
      <c r="G2427" s="92"/>
      <c r="I2427">
        <v>8</v>
      </c>
      <c r="J2427" t="s">
        <v>26</v>
      </c>
      <c r="K2427" s="57"/>
      <c r="L2427" s="31"/>
      <c r="M2427" s="31"/>
      <c r="N2427" s="31"/>
      <c r="O2427" s="31"/>
      <c r="S2427" s="57"/>
      <c r="X2427" s="57"/>
    </row>
    <row r="2428" spans="1:24" hidden="1" x14ac:dyDescent="0.35">
      <c r="A2428">
        <v>2424</v>
      </c>
      <c r="B2428">
        <v>2425</v>
      </c>
      <c r="C2428">
        <v>146.088713393999</v>
      </c>
      <c r="D2428">
        <v>-17.6616707933999</v>
      </c>
      <c r="G2428" s="92"/>
      <c r="I2428">
        <v>8</v>
      </c>
      <c r="J2428" t="s">
        <v>26</v>
      </c>
      <c r="K2428" s="57"/>
      <c r="L2428" s="31"/>
      <c r="M2428" s="31"/>
      <c r="N2428" s="31"/>
      <c r="O2428" s="31"/>
      <c r="S2428" s="57"/>
      <c r="X2428" s="57"/>
    </row>
    <row r="2429" spans="1:24" hidden="1" x14ac:dyDescent="0.35">
      <c r="A2429">
        <v>2425</v>
      </c>
      <c r="B2429">
        <v>2426</v>
      </c>
      <c r="C2429">
        <v>146.08865942899899</v>
      </c>
      <c r="D2429">
        <v>-17.661602362499899</v>
      </c>
      <c r="G2429" s="92"/>
      <c r="I2429">
        <v>8</v>
      </c>
      <c r="J2429" t="s">
        <v>26</v>
      </c>
      <c r="K2429" s="57"/>
      <c r="L2429" s="31"/>
      <c r="M2429" s="31"/>
      <c r="N2429" s="31"/>
      <c r="O2429" s="31"/>
      <c r="S2429" s="57"/>
      <c r="X2429" s="57"/>
    </row>
    <row r="2430" spans="1:24" hidden="1" x14ac:dyDescent="0.35">
      <c r="A2430">
        <v>2426</v>
      </c>
      <c r="B2430">
        <v>2427</v>
      </c>
      <c r="C2430">
        <v>146.088605465</v>
      </c>
      <c r="D2430">
        <v>-17.6615339314999</v>
      </c>
      <c r="G2430" s="92"/>
      <c r="I2430">
        <v>8</v>
      </c>
      <c r="J2430" t="s">
        <v>26</v>
      </c>
      <c r="K2430" s="57"/>
      <c r="L2430" s="31"/>
      <c r="M2430" s="31"/>
      <c r="N2430" s="31"/>
      <c r="O2430" s="31"/>
      <c r="S2430" s="57"/>
      <c r="X2430" s="57"/>
    </row>
    <row r="2431" spans="1:24" hidden="1" x14ac:dyDescent="0.35">
      <c r="A2431">
        <v>2427</v>
      </c>
      <c r="B2431">
        <v>2428</v>
      </c>
      <c r="C2431">
        <v>146.08855150100001</v>
      </c>
      <c r="D2431">
        <v>-17.6614655005</v>
      </c>
      <c r="G2431" s="92"/>
      <c r="I2431">
        <v>8</v>
      </c>
      <c r="J2431" t="s">
        <v>26</v>
      </c>
      <c r="K2431" s="57"/>
      <c r="L2431" s="31"/>
      <c r="M2431" s="31"/>
      <c r="N2431" s="31"/>
      <c r="O2431" s="31"/>
      <c r="S2431" s="57"/>
      <c r="X2431" s="57"/>
    </row>
    <row r="2432" spans="1:24" hidden="1" x14ac:dyDescent="0.35">
      <c r="A2432">
        <v>2428</v>
      </c>
      <c r="B2432">
        <v>2429</v>
      </c>
      <c r="C2432">
        <v>146.08849753600001</v>
      </c>
      <c r="D2432">
        <v>-17.6613970694</v>
      </c>
      <c r="G2432" s="92"/>
      <c r="I2432">
        <v>8</v>
      </c>
      <c r="J2432" t="s">
        <v>26</v>
      </c>
      <c r="K2432" s="57"/>
      <c r="L2432" s="31"/>
      <c r="M2432" s="31"/>
      <c r="N2432" s="31"/>
      <c r="O2432" s="31"/>
      <c r="S2432" s="57"/>
      <c r="X2432" s="57"/>
    </row>
    <row r="2433" spans="1:24" hidden="1" x14ac:dyDescent="0.35">
      <c r="A2433">
        <v>2429</v>
      </c>
      <c r="B2433">
        <v>2430</v>
      </c>
      <c r="C2433">
        <v>146.088450913999</v>
      </c>
      <c r="D2433">
        <v>-17.6613245447999</v>
      </c>
      <c r="G2433" s="92"/>
      <c r="I2433">
        <v>8</v>
      </c>
      <c r="J2433" t="s">
        <v>26</v>
      </c>
      <c r="K2433" s="57"/>
      <c r="L2433" s="31"/>
      <c r="M2433" s="31"/>
      <c r="N2433" s="31"/>
      <c r="O2433" s="31"/>
      <c r="S2433" s="57"/>
      <c r="X2433" s="57"/>
    </row>
    <row r="2434" spans="1:24" hidden="1" x14ac:dyDescent="0.35">
      <c r="A2434">
        <v>2430</v>
      </c>
      <c r="B2434">
        <v>2431</v>
      </c>
      <c r="C2434">
        <v>146.088414749999</v>
      </c>
      <c r="D2434">
        <v>-17.661246190300002</v>
      </c>
      <c r="G2434" s="92"/>
      <c r="I2434">
        <v>8</v>
      </c>
      <c r="J2434" t="s">
        <v>26</v>
      </c>
      <c r="K2434" s="57"/>
      <c r="L2434" s="31"/>
      <c r="M2434" s="31"/>
      <c r="N2434" s="31"/>
      <c r="O2434" s="31"/>
      <c r="S2434" s="57"/>
      <c r="X2434" s="57"/>
    </row>
    <row r="2435" spans="1:24" hidden="1" x14ac:dyDescent="0.35">
      <c r="A2435">
        <v>2431</v>
      </c>
      <c r="B2435">
        <v>2432</v>
      </c>
      <c r="C2435">
        <v>146.08837858499899</v>
      </c>
      <c r="D2435">
        <v>-17.661167835800001</v>
      </c>
      <c r="G2435" s="92"/>
      <c r="I2435">
        <v>8</v>
      </c>
      <c r="J2435" t="s">
        <v>26</v>
      </c>
      <c r="K2435" s="57"/>
      <c r="L2435" s="31"/>
      <c r="M2435" s="31"/>
      <c r="N2435" s="31"/>
      <c r="O2435" s="31"/>
      <c r="S2435" s="57"/>
      <c r="X2435" s="57"/>
    </row>
    <row r="2436" spans="1:24" hidden="1" x14ac:dyDescent="0.35">
      <c r="A2436">
        <v>2432</v>
      </c>
      <c r="B2436">
        <v>2433</v>
      </c>
      <c r="C2436">
        <v>146.08834242</v>
      </c>
      <c r="D2436">
        <v>-17.661089481200001</v>
      </c>
      <c r="G2436" s="92"/>
      <c r="I2436">
        <v>8</v>
      </c>
      <c r="J2436" t="s">
        <v>26</v>
      </c>
      <c r="K2436" s="57"/>
      <c r="L2436" s="31"/>
      <c r="M2436" s="31"/>
      <c r="N2436" s="31"/>
      <c r="O2436" s="31"/>
      <c r="S2436" s="57"/>
      <c r="X2436" s="57"/>
    </row>
    <row r="2437" spans="1:24" hidden="1" x14ac:dyDescent="0.35">
      <c r="A2437">
        <v>2433</v>
      </c>
      <c r="B2437">
        <v>2434</v>
      </c>
      <c r="C2437">
        <v>146.08830625600001</v>
      </c>
      <c r="D2437">
        <v>-17.661011126599899</v>
      </c>
      <c r="G2437" s="92"/>
      <c r="I2437">
        <v>8</v>
      </c>
      <c r="J2437" t="s">
        <v>26</v>
      </c>
      <c r="K2437" s="57"/>
      <c r="L2437" s="31"/>
      <c r="M2437" s="31"/>
      <c r="N2437" s="31"/>
      <c r="O2437" s="31"/>
      <c r="S2437" s="57"/>
      <c r="X2437" s="57"/>
    </row>
    <row r="2438" spans="1:24" hidden="1" x14ac:dyDescent="0.35">
      <c r="A2438">
        <v>2434</v>
      </c>
      <c r="B2438">
        <v>2435</v>
      </c>
      <c r="C2438">
        <v>146.088274334</v>
      </c>
      <c r="D2438">
        <v>-17.6609316724</v>
      </c>
      <c r="G2438" s="92"/>
      <c r="I2438">
        <v>8</v>
      </c>
      <c r="J2438" t="s">
        <v>26</v>
      </c>
      <c r="K2438" s="57"/>
      <c r="L2438" s="31"/>
      <c r="M2438" s="31"/>
      <c r="N2438" s="31"/>
      <c r="O2438" s="31"/>
      <c r="S2438" s="57"/>
      <c r="X2438" s="57"/>
    </row>
    <row r="2439" spans="1:24" hidden="1" x14ac:dyDescent="0.35">
      <c r="A2439">
        <v>2435</v>
      </c>
      <c r="B2439">
        <v>2436</v>
      </c>
      <c r="C2439">
        <v>146.088263877999</v>
      </c>
      <c r="D2439">
        <v>-17.6608466566</v>
      </c>
      <c r="G2439" s="92"/>
      <c r="I2439">
        <v>8</v>
      </c>
      <c r="J2439" t="s">
        <v>26</v>
      </c>
      <c r="K2439" s="57"/>
      <c r="L2439" s="31"/>
      <c r="M2439" s="31"/>
      <c r="N2439" s="31"/>
      <c r="O2439" s="31"/>
      <c r="S2439" s="57"/>
      <c r="X2439" s="57"/>
    </row>
    <row r="2440" spans="1:24" hidden="1" x14ac:dyDescent="0.35">
      <c r="A2440">
        <v>2436</v>
      </c>
      <c r="B2440">
        <v>2437</v>
      </c>
      <c r="C2440">
        <v>146.08825342200001</v>
      </c>
      <c r="D2440">
        <v>-17.660761640699899</v>
      </c>
      <c r="G2440" s="92"/>
      <c r="I2440">
        <v>8</v>
      </c>
      <c r="J2440" t="s">
        <v>26</v>
      </c>
      <c r="K2440" s="57"/>
      <c r="L2440" s="31"/>
      <c r="M2440" s="31"/>
      <c r="N2440" s="31"/>
      <c r="O2440" s="31"/>
      <c r="S2440" s="57"/>
      <c r="X2440" s="57"/>
    </row>
    <row r="2441" spans="1:24" hidden="1" x14ac:dyDescent="0.35">
      <c r="A2441">
        <v>2437</v>
      </c>
      <c r="B2441">
        <v>2438</v>
      </c>
      <c r="C2441">
        <v>146.088242965999</v>
      </c>
      <c r="D2441">
        <v>-17.660676624800001</v>
      </c>
      <c r="G2441" s="92"/>
      <c r="I2441">
        <v>8</v>
      </c>
      <c r="J2441" t="s">
        <v>26</v>
      </c>
      <c r="K2441" s="57"/>
      <c r="L2441" s="31"/>
      <c r="M2441" s="31"/>
      <c r="N2441" s="31"/>
      <c r="O2441" s="31"/>
      <c r="S2441" s="57"/>
      <c r="X2441" s="57"/>
    </row>
    <row r="2442" spans="1:24" hidden="1" x14ac:dyDescent="0.35">
      <c r="A2442">
        <v>2438</v>
      </c>
      <c r="B2442">
        <v>2439</v>
      </c>
      <c r="C2442">
        <v>146.08823251000001</v>
      </c>
      <c r="D2442">
        <v>-17.6605916088999</v>
      </c>
      <c r="G2442" s="92"/>
      <c r="I2442">
        <v>8</v>
      </c>
      <c r="J2442" t="s">
        <v>26</v>
      </c>
      <c r="K2442" s="57"/>
      <c r="L2442" s="31"/>
      <c r="M2442" s="31"/>
      <c r="N2442" s="31"/>
      <c r="O2442" s="31"/>
      <c r="S2442" s="57"/>
      <c r="X2442" s="57"/>
    </row>
    <row r="2443" spans="1:24" hidden="1" x14ac:dyDescent="0.35">
      <c r="A2443">
        <v>2439</v>
      </c>
      <c r="B2443">
        <v>2440</v>
      </c>
      <c r="C2443">
        <v>146.08822404399899</v>
      </c>
      <c r="D2443">
        <v>-17.6605064214999</v>
      </c>
      <c r="G2443" s="92"/>
      <c r="I2443">
        <v>8</v>
      </c>
      <c r="J2443" t="s">
        <v>26</v>
      </c>
      <c r="K2443" s="57"/>
      <c r="L2443" s="31"/>
      <c r="M2443" s="31"/>
      <c r="N2443" s="31"/>
      <c r="O2443" s="31"/>
      <c r="S2443" s="57"/>
      <c r="X2443" s="57"/>
    </row>
    <row r="2444" spans="1:24" hidden="1" x14ac:dyDescent="0.35">
      <c r="A2444">
        <v>2440</v>
      </c>
      <c r="B2444">
        <v>2441</v>
      </c>
      <c r="C2444">
        <v>146.08821833100001</v>
      </c>
      <c r="D2444">
        <v>-17.660420996900001</v>
      </c>
      <c r="G2444" s="92"/>
      <c r="I2444">
        <v>8</v>
      </c>
      <c r="J2444" t="s">
        <v>26</v>
      </c>
      <c r="K2444" s="57"/>
      <c r="L2444" s="31"/>
      <c r="M2444" s="31"/>
      <c r="N2444" s="31"/>
      <c r="O2444" s="31"/>
      <c r="S2444" s="57"/>
      <c r="X2444" s="57"/>
    </row>
    <row r="2445" spans="1:24" hidden="1" x14ac:dyDescent="0.35">
      <c r="A2445">
        <v>2441</v>
      </c>
      <c r="B2445">
        <v>2442</v>
      </c>
      <c r="C2445">
        <v>146.08821261700001</v>
      </c>
      <c r="D2445">
        <v>-17.6603355722999</v>
      </c>
      <c r="G2445" s="92"/>
      <c r="I2445">
        <v>8</v>
      </c>
      <c r="J2445" t="s">
        <v>26</v>
      </c>
      <c r="K2445" s="57"/>
      <c r="L2445" s="31"/>
      <c r="M2445" s="31"/>
      <c r="N2445" s="31"/>
      <c r="O2445" s="31"/>
      <c r="S2445" s="57"/>
      <c r="X2445" s="57"/>
    </row>
    <row r="2446" spans="1:24" hidden="1" x14ac:dyDescent="0.35">
      <c r="A2446">
        <v>2442</v>
      </c>
      <c r="B2446">
        <v>2443</v>
      </c>
      <c r="C2446">
        <v>146.088206904</v>
      </c>
      <c r="D2446">
        <v>-17.6602501475999</v>
      </c>
      <c r="G2446" s="92"/>
      <c r="I2446">
        <v>8</v>
      </c>
      <c r="J2446" t="s">
        <v>26</v>
      </c>
      <c r="K2446" s="57"/>
      <c r="L2446" s="31"/>
      <c r="M2446" s="31"/>
      <c r="N2446" s="31"/>
      <c r="O2446" s="31"/>
      <c r="S2446" s="57"/>
      <c r="X2446" s="57"/>
    </row>
    <row r="2447" spans="1:24" hidden="1" x14ac:dyDescent="0.35">
      <c r="A2447">
        <v>2443</v>
      </c>
      <c r="B2447">
        <v>2444</v>
      </c>
      <c r="C2447">
        <v>146.088201190999</v>
      </c>
      <c r="D2447">
        <v>-17.6601647228999</v>
      </c>
      <c r="G2447" s="92"/>
      <c r="I2447">
        <v>8</v>
      </c>
      <c r="J2447" t="s">
        <v>26</v>
      </c>
      <c r="K2447" s="57"/>
      <c r="L2447" s="31"/>
      <c r="M2447" s="31"/>
      <c r="N2447" s="31"/>
      <c r="O2447" s="31"/>
      <c r="S2447" s="57"/>
      <c r="X2447" s="57"/>
    </row>
    <row r="2448" spans="1:24" hidden="1" x14ac:dyDescent="0.35">
      <c r="A2448">
        <v>2444</v>
      </c>
      <c r="B2448">
        <v>2445</v>
      </c>
      <c r="C2448">
        <v>146.088188148999</v>
      </c>
      <c r="D2448">
        <v>-17.660080215200001</v>
      </c>
      <c r="G2448" s="92"/>
      <c r="I2448">
        <v>8</v>
      </c>
      <c r="J2448" t="s">
        <v>26</v>
      </c>
      <c r="K2448" s="57"/>
      <c r="L2448" s="31"/>
      <c r="M2448" s="31"/>
      <c r="N2448" s="31"/>
      <c r="O2448" s="31"/>
      <c r="S2448" s="57"/>
      <c r="X2448" s="57"/>
    </row>
    <row r="2449" spans="1:24" hidden="1" x14ac:dyDescent="0.35">
      <c r="A2449">
        <v>2445</v>
      </c>
      <c r="B2449">
        <v>2446</v>
      </c>
      <c r="C2449">
        <v>146.088170523999</v>
      </c>
      <c r="D2449">
        <v>-17.659996280800002</v>
      </c>
      <c r="G2449" s="92"/>
      <c r="I2449">
        <v>8</v>
      </c>
      <c r="J2449" t="s">
        <v>26</v>
      </c>
      <c r="K2449" s="57"/>
      <c r="L2449" s="31"/>
      <c r="M2449" s="31"/>
      <c r="N2449" s="31"/>
      <c r="O2449" s="31"/>
      <c r="S2449" s="57"/>
      <c r="X2449" s="57"/>
    </row>
    <row r="2450" spans="1:24" hidden="1" x14ac:dyDescent="0.35">
      <c r="A2450">
        <v>2446</v>
      </c>
      <c r="B2450">
        <v>2447</v>
      </c>
      <c r="C2450">
        <v>146.088152898999</v>
      </c>
      <c r="D2450">
        <v>-17.659912346399899</v>
      </c>
      <c r="G2450" s="92"/>
      <c r="I2450">
        <v>8</v>
      </c>
      <c r="J2450" t="s">
        <v>26</v>
      </c>
      <c r="K2450" s="57"/>
      <c r="L2450" s="31"/>
      <c r="M2450" s="31"/>
      <c r="N2450" s="31"/>
      <c r="O2450" s="31"/>
      <c r="S2450" s="57"/>
      <c r="X2450" s="57"/>
    </row>
    <row r="2451" spans="1:24" hidden="1" x14ac:dyDescent="0.35">
      <c r="A2451">
        <v>2447</v>
      </c>
      <c r="B2451">
        <v>2448</v>
      </c>
      <c r="C2451">
        <v>146.088135273999</v>
      </c>
      <c r="D2451">
        <v>-17.659828412</v>
      </c>
      <c r="G2451" s="92"/>
      <c r="I2451">
        <v>8</v>
      </c>
      <c r="J2451" t="s">
        <v>26</v>
      </c>
      <c r="K2451" s="57"/>
      <c r="L2451" s="31"/>
      <c r="M2451" s="31"/>
      <c r="N2451" s="31"/>
      <c r="O2451" s="31"/>
      <c r="S2451" s="57"/>
      <c r="X2451" s="57"/>
    </row>
    <row r="2452" spans="1:24" hidden="1" x14ac:dyDescent="0.35">
      <c r="A2452">
        <v>2448</v>
      </c>
      <c r="B2452">
        <v>2449</v>
      </c>
      <c r="C2452">
        <v>146.088117648999</v>
      </c>
      <c r="D2452">
        <v>-17.659744477499899</v>
      </c>
      <c r="G2452" s="92"/>
      <c r="I2452">
        <v>8</v>
      </c>
      <c r="J2452" t="s">
        <v>26</v>
      </c>
      <c r="K2452" s="57"/>
      <c r="L2452" s="31"/>
      <c r="M2452" s="31"/>
      <c r="N2452" s="31"/>
      <c r="O2452" s="31"/>
      <c r="S2452" s="57"/>
      <c r="X2452" s="57"/>
    </row>
    <row r="2453" spans="1:24" hidden="1" x14ac:dyDescent="0.35">
      <c r="A2453">
        <v>2449</v>
      </c>
      <c r="B2453">
        <v>2450</v>
      </c>
      <c r="C2453">
        <v>146.088102359</v>
      </c>
      <c r="D2453">
        <v>-17.659660198200001</v>
      </c>
      <c r="G2453" s="92"/>
      <c r="I2453">
        <v>8</v>
      </c>
      <c r="J2453" t="s">
        <v>26</v>
      </c>
      <c r="K2453" s="57"/>
      <c r="L2453" s="31"/>
      <c r="M2453" s="31"/>
      <c r="N2453" s="31"/>
      <c r="O2453" s="31"/>
      <c r="S2453" s="57"/>
      <c r="X2453" s="57"/>
    </row>
    <row r="2454" spans="1:24" hidden="1" x14ac:dyDescent="0.35">
      <c r="A2454">
        <v>2450</v>
      </c>
      <c r="B2454">
        <v>2451</v>
      </c>
      <c r="C2454">
        <v>146.088092504</v>
      </c>
      <c r="D2454">
        <v>-17.659575116700001</v>
      </c>
      <c r="G2454" s="92"/>
      <c r="I2454">
        <v>8</v>
      </c>
      <c r="J2454" t="s">
        <v>26</v>
      </c>
      <c r="K2454" s="57"/>
      <c r="L2454" s="31"/>
      <c r="M2454" s="31"/>
      <c r="N2454" s="31"/>
      <c r="O2454" s="31"/>
      <c r="S2454" s="57"/>
      <c r="X2454" s="57"/>
    </row>
    <row r="2455" spans="1:24" hidden="1" x14ac:dyDescent="0.35">
      <c r="A2455">
        <v>2451</v>
      </c>
      <c r="B2455">
        <v>2452</v>
      </c>
      <c r="C2455">
        <v>146.08808264800001</v>
      </c>
      <c r="D2455">
        <v>-17.6594900350999</v>
      </c>
      <c r="G2455" s="92"/>
      <c r="I2455">
        <v>8</v>
      </c>
      <c r="J2455" t="s">
        <v>26</v>
      </c>
      <c r="K2455" s="57"/>
      <c r="L2455" s="31"/>
      <c r="M2455" s="31"/>
      <c r="N2455" s="31"/>
      <c r="O2455" s="31"/>
      <c r="S2455" s="57"/>
      <c r="X2455" s="57"/>
    </row>
    <row r="2456" spans="1:24" hidden="1" x14ac:dyDescent="0.35">
      <c r="A2456">
        <v>2452</v>
      </c>
      <c r="B2456">
        <v>2453</v>
      </c>
      <c r="C2456">
        <v>146.08807279300001</v>
      </c>
      <c r="D2456">
        <v>-17.6594049533999</v>
      </c>
      <c r="G2456" s="92"/>
      <c r="I2456">
        <v>8</v>
      </c>
      <c r="J2456" t="s">
        <v>26</v>
      </c>
      <c r="K2456" s="57"/>
      <c r="L2456" s="31"/>
      <c r="M2456" s="31"/>
      <c r="N2456" s="31"/>
      <c r="O2456" s="31"/>
      <c r="S2456" s="57"/>
      <c r="X2456" s="57"/>
    </row>
    <row r="2457" spans="1:24" hidden="1" x14ac:dyDescent="0.35">
      <c r="A2457">
        <v>2453</v>
      </c>
      <c r="B2457">
        <v>2454</v>
      </c>
      <c r="C2457">
        <v>146.08806293699899</v>
      </c>
      <c r="D2457">
        <v>-17.659319871800001</v>
      </c>
      <c r="G2457" s="92"/>
      <c r="I2457">
        <v>8</v>
      </c>
      <c r="J2457" t="s">
        <v>26</v>
      </c>
      <c r="K2457" s="57"/>
      <c r="L2457" s="31"/>
      <c r="M2457" s="31"/>
      <c r="N2457" s="31"/>
      <c r="O2457" s="31"/>
      <c r="S2457" s="57"/>
      <c r="X2457" s="57"/>
    </row>
    <row r="2458" spans="1:24" hidden="1" x14ac:dyDescent="0.35">
      <c r="A2458">
        <v>2454</v>
      </c>
      <c r="B2458">
        <v>2455</v>
      </c>
      <c r="C2458">
        <v>146.08805308199899</v>
      </c>
      <c r="D2458">
        <v>-17.6592347899999</v>
      </c>
      <c r="G2458" s="92"/>
      <c r="I2458">
        <v>8</v>
      </c>
      <c r="J2458" t="s">
        <v>26</v>
      </c>
      <c r="K2458" s="57"/>
      <c r="L2458" s="31"/>
      <c r="M2458" s="31"/>
      <c r="N2458" s="31"/>
      <c r="O2458" s="31"/>
      <c r="S2458" s="57"/>
      <c r="X2458" s="57"/>
    </row>
    <row r="2459" spans="1:24" hidden="1" x14ac:dyDescent="0.35">
      <c r="A2459">
        <v>2455</v>
      </c>
      <c r="B2459">
        <v>2456</v>
      </c>
      <c r="C2459">
        <v>146.08804076000001</v>
      </c>
      <c r="D2459">
        <v>-17.659150026700001</v>
      </c>
      <c r="G2459" s="92"/>
      <c r="I2459">
        <v>8</v>
      </c>
      <c r="J2459" t="s">
        <v>26</v>
      </c>
      <c r="K2459" s="57"/>
      <c r="L2459" s="31"/>
      <c r="M2459" s="31"/>
      <c r="N2459" s="31"/>
      <c r="O2459" s="31"/>
      <c r="S2459" s="57"/>
      <c r="X2459" s="57"/>
    </row>
    <row r="2460" spans="1:24" hidden="1" x14ac:dyDescent="0.35">
      <c r="A2460">
        <v>2456</v>
      </c>
      <c r="B2460">
        <v>2457</v>
      </c>
      <c r="C2460">
        <v>146.08802650499899</v>
      </c>
      <c r="D2460">
        <v>-17.659065512800002</v>
      </c>
      <c r="G2460" s="92"/>
      <c r="I2460">
        <v>8</v>
      </c>
      <c r="J2460" t="s">
        <v>26</v>
      </c>
      <c r="K2460" s="57"/>
      <c r="L2460" s="31"/>
      <c r="M2460" s="31"/>
      <c r="N2460" s="31"/>
      <c r="O2460" s="31"/>
      <c r="S2460" s="57"/>
      <c r="X2460" s="57"/>
    </row>
    <row r="2461" spans="1:24" hidden="1" x14ac:dyDescent="0.35">
      <c r="A2461">
        <v>2457</v>
      </c>
      <c r="B2461">
        <v>2458</v>
      </c>
      <c r="C2461">
        <v>146.088012249</v>
      </c>
      <c r="D2461">
        <v>-17.658980998899899</v>
      </c>
      <c r="G2461" s="92"/>
      <c r="I2461">
        <v>8</v>
      </c>
      <c r="J2461" t="s">
        <v>26</v>
      </c>
      <c r="K2461" s="57"/>
      <c r="L2461" s="31"/>
      <c r="M2461" s="31"/>
      <c r="N2461" s="31"/>
      <c r="O2461" s="31"/>
      <c r="S2461" s="57"/>
      <c r="X2461" s="57"/>
    </row>
    <row r="2462" spans="1:24" hidden="1" x14ac:dyDescent="0.35">
      <c r="A2462">
        <v>2458</v>
      </c>
      <c r="B2462">
        <v>2459</v>
      </c>
      <c r="C2462">
        <v>146.08799799400001</v>
      </c>
      <c r="D2462">
        <v>-17.658896485</v>
      </c>
      <c r="G2462" s="92"/>
      <c r="I2462">
        <v>8</v>
      </c>
      <c r="J2462" t="s">
        <v>26</v>
      </c>
      <c r="K2462" s="57"/>
      <c r="L2462" s="31"/>
      <c r="M2462" s="31"/>
      <c r="N2462" s="31"/>
      <c r="O2462" s="31"/>
      <c r="S2462" s="57"/>
      <c r="X2462" s="57"/>
    </row>
    <row r="2463" spans="1:24" hidden="1" x14ac:dyDescent="0.35">
      <c r="A2463">
        <v>2459</v>
      </c>
      <c r="B2463">
        <v>2460</v>
      </c>
      <c r="C2463">
        <v>146.08798373900001</v>
      </c>
      <c r="D2463">
        <v>-17.658811970999899</v>
      </c>
      <c r="G2463" s="92"/>
      <c r="I2463">
        <v>8</v>
      </c>
      <c r="J2463" t="s">
        <v>26</v>
      </c>
      <c r="K2463" s="57"/>
      <c r="L2463" s="31"/>
      <c r="M2463" s="31"/>
      <c r="N2463" s="31"/>
      <c r="O2463" s="31"/>
      <c r="S2463" s="57"/>
      <c r="X2463" s="57"/>
    </row>
    <row r="2464" spans="1:24" hidden="1" x14ac:dyDescent="0.35">
      <c r="A2464">
        <v>2460</v>
      </c>
      <c r="B2464">
        <v>2461</v>
      </c>
      <c r="C2464">
        <v>146.08796948400001</v>
      </c>
      <c r="D2464">
        <v>-17.6587274568999</v>
      </c>
      <c r="G2464" s="92"/>
      <c r="I2464">
        <v>8</v>
      </c>
      <c r="J2464" t="s">
        <v>26</v>
      </c>
      <c r="K2464" s="57"/>
      <c r="L2464" s="31"/>
      <c r="M2464" s="31"/>
      <c r="N2464" s="31"/>
      <c r="O2464" s="31"/>
      <c r="S2464" s="57"/>
      <c r="X2464" s="57"/>
    </row>
    <row r="2465" spans="1:24" hidden="1" x14ac:dyDescent="0.35">
      <c r="A2465">
        <v>2461</v>
      </c>
      <c r="B2465">
        <v>2462</v>
      </c>
      <c r="C2465">
        <v>146.08795522899899</v>
      </c>
      <c r="D2465">
        <v>-17.6586429428</v>
      </c>
      <c r="G2465" s="92"/>
      <c r="I2465">
        <v>8</v>
      </c>
      <c r="J2465" t="s">
        <v>26</v>
      </c>
      <c r="K2465" s="57"/>
      <c r="L2465" s="31"/>
      <c r="M2465" s="31"/>
      <c r="N2465" s="31"/>
      <c r="O2465" s="31"/>
      <c r="S2465" s="57"/>
      <c r="X2465" s="57"/>
    </row>
    <row r="2466" spans="1:24" hidden="1" x14ac:dyDescent="0.35">
      <c r="A2466">
        <v>2462</v>
      </c>
      <c r="B2466">
        <v>2463</v>
      </c>
      <c r="C2466">
        <v>146.087940973999</v>
      </c>
      <c r="D2466">
        <v>-17.6585584285999</v>
      </c>
      <c r="G2466" s="92"/>
      <c r="I2466">
        <v>8</v>
      </c>
      <c r="J2466" t="s">
        <v>26</v>
      </c>
      <c r="K2466" s="57"/>
      <c r="L2466" s="31"/>
      <c r="M2466" s="31"/>
      <c r="N2466" s="31"/>
      <c r="O2466" s="31"/>
      <c r="S2466" s="57"/>
      <c r="X2466" s="57"/>
    </row>
    <row r="2467" spans="1:24" hidden="1" x14ac:dyDescent="0.35">
      <c r="A2467">
        <v>2463</v>
      </c>
      <c r="B2467">
        <v>2464</v>
      </c>
      <c r="C2467">
        <v>146.087926718999</v>
      </c>
      <c r="D2467">
        <v>-17.6584739145</v>
      </c>
      <c r="G2467" s="92"/>
      <c r="I2467">
        <v>8</v>
      </c>
      <c r="J2467" t="s">
        <v>26</v>
      </c>
      <c r="K2467" s="57"/>
      <c r="L2467" s="31"/>
      <c r="M2467" s="31"/>
      <c r="N2467" s="31"/>
      <c r="O2467" s="31"/>
      <c r="S2467" s="57"/>
      <c r="X2467" s="57"/>
    </row>
    <row r="2468" spans="1:24" hidden="1" x14ac:dyDescent="0.35">
      <c r="A2468">
        <v>2464</v>
      </c>
      <c r="B2468">
        <v>2465</v>
      </c>
      <c r="C2468">
        <v>146.087912463999</v>
      </c>
      <c r="D2468">
        <v>-17.658389400200001</v>
      </c>
      <c r="G2468" s="92"/>
      <c r="I2468">
        <v>8</v>
      </c>
      <c r="J2468" t="s">
        <v>26</v>
      </c>
      <c r="K2468" s="57"/>
      <c r="L2468" s="31"/>
      <c r="M2468" s="31"/>
      <c r="N2468" s="31"/>
      <c r="O2468" s="31"/>
      <c r="S2468" s="57"/>
      <c r="X2468" s="57"/>
    </row>
    <row r="2469" spans="1:24" hidden="1" x14ac:dyDescent="0.35">
      <c r="A2469">
        <v>2465</v>
      </c>
      <c r="B2469">
        <v>2466</v>
      </c>
      <c r="C2469">
        <v>146.087898330999</v>
      </c>
      <c r="D2469">
        <v>-17.658304880300001</v>
      </c>
      <c r="G2469" s="92"/>
      <c r="I2469">
        <v>8</v>
      </c>
      <c r="J2469" t="s">
        <v>26</v>
      </c>
      <c r="K2469" s="57"/>
      <c r="L2469" s="31"/>
      <c r="M2469" s="31"/>
      <c r="N2469" s="31"/>
      <c r="O2469" s="31"/>
      <c r="S2469" s="57"/>
      <c r="X2469" s="57"/>
    </row>
    <row r="2470" spans="1:24" hidden="1" x14ac:dyDescent="0.35">
      <c r="A2470">
        <v>2466</v>
      </c>
      <c r="B2470">
        <v>2467</v>
      </c>
      <c r="C2470">
        <v>146.087903793999</v>
      </c>
      <c r="D2470">
        <v>-17.6582194398</v>
      </c>
      <c r="G2470" s="92"/>
      <c r="I2470">
        <v>8</v>
      </c>
      <c r="J2470" t="s">
        <v>26</v>
      </c>
      <c r="K2470" s="57"/>
      <c r="L2470" s="31"/>
      <c r="M2470" s="31"/>
      <c r="N2470" s="31"/>
      <c r="O2470" s="31"/>
      <c r="S2470" s="57"/>
      <c r="X2470" s="57"/>
    </row>
    <row r="2471" spans="1:24" hidden="1" x14ac:dyDescent="0.35">
      <c r="A2471">
        <v>2467</v>
      </c>
      <c r="B2471">
        <v>2468</v>
      </c>
      <c r="C2471">
        <v>146.08790925599899</v>
      </c>
      <c r="D2471">
        <v>-17.6581339992</v>
      </c>
      <c r="G2471" s="92"/>
      <c r="I2471">
        <v>8</v>
      </c>
      <c r="J2471" t="s">
        <v>26</v>
      </c>
      <c r="K2471" s="57"/>
      <c r="L2471" s="31"/>
      <c r="M2471" s="31"/>
      <c r="N2471" s="31"/>
      <c r="O2471" s="31"/>
      <c r="S2471" s="57"/>
      <c r="X2471" s="57"/>
    </row>
    <row r="2472" spans="1:24" hidden="1" x14ac:dyDescent="0.35">
      <c r="A2472">
        <v>2468</v>
      </c>
      <c r="B2472">
        <v>2469</v>
      </c>
      <c r="C2472">
        <v>146.087914718999</v>
      </c>
      <c r="D2472">
        <v>-17.658048558600001</v>
      </c>
      <c r="G2472" s="92"/>
      <c r="I2472">
        <v>8</v>
      </c>
      <c r="J2472" t="s">
        <v>26</v>
      </c>
      <c r="K2472" s="57"/>
      <c r="L2472" s="31"/>
      <c r="M2472" s="31"/>
      <c r="N2472" s="31"/>
      <c r="O2472" s="31"/>
      <c r="S2472" s="57"/>
      <c r="X2472" s="57"/>
    </row>
    <row r="2473" spans="1:24" hidden="1" x14ac:dyDescent="0.35">
      <c r="A2473">
        <v>2469</v>
      </c>
      <c r="B2473">
        <v>2470</v>
      </c>
      <c r="C2473">
        <v>146.08786787400001</v>
      </c>
      <c r="D2473">
        <v>-17.658107953399899</v>
      </c>
      <c r="G2473" s="92"/>
      <c r="I2473">
        <v>8</v>
      </c>
      <c r="J2473" t="s">
        <v>26</v>
      </c>
      <c r="K2473" s="57"/>
      <c r="L2473" s="31"/>
      <c r="M2473" s="31"/>
      <c r="N2473" s="31"/>
      <c r="O2473" s="31"/>
      <c r="S2473" s="57"/>
      <c r="X2473" s="57"/>
    </row>
    <row r="2474" spans="1:24" hidden="1" x14ac:dyDescent="0.35">
      <c r="A2474">
        <v>2470</v>
      </c>
      <c r="B2474">
        <v>2471</v>
      </c>
      <c r="C2474">
        <v>146.087823229999</v>
      </c>
      <c r="D2474">
        <v>-17.6581808004</v>
      </c>
      <c r="G2474" s="92"/>
      <c r="I2474">
        <v>8</v>
      </c>
      <c r="J2474" t="s">
        <v>26</v>
      </c>
      <c r="K2474" s="57"/>
      <c r="L2474" s="31"/>
      <c r="M2474" s="31"/>
      <c r="N2474" s="31"/>
      <c r="O2474" s="31"/>
      <c r="S2474" s="57"/>
      <c r="X2474" s="57"/>
    </row>
    <row r="2475" spans="1:24" hidden="1" x14ac:dyDescent="0.35">
      <c r="A2475">
        <v>2471</v>
      </c>
      <c r="B2475">
        <v>2472</v>
      </c>
      <c r="C2475">
        <v>146.08781100100001</v>
      </c>
      <c r="D2475">
        <v>-17.658265602499899</v>
      </c>
      <c r="G2475" s="92"/>
      <c r="I2475">
        <v>8</v>
      </c>
      <c r="J2475" t="s">
        <v>26</v>
      </c>
      <c r="K2475" s="57"/>
      <c r="L2475" s="31"/>
      <c r="M2475" s="31"/>
      <c r="N2475" s="31"/>
      <c r="O2475" s="31"/>
      <c r="S2475" s="57"/>
      <c r="X2475" s="57"/>
    </row>
    <row r="2476" spans="1:24" hidden="1" x14ac:dyDescent="0.35">
      <c r="A2476">
        <v>2472</v>
      </c>
      <c r="B2476">
        <v>2473</v>
      </c>
      <c r="C2476">
        <v>146.08779877200001</v>
      </c>
      <c r="D2476">
        <v>-17.658350404499899</v>
      </c>
      <c r="G2476" s="92"/>
      <c r="I2476">
        <v>8</v>
      </c>
      <c r="J2476" t="s">
        <v>26</v>
      </c>
      <c r="K2476" s="57"/>
      <c r="L2476" s="31"/>
      <c r="M2476" s="31"/>
      <c r="N2476" s="31"/>
      <c r="O2476" s="31"/>
      <c r="S2476" s="57"/>
      <c r="X2476" s="57"/>
    </row>
    <row r="2477" spans="1:24" hidden="1" x14ac:dyDescent="0.35">
      <c r="A2477">
        <v>2473</v>
      </c>
      <c r="B2477">
        <v>2474</v>
      </c>
      <c r="C2477">
        <v>146.087786407999</v>
      </c>
      <c r="D2477">
        <v>-17.658296413199899</v>
      </c>
      <c r="G2477" s="92"/>
      <c r="I2477">
        <v>8</v>
      </c>
      <c r="J2477" t="s">
        <v>26</v>
      </c>
      <c r="K2477" s="57"/>
      <c r="L2477" s="31"/>
      <c r="M2477" s="31"/>
      <c r="N2477" s="31"/>
      <c r="O2477" s="31"/>
      <c r="S2477" s="57"/>
      <c r="X2477" s="57"/>
    </row>
    <row r="2478" spans="1:24" hidden="1" x14ac:dyDescent="0.35">
      <c r="A2478">
        <v>2474</v>
      </c>
      <c r="B2478">
        <v>2475</v>
      </c>
      <c r="C2478">
        <v>146.087788119999</v>
      </c>
      <c r="D2478">
        <v>-17.6582115004</v>
      </c>
      <c r="G2478" s="92"/>
      <c r="I2478">
        <v>8</v>
      </c>
      <c r="J2478" t="s">
        <v>26</v>
      </c>
      <c r="K2478" s="57"/>
      <c r="L2478" s="31"/>
      <c r="M2478" s="31"/>
      <c r="N2478" s="31"/>
      <c r="O2478" s="31"/>
      <c r="S2478" s="57"/>
      <c r="X2478" s="57"/>
    </row>
    <row r="2479" spans="1:24" hidden="1" x14ac:dyDescent="0.35">
      <c r="A2479">
        <v>2475</v>
      </c>
      <c r="B2479">
        <v>2476</v>
      </c>
      <c r="C2479">
        <v>146.08779875900001</v>
      </c>
      <c r="D2479">
        <v>-17.658126503799899</v>
      </c>
      <c r="G2479" s="92"/>
      <c r="I2479">
        <v>8</v>
      </c>
      <c r="J2479" t="s">
        <v>26</v>
      </c>
      <c r="K2479" s="57"/>
      <c r="L2479" s="31"/>
      <c r="M2479" s="31"/>
      <c r="N2479" s="31"/>
      <c r="O2479" s="31"/>
      <c r="S2479" s="57"/>
      <c r="X2479" s="57"/>
    </row>
    <row r="2480" spans="1:24" hidden="1" x14ac:dyDescent="0.35">
      <c r="A2480">
        <v>2476</v>
      </c>
      <c r="B2480">
        <v>2477</v>
      </c>
      <c r="C2480">
        <v>146.087809397</v>
      </c>
      <c r="D2480">
        <v>-17.6580415072</v>
      </c>
      <c r="G2480" s="92"/>
      <c r="I2480">
        <v>8</v>
      </c>
      <c r="J2480" t="s">
        <v>26</v>
      </c>
      <c r="K2480" s="57"/>
      <c r="L2480" s="31"/>
      <c r="M2480" s="31"/>
      <c r="N2480" s="31"/>
      <c r="O2480" s="31"/>
      <c r="S2480" s="57"/>
      <c r="X2480" s="57"/>
    </row>
    <row r="2481" spans="1:24" hidden="1" x14ac:dyDescent="0.35">
      <c r="A2481">
        <v>2477</v>
      </c>
      <c r="B2481">
        <v>2478</v>
      </c>
      <c r="C2481">
        <v>146.087820034999</v>
      </c>
      <c r="D2481">
        <v>-17.6579565105</v>
      </c>
      <c r="G2481" s="92"/>
      <c r="I2481">
        <v>8</v>
      </c>
      <c r="J2481" t="s">
        <v>26</v>
      </c>
      <c r="K2481" s="57"/>
      <c r="L2481" s="31"/>
      <c r="M2481" s="31"/>
      <c r="N2481" s="31"/>
      <c r="O2481" s="31"/>
      <c r="S2481" s="57"/>
      <c r="X2481" s="57"/>
    </row>
    <row r="2482" spans="1:24" hidden="1" x14ac:dyDescent="0.35">
      <c r="A2482">
        <v>2478</v>
      </c>
      <c r="B2482">
        <v>2479</v>
      </c>
      <c r="C2482">
        <v>146.08783067300001</v>
      </c>
      <c r="D2482">
        <v>-17.657871513700002</v>
      </c>
      <c r="G2482" s="92"/>
      <c r="I2482">
        <v>8</v>
      </c>
      <c r="J2482" t="s">
        <v>26</v>
      </c>
      <c r="K2482" s="57"/>
      <c r="L2482" s="31"/>
      <c r="M2482" s="31"/>
      <c r="N2482" s="31"/>
      <c r="O2482" s="31"/>
      <c r="S2482" s="57"/>
      <c r="X2482" s="57"/>
    </row>
    <row r="2483" spans="1:24" hidden="1" x14ac:dyDescent="0.35">
      <c r="A2483">
        <v>2479</v>
      </c>
      <c r="B2483">
        <v>2480</v>
      </c>
      <c r="C2483">
        <v>146.08784131100001</v>
      </c>
      <c r="D2483">
        <v>-17.657786517000002</v>
      </c>
      <c r="G2483" s="92"/>
      <c r="I2483">
        <v>8</v>
      </c>
      <c r="J2483" t="s">
        <v>26</v>
      </c>
      <c r="K2483" s="57"/>
      <c r="L2483" s="31"/>
      <c r="M2483" s="31"/>
      <c r="N2483" s="31"/>
      <c r="O2483" s="31"/>
      <c r="S2483" s="57"/>
      <c r="X2483" s="57"/>
    </row>
    <row r="2484" spans="1:24" hidden="1" x14ac:dyDescent="0.35">
      <c r="A2484">
        <v>2480</v>
      </c>
      <c r="B2484">
        <v>2481</v>
      </c>
      <c r="C2484">
        <v>146.087851948999</v>
      </c>
      <c r="D2484">
        <v>-17.657701520100002</v>
      </c>
      <c r="G2484" s="92"/>
      <c r="I2484">
        <v>8</v>
      </c>
      <c r="J2484" t="s">
        <v>26</v>
      </c>
      <c r="K2484" s="57"/>
      <c r="L2484" s="31"/>
      <c r="M2484" s="31"/>
      <c r="N2484" s="31"/>
      <c r="O2484" s="31"/>
      <c r="S2484" s="57"/>
      <c r="X2484" s="57"/>
    </row>
    <row r="2485" spans="1:24" hidden="1" x14ac:dyDescent="0.35">
      <c r="A2485">
        <v>2481</v>
      </c>
      <c r="B2485">
        <v>2482</v>
      </c>
      <c r="C2485">
        <v>146.08786258699899</v>
      </c>
      <c r="D2485">
        <v>-17.6576165233</v>
      </c>
      <c r="G2485" s="92"/>
      <c r="I2485">
        <v>8</v>
      </c>
      <c r="J2485" t="s">
        <v>26</v>
      </c>
      <c r="K2485" s="57"/>
      <c r="L2485" s="31"/>
      <c r="M2485" s="31"/>
      <c r="N2485" s="31"/>
      <c r="O2485" s="31"/>
      <c r="S2485" s="57"/>
      <c r="X2485" s="57"/>
    </row>
    <row r="2486" spans="1:24" hidden="1" x14ac:dyDescent="0.35">
      <c r="A2486">
        <v>2482</v>
      </c>
      <c r="B2486">
        <v>2483</v>
      </c>
      <c r="C2486">
        <v>146.08787368500001</v>
      </c>
      <c r="D2486">
        <v>-17.6575315838999</v>
      </c>
      <c r="G2486" s="92"/>
      <c r="I2486">
        <v>8</v>
      </c>
      <c r="J2486" t="s">
        <v>26</v>
      </c>
      <c r="K2486" s="57"/>
      <c r="L2486" s="31"/>
      <c r="M2486" s="31"/>
      <c r="N2486" s="31"/>
      <c r="O2486" s="31"/>
      <c r="S2486" s="57"/>
      <c r="X2486" s="57"/>
    </row>
    <row r="2487" spans="1:24" hidden="1" x14ac:dyDescent="0.35">
      <c r="A2487">
        <v>2483</v>
      </c>
      <c r="B2487">
        <v>2484</v>
      </c>
      <c r="C2487">
        <v>146.08788644200001</v>
      </c>
      <c r="D2487">
        <v>-17.657446852100001</v>
      </c>
      <c r="G2487" s="92"/>
      <c r="I2487">
        <v>8</v>
      </c>
      <c r="J2487" t="s">
        <v>26</v>
      </c>
      <c r="K2487" s="57"/>
      <c r="L2487" s="31"/>
      <c r="M2487" s="31"/>
      <c r="N2487" s="31"/>
      <c r="O2487" s="31"/>
      <c r="S2487" s="57"/>
      <c r="X2487" s="57"/>
    </row>
    <row r="2488" spans="1:24" hidden="1" x14ac:dyDescent="0.35">
      <c r="A2488">
        <v>2484</v>
      </c>
      <c r="B2488">
        <v>2485</v>
      </c>
      <c r="C2488">
        <v>146.087899198999</v>
      </c>
      <c r="D2488">
        <v>-17.6573621203</v>
      </c>
      <c r="G2488" s="92"/>
      <c r="I2488">
        <v>8</v>
      </c>
      <c r="J2488" t="s">
        <v>26</v>
      </c>
      <c r="K2488" s="57"/>
      <c r="L2488" s="31"/>
      <c r="M2488" s="31"/>
      <c r="N2488" s="31"/>
      <c r="O2488" s="31"/>
      <c r="S2488" s="57"/>
      <c r="X2488" s="57"/>
    </row>
    <row r="2489" spans="1:24" hidden="1" x14ac:dyDescent="0.35">
      <c r="A2489">
        <v>2485</v>
      </c>
      <c r="B2489">
        <v>2486</v>
      </c>
      <c r="C2489">
        <v>146.08791195500001</v>
      </c>
      <c r="D2489">
        <v>-17.657277388400001</v>
      </c>
      <c r="G2489" s="92"/>
      <c r="I2489">
        <v>8</v>
      </c>
      <c r="J2489" t="s">
        <v>26</v>
      </c>
      <c r="K2489" s="57"/>
      <c r="L2489" s="31"/>
      <c r="M2489" s="31"/>
      <c r="N2489" s="31"/>
      <c r="O2489" s="31"/>
      <c r="S2489" s="57"/>
      <c r="X2489" s="57"/>
    </row>
    <row r="2490" spans="1:24" hidden="1" x14ac:dyDescent="0.35">
      <c r="A2490">
        <v>2486</v>
      </c>
      <c r="B2490">
        <v>2487</v>
      </c>
      <c r="C2490">
        <v>146.08792471199899</v>
      </c>
      <c r="D2490">
        <v>-17.657192656500001</v>
      </c>
      <c r="G2490" s="92"/>
      <c r="I2490">
        <v>8</v>
      </c>
      <c r="J2490" t="s">
        <v>26</v>
      </c>
      <c r="K2490" s="57"/>
      <c r="L2490" s="31"/>
      <c r="M2490" s="31"/>
      <c r="N2490" s="31"/>
      <c r="O2490" s="31"/>
      <c r="S2490" s="57"/>
      <c r="X2490" s="57"/>
    </row>
    <row r="2491" spans="1:24" hidden="1" x14ac:dyDescent="0.35">
      <c r="A2491">
        <v>2487</v>
      </c>
      <c r="B2491">
        <v>2488</v>
      </c>
      <c r="C2491">
        <v>146.087937468999</v>
      </c>
      <c r="D2491">
        <v>-17.657107924599899</v>
      </c>
      <c r="G2491" s="92"/>
      <c r="I2491">
        <v>8</v>
      </c>
      <c r="J2491" t="s">
        <v>26</v>
      </c>
      <c r="K2491" s="57"/>
      <c r="L2491" s="31"/>
      <c r="M2491" s="31"/>
      <c r="N2491" s="31"/>
      <c r="O2491" s="31"/>
      <c r="S2491" s="57"/>
      <c r="X2491" s="57"/>
    </row>
    <row r="2492" spans="1:24" hidden="1" x14ac:dyDescent="0.35">
      <c r="A2492">
        <v>2488</v>
      </c>
      <c r="B2492">
        <v>2489</v>
      </c>
      <c r="C2492">
        <v>146.08795022499899</v>
      </c>
      <c r="D2492">
        <v>-17.657023192600001</v>
      </c>
      <c r="G2492" s="92"/>
      <c r="I2492">
        <v>8</v>
      </c>
      <c r="J2492" t="s">
        <v>26</v>
      </c>
      <c r="K2492" s="57"/>
      <c r="L2492" s="31"/>
      <c r="M2492" s="31"/>
      <c r="N2492" s="31"/>
      <c r="O2492" s="31"/>
      <c r="S2492" s="57"/>
      <c r="X2492" s="57"/>
    </row>
    <row r="2493" spans="1:24" hidden="1" x14ac:dyDescent="0.35">
      <c r="A2493">
        <v>2489</v>
      </c>
      <c r="B2493">
        <v>2490</v>
      </c>
      <c r="C2493">
        <v>146.08796763999899</v>
      </c>
      <c r="D2493">
        <v>-17.6569395233</v>
      </c>
      <c r="G2493" s="92"/>
      <c r="I2493">
        <v>8</v>
      </c>
      <c r="J2493" t="s">
        <v>26</v>
      </c>
      <c r="K2493" s="57"/>
      <c r="L2493" s="31"/>
      <c r="M2493" s="31"/>
      <c r="N2493" s="31"/>
      <c r="O2493" s="31"/>
      <c r="S2493" s="57"/>
      <c r="X2493" s="57"/>
    </row>
    <row r="2494" spans="1:24" hidden="1" x14ac:dyDescent="0.35">
      <c r="A2494">
        <v>2490</v>
      </c>
      <c r="B2494">
        <v>2491</v>
      </c>
      <c r="C2494">
        <v>146.08799654000001</v>
      </c>
      <c r="D2494">
        <v>-17.6568584744</v>
      </c>
      <c r="G2494" s="92"/>
      <c r="I2494">
        <v>8</v>
      </c>
      <c r="J2494" t="s">
        <v>26</v>
      </c>
      <c r="K2494" s="57"/>
      <c r="L2494" s="31"/>
      <c r="M2494" s="31"/>
      <c r="N2494" s="31"/>
      <c r="O2494" s="31"/>
      <c r="S2494" s="57"/>
      <c r="X2494" s="57"/>
    </row>
    <row r="2495" spans="1:24" hidden="1" x14ac:dyDescent="0.35">
      <c r="A2495">
        <v>2491</v>
      </c>
      <c r="B2495">
        <v>2492</v>
      </c>
      <c r="C2495">
        <v>146.08802543900001</v>
      </c>
      <c r="D2495">
        <v>-17.6567774255</v>
      </c>
      <c r="G2495" s="92"/>
      <c r="I2495">
        <v>8</v>
      </c>
      <c r="J2495" t="s">
        <v>26</v>
      </c>
      <c r="K2495" s="57"/>
      <c r="L2495" s="31"/>
      <c r="M2495" s="31"/>
      <c r="N2495" s="31"/>
      <c r="O2495" s="31"/>
      <c r="S2495" s="57"/>
      <c r="X2495" s="57"/>
    </row>
    <row r="2496" spans="1:24" hidden="1" x14ac:dyDescent="0.35">
      <c r="A2496">
        <v>2492</v>
      </c>
      <c r="B2496">
        <v>2493</v>
      </c>
      <c r="C2496">
        <v>146.088054338999</v>
      </c>
      <c r="D2496">
        <v>-17.656696376500001</v>
      </c>
      <c r="G2496" s="92"/>
      <c r="I2496">
        <v>8</v>
      </c>
      <c r="J2496" t="s">
        <v>26</v>
      </c>
      <c r="K2496" s="57"/>
      <c r="L2496" s="31"/>
      <c r="M2496" s="31"/>
      <c r="N2496" s="31"/>
      <c r="O2496" s="31"/>
      <c r="S2496" s="57"/>
      <c r="X2496" s="57"/>
    </row>
    <row r="2497" spans="1:24" hidden="1" x14ac:dyDescent="0.35">
      <c r="A2497">
        <v>2493</v>
      </c>
      <c r="B2497">
        <v>2494</v>
      </c>
      <c r="C2497">
        <v>146.08808323900001</v>
      </c>
      <c r="D2497">
        <v>-17.6566153274999</v>
      </c>
      <c r="G2497" s="92"/>
      <c r="I2497">
        <v>8</v>
      </c>
      <c r="J2497" t="s">
        <v>26</v>
      </c>
      <c r="K2497" s="57"/>
      <c r="L2497" s="31"/>
      <c r="M2497" s="31"/>
      <c r="N2497" s="31"/>
      <c r="O2497" s="31"/>
      <c r="S2497" s="57"/>
      <c r="X2497" s="57"/>
    </row>
    <row r="2498" spans="1:24" hidden="1" x14ac:dyDescent="0.35">
      <c r="A2498">
        <v>2494</v>
      </c>
      <c r="B2498">
        <v>2495</v>
      </c>
      <c r="C2498">
        <v>146.088112139</v>
      </c>
      <c r="D2498">
        <v>-17.656534278500001</v>
      </c>
      <c r="G2498" s="92"/>
      <c r="I2498">
        <v>8</v>
      </c>
      <c r="J2498" t="s">
        <v>26</v>
      </c>
      <c r="K2498" s="57"/>
      <c r="L2498" s="31"/>
      <c r="M2498" s="31"/>
      <c r="N2498" s="31"/>
      <c r="O2498" s="31"/>
      <c r="S2498" s="57"/>
      <c r="X2498" s="57"/>
    </row>
    <row r="2499" spans="1:24" hidden="1" x14ac:dyDescent="0.35">
      <c r="A2499">
        <v>2495</v>
      </c>
      <c r="B2499">
        <v>2496</v>
      </c>
      <c r="C2499">
        <v>146.088140334</v>
      </c>
      <c r="D2499">
        <v>-17.656453005100001</v>
      </c>
      <c r="G2499" s="92"/>
      <c r="I2499">
        <v>8</v>
      </c>
      <c r="J2499" t="s">
        <v>26</v>
      </c>
      <c r="K2499" s="57"/>
      <c r="L2499" s="31"/>
      <c r="M2499" s="31"/>
      <c r="N2499" s="31"/>
      <c r="O2499" s="31"/>
      <c r="S2499" s="57"/>
      <c r="X2499" s="57"/>
    </row>
    <row r="2500" spans="1:24" hidden="1" x14ac:dyDescent="0.35">
      <c r="A2500">
        <v>2496</v>
      </c>
      <c r="B2500">
        <v>2497</v>
      </c>
      <c r="C2500">
        <v>146.08816832700001</v>
      </c>
      <c r="D2500">
        <v>-17.6563716675</v>
      </c>
      <c r="G2500" s="92"/>
      <c r="I2500">
        <v>8</v>
      </c>
      <c r="J2500" t="s">
        <v>26</v>
      </c>
      <c r="K2500" s="57"/>
      <c r="L2500" s="31"/>
      <c r="M2500" s="31"/>
      <c r="N2500" s="31"/>
      <c r="O2500" s="31"/>
      <c r="S2500" s="57"/>
      <c r="X2500" s="57"/>
    </row>
    <row r="2501" spans="1:24" hidden="1" x14ac:dyDescent="0.35">
      <c r="A2501">
        <v>2497</v>
      </c>
      <c r="B2501">
        <v>2498</v>
      </c>
      <c r="C2501">
        <v>146.08819632000001</v>
      </c>
      <c r="D2501">
        <v>-17.6562903298999</v>
      </c>
      <c r="G2501" s="92"/>
      <c r="I2501">
        <v>8</v>
      </c>
      <c r="J2501" t="s">
        <v>26</v>
      </c>
      <c r="K2501" s="57"/>
      <c r="L2501" s="31"/>
      <c r="M2501" s="31"/>
      <c r="N2501" s="31"/>
      <c r="O2501" s="31"/>
      <c r="S2501" s="57"/>
      <c r="X2501" s="57"/>
    </row>
    <row r="2502" spans="1:24" hidden="1" x14ac:dyDescent="0.35">
      <c r="A2502">
        <v>2498</v>
      </c>
      <c r="B2502">
        <v>2499</v>
      </c>
      <c r="C2502">
        <v>146.08822431300001</v>
      </c>
      <c r="D2502">
        <v>-17.6562089922</v>
      </c>
      <c r="G2502" s="92"/>
      <c r="I2502">
        <v>8</v>
      </c>
      <c r="J2502" t="s">
        <v>26</v>
      </c>
      <c r="K2502" s="57"/>
      <c r="L2502" s="31"/>
      <c r="M2502" s="31"/>
      <c r="N2502" s="31"/>
      <c r="O2502" s="31"/>
      <c r="S2502" s="57"/>
      <c r="X2502" s="57"/>
    </row>
    <row r="2503" spans="1:24" hidden="1" x14ac:dyDescent="0.35">
      <c r="A2503">
        <v>2499</v>
      </c>
      <c r="B2503">
        <v>2500</v>
      </c>
      <c r="C2503">
        <v>146.08825230599899</v>
      </c>
      <c r="D2503">
        <v>-17.656127654500001</v>
      </c>
      <c r="G2503" s="92"/>
      <c r="I2503">
        <v>8</v>
      </c>
      <c r="J2503" t="s">
        <v>26</v>
      </c>
      <c r="K2503" s="57"/>
      <c r="L2503" s="31"/>
      <c r="M2503" s="31"/>
      <c r="N2503" s="31"/>
      <c r="O2503" s="31"/>
      <c r="S2503" s="57"/>
      <c r="X2503" s="57"/>
    </row>
    <row r="2504" spans="1:24" hidden="1" x14ac:dyDescent="0.35">
      <c r="A2504">
        <v>2500</v>
      </c>
      <c r="B2504">
        <v>2501</v>
      </c>
      <c r="C2504">
        <v>146.088280298999</v>
      </c>
      <c r="D2504">
        <v>-17.656046316800001</v>
      </c>
      <c r="G2504" s="92"/>
      <c r="I2504">
        <v>8</v>
      </c>
      <c r="J2504" t="s">
        <v>26</v>
      </c>
      <c r="K2504" s="57"/>
      <c r="L2504" s="31"/>
      <c r="M2504" s="31"/>
      <c r="N2504" s="31"/>
      <c r="O2504" s="31"/>
      <c r="S2504" s="57"/>
      <c r="X2504" s="57"/>
    </row>
    <row r="2505" spans="1:24" hidden="1" x14ac:dyDescent="0.35">
      <c r="A2505">
        <v>2501</v>
      </c>
      <c r="B2505">
        <v>2502</v>
      </c>
      <c r="C2505">
        <v>146.088308291999</v>
      </c>
      <c r="D2505">
        <v>-17.655964979</v>
      </c>
      <c r="G2505" s="92"/>
      <c r="I2505">
        <v>8</v>
      </c>
      <c r="J2505" t="s">
        <v>26</v>
      </c>
      <c r="K2505" s="57"/>
      <c r="L2505" s="31"/>
      <c r="M2505" s="31"/>
      <c r="N2505" s="31"/>
      <c r="O2505" s="31"/>
      <c r="S2505" s="57"/>
      <c r="X2505" s="57"/>
    </row>
    <row r="2506" spans="1:24" hidden="1" x14ac:dyDescent="0.35">
      <c r="A2506">
        <v>2502</v>
      </c>
      <c r="B2506">
        <v>2503</v>
      </c>
      <c r="C2506">
        <v>146.088345484999</v>
      </c>
      <c r="D2506">
        <v>-17.6558882685</v>
      </c>
      <c r="G2506" s="92"/>
      <c r="I2506">
        <v>8</v>
      </c>
      <c r="J2506" t="s">
        <v>26</v>
      </c>
      <c r="K2506" s="57"/>
      <c r="L2506" s="31"/>
      <c r="M2506" s="31"/>
      <c r="N2506" s="31"/>
      <c r="O2506" s="31"/>
      <c r="S2506" s="57"/>
      <c r="X2506" s="57"/>
    </row>
    <row r="2507" spans="1:24" hidden="1" x14ac:dyDescent="0.35">
      <c r="A2507">
        <v>2503</v>
      </c>
      <c r="B2507">
        <v>2504</v>
      </c>
      <c r="C2507">
        <v>146.08840016400001</v>
      </c>
      <c r="D2507">
        <v>-17.6558203519999</v>
      </c>
      <c r="G2507" s="92"/>
      <c r="I2507">
        <v>8</v>
      </c>
      <c r="J2507" t="s">
        <v>26</v>
      </c>
      <c r="K2507" s="57"/>
      <c r="L2507" s="31"/>
      <c r="M2507" s="31"/>
      <c r="N2507" s="31"/>
      <c r="O2507" s="31"/>
      <c r="S2507" s="57"/>
      <c r="X2507" s="57"/>
    </row>
    <row r="2508" spans="1:24" hidden="1" x14ac:dyDescent="0.35">
      <c r="A2508">
        <v>2504</v>
      </c>
      <c r="B2508">
        <v>2505</v>
      </c>
      <c r="C2508">
        <v>146.088454842</v>
      </c>
      <c r="D2508">
        <v>-17.6557524354</v>
      </c>
      <c r="G2508" s="92"/>
      <c r="I2508">
        <v>8</v>
      </c>
      <c r="J2508" t="s">
        <v>26</v>
      </c>
      <c r="K2508" s="57"/>
      <c r="L2508" s="31"/>
      <c r="M2508" s="31"/>
      <c r="N2508" s="31"/>
      <c r="O2508" s="31"/>
      <c r="S2508" s="57"/>
      <c r="X2508" s="57"/>
    </row>
    <row r="2509" spans="1:24" hidden="1" x14ac:dyDescent="0.35">
      <c r="A2509">
        <v>2505</v>
      </c>
      <c r="B2509">
        <v>2506</v>
      </c>
      <c r="C2509">
        <v>146.088509520999</v>
      </c>
      <c r="D2509">
        <v>-17.655684518800001</v>
      </c>
      <c r="G2509" s="92"/>
      <c r="I2509">
        <v>8</v>
      </c>
      <c r="J2509" t="s">
        <v>26</v>
      </c>
      <c r="K2509" s="57"/>
      <c r="L2509" s="31"/>
      <c r="M2509" s="31"/>
      <c r="N2509" s="31"/>
      <c r="O2509" s="31"/>
      <c r="S2509" s="57"/>
      <c r="X2509" s="57"/>
    </row>
    <row r="2510" spans="1:24" hidden="1" x14ac:dyDescent="0.35">
      <c r="A2510">
        <v>2506</v>
      </c>
      <c r="B2510">
        <v>2507</v>
      </c>
      <c r="C2510">
        <v>146.08856419899899</v>
      </c>
      <c r="D2510">
        <v>-17.655616602199899</v>
      </c>
      <c r="G2510" s="92"/>
      <c r="I2510">
        <v>8</v>
      </c>
      <c r="J2510" t="s">
        <v>26</v>
      </c>
      <c r="K2510" s="57"/>
      <c r="L2510" s="31"/>
      <c r="M2510" s="31"/>
      <c r="N2510" s="31"/>
      <c r="O2510" s="31"/>
      <c r="S2510" s="57"/>
      <c r="X2510" s="57"/>
    </row>
    <row r="2511" spans="1:24" hidden="1" x14ac:dyDescent="0.35">
      <c r="A2511">
        <v>2507</v>
      </c>
      <c r="B2511">
        <v>2508</v>
      </c>
      <c r="C2511">
        <v>146.08861887800001</v>
      </c>
      <c r="D2511">
        <v>-17.655548685500001</v>
      </c>
      <c r="G2511" s="92"/>
      <c r="I2511">
        <v>8</v>
      </c>
      <c r="J2511" t="s">
        <v>26</v>
      </c>
      <c r="K2511" s="57"/>
      <c r="L2511" s="31"/>
      <c r="M2511" s="31"/>
      <c r="N2511" s="31"/>
      <c r="O2511" s="31"/>
      <c r="S2511" s="57"/>
      <c r="X2511" s="57"/>
    </row>
    <row r="2512" spans="1:24" hidden="1" x14ac:dyDescent="0.35">
      <c r="A2512">
        <v>2508</v>
      </c>
      <c r="B2512">
        <v>2509</v>
      </c>
      <c r="C2512">
        <v>146.088673556</v>
      </c>
      <c r="D2512">
        <v>-17.655480768899899</v>
      </c>
      <c r="G2512" s="92"/>
      <c r="I2512">
        <v>8</v>
      </c>
      <c r="J2512" t="s">
        <v>26</v>
      </c>
      <c r="K2512" s="57"/>
      <c r="L2512" s="31"/>
      <c r="M2512" s="31"/>
      <c r="N2512" s="31"/>
      <c r="O2512" s="31"/>
      <c r="S2512" s="57"/>
      <c r="X2512" s="57"/>
    </row>
    <row r="2513" spans="1:24" hidden="1" x14ac:dyDescent="0.35">
      <c r="A2513">
        <v>2509</v>
      </c>
      <c r="B2513">
        <v>2510</v>
      </c>
      <c r="C2513">
        <v>146.08872894199899</v>
      </c>
      <c r="D2513">
        <v>-17.655413489200001</v>
      </c>
      <c r="G2513" s="92"/>
      <c r="I2513">
        <v>8</v>
      </c>
      <c r="J2513" t="s">
        <v>26</v>
      </c>
      <c r="K2513" s="57"/>
      <c r="L2513" s="31"/>
      <c r="M2513" s="31"/>
      <c r="N2513" s="31"/>
      <c r="O2513" s="31"/>
      <c r="S2513" s="57"/>
      <c r="X2513" s="57"/>
    </row>
    <row r="2514" spans="1:24" hidden="1" x14ac:dyDescent="0.35">
      <c r="A2514">
        <v>2510</v>
      </c>
      <c r="B2514">
        <v>2511</v>
      </c>
      <c r="C2514">
        <v>146.088797010999</v>
      </c>
      <c r="D2514">
        <v>-17.655357629800001</v>
      </c>
      <c r="G2514" s="92"/>
      <c r="I2514">
        <v>8</v>
      </c>
      <c r="J2514" t="s">
        <v>26</v>
      </c>
      <c r="K2514" s="57"/>
      <c r="L2514" s="31"/>
      <c r="M2514" s="31"/>
      <c r="N2514" s="31"/>
      <c r="O2514" s="31"/>
      <c r="S2514" s="57"/>
      <c r="X2514" s="57"/>
    </row>
    <row r="2515" spans="1:24" hidden="1" x14ac:dyDescent="0.35">
      <c r="A2515">
        <v>2511</v>
      </c>
      <c r="B2515">
        <v>2512</v>
      </c>
      <c r="C2515">
        <v>146.08886143800001</v>
      </c>
      <c r="D2515">
        <v>-17.6552982081</v>
      </c>
      <c r="G2515" s="92"/>
      <c r="I2515">
        <v>8</v>
      </c>
      <c r="J2515" t="s">
        <v>26</v>
      </c>
      <c r="K2515" s="57"/>
      <c r="L2515" s="31"/>
      <c r="M2515" s="31"/>
      <c r="N2515" s="31"/>
      <c r="O2515" s="31"/>
      <c r="S2515" s="57"/>
      <c r="X2515" s="57"/>
    </row>
    <row r="2516" spans="1:24" hidden="1" x14ac:dyDescent="0.35">
      <c r="A2516">
        <v>2512</v>
      </c>
      <c r="B2516">
        <v>2513</v>
      </c>
      <c r="C2516">
        <v>146.08892007399899</v>
      </c>
      <c r="D2516">
        <v>-17.6552356667999</v>
      </c>
      <c r="G2516" s="92"/>
      <c r="I2516">
        <v>8</v>
      </c>
      <c r="J2516" t="s">
        <v>26</v>
      </c>
      <c r="K2516" s="57"/>
      <c r="L2516" s="31"/>
      <c r="M2516" s="31"/>
      <c r="N2516" s="31"/>
      <c r="O2516" s="31"/>
      <c r="S2516" s="57"/>
      <c r="X2516" s="57"/>
    </row>
    <row r="2517" spans="1:24" hidden="1" x14ac:dyDescent="0.35">
      <c r="A2517">
        <v>2513</v>
      </c>
      <c r="B2517">
        <v>2514</v>
      </c>
      <c r="C2517">
        <v>146.08898093600001</v>
      </c>
      <c r="D2517">
        <v>-17.655172802500001</v>
      </c>
      <c r="G2517" s="92"/>
      <c r="I2517">
        <v>8</v>
      </c>
      <c r="J2517" t="s">
        <v>26</v>
      </c>
      <c r="K2517" s="57"/>
      <c r="L2517" s="31"/>
      <c r="M2517" s="31"/>
      <c r="N2517" s="31"/>
      <c r="O2517" s="31"/>
      <c r="S2517" s="57"/>
      <c r="X2517" s="57"/>
    </row>
    <row r="2518" spans="1:24" hidden="1" x14ac:dyDescent="0.35">
      <c r="A2518">
        <v>2514</v>
      </c>
      <c r="B2518">
        <v>2515</v>
      </c>
      <c r="C2518">
        <v>146.089041323999</v>
      </c>
      <c r="D2518">
        <v>-17.6551094293999</v>
      </c>
      <c r="G2518" s="92"/>
      <c r="I2518">
        <v>8</v>
      </c>
      <c r="J2518" t="s">
        <v>26</v>
      </c>
      <c r="K2518" s="57"/>
      <c r="L2518" s="31"/>
      <c r="M2518" s="31"/>
      <c r="N2518" s="31"/>
      <c r="O2518" s="31"/>
      <c r="S2518" s="57"/>
      <c r="X2518" s="57"/>
    </row>
    <row r="2519" spans="1:24" hidden="1" x14ac:dyDescent="0.35">
      <c r="A2519">
        <v>2515</v>
      </c>
      <c r="B2519">
        <v>2516</v>
      </c>
      <c r="C2519">
        <v>146.089101712</v>
      </c>
      <c r="D2519">
        <v>-17.6550460562</v>
      </c>
      <c r="G2519" s="92"/>
      <c r="I2519">
        <v>8</v>
      </c>
      <c r="J2519" t="s">
        <v>26</v>
      </c>
      <c r="K2519" s="57"/>
      <c r="L2519" s="31"/>
      <c r="M2519" s="31"/>
      <c r="N2519" s="31"/>
      <c r="O2519" s="31"/>
      <c r="S2519" s="57"/>
      <c r="X2519" s="57"/>
    </row>
    <row r="2520" spans="1:24" hidden="1" x14ac:dyDescent="0.35">
      <c r="A2520">
        <v>2516</v>
      </c>
      <c r="B2520">
        <v>2517</v>
      </c>
      <c r="C2520">
        <v>146.089175302999</v>
      </c>
      <c r="D2520">
        <v>-17.654999951099899</v>
      </c>
      <c r="G2520" s="92"/>
      <c r="I2520">
        <v>8</v>
      </c>
      <c r="J2520" t="s">
        <v>26</v>
      </c>
      <c r="K2520" s="57"/>
      <c r="L2520" s="31"/>
      <c r="M2520" s="31"/>
      <c r="N2520" s="31"/>
      <c r="O2520" s="31"/>
      <c r="S2520" s="57"/>
      <c r="X2520" s="57"/>
    </row>
    <row r="2521" spans="1:24" hidden="1" x14ac:dyDescent="0.35">
      <c r="A2521">
        <v>2517</v>
      </c>
      <c r="B2521">
        <v>2518</v>
      </c>
      <c r="C2521">
        <v>146.089257115999</v>
      </c>
      <c r="D2521">
        <v>-17.6549645991999</v>
      </c>
      <c r="G2521" s="92"/>
      <c r="I2521">
        <v>8</v>
      </c>
      <c r="J2521" t="s">
        <v>26</v>
      </c>
      <c r="K2521" s="57"/>
      <c r="L2521" s="31"/>
      <c r="M2521" s="31"/>
      <c r="N2521" s="31"/>
      <c r="O2521" s="31"/>
      <c r="S2521" s="57"/>
      <c r="X2521" s="57"/>
    </row>
    <row r="2522" spans="1:24" hidden="1" x14ac:dyDescent="0.35">
      <c r="A2522">
        <v>2518</v>
      </c>
      <c r="B2522">
        <v>2519</v>
      </c>
      <c r="C2522">
        <v>146.08933892900001</v>
      </c>
      <c r="D2522">
        <v>-17.654929247199899</v>
      </c>
      <c r="G2522" s="92"/>
      <c r="I2522">
        <v>8</v>
      </c>
      <c r="J2522" t="s">
        <v>26</v>
      </c>
      <c r="K2522" s="57"/>
      <c r="L2522" s="31"/>
      <c r="M2522" s="31"/>
      <c r="N2522" s="31"/>
      <c r="O2522" s="31"/>
      <c r="S2522" s="57"/>
      <c r="X2522" s="57"/>
    </row>
    <row r="2523" spans="1:24" hidden="1" x14ac:dyDescent="0.35">
      <c r="A2523">
        <v>2519</v>
      </c>
      <c r="B2523">
        <v>2520</v>
      </c>
      <c r="C2523">
        <v>146.08942074199899</v>
      </c>
      <c r="D2523">
        <v>-17.654893895299899</v>
      </c>
      <c r="G2523" s="92"/>
      <c r="I2523">
        <v>8</v>
      </c>
      <c r="J2523" t="s">
        <v>26</v>
      </c>
      <c r="K2523" s="57"/>
      <c r="L2523" s="31"/>
      <c r="M2523" s="31"/>
      <c r="N2523" s="31"/>
      <c r="O2523" s="31"/>
      <c r="S2523" s="57"/>
      <c r="X2523" s="57"/>
    </row>
    <row r="2524" spans="1:24" hidden="1" x14ac:dyDescent="0.35">
      <c r="A2524">
        <v>2520</v>
      </c>
      <c r="B2524">
        <v>2521</v>
      </c>
      <c r="C2524">
        <v>146.089505209999</v>
      </c>
      <c r="D2524">
        <v>-17.654866064099899</v>
      </c>
      <c r="G2524" s="92"/>
      <c r="I2524">
        <v>8</v>
      </c>
      <c r="J2524" t="s">
        <v>26</v>
      </c>
      <c r="K2524" s="57"/>
      <c r="L2524" s="31"/>
      <c r="M2524" s="31"/>
      <c r="N2524" s="31"/>
      <c r="O2524" s="31"/>
      <c r="S2524" s="57"/>
      <c r="X2524" s="57"/>
    </row>
    <row r="2525" spans="1:24" hidden="1" x14ac:dyDescent="0.35">
      <c r="A2525">
        <v>2521</v>
      </c>
      <c r="B2525">
        <v>2522</v>
      </c>
      <c r="C2525">
        <v>146.08959281099899</v>
      </c>
      <c r="D2525">
        <v>-17.6548471085</v>
      </c>
      <c r="G2525" s="92"/>
      <c r="I2525">
        <v>8</v>
      </c>
      <c r="J2525" t="s">
        <v>26</v>
      </c>
      <c r="K2525" s="57"/>
      <c r="L2525" s="31"/>
      <c r="M2525" s="31"/>
      <c r="N2525" s="31"/>
      <c r="O2525" s="31"/>
      <c r="S2525" s="57"/>
      <c r="X2525" s="57"/>
    </row>
    <row r="2526" spans="1:24" hidden="1" x14ac:dyDescent="0.35">
      <c r="A2526">
        <v>2522</v>
      </c>
      <c r="B2526">
        <v>2523</v>
      </c>
      <c r="C2526">
        <v>146.089680412999</v>
      </c>
      <c r="D2526">
        <v>-17.654828153</v>
      </c>
      <c r="G2526" s="92"/>
      <c r="I2526">
        <v>8</v>
      </c>
      <c r="J2526" t="s">
        <v>26</v>
      </c>
      <c r="K2526" s="57"/>
      <c r="L2526" s="31"/>
      <c r="M2526" s="31"/>
      <c r="N2526" s="31"/>
      <c r="O2526" s="31"/>
      <c r="S2526" s="57"/>
      <c r="X2526" s="57"/>
    </row>
    <row r="2527" spans="1:24" hidden="1" x14ac:dyDescent="0.35">
      <c r="A2527">
        <v>2523</v>
      </c>
      <c r="B2527">
        <v>2524</v>
      </c>
      <c r="C2527">
        <v>146.08976801399899</v>
      </c>
      <c r="D2527">
        <v>-17.654809197399899</v>
      </c>
      <c r="G2527" s="92"/>
      <c r="I2527">
        <v>8</v>
      </c>
      <c r="J2527" t="s">
        <v>26</v>
      </c>
      <c r="K2527" s="57"/>
      <c r="L2527" s="31"/>
      <c r="M2527" s="31"/>
      <c r="N2527" s="31"/>
      <c r="O2527" s="31"/>
      <c r="S2527" s="57"/>
      <c r="X2527" s="57"/>
    </row>
    <row r="2528" spans="1:24" hidden="1" x14ac:dyDescent="0.35">
      <c r="A2528">
        <v>2524</v>
      </c>
      <c r="B2528">
        <v>2525</v>
      </c>
      <c r="C2528">
        <v>146.08985569999899</v>
      </c>
      <c r="D2528">
        <v>-17.654792632300001</v>
      </c>
      <c r="G2528" s="92"/>
      <c r="I2528">
        <v>8</v>
      </c>
      <c r="J2528" t="s">
        <v>26</v>
      </c>
      <c r="K2528" s="57"/>
      <c r="L2528" s="31"/>
      <c r="M2528" s="31"/>
      <c r="N2528" s="31"/>
      <c r="O2528" s="31"/>
      <c r="S2528" s="57"/>
      <c r="X2528" s="57"/>
    </row>
    <row r="2529" spans="1:24" hidden="1" x14ac:dyDescent="0.35">
      <c r="A2529">
        <v>2525</v>
      </c>
      <c r="B2529">
        <v>2526</v>
      </c>
      <c r="C2529">
        <v>146.089944441</v>
      </c>
      <c r="D2529">
        <v>-17.6548059271</v>
      </c>
      <c r="G2529" s="92"/>
      <c r="I2529">
        <v>8</v>
      </c>
      <c r="J2529" t="s">
        <v>26</v>
      </c>
      <c r="K2529" s="57"/>
      <c r="L2529" s="31"/>
      <c r="M2529" s="31"/>
      <c r="N2529" s="31"/>
      <c r="O2529" s="31"/>
      <c r="S2529" s="57"/>
      <c r="X2529" s="57"/>
    </row>
    <row r="2530" spans="1:24" hidden="1" x14ac:dyDescent="0.35">
      <c r="A2530">
        <v>2526</v>
      </c>
      <c r="B2530">
        <v>2527</v>
      </c>
      <c r="C2530">
        <v>146.090033027</v>
      </c>
      <c r="D2530">
        <v>-17.654820133400001</v>
      </c>
      <c r="G2530" s="92"/>
      <c r="I2530">
        <v>8</v>
      </c>
      <c r="J2530" t="s">
        <v>26</v>
      </c>
      <c r="K2530" s="57"/>
      <c r="L2530" s="31"/>
      <c r="M2530" s="31"/>
      <c r="N2530" s="31"/>
      <c r="O2530" s="31"/>
      <c r="S2530" s="57"/>
      <c r="X2530" s="57"/>
    </row>
    <row r="2531" spans="1:24" hidden="1" x14ac:dyDescent="0.35">
      <c r="A2531">
        <v>2527</v>
      </c>
      <c r="B2531">
        <v>2528</v>
      </c>
      <c r="C2531">
        <v>146.09012161300001</v>
      </c>
      <c r="D2531">
        <v>-17.654834339800001</v>
      </c>
      <c r="G2531" s="92"/>
      <c r="I2531">
        <v>8</v>
      </c>
      <c r="J2531" t="s">
        <v>26</v>
      </c>
      <c r="K2531" s="57"/>
      <c r="L2531" s="31"/>
      <c r="M2531" s="31"/>
      <c r="N2531" s="31"/>
      <c r="O2531" s="31"/>
      <c r="S2531" s="57"/>
      <c r="X2531" s="57"/>
    </row>
    <row r="2532" spans="1:24" hidden="1" x14ac:dyDescent="0.35">
      <c r="A2532">
        <v>2528</v>
      </c>
      <c r="B2532">
        <v>2529</v>
      </c>
      <c r="C2532">
        <v>146.090204567999</v>
      </c>
      <c r="D2532">
        <v>-17.654862180399899</v>
      </c>
      <c r="G2532" s="92"/>
      <c r="I2532">
        <v>8</v>
      </c>
      <c r="J2532" t="s">
        <v>26</v>
      </c>
      <c r="K2532" s="57"/>
      <c r="L2532" s="31"/>
      <c r="M2532" s="31"/>
      <c r="N2532" s="31"/>
      <c r="O2532" s="31"/>
      <c r="S2532" s="57"/>
      <c r="X2532" s="57"/>
    </row>
    <row r="2533" spans="1:24" hidden="1" x14ac:dyDescent="0.35">
      <c r="A2533">
        <v>2529</v>
      </c>
      <c r="B2533">
        <v>2530</v>
      </c>
      <c r="C2533">
        <v>146.09027955900001</v>
      </c>
      <c r="D2533">
        <v>-17.654909309099899</v>
      </c>
      <c r="G2533" s="92"/>
      <c r="I2533">
        <v>8</v>
      </c>
      <c r="J2533" t="s">
        <v>26</v>
      </c>
      <c r="K2533" s="57"/>
      <c r="L2533" s="31"/>
      <c r="M2533" s="31"/>
      <c r="N2533" s="31"/>
      <c r="O2533" s="31"/>
      <c r="S2533" s="57"/>
      <c r="X2533" s="57"/>
    </row>
    <row r="2534" spans="1:24" hidden="1" x14ac:dyDescent="0.35">
      <c r="A2534">
        <v>2530</v>
      </c>
      <c r="B2534">
        <v>2531</v>
      </c>
      <c r="C2534">
        <v>146.09035455</v>
      </c>
      <c r="D2534">
        <v>-17.6549564377999</v>
      </c>
      <c r="G2534" s="92"/>
      <c r="I2534">
        <v>8</v>
      </c>
      <c r="J2534" t="s">
        <v>26</v>
      </c>
      <c r="K2534" s="57"/>
      <c r="L2534" s="31"/>
      <c r="M2534" s="31"/>
      <c r="N2534" s="31"/>
      <c r="O2534" s="31"/>
      <c r="S2534" s="57"/>
      <c r="X2534" s="57"/>
    </row>
    <row r="2535" spans="1:24" hidden="1" x14ac:dyDescent="0.35">
      <c r="A2535">
        <v>2531</v>
      </c>
      <c r="B2535">
        <v>2532</v>
      </c>
      <c r="C2535">
        <v>146.09042954</v>
      </c>
      <c r="D2535">
        <v>-17.6550035665</v>
      </c>
      <c r="G2535" s="92"/>
      <c r="I2535">
        <v>8</v>
      </c>
      <c r="J2535" t="s">
        <v>26</v>
      </c>
      <c r="K2535" s="57"/>
      <c r="L2535" s="31"/>
      <c r="M2535" s="31"/>
      <c r="N2535" s="31"/>
      <c r="O2535" s="31"/>
      <c r="S2535" s="57"/>
      <c r="X2535" s="57"/>
    </row>
    <row r="2536" spans="1:24" hidden="1" x14ac:dyDescent="0.35">
      <c r="A2536">
        <v>2532</v>
      </c>
      <c r="B2536">
        <v>2533</v>
      </c>
      <c r="C2536">
        <v>146.090493586999</v>
      </c>
      <c r="D2536">
        <v>-17.655062994000001</v>
      </c>
      <c r="G2536" s="92"/>
      <c r="I2536">
        <v>8</v>
      </c>
      <c r="J2536" t="s">
        <v>26</v>
      </c>
      <c r="K2536" s="57"/>
      <c r="L2536" s="31"/>
      <c r="M2536" s="31"/>
      <c r="N2536" s="31"/>
      <c r="O2536" s="31"/>
      <c r="S2536" s="57"/>
      <c r="X2536" s="57"/>
    </row>
    <row r="2537" spans="1:24" hidden="1" x14ac:dyDescent="0.35">
      <c r="A2537">
        <v>2533</v>
      </c>
      <c r="B2537">
        <v>2534</v>
      </c>
      <c r="C2537">
        <v>146.09055463799899</v>
      </c>
      <c r="D2537">
        <v>-17.655125787100001</v>
      </c>
      <c r="G2537" s="92"/>
      <c r="I2537">
        <v>8</v>
      </c>
      <c r="J2537" t="s">
        <v>26</v>
      </c>
      <c r="K2537" s="57"/>
      <c r="L2537" s="31"/>
      <c r="M2537" s="31"/>
      <c r="N2537" s="31"/>
      <c r="O2537" s="31"/>
      <c r="S2537" s="57"/>
      <c r="X2537" s="57"/>
    </row>
    <row r="2538" spans="1:24" hidden="1" x14ac:dyDescent="0.35">
      <c r="A2538">
        <v>2534</v>
      </c>
      <c r="B2538">
        <v>2535</v>
      </c>
      <c r="C2538">
        <v>146.090615689999</v>
      </c>
      <c r="D2538">
        <v>-17.655188580200001</v>
      </c>
      <c r="G2538" s="92"/>
      <c r="I2538">
        <v>8</v>
      </c>
      <c r="J2538" t="s">
        <v>26</v>
      </c>
      <c r="K2538" s="57"/>
      <c r="L2538" s="31"/>
      <c r="M2538" s="31"/>
      <c r="N2538" s="31"/>
      <c r="O2538" s="31"/>
      <c r="S2538" s="57"/>
      <c r="X2538" s="57"/>
    </row>
    <row r="2539" spans="1:24" hidden="1" x14ac:dyDescent="0.35">
      <c r="A2539">
        <v>2535</v>
      </c>
      <c r="B2539">
        <v>2536</v>
      </c>
      <c r="C2539">
        <v>146.090676741999</v>
      </c>
      <c r="D2539">
        <v>-17.655251373199899</v>
      </c>
      <c r="G2539" s="92"/>
      <c r="I2539">
        <v>8</v>
      </c>
      <c r="J2539" t="s">
        <v>26</v>
      </c>
      <c r="K2539" s="57"/>
      <c r="L2539" s="31"/>
      <c r="M2539" s="31"/>
      <c r="N2539" s="31"/>
      <c r="O2539" s="31"/>
      <c r="S2539" s="57"/>
      <c r="X2539" s="57"/>
    </row>
    <row r="2540" spans="1:24" hidden="1" x14ac:dyDescent="0.35">
      <c r="A2540">
        <v>2536</v>
      </c>
      <c r="B2540">
        <v>2537</v>
      </c>
      <c r="C2540">
        <v>146.090703687</v>
      </c>
      <c r="D2540">
        <v>-17.655332463699899</v>
      </c>
      <c r="G2540" s="92"/>
      <c r="I2540">
        <v>8</v>
      </c>
      <c r="J2540" t="s">
        <v>26</v>
      </c>
      <c r="K2540" s="57"/>
      <c r="L2540" s="31"/>
      <c r="M2540" s="31"/>
      <c r="N2540" s="31"/>
      <c r="O2540" s="31"/>
      <c r="S2540" s="57"/>
      <c r="X2540" s="57"/>
    </row>
    <row r="2541" spans="1:24" hidden="1" x14ac:dyDescent="0.35">
      <c r="A2541">
        <v>2537</v>
      </c>
      <c r="B2541">
        <v>2538</v>
      </c>
      <c r="C2541">
        <v>146.09072836600001</v>
      </c>
      <c r="D2541">
        <v>-17.655414770499899</v>
      </c>
      <c r="G2541" s="92"/>
      <c r="I2541">
        <v>8</v>
      </c>
      <c r="J2541" t="s">
        <v>26</v>
      </c>
      <c r="K2541" s="57"/>
      <c r="L2541" s="31"/>
      <c r="M2541" s="31"/>
      <c r="N2541" s="31"/>
      <c r="O2541" s="31"/>
      <c r="S2541" s="57"/>
      <c r="X2541" s="57"/>
    </row>
    <row r="2542" spans="1:24" hidden="1" x14ac:dyDescent="0.35">
      <c r="A2542">
        <v>2538</v>
      </c>
      <c r="B2542">
        <v>2539</v>
      </c>
      <c r="C2542">
        <v>146.090753043999</v>
      </c>
      <c r="D2542">
        <v>-17.6554970772</v>
      </c>
      <c r="G2542" s="92"/>
      <c r="I2542">
        <v>8</v>
      </c>
      <c r="J2542" t="s">
        <v>26</v>
      </c>
      <c r="K2542" s="57"/>
      <c r="L2542" s="31"/>
      <c r="M2542" s="31"/>
      <c r="N2542" s="31"/>
      <c r="O2542" s="31"/>
      <c r="S2542" s="57"/>
      <c r="X2542" s="57"/>
    </row>
    <row r="2543" spans="1:24" hidden="1" x14ac:dyDescent="0.35">
      <c r="A2543">
        <v>2539</v>
      </c>
      <c r="B2543">
        <v>2540</v>
      </c>
      <c r="C2543">
        <v>146.09077042499899</v>
      </c>
      <c r="D2543">
        <v>-17.655580629500001</v>
      </c>
      <c r="G2543" s="92"/>
      <c r="I2543">
        <v>8</v>
      </c>
      <c r="J2543" t="s">
        <v>26</v>
      </c>
      <c r="K2543" s="57"/>
      <c r="L2543" s="31"/>
      <c r="M2543" s="31"/>
      <c r="N2543" s="31"/>
      <c r="O2543" s="31"/>
      <c r="S2543" s="57"/>
      <c r="X2543" s="57"/>
    </row>
    <row r="2544" spans="1:24" hidden="1" x14ac:dyDescent="0.35">
      <c r="A2544">
        <v>2540</v>
      </c>
      <c r="B2544">
        <v>2541</v>
      </c>
      <c r="C2544">
        <v>146.090777260999</v>
      </c>
      <c r="D2544">
        <v>-17.655665981399899</v>
      </c>
      <c r="G2544" s="92"/>
      <c r="I2544">
        <v>8</v>
      </c>
      <c r="J2544" t="s">
        <v>26</v>
      </c>
      <c r="K2544" s="57"/>
      <c r="L2544" s="31"/>
      <c r="M2544" s="31"/>
      <c r="N2544" s="31"/>
      <c r="O2544" s="31"/>
      <c r="S2544" s="57"/>
      <c r="X2544" s="57"/>
    </row>
    <row r="2545" spans="1:24" hidden="1" x14ac:dyDescent="0.35">
      <c r="A2545">
        <v>2541</v>
      </c>
      <c r="B2545">
        <v>2542</v>
      </c>
      <c r="C2545">
        <v>146.090784098</v>
      </c>
      <c r="D2545">
        <v>-17.6557513333</v>
      </c>
      <c r="G2545" s="92"/>
      <c r="I2545">
        <v>8</v>
      </c>
      <c r="J2545" t="s">
        <v>26</v>
      </c>
      <c r="K2545" s="57"/>
      <c r="L2545" s="31"/>
      <c r="M2545" s="31"/>
      <c r="N2545" s="31"/>
      <c r="O2545" s="31"/>
      <c r="S2545" s="57"/>
      <c r="X2545" s="57"/>
    </row>
    <row r="2546" spans="1:24" hidden="1" x14ac:dyDescent="0.35">
      <c r="A2546">
        <v>2542</v>
      </c>
      <c r="B2546">
        <v>2543</v>
      </c>
      <c r="C2546">
        <v>146.09079093400001</v>
      </c>
      <c r="D2546">
        <v>-17.655836685099899</v>
      </c>
      <c r="G2546" s="92"/>
      <c r="I2546">
        <v>8</v>
      </c>
      <c r="J2546" t="s">
        <v>26</v>
      </c>
      <c r="K2546" s="57"/>
      <c r="L2546" s="31"/>
      <c r="M2546" s="31"/>
      <c r="N2546" s="31"/>
      <c r="O2546" s="31"/>
      <c r="S2546" s="57"/>
      <c r="X2546" s="57"/>
    </row>
    <row r="2547" spans="1:24" hidden="1" x14ac:dyDescent="0.35">
      <c r="A2547">
        <v>2543</v>
      </c>
      <c r="B2547">
        <v>2544</v>
      </c>
      <c r="C2547">
        <v>146.09078799599899</v>
      </c>
      <c r="D2547">
        <v>-17.655921271099899</v>
      </c>
      <c r="G2547" s="92"/>
      <c r="I2547">
        <v>8</v>
      </c>
      <c r="J2547" t="s">
        <v>26</v>
      </c>
      <c r="K2547" s="57"/>
      <c r="L2547" s="31"/>
      <c r="M2547" s="31"/>
      <c r="N2547" s="31"/>
      <c r="O2547" s="31"/>
      <c r="S2547" s="57"/>
      <c r="X2547" s="57"/>
    </row>
    <row r="2548" spans="1:24" hidden="1" x14ac:dyDescent="0.35">
      <c r="A2548">
        <v>2544</v>
      </c>
      <c r="B2548">
        <v>2545</v>
      </c>
      <c r="C2548">
        <v>146.090766621</v>
      </c>
      <c r="D2548">
        <v>-17.656004412600002</v>
      </c>
      <c r="G2548" s="92"/>
      <c r="I2548">
        <v>8</v>
      </c>
      <c r="J2548" t="s">
        <v>26</v>
      </c>
      <c r="K2548" s="57"/>
      <c r="L2548" s="31"/>
      <c r="M2548" s="31"/>
      <c r="N2548" s="31"/>
      <c r="O2548" s="31"/>
      <c r="S2548" s="57"/>
      <c r="X2548" s="57"/>
    </row>
    <row r="2549" spans="1:24" hidden="1" x14ac:dyDescent="0.35">
      <c r="A2549">
        <v>2545</v>
      </c>
      <c r="B2549">
        <v>2546</v>
      </c>
      <c r="C2549">
        <v>146.09074524600001</v>
      </c>
      <c r="D2549">
        <v>-17.6560875539999</v>
      </c>
      <c r="G2549" s="92"/>
      <c r="I2549">
        <v>8</v>
      </c>
      <c r="J2549" t="s">
        <v>26</v>
      </c>
      <c r="K2549" s="57"/>
      <c r="L2549" s="31"/>
      <c r="M2549" s="31"/>
      <c r="N2549" s="31"/>
      <c r="O2549" s="31"/>
      <c r="S2549" s="57"/>
      <c r="X2549" s="57"/>
    </row>
    <row r="2550" spans="1:24" hidden="1" x14ac:dyDescent="0.35">
      <c r="A2550">
        <v>2546</v>
      </c>
      <c r="B2550">
        <v>2547</v>
      </c>
      <c r="C2550">
        <v>146.09072146899899</v>
      </c>
      <c r="D2550">
        <v>-17.656170096299899</v>
      </c>
      <c r="G2550" s="92"/>
      <c r="I2550">
        <v>8</v>
      </c>
      <c r="J2550" t="s">
        <v>26</v>
      </c>
      <c r="K2550" s="57"/>
      <c r="L2550" s="31"/>
      <c r="M2550" s="31"/>
      <c r="N2550" s="31"/>
      <c r="O2550" s="31"/>
      <c r="S2550" s="57"/>
      <c r="X2550" s="57"/>
    </row>
    <row r="2551" spans="1:24" hidden="1" x14ac:dyDescent="0.35">
      <c r="A2551">
        <v>2547</v>
      </c>
      <c r="B2551">
        <v>2548</v>
      </c>
      <c r="C2551">
        <v>146.090697368999</v>
      </c>
      <c r="D2551">
        <v>-17.656252558399899</v>
      </c>
      <c r="G2551" s="92"/>
      <c r="I2551">
        <v>8</v>
      </c>
      <c r="J2551" t="s">
        <v>26</v>
      </c>
      <c r="K2551" s="57"/>
      <c r="L2551" s="31"/>
      <c r="M2551" s="31"/>
      <c r="N2551" s="31"/>
      <c r="O2551" s="31"/>
      <c r="S2551" s="57"/>
      <c r="X2551" s="57"/>
    </row>
    <row r="2552" spans="1:24" hidden="1" x14ac:dyDescent="0.35">
      <c r="A2552">
        <v>2548</v>
      </c>
      <c r="B2552">
        <v>2549</v>
      </c>
      <c r="C2552">
        <v>146.090673269999</v>
      </c>
      <c r="D2552">
        <v>-17.6563350204</v>
      </c>
      <c r="G2552" s="92"/>
      <c r="I2552">
        <v>8</v>
      </c>
      <c r="J2552" t="s">
        <v>26</v>
      </c>
      <c r="K2552" s="57"/>
      <c r="L2552" s="31"/>
      <c r="M2552" s="31"/>
      <c r="N2552" s="31"/>
      <c r="O2552" s="31"/>
      <c r="S2552" s="57"/>
      <c r="X2552" s="57"/>
    </row>
    <row r="2553" spans="1:24" hidden="1" x14ac:dyDescent="0.35">
      <c r="A2553">
        <v>2549</v>
      </c>
      <c r="B2553">
        <v>2550</v>
      </c>
      <c r="C2553">
        <v>146.090655314</v>
      </c>
      <c r="D2553">
        <v>-17.656418638400002</v>
      </c>
      <c r="G2553" s="92"/>
      <c r="I2553">
        <v>8</v>
      </c>
      <c r="J2553" t="s">
        <v>26</v>
      </c>
      <c r="K2553" s="57"/>
      <c r="L2553" s="31"/>
      <c r="M2553" s="31"/>
      <c r="N2553" s="31"/>
      <c r="O2553" s="31"/>
      <c r="S2553" s="57"/>
      <c r="X2553" s="57"/>
    </row>
    <row r="2554" spans="1:24" hidden="1" x14ac:dyDescent="0.35">
      <c r="A2554">
        <v>2550</v>
      </c>
      <c r="B2554">
        <v>2551</v>
      </c>
      <c r="C2554">
        <v>146.090644706999</v>
      </c>
      <c r="D2554">
        <v>-17.6565036394</v>
      </c>
      <c r="G2554" s="92"/>
      <c r="I2554">
        <v>8</v>
      </c>
      <c r="J2554" t="s">
        <v>26</v>
      </c>
      <c r="K2554" s="57"/>
      <c r="L2554" s="31"/>
      <c r="M2554" s="31"/>
      <c r="N2554" s="31"/>
      <c r="O2554" s="31"/>
      <c r="S2554" s="57"/>
      <c r="X2554" s="57"/>
    </row>
    <row r="2555" spans="1:24" hidden="1" x14ac:dyDescent="0.35">
      <c r="A2555">
        <v>2551</v>
      </c>
      <c r="B2555">
        <v>2552</v>
      </c>
      <c r="C2555">
        <v>146.09063409999899</v>
      </c>
      <c r="D2555">
        <v>-17.656588640300001</v>
      </c>
      <c r="G2555" s="92"/>
      <c r="I2555">
        <v>8</v>
      </c>
      <c r="J2555" t="s">
        <v>26</v>
      </c>
      <c r="K2555" s="57"/>
      <c r="L2555" s="31"/>
      <c r="M2555" s="31"/>
      <c r="N2555" s="31"/>
      <c r="O2555" s="31"/>
      <c r="S2555" s="57"/>
      <c r="X2555" s="57"/>
    </row>
    <row r="2556" spans="1:24" hidden="1" x14ac:dyDescent="0.35">
      <c r="A2556">
        <v>2552</v>
      </c>
      <c r="B2556">
        <v>2553</v>
      </c>
      <c r="C2556">
        <v>146.09062349300001</v>
      </c>
      <c r="D2556">
        <v>-17.656673641200001</v>
      </c>
      <c r="G2556" s="92"/>
      <c r="I2556">
        <v>8</v>
      </c>
      <c r="J2556" t="s">
        <v>26</v>
      </c>
      <c r="K2556" s="57"/>
      <c r="L2556" s="31"/>
      <c r="M2556" s="31"/>
      <c r="N2556" s="31"/>
      <c r="O2556" s="31"/>
      <c r="S2556" s="57"/>
      <c r="X2556" s="57"/>
    </row>
    <row r="2557" spans="1:24" hidden="1" x14ac:dyDescent="0.35">
      <c r="A2557">
        <v>2553</v>
      </c>
      <c r="B2557">
        <v>2554</v>
      </c>
      <c r="C2557">
        <v>146.090612886999</v>
      </c>
      <c r="D2557">
        <v>-17.656758642</v>
      </c>
      <c r="G2557" s="92"/>
      <c r="I2557">
        <v>8</v>
      </c>
      <c r="J2557" t="s">
        <v>26</v>
      </c>
      <c r="K2557" s="57"/>
      <c r="L2557" s="31"/>
      <c r="M2557" s="31"/>
      <c r="N2557" s="31"/>
      <c r="O2557" s="31"/>
      <c r="S2557" s="57"/>
      <c r="X2557" s="57"/>
    </row>
    <row r="2558" spans="1:24" hidden="1" x14ac:dyDescent="0.35">
      <c r="A2558">
        <v>2554</v>
      </c>
      <c r="B2558">
        <v>2555</v>
      </c>
      <c r="C2558">
        <v>146.090600276</v>
      </c>
      <c r="D2558">
        <v>-17.656843358500002</v>
      </c>
      <c r="G2558" s="92"/>
      <c r="I2558">
        <v>8</v>
      </c>
      <c r="J2558" t="s">
        <v>26</v>
      </c>
      <c r="K2558" s="57"/>
      <c r="L2558" s="31"/>
      <c r="M2558" s="31"/>
      <c r="N2558" s="31"/>
      <c r="O2558" s="31"/>
      <c r="S2558" s="57"/>
      <c r="X2558" s="57"/>
    </row>
    <row r="2559" spans="1:24" hidden="1" x14ac:dyDescent="0.35">
      <c r="A2559">
        <v>2555</v>
      </c>
      <c r="B2559">
        <v>2556</v>
      </c>
      <c r="C2559">
        <v>146.09058442200001</v>
      </c>
      <c r="D2559">
        <v>-17.656927614200001</v>
      </c>
      <c r="G2559" s="92"/>
      <c r="I2559">
        <v>8</v>
      </c>
      <c r="J2559" t="s">
        <v>26</v>
      </c>
      <c r="K2559" s="57"/>
      <c r="L2559" s="31"/>
      <c r="M2559" s="31"/>
      <c r="N2559" s="31"/>
      <c r="O2559" s="31"/>
      <c r="S2559" s="57"/>
      <c r="X2559" s="57"/>
    </row>
    <row r="2560" spans="1:24" hidden="1" x14ac:dyDescent="0.35">
      <c r="A2560">
        <v>2556</v>
      </c>
      <c r="B2560">
        <v>2557</v>
      </c>
      <c r="C2560">
        <v>146.090568566999</v>
      </c>
      <c r="D2560">
        <v>-17.657011870000002</v>
      </c>
      <c r="G2560" s="92"/>
      <c r="I2560">
        <v>8</v>
      </c>
      <c r="J2560" t="s">
        <v>26</v>
      </c>
      <c r="K2560" s="57"/>
      <c r="L2560" s="31"/>
      <c r="M2560" s="31"/>
      <c r="N2560" s="31"/>
      <c r="O2560" s="31"/>
      <c r="S2560" s="57"/>
      <c r="X2560" s="57"/>
    </row>
    <row r="2561" spans="1:24" hidden="1" x14ac:dyDescent="0.35">
      <c r="A2561">
        <v>2557</v>
      </c>
      <c r="B2561">
        <v>2558</v>
      </c>
      <c r="C2561">
        <v>146.090552712</v>
      </c>
      <c r="D2561">
        <v>-17.657096125700001</v>
      </c>
      <c r="G2561" s="92"/>
      <c r="I2561">
        <v>8</v>
      </c>
      <c r="J2561" t="s">
        <v>26</v>
      </c>
      <c r="K2561" s="57"/>
      <c r="L2561" s="31"/>
      <c r="M2561" s="31"/>
      <c r="N2561" s="31"/>
      <c r="O2561" s="31"/>
      <c r="S2561" s="57"/>
      <c r="X2561" s="57"/>
    </row>
    <row r="2562" spans="1:24" hidden="1" x14ac:dyDescent="0.35">
      <c r="A2562">
        <v>2558</v>
      </c>
      <c r="B2562">
        <v>2559</v>
      </c>
      <c r="C2562">
        <v>146.09053685699899</v>
      </c>
      <c r="D2562">
        <v>-17.657180381300002</v>
      </c>
      <c r="G2562" s="92"/>
      <c r="I2562">
        <v>8</v>
      </c>
      <c r="J2562" t="s">
        <v>26</v>
      </c>
      <c r="K2562" s="57"/>
      <c r="L2562" s="31"/>
      <c r="M2562" s="31"/>
      <c r="N2562" s="31"/>
      <c r="O2562" s="31"/>
      <c r="S2562" s="57"/>
      <c r="X2562" s="57"/>
    </row>
    <row r="2563" spans="1:24" hidden="1" x14ac:dyDescent="0.35">
      <c r="A2563">
        <v>2559</v>
      </c>
      <c r="B2563">
        <v>2560</v>
      </c>
      <c r="C2563">
        <v>146.090515447</v>
      </c>
      <c r="D2563">
        <v>-17.6572633954999</v>
      </c>
      <c r="G2563" s="92"/>
      <c r="I2563">
        <v>8</v>
      </c>
      <c r="J2563" t="s">
        <v>26</v>
      </c>
      <c r="K2563" s="57"/>
      <c r="L2563" s="31"/>
      <c r="M2563" s="31"/>
      <c r="N2563" s="31"/>
      <c r="O2563" s="31"/>
      <c r="S2563" s="57"/>
      <c r="X2563" s="57"/>
    </row>
    <row r="2564" spans="1:24" hidden="1" x14ac:dyDescent="0.35">
      <c r="A2564">
        <v>2560</v>
      </c>
      <c r="B2564">
        <v>2561</v>
      </c>
      <c r="C2564">
        <v>146.090490337999</v>
      </c>
      <c r="D2564">
        <v>-17.657345583200001</v>
      </c>
      <c r="G2564" s="92"/>
      <c r="I2564">
        <v>8</v>
      </c>
      <c r="J2564" t="s">
        <v>26</v>
      </c>
      <c r="K2564" s="57"/>
      <c r="L2564" s="31"/>
      <c r="M2564" s="31"/>
      <c r="N2564" s="31"/>
      <c r="O2564" s="31"/>
      <c r="S2564" s="57"/>
      <c r="X2564" s="57"/>
    </row>
    <row r="2565" spans="1:24" hidden="1" x14ac:dyDescent="0.35">
      <c r="A2565">
        <v>2561</v>
      </c>
      <c r="B2565">
        <v>2562</v>
      </c>
      <c r="C2565">
        <v>146.09046523000001</v>
      </c>
      <c r="D2565">
        <v>-17.6574277709</v>
      </c>
      <c r="G2565" s="92"/>
      <c r="I2565">
        <v>8</v>
      </c>
      <c r="J2565" t="s">
        <v>26</v>
      </c>
      <c r="K2565" s="57"/>
      <c r="L2565" s="31"/>
      <c r="M2565" s="31"/>
      <c r="N2565" s="31"/>
      <c r="O2565" s="31"/>
      <c r="S2565" s="57"/>
      <c r="X2565" s="57"/>
    </row>
    <row r="2566" spans="1:24" hidden="1" x14ac:dyDescent="0.35">
      <c r="A2566">
        <v>2562</v>
      </c>
      <c r="B2566">
        <v>2563</v>
      </c>
      <c r="C2566">
        <v>146.090440121</v>
      </c>
      <c r="D2566">
        <v>-17.6575099585</v>
      </c>
      <c r="G2566" s="92"/>
      <c r="I2566">
        <v>8</v>
      </c>
      <c r="J2566" t="s">
        <v>26</v>
      </c>
      <c r="K2566" s="57"/>
      <c r="L2566" s="31"/>
      <c r="M2566" s="31"/>
      <c r="N2566" s="31"/>
      <c r="O2566" s="31"/>
      <c r="S2566" s="57"/>
      <c r="X2566" s="57"/>
    </row>
    <row r="2567" spans="1:24" hidden="1" x14ac:dyDescent="0.35">
      <c r="A2567">
        <v>2563</v>
      </c>
      <c r="B2567">
        <v>2564</v>
      </c>
      <c r="C2567">
        <v>146.09041501300001</v>
      </c>
      <c r="D2567">
        <v>-17.657592146100001</v>
      </c>
      <c r="G2567" s="92"/>
      <c r="I2567">
        <v>8</v>
      </c>
      <c r="J2567" t="s">
        <v>26</v>
      </c>
      <c r="K2567" s="57"/>
      <c r="L2567" s="31"/>
      <c r="M2567" s="31"/>
      <c r="N2567" s="31"/>
      <c r="O2567" s="31"/>
      <c r="S2567" s="57"/>
      <c r="X2567" s="57"/>
    </row>
    <row r="2568" spans="1:24" hidden="1" x14ac:dyDescent="0.35">
      <c r="A2568">
        <v>2564</v>
      </c>
      <c r="B2568">
        <v>2565</v>
      </c>
      <c r="C2568">
        <v>146.09038990400001</v>
      </c>
      <c r="D2568">
        <v>-17.6576743335999</v>
      </c>
      <c r="G2568" s="92"/>
      <c r="I2568">
        <v>8</v>
      </c>
      <c r="J2568" t="s">
        <v>26</v>
      </c>
      <c r="K2568" s="57"/>
      <c r="L2568" s="31"/>
      <c r="M2568" s="31"/>
      <c r="N2568" s="31"/>
      <c r="O2568" s="31"/>
      <c r="S2568" s="57"/>
      <c r="X2568" s="57"/>
    </row>
    <row r="2569" spans="1:24" hidden="1" x14ac:dyDescent="0.35">
      <c r="A2569">
        <v>2565</v>
      </c>
      <c r="B2569">
        <v>2566</v>
      </c>
      <c r="C2569">
        <v>146.090365851</v>
      </c>
      <c r="D2569">
        <v>-17.6577567934999</v>
      </c>
      <c r="G2569" s="92"/>
      <c r="I2569">
        <v>8</v>
      </c>
      <c r="J2569" t="s">
        <v>26</v>
      </c>
      <c r="K2569" s="57"/>
      <c r="L2569" s="31"/>
      <c r="M2569" s="31"/>
      <c r="N2569" s="31"/>
      <c r="O2569" s="31"/>
      <c r="S2569" s="57"/>
      <c r="X2569" s="57"/>
    </row>
    <row r="2570" spans="1:24" hidden="1" x14ac:dyDescent="0.35">
      <c r="A2570">
        <v>2566</v>
      </c>
      <c r="B2570">
        <v>2567</v>
      </c>
      <c r="C2570">
        <v>146.090343977</v>
      </c>
      <c r="D2570">
        <v>-17.6578398161999</v>
      </c>
      <c r="G2570" s="92"/>
      <c r="I2570">
        <v>8</v>
      </c>
      <c r="J2570" t="s">
        <v>26</v>
      </c>
      <c r="K2570" s="57"/>
      <c r="L2570" s="31"/>
      <c r="M2570" s="31"/>
      <c r="N2570" s="31"/>
      <c r="O2570" s="31"/>
      <c r="S2570" s="57"/>
      <c r="X2570" s="57"/>
    </row>
    <row r="2571" spans="1:24" hidden="1" x14ac:dyDescent="0.35">
      <c r="A2571">
        <v>2567</v>
      </c>
      <c r="B2571">
        <v>2568</v>
      </c>
      <c r="C2571">
        <v>146.09032210300001</v>
      </c>
      <c r="D2571">
        <v>-17.6579228388999</v>
      </c>
      <c r="G2571" s="92"/>
      <c r="I2571">
        <v>8</v>
      </c>
      <c r="J2571" t="s">
        <v>26</v>
      </c>
      <c r="K2571" s="57"/>
      <c r="L2571" s="31"/>
      <c r="M2571" s="31"/>
      <c r="N2571" s="31"/>
      <c r="O2571" s="31"/>
      <c r="S2571" s="57"/>
      <c r="X2571" s="57"/>
    </row>
    <row r="2572" spans="1:24" hidden="1" x14ac:dyDescent="0.35">
      <c r="A2572">
        <v>2568</v>
      </c>
      <c r="B2572">
        <v>2569</v>
      </c>
      <c r="C2572">
        <v>146.09030022900001</v>
      </c>
      <c r="D2572">
        <v>-17.658005861500001</v>
      </c>
      <c r="G2572" s="92"/>
      <c r="I2572">
        <v>8</v>
      </c>
      <c r="J2572" t="s">
        <v>26</v>
      </c>
      <c r="K2572" s="57"/>
      <c r="L2572" s="31"/>
      <c r="M2572" s="31"/>
      <c r="N2572" s="31"/>
      <c r="O2572" s="31"/>
      <c r="S2572" s="57"/>
      <c r="X2572" s="57"/>
    </row>
    <row r="2573" spans="1:24" hidden="1" x14ac:dyDescent="0.35">
      <c r="A2573">
        <v>2569</v>
      </c>
      <c r="B2573">
        <v>2570</v>
      </c>
      <c r="C2573">
        <v>146.090282293999</v>
      </c>
      <c r="D2573">
        <v>-17.6580894585999</v>
      </c>
      <c r="G2573" s="92"/>
      <c r="I2573">
        <v>8</v>
      </c>
      <c r="J2573" t="s">
        <v>26</v>
      </c>
      <c r="K2573" s="57"/>
      <c r="L2573" s="31"/>
      <c r="M2573" s="31"/>
      <c r="N2573" s="31"/>
      <c r="O2573" s="31"/>
      <c r="S2573" s="57"/>
      <c r="X2573" s="57"/>
    </row>
    <row r="2574" spans="1:24" hidden="1" x14ac:dyDescent="0.35">
      <c r="A2574">
        <v>2570</v>
      </c>
      <c r="B2574">
        <v>2571</v>
      </c>
      <c r="C2574">
        <v>146.09027979499899</v>
      </c>
      <c r="D2574">
        <v>-17.658175023399899</v>
      </c>
      <c r="G2574" s="92"/>
      <c r="I2574">
        <v>8</v>
      </c>
      <c r="J2574" t="s">
        <v>26</v>
      </c>
      <c r="K2574" s="57"/>
      <c r="L2574" s="31"/>
      <c r="M2574" s="31"/>
      <c r="N2574" s="31"/>
      <c r="O2574" s="31"/>
      <c r="S2574" s="57"/>
      <c r="X2574" s="57"/>
    </row>
    <row r="2575" spans="1:24" hidden="1" x14ac:dyDescent="0.35">
      <c r="A2575">
        <v>2571</v>
      </c>
      <c r="B2575">
        <v>2572</v>
      </c>
      <c r="C2575">
        <v>146.09027742500001</v>
      </c>
      <c r="D2575">
        <v>-17.6582605925</v>
      </c>
      <c r="G2575" s="92"/>
      <c r="I2575">
        <v>8</v>
      </c>
      <c r="J2575" t="s">
        <v>26</v>
      </c>
      <c r="K2575" s="57"/>
      <c r="L2575" s="31"/>
      <c r="M2575" s="31"/>
      <c r="N2575" s="31"/>
      <c r="O2575" s="31"/>
      <c r="S2575" s="57"/>
      <c r="X2575" s="57"/>
    </row>
    <row r="2576" spans="1:24" hidden="1" x14ac:dyDescent="0.35">
      <c r="A2576">
        <v>2572</v>
      </c>
      <c r="B2576">
        <v>2573</v>
      </c>
      <c r="C2576">
        <v>146.09027505399899</v>
      </c>
      <c r="D2576">
        <v>-17.658346161600001</v>
      </c>
      <c r="G2576" s="92"/>
      <c r="I2576">
        <v>8</v>
      </c>
      <c r="J2576" t="s">
        <v>26</v>
      </c>
      <c r="K2576" s="57"/>
      <c r="L2576" s="31"/>
      <c r="M2576" s="31"/>
      <c r="N2576" s="31"/>
      <c r="O2576" s="31"/>
      <c r="S2576" s="57"/>
      <c r="X2576" s="57"/>
    </row>
    <row r="2577" spans="1:24" hidden="1" x14ac:dyDescent="0.35">
      <c r="A2577">
        <v>2573</v>
      </c>
      <c r="B2577">
        <v>2574</v>
      </c>
      <c r="C2577">
        <v>146.090280153999</v>
      </c>
      <c r="D2577">
        <v>-17.658431240100001</v>
      </c>
      <c r="G2577" s="92"/>
      <c r="I2577">
        <v>8</v>
      </c>
      <c r="J2577" t="s">
        <v>26</v>
      </c>
      <c r="K2577" s="57"/>
      <c r="L2577" s="31"/>
      <c r="M2577" s="31"/>
      <c r="N2577" s="31"/>
      <c r="O2577" s="31"/>
      <c r="S2577" s="57"/>
      <c r="X2577" s="57"/>
    </row>
    <row r="2578" spans="1:24" hidden="1" x14ac:dyDescent="0.35">
      <c r="A2578">
        <v>2574</v>
      </c>
      <c r="B2578">
        <v>2575</v>
      </c>
      <c r="C2578">
        <v>146.09029481799899</v>
      </c>
      <c r="D2578">
        <v>-17.6585156907</v>
      </c>
      <c r="G2578" s="92"/>
      <c r="I2578">
        <v>8</v>
      </c>
      <c r="J2578" t="s">
        <v>26</v>
      </c>
      <c r="K2578" s="57"/>
      <c r="L2578" s="31"/>
      <c r="M2578" s="31"/>
      <c r="N2578" s="31"/>
      <c r="O2578" s="31"/>
      <c r="S2578" s="57"/>
      <c r="X2578" s="57"/>
    </row>
    <row r="2579" spans="1:24" hidden="1" x14ac:dyDescent="0.35">
      <c r="A2579">
        <v>2575</v>
      </c>
      <c r="B2579">
        <v>2576</v>
      </c>
      <c r="C2579">
        <v>146.090309482999</v>
      </c>
      <c r="D2579">
        <v>-17.658600141200001</v>
      </c>
      <c r="G2579" s="92"/>
      <c r="I2579">
        <v>8</v>
      </c>
      <c r="J2579" t="s">
        <v>26</v>
      </c>
      <c r="K2579" s="57"/>
      <c r="L2579" s="31"/>
      <c r="M2579" s="31"/>
      <c r="N2579" s="31"/>
      <c r="O2579" s="31"/>
      <c r="S2579" s="57"/>
      <c r="X2579" s="57"/>
    </row>
    <row r="2580" spans="1:24" hidden="1" x14ac:dyDescent="0.35">
      <c r="A2580">
        <v>2576</v>
      </c>
      <c r="B2580">
        <v>2577</v>
      </c>
      <c r="C2580">
        <v>146.090337484</v>
      </c>
      <c r="D2580">
        <v>-17.658680386</v>
      </c>
      <c r="G2580" s="92"/>
      <c r="I2580">
        <v>8</v>
      </c>
      <c r="J2580" t="s">
        <v>26</v>
      </c>
      <c r="K2580" s="57"/>
      <c r="L2580" s="31"/>
      <c r="M2580" s="31"/>
      <c r="N2580" s="31"/>
      <c r="O2580" s="31"/>
      <c r="S2580" s="57"/>
      <c r="X2580" s="57"/>
    </row>
    <row r="2581" spans="1:24" hidden="1" x14ac:dyDescent="0.35">
      <c r="A2581">
        <v>2577</v>
      </c>
      <c r="B2581">
        <v>2578</v>
      </c>
      <c r="C2581">
        <v>146.090378584999</v>
      </c>
      <c r="D2581">
        <v>-17.6587564999999</v>
      </c>
      <c r="G2581" s="92"/>
      <c r="I2581">
        <v>8</v>
      </c>
      <c r="J2581" t="s">
        <v>26</v>
      </c>
      <c r="K2581" s="57"/>
      <c r="L2581" s="31"/>
      <c r="M2581" s="31"/>
      <c r="N2581" s="31"/>
      <c r="O2581" s="31"/>
      <c r="S2581" s="57"/>
      <c r="X2581" s="57"/>
    </row>
    <row r="2582" spans="1:24" hidden="1" x14ac:dyDescent="0.35">
      <c r="A2582">
        <v>2578</v>
      </c>
      <c r="B2582">
        <v>2579</v>
      </c>
      <c r="C2582">
        <v>146.090434864999</v>
      </c>
      <c r="D2582">
        <v>-17.6588210622999</v>
      </c>
      <c r="G2582" s="92"/>
      <c r="I2582">
        <v>8</v>
      </c>
      <c r="J2582" t="s">
        <v>26</v>
      </c>
      <c r="K2582" s="57"/>
      <c r="L2582" s="31"/>
      <c r="M2582" s="31"/>
      <c r="N2582" s="31"/>
      <c r="O2582" s="31"/>
      <c r="S2582" s="57"/>
      <c r="X2582" s="57"/>
    </row>
    <row r="2583" spans="1:24" hidden="1" x14ac:dyDescent="0.35">
      <c r="A2583">
        <v>2579</v>
      </c>
      <c r="B2583">
        <v>2580</v>
      </c>
      <c r="C2583">
        <v>146.090503673</v>
      </c>
      <c r="D2583">
        <v>-17.658876092700002</v>
      </c>
      <c r="G2583" s="92"/>
      <c r="I2583">
        <v>8</v>
      </c>
      <c r="J2583" t="s">
        <v>26</v>
      </c>
      <c r="K2583" s="57"/>
      <c r="L2583" s="31"/>
      <c r="M2583" s="31"/>
      <c r="N2583" s="31"/>
      <c r="O2583" s="31"/>
      <c r="S2583" s="57"/>
      <c r="X2583" s="57"/>
    </row>
    <row r="2584" spans="1:24" hidden="1" x14ac:dyDescent="0.35">
      <c r="A2584">
        <v>2580</v>
      </c>
      <c r="B2584">
        <v>2581</v>
      </c>
      <c r="C2584">
        <v>146.090573390999</v>
      </c>
      <c r="D2584">
        <v>-17.6589298534</v>
      </c>
      <c r="G2584" s="92"/>
      <c r="I2584">
        <v>8</v>
      </c>
      <c r="J2584" t="s">
        <v>26</v>
      </c>
      <c r="K2584" s="57"/>
      <c r="L2584" s="31"/>
      <c r="M2584" s="31"/>
      <c r="N2584" s="31"/>
      <c r="O2584" s="31"/>
      <c r="S2584" s="57"/>
      <c r="X2584" s="57"/>
    </row>
    <row r="2585" spans="1:24" hidden="1" x14ac:dyDescent="0.35">
      <c r="A2585">
        <v>2581</v>
      </c>
      <c r="B2585">
        <v>2582</v>
      </c>
      <c r="C2585">
        <v>146.09065216900001</v>
      </c>
      <c r="D2585">
        <v>-17.658970991</v>
      </c>
      <c r="G2585" s="92"/>
      <c r="I2585">
        <v>8</v>
      </c>
      <c r="J2585" t="s">
        <v>26</v>
      </c>
      <c r="K2585" s="57"/>
      <c r="L2585" s="31"/>
      <c r="M2585" s="31"/>
      <c r="N2585" s="31"/>
      <c r="O2585" s="31"/>
      <c r="S2585" s="57"/>
      <c r="X2585" s="57"/>
    </row>
    <row r="2586" spans="1:24" hidden="1" x14ac:dyDescent="0.35">
      <c r="A2586">
        <v>2582</v>
      </c>
      <c r="B2586">
        <v>2583</v>
      </c>
      <c r="C2586">
        <v>146.09073094600001</v>
      </c>
      <c r="D2586">
        <v>-17.659012128600001</v>
      </c>
      <c r="G2586" s="92"/>
      <c r="I2586">
        <v>8</v>
      </c>
      <c r="J2586" t="s">
        <v>26</v>
      </c>
      <c r="K2586" s="57"/>
      <c r="L2586" s="31"/>
      <c r="M2586" s="31"/>
      <c r="N2586" s="31"/>
      <c r="O2586" s="31"/>
      <c r="S2586" s="57"/>
      <c r="X2586" s="57"/>
    </row>
    <row r="2587" spans="1:24" hidden="1" x14ac:dyDescent="0.35">
      <c r="A2587">
        <v>2583</v>
      </c>
      <c r="B2587">
        <v>2584</v>
      </c>
      <c r="C2587">
        <v>146.090809723999</v>
      </c>
      <c r="D2587">
        <v>-17.659053266200001</v>
      </c>
      <c r="G2587" s="92"/>
      <c r="I2587">
        <v>8</v>
      </c>
      <c r="J2587" t="s">
        <v>26</v>
      </c>
      <c r="K2587" s="57"/>
      <c r="L2587" s="31"/>
      <c r="M2587" s="31"/>
      <c r="N2587" s="31"/>
      <c r="O2587" s="31"/>
      <c r="S2587" s="57"/>
      <c r="X2587" s="57"/>
    </row>
    <row r="2588" spans="1:24" hidden="1" x14ac:dyDescent="0.35">
      <c r="A2588">
        <v>2584</v>
      </c>
      <c r="B2588">
        <v>2585</v>
      </c>
      <c r="C2588">
        <v>146.09089294500001</v>
      </c>
      <c r="D2588">
        <v>-17.659082055100001</v>
      </c>
      <c r="G2588" s="92"/>
      <c r="I2588">
        <v>8</v>
      </c>
      <c r="J2588" t="s">
        <v>26</v>
      </c>
      <c r="K2588" s="57"/>
      <c r="L2588" s="31"/>
      <c r="M2588" s="31"/>
      <c r="N2588" s="31"/>
      <c r="O2588" s="31"/>
      <c r="S2588" s="57"/>
      <c r="X2588" s="57"/>
    </row>
    <row r="2589" spans="1:24" hidden="1" x14ac:dyDescent="0.35">
      <c r="A2589">
        <v>2585</v>
      </c>
      <c r="B2589">
        <v>2586</v>
      </c>
      <c r="C2589">
        <v>146.09098163900001</v>
      </c>
      <c r="D2589">
        <v>-17.659095634100002</v>
      </c>
      <c r="G2589" s="92"/>
      <c r="I2589">
        <v>8</v>
      </c>
      <c r="J2589" t="s">
        <v>26</v>
      </c>
      <c r="K2589" s="57"/>
      <c r="L2589" s="31"/>
      <c r="M2589" s="31"/>
      <c r="N2589" s="31"/>
      <c r="O2589" s="31"/>
      <c r="S2589" s="57"/>
      <c r="X2589" s="57"/>
    </row>
    <row r="2590" spans="1:24" hidden="1" x14ac:dyDescent="0.35">
      <c r="A2590">
        <v>2586</v>
      </c>
      <c r="B2590">
        <v>2587</v>
      </c>
      <c r="C2590">
        <v>146.091070333</v>
      </c>
      <c r="D2590">
        <v>-17.659109213000001</v>
      </c>
      <c r="G2590" s="92"/>
      <c r="I2590">
        <v>8</v>
      </c>
      <c r="J2590" t="s">
        <v>26</v>
      </c>
      <c r="K2590" s="57"/>
      <c r="L2590" s="31"/>
      <c r="M2590" s="31"/>
      <c r="N2590" s="31"/>
      <c r="O2590" s="31"/>
      <c r="S2590" s="57"/>
      <c r="X2590" s="57"/>
    </row>
    <row r="2591" spans="1:24" hidden="1" x14ac:dyDescent="0.35">
      <c r="A2591">
        <v>2587</v>
      </c>
      <c r="B2591">
        <v>2588</v>
      </c>
      <c r="C2591">
        <v>146.091159027</v>
      </c>
      <c r="D2591">
        <v>-17.6591227919</v>
      </c>
      <c r="G2591" s="92"/>
      <c r="I2591">
        <v>8</v>
      </c>
      <c r="J2591" t="s">
        <v>26</v>
      </c>
      <c r="K2591" s="57"/>
      <c r="L2591" s="31"/>
      <c r="M2591" s="31"/>
      <c r="N2591" s="31"/>
      <c r="O2591" s="31"/>
      <c r="S2591" s="57"/>
      <c r="X2591" s="57"/>
    </row>
    <row r="2592" spans="1:24" hidden="1" x14ac:dyDescent="0.35">
      <c r="A2592">
        <v>2588</v>
      </c>
      <c r="B2592">
        <v>2589</v>
      </c>
      <c r="C2592">
        <v>146.091247721</v>
      </c>
      <c r="D2592">
        <v>-17.659136370799899</v>
      </c>
      <c r="G2592" s="92"/>
      <c r="I2592">
        <v>8</v>
      </c>
      <c r="J2592" t="s">
        <v>26</v>
      </c>
      <c r="K2592" s="57"/>
      <c r="L2592" s="31"/>
      <c r="M2592" s="31"/>
      <c r="N2592" s="31"/>
      <c r="O2592" s="31"/>
      <c r="S2592" s="57"/>
      <c r="X2592" s="57"/>
    </row>
    <row r="2593" spans="1:24" hidden="1" x14ac:dyDescent="0.35">
      <c r="A2593">
        <v>2589</v>
      </c>
      <c r="B2593">
        <v>2590</v>
      </c>
      <c r="C2593">
        <v>146.091336415</v>
      </c>
      <c r="D2593">
        <v>-17.659149949700002</v>
      </c>
      <c r="G2593" s="92"/>
      <c r="I2593">
        <v>8</v>
      </c>
      <c r="J2593" t="s">
        <v>26</v>
      </c>
      <c r="K2593" s="57"/>
      <c r="L2593" s="31"/>
      <c r="M2593" s="31"/>
      <c r="N2593" s="31"/>
      <c r="O2593" s="31"/>
      <c r="S2593" s="57"/>
      <c r="X2593" s="57"/>
    </row>
    <row r="2594" spans="1:24" hidden="1" x14ac:dyDescent="0.35">
      <c r="A2594">
        <v>2590</v>
      </c>
      <c r="B2594">
        <v>2591</v>
      </c>
      <c r="C2594">
        <v>146.091425108999</v>
      </c>
      <c r="D2594">
        <v>-17.659163528600001</v>
      </c>
      <c r="G2594" s="92"/>
      <c r="I2594">
        <v>8</v>
      </c>
      <c r="J2594" t="s">
        <v>26</v>
      </c>
      <c r="K2594" s="57"/>
      <c r="L2594" s="31"/>
      <c r="M2594" s="31"/>
      <c r="N2594" s="31"/>
      <c r="O2594" s="31"/>
      <c r="S2594" s="57"/>
      <c r="X2594" s="57"/>
    </row>
    <row r="2595" spans="1:24" hidden="1" x14ac:dyDescent="0.35">
      <c r="A2595">
        <v>2591</v>
      </c>
      <c r="B2595">
        <v>2592</v>
      </c>
      <c r="C2595">
        <v>146.09151364600001</v>
      </c>
      <c r="D2595">
        <v>-17.659177978100001</v>
      </c>
      <c r="G2595" s="92"/>
      <c r="I2595">
        <v>8</v>
      </c>
      <c r="J2595" t="s">
        <v>26</v>
      </c>
      <c r="K2595" s="57"/>
      <c r="L2595" s="31"/>
      <c r="M2595" s="31"/>
      <c r="N2595" s="31"/>
      <c r="O2595" s="31"/>
      <c r="S2595" s="57"/>
      <c r="X2595" s="57"/>
    </row>
    <row r="2596" spans="1:24" hidden="1" x14ac:dyDescent="0.35">
      <c r="A2596">
        <v>2592</v>
      </c>
      <c r="B2596">
        <v>2593</v>
      </c>
      <c r="C2596">
        <v>146.091602002</v>
      </c>
      <c r="D2596">
        <v>-17.659193427600002</v>
      </c>
      <c r="G2596" s="92"/>
      <c r="I2596">
        <v>8</v>
      </c>
      <c r="J2596" t="s">
        <v>26</v>
      </c>
      <c r="K2596" s="57"/>
      <c r="L2596" s="31"/>
      <c r="M2596" s="31"/>
      <c r="N2596" s="31"/>
      <c r="O2596" s="31"/>
      <c r="S2596" s="57"/>
      <c r="X2596" s="57"/>
    </row>
    <row r="2597" spans="1:24" hidden="1" x14ac:dyDescent="0.35">
      <c r="A2597">
        <v>2593</v>
      </c>
      <c r="B2597">
        <v>2594</v>
      </c>
      <c r="C2597">
        <v>146.091690357999</v>
      </c>
      <c r="D2597">
        <v>-17.659208877000001</v>
      </c>
      <c r="G2597" s="92"/>
      <c r="I2597">
        <v>8</v>
      </c>
      <c r="J2597" t="s">
        <v>26</v>
      </c>
      <c r="K2597" s="57"/>
      <c r="L2597" s="31"/>
      <c r="M2597" s="31"/>
      <c r="N2597" s="31"/>
      <c r="O2597" s="31"/>
      <c r="S2597" s="57"/>
      <c r="X2597" s="57"/>
    </row>
    <row r="2598" spans="1:24" hidden="1" x14ac:dyDescent="0.35">
      <c r="A2598">
        <v>2594</v>
      </c>
      <c r="B2598">
        <v>2595</v>
      </c>
      <c r="C2598">
        <v>146.09177871399899</v>
      </c>
      <c r="D2598">
        <v>-17.659224326499899</v>
      </c>
      <c r="G2598" s="92"/>
      <c r="I2598">
        <v>8</v>
      </c>
      <c r="J2598" t="s">
        <v>26</v>
      </c>
      <c r="K2598" s="57"/>
      <c r="L2598" s="31"/>
      <c r="M2598" s="31"/>
      <c r="N2598" s="31"/>
      <c r="O2598" s="31"/>
      <c r="S2598" s="57"/>
      <c r="X2598" s="57"/>
    </row>
    <row r="2599" spans="1:24" hidden="1" x14ac:dyDescent="0.35">
      <c r="A2599">
        <v>2595</v>
      </c>
      <c r="B2599">
        <v>2596</v>
      </c>
      <c r="C2599">
        <v>146.091867070999</v>
      </c>
      <c r="D2599">
        <v>-17.659239775900001</v>
      </c>
      <c r="G2599" s="92"/>
      <c r="I2599">
        <v>8</v>
      </c>
      <c r="J2599" t="s">
        <v>26</v>
      </c>
      <c r="K2599" s="57"/>
      <c r="L2599" s="31"/>
      <c r="M2599" s="31"/>
      <c r="N2599" s="31"/>
      <c r="O2599" s="31"/>
      <c r="S2599" s="57"/>
      <c r="X2599" s="57"/>
    </row>
    <row r="2600" spans="1:24" hidden="1" x14ac:dyDescent="0.35">
      <c r="A2600">
        <v>2596</v>
      </c>
      <c r="B2600">
        <v>2597</v>
      </c>
      <c r="C2600">
        <v>146.091955823999</v>
      </c>
      <c r="D2600">
        <v>-17.6592519897</v>
      </c>
      <c r="G2600" s="92"/>
      <c r="I2600">
        <v>8</v>
      </c>
      <c r="J2600" t="s">
        <v>26</v>
      </c>
      <c r="K2600" s="57"/>
      <c r="L2600" s="31"/>
      <c r="M2600" s="31"/>
      <c r="N2600" s="31"/>
      <c r="O2600" s="31"/>
      <c r="S2600" s="57"/>
      <c r="X2600" s="57"/>
    </row>
    <row r="2601" spans="1:24" hidden="1" x14ac:dyDescent="0.35">
      <c r="A2601">
        <v>2597</v>
      </c>
      <c r="B2601">
        <v>2598</v>
      </c>
      <c r="C2601">
        <v>146.092045536999</v>
      </c>
      <c r="D2601">
        <v>-17.6592563737</v>
      </c>
      <c r="G2601" s="92"/>
      <c r="I2601">
        <v>8</v>
      </c>
      <c r="J2601" t="s">
        <v>26</v>
      </c>
      <c r="K2601" s="57"/>
      <c r="L2601" s="31"/>
      <c r="M2601" s="31"/>
      <c r="N2601" s="31"/>
      <c r="O2601" s="31"/>
      <c r="S2601" s="57"/>
      <c r="X2601" s="57"/>
    </row>
    <row r="2602" spans="1:24" hidden="1" x14ac:dyDescent="0.35">
      <c r="A2602">
        <v>2598</v>
      </c>
      <c r="B2602">
        <v>2599</v>
      </c>
      <c r="C2602">
        <v>146.092135251</v>
      </c>
      <c r="D2602">
        <v>-17.6592607577</v>
      </c>
      <c r="G2602" s="92"/>
      <c r="I2602">
        <v>8</v>
      </c>
      <c r="J2602" t="s">
        <v>26</v>
      </c>
      <c r="K2602" s="57"/>
      <c r="L2602" s="31"/>
      <c r="M2602" s="31"/>
      <c r="N2602" s="31"/>
      <c r="O2602" s="31"/>
      <c r="S2602" s="57"/>
      <c r="X2602" s="57"/>
    </row>
    <row r="2603" spans="1:24" hidden="1" x14ac:dyDescent="0.35">
      <c r="A2603">
        <v>2599</v>
      </c>
      <c r="B2603">
        <v>2600</v>
      </c>
      <c r="C2603">
        <v>146.09222496500001</v>
      </c>
      <c r="D2603">
        <v>-17.659265141700001</v>
      </c>
      <c r="G2603" s="92"/>
      <c r="I2603">
        <v>8</v>
      </c>
      <c r="J2603" t="s">
        <v>26</v>
      </c>
      <c r="K2603" s="57"/>
      <c r="L2603" s="31"/>
      <c r="M2603" s="31"/>
      <c r="N2603" s="31"/>
      <c r="O2603" s="31"/>
      <c r="S2603" s="57"/>
      <c r="X2603" s="57"/>
    </row>
    <row r="2604" spans="1:24" hidden="1" x14ac:dyDescent="0.35">
      <c r="A2604">
        <v>2600</v>
      </c>
      <c r="B2604">
        <v>2601</v>
      </c>
      <c r="C2604">
        <v>146.09231467800001</v>
      </c>
      <c r="D2604">
        <v>-17.659269525700001</v>
      </c>
      <c r="G2604" s="92"/>
      <c r="I2604">
        <v>8</v>
      </c>
      <c r="J2604" t="s">
        <v>26</v>
      </c>
      <c r="K2604" s="57"/>
      <c r="L2604" s="31"/>
      <c r="M2604" s="31"/>
      <c r="N2604" s="31"/>
      <c r="O2604" s="31"/>
      <c r="S2604" s="57"/>
      <c r="X2604" s="57"/>
    </row>
    <row r="2605" spans="1:24" hidden="1" x14ac:dyDescent="0.35">
      <c r="A2605">
        <v>2601</v>
      </c>
      <c r="B2605">
        <v>2602</v>
      </c>
      <c r="C2605">
        <v>146.092404391999</v>
      </c>
      <c r="D2605">
        <v>-17.659273909700001</v>
      </c>
      <c r="G2605" s="92"/>
      <c r="I2605">
        <v>8</v>
      </c>
      <c r="J2605" t="s">
        <v>26</v>
      </c>
      <c r="K2605" s="57"/>
      <c r="L2605" s="31"/>
      <c r="M2605" s="31"/>
      <c r="N2605" s="31"/>
      <c r="O2605" s="31"/>
      <c r="S2605" s="57"/>
      <c r="X2605" s="57"/>
    </row>
    <row r="2606" spans="1:24" hidden="1" x14ac:dyDescent="0.35">
      <c r="A2606">
        <v>2602</v>
      </c>
      <c r="B2606">
        <v>2603</v>
      </c>
      <c r="C2606">
        <v>146.092493762</v>
      </c>
      <c r="D2606">
        <v>-17.659265756500002</v>
      </c>
      <c r="G2606" s="92"/>
      <c r="I2606">
        <v>8</v>
      </c>
      <c r="J2606" t="s">
        <v>26</v>
      </c>
      <c r="K2606" s="57"/>
      <c r="L2606" s="31"/>
      <c r="M2606" s="31"/>
      <c r="N2606" s="31"/>
      <c r="O2606" s="31"/>
      <c r="S2606" s="57"/>
      <c r="X2606" s="57"/>
    </row>
    <row r="2607" spans="1:24" hidden="1" x14ac:dyDescent="0.35">
      <c r="A2607">
        <v>2603</v>
      </c>
      <c r="B2607">
        <v>2604</v>
      </c>
      <c r="C2607">
        <v>146.092583112</v>
      </c>
      <c r="D2607">
        <v>-17.659256912299899</v>
      </c>
      <c r="G2607" s="92"/>
      <c r="I2607">
        <v>8</v>
      </c>
      <c r="J2607" t="s">
        <v>26</v>
      </c>
      <c r="K2607" s="57"/>
      <c r="L2607" s="31"/>
      <c r="M2607" s="31"/>
      <c r="N2607" s="31"/>
      <c r="O2607" s="31"/>
      <c r="S2607" s="57"/>
      <c r="X2607" s="57"/>
    </row>
    <row r="2608" spans="1:24" hidden="1" x14ac:dyDescent="0.35">
      <c r="A2608">
        <v>2604</v>
      </c>
      <c r="B2608">
        <v>2605</v>
      </c>
      <c r="C2608">
        <v>146.09267246300001</v>
      </c>
      <c r="D2608">
        <v>-17.6592480682</v>
      </c>
      <c r="G2608" s="92"/>
      <c r="I2608">
        <v>8</v>
      </c>
      <c r="J2608" t="s">
        <v>26</v>
      </c>
      <c r="K2608" s="57"/>
      <c r="L2608" s="31"/>
      <c r="M2608" s="31"/>
      <c r="N2608" s="31"/>
      <c r="O2608" s="31"/>
      <c r="S2608" s="57"/>
      <c r="X2608" s="57"/>
    </row>
    <row r="2609" spans="1:24" hidden="1" x14ac:dyDescent="0.35">
      <c r="A2609">
        <v>2605</v>
      </c>
      <c r="B2609">
        <v>2606</v>
      </c>
      <c r="C2609">
        <v>146.092753509999</v>
      </c>
      <c r="D2609">
        <v>-17.659212466100001</v>
      </c>
      <c r="G2609" s="92"/>
      <c r="I2609">
        <v>8</v>
      </c>
      <c r="J2609" t="s">
        <v>26</v>
      </c>
      <c r="K2609" s="57"/>
      <c r="L2609" s="31"/>
      <c r="M2609" s="31"/>
      <c r="N2609" s="31"/>
      <c r="O2609" s="31"/>
      <c r="S2609" s="57"/>
      <c r="X2609" s="57"/>
    </row>
    <row r="2610" spans="1:24" hidden="1" x14ac:dyDescent="0.35">
      <c r="A2610">
        <v>2606</v>
      </c>
      <c r="B2610">
        <v>2607</v>
      </c>
      <c r="C2610">
        <v>146.092833538999</v>
      </c>
      <c r="D2610">
        <v>-17.6591735838999</v>
      </c>
      <c r="G2610" s="92"/>
      <c r="I2610">
        <v>8</v>
      </c>
      <c r="J2610" t="s">
        <v>26</v>
      </c>
      <c r="K2610" s="57"/>
      <c r="L2610" s="31"/>
      <c r="M2610" s="31"/>
      <c r="N2610" s="31"/>
      <c r="O2610" s="31"/>
      <c r="S2610" s="57"/>
      <c r="X2610" s="57"/>
    </row>
    <row r="2611" spans="1:24" hidden="1" x14ac:dyDescent="0.35">
      <c r="A2611">
        <v>2607</v>
      </c>
      <c r="B2611">
        <v>2608</v>
      </c>
      <c r="C2611">
        <v>146.092913568</v>
      </c>
      <c r="D2611">
        <v>-17.659134701700001</v>
      </c>
      <c r="G2611" s="92"/>
      <c r="I2611">
        <v>8</v>
      </c>
      <c r="J2611" t="s">
        <v>26</v>
      </c>
      <c r="K2611" s="57"/>
      <c r="L2611" s="31"/>
      <c r="M2611" s="31"/>
      <c r="N2611" s="31"/>
      <c r="O2611" s="31"/>
      <c r="S2611" s="57"/>
      <c r="X2611" s="57"/>
    </row>
    <row r="2612" spans="1:24" hidden="1" x14ac:dyDescent="0.35">
      <c r="A2612">
        <v>2608</v>
      </c>
      <c r="B2612">
        <v>2609</v>
      </c>
      <c r="C2612">
        <v>146.09298694</v>
      </c>
      <c r="D2612">
        <v>-17.659087959600001</v>
      </c>
      <c r="G2612" s="92"/>
      <c r="I2612">
        <v>8</v>
      </c>
      <c r="J2612" t="s">
        <v>26</v>
      </c>
      <c r="K2612" s="57"/>
      <c r="L2612" s="31"/>
      <c r="M2612" s="31"/>
      <c r="N2612" s="31"/>
      <c r="O2612" s="31"/>
      <c r="S2612" s="57"/>
      <c r="X2612" s="57"/>
    </row>
    <row r="2613" spans="1:24" hidden="1" x14ac:dyDescent="0.35">
      <c r="A2613">
        <v>2609</v>
      </c>
      <c r="B2613">
        <v>2610</v>
      </c>
      <c r="C2613">
        <v>146.09304371299899</v>
      </c>
      <c r="D2613">
        <v>-17.6590216234999</v>
      </c>
      <c r="G2613" s="92"/>
      <c r="I2613">
        <v>8</v>
      </c>
      <c r="J2613" t="s">
        <v>26</v>
      </c>
      <c r="K2613" s="57"/>
      <c r="L2613" s="31"/>
      <c r="M2613" s="31"/>
      <c r="N2613" s="31"/>
      <c r="O2613" s="31"/>
      <c r="S2613" s="57"/>
      <c r="X2613" s="57"/>
    </row>
    <row r="2614" spans="1:24" hidden="1" x14ac:dyDescent="0.35">
      <c r="A2614">
        <v>2610</v>
      </c>
      <c r="B2614">
        <v>2611</v>
      </c>
      <c r="C2614">
        <v>146.093100485999</v>
      </c>
      <c r="D2614">
        <v>-17.6589552871</v>
      </c>
      <c r="G2614" s="92"/>
      <c r="I2614">
        <v>8</v>
      </c>
      <c r="J2614" t="s">
        <v>26</v>
      </c>
      <c r="K2614" s="57"/>
      <c r="L2614" s="31"/>
      <c r="M2614" s="31"/>
      <c r="N2614" s="31"/>
      <c r="O2614" s="31"/>
      <c r="S2614" s="57"/>
      <c r="X2614" s="57"/>
    </row>
    <row r="2615" spans="1:24" hidden="1" x14ac:dyDescent="0.35">
      <c r="A2615">
        <v>2611</v>
      </c>
      <c r="B2615">
        <v>2612</v>
      </c>
      <c r="C2615">
        <v>146.093157259999</v>
      </c>
      <c r="D2615">
        <v>-17.6588889507</v>
      </c>
      <c r="G2615" s="92"/>
      <c r="I2615">
        <v>8</v>
      </c>
      <c r="J2615" t="s">
        <v>26</v>
      </c>
      <c r="K2615" s="57"/>
      <c r="L2615" s="31"/>
      <c r="M2615" s="31"/>
      <c r="N2615" s="31"/>
      <c r="O2615" s="31"/>
      <c r="S2615" s="57"/>
      <c r="X2615" s="57"/>
    </row>
    <row r="2616" spans="1:24" hidden="1" x14ac:dyDescent="0.35">
      <c r="A2616">
        <v>2612</v>
      </c>
      <c r="B2616">
        <v>2613</v>
      </c>
      <c r="C2616">
        <v>146.093209223999</v>
      </c>
      <c r="D2616">
        <v>-17.658819157300002</v>
      </c>
      <c r="G2616" s="92"/>
      <c r="I2616">
        <v>8</v>
      </c>
      <c r="J2616" t="s">
        <v>26</v>
      </c>
      <c r="K2616" s="57"/>
      <c r="L2616" s="31"/>
      <c r="M2616" s="31"/>
      <c r="N2616" s="31"/>
      <c r="O2616" s="31"/>
      <c r="S2616" s="57"/>
      <c r="X2616" s="57"/>
    </row>
    <row r="2617" spans="1:24" hidden="1" x14ac:dyDescent="0.35">
      <c r="A2617">
        <v>2613</v>
      </c>
      <c r="B2617">
        <v>2614</v>
      </c>
      <c r="C2617">
        <v>146.09326057800001</v>
      </c>
      <c r="D2617">
        <v>-17.6587489250999</v>
      </c>
      <c r="G2617" s="92"/>
      <c r="I2617">
        <v>8</v>
      </c>
      <c r="J2617" t="s">
        <v>26</v>
      </c>
      <c r="K2617" s="57"/>
      <c r="L2617" s="31"/>
      <c r="M2617" s="31"/>
      <c r="N2617" s="31"/>
      <c r="O2617" s="31"/>
      <c r="S2617" s="57"/>
      <c r="X2617" s="57"/>
    </row>
    <row r="2618" spans="1:24" hidden="1" x14ac:dyDescent="0.35">
      <c r="A2618">
        <v>2614</v>
      </c>
      <c r="B2618">
        <v>2615</v>
      </c>
      <c r="C2618">
        <v>146.09331193200001</v>
      </c>
      <c r="D2618">
        <v>-17.658678692799899</v>
      </c>
      <c r="G2618" s="92"/>
      <c r="I2618">
        <v>8</v>
      </c>
      <c r="J2618" t="s">
        <v>26</v>
      </c>
      <c r="K2618" s="57"/>
      <c r="L2618" s="31"/>
      <c r="M2618" s="31"/>
      <c r="N2618" s="31"/>
      <c r="O2618" s="31"/>
      <c r="S2618" s="57"/>
      <c r="X2618" s="57"/>
    </row>
    <row r="2619" spans="1:24" hidden="1" x14ac:dyDescent="0.35">
      <c r="A2619">
        <v>2615</v>
      </c>
      <c r="B2619">
        <v>2616</v>
      </c>
      <c r="C2619">
        <v>146.093363285999</v>
      </c>
      <c r="D2619">
        <v>-17.6586084604</v>
      </c>
      <c r="G2619" s="92"/>
      <c r="I2619">
        <v>8</v>
      </c>
      <c r="J2619" t="s">
        <v>26</v>
      </c>
      <c r="K2619" s="57"/>
      <c r="L2619" s="31"/>
      <c r="M2619" s="31"/>
      <c r="N2619" s="31"/>
      <c r="O2619" s="31"/>
      <c r="S2619" s="57"/>
      <c r="X2619" s="57"/>
    </row>
    <row r="2620" spans="1:24" hidden="1" x14ac:dyDescent="0.35">
      <c r="A2620">
        <v>2616</v>
      </c>
      <c r="B2620">
        <v>2617</v>
      </c>
      <c r="C2620">
        <v>146.093414639999</v>
      </c>
      <c r="D2620">
        <v>-17.6585382280999</v>
      </c>
      <c r="G2620" s="92"/>
      <c r="I2620">
        <v>8</v>
      </c>
      <c r="J2620" t="s">
        <v>26</v>
      </c>
      <c r="K2620" s="57"/>
      <c r="L2620" s="31"/>
      <c r="M2620" s="31"/>
      <c r="N2620" s="31"/>
      <c r="O2620" s="31"/>
      <c r="S2620" s="57"/>
      <c r="X2620" s="57"/>
    </row>
    <row r="2621" spans="1:24" hidden="1" x14ac:dyDescent="0.35">
      <c r="A2621">
        <v>2617</v>
      </c>
      <c r="B2621">
        <v>2618</v>
      </c>
      <c r="C2621">
        <v>146.09347320800001</v>
      </c>
      <c r="D2621">
        <v>-17.658473342499899</v>
      </c>
      <c r="G2621" s="92"/>
      <c r="I2621">
        <v>8</v>
      </c>
      <c r="J2621" t="s">
        <v>26</v>
      </c>
      <c r="K2621" s="57"/>
      <c r="L2621" s="31"/>
      <c r="M2621" s="31"/>
      <c r="N2621" s="31"/>
      <c r="O2621" s="31"/>
      <c r="S2621" s="57"/>
      <c r="X2621" s="57"/>
    </row>
    <row r="2622" spans="1:24" hidden="1" x14ac:dyDescent="0.35">
      <c r="A2622">
        <v>2618</v>
      </c>
      <c r="B2622">
        <v>2619</v>
      </c>
      <c r="C2622">
        <v>146.093532009999</v>
      </c>
      <c r="D2622">
        <v>-17.6584086304</v>
      </c>
      <c r="G2622" s="92"/>
      <c r="I2622">
        <v>8</v>
      </c>
      <c r="J2622" t="s">
        <v>26</v>
      </c>
      <c r="K2622" s="57"/>
      <c r="L2622" s="31"/>
      <c r="M2622" s="31"/>
      <c r="N2622" s="31"/>
      <c r="O2622" s="31"/>
      <c r="S2622" s="57"/>
      <c r="X2622" s="57"/>
    </row>
    <row r="2623" spans="1:24" hidden="1" x14ac:dyDescent="0.35">
      <c r="A2623">
        <v>2619</v>
      </c>
      <c r="B2623">
        <v>2620</v>
      </c>
      <c r="C2623">
        <v>146.093590812</v>
      </c>
      <c r="D2623">
        <v>-17.658343918300002</v>
      </c>
      <c r="G2623" s="92"/>
      <c r="I2623">
        <v>8</v>
      </c>
      <c r="J2623" t="s">
        <v>26</v>
      </c>
      <c r="K2623" s="57"/>
      <c r="L2623" s="31"/>
      <c r="M2623" s="31"/>
      <c r="N2623" s="31"/>
      <c r="O2623" s="31"/>
      <c r="S2623" s="57"/>
      <c r="X2623" s="57"/>
    </row>
    <row r="2624" spans="1:24" hidden="1" x14ac:dyDescent="0.35">
      <c r="A2624">
        <v>2620</v>
      </c>
      <c r="B2624">
        <v>2621</v>
      </c>
      <c r="C2624">
        <v>146.09364961399899</v>
      </c>
      <c r="D2624">
        <v>-17.6582792062</v>
      </c>
      <c r="G2624" s="92"/>
      <c r="I2624">
        <v>8</v>
      </c>
      <c r="J2624" t="s">
        <v>26</v>
      </c>
      <c r="K2624" s="57"/>
      <c r="L2624" s="31"/>
      <c r="M2624" s="31"/>
      <c r="N2624" s="31"/>
      <c r="O2624" s="31"/>
      <c r="S2624" s="57"/>
      <c r="X2624" s="57"/>
    </row>
    <row r="2625" spans="1:24" hidden="1" x14ac:dyDescent="0.35">
      <c r="A2625">
        <v>2621</v>
      </c>
      <c r="B2625">
        <v>2622</v>
      </c>
      <c r="C2625">
        <v>146.093708415999</v>
      </c>
      <c r="D2625">
        <v>-17.658214494100001</v>
      </c>
      <c r="G2625" s="92"/>
      <c r="I2625">
        <v>8</v>
      </c>
      <c r="J2625" t="s">
        <v>26</v>
      </c>
      <c r="K2625" s="57"/>
      <c r="L2625" s="31"/>
      <c r="M2625" s="31"/>
      <c r="N2625" s="31"/>
      <c r="O2625" s="31"/>
      <c r="S2625" s="57"/>
      <c r="X2625" s="57"/>
    </row>
    <row r="2626" spans="1:24" hidden="1" x14ac:dyDescent="0.35">
      <c r="A2626">
        <v>2622</v>
      </c>
      <c r="B2626">
        <v>2623</v>
      </c>
      <c r="C2626">
        <v>146.09377128099899</v>
      </c>
      <c r="D2626">
        <v>-17.658153696300001</v>
      </c>
      <c r="G2626" s="92"/>
      <c r="I2626">
        <v>8</v>
      </c>
      <c r="J2626" t="s">
        <v>26</v>
      </c>
      <c r="K2626" s="57"/>
      <c r="L2626" s="31"/>
      <c r="M2626" s="31"/>
      <c r="N2626" s="31"/>
      <c r="O2626" s="31"/>
      <c r="S2626" s="57"/>
      <c r="X2626" s="57"/>
    </row>
    <row r="2627" spans="1:24" hidden="1" x14ac:dyDescent="0.35">
      <c r="A2627">
        <v>2623</v>
      </c>
      <c r="B2627">
        <v>2624</v>
      </c>
      <c r="C2627">
        <v>146.093839830999</v>
      </c>
      <c r="D2627">
        <v>-17.6580983749</v>
      </c>
      <c r="G2627" s="92"/>
      <c r="I2627">
        <v>8</v>
      </c>
      <c r="J2627" t="s">
        <v>26</v>
      </c>
      <c r="K2627" s="57"/>
      <c r="L2627" s="31"/>
      <c r="M2627" s="31"/>
      <c r="N2627" s="31"/>
      <c r="O2627" s="31"/>
      <c r="S2627" s="57"/>
      <c r="X2627" s="57"/>
    </row>
    <row r="2628" spans="1:24" hidden="1" x14ac:dyDescent="0.35">
      <c r="A2628">
        <v>2624</v>
      </c>
      <c r="B2628">
        <v>2625</v>
      </c>
      <c r="C2628">
        <v>146.09390838100001</v>
      </c>
      <c r="D2628">
        <v>-17.658043053499899</v>
      </c>
      <c r="G2628" s="92"/>
      <c r="I2628">
        <v>8</v>
      </c>
      <c r="J2628" t="s">
        <v>26</v>
      </c>
      <c r="K2628" s="57"/>
      <c r="L2628" s="31"/>
      <c r="M2628" s="31"/>
      <c r="N2628" s="31"/>
      <c r="O2628" s="31"/>
      <c r="S2628" s="57"/>
      <c r="X2628" s="57"/>
    </row>
    <row r="2629" spans="1:24" hidden="1" x14ac:dyDescent="0.35">
      <c r="A2629">
        <v>2625</v>
      </c>
      <c r="B2629">
        <v>2626</v>
      </c>
      <c r="C2629">
        <v>146.09397693099899</v>
      </c>
      <c r="D2629">
        <v>-17.6579877321</v>
      </c>
      <c r="G2629" s="92"/>
      <c r="I2629">
        <v>8</v>
      </c>
      <c r="J2629" t="s">
        <v>26</v>
      </c>
      <c r="K2629" s="57"/>
      <c r="L2629" s="31"/>
      <c r="M2629" s="31"/>
      <c r="N2629" s="31"/>
      <c r="O2629" s="31"/>
      <c r="S2629" s="57"/>
      <c r="X2629" s="57"/>
    </row>
    <row r="2630" spans="1:24" hidden="1" x14ac:dyDescent="0.35">
      <c r="A2630">
        <v>2626</v>
      </c>
      <c r="B2630">
        <v>2627</v>
      </c>
      <c r="C2630">
        <v>146.09404574800001</v>
      </c>
      <c r="D2630">
        <v>-17.657932726799899</v>
      </c>
      <c r="G2630" s="92"/>
      <c r="I2630">
        <v>8</v>
      </c>
      <c r="J2630" t="s">
        <v>26</v>
      </c>
      <c r="K2630" s="57"/>
      <c r="L2630" s="31"/>
      <c r="M2630" s="31"/>
      <c r="N2630" s="31"/>
      <c r="O2630" s="31"/>
      <c r="S2630" s="57"/>
      <c r="X2630" s="57"/>
    </row>
    <row r="2631" spans="1:24" hidden="1" x14ac:dyDescent="0.35">
      <c r="A2631">
        <v>2627</v>
      </c>
      <c r="B2631">
        <v>2628</v>
      </c>
      <c r="C2631">
        <v>146.094117140999</v>
      </c>
      <c r="D2631">
        <v>-17.657880771799899</v>
      </c>
      <c r="G2631" s="92"/>
      <c r="I2631">
        <v>8</v>
      </c>
      <c r="J2631" t="s">
        <v>26</v>
      </c>
      <c r="K2631" s="57"/>
      <c r="L2631" s="31"/>
      <c r="M2631" s="31"/>
      <c r="N2631" s="31"/>
      <c r="O2631" s="31"/>
      <c r="S2631" s="57"/>
      <c r="X2631" s="57"/>
    </row>
    <row r="2632" spans="1:24" hidden="1" x14ac:dyDescent="0.35">
      <c r="A2632">
        <v>2628</v>
      </c>
      <c r="B2632">
        <v>2629</v>
      </c>
      <c r="C2632">
        <v>146.094188532999</v>
      </c>
      <c r="D2632">
        <v>-17.6578288167</v>
      </c>
      <c r="G2632" s="92"/>
      <c r="I2632">
        <v>8</v>
      </c>
      <c r="J2632" t="s">
        <v>26</v>
      </c>
      <c r="K2632" s="57"/>
      <c r="L2632" s="31"/>
      <c r="M2632" s="31"/>
      <c r="N2632" s="31"/>
      <c r="O2632" s="31"/>
      <c r="S2632" s="57"/>
      <c r="X2632" s="57"/>
    </row>
    <row r="2633" spans="1:24" hidden="1" x14ac:dyDescent="0.35">
      <c r="A2633">
        <v>2629</v>
      </c>
      <c r="B2633">
        <v>2630</v>
      </c>
      <c r="C2633">
        <v>146.09425992499899</v>
      </c>
      <c r="D2633">
        <v>-17.657776861599899</v>
      </c>
      <c r="G2633" s="92"/>
      <c r="I2633">
        <v>8</v>
      </c>
      <c r="J2633" t="s">
        <v>26</v>
      </c>
      <c r="K2633" s="57"/>
      <c r="L2633" s="31"/>
      <c r="M2633" s="31"/>
      <c r="N2633" s="31"/>
      <c r="O2633" s="31"/>
      <c r="S2633" s="57"/>
      <c r="X2633" s="57"/>
    </row>
    <row r="2634" spans="1:24" hidden="1" x14ac:dyDescent="0.35">
      <c r="A2634">
        <v>2630</v>
      </c>
      <c r="B2634">
        <v>2631</v>
      </c>
      <c r="C2634">
        <v>146.09433131700001</v>
      </c>
      <c r="D2634">
        <v>-17.657724906599899</v>
      </c>
      <c r="G2634" s="92"/>
      <c r="I2634">
        <v>8</v>
      </c>
      <c r="J2634" t="s">
        <v>26</v>
      </c>
      <c r="K2634" s="57"/>
      <c r="L2634" s="31"/>
      <c r="M2634" s="31"/>
      <c r="N2634" s="31"/>
      <c r="O2634" s="31"/>
      <c r="S2634" s="57"/>
      <c r="X2634" s="57"/>
    </row>
    <row r="2635" spans="1:24" hidden="1" x14ac:dyDescent="0.35">
      <c r="A2635">
        <v>2631</v>
      </c>
      <c r="B2635">
        <v>2632</v>
      </c>
      <c r="C2635">
        <v>146.09440270900001</v>
      </c>
      <c r="D2635">
        <v>-17.6576729515</v>
      </c>
      <c r="G2635" s="92"/>
      <c r="I2635">
        <v>8</v>
      </c>
      <c r="J2635" t="s">
        <v>26</v>
      </c>
      <c r="K2635" s="57"/>
      <c r="L2635" s="31"/>
      <c r="M2635" s="31"/>
      <c r="N2635" s="31"/>
      <c r="O2635" s="31"/>
      <c r="S2635" s="57"/>
      <c r="X2635" s="57"/>
    </row>
    <row r="2636" spans="1:24" hidden="1" x14ac:dyDescent="0.35">
      <c r="A2636">
        <v>2632</v>
      </c>
      <c r="B2636">
        <v>2633</v>
      </c>
      <c r="C2636">
        <v>146.094474101</v>
      </c>
      <c r="D2636">
        <v>-17.657620996399899</v>
      </c>
      <c r="G2636" s="92"/>
      <c r="I2636">
        <v>8</v>
      </c>
      <c r="J2636" t="s">
        <v>26</v>
      </c>
      <c r="K2636" s="57"/>
      <c r="L2636" s="31"/>
      <c r="M2636" s="31"/>
      <c r="N2636" s="31"/>
      <c r="O2636" s="31"/>
      <c r="S2636" s="57"/>
      <c r="X2636" s="57"/>
    </row>
    <row r="2637" spans="1:24" hidden="1" x14ac:dyDescent="0.35">
      <c r="A2637">
        <v>2633</v>
      </c>
      <c r="B2637">
        <v>2634</v>
      </c>
      <c r="C2637">
        <v>146.094549741999</v>
      </c>
      <c r="D2637">
        <v>-17.657574903899899</v>
      </c>
      <c r="G2637" s="92"/>
      <c r="I2637">
        <v>8</v>
      </c>
      <c r="J2637" t="s">
        <v>26</v>
      </c>
      <c r="K2637" s="57"/>
      <c r="L2637" s="31"/>
      <c r="M2637" s="31"/>
      <c r="N2637" s="31"/>
      <c r="O2637" s="31"/>
      <c r="S2637" s="57"/>
      <c r="X2637" s="57"/>
    </row>
    <row r="2638" spans="1:24" hidden="1" x14ac:dyDescent="0.35">
      <c r="A2638">
        <v>2634</v>
      </c>
      <c r="B2638">
        <v>2635</v>
      </c>
      <c r="C2638">
        <v>146.094626016999</v>
      </c>
      <c r="D2638">
        <v>-17.657529686099899</v>
      </c>
      <c r="G2638" s="92"/>
      <c r="I2638">
        <v>8</v>
      </c>
      <c r="J2638" t="s">
        <v>26</v>
      </c>
      <c r="K2638" s="57"/>
      <c r="L2638" s="31"/>
      <c r="M2638" s="31"/>
      <c r="N2638" s="31"/>
      <c r="O2638" s="31"/>
      <c r="S2638" s="57"/>
      <c r="X2638" s="57"/>
    </row>
    <row r="2639" spans="1:24" hidden="1" x14ac:dyDescent="0.35">
      <c r="A2639">
        <v>2635</v>
      </c>
      <c r="B2639">
        <v>2636</v>
      </c>
      <c r="C2639">
        <v>146.094702291999</v>
      </c>
      <c r="D2639">
        <v>-17.6574844682</v>
      </c>
      <c r="G2639" s="92"/>
      <c r="I2639">
        <v>8</v>
      </c>
      <c r="J2639" t="s">
        <v>26</v>
      </c>
      <c r="K2639" s="57"/>
      <c r="L2639" s="31"/>
      <c r="M2639" s="31"/>
      <c r="N2639" s="31"/>
      <c r="O2639" s="31"/>
      <c r="S2639" s="57"/>
      <c r="X2639" s="57"/>
    </row>
    <row r="2640" spans="1:24" hidden="1" x14ac:dyDescent="0.35">
      <c r="A2640">
        <v>2636</v>
      </c>
      <c r="B2640">
        <v>2637</v>
      </c>
      <c r="C2640">
        <v>146.094778566999</v>
      </c>
      <c r="D2640">
        <v>-17.657439250300001</v>
      </c>
      <c r="G2640" s="92"/>
      <c r="I2640">
        <v>8</v>
      </c>
      <c r="J2640" t="s">
        <v>26</v>
      </c>
      <c r="K2640" s="57"/>
      <c r="L2640" s="31"/>
      <c r="M2640" s="31"/>
      <c r="N2640" s="31"/>
      <c r="O2640" s="31"/>
      <c r="S2640" s="57"/>
      <c r="X2640" s="57"/>
    </row>
    <row r="2641" spans="1:24" hidden="1" x14ac:dyDescent="0.35">
      <c r="A2641">
        <v>2637</v>
      </c>
      <c r="B2641">
        <v>2638</v>
      </c>
      <c r="C2641">
        <v>146.09485484199899</v>
      </c>
      <c r="D2641">
        <v>-17.6573940323999</v>
      </c>
      <c r="G2641" s="92"/>
      <c r="I2641">
        <v>8</v>
      </c>
      <c r="J2641" t="s">
        <v>26</v>
      </c>
      <c r="K2641" s="57"/>
      <c r="L2641" s="31"/>
      <c r="M2641" s="31"/>
      <c r="N2641" s="31"/>
      <c r="O2641" s="31"/>
      <c r="S2641" s="57"/>
      <c r="X2641" s="57"/>
    </row>
    <row r="2642" spans="1:24" hidden="1" x14ac:dyDescent="0.35">
      <c r="A2642">
        <v>2638</v>
      </c>
      <c r="B2642">
        <v>2639</v>
      </c>
      <c r="C2642">
        <v>146.09493111699899</v>
      </c>
      <c r="D2642">
        <v>-17.657348814500001</v>
      </c>
      <c r="G2642" s="92"/>
      <c r="I2642">
        <v>8</v>
      </c>
      <c r="J2642" t="s">
        <v>26</v>
      </c>
      <c r="K2642" s="57"/>
      <c r="L2642" s="31"/>
      <c r="M2642" s="31"/>
      <c r="N2642" s="31"/>
      <c r="O2642" s="31"/>
      <c r="S2642" s="57"/>
      <c r="X2642" s="57"/>
    </row>
    <row r="2643" spans="1:24" hidden="1" x14ac:dyDescent="0.35">
      <c r="A2643">
        <v>2639</v>
      </c>
      <c r="B2643">
        <v>2640</v>
      </c>
      <c r="C2643">
        <v>146.09500739200001</v>
      </c>
      <c r="D2643">
        <v>-17.657303596599899</v>
      </c>
      <c r="G2643" s="92"/>
      <c r="I2643">
        <v>8</v>
      </c>
      <c r="J2643" t="s">
        <v>26</v>
      </c>
      <c r="K2643" s="57"/>
      <c r="L2643" s="31"/>
      <c r="M2643" s="31"/>
      <c r="N2643" s="31"/>
      <c r="O2643" s="31"/>
      <c r="S2643" s="57"/>
      <c r="X2643" s="57"/>
    </row>
    <row r="2644" spans="1:24" hidden="1" x14ac:dyDescent="0.35">
      <c r="A2644">
        <v>2640</v>
      </c>
      <c r="B2644">
        <v>2641</v>
      </c>
      <c r="C2644">
        <v>146.09508366700001</v>
      </c>
      <c r="D2644">
        <v>-17.657258378600002</v>
      </c>
      <c r="G2644" s="92"/>
      <c r="I2644">
        <v>8</v>
      </c>
      <c r="J2644" t="s">
        <v>26</v>
      </c>
      <c r="K2644" s="57"/>
      <c r="L2644" s="31"/>
      <c r="M2644" s="31"/>
      <c r="N2644" s="31"/>
      <c r="O2644" s="31"/>
      <c r="S2644" s="57"/>
      <c r="X2644" s="57"/>
    </row>
    <row r="2645" spans="1:24" hidden="1" x14ac:dyDescent="0.35">
      <c r="A2645">
        <v>2641</v>
      </c>
      <c r="B2645">
        <v>2642</v>
      </c>
      <c r="C2645">
        <v>146.09515839599899</v>
      </c>
      <c r="D2645">
        <v>-17.6572110181</v>
      </c>
      <c r="G2645" s="92"/>
      <c r="I2645">
        <v>8</v>
      </c>
      <c r="J2645" t="s">
        <v>26</v>
      </c>
      <c r="K2645" s="57"/>
      <c r="L2645" s="31"/>
      <c r="M2645" s="31"/>
      <c r="N2645" s="31"/>
      <c r="O2645" s="31"/>
      <c r="S2645" s="57"/>
      <c r="X2645" s="57"/>
    </row>
    <row r="2646" spans="1:24" hidden="1" x14ac:dyDescent="0.35">
      <c r="A2646">
        <v>2642</v>
      </c>
      <c r="B2646">
        <v>2643</v>
      </c>
      <c r="C2646">
        <v>146.09523001700001</v>
      </c>
      <c r="D2646">
        <v>-17.657159349800001</v>
      </c>
      <c r="G2646" s="92"/>
      <c r="I2646">
        <v>8</v>
      </c>
      <c r="J2646" t="s">
        <v>26</v>
      </c>
      <c r="K2646" s="57"/>
      <c r="L2646" s="31"/>
      <c r="M2646" s="31"/>
      <c r="N2646" s="31"/>
      <c r="O2646" s="31"/>
      <c r="S2646" s="57"/>
      <c r="X2646" s="57"/>
    </row>
    <row r="2647" spans="1:24" hidden="1" x14ac:dyDescent="0.35">
      <c r="A2647">
        <v>2643</v>
      </c>
      <c r="B2647">
        <v>2644</v>
      </c>
      <c r="C2647">
        <v>146.095301637999</v>
      </c>
      <c r="D2647">
        <v>-17.657107681500001</v>
      </c>
      <c r="G2647" s="92"/>
      <c r="I2647">
        <v>8</v>
      </c>
      <c r="J2647" t="s">
        <v>26</v>
      </c>
      <c r="K2647" s="57"/>
      <c r="L2647" s="31"/>
      <c r="M2647" s="31"/>
      <c r="N2647" s="31"/>
      <c r="O2647" s="31"/>
      <c r="S2647" s="57"/>
      <c r="X2647" s="57"/>
    </row>
    <row r="2648" spans="1:24" hidden="1" x14ac:dyDescent="0.35">
      <c r="A2648">
        <v>2644</v>
      </c>
      <c r="B2648">
        <v>2645</v>
      </c>
      <c r="C2648">
        <v>146.09537325900001</v>
      </c>
      <c r="D2648">
        <v>-17.6570560133</v>
      </c>
      <c r="G2648" s="92"/>
      <c r="I2648">
        <v>8</v>
      </c>
      <c r="J2648" t="s">
        <v>26</v>
      </c>
      <c r="K2648" s="57"/>
      <c r="L2648" s="31"/>
      <c r="M2648" s="31"/>
      <c r="N2648" s="31"/>
      <c r="O2648" s="31"/>
      <c r="S2648" s="57"/>
      <c r="X2648" s="57"/>
    </row>
    <row r="2649" spans="1:24" hidden="1" x14ac:dyDescent="0.35">
      <c r="A2649">
        <v>2645</v>
      </c>
      <c r="B2649">
        <v>2646</v>
      </c>
      <c r="C2649">
        <v>146.095444880999</v>
      </c>
      <c r="D2649">
        <v>-17.657004345000001</v>
      </c>
      <c r="G2649" s="92"/>
      <c r="I2649">
        <v>8</v>
      </c>
      <c r="J2649" t="s">
        <v>26</v>
      </c>
      <c r="K2649" s="57"/>
      <c r="L2649" s="31"/>
      <c r="M2649" s="31"/>
      <c r="N2649" s="31"/>
      <c r="O2649" s="31"/>
      <c r="S2649" s="57"/>
      <c r="X2649" s="57"/>
    </row>
    <row r="2650" spans="1:24" hidden="1" x14ac:dyDescent="0.35">
      <c r="A2650">
        <v>2646</v>
      </c>
      <c r="B2650">
        <v>2647</v>
      </c>
      <c r="C2650">
        <v>146.095515202999</v>
      </c>
      <c r="D2650">
        <v>-17.6569512537999</v>
      </c>
      <c r="G2650" s="92"/>
      <c r="I2650">
        <v>8</v>
      </c>
      <c r="J2650" t="s">
        <v>26</v>
      </c>
      <c r="K2650" s="57"/>
      <c r="L2650" s="31"/>
      <c r="M2650" s="31"/>
      <c r="N2650" s="31"/>
      <c r="O2650" s="31"/>
      <c r="S2650" s="57"/>
      <c r="X2650" s="57"/>
    </row>
    <row r="2651" spans="1:24" hidden="1" x14ac:dyDescent="0.35">
      <c r="A2651">
        <v>2647</v>
      </c>
      <c r="B2651">
        <v>2648</v>
      </c>
      <c r="C2651">
        <v>146.09557883400001</v>
      </c>
      <c r="D2651">
        <v>-17.6568908311</v>
      </c>
      <c r="G2651" s="92"/>
      <c r="I2651">
        <v>8</v>
      </c>
      <c r="J2651" t="s">
        <v>26</v>
      </c>
      <c r="K2651" s="57"/>
      <c r="L2651" s="31"/>
      <c r="M2651" s="31"/>
      <c r="N2651" s="31"/>
      <c r="O2651" s="31"/>
      <c r="S2651" s="57"/>
      <c r="X2651" s="57"/>
    </row>
    <row r="2652" spans="1:24" hidden="1" x14ac:dyDescent="0.35">
      <c r="A2652">
        <v>2648</v>
      </c>
      <c r="B2652">
        <v>2649</v>
      </c>
      <c r="C2652">
        <v>146.095642464999</v>
      </c>
      <c r="D2652">
        <v>-17.656830408400001</v>
      </c>
      <c r="G2652" s="92"/>
      <c r="I2652">
        <v>8</v>
      </c>
      <c r="J2652" t="s">
        <v>26</v>
      </c>
      <c r="K2652" s="57"/>
      <c r="L2652" s="31"/>
      <c r="M2652" s="31"/>
      <c r="N2652" s="31"/>
      <c r="O2652" s="31"/>
      <c r="S2652" s="57"/>
      <c r="X2652" s="57"/>
    </row>
    <row r="2653" spans="1:24" hidden="1" x14ac:dyDescent="0.35">
      <c r="A2653">
        <v>2649</v>
      </c>
      <c r="B2653">
        <v>2650</v>
      </c>
      <c r="C2653">
        <v>146.09570609599899</v>
      </c>
      <c r="D2653">
        <v>-17.656769985699899</v>
      </c>
      <c r="G2653" s="92"/>
      <c r="I2653">
        <v>8</v>
      </c>
      <c r="J2653" t="s">
        <v>26</v>
      </c>
      <c r="K2653" s="57"/>
      <c r="L2653" s="31"/>
      <c r="M2653" s="31"/>
      <c r="N2653" s="31"/>
      <c r="O2653" s="31"/>
      <c r="S2653" s="57"/>
      <c r="X2653" s="57"/>
    </row>
    <row r="2654" spans="1:24" hidden="1" x14ac:dyDescent="0.35">
      <c r="A2654">
        <v>2650</v>
      </c>
      <c r="B2654">
        <v>2651</v>
      </c>
      <c r="C2654">
        <v>146.09574035099899</v>
      </c>
      <c r="D2654">
        <v>-17.656692736099899</v>
      </c>
      <c r="G2654" s="92"/>
      <c r="I2654">
        <v>8</v>
      </c>
      <c r="J2654" t="s">
        <v>26</v>
      </c>
      <c r="K2654" s="57"/>
      <c r="L2654" s="31"/>
      <c r="M2654" s="31"/>
      <c r="N2654" s="31"/>
      <c r="O2654" s="31"/>
      <c r="S2654" s="57"/>
      <c r="X2654" s="57"/>
    </row>
    <row r="2655" spans="1:24" hidden="1" x14ac:dyDescent="0.35">
      <c r="A2655">
        <v>2651</v>
      </c>
      <c r="B2655">
        <v>2652</v>
      </c>
      <c r="C2655">
        <v>146.095766502</v>
      </c>
      <c r="D2655">
        <v>-17.656610843700001</v>
      </c>
      <c r="G2655" s="92"/>
      <c r="I2655">
        <v>8</v>
      </c>
      <c r="J2655" t="s">
        <v>26</v>
      </c>
      <c r="K2655" s="57"/>
      <c r="L2655" s="31"/>
      <c r="M2655" s="31"/>
      <c r="N2655" s="31"/>
      <c r="O2655" s="31"/>
      <c r="S2655" s="57"/>
      <c r="X2655" s="57"/>
    </row>
    <row r="2656" spans="1:24" hidden="1" x14ac:dyDescent="0.35">
      <c r="A2656">
        <v>2652</v>
      </c>
      <c r="B2656">
        <v>2653</v>
      </c>
      <c r="C2656">
        <v>146.095792652</v>
      </c>
      <c r="D2656">
        <v>-17.656528951199899</v>
      </c>
      <c r="G2656" s="92"/>
      <c r="I2656">
        <v>8</v>
      </c>
      <c r="J2656" t="s">
        <v>26</v>
      </c>
      <c r="K2656" s="57"/>
      <c r="L2656" s="31"/>
      <c r="M2656" s="31"/>
      <c r="N2656" s="31"/>
      <c r="O2656" s="31"/>
      <c r="S2656" s="57"/>
      <c r="X2656" s="57"/>
    </row>
    <row r="2657" spans="1:24" hidden="1" x14ac:dyDescent="0.35">
      <c r="A2657">
        <v>2653</v>
      </c>
      <c r="B2657">
        <v>2654</v>
      </c>
      <c r="C2657">
        <v>146.09579918099899</v>
      </c>
      <c r="D2657">
        <v>-17.656443777700002</v>
      </c>
      <c r="G2657" s="92"/>
      <c r="I2657">
        <v>8</v>
      </c>
      <c r="J2657" t="s">
        <v>26</v>
      </c>
      <c r="K2657" s="57"/>
      <c r="L2657" s="31"/>
      <c r="M2657" s="31"/>
      <c r="N2657" s="31"/>
      <c r="O2657" s="31"/>
      <c r="S2657" s="57"/>
      <c r="X2657" s="57"/>
    </row>
    <row r="2658" spans="1:24" hidden="1" x14ac:dyDescent="0.35">
      <c r="A2658">
        <v>2654</v>
      </c>
      <c r="B2658">
        <v>2655</v>
      </c>
      <c r="C2658">
        <v>146.09579692700001</v>
      </c>
      <c r="D2658">
        <v>-17.6563592581</v>
      </c>
      <c r="G2658" s="92"/>
      <c r="I2658">
        <v>8</v>
      </c>
      <c r="J2658" t="s">
        <v>26</v>
      </c>
      <c r="K2658" s="57"/>
      <c r="L2658" s="31"/>
      <c r="M2658" s="31"/>
      <c r="N2658" s="31"/>
      <c r="O2658" s="31"/>
      <c r="S2658" s="57"/>
      <c r="X2658" s="57"/>
    </row>
    <row r="2659" spans="1:24" hidden="1" x14ac:dyDescent="0.35">
      <c r="A2659">
        <v>2655</v>
      </c>
      <c r="B2659">
        <v>2656</v>
      </c>
      <c r="C2659">
        <v>146.095762347</v>
      </c>
      <c r="D2659">
        <v>-17.656280723599899</v>
      </c>
      <c r="G2659" s="92"/>
      <c r="I2659">
        <v>8</v>
      </c>
      <c r="J2659" t="s">
        <v>26</v>
      </c>
      <c r="K2659" s="57"/>
      <c r="L2659" s="31"/>
      <c r="M2659" s="31"/>
      <c r="N2659" s="31"/>
      <c r="O2659" s="31"/>
      <c r="S2659" s="57"/>
      <c r="X2659" s="57"/>
    </row>
    <row r="2660" spans="1:24" hidden="1" x14ac:dyDescent="0.35">
      <c r="A2660">
        <v>2656</v>
      </c>
      <c r="B2660">
        <v>2657</v>
      </c>
      <c r="C2660">
        <v>146.09571308599899</v>
      </c>
      <c r="D2660">
        <v>-17.656209141800002</v>
      </c>
      <c r="G2660" s="92"/>
      <c r="I2660">
        <v>8</v>
      </c>
      <c r="J2660" t="s">
        <v>26</v>
      </c>
      <c r="K2660" s="57"/>
      <c r="L2660" s="31"/>
      <c r="M2660" s="31"/>
      <c r="N2660" s="31"/>
      <c r="O2660" s="31"/>
      <c r="S2660" s="57"/>
      <c r="X2660" s="57"/>
    </row>
    <row r="2661" spans="1:24" hidden="1" x14ac:dyDescent="0.35">
      <c r="A2661">
        <v>2657</v>
      </c>
      <c r="B2661">
        <v>2658</v>
      </c>
      <c r="C2661">
        <v>146.095663825999</v>
      </c>
      <c r="D2661">
        <v>-17.656137560000001</v>
      </c>
      <c r="G2661" s="92"/>
      <c r="I2661">
        <v>8</v>
      </c>
      <c r="J2661" t="s">
        <v>26</v>
      </c>
      <c r="K2661" s="57"/>
      <c r="L2661" s="31"/>
      <c r="M2661" s="31"/>
      <c r="N2661" s="31"/>
      <c r="O2661" s="31"/>
      <c r="S2661" s="57"/>
      <c r="X2661" s="57"/>
    </row>
    <row r="2662" spans="1:24" hidden="1" x14ac:dyDescent="0.35">
      <c r="A2662">
        <v>2658</v>
      </c>
      <c r="B2662">
        <v>2659</v>
      </c>
      <c r="C2662">
        <v>146.09561456500001</v>
      </c>
      <c r="D2662">
        <v>-17.6560659780999</v>
      </c>
      <c r="G2662" s="92"/>
      <c r="I2662">
        <v>8</v>
      </c>
      <c r="J2662" t="s">
        <v>26</v>
      </c>
      <c r="K2662" s="57"/>
      <c r="L2662" s="31"/>
      <c r="M2662" s="31"/>
      <c r="N2662" s="31"/>
      <c r="O2662" s="31"/>
      <c r="S2662" s="57"/>
      <c r="X2662" s="57"/>
    </row>
    <row r="2663" spans="1:24" hidden="1" x14ac:dyDescent="0.35">
      <c r="A2663">
        <v>2659</v>
      </c>
      <c r="B2663">
        <v>2660</v>
      </c>
      <c r="C2663">
        <v>146.09556281600001</v>
      </c>
      <c r="D2663">
        <v>-17.655996114299899</v>
      </c>
      <c r="G2663" s="92"/>
      <c r="I2663">
        <v>8</v>
      </c>
      <c r="J2663" t="s">
        <v>26</v>
      </c>
      <c r="K2663" s="57"/>
      <c r="L2663" s="31"/>
      <c r="M2663" s="31"/>
      <c r="N2663" s="31"/>
      <c r="O2663" s="31"/>
      <c r="S2663" s="57"/>
      <c r="X2663" s="57"/>
    </row>
    <row r="2664" spans="1:24" hidden="1" x14ac:dyDescent="0.35">
      <c r="A2664">
        <v>2660</v>
      </c>
      <c r="B2664">
        <v>2661</v>
      </c>
      <c r="C2664">
        <v>146.09550676200001</v>
      </c>
      <c r="D2664">
        <v>-17.6559292240999</v>
      </c>
      <c r="G2664" s="92"/>
      <c r="I2664">
        <v>8</v>
      </c>
      <c r="J2664" t="s">
        <v>26</v>
      </c>
      <c r="K2664" s="57"/>
      <c r="L2664" s="31"/>
      <c r="M2664" s="31"/>
      <c r="N2664" s="31"/>
      <c r="O2664" s="31"/>
      <c r="S2664" s="57"/>
      <c r="X2664" s="57"/>
    </row>
    <row r="2665" spans="1:24" hidden="1" x14ac:dyDescent="0.35">
      <c r="A2665">
        <v>2661</v>
      </c>
      <c r="B2665">
        <v>2662</v>
      </c>
      <c r="C2665">
        <v>146.095451467</v>
      </c>
      <c r="D2665">
        <v>-17.655861815800002</v>
      </c>
      <c r="G2665" s="92"/>
      <c r="I2665">
        <v>8</v>
      </c>
      <c r="J2665" t="s">
        <v>26</v>
      </c>
      <c r="K2665" s="57"/>
      <c r="L2665" s="31"/>
      <c r="M2665" s="31"/>
      <c r="N2665" s="31"/>
      <c r="O2665" s="31"/>
      <c r="S2665" s="57"/>
      <c r="X2665" s="57"/>
    </row>
    <row r="2666" spans="1:24" hidden="1" x14ac:dyDescent="0.35">
      <c r="A2666">
        <v>2662</v>
      </c>
      <c r="B2666">
        <v>2663</v>
      </c>
      <c r="C2666">
        <v>146.09540312799899</v>
      </c>
      <c r="D2666">
        <v>-17.655789666</v>
      </c>
      <c r="G2666" s="92"/>
      <c r="I2666">
        <v>8</v>
      </c>
      <c r="J2666" t="s">
        <v>26</v>
      </c>
      <c r="K2666" s="57"/>
      <c r="L2666" s="31"/>
      <c r="M2666" s="31"/>
      <c r="N2666" s="31"/>
      <c r="O2666" s="31"/>
      <c r="S2666" s="57"/>
      <c r="X2666" s="57"/>
    </row>
    <row r="2667" spans="1:24" hidden="1" x14ac:dyDescent="0.35">
      <c r="A2667">
        <v>2663</v>
      </c>
      <c r="B2667">
        <v>2664</v>
      </c>
      <c r="C2667">
        <v>146.09535478800001</v>
      </c>
      <c r="D2667">
        <v>-17.6557175161999</v>
      </c>
      <c r="G2667" s="92"/>
      <c r="I2667">
        <v>8</v>
      </c>
      <c r="J2667" t="s">
        <v>26</v>
      </c>
      <c r="K2667" s="57"/>
      <c r="L2667" s="31"/>
      <c r="M2667" s="31"/>
      <c r="N2667" s="31"/>
      <c r="O2667" s="31"/>
      <c r="S2667" s="57"/>
      <c r="X2667" s="57"/>
    </row>
    <row r="2668" spans="1:24" hidden="1" x14ac:dyDescent="0.35">
      <c r="A2668">
        <v>2664</v>
      </c>
      <c r="B2668">
        <v>2665</v>
      </c>
      <c r="C2668">
        <v>146.095315381999</v>
      </c>
      <c r="D2668">
        <v>-17.655640822100001</v>
      </c>
      <c r="G2668" s="92"/>
      <c r="I2668">
        <v>8</v>
      </c>
      <c r="J2668" t="s">
        <v>26</v>
      </c>
      <c r="K2668" s="57"/>
      <c r="L2668" s="31"/>
      <c r="M2668" s="31"/>
      <c r="N2668" s="31"/>
      <c r="O2668" s="31"/>
      <c r="S2668" s="57"/>
      <c r="X2668" s="57"/>
    </row>
    <row r="2669" spans="1:24" hidden="1" x14ac:dyDescent="0.35">
      <c r="A2669">
        <v>2665</v>
      </c>
      <c r="B2669">
        <v>2666</v>
      </c>
      <c r="C2669">
        <v>146.09527937300001</v>
      </c>
      <c r="D2669">
        <v>-17.655562400000001</v>
      </c>
      <c r="G2669" s="92"/>
      <c r="I2669">
        <v>8</v>
      </c>
      <c r="J2669" t="s">
        <v>26</v>
      </c>
      <c r="K2669" s="57"/>
      <c r="L2669" s="31"/>
      <c r="M2669" s="31"/>
      <c r="N2669" s="31"/>
      <c r="O2669" s="31"/>
      <c r="S2669" s="57"/>
      <c r="X2669" s="57"/>
    </row>
    <row r="2670" spans="1:24" hidden="1" x14ac:dyDescent="0.35">
      <c r="A2670">
        <v>2666</v>
      </c>
      <c r="B2670">
        <v>2667</v>
      </c>
      <c r="C2670">
        <v>146.095243363999</v>
      </c>
      <c r="D2670">
        <v>-17.6554839777999</v>
      </c>
      <c r="G2670" s="92"/>
      <c r="I2670">
        <v>8</v>
      </c>
      <c r="J2670" t="s">
        <v>26</v>
      </c>
      <c r="K2670" s="57"/>
      <c r="L2670" s="31"/>
      <c r="M2670" s="31"/>
      <c r="N2670" s="31"/>
      <c r="O2670" s="31"/>
      <c r="S2670" s="57"/>
      <c r="X2670" s="57"/>
    </row>
    <row r="2671" spans="1:24" hidden="1" x14ac:dyDescent="0.35">
      <c r="A2671">
        <v>2667</v>
      </c>
      <c r="B2671">
        <v>2668</v>
      </c>
      <c r="C2671">
        <v>146.09520735500001</v>
      </c>
      <c r="D2671">
        <v>-17.6554055555</v>
      </c>
      <c r="G2671" s="92"/>
      <c r="I2671">
        <v>8</v>
      </c>
      <c r="J2671" t="s">
        <v>26</v>
      </c>
      <c r="K2671" s="57"/>
      <c r="L2671" s="31"/>
      <c r="M2671" s="31"/>
      <c r="N2671" s="31"/>
      <c r="O2671" s="31"/>
      <c r="S2671" s="57"/>
      <c r="X2671" s="57"/>
    </row>
    <row r="2672" spans="1:24" hidden="1" x14ac:dyDescent="0.35">
      <c r="A2672">
        <v>2668</v>
      </c>
      <c r="B2672">
        <v>2669</v>
      </c>
      <c r="C2672">
        <v>146.095171346999</v>
      </c>
      <c r="D2672">
        <v>-17.655327133299899</v>
      </c>
      <c r="G2672" s="92"/>
      <c r="I2672">
        <v>8</v>
      </c>
      <c r="J2672" t="s">
        <v>26</v>
      </c>
      <c r="K2672" s="57"/>
      <c r="L2672" s="31"/>
      <c r="M2672" s="31"/>
      <c r="N2672" s="31"/>
      <c r="O2672" s="31"/>
      <c r="S2672" s="57"/>
      <c r="X2672" s="57"/>
    </row>
    <row r="2673" spans="1:24" hidden="1" x14ac:dyDescent="0.35">
      <c r="A2673">
        <v>2669</v>
      </c>
      <c r="B2673">
        <v>2670</v>
      </c>
      <c r="C2673">
        <v>146.09513533800001</v>
      </c>
      <c r="D2673">
        <v>-17.655248710999899</v>
      </c>
      <c r="G2673" s="92"/>
      <c r="I2673">
        <v>8</v>
      </c>
      <c r="J2673" t="s">
        <v>26</v>
      </c>
      <c r="K2673" s="57"/>
      <c r="L2673" s="31"/>
      <c r="M2673" s="31"/>
      <c r="N2673" s="31"/>
      <c r="O2673" s="31"/>
      <c r="S2673" s="57"/>
      <c r="X2673" s="57"/>
    </row>
    <row r="2674" spans="1:24" hidden="1" x14ac:dyDescent="0.35">
      <c r="A2674">
        <v>2670</v>
      </c>
      <c r="B2674">
        <v>2671</v>
      </c>
      <c r="C2674">
        <v>146.09509971400001</v>
      </c>
      <c r="D2674">
        <v>-17.6551701558</v>
      </c>
      <c r="G2674" s="92"/>
      <c r="I2674">
        <v>8</v>
      </c>
      <c r="J2674" t="s">
        <v>26</v>
      </c>
      <c r="K2674" s="57"/>
      <c r="L2674" s="31"/>
      <c r="M2674" s="31"/>
      <c r="N2674" s="31"/>
      <c r="O2674" s="31"/>
      <c r="S2674" s="57"/>
      <c r="X2674" s="57"/>
    </row>
    <row r="2675" spans="1:24" hidden="1" x14ac:dyDescent="0.35">
      <c r="A2675">
        <v>2671</v>
      </c>
      <c r="B2675">
        <v>2672</v>
      </c>
      <c r="C2675">
        <v>146.095074557999</v>
      </c>
      <c r="D2675">
        <v>-17.6550879800999</v>
      </c>
      <c r="G2675" s="92"/>
      <c r="I2675">
        <v>8</v>
      </c>
      <c r="J2675" t="s">
        <v>26</v>
      </c>
      <c r="K2675" s="57"/>
      <c r="L2675" s="31"/>
      <c r="M2675" s="31"/>
      <c r="N2675" s="31"/>
      <c r="O2675" s="31"/>
      <c r="S2675" s="57"/>
      <c r="X2675" s="57"/>
    </row>
    <row r="2676" spans="1:24" hidden="1" x14ac:dyDescent="0.35">
      <c r="A2676">
        <v>2672</v>
      </c>
      <c r="B2676">
        <v>2673</v>
      </c>
      <c r="C2676">
        <v>146.095049402</v>
      </c>
      <c r="D2676">
        <v>-17.6550058045</v>
      </c>
      <c r="G2676" s="92"/>
      <c r="I2676">
        <v>8</v>
      </c>
      <c r="J2676" t="s">
        <v>26</v>
      </c>
      <c r="K2676" s="57"/>
      <c r="L2676" s="31"/>
      <c r="M2676" s="31"/>
      <c r="N2676" s="31"/>
      <c r="O2676" s="31"/>
      <c r="S2676" s="57"/>
      <c r="X2676" s="57"/>
    </row>
    <row r="2677" spans="1:24" hidden="1" x14ac:dyDescent="0.35">
      <c r="A2677">
        <v>2673</v>
      </c>
      <c r="B2677">
        <v>2674</v>
      </c>
      <c r="C2677">
        <v>146.09502424600001</v>
      </c>
      <c r="D2677">
        <v>-17.654923628900001</v>
      </c>
      <c r="G2677" s="92"/>
      <c r="I2677">
        <v>8</v>
      </c>
      <c r="J2677" t="s">
        <v>26</v>
      </c>
      <c r="K2677" s="57"/>
      <c r="L2677" s="31"/>
      <c r="M2677" s="31"/>
      <c r="N2677" s="31"/>
      <c r="O2677" s="31"/>
      <c r="S2677" s="57"/>
      <c r="X2677" s="57"/>
    </row>
    <row r="2678" spans="1:24" hidden="1" x14ac:dyDescent="0.35">
      <c r="A2678">
        <v>2674</v>
      </c>
      <c r="B2678">
        <v>2675</v>
      </c>
      <c r="C2678">
        <v>146.09499908999899</v>
      </c>
      <c r="D2678">
        <v>-17.654841453300001</v>
      </c>
      <c r="G2678" s="92"/>
      <c r="I2678">
        <v>8</v>
      </c>
      <c r="J2678" t="s">
        <v>26</v>
      </c>
      <c r="K2678" s="57"/>
      <c r="L2678" s="31"/>
      <c r="M2678" s="31"/>
      <c r="N2678" s="31"/>
      <c r="O2678" s="31"/>
      <c r="S2678" s="57"/>
      <c r="X2678" s="57"/>
    </row>
    <row r="2679" spans="1:24" hidden="1" x14ac:dyDescent="0.35">
      <c r="A2679">
        <v>2675</v>
      </c>
      <c r="B2679">
        <v>2676</v>
      </c>
      <c r="C2679">
        <v>146.094973933999</v>
      </c>
      <c r="D2679">
        <v>-17.654759277699899</v>
      </c>
      <c r="G2679" s="92"/>
      <c r="I2679">
        <v>8</v>
      </c>
      <c r="J2679" t="s">
        <v>26</v>
      </c>
      <c r="K2679" s="57"/>
      <c r="L2679" s="31"/>
      <c r="M2679" s="31"/>
      <c r="N2679" s="31"/>
      <c r="O2679" s="31"/>
      <c r="S2679" s="57"/>
      <c r="X2679" s="57"/>
    </row>
    <row r="2680" spans="1:24" hidden="1" x14ac:dyDescent="0.35">
      <c r="A2680">
        <v>2676</v>
      </c>
      <c r="B2680">
        <v>2677</v>
      </c>
      <c r="C2680">
        <v>146.094948778</v>
      </c>
      <c r="D2680">
        <v>-17.654677102000001</v>
      </c>
      <c r="G2680" s="92"/>
      <c r="I2680">
        <v>8</v>
      </c>
      <c r="J2680" t="s">
        <v>26</v>
      </c>
      <c r="K2680" s="57"/>
      <c r="L2680" s="31"/>
      <c r="M2680" s="31"/>
      <c r="N2680" s="31"/>
      <c r="O2680" s="31"/>
      <c r="S2680" s="57"/>
      <c r="X2680" s="57"/>
    </row>
    <row r="2681" spans="1:24" hidden="1" x14ac:dyDescent="0.35">
      <c r="A2681">
        <v>2677</v>
      </c>
      <c r="B2681">
        <v>2678</v>
      </c>
      <c r="C2681">
        <v>146.09492978700001</v>
      </c>
      <c r="D2681">
        <v>-17.654593761400001</v>
      </c>
      <c r="G2681" s="92"/>
      <c r="I2681">
        <v>8</v>
      </c>
      <c r="J2681" t="s">
        <v>26</v>
      </c>
      <c r="K2681" s="57"/>
      <c r="L2681" s="31"/>
      <c r="M2681" s="31"/>
      <c r="N2681" s="31"/>
      <c r="O2681" s="31"/>
      <c r="S2681" s="57"/>
      <c r="X2681" s="57"/>
    </row>
    <row r="2682" spans="1:24" hidden="1" x14ac:dyDescent="0.35">
      <c r="A2682">
        <v>2678</v>
      </c>
      <c r="B2682">
        <v>2679</v>
      </c>
      <c r="C2682">
        <v>146.094920129999</v>
      </c>
      <c r="D2682">
        <v>-17.654508656800001</v>
      </c>
      <c r="G2682" s="92"/>
      <c r="I2682">
        <v>8</v>
      </c>
      <c r="J2682" t="s">
        <v>26</v>
      </c>
      <c r="K2682" s="57"/>
      <c r="L2682" s="31"/>
      <c r="M2682" s="31"/>
      <c r="N2682" s="31"/>
      <c r="O2682" s="31"/>
      <c r="S2682" s="57"/>
      <c r="X2682" s="57"/>
    </row>
    <row r="2683" spans="1:24" hidden="1" x14ac:dyDescent="0.35">
      <c r="A2683">
        <v>2679</v>
      </c>
      <c r="B2683">
        <v>2680</v>
      </c>
      <c r="C2683">
        <v>146.094910472999</v>
      </c>
      <c r="D2683">
        <v>-17.6544235520999</v>
      </c>
      <c r="G2683" s="92"/>
      <c r="I2683">
        <v>8</v>
      </c>
      <c r="J2683" t="s">
        <v>26</v>
      </c>
      <c r="K2683" s="57"/>
      <c r="L2683" s="31"/>
      <c r="M2683" s="31"/>
      <c r="N2683" s="31"/>
      <c r="O2683" s="31"/>
      <c r="S2683" s="57"/>
      <c r="X2683" s="57"/>
    </row>
    <row r="2684" spans="1:24" hidden="1" x14ac:dyDescent="0.35">
      <c r="A2684">
        <v>2680</v>
      </c>
      <c r="B2684">
        <v>2681</v>
      </c>
      <c r="C2684">
        <v>146.094900816999</v>
      </c>
      <c r="D2684">
        <v>-17.654338447400001</v>
      </c>
      <c r="G2684" s="92"/>
      <c r="I2684">
        <v>8</v>
      </c>
      <c r="J2684" t="s">
        <v>26</v>
      </c>
      <c r="K2684" s="57"/>
      <c r="L2684" s="31"/>
      <c r="M2684" s="31"/>
      <c r="N2684" s="31"/>
      <c r="O2684" s="31"/>
      <c r="S2684" s="57"/>
      <c r="X2684" s="57"/>
    </row>
    <row r="2685" spans="1:24" hidden="1" x14ac:dyDescent="0.35">
      <c r="A2685">
        <v>2681</v>
      </c>
      <c r="B2685">
        <v>2682</v>
      </c>
      <c r="C2685">
        <v>146.094913431999</v>
      </c>
      <c r="D2685">
        <v>-17.654254644400002</v>
      </c>
      <c r="G2685" s="92"/>
      <c r="I2685">
        <v>8</v>
      </c>
      <c r="J2685" t="s">
        <v>26</v>
      </c>
      <c r="K2685" s="57"/>
      <c r="L2685" s="31"/>
      <c r="M2685" s="31"/>
      <c r="N2685" s="31"/>
      <c r="O2685" s="31"/>
      <c r="S2685" s="57"/>
      <c r="X2685" s="57"/>
    </row>
    <row r="2686" spans="1:24" hidden="1" x14ac:dyDescent="0.35">
      <c r="A2686">
        <v>2682</v>
      </c>
      <c r="B2686">
        <v>2683</v>
      </c>
      <c r="C2686">
        <v>146.094933932</v>
      </c>
      <c r="D2686">
        <v>-17.6541713023</v>
      </c>
      <c r="G2686" s="92"/>
      <c r="I2686">
        <v>8</v>
      </c>
      <c r="J2686" t="s">
        <v>26</v>
      </c>
      <c r="K2686" s="57"/>
      <c r="L2686" s="31"/>
      <c r="M2686" s="31"/>
      <c r="N2686" s="31"/>
      <c r="O2686" s="31"/>
      <c r="S2686" s="57"/>
      <c r="X2686" s="57"/>
    </row>
    <row r="2687" spans="1:24" hidden="1" x14ac:dyDescent="0.35">
      <c r="A2687">
        <v>2683</v>
      </c>
      <c r="B2687">
        <v>2684</v>
      </c>
      <c r="C2687">
        <v>146.09495443200001</v>
      </c>
      <c r="D2687">
        <v>-17.6540879601</v>
      </c>
      <c r="G2687" s="92"/>
      <c r="I2687">
        <v>8</v>
      </c>
      <c r="J2687" t="s">
        <v>26</v>
      </c>
      <c r="K2687" s="57"/>
      <c r="L2687" s="31"/>
      <c r="M2687" s="31"/>
      <c r="N2687" s="31"/>
      <c r="O2687" s="31"/>
      <c r="S2687" s="57"/>
      <c r="X2687" s="57"/>
    </row>
    <row r="2688" spans="1:24" hidden="1" x14ac:dyDescent="0.35">
      <c r="A2688">
        <v>2684</v>
      </c>
      <c r="B2688">
        <v>2685</v>
      </c>
      <c r="C2688">
        <v>146.09497827600001</v>
      </c>
      <c r="D2688">
        <v>-17.6540055171</v>
      </c>
      <c r="G2688" s="92"/>
      <c r="I2688">
        <v>8</v>
      </c>
      <c r="J2688" t="s">
        <v>26</v>
      </c>
      <c r="K2688" s="57"/>
      <c r="L2688" s="31"/>
      <c r="M2688" s="31"/>
      <c r="N2688" s="31"/>
      <c r="O2688" s="31"/>
      <c r="S2688" s="57"/>
      <c r="X2688" s="57"/>
    </row>
    <row r="2689" spans="1:24" hidden="1" x14ac:dyDescent="0.35">
      <c r="A2689">
        <v>2685</v>
      </c>
      <c r="B2689">
        <v>2686</v>
      </c>
      <c r="C2689">
        <v>146.09500651600001</v>
      </c>
      <c r="D2689">
        <v>-17.653924256100002</v>
      </c>
      <c r="G2689" s="92"/>
      <c r="I2689">
        <v>8</v>
      </c>
      <c r="J2689" t="s">
        <v>26</v>
      </c>
      <c r="K2689" s="57"/>
      <c r="L2689" s="31"/>
      <c r="M2689" s="31"/>
      <c r="N2689" s="31"/>
      <c r="O2689" s="31"/>
      <c r="S2689" s="57"/>
      <c r="X2689" s="57"/>
    </row>
    <row r="2690" spans="1:24" hidden="1" x14ac:dyDescent="0.35">
      <c r="A2690">
        <v>2686</v>
      </c>
      <c r="B2690">
        <v>2687</v>
      </c>
      <c r="C2690">
        <v>146.09503475700001</v>
      </c>
      <c r="D2690">
        <v>-17.653842995000002</v>
      </c>
      <c r="G2690" s="92"/>
      <c r="I2690">
        <v>8</v>
      </c>
      <c r="J2690" t="s">
        <v>26</v>
      </c>
      <c r="K2690" s="57"/>
      <c r="L2690" s="31"/>
      <c r="M2690" s="31"/>
      <c r="N2690" s="31"/>
      <c r="O2690" s="31"/>
      <c r="S2690" s="57"/>
      <c r="X2690" s="57"/>
    </row>
    <row r="2691" spans="1:24" hidden="1" x14ac:dyDescent="0.35">
      <c r="A2691">
        <v>2687</v>
      </c>
      <c r="B2691">
        <v>2688</v>
      </c>
      <c r="C2691">
        <v>146.09506299700001</v>
      </c>
      <c r="D2691">
        <v>-17.6537617338</v>
      </c>
      <c r="G2691" s="92"/>
      <c r="I2691">
        <v>8</v>
      </c>
      <c r="J2691" t="s">
        <v>26</v>
      </c>
      <c r="K2691" s="57"/>
      <c r="L2691" s="31"/>
      <c r="M2691" s="31"/>
      <c r="N2691" s="31"/>
      <c r="O2691" s="31"/>
      <c r="S2691" s="57"/>
      <c r="X2691" s="57"/>
    </row>
    <row r="2692" spans="1:24" hidden="1" x14ac:dyDescent="0.35">
      <c r="A2692">
        <v>2688</v>
      </c>
      <c r="B2692">
        <v>2689</v>
      </c>
      <c r="C2692">
        <v>146.095091236999</v>
      </c>
      <c r="D2692">
        <v>-17.653680472600001</v>
      </c>
      <c r="G2692" s="92"/>
      <c r="I2692">
        <v>8</v>
      </c>
      <c r="J2692" t="s">
        <v>26</v>
      </c>
      <c r="K2692" s="57"/>
      <c r="L2692" s="31"/>
      <c r="M2692" s="31"/>
      <c r="N2692" s="31"/>
      <c r="O2692" s="31"/>
      <c r="S2692" s="57"/>
      <c r="X2692" s="57"/>
    </row>
    <row r="2693" spans="1:24" hidden="1" x14ac:dyDescent="0.35">
      <c r="A2693">
        <v>2689</v>
      </c>
      <c r="B2693">
        <v>2690</v>
      </c>
      <c r="C2693">
        <v>146.09512214399899</v>
      </c>
      <c r="D2693">
        <v>-17.653600427499899</v>
      </c>
      <c r="G2693" s="92"/>
      <c r="I2693">
        <v>8</v>
      </c>
      <c r="J2693" t="s">
        <v>26</v>
      </c>
      <c r="K2693" s="57"/>
      <c r="L2693" s="31"/>
      <c r="M2693" s="31"/>
      <c r="N2693" s="31"/>
      <c r="O2693" s="31"/>
      <c r="S2693" s="57"/>
      <c r="X2693" s="57"/>
    </row>
    <row r="2694" spans="1:24" hidden="1" x14ac:dyDescent="0.35">
      <c r="A2694">
        <v>2690</v>
      </c>
      <c r="B2694">
        <v>2691</v>
      </c>
      <c r="C2694">
        <v>146.095170832999</v>
      </c>
      <c r="D2694">
        <v>-17.6535284899999</v>
      </c>
      <c r="G2694" s="92"/>
      <c r="I2694">
        <v>8</v>
      </c>
      <c r="J2694" t="s">
        <v>26</v>
      </c>
      <c r="K2694" s="57"/>
      <c r="L2694" s="31"/>
      <c r="M2694" s="31"/>
      <c r="N2694" s="31"/>
      <c r="O2694" s="31"/>
      <c r="S2694" s="57"/>
      <c r="X2694" s="57"/>
    </row>
    <row r="2695" spans="1:24" hidden="1" x14ac:dyDescent="0.35">
      <c r="A2695">
        <v>2691</v>
      </c>
      <c r="B2695">
        <v>2692</v>
      </c>
      <c r="C2695">
        <v>146.095219520999</v>
      </c>
      <c r="D2695">
        <v>-17.6534565525</v>
      </c>
      <c r="G2695" s="92"/>
      <c r="I2695">
        <v>8</v>
      </c>
      <c r="J2695" t="s">
        <v>26</v>
      </c>
      <c r="K2695" s="57"/>
      <c r="L2695" s="31"/>
      <c r="M2695" s="31"/>
      <c r="N2695" s="31"/>
      <c r="O2695" s="31"/>
      <c r="S2695" s="57"/>
      <c r="X2695" s="57"/>
    </row>
    <row r="2696" spans="1:24" hidden="1" x14ac:dyDescent="0.35">
      <c r="A2696">
        <v>2692</v>
      </c>
      <c r="B2696">
        <v>2693</v>
      </c>
      <c r="C2696">
        <v>146.09526821</v>
      </c>
      <c r="D2696">
        <v>-17.653384614899899</v>
      </c>
      <c r="G2696" s="92"/>
      <c r="I2696">
        <v>8</v>
      </c>
      <c r="J2696" t="s">
        <v>26</v>
      </c>
      <c r="K2696" s="57"/>
      <c r="L2696" s="31"/>
      <c r="M2696" s="31"/>
      <c r="N2696" s="31"/>
      <c r="O2696" s="31"/>
      <c r="S2696" s="57"/>
      <c r="X2696" s="57"/>
    </row>
    <row r="2697" spans="1:24" hidden="1" x14ac:dyDescent="0.35">
      <c r="A2697">
        <v>2693</v>
      </c>
      <c r="B2697">
        <v>2694</v>
      </c>
      <c r="C2697">
        <v>146.095316897999</v>
      </c>
      <c r="D2697">
        <v>-17.653312676999899</v>
      </c>
      <c r="G2697" s="92"/>
      <c r="I2697">
        <v>8</v>
      </c>
      <c r="J2697" t="s">
        <v>26</v>
      </c>
      <c r="K2697" s="57"/>
      <c r="L2697" s="31"/>
      <c r="M2697" s="31"/>
      <c r="N2697" s="31"/>
      <c r="O2697" s="31"/>
      <c r="S2697" s="57"/>
      <c r="X2697" s="57"/>
    </row>
    <row r="2698" spans="1:24" hidden="1" x14ac:dyDescent="0.35">
      <c r="A2698">
        <v>2694</v>
      </c>
      <c r="B2698">
        <v>2695</v>
      </c>
      <c r="C2698">
        <v>146.09536558600001</v>
      </c>
      <c r="D2698">
        <v>-17.653240739200001</v>
      </c>
      <c r="G2698" s="92"/>
      <c r="I2698">
        <v>8</v>
      </c>
      <c r="J2698" t="s">
        <v>26</v>
      </c>
      <c r="K2698" s="57"/>
      <c r="L2698" s="31"/>
      <c r="M2698" s="31"/>
      <c r="N2698" s="31"/>
      <c r="O2698" s="31"/>
      <c r="S2698" s="57"/>
      <c r="X2698" s="57"/>
    </row>
    <row r="2699" spans="1:24" hidden="1" x14ac:dyDescent="0.35">
      <c r="A2699">
        <v>2695</v>
      </c>
      <c r="B2699">
        <v>2696</v>
      </c>
      <c r="C2699">
        <v>146.09541427400001</v>
      </c>
      <c r="D2699">
        <v>-17.6531688014</v>
      </c>
      <c r="G2699" s="92"/>
      <c r="I2699">
        <v>8</v>
      </c>
      <c r="J2699" t="s">
        <v>26</v>
      </c>
      <c r="K2699" s="57"/>
      <c r="L2699" s="31"/>
      <c r="M2699" s="31"/>
      <c r="N2699" s="31"/>
      <c r="O2699" s="31"/>
      <c r="S2699" s="57"/>
      <c r="X2699" s="57"/>
    </row>
    <row r="2700" spans="1:24" hidden="1" x14ac:dyDescent="0.35">
      <c r="A2700">
        <v>2696</v>
      </c>
      <c r="B2700">
        <v>2697</v>
      </c>
      <c r="C2700">
        <v>146.095462961999</v>
      </c>
      <c r="D2700">
        <v>-17.653096863799899</v>
      </c>
      <c r="G2700" s="92"/>
      <c r="I2700">
        <v>8</v>
      </c>
      <c r="J2700" t="s">
        <v>26</v>
      </c>
      <c r="K2700" s="57"/>
      <c r="L2700" s="31"/>
      <c r="M2700" s="31"/>
      <c r="N2700" s="31"/>
      <c r="O2700" s="31"/>
      <c r="S2700" s="57"/>
      <c r="X2700" s="57"/>
    </row>
    <row r="2701" spans="1:24" hidden="1" x14ac:dyDescent="0.35">
      <c r="A2701">
        <v>2697</v>
      </c>
      <c r="B2701">
        <v>2698</v>
      </c>
      <c r="C2701">
        <v>146.09551165100001</v>
      </c>
      <c r="D2701">
        <v>-17.653024926099899</v>
      </c>
      <c r="G2701" s="92"/>
      <c r="I2701">
        <v>8</v>
      </c>
      <c r="J2701" t="s">
        <v>26</v>
      </c>
      <c r="K2701" s="57"/>
      <c r="L2701" s="31"/>
      <c r="M2701" s="31"/>
      <c r="N2701" s="31"/>
      <c r="O2701" s="31"/>
      <c r="S2701" s="57"/>
      <c r="X2701" s="57"/>
    </row>
    <row r="2702" spans="1:24" hidden="1" x14ac:dyDescent="0.35">
      <c r="A2702">
        <v>2698</v>
      </c>
      <c r="B2702">
        <v>2699</v>
      </c>
      <c r="C2702">
        <v>146.095560339999</v>
      </c>
      <c r="D2702">
        <v>-17.6529529883999</v>
      </c>
      <c r="G2702" s="92"/>
      <c r="I2702">
        <v>8</v>
      </c>
      <c r="J2702" t="s">
        <v>26</v>
      </c>
      <c r="K2702" s="57"/>
      <c r="L2702" s="31"/>
      <c r="M2702" s="31"/>
      <c r="N2702" s="31"/>
      <c r="O2702" s="31"/>
      <c r="S2702" s="57"/>
      <c r="X2702" s="57"/>
    </row>
    <row r="2703" spans="1:24" hidden="1" x14ac:dyDescent="0.35">
      <c r="A2703">
        <v>2699</v>
      </c>
      <c r="B2703">
        <v>2700</v>
      </c>
      <c r="C2703">
        <v>146.095614611999</v>
      </c>
      <c r="D2703">
        <v>-17.652884845700001</v>
      </c>
      <c r="G2703" s="92"/>
      <c r="I2703">
        <v>8</v>
      </c>
      <c r="J2703" t="s">
        <v>26</v>
      </c>
      <c r="K2703" s="57"/>
      <c r="L2703" s="31"/>
      <c r="M2703" s="31"/>
      <c r="N2703" s="31"/>
      <c r="O2703" s="31"/>
      <c r="S2703" s="57"/>
      <c r="X2703" s="57"/>
    </row>
    <row r="2704" spans="1:24" hidden="1" x14ac:dyDescent="0.35">
      <c r="A2704">
        <v>2700</v>
      </c>
      <c r="B2704">
        <v>2701</v>
      </c>
      <c r="C2704">
        <v>146.09567010500001</v>
      </c>
      <c r="D2704">
        <v>-17.6528175306</v>
      </c>
      <c r="G2704" s="92"/>
      <c r="I2704">
        <v>8</v>
      </c>
      <c r="J2704" t="s">
        <v>26</v>
      </c>
      <c r="K2704" s="57"/>
      <c r="L2704" s="31"/>
      <c r="M2704" s="31"/>
      <c r="N2704" s="31"/>
      <c r="O2704" s="31"/>
      <c r="S2704" s="57"/>
      <c r="X2704" s="57"/>
    </row>
    <row r="2705" spans="1:24" hidden="1" x14ac:dyDescent="0.35">
      <c r="A2705">
        <v>2701</v>
      </c>
      <c r="B2705">
        <v>2702</v>
      </c>
      <c r="C2705">
        <v>146.095725592999</v>
      </c>
      <c r="D2705">
        <v>-17.6527502112999</v>
      </c>
      <c r="G2705" s="92"/>
      <c r="I2705">
        <v>8</v>
      </c>
      <c r="J2705" t="s">
        <v>26</v>
      </c>
      <c r="K2705" s="57"/>
      <c r="L2705" s="31"/>
      <c r="M2705" s="31"/>
      <c r="N2705" s="31"/>
      <c r="O2705" s="31"/>
      <c r="S2705" s="57"/>
      <c r="X2705" s="57"/>
    </row>
    <row r="2706" spans="1:24" hidden="1" x14ac:dyDescent="0.35">
      <c r="A2706">
        <v>2702</v>
      </c>
      <c r="B2706">
        <v>2703</v>
      </c>
      <c r="C2706">
        <v>146.095781079999</v>
      </c>
      <c r="D2706">
        <v>-17.6526828919</v>
      </c>
      <c r="G2706" s="92"/>
      <c r="I2706">
        <v>8</v>
      </c>
      <c r="J2706" t="s">
        <v>26</v>
      </c>
      <c r="K2706" s="57"/>
      <c r="L2706" s="31"/>
      <c r="M2706" s="31"/>
      <c r="N2706" s="31"/>
      <c r="O2706" s="31"/>
      <c r="S2706" s="57"/>
      <c r="X2706" s="57"/>
    </row>
    <row r="2707" spans="1:24" hidden="1" x14ac:dyDescent="0.35">
      <c r="A2707">
        <v>2703</v>
      </c>
      <c r="B2707">
        <v>2704</v>
      </c>
      <c r="C2707">
        <v>146.09583656800001</v>
      </c>
      <c r="D2707">
        <v>-17.652615572599899</v>
      </c>
      <c r="G2707" s="92"/>
      <c r="I2707">
        <v>8</v>
      </c>
      <c r="J2707" t="s">
        <v>26</v>
      </c>
      <c r="K2707" s="57"/>
      <c r="L2707" s="31"/>
      <c r="M2707" s="31"/>
      <c r="N2707" s="31"/>
      <c r="O2707" s="31"/>
      <c r="S2707" s="57"/>
      <c r="X2707" s="57"/>
    </row>
    <row r="2708" spans="1:24" hidden="1" x14ac:dyDescent="0.35">
      <c r="A2708">
        <v>2704</v>
      </c>
      <c r="B2708">
        <v>2705</v>
      </c>
      <c r="C2708">
        <v>146.09589205500001</v>
      </c>
      <c r="D2708">
        <v>-17.6525482531999</v>
      </c>
      <c r="G2708" s="92"/>
      <c r="I2708">
        <v>8</v>
      </c>
      <c r="J2708" t="s">
        <v>26</v>
      </c>
      <c r="K2708" s="57"/>
      <c r="L2708" s="31"/>
      <c r="M2708" s="31"/>
      <c r="N2708" s="31"/>
      <c r="O2708" s="31"/>
      <c r="S2708" s="57"/>
      <c r="X2708" s="57"/>
    </row>
    <row r="2709" spans="1:24" hidden="1" x14ac:dyDescent="0.35">
      <c r="A2709">
        <v>2705</v>
      </c>
      <c r="B2709">
        <v>2706</v>
      </c>
      <c r="C2709">
        <v>146.095951157</v>
      </c>
      <c r="D2709">
        <v>-17.652483827400001</v>
      </c>
      <c r="G2709" s="92"/>
      <c r="I2709">
        <v>8</v>
      </c>
      <c r="J2709" t="s">
        <v>26</v>
      </c>
      <c r="K2709" s="57"/>
      <c r="L2709" s="31"/>
      <c r="M2709" s="31"/>
      <c r="N2709" s="31"/>
      <c r="O2709" s="31"/>
      <c r="S2709" s="57"/>
      <c r="X2709" s="57"/>
    </row>
    <row r="2710" spans="1:24" hidden="1" x14ac:dyDescent="0.35">
      <c r="A2710">
        <v>2706</v>
      </c>
      <c r="B2710">
        <v>2707</v>
      </c>
      <c r="C2710">
        <v>146.09601117400001</v>
      </c>
      <c r="D2710">
        <v>-17.652420133700002</v>
      </c>
      <c r="G2710" s="92"/>
      <c r="I2710">
        <v>8</v>
      </c>
      <c r="J2710" t="s">
        <v>26</v>
      </c>
      <c r="K2710" s="57"/>
      <c r="L2710" s="31"/>
      <c r="M2710" s="31"/>
      <c r="N2710" s="31"/>
      <c r="O2710" s="31"/>
      <c r="S2710" s="57"/>
      <c r="X2710" s="57"/>
    </row>
    <row r="2711" spans="1:24" hidden="1" x14ac:dyDescent="0.35">
      <c r="A2711">
        <v>2707</v>
      </c>
      <c r="B2711">
        <v>2708</v>
      </c>
      <c r="C2711">
        <v>146.09607119</v>
      </c>
      <c r="D2711">
        <v>-17.652356439999899</v>
      </c>
      <c r="G2711" s="92"/>
      <c r="I2711">
        <v>8</v>
      </c>
      <c r="J2711" t="s">
        <v>26</v>
      </c>
      <c r="K2711" s="57"/>
      <c r="L2711" s="31"/>
      <c r="M2711" s="31"/>
      <c r="N2711" s="31"/>
      <c r="O2711" s="31"/>
      <c r="S2711" s="57"/>
      <c r="X2711" s="57"/>
    </row>
    <row r="2712" spans="1:24" hidden="1" x14ac:dyDescent="0.35">
      <c r="A2712">
        <v>2708</v>
      </c>
      <c r="B2712">
        <v>2709</v>
      </c>
      <c r="C2712">
        <v>146.09613120700001</v>
      </c>
      <c r="D2712">
        <v>-17.652292746200001</v>
      </c>
      <c r="G2712" s="92"/>
      <c r="I2712">
        <v>8</v>
      </c>
      <c r="J2712" t="s">
        <v>26</v>
      </c>
      <c r="K2712" s="57"/>
      <c r="L2712" s="31"/>
      <c r="M2712" s="31"/>
      <c r="N2712" s="31"/>
      <c r="O2712" s="31"/>
      <c r="S2712" s="57"/>
      <c r="X2712" s="57"/>
    </row>
    <row r="2713" spans="1:24" hidden="1" x14ac:dyDescent="0.35">
      <c r="A2713">
        <v>2709</v>
      </c>
      <c r="B2713">
        <v>2710</v>
      </c>
      <c r="C2713">
        <v>146.096178119</v>
      </c>
      <c r="D2713">
        <v>-17.652220793000001</v>
      </c>
      <c r="G2713" s="92"/>
      <c r="I2713">
        <v>8</v>
      </c>
      <c r="J2713" t="s">
        <v>26</v>
      </c>
      <c r="K2713" s="57"/>
      <c r="L2713" s="31"/>
      <c r="M2713" s="31"/>
      <c r="N2713" s="31"/>
      <c r="O2713" s="31"/>
      <c r="S2713" s="57"/>
      <c r="X2713" s="57"/>
    </row>
    <row r="2714" spans="1:24" hidden="1" x14ac:dyDescent="0.35">
      <c r="A2714">
        <v>2710</v>
      </c>
      <c r="B2714">
        <v>2711</v>
      </c>
      <c r="C2714">
        <v>146.09621614700001</v>
      </c>
      <c r="D2714">
        <v>-17.6521432394999</v>
      </c>
      <c r="G2714" s="92"/>
      <c r="I2714">
        <v>8</v>
      </c>
      <c r="J2714" t="s">
        <v>26</v>
      </c>
      <c r="K2714" s="57"/>
      <c r="L2714" s="31"/>
      <c r="M2714" s="31"/>
      <c r="N2714" s="31"/>
      <c r="O2714" s="31"/>
      <c r="S2714" s="57"/>
      <c r="X2714" s="57"/>
    </row>
    <row r="2715" spans="1:24" hidden="1" x14ac:dyDescent="0.35">
      <c r="A2715">
        <v>2711</v>
      </c>
      <c r="B2715">
        <v>2712</v>
      </c>
      <c r="C2715">
        <v>146.09625417500001</v>
      </c>
      <c r="D2715">
        <v>-17.652065686</v>
      </c>
      <c r="G2715" s="92"/>
      <c r="I2715">
        <v>8</v>
      </c>
      <c r="J2715" t="s">
        <v>26</v>
      </c>
      <c r="K2715" s="57"/>
      <c r="L2715" s="31"/>
      <c r="M2715" s="31"/>
      <c r="N2715" s="31"/>
      <c r="O2715" s="31"/>
      <c r="S2715" s="57"/>
      <c r="X2715" s="57"/>
    </row>
    <row r="2716" spans="1:24" hidden="1" x14ac:dyDescent="0.35">
      <c r="A2716">
        <v>2712</v>
      </c>
      <c r="B2716">
        <v>2713</v>
      </c>
      <c r="C2716">
        <v>146.096292202</v>
      </c>
      <c r="D2716">
        <v>-17.651988132500001</v>
      </c>
      <c r="G2716" s="92"/>
      <c r="I2716">
        <v>8</v>
      </c>
      <c r="J2716" t="s">
        <v>26</v>
      </c>
      <c r="K2716" s="57"/>
      <c r="L2716" s="31"/>
      <c r="M2716" s="31"/>
      <c r="N2716" s="31"/>
      <c r="O2716" s="31"/>
      <c r="S2716" s="57"/>
      <c r="X2716" s="57"/>
    </row>
    <row r="2717" spans="1:24" hidden="1" x14ac:dyDescent="0.35">
      <c r="A2717">
        <v>2713</v>
      </c>
      <c r="B2717">
        <v>2714</v>
      </c>
      <c r="C2717">
        <v>146.09633023000001</v>
      </c>
      <c r="D2717">
        <v>-17.651910578900001</v>
      </c>
      <c r="G2717" s="92"/>
      <c r="I2717">
        <v>8</v>
      </c>
      <c r="J2717" t="s">
        <v>26</v>
      </c>
      <c r="K2717" s="57"/>
      <c r="L2717" s="31"/>
      <c r="M2717" s="31"/>
      <c r="N2717" s="31"/>
      <c r="O2717" s="31"/>
      <c r="S2717" s="57"/>
      <c r="X2717" s="57"/>
    </row>
    <row r="2718" spans="1:24" hidden="1" x14ac:dyDescent="0.35">
      <c r="A2718">
        <v>2714</v>
      </c>
      <c r="B2718">
        <v>2715</v>
      </c>
      <c r="C2718">
        <v>146.096360489999</v>
      </c>
      <c r="D2718">
        <v>-17.651830365399899</v>
      </c>
      <c r="G2718" s="92"/>
      <c r="I2718">
        <v>8</v>
      </c>
      <c r="J2718" t="s">
        <v>26</v>
      </c>
      <c r="K2718" s="57"/>
      <c r="L2718" s="31"/>
      <c r="M2718" s="31"/>
      <c r="N2718" s="31"/>
      <c r="O2718" s="31"/>
      <c r="S2718" s="57"/>
      <c r="X2718" s="57"/>
    </row>
    <row r="2719" spans="1:24" hidden="1" x14ac:dyDescent="0.35">
      <c r="A2719">
        <v>2715</v>
      </c>
      <c r="B2719">
        <v>2716</v>
      </c>
      <c r="C2719">
        <v>146.096382965999</v>
      </c>
      <c r="D2719">
        <v>-17.651747486000001</v>
      </c>
      <c r="G2719" s="92"/>
      <c r="I2719">
        <v>8</v>
      </c>
      <c r="J2719" t="s">
        <v>26</v>
      </c>
      <c r="K2719" s="57"/>
      <c r="L2719" s="31"/>
      <c r="M2719" s="31"/>
      <c r="N2719" s="31"/>
      <c r="O2719" s="31"/>
      <c r="S2719" s="57"/>
      <c r="X2719" s="57"/>
    </row>
    <row r="2720" spans="1:24" hidden="1" x14ac:dyDescent="0.35">
      <c r="A2720">
        <v>2716</v>
      </c>
      <c r="B2720">
        <v>2717</v>
      </c>
      <c r="C2720">
        <v>146.096405441999</v>
      </c>
      <c r="D2720">
        <v>-17.651664606600001</v>
      </c>
      <c r="G2720" s="92"/>
      <c r="I2720">
        <v>8</v>
      </c>
      <c r="J2720" t="s">
        <v>26</v>
      </c>
      <c r="K2720" s="57"/>
      <c r="L2720" s="31"/>
      <c r="M2720" s="31"/>
      <c r="N2720" s="31"/>
      <c r="O2720" s="31"/>
      <c r="S2720" s="57"/>
      <c r="X2720" s="57"/>
    </row>
    <row r="2721" spans="1:24" hidden="1" x14ac:dyDescent="0.35">
      <c r="A2721">
        <v>2717</v>
      </c>
      <c r="B2721">
        <v>2718</v>
      </c>
      <c r="C2721">
        <v>146.09642791799899</v>
      </c>
      <c r="D2721">
        <v>-17.6515817272</v>
      </c>
      <c r="G2721" s="92"/>
      <c r="I2721">
        <v>8</v>
      </c>
      <c r="J2721" t="s">
        <v>26</v>
      </c>
      <c r="K2721" s="57"/>
      <c r="L2721" s="31"/>
      <c r="M2721" s="31"/>
      <c r="N2721" s="31"/>
      <c r="O2721" s="31"/>
      <c r="S2721" s="57"/>
      <c r="X2721" s="57"/>
    </row>
    <row r="2722" spans="1:24" hidden="1" x14ac:dyDescent="0.35">
      <c r="A2722">
        <v>2718</v>
      </c>
      <c r="B2722">
        <v>2719</v>
      </c>
      <c r="C2722">
        <v>146.096451618</v>
      </c>
      <c r="D2722">
        <v>-17.651499208499899</v>
      </c>
      <c r="G2722" s="92"/>
      <c r="I2722">
        <v>8</v>
      </c>
      <c r="J2722" t="s">
        <v>26</v>
      </c>
      <c r="K2722" s="57"/>
      <c r="L2722" s="31"/>
      <c r="M2722" s="31"/>
      <c r="N2722" s="31"/>
      <c r="O2722" s="31"/>
      <c r="S2722" s="57"/>
      <c r="X2722" s="57"/>
    </row>
    <row r="2723" spans="1:24" hidden="1" x14ac:dyDescent="0.35">
      <c r="A2723">
        <v>2719</v>
      </c>
      <c r="B2723">
        <v>2720</v>
      </c>
      <c r="C2723">
        <v>146.096482151</v>
      </c>
      <c r="D2723">
        <v>-17.651418702600001</v>
      </c>
      <c r="G2723" s="92"/>
      <c r="I2723">
        <v>8</v>
      </c>
      <c r="J2723" t="s">
        <v>26</v>
      </c>
      <c r="K2723" s="57"/>
      <c r="L2723" s="31"/>
      <c r="M2723" s="31"/>
      <c r="N2723" s="31"/>
      <c r="O2723" s="31"/>
      <c r="S2723" s="57"/>
      <c r="X2723" s="57"/>
    </row>
    <row r="2724" spans="1:24" hidden="1" x14ac:dyDescent="0.35">
      <c r="A2724">
        <v>2720</v>
      </c>
      <c r="B2724">
        <v>2721</v>
      </c>
      <c r="C2724">
        <v>146.09651268299899</v>
      </c>
      <c r="D2724">
        <v>-17.651338196600001</v>
      </c>
      <c r="G2724" s="92"/>
      <c r="I2724">
        <v>8</v>
      </c>
      <c r="J2724" t="s">
        <v>26</v>
      </c>
      <c r="K2724" s="57"/>
      <c r="L2724" s="31"/>
      <c r="M2724" s="31"/>
      <c r="N2724" s="31"/>
      <c r="O2724" s="31"/>
      <c r="S2724" s="57"/>
      <c r="X2724" s="57"/>
    </row>
    <row r="2725" spans="1:24" hidden="1" x14ac:dyDescent="0.35">
      <c r="A2725">
        <v>2721</v>
      </c>
      <c r="B2725">
        <v>2722</v>
      </c>
      <c r="C2725">
        <v>146.09654321599899</v>
      </c>
      <c r="D2725">
        <v>-17.6512576905</v>
      </c>
      <c r="G2725" s="92"/>
      <c r="I2725">
        <v>8</v>
      </c>
      <c r="J2725" t="s">
        <v>26</v>
      </c>
      <c r="K2725" s="57"/>
      <c r="L2725" s="31"/>
      <c r="M2725" s="31"/>
      <c r="N2725" s="31"/>
      <c r="O2725" s="31"/>
      <c r="S2725" s="57"/>
      <c r="X2725" s="57"/>
    </row>
    <row r="2726" spans="1:24" hidden="1" x14ac:dyDescent="0.35">
      <c r="A2726">
        <v>2722</v>
      </c>
      <c r="B2726">
        <v>2723</v>
      </c>
      <c r="C2726">
        <v>146.096573747999</v>
      </c>
      <c r="D2726">
        <v>-17.6511771845</v>
      </c>
      <c r="G2726" s="92"/>
      <c r="I2726">
        <v>8</v>
      </c>
      <c r="J2726" t="s">
        <v>26</v>
      </c>
      <c r="K2726" s="57"/>
      <c r="L2726" s="31"/>
      <c r="M2726" s="31"/>
      <c r="N2726" s="31"/>
      <c r="O2726" s="31"/>
      <c r="S2726" s="57"/>
      <c r="X2726" s="57"/>
    </row>
    <row r="2727" spans="1:24" hidden="1" x14ac:dyDescent="0.35">
      <c r="A2727">
        <v>2723</v>
      </c>
      <c r="B2727">
        <v>2724</v>
      </c>
      <c r="C2727">
        <v>146.096604280999</v>
      </c>
      <c r="D2727">
        <v>-17.6510966783</v>
      </c>
      <c r="G2727" s="92"/>
      <c r="I2727">
        <v>8</v>
      </c>
      <c r="J2727" t="s">
        <v>26</v>
      </c>
      <c r="K2727" s="57"/>
      <c r="L2727" s="31"/>
      <c r="M2727" s="31"/>
      <c r="N2727" s="31"/>
      <c r="O2727" s="31"/>
      <c r="S2727" s="57"/>
      <c r="X2727" s="57"/>
    </row>
    <row r="2728" spans="1:24" hidden="1" x14ac:dyDescent="0.35">
      <c r="A2728">
        <v>2724</v>
      </c>
      <c r="B2728">
        <v>2725</v>
      </c>
      <c r="C2728">
        <v>146.096638861</v>
      </c>
      <c r="D2728">
        <v>-17.6510179755</v>
      </c>
      <c r="G2728" s="92"/>
      <c r="I2728">
        <v>8</v>
      </c>
      <c r="J2728" t="s">
        <v>26</v>
      </c>
      <c r="K2728" s="57"/>
      <c r="L2728" s="31"/>
      <c r="M2728" s="31"/>
      <c r="N2728" s="31"/>
      <c r="O2728" s="31"/>
      <c r="S2728" s="57"/>
      <c r="X2728" s="57"/>
    </row>
    <row r="2729" spans="1:24" hidden="1" x14ac:dyDescent="0.35">
      <c r="A2729">
        <v>2725</v>
      </c>
      <c r="B2729">
        <v>2726</v>
      </c>
      <c r="C2729">
        <v>146.09668411000001</v>
      </c>
      <c r="D2729">
        <v>-17.6509440258999</v>
      </c>
      <c r="G2729" s="92"/>
      <c r="I2729">
        <v>8</v>
      </c>
      <c r="J2729" t="s">
        <v>26</v>
      </c>
      <c r="K2729" s="57"/>
      <c r="L2729" s="31"/>
      <c r="M2729" s="31"/>
      <c r="N2729" s="31"/>
      <c r="O2729" s="31"/>
      <c r="S2729" s="57"/>
      <c r="X2729" s="57"/>
    </row>
    <row r="2730" spans="1:24" hidden="1" x14ac:dyDescent="0.35">
      <c r="A2730">
        <v>2726</v>
      </c>
      <c r="B2730">
        <v>2727</v>
      </c>
      <c r="C2730">
        <v>146.096729358999</v>
      </c>
      <c r="D2730">
        <v>-17.650870076299899</v>
      </c>
      <c r="G2730" s="92"/>
      <c r="I2730">
        <v>8</v>
      </c>
      <c r="J2730" t="s">
        <v>26</v>
      </c>
      <c r="K2730" s="57"/>
      <c r="L2730" s="31"/>
      <c r="M2730" s="31"/>
      <c r="N2730" s="31"/>
      <c r="O2730" s="31"/>
      <c r="S2730" s="57"/>
      <c r="X2730" s="57"/>
    </row>
    <row r="2731" spans="1:24" hidden="1" x14ac:dyDescent="0.35">
      <c r="A2731">
        <v>2727</v>
      </c>
      <c r="B2731">
        <v>2728</v>
      </c>
      <c r="C2731">
        <v>146.096774608</v>
      </c>
      <c r="D2731">
        <v>-17.650796126700001</v>
      </c>
      <c r="G2731" s="92"/>
      <c r="I2731">
        <v>8</v>
      </c>
      <c r="J2731" t="s">
        <v>26</v>
      </c>
      <c r="K2731" s="57"/>
      <c r="L2731" s="31"/>
      <c r="M2731" s="31"/>
      <c r="N2731" s="31"/>
      <c r="O2731" s="31"/>
      <c r="S2731" s="57"/>
      <c r="X2731" s="57"/>
    </row>
    <row r="2732" spans="1:24" hidden="1" x14ac:dyDescent="0.35">
      <c r="A2732">
        <v>2728</v>
      </c>
      <c r="B2732">
        <v>2729</v>
      </c>
      <c r="C2732">
        <v>146.09681985700001</v>
      </c>
      <c r="D2732">
        <v>-17.650722176999899</v>
      </c>
      <c r="G2732" s="92"/>
      <c r="I2732">
        <v>8</v>
      </c>
      <c r="J2732" t="s">
        <v>26</v>
      </c>
      <c r="K2732" s="57"/>
      <c r="L2732" s="31"/>
      <c r="M2732" s="31"/>
      <c r="N2732" s="31"/>
      <c r="O2732" s="31"/>
      <c r="S2732" s="57"/>
      <c r="X2732" s="57"/>
    </row>
    <row r="2733" spans="1:24" hidden="1" x14ac:dyDescent="0.35">
      <c r="A2733">
        <v>2729</v>
      </c>
      <c r="B2733">
        <v>2730</v>
      </c>
      <c r="C2733">
        <v>146.096865105999</v>
      </c>
      <c r="D2733">
        <v>-17.650648227400001</v>
      </c>
      <c r="G2733" s="92"/>
      <c r="I2733">
        <v>8</v>
      </c>
      <c r="J2733" t="s">
        <v>26</v>
      </c>
      <c r="K2733" s="57"/>
      <c r="L2733" s="31"/>
      <c r="M2733" s="31"/>
      <c r="N2733" s="31"/>
      <c r="O2733" s="31"/>
      <c r="S2733" s="57"/>
      <c r="X2733" s="57"/>
    </row>
    <row r="2734" spans="1:24" hidden="1" x14ac:dyDescent="0.35">
      <c r="A2734">
        <v>2730</v>
      </c>
      <c r="B2734">
        <v>2731</v>
      </c>
      <c r="C2734">
        <v>146.09691035500001</v>
      </c>
      <c r="D2734">
        <v>-17.650574277699899</v>
      </c>
      <c r="G2734" s="92"/>
      <c r="I2734">
        <v>8</v>
      </c>
      <c r="J2734" t="s">
        <v>26</v>
      </c>
      <c r="K2734" s="57"/>
      <c r="L2734" s="31"/>
      <c r="M2734" s="31"/>
      <c r="N2734" s="31"/>
      <c r="O2734" s="31"/>
      <c r="S2734" s="57"/>
      <c r="X2734" s="57"/>
    </row>
    <row r="2735" spans="1:24" hidden="1" x14ac:dyDescent="0.35">
      <c r="A2735">
        <v>2731</v>
      </c>
      <c r="B2735">
        <v>2732</v>
      </c>
      <c r="C2735">
        <v>146.09695560399899</v>
      </c>
      <c r="D2735">
        <v>-17.650500327900001</v>
      </c>
      <c r="G2735" s="92"/>
      <c r="I2735">
        <v>8</v>
      </c>
      <c r="J2735" t="s">
        <v>26</v>
      </c>
      <c r="K2735" s="57"/>
      <c r="L2735" s="31"/>
      <c r="M2735" s="31"/>
      <c r="N2735" s="31"/>
      <c r="O2735" s="31"/>
      <c r="S2735" s="57"/>
      <c r="X2735" s="57"/>
    </row>
    <row r="2736" spans="1:24" hidden="1" x14ac:dyDescent="0.35">
      <c r="A2736">
        <v>2732</v>
      </c>
      <c r="B2736">
        <v>2733</v>
      </c>
      <c r="C2736">
        <v>146.09701222000001</v>
      </c>
      <c r="D2736">
        <v>-17.650435072400001</v>
      </c>
      <c r="G2736" s="92"/>
      <c r="I2736">
        <v>8</v>
      </c>
      <c r="J2736" t="s">
        <v>26</v>
      </c>
      <c r="K2736" s="57"/>
      <c r="L2736" s="31"/>
      <c r="M2736" s="31"/>
      <c r="N2736" s="31"/>
      <c r="O2736" s="31"/>
      <c r="S2736" s="57"/>
      <c r="X2736" s="57"/>
    </row>
    <row r="2737" spans="1:26" hidden="1" x14ac:dyDescent="0.35">
      <c r="A2737">
        <v>2733</v>
      </c>
      <c r="B2737">
        <v>2734</v>
      </c>
      <c r="C2737">
        <v>146.09707819600001</v>
      </c>
      <c r="D2737">
        <v>-17.650376976899899</v>
      </c>
      <c r="G2737" s="92"/>
      <c r="I2737">
        <v>8</v>
      </c>
      <c r="J2737" t="s">
        <v>26</v>
      </c>
      <c r="K2737" s="57"/>
      <c r="L2737" s="31"/>
      <c r="M2737" s="31"/>
      <c r="N2737" s="31"/>
      <c r="O2737" s="31"/>
      <c r="S2737" s="57"/>
      <c r="X2737" s="57"/>
      <c r="Z2737" s="57"/>
    </row>
    <row r="2738" spans="1:26" hidden="1" x14ac:dyDescent="0.35">
      <c r="A2738">
        <v>2734</v>
      </c>
      <c r="B2738">
        <v>2735</v>
      </c>
      <c r="C2738">
        <v>146.097144173</v>
      </c>
      <c r="D2738">
        <v>-17.6503188814</v>
      </c>
      <c r="G2738" s="92"/>
      <c r="I2738">
        <v>8</v>
      </c>
      <c r="J2738" t="s">
        <v>26</v>
      </c>
      <c r="K2738" s="57"/>
      <c r="L2738" s="31"/>
      <c r="M2738" s="31"/>
      <c r="N2738" s="31"/>
      <c r="O2738" s="31"/>
      <c r="S2738" s="57"/>
      <c r="X2738" s="57"/>
    </row>
    <row r="2739" spans="1:26" hidden="1" x14ac:dyDescent="0.35">
      <c r="A2739">
        <v>2735</v>
      </c>
      <c r="B2739">
        <v>2736</v>
      </c>
      <c r="C2739">
        <v>146.09721014900001</v>
      </c>
      <c r="D2739">
        <v>-17.650260785899899</v>
      </c>
      <c r="G2739" s="92"/>
      <c r="I2739">
        <v>8</v>
      </c>
      <c r="J2739" t="s">
        <v>26</v>
      </c>
      <c r="K2739" s="57"/>
      <c r="L2739" s="31"/>
      <c r="M2739" s="31"/>
      <c r="N2739" s="31"/>
      <c r="O2739" s="31"/>
      <c r="S2739" s="57"/>
      <c r="X2739" s="57"/>
    </row>
    <row r="2740" spans="1:26" hidden="1" x14ac:dyDescent="0.35">
      <c r="A2740">
        <v>2736</v>
      </c>
      <c r="B2740">
        <v>2737</v>
      </c>
      <c r="C2740">
        <v>146.097276125999</v>
      </c>
      <c r="D2740">
        <v>-17.650202690299899</v>
      </c>
      <c r="G2740" s="92"/>
      <c r="I2740">
        <v>8</v>
      </c>
      <c r="J2740" t="s">
        <v>26</v>
      </c>
      <c r="K2740" s="57"/>
      <c r="L2740" s="31"/>
      <c r="M2740" s="31"/>
      <c r="N2740" s="31"/>
      <c r="O2740" s="31"/>
      <c r="S2740" s="57"/>
      <c r="X2740" s="57"/>
    </row>
    <row r="2741" spans="1:26" hidden="1" x14ac:dyDescent="0.35">
      <c r="A2741">
        <v>2737</v>
      </c>
      <c r="B2741">
        <v>2738</v>
      </c>
      <c r="C2741">
        <v>146.09734210299899</v>
      </c>
      <c r="D2741">
        <v>-17.6501445948</v>
      </c>
      <c r="G2741" s="92"/>
      <c r="I2741">
        <v>8</v>
      </c>
      <c r="J2741" t="s">
        <v>26</v>
      </c>
      <c r="K2741" s="57"/>
      <c r="L2741" s="31"/>
      <c r="M2741" s="31"/>
      <c r="N2741" s="31"/>
      <c r="O2741" s="31"/>
      <c r="S2741" s="57"/>
      <c r="X2741" s="57"/>
    </row>
    <row r="2742" spans="1:26" hidden="1" x14ac:dyDescent="0.35">
      <c r="A2742">
        <v>2738</v>
      </c>
      <c r="B2742">
        <v>2739</v>
      </c>
      <c r="C2742">
        <v>146.097414192999</v>
      </c>
      <c r="D2742">
        <v>-17.650095454900001</v>
      </c>
      <c r="G2742" s="92"/>
      <c r="I2742">
        <v>8</v>
      </c>
      <c r="J2742" t="s">
        <v>26</v>
      </c>
      <c r="K2742" s="57"/>
      <c r="L2742" s="31"/>
      <c r="M2742" s="31"/>
      <c r="N2742" s="31"/>
      <c r="O2742" s="31"/>
      <c r="S2742" s="57"/>
      <c r="X2742" s="57"/>
    </row>
    <row r="2743" spans="1:26" hidden="1" x14ac:dyDescent="0.35">
      <c r="A2743">
        <v>2739</v>
      </c>
      <c r="B2743">
        <v>2740</v>
      </c>
      <c r="C2743">
        <v>146.097496667</v>
      </c>
      <c r="D2743">
        <v>-17.650061524400002</v>
      </c>
      <c r="G2743" s="92"/>
      <c r="I2743">
        <v>8</v>
      </c>
      <c r="J2743" t="s">
        <v>26</v>
      </c>
      <c r="K2743" s="57"/>
      <c r="L2743" s="31"/>
      <c r="M2743" s="31"/>
      <c r="N2743" s="31"/>
      <c r="O2743" s="31"/>
      <c r="S2743" s="57"/>
      <c r="X2743" s="57"/>
    </row>
    <row r="2744" spans="1:26" hidden="1" x14ac:dyDescent="0.35">
      <c r="A2744">
        <v>2740</v>
      </c>
      <c r="B2744">
        <v>2741</v>
      </c>
      <c r="C2744">
        <v>146.09758036900001</v>
      </c>
      <c r="D2744">
        <v>-17.6500308902</v>
      </c>
      <c r="G2744" s="92"/>
      <c r="I2744">
        <v>8</v>
      </c>
      <c r="J2744" t="s">
        <v>26</v>
      </c>
      <c r="K2744" s="57"/>
      <c r="L2744" s="31"/>
      <c r="M2744" s="31"/>
      <c r="N2744" s="31"/>
      <c r="O2744" s="31"/>
      <c r="S2744" s="57"/>
      <c r="X2744" s="57"/>
    </row>
    <row r="2745" spans="1:26" hidden="1" x14ac:dyDescent="0.35">
      <c r="A2745">
        <v>2741</v>
      </c>
      <c r="B2745">
        <v>2742</v>
      </c>
      <c r="C2745">
        <v>146.09766682200001</v>
      </c>
      <c r="D2745">
        <v>-17.650007635400002</v>
      </c>
      <c r="G2745" s="92"/>
      <c r="I2745">
        <v>8</v>
      </c>
      <c r="J2745" t="s">
        <v>26</v>
      </c>
      <c r="K2745" s="57"/>
      <c r="L2745" s="31"/>
      <c r="M2745" s="31"/>
      <c r="N2745" s="31"/>
      <c r="O2745" s="31"/>
      <c r="S2745" s="57"/>
      <c r="X2745" s="57"/>
    </row>
    <row r="2746" spans="1:26" hidden="1" x14ac:dyDescent="0.35">
      <c r="A2746">
        <v>2742</v>
      </c>
      <c r="B2746">
        <v>2743</v>
      </c>
      <c r="C2746">
        <v>146.09775537100001</v>
      </c>
      <c r="D2746">
        <v>-17.650006141999899</v>
      </c>
      <c r="G2746" s="92"/>
      <c r="I2746">
        <v>8</v>
      </c>
      <c r="J2746" t="s">
        <v>26</v>
      </c>
      <c r="K2746" s="57"/>
      <c r="L2746" s="31"/>
      <c r="M2746" s="31"/>
      <c r="N2746" s="31"/>
      <c r="O2746" s="31"/>
      <c r="S2746" s="57"/>
      <c r="X2746" s="57"/>
    </row>
    <row r="2747" spans="1:26" hidden="1" x14ac:dyDescent="0.35">
      <c r="A2747">
        <v>2743</v>
      </c>
      <c r="B2747">
        <v>2744</v>
      </c>
      <c r="C2747">
        <v>146.09784224000001</v>
      </c>
      <c r="D2747">
        <v>-17.650022522</v>
      </c>
      <c r="G2747" s="92"/>
      <c r="I2747">
        <v>8</v>
      </c>
      <c r="J2747" t="s">
        <v>26</v>
      </c>
      <c r="K2747" s="57"/>
      <c r="L2747" s="31"/>
      <c r="M2747" s="31"/>
      <c r="N2747" s="31"/>
      <c r="O2747" s="31"/>
      <c r="S2747" s="57"/>
      <c r="X2747" s="57"/>
    </row>
    <row r="2748" spans="1:26" hidden="1" x14ac:dyDescent="0.35">
      <c r="A2748">
        <v>2744</v>
      </c>
      <c r="B2748">
        <v>2745</v>
      </c>
      <c r="C2748">
        <v>146.09792229499899</v>
      </c>
      <c r="D2748">
        <v>-17.650061357799899</v>
      </c>
      <c r="G2748" s="92"/>
      <c r="I2748">
        <v>8</v>
      </c>
      <c r="J2748" t="s">
        <v>26</v>
      </c>
      <c r="K2748" s="57"/>
      <c r="L2748" s="31"/>
      <c r="M2748" s="31"/>
      <c r="N2748" s="31"/>
      <c r="O2748" s="31"/>
      <c r="S2748" s="57"/>
      <c r="X2748" s="57"/>
    </row>
    <row r="2749" spans="1:26" hidden="1" x14ac:dyDescent="0.35">
      <c r="A2749">
        <v>2745</v>
      </c>
      <c r="B2749">
        <v>2746</v>
      </c>
      <c r="C2749">
        <v>146.09800235</v>
      </c>
      <c r="D2749">
        <v>-17.650100193699899</v>
      </c>
      <c r="G2749" s="92"/>
      <c r="I2749">
        <v>8</v>
      </c>
      <c r="J2749" t="s">
        <v>26</v>
      </c>
      <c r="K2749" s="57"/>
      <c r="L2749" s="31"/>
      <c r="M2749" s="31"/>
      <c r="N2749" s="31"/>
      <c r="O2749" s="31"/>
      <c r="S2749" s="57"/>
      <c r="X2749" s="57"/>
    </row>
    <row r="2750" spans="1:26" hidden="1" x14ac:dyDescent="0.35">
      <c r="A2750">
        <v>2746</v>
      </c>
      <c r="B2750">
        <v>2747</v>
      </c>
      <c r="C2750">
        <v>146.098077111999</v>
      </c>
      <c r="D2750">
        <v>-17.650146740299899</v>
      </c>
      <c r="G2750" s="92"/>
      <c r="I2750">
        <v>8</v>
      </c>
      <c r="J2750" t="s">
        <v>26</v>
      </c>
      <c r="K2750" s="57"/>
      <c r="L2750" s="31"/>
      <c r="M2750" s="31"/>
      <c r="N2750" s="31"/>
      <c r="O2750" s="31"/>
      <c r="S2750" s="57"/>
      <c r="X2750" s="57"/>
    </row>
    <row r="2751" spans="1:26" hidden="1" x14ac:dyDescent="0.35">
      <c r="A2751">
        <v>2747</v>
      </c>
      <c r="B2751">
        <v>2748</v>
      </c>
      <c r="C2751">
        <v>146.09814652700001</v>
      </c>
      <c r="D2751">
        <v>-17.6502010757</v>
      </c>
      <c r="G2751" s="92"/>
      <c r="I2751">
        <v>8</v>
      </c>
      <c r="J2751" t="s">
        <v>26</v>
      </c>
      <c r="K2751" s="57"/>
      <c r="L2751" s="31"/>
      <c r="M2751" s="31"/>
      <c r="N2751" s="31"/>
      <c r="O2751" s="31"/>
      <c r="S2751" s="57"/>
      <c r="X2751" s="57"/>
    </row>
    <row r="2752" spans="1:26" hidden="1" x14ac:dyDescent="0.35">
      <c r="A2752">
        <v>2748</v>
      </c>
      <c r="B2752">
        <v>2749</v>
      </c>
      <c r="C2752">
        <v>146.098215941999</v>
      </c>
      <c r="D2752">
        <v>-17.650255411100002</v>
      </c>
      <c r="G2752" s="92"/>
      <c r="I2752">
        <v>8</v>
      </c>
      <c r="J2752" t="s">
        <v>26</v>
      </c>
      <c r="K2752" s="57"/>
      <c r="L2752" s="31"/>
      <c r="M2752" s="31"/>
      <c r="N2752" s="31"/>
      <c r="O2752" s="31"/>
      <c r="S2752" s="57"/>
      <c r="X2752" s="57"/>
    </row>
    <row r="2753" spans="1:24" hidden="1" x14ac:dyDescent="0.35">
      <c r="A2753">
        <v>2749</v>
      </c>
      <c r="B2753">
        <v>2750</v>
      </c>
      <c r="C2753">
        <v>146.09828535700001</v>
      </c>
      <c r="D2753">
        <v>-17.6503097465</v>
      </c>
      <c r="G2753" s="92"/>
      <c r="I2753">
        <v>8</v>
      </c>
      <c r="J2753" t="s">
        <v>26</v>
      </c>
      <c r="K2753" s="57"/>
      <c r="L2753" s="31"/>
      <c r="M2753" s="31"/>
      <c r="N2753" s="31"/>
      <c r="O2753" s="31"/>
      <c r="S2753" s="57"/>
      <c r="X2753" s="57"/>
    </row>
    <row r="2754" spans="1:24" hidden="1" x14ac:dyDescent="0.35">
      <c r="A2754">
        <v>2750</v>
      </c>
      <c r="B2754">
        <v>2751</v>
      </c>
      <c r="C2754">
        <v>146.09834907000001</v>
      </c>
      <c r="D2754">
        <v>-17.650369907999899</v>
      </c>
      <c r="G2754" s="92"/>
      <c r="I2754">
        <v>8</v>
      </c>
      <c r="J2754" t="s">
        <v>26</v>
      </c>
      <c r="K2754" s="57"/>
      <c r="L2754" s="31"/>
      <c r="M2754" s="31"/>
      <c r="N2754" s="31"/>
      <c r="O2754" s="31"/>
      <c r="S2754" s="57"/>
      <c r="X2754" s="57"/>
    </row>
    <row r="2755" spans="1:24" hidden="1" x14ac:dyDescent="0.35">
      <c r="A2755">
        <v>2751</v>
      </c>
      <c r="B2755">
        <v>2752</v>
      </c>
      <c r="C2755">
        <v>146.09841077300001</v>
      </c>
      <c r="D2755">
        <v>-17.650432122000002</v>
      </c>
      <c r="G2755" s="92"/>
      <c r="I2755">
        <v>8</v>
      </c>
      <c r="J2755" t="s">
        <v>26</v>
      </c>
      <c r="K2755" s="57"/>
      <c r="L2755" s="31"/>
      <c r="M2755" s="31"/>
      <c r="N2755" s="31"/>
      <c r="O2755" s="31"/>
      <c r="S2755" s="57"/>
      <c r="X2755" s="57"/>
    </row>
    <row r="2756" spans="1:24" hidden="1" x14ac:dyDescent="0.35">
      <c r="A2756">
        <v>2752</v>
      </c>
      <c r="B2756">
        <v>2753</v>
      </c>
      <c r="C2756">
        <v>146.098472474999</v>
      </c>
      <c r="D2756">
        <v>-17.650494336000001</v>
      </c>
      <c r="G2756" s="92"/>
      <c r="I2756">
        <v>8</v>
      </c>
      <c r="J2756" t="s">
        <v>26</v>
      </c>
      <c r="K2756" s="57"/>
      <c r="L2756" s="31"/>
      <c r="M2756" s="31"/>
      <c r="N2756" s="31"/>
      <c r="O2756" s="31"/>
      <c r="S2756" s="57"/>
      <c r="X2756" s="57"/>
    </row>
    <row r="2757" spans="1:24" hidden="1" x14ac:dyDescent="0.35">
      <c r="A2757">
        <v>2753</v>
      </c>
      <c r="B2757">
        <v>2754</v>
      </c>
      <c r="C2757">
        <v>146.098534177999</v>
      </c>
      <c r="D2757">
        <v>-17.650556550000001</v>
      </c>
      <c r="G2757" s="92"/>
      <c r="I2757">
        <v>8</v>
      </c>
      <c r="J2757" t="s">
        <v>26</v>
      </c>
      <c r="K2757" s="57"/>
      <c r="L2757" s="31"/>
      <c r="M2757" s="31"/>
      <c r="N2757" s="31"/>
      <c r="O2757" s="31"/>
      <c r="S2757" s="57"/>
      <c r="X2757" s="57"/>
    </row>
    <row r="2758" spans="1:24" hidden="1" x14ac:dyDescent="0.35">
      <c r="A2758">
        <v>2754</v>
      </c>
      <c r="B2758">
        <v>2755</v>
      </c>
      <c r="C2758">
        <v>146.098598573999</v>
      </c>
      <c r="D2758">
        <v>-17.650616079399899</v>
      </c>
      <c r="G2758" s="92"/>
      <c r="I2758">
        <v>8</v>
      </c>
      <c r="J2758" t="s">
        <v>26</v>
      </c>
      <c r="K2758" s="57"/>
      <c r="L2758" s="31"/>
      <c r="M2758" s="31"/>
      <c r="N2758" s="31"/>
      <c r="O2758" s="31"/>
      <c r="S2758" s="57"/>
      <c r="X2758" s="57"/>
    </row>
    <row r="2759" spans="1:24" hidden="1" x14ac:dyDescent="0.35">
      <c r="A2759">
        <v>2755</v>
      </c>
      <c r="B2759">
        <v>2756</v>
      </c>
      <c r="C2759">
        <v>146.09866658799899</v>
      </c>
      <c r="D2759">
        <v>-17.6506720002</v>
      </c>
      <c r="G2759" s="92"/>
      <c r="I2759">
        <v>8</v>
      </c>
      <c r="J2759" t="s">
        <v>26</v>
      </c>
      <c r="K2759" s="57"/>
      <c r="L2759" s="31"/>
      <c r="M2759" s="31"/>
      <c r="N2759" s="31"/>
      <c r="O2759" s="31"/>
      <c r="S2759" s="57"/>
      <c r="X2759" s="57"/>
    </row>
    <row r="2760" spans="1:24" hidden="1" x14ac:dyDescent="0.35">
      <c r="A2760">
        <v>2756</v>
      </c>
      <c r="B2760">
        <v>2757</v>
      </c>
      <c r="C2760">
        <v>146.09873460200001</v>
      </c>
      <c r="D2760">
        <v>-17.6507279211</v>
      </c>
      <c r="G2760" s="92"/>
      <c r="I2760">
        <v>8</v>
      </c>
      <c r="J2760" t="s">
        <v>26</v>
      </c>
      <c r="K2760" s="57"/>
      <c r="L2760" s="31"/>
      <c r="M2760" s="31"/>
      <c r="N2760" s="31"/>
      <c r="O2760" s="31"/>
      <c r="S2760" s="57"/>
      <c r="X2760" s="57"/>
    </row>
    <row r="2761" spans="1:24" hidden="1" x14ac:dyDescent="0.35">
      <c r="A2761">
        <v>2757</v>
      </c>
      <c r="B2761">
        <v>2758</v>
      </c>
      <c r="C2761">
        <v>146.098802616999</v>
      </c>
      <c r="D2761">
        <v>-17.650783841900001</v>
      </c>
      <c r="G2761" s="92"/>
      <c r="I2761">
        <v>8</v>
      </c>
      <c r="J2761" t="s">
        <v>26</v>
      </c>
      <c r="K2761" s="57"/>
      <c r="L2761" s="31"/>
      <c r="M2761" s="31"/>
      <c r="N2761" s="31"/>
      <c r="O2761" s="31"/>
      <c r="S2761" s="57"/>
      <c r="X2761" s="57"/>
    </row>
    <row r="2762" spans="1:24" hidden="1" x14ac:dyDescent="0.35">
      <c r="A2762">
        <v>2758</v>
      </c>
      <c r="B2762">
        <v>2759</v>
      </c>
      <c r="C2762">
        <v>146.09887063100001</v>
      </c>
      <c r="D2762">
        <v>-17.6508397628</v>
      </c>
      <c r="G2762" s="92"/>
      <c r="I2762">
        <v>8</v>
      </c>
      <c r="J2762" t="s">
        <v>26</v>
      </c>
      <c r="K2762" s="57"/>
      <c r="L2762" s="31"/>
      <c r="M2762" s="31"/>
      <c r="N2762" s="31"/>
      <c r="O2762" s="31"/>
      <c r="S2762" s="57"/>
      <c r="X2762" s="57"/>
    </row>
    <row r="2763" spans="1:24" hidden="1" x14ac:dyDescent="0.35">
      <c r="A2763">
        <v>2759</v>
      </c>
      <c r="B2763">
        <v>2760</v>
      </c>
      <c r="C2763">
        <v>146.098938645</v>
      </c>
      <c r="D2763">
        <v>-17.650895683600002</v>
      </c>
      <c r="G2763" s="92"/>
      <c r="I2763">
        <v>8</v>
      </c>
      <c r="J2763" t="s">
        <v>26</v>
      </c>
      <c r="K2763" s="57"/>
      <c r="L2763" s="31"/>
      <c r="M2763" s="31"/>
      <c r="N2763" s="31"/>
      <c r="O2763" s="31"/>
      <c r="S2763" s="57"/>
      <c r="X2763" s="57"/>
    </row>
    <row r="2764" spans="1:24" hidden="1" x14ac:dyDescent="0.35">
      <c r="A2764">
        <v>2760</v>
      </c>
      <c r="B2764">
        <v>2761</v>
      </c>
      <c r="C2764">
        <v>146.09900390600001</v>
      </c>
      <c r="D2764">
        <v>-17.650954369600001</v>
      </c>
      <c r="G2764" s="92"/>
      <c r="I2764">
        <v>8</v>
      </c>
      <c r="J2764" t="s">
        <v>26</v>
      </c>
      <c r="K2764" s="57"/>
      <c r="L2764" s="31"/>
      <c r="M2764" s="31"/>
      <c r="N2764" s="31"/>
      <c r="O2764" s="31"/>
      <c r="S2764" s="57"/>
      <c r="X2764" s="57"/>
    </row>
    <row r="2765" spans="1:24" hidden="1" x14ac:dyDescent="0.35">
      <c r="A2765">
        <v>2761</v>
      </c>
      <c r="B2765">
        <v>2762</v>
      </c>
      <c r="C2765">
        <v>146.099066069</v>
      </c>
      <c r="D2765">
        <v>-17.6510161661</v>
      </c>
      <c r="G2765" s="92"/>
      <c r="I2765">
        <v>8</v>
      </c>
      <c r="J2765" t="s">
        <v>26</v>
      </c>
      <c r="K2765" s="57"/>
      <c r="L2765" s="31"/>
      <c r="M2765" s="31"/>
      <c r="N2765" s="31"/>
      <c r="O2765" s="31"/>
      <c r="S2765" s="57"/>
      <c r="X2765" s="57"/>
    </row>
    <row r="2766" spans="1:24" hidden="1" x14ac:dyDescent="0.35">
      <c r="A2766">
        <v>2762</v>
      </c>
      <c r="B2766">
        <v>2763</v>
      </c>
      <c r="C2766">
        <v>146.099128231999</v>
      </c>
      <c r="D2766">
        <v>-17.651077962599899</v>
      </c>
      <c r="G2766" s="92"/>
      <c r="I2766">
        <v>8</v>
      </c>
      <c r="J2766" t="s">
        <v>26</v>
      </c>
      <c r="K2766" s="57"/>
      <c r="L2766" s="31"/>
      <c r="M2766" s="31"/>
      <c r="N2766" s="31"/>
      <c r="O2766" s="31"/>
      <c r="S2766" s="57"/>
      <c r="X2766" s="57"/>
    </row>
    <row r="2767" spans="1:24" hidden="1" x14ac:dyDescent="0.35">
      <c r="A2767">
        <v>2763</v>
      </c>
      <c r="B2767">
        <v>2764</v>
      </c>
      <c r="C2767">
        <v>146.099190394999</v>
      </c>
      <c r="D2767">
        <v>-17.651139759100001</v>
      </c>
      <c r="G2767" s="92"/>
      <c r="I2767">
        <v>8</v>
      </c>
      <c r="J2767" t="s">
        <v>26</v>
      </c>
      <c r="K2767" s="57"/>
      <c r="L2767" s="31"/>
      <c r="M2767" s="31"/>
      <c r="N2767" s="31"/>
      <c r="O2767" s="31"/>
      <c r="S2767" s="57"/>
      <c r="X2767" s="57"/>
    </row>
    <row r="2768" spans="1:24" hidden="1" x14ac:dyDescent="0.35">
      <c r="A2768">
        <v>2764</v>
      </c>
      <c r="B2768">
        <v>2765</v>
      </c>
      <c r="C2768">
        <v>146.09925255799899</v>
      </c>
      <c r="D2768">
        <v>-17.6512015556</v>
      </c>
      <c r="G2768" s="92"/>
      <c r="I2768">
        <v>8</v>
      </c>
      <c r="J2768" t="s">
        <v>26</v>
      </c>
      <c r="K2768" s="57"/>
      <c r="L2768" s="31"/>
      <c r="M2768" s="31"/>
      <c r="N2768" s="31"/>
      <c r="O2768" s="31"/>
      <c r="S2768" s="57"/>
      <c r="X2768" s="57"/>
    </row>
    <row r="2769" spans="1:24" hidden="1" x14ac:dyDescent="0.35">
      <c r="A2769">
        <v>2765</v>
      </c>
      <c r="B2769">
        <v>2766</v>
      </c>
      <c r="C2769">
        <v>146.09931472100001</v>
      </c>
      <c r="D2769">
        <v>-17.651263352000001</v>
      </c>
      <c r="G2769" s="92"/>
      <c r="I2769">
        <v>8</v>
      </c>
      <c r="J2769" t="s">
        <v>26</v>
      </c>
      <c r="K2769" s="57"/>
      <c r="L2769" s="31"/>
      <c r="M2769" s="31"/>
      <c r="N2769" s="31"/>
      <c r="O2769" s="31"/>
      <c r="S2769" s="57"/>
      <c r="X2769" s="57"/>
    </row>
    <row r="2770" spans="1:24" hidden="1" x14ac:dyDescent="0.35">
      <c r="A2770">
        <v>2766</v>
      </c>
      <c r="B2770">
        <v>2767</v>
      </c>
      <c r="C2770">
        <v>146.09937688400001</v>
      </c>
      <c r="D2770">
        <v>-17.651325148400002</v>
      </c>
      <c r="G2770" s="92"/>
      <c r="I2770">
        <v>8</v>
      </c>
      <c r="J2770" t="s">
        <v>26</v>
      </c>
      <c r="K2770" s="57"/>
      <c r="L2770" s="31"/>
      <c r="M2770" s="31"/>
      <c r="N2770" s="31"/>
      <c r="O2770" s="31"/>
      <c r="S2770" s="57"/>
      <c r="X2770" s="57"/>
    </row>
    <row r="2771" spans="1:24" hidden="1" x14ac:dyDescent="0.35">
      <c r="A2771">
        <v>2767</v>
      </c>
      <c r="B2771">
        <v>2768</v>
      </c>
      <c r="C2771">
        <v>146.09944120500001</v>
      </c>
      <c r="D2771">
        <v>-17.651384895300001</v>
      </c>
      <c r="G2771" s="92"/>
      <c r="I2771">
        <v>8</v>
      </c>
      <c r="J2771" t="s">
        <v>26</v>
      </c>
      <c r="K2771" s="57"/>
      <c r="L2771" s="31"/>
      <c r="M2771" s="31"/>
      <c r="N2771" s="31"/>
      <c r="O2771" s="31"/>
      <c r="S2771" s="57"/>
      <c r="X2771" s="57"/>
    </row>
    <row r="2772" spans="1:24" hidden="1" x14ac:dyDescent="0.35">
      <c r="A2772">
        <v>2768</v>
      </c>
      <c r="B2772">
        <v>2769</v>
      </c>
      <c r="C2772">
        <v>146.09950584699899</v>
      </c>
      <c r="D2772">
        <v>-17.6514443368999</v>
      </c>
      <c r="G2772" s="92"/>
      <c r="I2772">
        <v>8</v>
      </c>
      <c r="J2772" t="s">
        <v>26</v>
      </c>
      <c r="K2772" s="57"/>
      <c r="L2772" s="31"/>
      <c r="M2772" s="31"/>
      <c r="N2772" s="31"/>
      <c r="O2772" s="31"/>
      <c r="S2772" s="57"/>
      <c r="X2772" s="57"/>
    </row>
    <row r="2773" spans="1:24" hidden="1" x14ac:dyDescent="0.35">
      <c r="A2773">
        <v>2769</v>
      </c>
      <c r="B2773">
        <v>2770</v>
      </c>
      <c r="C2773">
        <v>146.099570489999</v>
      </c>
      <c r="D2773">
        <v>-17.651503778399899</v>
      </c>
      <c r="G2773" s="92"/>
      <c r="I2773">
        <v>8</v>
      </c>
      <c r="J2773" t="s">
        <v>26</v>
      </c>
      <c r="K2773" s="57"/>
      <c r="L2773" s="31"/>
      <c r="M2773" s="31"/>
      <c r="N2773" s="31"/>
      <c r="O2773" s="31"/>
      <c r="S2773" s="57"/>
      <c r="X2773" s="57"/>
    </row>
    <row r="2774" spans="1:24" hidden="1" x14ac:dyDescent="0.35">
      <c r="A2774">
        <v>2770</v>
      </c>
      <c r="B2774">
        <v>2771</v>
      </c>
      <c r="C2774">
        <v>146.099635132</v>
      </c>
      <c r="D2774">
        <v>-17.651563219900002</v>
      </c>
      <c r="G2774" s="92"/>
      <c r="I2774">
        <v>8</v>
      </c>
      <c r="J2774" t="s">
        <v>26</v>
      </c>
      <c r="K2774" s="57"/>
      <c r="L2774" s="31"/>
      <c r="M2774" s="31"/>
      <c r="N2774" s="31"/>
      <c r="O2774" s="31"/>
      <c r="S2774" s="57"/>
      <c r="X2774" s="57"/>
    </row>
    <row r="2775" spans="1:24" hidden="1" x14ac:dyDescent="0.35">
      <c r="A2775">
        <v>2771</v>
      </c>
      <c r="B2775">
        <v>2772</v>
      </c>
      <c r="C2775">
        <v>146.09969977399899</v>
      </c>
      <c r="D2775">
        <v>-17.651622661400001</v>
      </c>
      <c r="G2775" s="92"/>
      <c r="I2775">
        <v>8</v>
      </c>
      <c r="J2775" t="s">
        <v>26</v>
      </c>
      <c r="K2775" s="57"/>
      <c r="L2775" s="31"/>
      <c r="M2775" s="31"/>
      <c r="N2775" s="31"/>
      <c r="O2775" s="31"/>
      <c r="S2775" s="57"/>
      <c r="X2775" s="57"/>
    </row>
    <row r="2776" spans="1:24" hidden="1" x14ac:dyDescent="0.35">
      <c r="A2776">
        <v>2772</v>
      </c>
      <c r="B2776">
        <v>2773</v>
      </c>
      <c r="C2776">
        <v>146.09976501200001</v>
      </c>
      <c r="D2776">
        <v>-17.651681506900001</v>
      </c>
      <c r="G2776" s="92"/>
      <c r="I2776">
        <v>8</v>
      </c>
      <c r="J2776" t="s">
        <v>26</v>
      </c>
      <c r="K2776" s="57"/>
      <c r="L2776" s="31"/>
      <c r="M2776" s="31"/>
      <c r="N2776" s="31"/>
      <c r="O2776" s="31"/>
      <c r="S2776" s="57"/>
      <c r="X2776" s="57"/>
    </row>
    <row r="2777" spans="1:24" hidden="1" x14ac:dyDescent="0.35">
      <c r="A2777">
        <v>2773</v>
      </c>
      <c r="B2777">
        <v>2774</v>
      </c>
      <c r="C2777">
        <v>146.099830478999</v>
      </c>
      <c r="D2777">
        <v>-17.651740123</v>
      </c>
      <c r="G2777" s="92"/>
      <c r="I2777">
        <v>8</v>
      </c>
      <c r="J2777" t="s">
        <v>26</v>
      </c>
      <c r="K2777" s="57"/>
      <c r="L2777" s="31"/>
      <c r="M2777" s="31"/>
      <c r="N2777" s="31"/>
      <c r="O2777" s="31"/>
      <c r="S2777" s="57"/>
      <c r="X2777" s="57"/>
    </row>
    <row r="2778" spans="1:24" hidden="1" x14ac:dyDescent="0.35">
      <c r="A2778">
        <v>2774</v>
      </c>
      <c r="B2778">
        <v>2775</v>
      </c>
      <c r="C2778">
        <v>146.099895946</v>
      </c>
      <c r="D2778">
        <v>-17.651798739099899</v>
      </c>
      <c r="G2778" s="92"/>
      <c r="I2778">
        <v>8</v>
      </c>
      <c r="J2778" t="s">
        <v>26</v>
      </c>
      <c r="K2778" s="57"/>
      <c r="L2778" s="31"/>
      <c r="M2778" s="31"/>
      <c r="N2778" s="31"/>
      <c r="O2778" s="31"/>
      <c r="S2778" s="57"/>
      <c r="X2778" s="57"/>
    </row>
    <row r="2779" spans="1:24" hidden="1" x14ac:dyDescent="0.35">
      <c r="A2779">
        <v>2775</v>
      </c>
      <c r="B2779">
        <v>2776</v>
      </c>
      <c r="C2779">
        <v>146.099966483</v>
      </c>
      <c r="D2779">
        <v>-17.651850361400001</v>
      </c>
      <c r="G2779" s="92"/>
      <c r="I2779">
        <v>8</v>
      </c>
      <c r="J2779" t="s">
        <v>26</v>
      </c>
      <c r="K2779" s="57"/>
      <c r="L2779" s="31"/>
      <c r="M2779" s="31"/>
      <c r="N2779" s="31"/>
      <c r="O2779" s="31"/>
      <c r="S2779" s="57"/>
      <c r="X2779" s="57"/>
    </row>
    <row r="2780" spans="1:24" hidden="1" x14ac:dyDescent="0.35">
      <c r="A2780">
        <v>2776</v>
      </c>
      <c r="B2780">
        <v>2777</v>
      </c>
      <c r="C2780">
        <v>146.100047187999</v>
      </c>
      <c r="D2780">
        <v>-17.651887956300001</v>
      </c>
      <c r="G2780" s="92"/>
      <c r="I2780">
        <v>8</v>
      </c>
      <c r="J2780" t="s">
        <v>26</v>
      </c>
      <c r="K2780" s="57"/>
      <c r="L2780" s="31"/>
      <c r="M2780" s="31"/>
      <c r="N2780" s="31"/>
      <c r="O2780" s="31"/>
      <c r="S2780" s="57"/>
      <c r="X2780" s="57"/>
    </row>
    <row r="2781" spans="1:24" hidden="1" x14ac:dyDescent="0.35">
      <c r="A2781">
        <v>2777</v>
      </c>
      <c r="B2781">
        <v>2778</v>
      </c>
      <c r="C2781">
        <v>146.10012789199899</v>
      </c>
      <c r="D2781">
        <v>-17.651925551200002</v>
      </c>
      <c r="G2781" s="92"/>
      <c r="I2781">
        <v>8</v>
      </c>
      <c r="J2781" t="s">
        <v>26</v>
      </c>
      <c r="K2781" s="57"/>
      <c r="L2781" s="31"/>
      <c r="M2781" s="31"/>
      <c r="N2781" s="31"/>
      <c r="O2781" s="31"/>
      <c r="S2781" s="57"/>
      <c r="X2781" s="57"/>
    </row>
    <row r="2782" spans="1:24" hidden="1" x14ac:dyDescent="0.35">
      <c r="A2782">
        <v>2778</v>
      </c>
      <c r="B2782">
        <v>2779</v>
      </c>
      <c r="C2782">
        <v>146.10020859599899</v>
      </c>
      <c r="D2782">
        <v>-17.651963146100002</v>
      </c>
      <c r="G2782" s="92"/>
      <c r="I2782">
        <v>8</v>
      </c>
      <c r="J2782" t="s">
        <v>26</v>
      </c>
      <c r="K2782" s="57"/>
      <c r="L2782" s="31"/>
      <c r="M2782" s="31"/>
      <c r="N2782" s="31"/>
      <c r="O2782" s="31"/>
      <c r="S2782" s="57"/>
      <c r="X2782" s="57"/>
    </row>
    <row r="2783" spans="1:24" hidden="1" x14ac:dyDescent="0.35">
      <c r="A2783">
        <v>2779</v>
      </c>
      <c r="B2783">
        <v>2780</v>
      </c>
      <c r="C2783">
        <v>146.10029689800001</v>
      </c>
      <c r="D2783">
        <v>-17.651975945099899</v>
      </c>
      <c r="G2783" s="92"/>
      <c r="I2783">
        <v>8</v>
      </c>
      <c r="J2783" t="s">
        <v>26</v>
      </c>
      <c r="K2783" s="57"/>
      <c r="L2783" s="31"/>
      <c r="M2783" s="31"/>
      <c r="N2783" s="31"/>
      <c r="O2783" s="31"/>
      <c r="S2783" s="57"/>
      <c r="X2783" s="57"/>
    </row>
    <row r="2784" spans="1:24" hidden="1" x14ac:dyDescent="0.35">
      <c r="A2784">
        <v>2780</v>
      </c>
      <c r="B2784">
        <v>2781</v>
      </c>
      <c r="C2784">
        <v>146.100386151999</v>
      </c>
      <c r="D2784">
        <v>-17.651985636300001</v>
      </c>
      <c r="G2784" s="92"/>
      <c r="I2784">
        <v>8</v>
      </c>
      <c r="J2784" t="s">
        <v>26</v>
      </c>
      <c r="K2784" s="57"/>
      <c r="L2784" s="31"/>
      <c r="M2784" s="31"/>
      <c r="N2784" s="31"/>
      <c r="O2784" s="31"/>
      <c r="S2784" s="57"/>
      <c r="X2784" s="57"/>
    </row>
    <row r="2785" spans="1:24" hidden="1" x14ac:dyDescent="0.35">
      <c r="A2785">
        <v>2781</v>
      </c>
      <c r="B2785">
        <v>2782</v>
      </c>
      <c r="C2785">
        <v>146.10047540599899</v>
      </c>
      <c r="D2785">
        <v>-17.6519953275</v>
      </c>
      <c r="G2785" s="92"/>
      <c r="I2785">
        <v>8</v>
      </c>
      <c r="J2785" t="s">
        <v>26</v>
      </c>
      <c r="K2785" s="57"/>
      <c r="L2785" s="31"/>
      <c r="M2785" s="31"/>
      <c r="N2785" s="31"/>
      <c r="O2785" s="31"/>
      <c r="S2785" s="57"/>
      <c r="X2785" s="57"/>
    </row>
    <row r="2786" spans="1:24" hidden="1" x14ac:dyDescent="0.35">
      <c r="A2786">
        <v>2782</v>
      </c>
      <c r="B2786">
        <v>2783</v>
      </c>
      <c r="C2786">
        <v>146.10056466</v>
      </c>
      <c r="D2786">
        <v>-17.652005018699899</v>
      </c>
      <c r="G2786" s="92"/>
      <c r="I2786">
        <v>8</v>
      </c>
      <c r="J2786" t="s">
        <v>26</v>
      </c>
      <c r="K2786" s="57"/>
      <c r="L2786" s="31"/>
      <c r="M2786" s="31"/>
      <c r="N2786" s="31"/>
      <c r="O2786" s="31"/>
      <c r="S2786" s="57"/>
      <c r="X2786" s="57"/>
    </row>
    <row r="2787" spans="1:24" hidden="1" x14ac:dyDescent="0.35">
      <c r="A2787">
        <v>2783</v>
      </c>
      <c r="B2787">
        <v>2784</v>
      </c>
      <c r="C2787">
        <v>146.100653913999</v>
      </c>
      <c r="D2787">
        <v>-17.652014709900001</v>
      </c>
      <c r="G2787" s="92"/>
      <c r="I2787">
        <v>8</v>
      </c>
      <c r="J2787" t="s">
        <v>26</v>
      </c>
      <c r="K2787" s="57"/>
      <c r="L2787" s="31"/>
      <c r="M2787" s="31"/>
      <c r="N2787" s="31"/>
      <c r="O2787" s="31"/>
      <c r="S2787" s="57"/>
      <c r="X2787" s="57"/>
    </row>
    <row r="2788" spans="1:24" hidden="1" x14ac:dyDescent="0.35">
      <c r="A2788">
        <v>2784</v>
      </c>
      <c r="B2788">
        <v>2785</v>
      </c>
      <c r="C2788">
        <v>146.100743456999</v>
      </c>
      <c r="D2788">
        <v>-17.6520212671</v>
      </c>
      <c r="G2788" s="92"/>
      <c r="I2788">
        <v>8</v>
      </c>
      <c r="J2788" t="s">
        <v>26</v>
      </c>
      <c r="K2788" s="57"/>
      <c r="L2788" s="31"/>
      <c r="M2788" s="31"/>
      <c r="N2788" s="31"/>
      <c r="O2788" s="31"/>
      <c r="S2788" s="57"/>
      <c r="X2788" s="57"/>
    </row>
    <row r="2789" spans="1:24" hidden="1" x14ac:dyDescent="0.35">
      <c r="A2789">
        <v>2785</v>
      </c>
      <c r="B2789">
        <v>2786</v>
      </c>
      <c r="C2789">
        <v>146.100833117999</v>
      </c>
      <c r="D2789">
        <v>-17.6520265433</v>
      </c>
      <c r="G2789" s="92"/>
      <c r="I2789">
        <v>8</v>
      </c>
      <c r="J2789" t="s">
        <v>26</v>
      </c>
      <c r="K2789" s="57"/>
      <c r="L2789" s="31"/>
      <c r="M2789" s="31"/>
      <c r="N2789" s="31"/>
      <c r="O2789" s="31"/>
      <c r="S2789" s="57"/>
      <c r="X2789" s="57"/>
    </row>
    <row r="2790" spans="1:24" hidden="1" x14ac:dyDescent="0.35">
      <c r="A2790">
        <v>2786</v>
      </c>
      <c r="B2790">
        <v>2787</v>
      </c>
      <c r="C2790">
        <v>146.10092277800001</v>
      </c>
      <c r="D2790">
        <v>-17.6520318194999</v>
      </c>
      <c r="G2790" s="92"/>
      <c r="I2790">
        <v>8</v>
      </c>
      <c r="J2790" t="s">
        <v>26</v>
      </c>
      <c r="K2790" s="57"/>
      <c r="L2790" s="31"/>
      <c r="M2790" s="31"/>
      <c r="N2790" s="31"/>
      <c r="O2790" s="31"/>
      <c r="S2790" s="57"/>
      <c r="X2790" s="57"/>
    </row>
    <row r="2791" spans="1:24" hidden="1" x14ac:dyDescent="0.35">
      <c r="A2791">
        <v>2787</v>
      </c>
      <c r="B2791">
        <v>2788</v>
      </c>
      <c r="C2791">
        <v>146.10101242299899</v>
      </c>
      <c r="D2791">
        <v>-17.652037334700001</v>
      </c>
      <c r="G2791" s="92"/>
      <c r="I2791">
        <v>8</v>
      </c>
      <c r="J2791" t="s">
        <v>26</v>
      </c>
      <c r="K2791" s="57"/>
      <c r="L2791" s="31"/>
      <c r="M2791" s="31"/>
      <c r="N2791" s="31"/>
      <c r="O2791" s="31"/>
      <c r="S2791" s="57"/>
      <c r="X2791" s="57"/>
    </row>
    <row r="2792" spans="1:24" hidden="1" x14ac:dyDescent="0.35">
      <c r="A2792">
        <v>2788</v>
      </c>
      <c r="B2792">
        <v>2789</v>
      </c>
      <c r="C2792">
        <v>146.10110204399899</v>
      </c>
      <c r="D2792">
        <v>-17.6520431836</v>
      </c>
      <c r="G2792" s="92"/>
      <c r="I2792">
        <v>8</v>
      </c>
      <c r="J2792" t="s">
        <v>26</v>
      </c>
      <c r="K2792" s="57"/>
      <c r="L2792" s="31"/>
      <c r="M2792" s="31"/>
      <c r="N2792" s="31"/>
      <c r="O2792" s="31"/>
      <c r="S2792" s="57"/>
      <c r="X2792" s="57"/>
    </row>
    <row r="2793" spans="1:24" hidden="1" x14ac:dyDescent="0.35">
      <c r="A2793">
        <v>2789</v>
      </c>
      <c r="B2793">
        <v>2790</v>
      </c>
      <c r="C2793">
        <v>146.10119166600001</v>
      </c>
      <c r="D2793">
        <v>-17.652049032400001</v>
      </c>
      <c r="G2793" s="92"/>
      <c r="I2793">
        <v>8</v>
      </c>
      <c r="J2793" t="s">
        <v>26</v>
      </c>
      <c r="K2793" s="57"/>
      <c r="L2793" s="31"/>
      <c r="M2793" s="31"/>
      <c r="N2793" s="31"/>
      <c r="O2793" s="31"/>
      <c r="S2793" s="57"/>
      <c r="X2793" s="57"/>
    </row>
    <row r="2794" spans="1:24" hidden="1" x14ac:dyDescent="0.35">
      <c r="A2794">
        <v>2790</v>
      </c>
      <c r="B2794">
        <v>2791</v>
      </c>
      <c r="C2794">
        <v>146.101281287999</v>
      </c>
      <c r="D2794">
        <v>-17.6520548813</v>
      </c>
      <c r="G2794" s="92"/>
      <c r="I2794">
        <v>8</v>
      </c>
      <c r="J2794" t="s">
        <v>26</v>
      </c>
      <c r="K2794" s="57"/>
      <c r="L2794" s="31"/>
      <c r="M2794" s="31"/>
      <c r="N2794" s="31"/>
      <c r="O2794" s="31"/>
      <c r="S2794" s="57"/>
      <c r="X2794" s="57"/>
    </row>
    <row r="2795" spans="1:24" hidden="1" x14ac:dyDescent="0.35">
      <c r="A2795">
        <v>2791</v>
      </c>
      <c r="B2795">
        <v>2792</v>
      </c>
      <c r="C2795">
        <v>146.101370908999</v>
      </c>
      <c r="D2795">
        <v>-17.652060730199899</v>
      </c>
      <c r="G2795" s="92"/>
      <c r="I2795">
        <v>8</v>
      </c>
      <c r="J2795" t="s">
        <v>26</v>
      </c>
      <c r="K2795" s="57"/>
      <c r="L2795" s="31"/>
      <c r="M2795" s="31"/>
      <c r="N2795" s="31"/>
      <c r="O2795" s="31"/>
      <c r="S2795" s="57"/>
      <c r="X2795" s="57"/>
    </row>
    <row r="2796" spans="1:24" hidden="1" x14ac:dyDescent="0.35">
      <c r="A2796">
        <v>2792</v>
      </c>
      <c r="B2796">
        <v>2793</v>
      </c>
      <c r="C2796">
        <v>146.10145910099899</v>
      </c>
      <c r="D2796">
        <v>-17.65207479</v>
      </c>
      <c r="G2796" s="92"/>
      <c r="I2796">
        <v>8</v>
      </c>
      <c r="J2796" t="s">
        <v>26</v>
      </c>
      <c r="K2796" s="57"/>
      <c r="L2796" s="31"/>
      <c r="M2796" s="31"/>
      <c r="N2796" s="31"/>
      <c r="O2796" s="31"/>
      <c r="S2796" s="57"/>
      <c r="X2796" s="57"/>
    </row>
    <row r="2797" spans="1:24" hidden="1" x14ac:dyDescent="0.35">
      <c r="A2797">
        <v>2793</v>
      </c>
      <c r="B2797">
        <v>2794</v>
      </c>
      <c r="C2797">
        <v>146.101545904999</v>
      </c>
      <c r="D2797">
        <v>-17.6520968291</v>
      </c>
      <c r="G2797" s="92"/>
      <c r="I2797">
        <v>8</v>
      </c>
      <c r="J2797" t="s">
        <v>26</v>
      </c>
      <c r="K2797" s="57"/>
      <c r="L2797" s="31"/>
      <c r="M2797" s="31"/>
      <c r="N2797" s="31"/>
      <c r="O2797" s="31"/>
      <c r="S2797" s="57"/>
      <c r="X2797" s="57"/>
    </row>
    <row r="2798" spans="1:24" hidden="1" x14ac:dyDescent="0.35">
      <c r="A2798">
        <v>2794</v>
      </c>
      <c r="B2798">
        <v>2795</v>
      </c>
      <c r="C2798">
        <v>146.10163270800001</v>
      </c>
      <c r="D2798">
        <v>-17.652118868199899</v>
      </c>
      <c r="G2798" s="92"/>
      <c r="I2798">
        <v>8</v>
      </c>
      <c r="J2798" t="s">
        <v>26</v>
      </c>
      <c r="K2798" s="57"/>
      <c r="L2798" s="31"/>
      <c r="M2798" s="31"/>
      <c r="N2798" s="31"/>
      <c r="O2798" s="31"/>
      <c r="S2798" s="57"/>
      <c r="X2798" s="57"/>
    </row>
    <row r="2799" spans="1:24" hidden="1" x14ac:dyDescent="0.35">
      <c r="A2799">
        <v>2795</v>
      </c>
      <c r="B2799">
        <v>2796</v>
      </c>
      <c r="C2799">
        <v>146.101719510999</v>
      </c>
      <c r="D2799">
        <v>-17.6521409074</v>
      </c>
      <c r="G2799" s="92"/>
      <c r="I2799">
        <v>8</v>
      </c>
      <c r="J2799" t="s">
        <v>26</v>
      </c>
      <c r="K2799" s="57"/>
      <c r="L2799" s="31"/>
      <c r="M2799" s="31"/>
      <c r="N2799" s="31"/>
      <c r="O2799" s="31"/>
      <c r="S2799" s="57"/>
      <c r="X2799" s="57"/>
    </row>
    <row r="2800" spans="1:24" hidden="1" x14ac:dyDescent="0.35">
      <c r="A2800">
        <v>2796</v>
      </c>
      <c r="B2800">
        <v>2797</v>
      </c>
      <c r="C2800">
        <v>146.10180631399899</v>
      </c>
      <c r="D2800">
        <v>-17.652162946499899</v>
      </c>
      <c r="G2800" s="92"/>
      <c r="I2800">
        <v>8</v>
      </c>
      <c r="J2800" t="s">
        <v>26</v>
      </c>
      <c r="K2800" s="57"/>
      <c r="L2800" s="31"/>
      <c r="M2800" s="31"/>
      <c r="N2800" s="31"/>
      <c r="O2800" s="31"/>
      <c r="S2800" s="57"/>
      <c r="X2800" s="57"/>
    </row>
    <row r="2801" spans="1:24" hidden="1" x14ac:dyDescent="0.35">
      <c r="A2801">
        <v>2797</v>
      </c>
      <c r="B2801">
        <v>2798</v>
      </c>
      <c r="C2801">
        <v>146.101894802999</v>
      </c>
      <c r="D2801">
        <v>-17.652174396700001</v>
      </c>
      <c r="G2801" s="92"/>
      <c r="I2801">
        <v>8</v>
      </c>
      <c r="J2801" t="s">
        <v>26</v>
      </c>
      <c r="K2801" s="57"/>
      <c r="L2801" s="31"/>
      <c r="M2801" s="31"/>
      <c r="N2801" s="31"/>
      <c r="O2801" s="31"/>
      <c r="S2801" s="57"/>
      <c r="X2801" s="57"/>
    </row>
    <row r="2802" spans="1:24" hidden="1" x14ac:dyDescent="0.35">
      <c r="A2802">
        <v>2798</v>
      </c>
      <c r="B2802">
        <v>2799</v>
      </c>
      <c r="C2802">
        <v>146.10198456000001</v>
      </c>
      <c r="D2802">
        <v>-17.6521778794</v>
      </c>
      <c r="G2802" s="92"/>
      <c r="I2802">
        <v>8</v>
      </c>
      <c r="J2802" t="s">
        <v>26</v>
      </c>
      <c r="K2802" s="57"/>
      <c r="L2802" s="31"/>
      <c r="M2802" s="31"/>
      <c r="N2802" s="31"/>
      <c r="O2802" s="31"/>
      <c r="S2802" s="57"/>
      <c r="X2802" s="57"/>
    </row>
    <row r="2803" spans="1:24" hidden="1" x14ac:dyDescent="0.35">
      <c r="A2803">
        <v>2799</v>
      </c>
      <c r="B2803">
        <v>2800</v>
      </c>
      <c r="C2803">
        <v>146.10207431699899</v>
      </c>
      <c r="D2803">
        <v>-17.652181362099899</v>
      </c>
      <c r="G2803" s="92"/>
      <c r="I2803">
        <v>8</v>
      </c>
      <c r="J2803" t="s">
        <v>26</v>
      </c>
      <c r="K2803" s="57"/>
      <c r="L2803" s="31"/>
      <c r="M2803" s="31"/>
      <c r="N2803" s="31"/>
      <c r="O2803" s="31"/>
      <c r="S2803" s="57"/>
      <c r="X2803" s="57"/>
    </row>
    <row r="2804" spans="1:24" hidden="1" x14ac:dyDescent="0.35">
      <c r="A2804">
        <v>2800</v>
      </c>
      <c r="B2804">
        <v>2801</v>
      </c>
      <c r="C2804">
        <v>146.102164066</v>
      </c>
      <c r="D2804">
        <v>-17.6521840206</v>
      </c>
      <c r="G2804" s="92"/>
      <c r="I2804">
        <v>8</v>
      </c>
      <c r="J2804" t="s">
        <v>26</v>
      </c>
      <c r="K2804" s="57"/>
      <c r="L2804" s="31"/>
      <c r="M2804" s="31"/>
      <c r="N2804" s="31"/>
      <c r="O2804" s="31"/>
      <c r="S2804" s="57"/>
      <c r="X2804" s="57"/>
    </row>
    <row r="2805" spans="1:24" hidden="1" x14ac:dyDescent="0.35">
      <c r="A2805">
        <v>2801</v>
      </c>
      <c r="B2805">
        <v>2802</v>
      </c>
      <c r="C2805">
        <v>146.10225373200001</v>
      </c>
      <c r="D2805">
        <v>-17.6521788244</v>
      </c>
      <c r="G2805" s="92"/>
      <c r="I2805">
        <v>8</v>
      </c>
      <c r="J2805" t="s">
        <v>26</v>
      </c>
      <c r="K2805" s="57"/>
      <c r="L2805" s="31"/>
      <c r="M2805" s="31"/>
      <c r="N2805" s="31"/>
      <c r="O2805" s="31"/>
      <c r="S2805" s="57"/>
      <c r="X2805" s="57"/>
    </row>
    <row r="2806" spans="1:24" hidden="1" x14ac:dyDescent="0.35">
      <c r="A2806">
        <v>2802</v>
      </c>
      <c r="B2806">
        <v>2803</v>
      </c>
      <c r="C2806">
        <v>146.10234339799899</v>
      </c>
      <c r="D2806">
        <v>-17.6521736282</v>
      </c>
      <c r="G2806" s="92"/>
      <c r="I2806">
        <v>8</v>
      </c>
      <c r="J2806" t="s">
        <v>26</v>
      </c>
      <c r="K2806" s="57"/>
      <c r="L2806" s="31"/>
      <c r="M2806" s="31"/>
      <c r="N2806" s="31"/>
      <c r="O2806" s="31"/>
      <c r="S2806" s="57"/>
      <c r="X2806" s="57"/>
    </row>
    <row r="2807" spans="1:24" hidden="1" x14ac:dyDescent="0.35">
      <c r="A2807">
        <v>2803</v>
      </c>
      <c r="B2807">
        <v>2804</v>
      </c>
      <c r="C2807">
        <v>146.102432133999</v>
      </c>
      <c r="D2807">
        <v>-17.6521636248</v>
      </c>
      <c r="G2807" s="92"/>
      <c r="I2807">
        <v>8</v>
      </c>
      <c r="J2807" t="s">
        <v>26</v>
      </c>
      <c r="K2807" s="57"/>
      <c r="L2807" s="31"/>
      <c r="M2807" s="31"/>
      <c r="N2807" s="31"/>
      <c r="O2807" s="31"/>
      <c r="S2807" s="57"/>
      <c r="X2807" s="57"/>
    </row>
    <row r="2808" spans="1:24" hidden="1" x14ac:dyDescent="0.35">
      <c r="A2808">
        <v>2804</v>
      </c>
      <c r="B2808">
        <v>2805</v>
      </c>
      <c r="C2808">
        <v>146.102517855</v>
      </c>
      <c r="D2808">
        <v>-17.6521380282</v>
      </c>
      <c r="G2808" s="92"/>
      <c r="I2808">
        <v>8</v>
      </c>
      <c r="J2808" t="s">
        <v>26</v>
      </c>
      <c r="K2808" s="57"/>
      <c r="L2808" s="31"/>
      <c r="M2808" s="31"/>
      <c r="N2808" s="31"/>
      <c r="O2808" s="31"/>
      <c r="S2808" s="57"/>
      <c r="X2808" s="57"/>
    </row>
    <row r="2809" spans="1:24" hidden="1" x14ac:dyDescent="0.35">
      <c r="A2809">
        <v>2805</v>
      </c>
      <c r="B2809">
        <v>2806</v>
      </c>
      <c r="C2809">
        <v>146.102603576999</v>
      </c>
      <c r="D2809">
        <v>-17.652112431700001</v>
      </c>
      <c r="G2809" s="92"/>
      <c r="I2809">
        <v>8</v>
      </c>
      <c r="J2809" t="s">
        <v>26</v>
      </c>
      <c r="K2809" s="57"/>
      <c r="L2809" s="31"/>
      <c r="M2809" s="31"/>
      <c r="N2809" s="31"/>
      <c r="O2809" s="31"/>
      <c r="S2809" s="57"/>
      <c r="X2809" s="57"/>
    </row>
    <row r="2810" spans="1:24" hidden="1" x14ac:dyDescent="0.35">
      <c r="A2810">
        <v>2806</v>
      </c>
      <c r="B2810">
        <v>2807</v>
      </c>
      <c r="C2810">
        <v>146.102689298</v>
      </c>
      <c r="D2810">
        <v>-17.652086835199899</v>
      </c>
      <c r="G2810" s="92"/>
      <c r="I2810">
        <v>8</v>
      </c>
      <c r="J2810" t="s">
        <v>26</v>
      </c>
      <c r="K2810" s="57"/>
      <c r="L2810" s="31"/>
      <c r="M2810" s="31"/>
      <c r="N2810" s="31"/>
      <c r="O2810" s="31"/>
      <c r="S2810" s="57"/>
      <c r="X2810" s="57"/>
    </row>
    <row r="2811" spans="1:24" hidden="1" x14ac:dyDescent="0.35">
      <c r="A2811">
        <v>2807</v>
      </c>
      <c r="B2811">
        <v>2808</v>
      </c>
      <c r="C2811">
        <v>146.102769244999</v>
      </c>
      <c r="D2811">
        <v>-17.652051309200001</v>
      </c>
      <c r="G2811" s="92"/>
      <c r="I2811">
        <v>8</v>
      </c>
      <c r="J2811" t="s">
        <v>26</v>
      </c>
      <c r="K2811" s="57"/>
      <c r="L2811" s="31"/>
      <c r="M2811" s="31"/>
      <c r="N2811" s="31"/>
      <c r="O2811" s="31"/>
      <c r="S2811" s="57"/>
      <c r="X2811" s="57"/>
    </row>
    <row r="2812" spans="1:24" hidden="1" x14ac:dyDescent="0.35">
      <c r="A2812">
        <v>2808</v>
      </c>
      <c r="B2812">
        <v>2809</v>
      </c>
      <c r="C2812">
        <v>146.10283745500001</v>
      </c>
      <c r="D2812">
        <v>-17.651995606100002</v>
      </c>
      <c r="G2812" s="92"/>
      <c r="I2812">
        <v>8</v>
      </c>
      <c r="J2812" t="s">
        <v>26</v>
      </c>
      <c r="K2812" s="57"/>
      <c r="L2812" s="31"/>
      <c r="M2812" s="31"/>
      <c r="N2812" s="31"/>
      <c r="O2812" s="31"/>
      <c r="S2812" s="57"/>
      <c r="X2812" s="57"/>
    </row>
    <row r="2813" spans="1:24" hidden="1" x14ac:dyDescent="0.35">
      <c r="A2813">
        <v>2809</v>
      </c>
      <c r="B2813">
        <v>2810</v>
      </c>
      <c r="C2813">
        <v>146.10290566500001</v>
      </c>
      <c r="D2813">
        <v>-17.651939902999899</v>
      </c>
      <c r="G2813" s="92"/>
      <c r="I2813">
        <v>8</v>
      </c>
      <c r="J2813" t="s">
        <v>26</v>
      </c>
      <c r="K2813" s="57"/>
      <c r="L2813" s="31"/>
      <c r="M2813" s="31"/>
      <c r="N2813" s="31"/>
      <c r="O2813" s="31"/>
      <c r="S2813" s="57"/>
      <c r="X2813" s="57"/>
    </row>
    <row r="2814" spans="1:24" hidden="1" x14ac:dyDescent="0.35">
      <c r="A2814">
        <v>2810</v>
      </c>
      <c r="B2814">
        <v>2811</v>
      </c>
      <c r="C2814">
        <v>146.102973875999</v>
      </c>
      <c r="D2814">
        <v>-17.651884199800001</v>
      </c>
      <c r="G2814" s="92"/>
      <c r="I2814">
        <v>8</v>
      </c>
      <c r="J2814" t="s">
        <v>26</v>
      </c>
      <c r="K2814" s="57"/>
      <c r="L2814" s="31"/>
      <c r="M2814" s="31"/>
      <c r="N2814" s="31"/>
      <c r="O2814" s="31"/>
      <c r="S2814" s="57"/>
      <c r="X2814" s="57"/>
    </row>
    <row r="2815" spans="1:24" hidden="1" x14ac:dyDescent="0.35">
      <c r="A2815">
        <v>2811</v>
      </c>
      <c r="B2815">
        <v>2812</v>
      </c>
      <c r="C2815">
        <v>146.103043124999</v>
      </c>
      <c r="D2815">
        <v>-17.6518297512999</v>
      </c>
      <c r="G2815" s="92"/>
      <c r="I2815">
        <v>8</v>
      </c>
      <c r="J2815" t="s">
        <v>26</v>
      </c>
      <c r="K2815" s="57"/>
      <c r="L2815" s="31"/>
      <c r="M2815" s="31"/>
      <c r="N2815" s="31"/>
      <c r="O2815" s="31"/>
      <c r="S2815" s="57"/>
      <c r="X2815" s="57"/>
    </row>
    <row r="2816" spans="1:24" hidden="1" x14ac:dyDescent="0.35">
      <c r="A2816">
        <v>2812</v>
      </c>
      <c r="B2816">
        <v>2813</v>
      </c>
      <c r="C2816">
        <v>146.10311587199899</v>
      </c>
      <c r="D2816">
        <v>-17.651779530799899</v>
      </c>
      <c r="G2816" s="92"/>
      <c r="I2816">
        <v>8</v>
      </c>
      <c r="J2816" t="s">
        <v>26</v>
      </c>
      <c r="K2816" s="57"/>
      <c r="L2816" s="31"/>
      <c r="M2816" s="31"/>
      <c r="N2816" s="31"/>
      <c r="O2816" s="31"/>
      <c r="S2816" s="57"/>
      <c r="X2816" s="57"/>
    </row>
    <row r="2817" spans="1:24" hidden="1" x14ac:dyDescent="0.35">
      <c r="A2817">
        <v>2813</v>
      </c>
      <c r="B2817">
        <v>2814</v>
      </c>
      <c r="C2817">
        <v>146.103188619999</v>
      </c>
      <c r="D2817">
        <v>-17.651729310299899</v>
      </c>
      <c r="G2817" s="92"/>
      <c r="I2817">
        <v>8</v>
      </c>
      <c r="J2817" t="s">
        <v>26</v>
      </c>
      <c r="K2817" s="57"/>
      <c r="L2817" s="31"/>
      <c r="M2817" s="31"/>
      <c r="N2817" s="31"/>
      <c r="O2817" s="31"/>
      <c r="S2817" s="57"/>
      <c r="X2817" s="57"/>
    </row>
    <row r="2818" spans="1:24" hidden="1" x14ac:dyDescent="0.35">
      <c r="A2818">
        <v>2814</v>
      </c>
      <c r="B2818">
        <v>2815</v>
      </c>
      <c r="C2818">
        <v>146.10326136800001</v>
      </c>
      <c r="D2818">
        <v>-17.651679089799998</v>
      </c>
      <c r="G2818" s="92"/>
      <c r="I2818">
        <v>8</v>
      </c>
      <c r="J2818" t="s">
        <v>26</v>
      </c>
      <c r="K2818" s="57"/>
      <c r="L2818" s="31"/>
      <c r="M2818" s="31"/>
      <c r="N2818" s="31"/>
      <c r="O2818" s="31"/>
      <c r="S2818" s="57"/>
      <c r="X2818" s="57"/>
    </row>
    <row r="2819" spans="1:24" hidden="1" x14ac:dyDescent="0.35">
      <c r="A2819">
        <v>2815</v>
      </c>
      <c r="B2819">
        <v>2816</v>
      </c>
      <c r="C2819">
        <v>146.10332638899899</v>
      </c>
      <c r="D2819">
        <v>-17.651620222399899</v>
      </c>
      <c r="G2819" s="92"/>
      <c r="I2819">
        <v>8</v>
      </c>
      <c r="J2819" t="s">
        <v>26</v>
      </c>
      <c r="K2819" s="57"/>
      <c r="L2819" s="31"/>
      <c r="M2819" s="31"/>
      <c r="N2819" s="31"/>
      <c r="O2819" s="31"/>
      <c r="S2819" s="57"/>
      <c r="X2819" s="57"/>
    </row>
    <row r="2820" spans="1:24" hidden="1" x14ac:dyDescent="0.35">
      <c r="A2820">
        <v>2816</v>
      </c>
      <c r="B2820">
        <v>2817</v>
      </c>
      <c r="C2820">
        <v>146.10339001700001</v>
      </c>
      <c r="D2820">
        <v>-17.651559795400001</v>
      </c>
      <c r="G2820" s="92"/>
      <c r="I2820">
        <v>8</v>
      </c>
      <c r="J2820" t="s">
        <v>26</v>
      </c>
      <c r="K2820" s="57"/>
      <c r="L2820" s="31"/>
      <c r="M2820" s="31"/>
      <c r="N2820" s="31"/>
      <c r="O2820" s="31"/>
      <c r="S2820" s="57"/>
      <c r="X2820" s="57"/>
    </row>
    <row r="2821" spans="1:24" hidden="1" x14ac:dyDescent="0.35">
      <c r="A2821">
        <v>2817</v>
      </c>
      <c r="B2821">
        <v>2818</v>
      </c>
      <c r="C2821">
        <v>146.103453645999</v>
      </c>
      <c r="D2821">
        <v>-17.6514993684</v>
      </c>
      <c r="G2821" s="92"/>
      <c r="I2821">
        <v>8</v>
      </c>
      <c r="J2821" t="s">
        <v>26</v>
      </c>
      <c r="K2821" s="57"/>
      <c r="L2821" s="31"/>
      <c r="M2821" s="31"/>
      <c r="N2821" s="31"/>
      <c r="O2821" s="31"/>
      <c r="S2821" s="57"/>
      <c r="X2821" s="57"/>
    </row>
    <row r="2822" spans="1:24" hidden="1" x14ac:dyDescent="0.35">
      <c r="A2822">
        <v>2818</v>
      </c>
      <c r="B2822">
        <v>2819</v>
      </c>
      <c r="C2822">
        <v>146.10349139900001</v>
      </c>
      <c r="D2822">
        <v>-17.651422036900001</v>
      </c>
      <c r="G2822" s="92"/>
      <c r="I2822">
        <v>8</v>
      </c>
      <c r="J2822" t="s">
        <v>26</v>
      </c>
      <c r="K2822" s="57"/>
      <c r="L2822" s="31"/>
      <c r="M2822" s="31"/>
      <c r="N2822" s="31"/>
      <c r="O2822" s="31"/>
      <c r="S2822" s="57"/>
      <c r="X2822" s="57"/>
    </row>
    <row r="2823" spans="1:24" hidden="1" x14ac:dyDescent="0.35">
      <c r="A2823">
        <v>2819</v>
      </c>
      <c r="B2823">
        <v>2820</v>
      </c>
      <c r="C2823">
        <v>146.10352760999899</v>
      </c>
      <c r="D2823">
        <v>-17.6513436973</v>
      </c>
      <c r="G2823" s="92"/>
      <c r="I2823">
        <v>8</v>
      </c>
      <c r="J2823" t="s">
        <v>26</v>
      </c>
      <c r="K2823" s="57"/>
      <c r="L2823" s="31"/>
      <c r="M2823" s="31"/>
      <c r="N2823" s="31"/>
      <c r="O2823" s="31"/>
      <c r="S2823" s="57"/>
      <c r="X2823" s="57"/>
    </row>
    <row r="2824" spans="1:24" hidden="1" x14ac:dyDescent="0.35">
      <c r="A2824">
        <v>2820</v>
      </c>
      <c r="B2824">
        <v>2821</v>
      </c>
      <c r="C2824">
        <v>146.10356382000001</v>
      </c>
      <c r="D2824">
        <v>-17.651265357700002</v>
      </c>
      <c r="G2824" s="92"/>
      <c r="I2824">
        <v>8</v>
      </c>
      <c r="J2824" t="s">
        <v>26</v>
      </c>
      <c r="K2824" s="57"/>
      <c r="L2824" s="31"/>
      <c r="M2824" s="31"/>
      <c r="N2824" s="31"/>
      <c r="O2824" s="31"/>
      <c r="S2824" s="57"/>
      <c r="X2824" s="57"/>
    </row>
    <row r="2825" spans="1:24" hidden="1" x14ac:dyDescent="0.35">
      <c r="A2825">
        <v>2821</v>
      </c>
      <c r="B2825">
        <v>2822</v>
      </c>
      <c r="C2825">
        <v>146.103603491</v>
      </c>
      <c r="D2825">
        <v>-17.6511885962999</v>
      </c>
      <c r="G2825" s="92"/>
      <c r="I2825">
        <v>8</v>
      </c>
      <c r="J2825" t="s">
        <v>26</v>
      </c>
      <c r="K2825" s="57"/>
      <c r="L2825" s="31"/>
      <c r="M2825" s="31"/>
      <c r="N2825" s="31"/>
      <c r="O2825" s="31"/>
      <c r="S2825" s="57"/>
      <c r="X2825" s="57"/>
    </row>
    <row r="2826" spans="1:24" hidden="1" x14ac:dyDescent="0.35">
      <c r="A2826">
        <v>2822</v>
      </c>
      <c r="B2826">
        <v>2823</v>
      </c>
      <c r="C2826">
        <v>146.103644809999</v>
      </c>
      <c r="D2826">
        <v>-17.651112586499899</v>
      </c>
      <c r="G2826" s="92"/>
      <c r="I2826">
        <v>8</v>
      </c>
      <c r="J2826" t="s">
        <v>26</v>
      </c>
      <c r="K2826" s="57"/>
      <c r="L2826" s="31"/>
      <c r="M2826" s="31"/>
      <c r="N2826" s="31"/>
      <c r="O2826" s="31"/>
      <c r="S2826" s="57"/>
      <c r="X2826" s="57"/>
    </row>
    <row r="2827" spans="1:24" hidden="1" x14ac:dyDescent="0.35">
      <c r="A2827">
        <v>2823</v>
      </c>
      <c r="B2827">
        <v>2824</v>
      </c>
      <c r="C2827">
        <v>146.103686127999</v>
      </c>
      <c r="D2827">
        <v>-17.651036576700001</v>
      </c>
      <c r="G2827" s="92"/>
      <c r="I2827">
        <v>8</v>
      </c>
      <c r="J2827" t="s">
        <v>26</v>
      </c>
      <c r="K2827" s="57"/>
      <c r="L2827" s="31"/>
      <c r="M2827" s="31"/>
      <c r="N2827" s="31"/>
      <c r="O2827" s="31"/>
      <c r="S2827" s="57"/>
      <c r="X2827" s="57"/>
    </row>
    <row r="2828" spans="1:24" hidden="1" x14ac:dyDescent="0.35">
      <c r="A2828">
        <v>2824</v>
      </c>
      <c r="B2828">
        <v>2825</v>
      </c>
      <c r="C2828">
        <v>146.10372744700001</v>
      </c>
      <c r="D2828">
        <v>-17.6509605669</v>
      </c>
      <c r="G2828" s="92"/>
      <c r="I2828">
        <v>8</v>
      </c>
      <c r="J2828" t="s">
        <v>26</v>
      </c>
      <c r="K2828" s="57"/>
      <c r="L2828" s="31"/>
      <c r="M2828" s="31"/>
      <c r="N2828" s="31"/>
      <c r="O2828" s="31"/>
      <c r="S2828" s="57"/>
      <c r="X2828" s="57"/>
    </row>
    <row r="2829" spans="1:24" hidden="1" x14ac:dyDescent="0.35">
      <c r="A2829">
        <v>2825</v>
      </c>
      <c r="B2829">
        <v>2826</v>
      </c>
      <c r="C2829">
        <v>146.10376811</v>
      </c>
      <c r="D2829">
        <v>-17.6508842934999</v>
      </c>
      <c r="G2829" s="92"/>
      <c r="I2829">
        <v>8</v>
      </c>
      <c r="J2829" t="s">
        <v>26</v>
      </c>
      <c r="K2829" s="57"/>
      <c r="L2829" s="31"/>
      <c r="M2829" s="31"/>
      <c r="N2829" s="31"/>
      <c r="O2829" s="31"/>
      <c r="S2829" s="57"/>
      <c r="X2829" s="57"/>
    </row>
    <row r="2830" spans="1:24" hidden="1" x14ac:dyDescent="0.35">
      <c r="A2830">
        <v>2826</v>
      </c>
      <c r="B2830">
        <v>2827</v>
      </c>
      <c r="C2830">
        <v>146.103796375</v>
      </c>
      <c r="D2830">
        <v>-17.6508030387999</v>
      </c>
      <c r="G2830" s="92"/>
      <c r="I2830">
        <v>8</v>
      </c>
      <c r="J2830" t="s">
        <v>26</v>
      </c>
      <c r="K2830" s="57"/>
      <c r="L2830" s="31"/>
      <c r="M2830" s="31"/>
      <c r="N2830" s="31"/>
      <c r="O2830" s="31"/>
      <c r="S2830" s="57"/>
      <c r="X2830" s="57"/>
    </row>
    <row r="2831" spans="1:24" hidden="1" x14ac:dyDescent="0.35">
      <c r="A2831">
        <v>2827</v>
      </c>
      <c r="B2831">
        <v>2828</v>
      </c>
      <c r="C2831">
        <v>146.10382463900001</v>
      </c>
      <c r="D2831">
        <v>-17.6507217839</v>
      </c>
      <c r="G2831" s="92"/>
      <c r="I2831">
        <v>8</v>
      </c>
      <c r="J2831" t="s">
        <v>26</v>
      </c>
      <c r="K2831" s="57"/>
      <c r="L2831" s="31"/>
      <c r="M2831" s="31"/>
      <c r="N2831" s="31"/>
      <c r="O2831" s="31"/>
      <c r="S2831" s="57"/>
      <c r="X2831" s="57"/>
    </row>
    <row r="2832" spans="1:24" hidden="1" x14ac:dyDescent="0.35">
      <c r="A2832">
        <v>2828</v>
      </c>
      <c r="B2832">
        <v>2829</v>
      </c>
      <c r="C2832">
        <v>146.10385290400001</v>
      </c>
      <c r="D2832">
        <v>-17.650640529099899</v>
      </c>
      <c r="G2832" s="92"/>
      <c r="I2832">
        <v>8</v>
      </c>
      <c r="J2832" t="s">
        <v>26</v>
      </c>
      <c r="K2832" s="57"/>
      <c r="L2832" s="31"/>
      <c r="M2832" s="31"/>
      <c r="N2832" s="31"/>
      <c r="O2832" s="31"/>
      <c r="S2832" s="57"/>
      <c r="X2832" s="57"/>
    </row>
    <row r="2833" spans="1:24" hidden="1" x14ac:dyDescent="0.35">
      <c r="A2833">
        <v>2829</v>
      </c>
      <c r="B2833">
        <v>2830</v>
      </c>
      <c r="C2833">
        <v>146.10388116799899</v>
      </c>
      <c r="D2833">
        <v>-17.6505592741999</v>
      </c>
      <c r="G2833" s="92"/>
      <c r="I2833">
        <v>8</v>
      </c>
      <c r="J2833" t="s">
        <v>26</v>
      </c>
      <c r="K2833" s="57"/>
      <c r="L2833" s="31"/>
      <c r="M2833" s="31"/>
      <c r="N2833" s="31"/>
      <c r="O2833" s="31"/>
      <c r="S2833" s="57"/>
      <c r="X2833" s="57"/>
    </row>
    <row r="2834" spans="1:24" hidden="1" x14ac:dyDescent="0.35">
      <c r="A2834">
        <v>2830</v>
      </c>
      <c r="B2834">
        <v>2831</v>
      </c>
      <c r="C2834">
        <v>146.10390943300001</v>
      </c>
      <c r="D2834">
        <v>-17.650478019200001</v>
      </c>
      <c r="G2834" s="92"/>
      <c r="I2834">
        <v>8</v>
      </c>
      <c r="J2834" t="s">
        <v>26</v>
      </c>
      <c r="K2834" s="57"/>
      <c r="L2834" s="31"/>
      <c r="M2834" s="31"/>
      <c r="N2834" s="31"/>
      <c r="O2834" s="31"/>
      <c r="S2834" s="57"/>
      <c r="X2834" s="57"/>
    </row>
    <row r="2835" spans="1:24" hidden="1" x14ac:dyDescent="0.35">
      <c r="A2835">
        <v>2831</v>
      </c>
      <c r="B2835">
        <v>2832</v>
      </c>
      <c r="C2835">
        <v>146.103937696999</v>
      </c>
      <c r="D2835">
        <v>-17.650396764300002</v>
      </c>
      <c r="G2835" s="92"/>
      <c r="I2835">
        <v>8</v>
      </c>
      <c r="J2835" t="s">
        <v>26</v>
      </c>
      <c r="K2835" s="57"/>
      <c r="L2835" s="31"/>
      <c r="M2835" s="31"/>
      <c r="N2835" s="31"/>
      <c r="O2835" s="31"/>
      <c r="S2835" s="57"/>
      <c r="X2835" s="57"/>
    </row>
    <row r="2836" spans="1:24" hidden="1" x14ac:dyDescent="0.35">
      <c r="A2836">
        <v>2832</v>
      </c>
      <c r="B2836">
        <v>2833</v>
      </c>
      <c r="C2836">
        <v>146.10396596199899</v>
      </c>
      <c r="D2836">
        <v>-17.6503155093</v>
      </c>
      <c r="G2836" s="92"/>
      <c r="I2836">
        <v>8</v>
      </c>
      <c r="J2836" t="s">
        <v>26</v>
      </c>
      <c r="K2836" s="57"/>
      <c r="L2836" s="31"/>
      <c r="M2836" s="31"/>
      <c r="N2836" s="31"/>
      <c r="O2836" s="31"/>
      <c r="S2836" s="57"/>
      <c r="X2836" s="57"/>
    </row>
    <row r="2837" spans="1:24" hidden="1" x14ac:dyDescent="0.35">
      <c r="A2837">
        <v>2833</v>
      </c>
      <c r="B2837">
        <v>2834</v>
      </c>
      <c r="C2837">
        <v>146.10399422699899</v>
      </c>
      <c r="D2837">
        <v>-17.650234254200001</v>
      </c>
      <c r="G2837" s="92"/>
      <c r="I2837">
        <v>8</v>
      </c>
      <c r="J2837" t="s">
        <v>26</v>
      </c>
      <c r="K2837" s="57"/>
      <c r="L2837" s="31"/>
      <c r="M2837" s="31"/>
      <c r="N2837" s="31"/>
      <c r="O2837" s="31"/>
      <c r="S2837" s="57"/>
      <c r="X2837" s="57"/>
    </row>
    <row r="2838" spans="1:24" hidden="1" x14ac:dyDescent="0.35">
      <c r="A2838">
        <v>2834</v>
      </c>
      <c r="B2838">
        <v>2835</v>
      </c>
      <c r="C2838">
        <v>146.104020590999</v>
      </c>
      <c r="D2838">
        <v>-17.650152447899899</v>
      </c>
      <c r="G2838" s="92"/>
      <c r="I2838">
        <v>8</v>
      </c>
      <c r="J2838" t="s">
        <v>26</v>
      </c>
      <c r="K2838" s="57"/>
      <c r="L2838" s="31"/>
      <c r="M2838" s="31"/>
      <c r="N2838" s="31"/>
      <c r="O2838" s="31"/>
      <c r="S2838" s="57"/>
      <c r="X2838" s="57"/>
    </row>
    <row r="2839" spans="1:24" hidden="1" x14ac:dyDescent="0.35">
      <c r="A2839">
        <v>2835</v>
      </c>
      <c r="B2839">
        <v>2836</v>
      </c>
      <c r="C2839">
        <v>146.10404464499899</v>
      </c>
      <c r="D2839">
        <v>-17.650069971000001</v>
      </c>
      <c r="G2839" s="92"/>
      <c r="I2839">
        <v>8</v>
      </c>
      <c r="J2839" t="s">
        <v>26</v>
      </c>
      <c r="K2839" s="57"/>
      <c r="L2839" s="31"/>
      <c r="M2839" s="31"/>
      <c r="N2839" s="31"/>
      <c r="O2839" s="31"/>
      <c r="S2839" s="57"/>
      <c r="X2839" s="57"/>
    </row>
    <row r="2840" spans="1:24" hidden="1" x14ac:dyDescent="0.35">
      <c r="A2840">
        <v>2836</v>
      </c>
      <c r="B2840">
        <v>2837</v>
      </c>
      <c r="C2840">
        <v>146.10406869900001</v>
      </c>
      <c r="D2840">
        <v>-17.6499874940999</v>
      </c>
      <c r="G2840" s="92"/>
      <c r="I2840">
        <v>8</v>
      </c>
      <c r="J2840" t="s">
        <v>26</v>
      </c>
      <c r="K2840" s="57"/>
      <c r="L2840" s="31"/>
      <c r="M2840" s="31"/>
      <c r="N2840" s="31"/>
      <c r="O2840" s="31"/>
      <c r="S2840" s="57"/>
      <c r="X2840" s="57"/>
    </row>
    <row r="2841" spans="1:24" hidden="1" x14ac:dyDescent="0.35">
      <c r="A2841">
        <v>2837</v>
      </c>
      <c r="B2841">
        <v>2838</v>
      </c>
      <c r="C2841">
        <v>146.10409158600001</v>
      </c>
      <c r="D2841">
        <v>-17.6499047599</v>
      </c>
      <c r="G2841" s="92"/>
      <c r="I2841">
        <v>8</v>
      </c>
      <c r="J2841" t="s">
        <v>26</v>
      </c>
      <c r="K2841" s="57"/>
      <c r="L2841" s="31"/>
      <c r="M2841" s="31"/>
      <c r="N2841" s="31"/>
      <c r="O2841" s="31"/>
      <c r="S2841" s="57"/>
      <c r="X2841" s="57"/>
    </row>
    <row r="2842" spans="1:24" hidden="1" x14ac:dyDescent="0.35">
      <c r="A2842">
        <v>2838</v>
      </c>
      <c r="B2842">
        <v>2839</v>
      </c>
      <c r="C2842">
        <v>146.10410797700001</v>
      </c>
      <c r="D2842">
        <v>-17.6498205940999</v>
      </c>
      <c r="G2842" s="92"/>
      <c r="I2842">
        <v>8</v>
      </c>
      <c r="J2842" t="s">
        <v>26</v>
      </c>
      <c r="K2842" s="57"/>
      <c r="L2842" s="31"/>
      <c r="M2842" s="31"/>
      <c r="N2842" s="31"/>
      <c r="O2842" s="31"/>
      <c r="S2842" s="57"/>
      <c r="X2842" s="57"/>
    </row>
    <row r="2843" spans="1:24" hidden="1" x14ac:dyDescent="0.35">
      <c r="A2843">
        <v>2839</v>
      </c>
      <c r="B2843">
        <v>2840</v>
      </c>
      <c r="C2843">
        <v>146.104124369</v>
      </c>
      <c r="D2843">
        <v>-17.649736428299899</v>
      </c>
      <c r="G2843" s="92"/>
      <c r="I2843">
        <v>8</v>
      </c>
      <c r="J2843" t="s">
        <v>26</v>
      </c>
      <c r="K2843" s="57"/>
      <c r="L2843" s="31"/>
      <c r="M2843" s="31"/>
      <c r="N2843" s="31"/>
      <c r="O2843" s="31"/>
      <c r="S2843" s="57"/>
      <c r="X2843" s="57"/>
    </row>
    <row r="2844" spans="1:24" hidden="1" x14ac:dyDescent="0.35">
      <c r="A2844">
        <v>2840</v>
      </c>
      <c r="B2844">
        <v>2841</v>
      </c>
      <c r="C2844">
        <v>146.10414076000001</v>
      </c>
      <c r="D2844">
        <v>-17.6496522624</v>
      </c>
      <c r="G2844" s="92"/>
      <c r="I2844">
        <v>8</v>
      </c>
      <c r="J2844" t="s">
        <v>26</v>
      </c>
      <c r="K2844" s="57"/>
      <c r="L2844" s="31"/>
      <c r="M2844" s="31"/>
      <c r="N2844" s="31"/>
      <c r="O2844" s="31"/>
      <c r="S2844" s="57"/>
      <c r="X2844" s="57"/>
    </row>
    <row r="2845" spans="1:24" hidden="1" x14ac:dyDescent="0.35">
      <c r="A2845">
        <v>2841</v>
      </c>
      <c r="B2845">
        <v>2842</v>
      </c>
      <c r="C2845">
        <v>146.10415715100001</v>
      </c>
      <c r="D2845">
        <v>-17.649568096500001</v>
      </c>
      <c r="G2845" s="92"/>
      <c r="I2845">
        <v>8</v>
      </c>
      <c r="J2845" t="s">
        <v>26</v>
      </c>
      <c r="K2845" s="57"/>
      <c r="L2845" s="31"/>
      <c r="M2845" s="31"/>
      <c r="N2845" s="31"/>
      <c r="O2845" s="31"/>
      <c r="S2845" s="57"/>
      <c r="X2845" s="57"/>
    </row>
    <row r="2846" spans="1:24" hidden="1" x14ac:dyDescent="0.35">
      <c r="A2846">
        <v>2842</v>
      </c>
      <c r="B2846">
        <v>2843</v>
      </c>
      <c r="C2846">
        <v>146.10417354200001</v>
      </c>
      <c r="D2846">
        <v>-17.649483930500001</v>
      </c>
      <c r="G2846" s="92"/>
      <c r="I2846">
        <v>8</v>
      </c>
      <c r="J2846" t="s">
        <v>26</v>
      </c>
      <c r="K2846" s="57"/>
      <c r="L2846" s="31"/>
      <c r="M2846" s="31"/>
      <c r="N2846" s="31"/>
      <c r="O2846" s="31"/>
      <c r="S2846" s="57"/>
      <c r="X2846" s="57"/>
    </row>
    <row r="2847" spans="1:24" hidden="1" x14ac:dyDescent="0.35">
      <c r="A2847">
        <v>2843</v>
      </c>
      <c r="B2847">
        <v>2844</v>
      </c>
      <c r="C2847">
        <v>146.104189934</v>
      </c>
      <c r="D2847">
        <v>-17.6493997645</v>
      </c>
      <c r="G2847" s="92"/>
      <c r="I2847">
        <v>8</v>
      </c>
      <c r="J2847" t="s">
        <v>26</v>
      </c>
      <c r="K2847" s="57"/>
      <c r="L2847" s="31"/>
      <c r="M2847" s="31"/>
      <c r="N2847" s="31"/>
      <c r="O2847" s="31"/>
      <c r="S2847" s="57"/>
      <c r="X2847" s="57"/>
    </row>
    <row r="2848" spans="1:24" hidden="1" x14ac:dyDescent="0.35">
      <c r="A2848">
        <v>2844</v>
      </c>
      <c r="B2848">
        <v>2845</v>
      </c>
      <c r="C2848">
        <v>146.104193866</v>
      </c>
      <c r="D2848">
        <v>-17.649314363399899</v>
      </c>
      <c r="G2848" s="92"/>
      <c r="I2848">
        <v>8</v>
      </c>
      <c r="J2848" t="s">
        <v>26</v>
      </c>
      <c r="K2848" s="57"/>
      <c r="L2848" s="31"/>
      <c r="M2848" s="31"/>
      <c r="N2848" s="31"/>
      <c r="O2848" s="31"/>
      <c r="S2848" s="57"/>
      <c r="X2848" s="57"/>
    </row>
    <row r="2849" spans="1:24" hidden="1" x14ac:dyDescent="0.35">
      <c r="A2849">
        <v>2845</v>
      </c>
      <c r="B2849">
        <v>2846</v>
      </c>
      <c r="C2849">
        <v>146.104196005999</v>
      </c>
      <c r="D2849">
        <v>-17.6492287845</v>
      </c>
      <c r="G2849" s="92"/>
      <c r="I2849">
        <v>8</v>
      </c>
      <c r="J2849" t="s">
        <v>26</v>
      </c>
      <c r="K2849" s="57"/>
      <c r="L2849" s="31"/>
      <c r="M2849" s="31"/>
      <c r="N2849" s="31"/>
      <c r="O2849" s="31"/>
      <c r="S2849" s="57"/>
      <c r="X2849" s="57"/>
    </row>
    <row r="2850" spans="1:24" hidden="1" x14ac:dyDescent="0.35">
      <c r="A2850">
        <v>2846</v>
      </c>
      <c r="B2850">
        <v>2847</v>
      </c>
      <c r="C2850">
        <v>146.10419814599899</v>
      </c>
      <c r="D2850">
        <v>-17.649143205600001</v>
      </c>
      <c r="G2850" s="92"/>
      <c r="I2850">
        <v>8</v>
      </c>
      <c r="J2850" t="s">
        <v>26</v>
      </c>
      <c r="K2850" s="57"/>
      <c r="L2850" s="31"/>
      <c r="M2850" s="31"/>
      <c r="N2850" s="31"/>
      <c r="O2850" s="31"/>
      <c r="S2850" s="57"/>
      <c r="X2850" s="57"/>
    </row>
    <row r="2851" spans="1:24" hidden="1" x14ac:dyDescent="0.35">
      <c r="A2851">
        <v>2847</v>
      </c>
      <c r="B2851">
        <v>2848</v>
      </c>
      <c r="C2851">
        <v>146.10420028600001</v>
      </c>
      <c r="D2851">
        <v>-17.649057626600001</v>
      </c>
      <c r="G2851" s="92"/>
      <c r="I2851">
        <v>8</v>
      </c>
      <c r="J2851" t="s">
        <v>26</v>
      </c>
      <c r="K2851" s="57"/>
      <c r="L2851" s="31"/>
      <c r="M2851" s="31"/>
      <c r="N2851" s="31"/>
      <c r="O2851" s="31"/>
      <c r="S2851" s="57"/>
      <c r="X2851" s="57"/>
    </row>
    <row r="2852" spans="1:24" hidden="1" x14ac:dyDescent="0.35">
      <c r="A2852">
        <v>2848</v>
      </c>
      <c r="B2852">
        <v>2849</v>
      </c>
      <c r="C2852">
        <v>146.104202426</v>
      </c>
      <c r="D2852">
        <v>-17.648972047600001</v>
      </c>
      <c r="G2852" s="92"/>
      <c r="I2852">
        <v>8</v>
      </c>
      <c r="J2852" t="s">
        <v>26</v>
      </c>
      <c r="K2852" s="57"/>
      <c r="L2852" s="31"/>
      <c r="M2852" s="31"/>
      <c r="N2852" s="31"/>
      <c r="O2852" s="31"/>
      <c r="S2852" s="57"/>
      <c r="X2852" s="57"/>
    </row>
    <row r="2853" spans="1:24" hidden="1" x14ac:dyDescent="0.35">
      <c r="A2853">
        <v>2849</v>
      </c>
      <c r="B2853">
        <v>2850</v>
      </c>
      <c r="C2853">
        <v>146.104204565999</v>
      </c>
      <c r="D2853">
        <v>-17.648886468499899</v>
      </c>
      <c r="G2853" s="92"/>
      <c r="I2853">
        <v>8</v>
      </c>
      <c r="J2853" t="s">
        <v>26</v>
      </c>
      <c r="K2853" s="57"/>
      <c r="L2853" s="31"/>
      <c r="M2853" s="31"/>
      <c r="N2853" s="31"/>
      <c r="O2853" s="31"/>
      <c r="S2853" s="57"/>
      <c r="X2853" s="57"/>
    </row>
    <row r="2854" spans="1:24" hidden="1" x14ac:dyDescent="0.35">
      <c r="A2854">
        <v>2850</v>
      </c>
      <c r="B2854">
        <v>2851</v>
      </c>
      <c r="C2854">
        <v>146.10420310800001</v>
      </c>
      <c r="D2854">
        <v>-17.648800987200001</v>
      </c>
      <c r="G2854" s="92"/>
      <c r="I2854">
        <v>8</v>
      </c>
      <c r="J2854" t="s">
        <v>26</v>
      </c>
      <c r="K2854" s="57"/>
      <c r="L2854" s="31"/>
      <c r="M2854" s="31"/>
      <c r="N2854" s="31"/>
      <c r="O2854" s="31"/>
      <c r="S2854" s="57"/>
      <c r="X2854" s="57"/>
    </row>
    <row r="2855" spans="1:24" hidden="1" x14ac:dyDescent="0.35">
      <c r="A2855">
        <v>2851</v>
      </c>
      <c r="B2855">
        <v>2852</v>
      </c>
      <c r="C2855">
        <v>146.10419585400001</v>
      </c>
      <c r="D2855">
        <v>-17.648715663400001</v>
      </c>
      <c r="G2855" s="92"/>
      <c r="I2855">
        <v>8</v>
      </c>
      <c r="J2855" t="s">
        <v>26</v>
      </c>
      <c r="K2855" s="57"/>
      <c r="L2855" s="31"/>
      <c r="M2855" s="31"/>
      <c r="N2855" s="31"/>
      <c r="O2855" s="31"/>
      <c r="S2855" s="57"/>
      <c r="X2855" s="57"/>
    </row>
    <row r="2856" spans="1:24" hidden="1" x14ac:dyDescent="0.35">
      <c r="A2856">
        <v>2852</v>
      </c>
      <c r="B2856">
        <v>2853</v>
      </c>
      <c r="C2856">
        <v>146.104188598999</v>
      </c>
      <c r="D2856">
        <v>-17.648630339499899</v>
      </c>
      <c r="G2856" s="92"/>
      <c r="I2856">
        <v>8</v>
      </c>
      <c r="J2856" t="s">
        <v>26</v>
      </c>
      <c r="K2856" s="57"/>
      <c r="L2856" s="31"/>
      <c r="M2856" s="31"/>
      <c r="N2856" s="31"/>
      <c r="O2856" s="31"/>
      <c r="S2856" s="57"/>
      <c r="X2856" s="57"/>
    </row>
    <row r="2857" spans="1:24" hidden="1" x14ac:dyDescent="0.35">
      <c r="A2857">
        <v>2853</v>
      </c>
      <c r="B2857">
        <v>2854</v>
      </c>
      <c r="C2857">
        <v>146.10418134400001</v>
      </c>
      <c r="D2857">
        <v>-17.6485450156</v>
      </c>
      <c r="G2857" s="92"/>
      <c r="I2857">
        <v>8</v>
      </c>
      <c r="J2857" t="s">
        <v>26</v>
      </c>
      <c r="K2857" s="57"/>
      <c r="L2857" s="31"/>
      <c r="M2857" s="31"/>
      <c r="N2857" s="31"/>
      <c r="O2857" s="31"/>
      <c r="S2857" s="57"/>
      <c r="X2857" s="57"/>
    </row>
    <row r="2858" spans="1:24" hidden="1" x14ac:dyDescent="0.35">
      <c r="A2858">
        <v>2854</v>
      </c>
      <c r="B2858">
        <v>2855</v>
      </c>
      <c r="C2858">
        <v>146.104174088999</v>
      </c>
      <c r="D2858">
        <v>-17.648459691700001</v>
      </c>
      <c r="G2858" s="92"/>
      <c r="I2858">
        <v>8</v>
      </c>
      <c r="J2858" t="s">
        <v>26</v>
      </c>
      <c r="K2858" s="57"/>
      <c r="L2858" s="31"/>
      <c r="M2858" s="31"/>
      <c r="N2858" s="31"/>
      <c r="O2858" s="31"/>
      <c r="S2858" s="57"/>
      <c r="X2858" s="57"/>
    </row>
    <row r="2859" spans="1:24" hidden="1" x14ac:dyDescent="0.35">
      <c r="A2859">
        <v>2855</v>
      </c>
      <c r="B2859">
        <v>2856</v>
      </c>
      <c r="C2859">
        <v>146.104166835</v>
      </c>
      <c r="D2859">
        <v>-17.648374367700001</v>
      </c>
      <c r="G2859" s="92"/>
      <c r="I2859">
        <v>8</v>
      </c>
      <c r="J2859" t="s">
        <v>26</v>
      </c>
      <c r="K2859" s="57"/>
      <c r="L2859" s="31"/>
      <c r="M2859" s="31"/>
      <c r="N2859" s="31"/>
      <c r="O2859" s="31"/>
      <c r="S2859" s="57"/>
      <c r="X2859" s="57"/>
    </row>
    <row r="2860" spans="1:24" hidden="1" x14ac:dyDescent="0.35">
      <c r="A2860">
        <v>2856</v>
      </c>
      <c r="B2860">
        <v>2857</v>
      </c>
      <c r="C2860">
        <v>146.10415957999899</v>
      </c>
      <c r="D2860">
        <v>-17.6482890437</v>
      </c>
      <c r="G2860" s="92"/>
      <c r="I2860">
        <v>8</v>
      </c>
      <c r="J2860" t="s">
        <v>26</v>
      </c>
      <c r="K2860" s="57"/>
      <c r="L2860" s="31"/>
      <c r="M2860" s="31"/>
      <c r="N2860" s="31"/>
      <c r="O2860" s="31"/>
      <c r="S2860" s="57"/>
      <c r="X2860" s="57"/>
    </row>
    <row r="2861" spans="1:24" hidden="1" x14ac:dyDescent="0.35">
      <c r="A2861">
        <v>2857</v>
      </c>
      <c r="B2861">
        <v>2858</v>
      </c>
      <c r="C2861">
        <v>146.104152325</v>
      </c>
      <c r="D2861">
        <v>-17.648203719600001</v>
      </c>
      <c r="G2861" s="92"/>
      <c r="I2861">
        <v>8</v>
      </c>
      <c r="J2861" t="s">
        <v>26</v>
      </c>
      <c r="K2861" s="57"/>
      <c r="L2861" s="31"/>
      <c r="M2861" s="31"/>
      <c r="N2861" s="31"/>
      <c r="O2861" s="31"/>
      <c r="S2861" s="57"/>
      <c r="X2861" s="57"/>
    </row>
    <row r="2862" spans="1:24" hidden="1" x14ac:dyDescent="0.35">
      <c r="A2862">
        <v>2858</v>
      </c>
      <c r="B2862">
        <v>2859</v>
      </c>
      <c r="C2862">
        <v>146.10414506999899</v>
      </c>
      <c r="D2862">
        <v>-17.6481183954999</v>
      </c>
      <c r="G2862" s="92"/>
      <c r="I2862">
        <v>8</v>
      </c>
      <c r="J2862" t="s">
        <v>26</v>
      </c>
      <c r="K2862" s="57"/>
      <c r="L2862" s="31"/>
      <c r="M2862" s="31"/>
      <c r="N2862" s="31"/>
      <c r="O2862" s="31"/>
      <c r="S2862" s="57"/>
      <c r="X2862" s="57"/>
    </row>
    <row r="2863" spans="1:24" hidden="1" x14ac:dyDescent="0.35">
      <c r="A2863">
        <v>2859</v>
      </c>
      <c r="B2863">
        <v>2860</v>
      </c>
      <c r="C2863">
        <v>146.104137815999</v>
      </c>
      <c r="D2863">
        <v>-17.6480330714</v>
      </c>
      <c r="G2863" s="92"/>
      <c r="I2863">
        <v>8</v>
      </c>
      <c r="J2863" t="s">
        <v>26</v>
      </c>
      <c r="K2863" s="57"/>
      <c r="L2863" s="31"/>
      <c r="M2863" s="31"/>
      <c r="N2863" s="31"/>
      <c r="O2863" s="31"/>
      <c r="S2863" s="57"/>
      <c r="X2863" s="57"/>
    </row>
    <row r="2864" spans="1:24" hidden="1" x14ac:dyDescent="0.35">
      <c r="A2864">
        <v>2860</v>
      </c>
      <c r="B2864">
        <v>2861</v>
      </c>
      <c r="C2864">
        <v>146.10413056100001</v>
      </c>
      <c r="D2864">
        <v>-17.6479477472</v>
      </c>
      <c r="G2864" s="92"/>
      <c r="I2864">
        <v>8</v>
      </c>
      <c r="J2864" t="s">
        <v>26</v>
      </c>
      <c r="K2864" s="57"/>
      <c r="L2864" s="31"/>
      <c r="M2864" s="31"/>
      <c r="N2864" s="31"/>
      <c r="O2864" s="31"/>
      <c r="S2864" s="57"/>
      <c r="X2864" s="57"/>
    </row>
    <row r="2865" spans="1:24" hidden="1" x14ac:dyDescent="0.35">
      <c r="A2865">
        <v>2861</v>
      </c>
      <c r="B2865">
        <v>2862</v>
      </c>
      <c r="C2865">
        <v>146.104123305999</v>
      </c>
      <c r="D2865">
        <v>-17.6478624229999</v>
      </c>
      <c r="G2865" s="92"/>
      <c r="I2865">
        <v>8</v>
      </c>
      <c r="J2865" t="s">
        <v>26</v>
      </c>
      <c r="K2865" s="57"/>
      <c r="L2865" s="31"/>
      <c r="M2865" s="31"/>
      <c r="N2865" s="31"/>
      <c r="O2865" s="31"/>
      <c r="S2865" s="57"/>
      <c r="X2865" s="57"/>
    </row>
    <row r="2866" spans="1:24" hidden="1" x14ac:dyDescent="0.35">
      <c r="A2866">
        <v>2862</v>
      </c>
      <c r="B2866">
        <v>2863</v>
      </c>
      <c r="C2866">
        <v>146.10411630600001</v>
      </c>
      <c r="D2866">
        <v>-17.647777082400001</v>
      </c>
      <c r="G2866" s="92"/>
      <c r="I2866">
        <v>8</v>
      </c>
      <c r="J2866" t="s">
        <v>26</v>
      </c>
      <c r="K2866" s="57"/>
      <c r="L2866" s="31"/>
      <c r="M2866" s="31"/>
      <c r="N2866" s="31"/>
      <c r="O2866" s="31"/>
      <c r="S2866" s="57"/>
      <c r="X2866" s="57"/>
    </row>
    <row r="2867" spans="1:24" hidden="1" x14ac:dyDescent="0.35">
      <c r="A2867">
        <v>2863</v>
      </c>
      <c r="B2867">
        <v>2864</v>
      </c>
      <c r="C2867">
        <v>146.104107545999</v>
      </c>
      <c r="D2867">
        <v>-17.647691886400001</v>
      </c>
      <c r="G2867" s="92"/>
      <c r="I2867">
        <v>8</v>
      </c>
      <c r="J2867" t="s">
        <v>26</v>
      </c>
      <c r="K2867" s="57"/>
      <c r="L2867" s="31"/>
      <c r="M2867" s="31"/>
      <c r="N2867" s="31"/>
      <c r="O2867" s="31"/>
      <c r="S2867" s="57"/>
      <c r="X2867" s="57"/>
    </row>
    <row r="2868" spans="1:24" hidden="1" x14ac:dyDescent="0.35">
      <c r="A2868">
        <v>2864</v>
      </c>
      <c r="B2868">
        <v>2865</v>
      </c>
      <c r="C2868">
        <v>146.104098786999</v>
      </c>
      <c r="D2868">
        <v>-17.6476066904</v>
      </c>
      <c r="G2868" s="92"/>
      <c r="I2868">
        <v>8</v>
      </c>
      <c r="J2868" t="s">
        <v>26</v>
      </c>
      <c r="K2868" s="57"/>
      <c r="L2868" s="31"/>
      <c r="M2868" s="31"/>
      <c r="N2868" s="31"/>
      <c r="O2868" s="31"/>
      <c r="S2868" s="57"/>
      <c r="X2868" s="57"/>
    </row>
    <row r="2869" spans="1:24" hidden="1" x14ac:dyDescent="0.35">
      <c r="A2869">
        <v>2865</v>
      </c>
      <c r="B2869">
        <v>2866</v>
      </c>
      <c r="C2869">
        <v>146.10409002700001</v>
      </c>
      <c r="D2869">
        <v>-17.6475214943999</v>
      </c>
      <c r="G2869" s="92"/>
      <c r="I2869">
        <v>8</v>
      </c>
      <c r="J2869" t="s">
        <v>26</v>
      </c>
      <c r="K2869" s="57"/>
      <c r="L2869" s="31"/>
      <c r="M2869" s="31"/>
      <c r="N2869" s="31"/>
      <c r="O2869" s="31"/>
      <c r="S2869" s="57"/>
      <c r="X2869" s="57"/>
    </row>
    <row r="2870" spans="1:24" hidden="1" x14ac:dyDescent="0.35">
      <c r="A2870">
        <v>2866</v>
      </c>
      <c r="B2870">
        <v>2867</v>
      </c>
      <c r="C2870">
        <v>146.104081266999</v>
      </c>
      <c r="D2870">
        <v>-17.647436298300001</v>
      </c>
      <c r="G2870" s="92"/>
      <c r="I2870">
        <v>8</v>
      </c>
      <c r="J2870" t="s">
        <v>26</v>
      </c>
      <c r="K2870" s="57"/>
      <c r="L2870" s="31"/>
      <c r="M2870" s="31"/>
      <c r="N2870" s="31"/>
      <c r="O2870" s="31"/>
      <c r="S2870" s="57"/>
      <c r="X2870" s="57"/>
    </row>
    <row r="2871" spans="1:24" hidden="1" x14ac:dyDescent="0.35">
      <c r="A2871">
        <v>2867</v>
      </c>
      <c r="B2871">
        <v>2868</v>
      </c>
      <c r="C2871">
        <v>146.104072508</v>
      </c>
      <c r="D2871">
        <v>-17.647351102199899</v>
      </c>
      <c r="G2871" s="92"/>
      <c r="I2871">
        <v>8</v>
      </c>
      <c r="J2871" t="s">
        <v>26</v>
      </c>
      <c r="K2871" s="57"/>
      <c r="L2871" s="31"/>
      <c r="M2871" s="31"/>
      <c r="N2871" s="31"/>
      <c r="O2871" s="31"/>
      <c r="S2871" s="57"/>
      <c r="X2871" s="57"/>
    </row>
    <row r="2872" spans="1:24" hidden="1" x14ac:dyDescent="0.35">
      <c r="A2872">
        <v>2868</v>
      </c>
      <c r="B2872">
        <v>2869</v>
      </c>
      <c r="C2872">
        <v>146.10406374799899</v>
      </c>
      <c r="D2872">
        <v>-17.647265906000001</v>
      </c>
      <c r="G2872" s="92"/>
      <c r="I2872">
        <v>8</v>
      </c>
      <c r="J2872" t="s">
        <v>26</v>
      </c>
      <c r="K2872" s="57"/>
      <c r="L2872" s="31"/>
      <c r="M2872" s="31"/>
      <c r="N2872" s="31"/>
      <c r="O2872" s="31"/>
      <c r="S2872" s="57"/>
      <c r="X2872" s="57"/>
    </row>
    <row r="2873" spans="1:24" hidden="1" x14ac:dyDescent="0.35">
      <c r="A2873">
        <v>2869</v>
      </c>
      <c r="B2873">
        <v>2870</v>
      </c>
      <c r="C2873">
        <v>146.104054988</v>
      </c>
      <c r="D2873">
        <v>-17.647180709800001</v>
      </c>
      <c r="G2873" s="92"/>
      <c r="I2873">
        <v>8</v>
      </c>
      <c r="J2873" t="s">
        <v>26</v>
      </c>
      <c r="K2873" s="57"/>
      <c r="L2873" s="31"/>
      <c r="M2873" s="31"/>
      <c r="N2873" s="31"/>
      <c r="O2873" s="31"/>
      <c r="S2873" s="57"/>
      <c r="X2873" s="57"/>
    </row>
    <row r="2874" spans="1:24" hidden="1" x14ac:dyDescent="0.35">
      <c r="A2874">
        <v>2870</v>
      </c>
      <c r="B2874">
        <v>2871</v>
      </c>
      <c r="C2874">
        <v>146.10404622900001</v>
      </c>
      <c r="D2874">
        <v>-17.6470955136</v>
      </c>
      <c r="G2874" s="92"/>
      <c r="I2874">
        <v>8</v>
      </c>
      <c r="J2874" t="s">
        <v>26</v>
      </c>
      <c r="K2874" s="57"/>
      <c r="L2874" s="31"/>
      <c r="M2874" s="31"/>
      <c r="N2874" s="31"/>
      <c r="O2874" s="31"/>
      <c r="S2874" s="57"/>
      <c r="X2874" s="57"/>
    </row>
    <row r="2875" spans="1:24" hidden="1" x14ac:dyDescent="0.35">
      <c r="A2875">
        <v>2871</v>
      </c>
      <c r="B2875">
        <v>2872</v>
      </c>
      <c r="C2875">
        <v>146.10403803200001</v>
      </c>
      <c r="D2875">
        <v>-17.647010268100001</v>
      </c>
      <c r="G2875" s="92"/>
      <c r="I2875">
        <v>8</v>
      </c>
      <c r="J2875" t="s">
        <v>26</v>
      </c>
      <c r="K2875" s="57"/>
      <c r="L2875" s="31"/>
      <c r="M2875" s="31"/>
      <c r="N2875" s="31"/>
      <c r="O2875" s="31"/>
      <c r="S2875" s="57"/>
      <c r="X2875" s="57"/>
    </row>
    <row r="2876" spans="1:24" hidden="1" x14ac:dyDescent="0.35">
      <c r="A2876">
        <v>2872</v>
      </c>
      <c r="B2876">
        <v>2873</v>
      </c>
      <c r="C2876">
        <v>146.10403036899899</v>
      </c>
      <c r="D2876">
        <v>-17.646924975800001</v>
      </c>
      <c r="G2876" s="92"/>
      <c r="I2876">
        <v>8</v>
      </c>
      <c r="J2876" t="s">
        <v>26</v>
      </c>
      <c r="K2876" s="57"/>
      <c r="L2876" s="31"/>
      <c r="M2876" s="31"/>
      <c r="N2876" s="31"/>
      <c r="O2876" s="31"/>
      <c r="S2876" s="57"/>
      <c r="X2876" s="57"/>
    </row>
    <row r="2877" spans="1:24" hidden="1" x14ac:dyDescent="0.35">
      <c r="A2877">
        <v>2873</v>
      </c>
      <c r="B2877">
        <v>2874</v>
      </c>
      <c r="C2877">
        <v>146.10402270700001</v>
      </c>
      <c r="D2877">
        <v>-17.646839683500001</v>
      </c>
      <c r="G2877" s="92"/>
      <c r="I2877">
        <v>8</v>
      </c>
      <c r="J2877" t="s">
        <v>26</v>
      </c>
      <c r="K2877" s="57"/>
      <c r="L2877" s="31"/>
      <c r="M2877" s="31"/>
      <c r="N2877" s="31"/>
      <c r="O2877" s="31"/>
      <c r="S2877" s="57"/>
      <c r="X2877" s="57"/>
    </row>
    <row r="2878" spans="1:24" hidden="1" x14ac:dyDescent="0.35">
      <c r="A2878">
        <v>2874</v>
      </c>
      <c r="B2878">
        <v>2875</v>
      </c>
      <c r="C2878">
        <v>146.10401504500001</v>
      </c>
      <c r="D2878">
        <v>-17.6467543911</v>
      </c>
      <c r="G2878" s="92"/>
      <c r="I2878">
        <v>8</v>
      </c>
      <c r="J2878" t="s">
        <v>26</v>
      </c>
      <c r="K2878" s="57"/>
      <c r="L2878" s="31"/>
      <c r="M2878" s="31"/>
      <c r="N2878" s="31"/>
      <c r="O2878" s="31"/>
      <c r="S2878" s="57"/>
      <c r="X2878" s="57"/>
    </row>
    <row r="2879" spans="1:24" hidden="1" x14ac:dyDescent="0.35">
      <c r="A2879">
        <v>2875</v>
      </c>
      <c r="B2879">
        <v>2876</v>
      </c>
      <c r="C2879">
        <v>146.10400738300001</v>
      </c>
      <c r="D2879">
        <v>-17.6466690986</v>
      </c>
      <c r="G2879" s="92"/>
      <c r="I2879">
        <v>8</v>
      </c>
      <c r="J2879" t="s">
        <v>26</v>
      </c>
      <c r="K2879" s="57"/>
      <c r="L2879" s="31"/>
      <c r="M2879" s="31"/>
      <c r="N2879" s="31"/>
      <c r="O2879" s="31"/>
      <c r="S2879" s="57"/>
      <c r="X2879" s="57"/>
    </row>
    <row r="2880" spans="1:24" hidden="1" x14ac:dyDescent="0.35">
      <c r="A2880">
        <v>2876</v>
      </c>
      <c r="B2880">
        <v>2877</v>
      </c>
      <c r="C2880">
        <v>146.103999719999</v>
      </c>
      <c r="D2880">
        <v>-17.646583806199899</v>
      </c>
      <c r="G2880" s="92"/>
      <c r="I2880">
        <v>8</v>
      </c>
      <c r="J2880" t="s">
        <v>26</v>
      </c>
      <c r="K2880" s="57"/>
      <c r="L2880" s="31"/>
      <c r="M2880" s="31"/>
      <c r="N2880" s="31"/>
      <c r="O2880" s="31"/>
      <c r="S2880" s="57"/>
      <c r="X2880" s="57"/>
    </row>
    <row r="2881" spans="1:24" hidden="1" x14ac:dyDescent="0.35">
      <c r="A2881">
        <v>2877</v>
      </c>
      <c r="B2881">
        <v>2878</v>
      </c>
      <c r="C2881">
        <v>146.10399159599899</v>
      </c>
      <c r="D2881">
        <v>-17.646498552499899</v>
      </c>
      <c r="G2881" s="92"/>
      <c r="I2881">
        <v>8</v>
      </c>
      <c r="J2881" t="s">
        <v>26</v>
      </c>
      <c r="K2881" s="57"/>
      <c r="L2881" s="31"/>
      <c r="M2881" s="31"/>
      <c r="N2881" s="31"/>
      <c r="O2881" s="31"/>
      <c r="S2881" s="57"/>
      <c r="X2881" s="57"/>
    </row>
    <row r="2882" spans="1:24" hidden="1" x14ac:dyDescent="0.35">
      <c r="A2882">
        <v>2878</v>
      </c>
      <c r="B2882">
        <v>2879</v>
      </c>
      <c r="C2882">
        <v>146.10398347200001</v>
      </c>
      <c r="D2882">
        <v>-17.646413298799899</v>
      </c>
      <c r="G2882" s="92"/>
      <c r="I2882">
        <v>8</v>
      </c>
      <c r="J2882" t="s">
        <v>26</v>
      </c>
      <c r="K2882" s="57"/>
      <c r="L2882" s="31"/>
      <c r="M2882" s="31"/>
      <c r="N2882" s="31"/>
      <c r="O2882" s="31"/>
      <c r="S2882" s="57"/>
      <c r="X2882" s="57"/>
    </row>
    <row r="2883" spans="1:24" hidden="1" x14ac:dyDescent="0.35">
      <c r="A2883">
        <v>2879</v>
      </c>
      <c r="B2883">
        <v>2880</v>
      </c>
      <c r="C2883">
        <v>146.10397534699899</v>
      </c>
      <c r="D2883">
        <v>-17.646328045099899</v>
      </c>
      <c r="G2883" s="92"/>
      <c r="I2883">
        <v>8</v>
      </c>
      <c r="J2883" t="s">
        <v>26</v>
      </c>
      <c r="K2883" s="57"/>
      <c r="L2883" s="31"/>
      <c r="M2883" s="31"/>
      <c r="N2883" s="31"/>
      <c r="O2883" s="31"/>
      <c r="S2883" s="57"/>
      <c r="X2883" s="57"/>
    </row>
    <row r="2884" spans="1:24" hidden="1" x14ac:dyDescent="0.35">
      <c r="A2884">
        <v>2880</v>
      </c>
      <c r="B2884">
        <v>2881</v>
      </c>
      <c r="C2884">
        <v>146.10395033699899</v>
      </c>
      <c r="D2884">
        <v>-17.646246411700002</v>
      </c>
      <c r="G2884" s="92"/>
      <c r="I2884">
        <v>8</v>
      </c>
      <c r="J2884" t="s">
        <v>26</v>
      </c>
      <c r="K2884" s="57"/>
      <c r="L2884" s="31"/>
      <c r="M2884" s="31"/>
      <c r="N2884" s="31"/>
      <c r="O2884" s="31"/>
      <c r="S2884" s="57"/>
      <c r="X2884" s="57"/>
    </row>
    <row r="2885" spans="1:24" hidden="1" x14ac:dyDescent="0.35">
      <c r="A2885">
        <v>2881</v>
      </c>
      <c r="B2885">
        <v>2882</v>
      </c>
      <c r="C2885">
        <v>146.10391485599899</v>
      </c>
      <c r="D2885">
        <v>-17.646168777700002</v>
      </c>
      <c r="G2885" s="92"/>
      <c r="I2885">
        <v>8</v>
      </c>
      <c r="J2885" t="s">
        <v>26</v>
      </c>
      <c r="K2885" s="57"/>
      <c r="L2885" s="31"/>
      <c r="M2885" s="31"/>
      <c r="N2885" s="31"/>
      <c r="O2885" s="31"/>
      <c r="S2885" s="57"/>
      <c r="X2885" s="57"/>
    </row>
    <row r="2886" spans="1:24" hidden="1" x14ac:dyDescent="0.35">
      <c r="A2886">
        <v>2882</v>
      </c>
      <c r="B2886">
        <v>2883</v>
      </c>
      <c r="C2886">
        <v>146.103846621</v>
      </c>
      <c r="D2886">
        <v>-17.6461142213</v>
      </c>
      <c r="G2886" s="92"/>
      <c r="I2886">
        <v>8</v>
      </c>
      <c r="J2886" t="s">
        <v>26</v>
      </c>
      <c r="K2886" s="57"/>
      <c r="L2886" s="31"/>
      <c r="M2886" s="31"/>
      <c r="N2886" s="31"/>
      <c r="O2886" s="31"/>
      <c r="S2886" s="57"/>
      <c r="X2886" s="57"/>
    </row>
    <row r="2887" spans="1:24" hidden="1" x14ac:dyDescent="0.35">
      <c r="A2887">
        <v>2883</v>
      </c>
      <c r="B2887">
        <v>2884</v>
      </c>
      <c r="C2887">
        <v>146.10376656700001</v>
      </c>
      <c r="D2887">
        <v>-17.6460769607</v>
      </c>
      <c r="G2887" s="92"/>
      <c r="I2887">
        <v>8</v>
      </c>
      <c r="J2887" t="s">
        <v>26</v>
      </c>
      <c r="K2887" s="57"/>
      <c r="L2887" s="31"/>
      <c r="M2887" s="31"/>
      <c r="N2887" s="31"/>
      <c r="O2887" s="31"/>
      <c r="S2887" s="57"/>
      <c r="X2887" s="57"/>
    </row>
    <row r="2888" spans="1:24" hidden="1" x14ac:dyDescent="0.35">
      <c r="A2888">
        <v>2884</v>
      </c>
      <c r="B2888">
        <v>2885</v>
      </c>
      <c r="C2888">
        <v>146.103678586</v>
      </c>
      <c r="D2888">
        <v>-17.646059673500002</v>
      </c>
      <c r="G2888" s="92"/>
      <c r="I2888">
        <v>8</v>
      </c>
      <c r="J2888" t="s">
        <v>26</v>
      </c>
      <c r="K2888" s="57"/>
      <c r="L2888" s="31"/>
      <c r="M2888" s="31"/>
      <c r="N2888" s="31"/>
      <c r="O2888" s="31"/>
      <c r="S2888" s="57"/>
      <c r="X2888" s="57"/>
    </row>
    <row r="2889" spans="1:24" hidden="1" x14ac:dyDescent="0.35">
      <c r="A2889">
        <v>2885</v>
      </c>
      <c r="B2889">
        <v>2886</v>
      </c>
      <c r="C2889">
        <v>146.103590056999</v>
      </c>
      <c r="D2889">
        <v>-17.646045334299899</v>
      </c>
      <c r="G2889" s="92"/>
      <c r="I2889">
        <v>8</v>
      </c>
      <c r="J2889" t="s">
        <v>26</v>
      </c>
      <c r="K2889" s="57"/>
      <c r="L2889" s="31"/>
      <c r="M2889" s="31"/>
      <c r="N2889" s="31"/>
      <c r="O2889" s="31"/>
      <c r="S2889" s="57"/>
      <c r="X2889" s="57"/>
    </row>
    <row r="2890" spans="1:24" hidden="1" x14ac:dyDescent="0.35">
      <c r="A2890">
        <v>2886</v>
      </c>
      <c r="B2890">
        <v>2887</v>
      </c>
      <c r="C2890">
        <v>146.103501201</v>
      </c>
      <c r="D2890">
        <v>-17.646032751300002</v>
      </c>
      <c r="G2890" s="92"/>
      <c r="I2890">
        <v>8</v>
      </c>
      <c r="J2890" t="s">
        <v>26</v>
      </c>
      <c r="K2890" s="57"/>
      <c r="L2890" s="31"/>
      <c r="M2890" s="31"/>
      <c r="N2890" s="31"/>
      <c r="O2890" s="31"/>
      <c r="S2890" s="57"/>
      <c r="X2890" s="57"/>
    </row>
    <row r="2891" spans="1:24" hidden="1" x14ac:dyDescent="0.35">
      <c r="A2891">
        <v>2887</v>
      </c>
      <c r="B2891">
        <v>2888</v>
      </c>
      <c r="C2891">
        <v>146.10341196799899</v>
      </c>
      <c r="D2891">
        <v>-17.6460274087</v>
      </c>
      <c r="G2891" s="92"/>
      <c r="I2891">
        <v>8</v>
      </c>
      <c r="J2891" t="s">
        <v>26</v>
      </c>
      <c r="K2891" s="57"/>
      <c r="L2891" s="31"/>
      <c r="M2891" s="31"/>
      <c r="N2891" s="31"/>
      <c r="O2891" s="31"/>
      <c r="S2891" s="57"/>
      <c r="X2891" s="57"/>
    </row>
    <row r="2892" spans="1:24" hidden="1" x14ac:dyDescent="0.35">
      <c r="A2892">
        <v>2888</v>
      </c>
      <c r="B2892">
        <v>2889</v>
      </c>
      <c r="C2892">
        <v>146.10332224000001</v>
      </c>
      <c r="D2892">
        <v>-17.646031527600002</v>
      </c>
      <c r="G2892" s="92"/>
      <c r="I2892">
        <v>8</v>
      </c>
      <c r="J2892" t="s">
        <v>26</v>
      </c>
      <c r="K2892" s="57"/>
      <c r="L2892" s="31"/>
      <c r="M2892" s="31"/>
      <c r="N2892" s="31"/>
      <c r="O2892" s="31"/>
      <c r="S2892" s="57"/>
      <c r="X2892" s="57"/>
    </row>
    <row r="2893" spans="1:24" hidden="1" x14ac:dyDescent="0.35">
      <c r="A2893">
        <v>2889</v>
      </c>
      <c r="B2893">
        <v>2890</v>
      </c>
      <c r="C2893">
        <v>146.103232504999</v>
      </c>
      <c r="D2893">
        <v>-17.646035314799899</v>
      </c>
      <c r="G2893" s="92"/>
      <c r="I2893">
        <v>8</v>
      </c>
      <c r="J2893" t="s">
        <v>26</v>
      </c>
      <c r="K2893" s="57"/>
      <c r="L2893" s="31"/>
      <c r="M2893" s="31"/>
      <c r="N2893" s="31"/>
      <c r="O2893" s="31"/>
      <c r="S2893" s="57"/>
      <c r="X2893" s="57"/>
    </row>
    <row r="2894" spans="1:24" hidden="1" x14ac:dyDescent="0.35">
      <c r="A2894">
        <v>2890</v>
      </c>
      <c r="B2894">
        <v>2891</v>
      </c>
      <c r="C2894">
        <v>146.10314267499899</v>
      </c>
      <c r="D2894">
        <v>-17.646034905800001</v>
      </c>
      <c r="G2894" s="92"/>
      <c r="I2894">
        <v>8</v>
      </c>
      <c r="J2894" t="s">
        <v>26</v>
      </c>
      <c r="K2894" s="57"/>
      <c r="L2894" s="31"/>
      <c r="M2894" s="31"/>
      <c r="N2894" s="31"/>
      <c r="O2894" s="31"/>
      <c r="S2894" s="57"/>
      <c r="X2894" s="57"/>
    </row>
    <row r="2895" spans="1:24" hidden="1" x14ac:dyDescent="0.35">
      <c r="A2895">
        <v>2891</v>
      </c>
      <c r="B2895">
        <v>2892</v>
      </c>
      <c r="C2895">
        <v>146.103052843999</v>
      </c>
      <c r="D2895">
        <v>-17.6460344969</v>
      </c>
      <c r="G2895" s="92"/>
      <c r="I2895">
        <v>8</v>
      </c>
      <c r="J2895" t="s">
        <v>26</v>
      </c>
      <c r="K2895" s="57"/>
      <c r="L2895" s="31"/>
      <c r="M2895" s="31"/>
      <c r="N2895" s="31"/>
      <c r="O2895" s="31"/>
      <c r="S2895" s="57"/>
      <c r="X2895" s="57"/>
    </row>
    <row r="2896" spans="1:24" hidden="1" x14ac:dyDescent="0.35">
      <c r="A2896">
        <v>2892</v>
      </c>
      <c r="B2896">
        <v>2893</v>
      </c>
      <c r="C2896">
        <v>146.102963348999</v>
      </c>
      <c r="D2896">
        <v>-17.646029897399899</v>
      </c>
      <c r="G2896" s="92"/>
      <c r="I2896">
        <v>8</v>
      </c>
      <c r="J2896" t="s">
        <v>26</v>
      </c>
      <c r="K2896" s="57"/>
      <c r="L2896" s="31"/>
      <c r="M2896" s="31"/>
      <c r="N2896" s="31"/>
      <c r="O2896" s="31"/>
      <c r="S2896" s="57"/>
      <c r="X2896" s="57"/>
    </row>
    <row r="2897" spans="1:24" hidden="1" x14ac:dyDescent="0.35">
      <c r="A2897">
        <v>2893</v>
      </c>
      <c r="B2897">
        <v>2894</v>
      </c>
      <c r="C2897">
        <v>146.102874493</v>
      </c>
      <c r="D2897">
        <v>-17.646017314800002</v>
      </c>
      <c r="G2897" s="92"/>
      <c r="I2897">
        <v>8</v>
      </c>
      <c r="J2897" t="s">
        <v>26</v>
      </c>
      <c r="K2897" s="57"/>
      <c r="L2897" s="31"/>
      <c r="M2897" s="31"/>
      <c r="N2897" s="31"/>
      <c r="O2897" s="31"/>
      <c r="S2897" s="57"/>
      <c r="X2897" s="57"/>
    </row>
    <row r="2898" spans="1:24" hidden="1" x14ac:dyDescent="0.35">
      <c r="A2898">
        <v>2894</v>
      </c>
      <c r="B2898">
        <v>2895</v>
      </c>
      <c r="C2898">
        <v>146.102792741999</v>
      </c>
      <c r="D2898">
        <v>-17.645987757</v>
      </c>
      <c r="G2898" s="92"/>
      <c r="I2898">
        <v>8</v>
      </c>
      <c r="J2898" t="s">
        <v>26</v>
      </c>
      <c r="K2898" s="57"/>
      <c r="L2898" s="31"/>
      <c r="M2898" s="31"/>
      <c r="N2898" s="31"/>
      <c r="O2898" s="31"/>
      <c r="S2898" s="57"/>
      <c r="X2898" s="57"/>
    </row>
    <row r="2899" spans="1:24" hidden="1" x14ac:dyDescent="0.35">
      <c r="A2899">
        <v>2895</v>
      </c>
      <c r="B2899">
        <v>2896</v>
      </c>
      <c r="C2899">
        <v>146.102829503999</v>
      </c>
      <c r="D2899">
        <v>-17.645932106299899</v>
      </c>
      <c r="G2899" s="92"/>
      <c r="I2899">
        <v>8</v>
      </c>
      <c r="J2899" t="s">
        <v>26</v>
      </c>
      <c r="K2899" s="57"/>
      <c r="L2899" s="31"/>
      <c r="M2899" s="31"/>
      <c r="N2899" s="31"/>
      <c r="O2899" s="31"/>
      <c r="S2899" s="57"/>
      <c r="X2899" s="57"/>
    </row>
    <row r="2900" spans="1:24" hidden="1" x14ac:dyDescent="0.35">
      <c r="A2900">
        <v>2896</v>
      </c>
      <c r="B2900">
        <v>2897</v>
      </c>
      <c r="C2900">
        <v>146.102919151999</v>
      </c>
      <c r="D2900">
        <v>-17.645937571600001</v>
      </c>
      <c r="G2900" s="92"/>
      <c r="I2900">
        <v>8</v>
      </c>
      <c r="J2900" t="s">
        <v>26</v>
      </c>
      <c r="K2900" s="57"/>
      <c r="L2900" s="31"/>
      <c r="M2900" s="31"/>
      <c r="N2900" s="31"/>
      <c r="O2900" s="31"/>
      <c r="S2900" s="57"/>
      <c r="X2900" s="57"/>
    </row>
    <row r="2901" spans="1:24" hidden="1" x14ac:dyDescent="0.35">
      <c r="A2901">
        <v>2897</v>
      </c>
      <c r="B2901">
        <v>2898</v>
      </c>
      <c r="C2901">
        <v>146.103008977</v>
      </c>
      <c r="D2901">
        <v>-17.6459381397</v>
      </c>
      <c r="G2901" s="92"/>
      <c r="I2901">
        <v>8</v>
      </c>
      <c r="J2901" t="s">
        <v>26</v>
      </c>
      <c r="K2901" s="57"/>
      <c r="L2901" s="31"/>
      <c r="M2901" s="31"/>
      <c r="N2901" s="31"/>
      <c r="O2901" s="31"/>
      <c r="S2901" s="57"/>
      <c r="X2901" s="57"/>
    </row>
    <row r="2902" spans="1:24" hidden="1" x14ac:dyDescent="0.35">
      <c r="A2902">
        <v>2898</v>
      </c>
      <c r="B2902">
        <v>2899</v>
      </c>
      <c r="C2902">
        <v>146.103098807999</v>
      </c>
      <c r="D2902">
        <v>-17.645938548299899</v>
      </c>
      <c r="G2902" s="92"/>
      <c r="I2902">
        <v>8</v>
      </c>
      <c r="J2902" t="s">
        <v>26</v>
      </c>
      <c r="K2902" s="57"/>
      <c r="L2902" s="31"/>
      <c r="M2902" s="31"/>
      <c r="N2902" s="31"/>
      <c r="O2902" s="31"/>
      <c r="S2902" s="57"/>
      <c r="X2902" s="57"/>
    </row>
    <row r="2903" spans="1:24" hidden="1" x14ac:dyDescent="0.35">
      <c r="A2903">
        <v>2899</v>
      </c>
      <c r="B2903">
        <v>2900</v>
      </c>
      <c r="C2903">
        <v>146.103188547</v>
      </c>
      <c r="D2903">
        <v>-17.6459358597</v>
      </c>
      <c r="G2903" s="92"/>
      <c r="I2903">
        <v>8</v>
      </c>
      <c r="J2903" t="s">
        <v>26</v>
      </c>
      <c r="K2903" s="57"/>
      <c r="L2903" s="31"/>
      <c r="M2903" s="31"/>
      <c r="N2903" s="31"/>
      <c r="O2903" s="31"/>
      <c r="S2903" s="57"/>
      <c r="X2903" s="57"/>
    </row>
    <row r="2904" spans="1:24" hidden="1" x14ac:dyDescent="0.35">
      <c r="A2904">
        <v>2900</v>
      </c>
      <c r="B2904">
        <v>2901</v>
      </c>
      <c r="C2904">
        <v>146.10327821000001</v>
      </c>
      <c r="D2904">
        <v>-17.645930632199899</v>
      </c>
      <c r="G2904" s="92"/>
      <c r="I2904">
        <v>8</v>
      </c>
      <c r="J2904" t="s">
        <v>26</v>
      </c>
      <c r="K2904" s="57"/>
      <c r="L2904" s="31"/>
      <c r="M2904" s="31"/>
      <c r="N2904" s="31"/>
      <c r="O2904" s="31"/>
      <c r="S2904" s="57"/>
      <c r="X2904" s="57"/>
    </row>
    <row r="2905" spans="1:24" hidden="1" x14ac:dyDescent="0.35">
      <c r="A2905">
        <v>2901</v>
      </c>
      <c r="B2905">
        <v>2902</v>
      </c>
      <c r="C2905">
        <v>146.10336787400001</v>
      </c>
      <c r="D2905">
        <v>-17.645925404700002</v>
      </c>
      <c r="G2905" s="92"/>
      <c r="I2905">
        <v>8</v>
      </c>
      <c r="J2905" t="s">
        <v>26</v>
      </c>
      <c r="K2905" s="57"/>
      <c r="L2905" s="31"/>
      <c r="M2905" s="31"/>
      <c r="N2905" s="31"/>
      <c r="O2905" s="31"/>
      <c r="S2905" s="57"/>
      <c r="X2905" s="57"/>
    </row>
    <row r="2906" spans="1:24" hidden="1" x14ac:dyDescent="0.35">
      <c r="A2906">
        <v>2902</v>
      </c>
      <c r="B2906">
        <v>2903</v>
      </c>
      <c r="C2906">
        <v>146.10345753799899</v>
      </c>
      <c r="D2906">
        <v>-17.645920177200001</v>
      </c>
      <c r="G2906" s="92"/>
      <c r="I2906">
        <v>8</v>
      </c>
      <c r="J2906" t="s">
        <v>26</v>
      </c>
      <c r="K2906" s="57"/>
      <c r="L2906" s="31"/>
      <c r="M2906" s="31"/>
      <c r="N2906" s="31"/>
      <c r="O2906" s="31"/>
      <c r="S2906" s="57"/>
      <c r="X2906" s="57"/>
    </row>
    <row r="2907" spans="1:24" hidden="1" x14ac:dyDescent="0.35">
      <c r="A2907">
        <v>2903</v>
      </c>
      <c r="B2907">
        <v>2904</v>
      </c>
      <c r="C2907">
        <v>146.10354731499899</v>
      </c>
      <c r="D2907">
        <v>-17.645917589300002</v>
      </c>
      <c r="G2907" s="92"/>
      <c r="I2907">
        <v>8</v>
      </c>
      <c r="J2907" t="s">
        <v>26</v>
      </c>
      <c r="K2907" s="57"/>
      <c r="L2907" s="31"/>
      <c r="M2907" s="31"/>
      <c r="N2907" s="31"/>
      <c r="O2907" s="31"/>
      <c r="S2907" s="57"/>
      <c r="X2907" s="57"/>
    </row>
    <row r="2908" spans="1:24" hidden="1" x14ac:dyDescent="0.35">
      <c r="A2908">
        <v>2904</v>
      </c>
      <c r="B2908">
        <v>2905</v>
      </c>
      <c r="C2908">
        <v>146.103637128</v>
      </c>
      <c r="D2908">
        <v>-17.645915844800001</v>
      </c>
      <c r="G2908" s="92"/>
      <c r="I2908">
        <v>8</v>
      </c>
      <c r="J2908" t="s">
        <v>26</v>
      </c>
      <c r="K2908" s="57"/>
      <c r="L2908" s="31"/>
      <c r="M2908" s="31"/>
      <c r="N2908" s="31"/>
      <c r="O2908" s="31"/>
      <c r="S2908" s="57"/>
      <c r="X2908" s="57"/>
    </row>
    <row r="2909" spans="1:24" hidden="1" x14ac:dyDescent="0.35">
      <c r="A2909">
        <v>2905</v>
      </c>
      <c r="B2909">
        <v>2906</v>
      </c>
      <c r="C2909">
        <v>146.10372693599899</v>
      </c>
      <c r="D2909">
        <v>-17.645913902499899</v>
      </c>
      <c r="G2909" s="92"/>
      <c r="I2909">
        <v>8</v>
      </c>
      <c r="J2909" t="s">
        <v>26</v>
      </c>
      <c r="K2909" s="57"/>
      <c r="L2909" s="31"/>
      <c r="M2909" s="31"/>
      <c r="N2909" s="31"/>
      <c r="O2909" s="31"/>
      <c r="S2909" s="57"/>
      <c r="X2909" s="57"/>
    </row>
    <row r="2910" spans="1:24" hidden="1" x14ac:dyDescent="0.35">
      <c r="A2910">
        <v>2906</v>
      </c>
      <c r="B2910">
        <v>2907</v>
      </c>
      <c r="C2910">
        <v>146.10381673000001</v>
      </c>
      <c r="D2910">
        <v>-17.645911441300001</v>
      </c>
      <c r="G2910" s="92"/>
      <c r="I2910">
        <v>8</v>
      </c>
      <c r="J2910" t="s">
        <v>26</v>
      </c>
      <c r="K2910" s="57"/>
      <c r="L2910" s="31"/>
      <c r="M2910" s="31"/>
      <c r="N2910" s="31"/>
      <c r="O2910" s="31"/>
      <c r="S2910" s="57"/>
      <c r="X2910" s="57"/>
    </row>
    <row r="2911" spans="1:24" hidden="1" x14ac:dyDescent="0.35">
      <c r="A2911">
        <v>2907</v>
      </c>
      <c r="B2911">
        <v>2908</v>
      </c>
      <c r="C2911">
        <v>146.103906504999</v>
      </c>
      <c r="D2911">
        <v>-17.645911540699899</v>
      </c>
      <c r="G2911" s="92"/>
      <c r="I2911">
        <v>8</v>
      </c>
      <c r="J2911" t="s">
        <v>26</v>
      </c>
      <c r="K2911" s="57"/>
      <c r="L2911" s="31"/>
      <c r="M2911" s="31"/>
      <c r="N2911" s="31"/>
      <c r="O2911" s="31"/>
      <c r="S2911" s="57"/>
      <c r="X2911" s="57"/>
    </row>
    <row r="2912" spans="1:24" hidden="1" x14ac:dyDescent="0.35">
      <c r="A2912">
        <v>2908</v>
      </c>
      <c r="B2912">
        <v>2909</v>
      </c>
      <c r="C2912">
        <v>146.10399625100001</v>
      </c>
      <c r="D2912">
        <v>-17.645915259300001</v>
      </c>
      <c r="G2912" s="92"/>
      <c r="I2912">
        <v>8</v>
      </c>
      <c r="J2912" t="s">
        <v>26</v>
      </c>
      <c r="K2912" s="57"/>
      <c r="L2912" s="31"/>
      <c r="M2912" s="31"/>
      <c r="N2912" s="31"/>
      <c r="O2912" s="31"/>
      <c r="S2912" s="57"/>
      <c r="X2912" s="57"/>
    </row>
    <row r="2913" spans="1:24" hidden="1" x14ac:dyDescent="0.35">
      <c r="A2913">
        <v>2909</v>
      </c>
      <c r="B2913">
        <v>2910</v>
      </c>
      <c r="C2913">
        <v>146.104082105999</v>
      </c>
      <c r="D2913">
        <v>-17.645894000599899</v>
      </c>
      <c r="G2913" s="92"/>
      <c r="I2913">
        <v>8</v>
      </c>
      <c r="J2913" t="s">
        <v>26</v>
      </c>
      <c r="K2913" s="57"/>
      <c r="L2913" s="31"/>
      <c r="M2913" s="31"/>
      <c r="N2913" s="31"/>
      <c r="O2913" s="31"/>
      <c r="S2913" s="57"/>
      <c r="X2913" s="57"/>
    </row>
    <row r="2914" spans="1:24" hidden="1" x14ac:dyDescent="0.35">
      <c r="A2914">
        <v>2910</v>
      </c>
      <c r="B2914">
        <v>2911</v>
      </c>
      <c r="C2914">
        <v>146.104141110999</v>
      </c>
      <c r="D2914">
        <v>-17.6458302719</v>
      </c>
      <c r="G2914" s="92"/>
      <c r="I2914">
        <v>8</v>
      </c>
      <c r="J2914" t="s">
        <v>26</v>
      </c>
      <c r="K2914" s="57"/>
      <c r="L2914" s="31"/>
      <c r="M2914" s="31"/>
      <c r="N2914" s="31"/>
      <c r="O2914" s="31"/>
      <c r="S2914" s="57"/>
      <c r="X2914" s="57"/>
    </row>
    <row r="2915" spans="1:24" hidden="1" x14ac:dyDescent="0.35">
      <c r="A2915">
        <v>2911</v>
      </c>
      <c r="B2915">
        <v>2912</v>
      </c>
      <c r="C2915">
        <v>146.104184067999</v>
      </c>
      <c r="D2915">
        <v>-17.6457550891</v>
      </c>
      <c r="G2915" s="92"/>
      <c r="I2915">
        <v>8</v>
      </c>
      <c r="J2915" t="s">
        <v>26</v>
      </c>
      <c r="K2915" s="57"/>
      <c r="L2915" s="31"/>
      <c r="M2915" s="31"/>
      <c r="N2915" s="31"/>
      <c r="O2915" s="31"/>
      <c r="S2915" s="57"/>
      <c r="X2915" s="57"/>
    </row>
    <row r="2916" spans="1:24" hidden="1" x14ac:dyDescent="0.35">
      <c r="A2916">
        <v>2912</v>
      </c>
      <c r="B2916">
        <v>2913</v>
      </c>
      <c r="C2916">
        <v>146.104220738999</v>
      </c>
      <c r="D2916">
        <v>-17.6456771946999</v>
      </c>
      <c r="G2916" s="92"/>
      <c r="I2916">
        <v>8</v>
      </c>
      <c r="J2916" t="s">
        <v>26</v>
      </c>
      <c r="K2916" s="57"/>
      <c r="L2916" s="31"/>
      <c r="M2916" s="31"/>
      <c r="N2916" s="31"/>
      <c r="O2916" s="31"/>
      <c r="S2916" s="57"/>
      <c r="X2916" s="57"/>
    </row>
    <row r="2917" spans="1:24" hidden="1" x14ac:dyDescent="0.35">
      <c r="A2917">
        <v>2913</v>
      </c>
      <c r="B2917">
        <v>2914</v>
      </c>
      <c r="C2917">
        <v>146.10425167099899</v>
      </c>
      <c r="D2917">
        <v>-17.6455968249</v>
      </c>
      <c r="G2917" s="92"/>
      <c r="I2917">
        <v>8</v>
      </c>
      <c r="J2917" t="s">
        <v>26</v>
      </c>
      <c r="K2917" s="57"/>
      <c r="L2917" s="31"/>
      <c r="M2917" s="31"/>
      <c r="N2917" s="31"/>
      <c r="O2917" s="31"/>
      <c r="S2917" s="57"/>
      <c r="X2917" s="57"/>
    </row>
    <row r="2918" spans="1:24" hidden="1" x14ac:dyDescent="0.35">
      <c r="A2918">
        <v>2914</v>
      </c>
      <c r="B2918">
        <v>2915</v>
      </c>
      <c r="C2918">
        <v>146.104282603999</v>
      </c>
      <c r="D2918">
        <v>-17.645516455100001</v>
      </c>
      <c r="G2918" s="92"/>
      <c r="I2918">
        <v>8</v>
      </c>
      <c r="J2918" t="s">
        <v>26</v>
      </c>
      <c r="K2918" s="57"/>
      <c r="L2918" s="31"/>
      <c r="M2918" s="31"/>
      <c r="N2918" s="31"/>
      <c r="O2918" s="31"/>
      <c r="S2918" s="57"/>
      <c r="X2918" s="57"/>
    </row>
    <row r="2919" spans="1:24" hidden="1" x14ac:dyDescent="0.35">
      <c r="A2919">
        <v>2915</v>
      </c>
      <c r="B2919">
        <v>2916</v>
      </c>
      <c r="C2919">
        <v>146.10430832700001</v>
      </c>
      <c r="D2919">
        <v>-17.645434543099899</v>
      </c>
      <c r="G2919" s="92"/>
      <c r="I2919">
        <v>8</v>
      </c>
      <c r="J2919" t="s">
        <v>26</v>
      </c>
      <c r="K2919" s="57"/>
      <c r="L2919" s="31"/>
      <c r="M2919" s="31"/>
      <c r="N2919" s="31"/>
      <c r="O2919" s="31"/>
      <c r="S2919" s="57"/>
      <c r="X2919" s="57"/>
    </row>
    <row r="2920" spans="1:24" hidden="1" x14ac:dyDescent="0.35">
      <c r="A2920">
        <v>2916</v>
      </c>
      <c r="B2920">
        <v>2917</v>
      </c>
      <c r="C2920">
        <v>146.10433062300001</v>
      </c>
      <c r="D2920">
        <v>-17.645351616700001</v>
      </c>
      <c r="G2920" s="92"/>
      <c r="I2920">
        <v>8</v>
      </c>
      <c r="J2920" t="s">
        <v>26</v>
      </c>
      <c r="K2920" s="57"/>
      <c r="L2920" s="31"/>
      <c r="M2920" s="31"/>
      <c r="N2920" s="31"/>
      <c r="O2920" s="31"/>
      <c r="S2920" s="57"/>
      <c r="X2920" s="57"/>
    </row>
    <row r="2921" spans="1:24" hidden="1" x14ac:dyDescent="0.35">
      <c r="A2921">
        <v>2917</v>
      </c>
      <c r="B2921">
        <v>2918</v>
      </c>
      <c r="C2921">
        <v>146.10435291900001</v>
      </c>
      <c r="D2921">
        <v>-17.6452686903</v>
      </c>
      <c r="G2921" s="92"/>
      <c r="I2921">
        <v>8</v>
      </c>
      <c r="J2921" t="s">
        <v>26</v>
      </c>
      <c r="K2921" s="57"/>
      <c r="L2921" s="31"/>
      <c r="M2921" s="31"/>
      <c r="N2921" s="31"/>
      <c r="O2921" s="31"/>
      <c r="S2921" s="57"/>
      <c r="X2921" s="57"/>
    </row>
    <row r="2922" spans="1:24" hidden="1" x14ac:dyDescent="0.35">
      <c r="A2922">
        <v>2918</v>
      </c>
      <c r="B2922">
        <v>2919</v>
      </c>
      <c r="C2922">
        <v>146.104375215</v>
      </c>
      <c r="D2922">
        <v>-17.645185763800001</v>
      </c>
      <c r="G2922" s="92"/>
      <c r="I2922">
        <v>8</v>
      </c>
      <c r="J2922" t="s">
        <v>26</v>
      </c>
      <c r="K2922" s="57"/>
      <c r="L2922" s="31"/>
      <c r="M2922" s="31"/>
      <c r="N2922" s="31"/>
      <c r="O2922" s="31"/>
      <c r="S2922" s="57"/>
      <c r="X2922" s="57"/>
    </row>
    <row r="2923" spans="1:24" hidden="1" x14ac:dyDescent="0.35">
      <c r="A2923">
        <v>2919</v>
      </c>
      <c r="B2923">
        <v>2920</v>
      </c>
      <c r="C2923">
        <v>146.104397511</v>
      </c>
      <c r="D2923">
        <v>-17.645102837300001</v>
      </c>
      <c r="G2923" s="92"/>
      <c r="I2923">
        <v>8</v>
      </c>
      <c r="J2923" t="s">
        <v>26</v>
      </c>
      <c r="K2923" s="57"/>
      <c r="L2923" s="31"/>
      <c r="M2923" s="31"/>
      <c r="N2923" s="31"/>
      <c r="O2923" s="31"/>
      <c r="S2923" s="57"/>
      <c r="X2923" s="57"/>
    </row>
    <row r="2924" spans="1:24" hidden="1" x14ac:dyDescent="0.35">
      <c r="A2924">
        <v>2920</v>
      </c>
      <c r="B2924">
        <v>2921</v>
      </c>
      <c r="C2924">
        <v>146.104419806999</v>
      </c>
      <c r="D2924">
        <v>-17.645019910799899</v>
      </c>
      <c r="G2924" s="92"/>
      <c r="I2924">
        <v>8</v>
      </c>
      <c r="J2924" t="s">
        <v>26</v>
      </c>
      <c r="K2924" s="57"/>
      <c r="L2924" s="31"/>
      <c r="M2924" s="31"/>
      <c r="N2924" s="31"/>
      <c r="O2924" s="31"/>
      <c r="S2924" s="57"/>
      <c r="X2924" s="57"/>
    </row>
    <row r="2925" spans="1:24" hidden="1" x14ac:dyDescent="0.35">
      <c r="A2925">
        <v>2921</v>
      </c>
      <c r="B2925">
        <v>2922</v>
      </c>
      <c r="C2925">
        <v>146.104423588999</v>
      </c>
      <c r="D2925">
        <v>-17.644935005200001</v>
      </c>
      <c r="G2925" s="92"/>
      <c r="I2925">
        <v>8</v>
      </c>
      <c r="J2925" t="s">
        <v>26</v>
      </c>
      <c r="K2925" s="57"/>
      <c r="L2925" s="31"/>
      <c r="M2925" s="31"/>
      <c r="N2925" s="31"/>
      <c r="O2925" s="31"/>
      <c r="S2925" s="57"/>
      <c r="X2925" s="57"/>
    </row>
    <row r="2926" spans="1:24" hidden="1" x14ac:dyDescent="0.35">
      <c r="A2926">
        <v>2922</v>
      </c>
      <c r="B2926">
        <v>2923</v>
      </c>
      <c r="C2926">
        <v>146.10442113299899</v>
      </c>
      <c r="D2926">
        <v>-17.6448494318999</v>
      </c>
      <c r="G2926" s="92"/>
      <c r="I2926">
        <v>8</v>
      </c>
      <c r="J2926" t="s">
        <v>26</v>
      </c>
      <c r="K2926" s="57"/>
      <c r="L2926" s="31"/>
      <c r="M2926" s="31"/>
      <c r="N2926" s="31"/>
      <c r="O2926" s="31"/>
      <c r="S2926" s="57"/>
      <c r="X2926" s="57"/>
    </row>
    <row r="2927" spans="1:24" hidden="1" x14ac:dyDescent="0.35">
      <c r="A2927">
        <v>2923</v>
      </c>
      <c r="B2927">
        <v>2924</v>
      </c>
      <c r="C2927">
        <v>146.10441867700001</v>
      </c>
      <c r="D2927">
        <v>-17.644763858600001</v>
      </c>
      <c r="G2927" s="92"/>
      <c r="I2927">
        <v>8</v>
      </c>
      <c r="J2927" t="s">
        <v>26</v>
      </c>
      <c r="K2927" s="57"/>
      <c r="L2927" s="31"/>
      <c r="M2927" s="31"/>
      <c r="N2927" s="31"/>
      <c r="O2927" s="31"/>
      <c r="S2927" s="57"/>
      <c r="X2927" s="57"/>
    </row>
    <row r="2928" spans="1:24" hidden="1" x14ac:dyDescent="0.35">
      <c r="A2928">
        <v>2924</v>
      </c>
      <c r="B2928">
        <v>2925</v>
      </c>
      <c r="C2928">
        <v>146.10441622100001</v>
      </c>
      <c r="D2928">
        <v>-17.6446782852999</v>
      </c>
      <c r="G2928" s="92"/>
      <c r="I2928">
        <v>8</v>
      </c>
      <c r="J2928" t="s">
        <v>26</v>
      </c>
      <c r="K2928" s="57"/>
      <c r="L2928" s="31"/>
      <c r="M2928" s="31"/>
      <c r="N2928" s="31"/>
      <c r="O2928" s="31"/>
      <c r="S2928" s="57"/>
      <c r="X2928" s="57"/>
    </row>
    <row r="2929" spans="1:24" hidden="1" x14ac:dyDescent="0.35">
      <c r="A2929">
        <v>2925</v>
      </c>
      <c r="B2929">
        <v>2926</v>
      </c>
      <c r="C2929">
        <v>146.104400542999</v>
      </c>
      <c r="D2929">
        <v>-17.6445941275</v>
      </c>
      <c r="G2929" s="92"/>
      <c r="I2929">
        <v>8</v>
      </c>
      <c r="J2929" t="s">
        <v>26</v>
      </c>
      <c r="K2929" s="57"/>
      <c r="L2929" s="31"/>
      <c r="M2929" s="31"/>
      <c r="N2929" s="31"/>
      <c r="O2929" s="31"/>
      <c r="S2929" s="57"/>
      <c r="X2929" s="57"/>
    </row>
    <row r="2930" spans="1:24" hidden="1" x14ac:dyDescent="0.35">
      <c r="A2930">
        <v>2926</v>
      </c>
      <c r="B2930">
        <v>2927</v>
      </c>
      <c r="C2930">
        <v>146.104383012</v>
      </c>
      <c r="D2930">
        <v>-17.644510168</v>
      </c>
      <c r="G2930" s="92"/>
      <c r="I2930">
        <v>8</v>
      </c>
      <c r="J2930" t="s">
        <v>26</v>
      </c>
      <c r="K2930" s="57"/>
      <c r="L2930" s="31"/>
      <c r="M2930" s="31"/>
      <c r="N2930" s="31"/>
      <c r="O2930" s="31"/>
      <c r="S2930" s="57"/>
      <c r="X2930" s="57"/>
    </row>
    <row r="2931" spans="1:24" hidden="1" x14ac:dyDescent="0.35">
      <c r="A2931">
        <v>2927</v>
      </c>
      <c r="B2931">
        <v>2928</v>
      </c>
      <c r="C2931">
        <v>146.104365481999</v>
      </c>
      <c r="D2931">
        <v>-17.644426208399899</v>
      </c>
      <c r="G2931" s="92"/>
      <c r="I2931">
        <v>8</v>
      </c>
      <c r="J2931" t="s">
        <v>26</v>
      </c>
      <c r="K2931" s="57"/>
      <c r="L2931" s="31"/>
      <c r="M2931" s="31"/>
      <c r="N2931" s="31"/>
      <c r="O2931" s="31"/>
      <c r="S2931" s="57"/>
      <c r="X2931" s="57"/>
    </row>
    <row r="2932" spans="1:24" hidden="1" x14ac:dyDescent="0.35">
      <c r="A2932">
        <v>2928</v>
      </c>
      <c r="B2932">
        <v>2929</v>
      </c>
      <c r="C2932">
        <v>146.104347950999</v>
      </c>
      <c r="D2932">
        <v>-17.644342248800001</v>
      </c>
      <c r="G2932" s="92"/>
      <c r="I2932">
        <v>8</v>
      </c>
      <c r="J2932" t="s">
        <v>26</v>
      </c>
      <c r="K2932" s="57"/>
      <c r="L2932" s="31"/>
      <c r="M2932" s="31"/>
      <c r="N2932" s="31"/>
      <c r="O2932" s="31"/>
      <c r="S2932" s="57"/>
      <c r="X2932" s="57"/>
    </row>
    <row r="2933" spans="1:24" hidden="1" x14ac:dyDescent="0.35">
      <c r="A2933">
        <v>2929</v>
      </c>
      <c r="B2933">
        <v>2930</v>
      </c>
      <c r="C2933">
        <v>146.10433042099899</v>
      </c>
      <c r="D2933">
        <v>-17.644258289100001</v>
      </c>
      <c r="G2933" s="92"/>
      <c r="I2933">
        <v>8</v>
      </c>
      <c r="J2933" t="s">
        <v>26</v>
      </c>
      <c r="K2933" s="57"/>
      <c r="L2933" s="31"/>
      <c r="M2933" s="31"/>
      <c r="N2933" s="31"/>
      <c r="O2933" s="31"/>
      <c r="S2933" s="57"/>
      <c r="X2933" s="57"/>
    </row>
    <row r="2934" spans="1:24" hidden="1" x14ac:dyDescent="0.35">
      <c r="A2934">
        <v>2930</v>
      </c>
      <c r="B2934">
        <v>2931</v>
      </c>
      <c r="C2934">
        <v>146.104304565999</v>
      </c>
      <c r="D2934">
        <v>-17.6441763465</v>
      </c>
      <c r="G2934" s="92"/>
      <c r="I2934">
        <v>8</v>
      </c>
      <c r="J2934" t="s">
        <v>26</v>
      </c>
      <c r="K2934" s="57"/>
      <c r="L2934" s="31"/>
      <c r="M2934" s="31"/>
      <c r="N2934" s="31"/>
      <c r="O2934" s="31"/>
      <c r="S2934" s="57"/>
      <c r="X2934" s="57"/>
    </row>
    <row r="2935" spans="1:24" hidden="1" x14ac:dyDescent="0.35">
      <c r="A2935">
        <v>2931</v>
      </c>
      <c r="B2935">
        <v>2932</v>
      </c>
      <c r="C2935">
        <v>146.10427788300001</v>
      </c>
      <c r="D2935">
        <v>-17.644094604300001</v>
      </c>
      <c r="G2935" s="92"/>
      <c r="I2935">
        <v>8</v>
      </c>
      <c r="J2935" t="s">
        <v>26</v>
      </c>
      <c r="K2935" s="57"/>
      <c r="L2935" s="31"/>
      <c r="M2935" s="31"/>
      <c r="N2935" s="31"/>
      <c r="O2935" s="31"/>
      <c r="S2935" s="57"/>
      <c r="X2935" s="57"/>
    </row>
    <row r="2936" spans="1:24" hidden="1" x14ac:dyDescent="0.35">
      <c r="A2936">
        <v>2932</v>
      </c>
      <c r="B2936">
        <v>2933</v>
      </c>
      <c r="C2936">
        <v>146.10425120100001</v>
      </c>
      <c r="D2936">
        <v>-17.6440128622</v>
      </c>
      <c r="G2936" s="92"/>
      <c r="I2936">
        <v>8</v>
      </c>
      <c r="J2936" t="s">
        <v>26</v>
      </c>
      <c r="K2936" s="57"/>
      <c r="L2936" s="31"/>
      <c r="M2936" s="31"/>
      <c r="N2936" s="31"/>
      <c r="O2936" s="31"/>
      <c r="S2936" s="57"/>
      <c r="X2936" s="57"/>
    </row>
    <row r="2937" spans="1:24" hidden="1" x14ac:dyDescent="0.35">
      <c r="A2937">
        <v>2933</v>
      </c>
      <c r="B2937">
        <v>2934</v>
      </c>
      <c r="C2937">
        <v>146.104224517999</v>
      </c>
      <c r="D2937">
        <v>-17.643931120000001</v>
      </c>
      <c r="G2937" s="92"/>
      <c r="I2937">
        <v>8</v>
      </c>
      <c r="J2937" t="s">
        <v>26</v>
      </c>
      <c r="K2937" s="57"/>
      <c r="L2937" s="31"/>
      <c r="M2937" s="31"/>
      <c r="N2937" s="31"/>
      <c r="O2937" s="31"/>
      <c r="S2937" s="57"/>
      <c r="X2937" s="57"/>
    </row>
    <row r="2938" spans="1:24" hidden="1" x14ac:dyDescent="0.35">
      <c r="A2938">
        <v>2934</v>
      </c>
      <c r="B2938">
        <v>2935</v>
      </c>
      <c r="C2938">
        <v>146.104197835999</v>
      </c>
      <c r="D2938">
        <v>-17.643849377700001</v>
      </c>
      <c r="G2938" s="92"/>
      <c r="I2938">
        <v>8</v>
      </c>
      <c r="J2938" t="s">
        <v>26</v>
      </c>
      <c r="K2938" s="57"/>
      <c r="L2938" s="31"/>
      <c r="M2938" s="31"/>
      <c r="N2938" s="31"/>
      <c r="O2938" s="31"/>
      <c r="S2938" s="57"/>
      <c r="X2938" s="57"/>
    </row>
    <row r="2939" spans="1:24" hidden="1" x14ac:dyDescent="0.35">
      <c r="A2939">
        <v>2935</v>
      </c>
      <c r="B2939">
        <v>2936</v>
      </c>
      <c r="C2939">
        <v>146.10416930700001</v>
      </c>
      <c r="D2939">
        <v>-17.643768328699899</v>
      </c>
      <c r="G2939" s="92"/>
      <c r="I2939">
        <v>8</v>
      </c>
      <c r="J2939" t="s">
        <v>26</v>
      </c>
      <c r="K2939" s="57"/>
      <c r="L2939" s="31"/>
      <c r="M2939" s="31"/>
      <c r="N2939" s="31"/>
      <c r="O2939" s="31"/>
      <c r="S2939" s="57"/>
      <c r="X2939" s="57"/>
    </row>
    <row r="2940" spans="1:24" hidden="1" x14ac:dyDescent="0.35">
      <c r="A2940">
        <v>2936</v>
      </c>
      <c r="B2940">
        <v>2937</v>
      </c>
      <c r="C2940">
        <v>146.104130306999</v>
      </c>
      <c r="D2940">
        <v>-17.643691211099899</v>
      </c>
      <c r="G2940" s="92"/>
      <c r="I2940">
        <v>8</v>
      </c>
      <c r="J2940" t="s">
        <v>26</v>
      </c>
      <c r="K2940" s="57"/>
      <c r="L2940" s="31"/>
      <c r="M2940" s="31"/>
      <c r="N2940" s="31"/>
      <c r="O2940" s="31"/>
      <c r="S2940" s="57"/>
      <c r="X2940" s="57"/>
    </row>
    <row r="2941" spans="1:24" hidden="1" x14ac:dyDescent="0.35">
      <c r="A2941">
        <v>2937</v>
      </c>
      <c r="B2941">
        <v>2938</v>
      </c>
      <c r="C2941">
        <v>146.104091307999</v>
      </c>
      <c r="D2941">
        <v>-17.6436140934</v>
      </c>
      <c r="G2941" s="92"/>
      <c r="I2941">
        <v>8</v>
      </c>
      <c r="J2941" t="s">
        <v>26</v>
      </c>
      <c r="K2941" s="57"/>
      <c r="L2941" s="31"/>
      <c r="M2941" s="31"/>
      <c r="N2941" s="31"/>
      <c r="O2941" s="31"/>
      <c r="S2941" s="57"/>
      <c r="X2941" s="57"/>
    </row>
    <row r="2942" spans="1:24" hidden="1" x14ac:dyDescent="0.35">
      <c r="A2942">
        <v>2938</v>
      </c>
      <c r="B2942">
        <v>2939</v>
      </c>
      <c r="C2942">
        <v>146.104052308999</v>
      </c>
      <c r="D2942">
        <v>-17.643536975699899</v>
      </c>
      <c r="G2942" s="92"/>
      <c r="I2942">
        <v>8</v>
      </c>
      <c r="J2942" t="s">
        <v>26</v>
      </c>
      <c r="K2942" s="57"/>
      <c r="L2942" s="31"/>
      <c r="M2942" s="31"/>
      <c r="N2942" s="31"/>
      <c r="O2942" s="31"/>
      <c r="S2942" s="57"/>
      <c r="X2942" s="57"/>
    </row>
    <row r="2943" spans="1:24" hidden="1" x14ac:dyDescent="0.35">
      <c r="A2943">
        <v>2939</v>
      </c>
      <c r="B2943">
        <v>2940</v>
      </c>
      <c r="C2943">
        <v>146.10401330900001</v>
      </c>
      <c r="D2943">
        <v>-17.643459858</v>
      </c>
      <c r="G2943" s="92"/>
      <c r="I2943">
        <v>8</v>
      </c>
      <c r="J2943" t="s">
        <v>26</v>
      </c>
      <c r="K2943" s="57"/>
      <c r="L2943" s="31"/>
      <c r="M2943" s="31"/>
      <c r="N2943" s="31"/>
      <c r="O2943" s="31"/>
      <c r="S2943" s="57"/>
      <c r="X2943" s="57"/>
    </row>
    <row r="2944" spans="1:24" hidden="1" x14ac:dyDescent="0.35">
      <c r="A2944">
        <v>2940</v>
      </c>
      <c r="B2944">
        <v>2941</v>
      </c>
      <c r="C2944">
        <v>146.10397431000001</v>
      </c>
      <c r="D2944">
        <v>-17.643382740300002</v>
      </c>
      <c r="G2944" s="92"/>
      <c r="I2944">
        <v>8</v>
      </c>
      <c r="J2944" t="s">
        <v>26</v>
      </c>
      <c r="K2944" s="57"/>
      <c r="L2944" s="31"/>
      <c r="M2944" s="31"/>
      <c r="N2944" s="31"/>
      <c r="O2944" s="31"/>
      <c r="S2944" s="57"/>
      <c r="X2944" s="57"/>
    </row>
    <row r="2945" spans="1:24" hidden="1" x14ac:dyDescent="0.35">
      <c r="A2945">
        <v>2941</v>
      </c>
      <c r="B2945">
        <v>2942</v>
      </c>
      <c r="C2945">
        <v>146.103935309999</v>
      </c>
      <c r="D2945">
        <v>-17.643305622500002</v>
      </c>
      <c r="G2945" s="92"/>
      <c r="I2945">
        <v>8</v>
      </c>
      <c r="J2945" t="s">
        <v>26</v>
      </c>
      <c r="K2945" s="57"/>
      <c r="L2945" s="31"/>
      <c r="M2945" s="31"/>
      <c r="N2945" s="31"/>
      <c r="O2945" s="31"/>
      <c r="S2945" s="57"/>
      <c r="X2945" s="57"/>
    </row>
    <row r="2946" spans="1:24" hidden="1" x14ac:dyDescent="0.35">
      <c r="A2946">
        <v>2942</v>
      </c>
      <c r="B2946">
        <v>2943</v>
      </c>
      <c r="C2946">
        <v>146.103896311</v>
      </c>
      <c r="D2946">
        <v>-17.643228504700001</v>
      </c>
      <c r="G2946" s="92"/>
      <c r="I2946">
        <v>8</v>
      </c>
      <c r="J2946" t="s">
        <v>26</v>
      </c>
      <c r="K2946" s="57"/>
      <c r="L2946" s="31"/>
      <c r="M2946" s="31"/>
      <c r="N2946" s="31"/>
      <c r="O2946" s="31"/>
      <c r="S2946" s="57"/>
      <c r="X2946" s="57"/>
    </row>
    <row r="2947" spans="1:24" hidden="1" x14ac:dyDescent="0.35">
      <c r="A2947">
        <v>2943</v>
      </c>
      <c r="B2947">
        <v>2944</v>
      </c>
      <c r="C2947">
        <v>146.10385937000001</v>
      </c>
      <c r="D2947">
        <v>-17.6431504876</v>
      </c>
      <c r="G2947" s="92"/>
      <c r="I2947">
        <v>8</v>
      </c>
      <c r="J2947" t="s">
        <v>26</v>
      </c>
      <c r="K2947" s="57"/>
      <c r="L2947" s="31"/>
      <c r="M2947" s="31"/>
      <c r="N2947" s="31"/>
      <c r="O2947" s="31"/>
      <c r="S2947" s="57"/>
      <c r="X2947" s="57"/>
    </row>
    <row r="2948" spans="1:24" hidden="1" x14ac:dyDescent="0.35">
      <c r="A2948">
        <v>2944</v>
      </c>
      <c r="B2948">
        <v>2945</v>
      </c>
      <c r="C2948">
        <v>146.10382353200001</v>
      </c>
      <c r="D2948">
        <v>-17.643071989100001</v>
      </c>
      <c r="G2948" s="92"/>
      <c r="I2948">
        <v>8</v>
      </c>
      <c r="J2948" t="s">
        <v>26</v>
      </c>
      <c r="K2948" s="57"/>
      <c r="L2948" s="31"/>
      <c r="M2948" s="31"/>
      <c r="N2948" s="31"/>
      <c r="O2948" s="31"/>
      <c r="S2948" s="57"/>
      <c r="X2948" s="57"/>
    </row>
    <row r="2949" spans="1:24" hidden="1" x14ac:dyDescent="0.35">
      <c r="A2949">
        <v>2945</v>
      </c>
      <c r="B2949">
        <v>2946</v>
      </c>
      <c r="C2949">
        <v>146.103787694</v>
      </c>
      <c r="D2949">
        <v>-17.642993490599899</v>
      </c>
      <c r="G2949" s="92"/>
      <c r="I2949">
        <v>8</v>
      </c>
      <c r="J2949" t="s">
        <v>26</v>
      </c>
      <c r="K2949" s="57"/>
      <c r="L2949" s="31"/>
      <c r="M2949" s="31"/>
      <c r="N2949" s="31"/>
      <c r="O2949" s="31"/>
      <c r="S2949" s="57"/>
      <c r="X2949" s="57"/>
    </row>
    <row r="2950" spans="1:24" hidden="1" x14ac:dyDescent="0.35">
      <c r="A2950">
        <v>2946</v>
      </c>
      <c r="B2950">
        <v>2947</v>
      </c>
      <c r="C2950">
        <v>146.103751856</v>
      </c>
      <c r="D2950">
        <v>-17.642914992000001</v>
      </c>
      <c r="G2950" s="92"/>
      <c r="I2950">
        <v>8</v>
      </c>
      <c r="J2950" t="s">
        <v>26</v>
      </c>
      <c r="K2950" s="57"/>
      <c r="L2950" s="31"/>
      <c r="M2950" s="31"/>
      <c r="N2950" s="31"/>
      <c r="O2950" s="31"/>
      <c r="S2950" s="57"/>
      <c r="X2950" s="57"/>
    </row>
    <row r="2951" spans="1:24" hidden="1" x14ac:dyDescent="0.35">
      <c r="A2951">
        <v>2947</v>
      </c>
      <c r="B2951">
        <v>2948</v>
      </c>
      <c r="C2951">
        <v>146.103716018</v>
      </c>
      <c r="D2951">
        <v>-17.642836493400001</v>
      </c>
      <c r="G2951" s="92"/>
      <c r="I2951">
        <v>8</v>
      </c>
      <c r="J2951" t="s">
        <v>26</v>
      </c>
      <c r="K2951" s="57"/>
      <c r="L2951" s="31"/>
      <c r="M2951" s="31"/>
      <c r="N2951" s="31"/>
      <c r="O2951" s="31"/>
      <c r="S2951" s="57"/>
      <c r="X2951" s="57"/>
    </row>
    <row r="2952" spans="1:24" hidden="1" x14ac:dyDescent="0.35">
      <c r="A2952">
        <v>2948</v>
      </c>
      <c r="B2952">
        <v>2949</v>
      </c>
      <c r="C2952">
        <v>146.10368017900001</v>
      </c>
      <c r="D2952">
        <v>-17.6427579948</v>
      </c>
      <c r="G2952" s="92"/>
      <c r="I2952">
        <v>8</v>
      </c>
      <c r="J2952" t="s">
        <v>26</v>
      </c>
      <c r="K2952" s="57"/>
      <c r="L2952" s="31"/>
      <c r="M2952" s="31"/>
      <c r="N2952" s="31"/>
      <c r="O2952" s="31"/>
      <c r="S2952" s="57"/>
      <c r="X2952" s="57"/>
    </row>
    <row r="2953" spans="1:24" hidden="1" x14ac:dyDescent="0.35">
      <c r="A2953">
        <v>2949</v>
      </c>
      <c r="B2953">
        <v>2950</v>
      </c>
      <c r="C2953">
        <v>146.10364434100001</v>
      </c>
      <c r="D2953">
        <v>-17.642679496100001</v>
      </c>
      <c r="G2953" s="92"/>
      <c r="I2953">
        <v>8</v>
      </c>
      <c r="J2953" t="s">
        <v>26</v>
      </c>
      <c r="K2953" s="57"/>
      <c r="L2953" s="31"/>
      <c r="M2953" s="31"/>
      <c r="N2953" s="31"/>
      <c r="O2953" s="31"/>
      <c r="S2953" s="57"/>
      <c r="X2953" s="57"/>
    </row>
    <row r="2954" spans="1:24" hidden="1" x14ac:dyDescent="0.35">
      <c r="A2954">
        <v>2950</v>
      </c>
      <c r="B2954">
        <v>2951</v>
      </c>
      <c r="C2954">
        <v>146.10360739800001</v>
      </c>
      <c r="D2954">
        <v>-17.6426014753999</v>
      </c>
      <c r="G2954" s="92"/>
      <c r="I2954">
        <v>8</v>
      </c>
      <c r="J2954" t="s">
        <v>26</v>
      </c>
      <c r="K2954" s="57"/>
      <c r="L2954" s="31"/>
      <c r="M2954" s="31"/>
      <c r="N2954" s="31"/>
      <c r="O2954" s="31"/>
      <c r="S2954" s="57"/>
      <c r="X2954" s="57"/>
    </row>
    <row r="2955" spans="1:24" hidden="1" x14ac:dyDescent="0.35">
      <c r="A2955">
        <v>2951</v>
      </c>
      <c r="B2955">
        <v>2952</v>
      </c>
      <c r="C2955">
        <v>146.10356894700001</v>
      </c>
      <c r="D2955">
        <v>-17.6425241078</v>
      </c>
      <c r="G2955" s="92"/>
      <c r="I2955">
        <v>8</v>
      </c>
      <c r="J2955" t="s">
        <v>26</v>
      </c>
      <c r="K2955" s="57"/>
      <c r="L2955" s="31"/>
      <c r="M2955" s="31"/>
      <c r="N2955" s="31"/>
      <c r="O2955" s="31"/>
      <c r="S2955" s="57"/>
      <c r="X2955" s="57"/>
    </row>
    <row r="2956" spans="1:24" hidden="1" x14ac:dyDescent="0.35">
      <c r="A2956">
        <v>2952</v>
      </c>
      <c r="B2956">
        <v>2953</v>
      </c>
      <c r="C2956">
        <v>146.103530495999</v>
      </c>
      <c r="D2956">
        <v>-17.6424467402</v>
      </c>
      <c r="G2956" s="92"/>
      <c r="I2956">
        <v>8</v>
      </c>
      <c r="J2956" t="s">
        <v>26</v>
      </c>
      <c r="K2956" s="57"/>
      <c r="L2956" s="31"/>
      <c r="M2956" s="31"/>
      <c r="N2956" s="31"/>
      <c r="O2956" s="31"/>
      <c r="S2956" s="57"/>
      <c r="X2956" s="57"/>
    </row>
    <row r="2957" spans="1:24" hidden="1" x14ac:dyDescent="0.35">
      <c r="A2957">
        <v>2953</v>
      </c>
      <c r="B2957">
        <v>2954</v>
      </c>
      <c r="C2957">
        <v>146.10349204400001</v>
      </c>
      <c r="D2957">
        <v>-17.6423693724999</v>
      </c>
      <c r="G2957" s="92"/>
      <c r="I2957">
        <v>8</v>
      </c>
      <c r="J2957" t="s">
        <v>26</v>
      </c>
      <c r="K2957" s="57"/>
      <c r="L2957" s="31"/>
      <c r="M2957" s="31"/>
      <c r="N2957" s="31"/>
      <c r="O2957" s="31"/>
      <c r="S2957" s="57"/>
      <c r="X2957" s="57"/>
    </row>
    <row r="2958" spans="1:24" hidden="1" x14ac:dyDescent="0.35">
      <c r="A2958">
        <v>2954</v>
      </c>
      <c r="B2958">
        <v>2955</v>
      </c>
      <c r="C2958">
        <v>146.10345359300001</v>
      </c>
      <c r="D2958">
        <v>-17.642292004800002</v>
      </c>
      <c r="G2958" s="92"/>
      <c r="I2958">
        <v>8</v>
      </c>
      <c r="J2958" t="s">
        <v>26</v>
      </c>
      <c r="K2958" s="57"/>
      <c r="L2958" s="31"/>
      <c r="M2958" s="31"/>
      <c r="N2958" s="31"/>
      <c r="O2958" s="31"/>
      <c r="S2958" s="57"/>
      <c r="X2958" s="57"/>
    </row>
    <row r="2959" spans="1:24" hidden="1" x14ac:dyDescent="0.35">
      <c r="A2959">
        <v>2955</v>
      </c>
      <c r="B2959">
        <v>2956</v>
      </c>
      <c r="C2959">
        <v>146.103415140999</v>
      </c>
      <c r="D2959">
        <v>-17.642214636999899</v>
      </c>
      <c r="G2959" s="92"/>
      <c r="I2959">
        <v>8</v>
      </c>
      <c r="J2959" t="s">
        <v>26</v>
      </c>
      <c r="K2959" s="57"/>
      <c r="L2959" s="31"/>
      <c r="M2959" s="31"/>
      <c r="N2959" s="31"/>
      <c r="O2959" s="31"/>
      <c r="S2959" s="57"/>
      <c r="X2959" s="57"/>
    </row>
    <row r="2960" spans="1:24" hidden="1" x14ac:dyDescent="0.35">
      <c r="A2960">
        <v>2956</v>
      </c>
      <c r="B2960">
        <v>2957</v>
      </c>
      <c r="C2960">
        <v>146.10337669</v>
      </c>
      <c r="D2960">
        <v>-17.642137269300001</v>
      </c>
      <c r="G2960" s="92"/>
      <c r="I2960">
        <v>8</v>
      </c>
      <c r="J2960" t="s">
        <v>26</v>
      </c>
      <c r="K2960" s="57"/>
      <c r="L2960" s="31"/>
      <c r="M2960" s="31"/>
      <c r="N2960" s="31"/>
      <c r="O2960" s="31"/>
      <c r="S2960" s="57"/>
      <c r="X2960" s="57"/>
    </row>
    <row r="2961" spans="1:24" hidden="1" x14ac:dyDescent="0.35">
      <c r="A2961">
        <v>2957</v>
      </c>
      <c r="B2961">
        <v>2958</v>
      </c>
      <c r="C2961">
        <v>146.103338237999</v>
      </c>
      <c r="D2961">
        <v>-17.6420599014</v>
      </c>
      <c r="G2961" s="92"/>
      <c r="I2961">
        <v>8</v>
      </c>
      <c r="J2961" t="s">
        <v>26</v>
      </c>
      <c r="K2961" s="57"/>
      <c r="L2961" s="31"/>
      <c r="M2961" s="31"/>
      <c r="N2961" s="31"/>
      <c r="O2961" s="31"/>
      <c r="S2961" s="57"/>
      <c r="X2961" s="57"/>
    </row>
    <row r="2962" spans="1:24" hidden="1" x14ac:dyDescent="0.35">
      <c r="A2962">
        <v>2958</v>
      </c>
      <c r="B2962">
        <v>2959</v>
      </c>
      <c r="C2962">
        <v>146.103299786999</v>
      </c>
      <c r="D2962">
        <v>-17.6419825336</v>
      </c>
      <c r="G2962" s="92"/>
      <c r="I2962">
        <v>8</v>
      </c>
      <c r="J2962" t="s">
        <v>26</v>
      </c>
      <c r="K2962" s="57"/>
      <c r="L2962" s="31"/>
      <c r="M2962" s="31"/>
      <c r="N2962" s="31"/>
      <c r="O2962" s="31"/>
      <c r="S2962" s="57"/>
      <c r="X2962" s="57"/>
    </row>
    <row r="2963" spans="1:24" hidden="1" x14ac:dyDescent="0.35">
      <c r="A2963">
        <v>2959</v>
      </c>
      <c r="B2963">
        <v>2960</v>
      </c>
      <c r="C2963">
        <v>146.10326133500001</v>
      </c>
      <c r="D2963">
        <v>-17.6419051656999</v>
      </c>
      <c r="G2963" s="92"/>
      <c r="I2963">
        <v>8</v>
      </c>
      <c r="J2963" t="s">
        <v>26</v>
      </c>
      <c r="K2963" s="57"/>
      <c r="L2963" s="31"/>
      <c r="M2963" s="31"/>
      <c r="N2963" s="31"/>
      <c r="O2963" s="31"/>
      <c r="S2963" s="57"/>
      <c r="X2963" s="57"/>
    </row>
    <row r="2964" spans="1:24" hidden="1" x14ac:dyDescent="0.35">
      <c r="A2964">
        <v>2960</v>
      </c>
      <c r="B2964">
        <v>2961</v>
      </c>
      <c r="C2964">
        <v>146.103222883999</v>
      </c>
      <c r="D2964">
        <v>-17.641827797800001</v>
      </c>
      <c r="G2964" s="92"/>
      <c r="I2964">
        <v>8</v>
      </c>
      <c r="J2964" t="s">
        <v>26</v>
      </c>
      <c r="K2964" s="57"/>
      <c r="L2964" s="31"/>
      <c r="M2964" s="31"/>
      <c r="N2964" s="31"/>
      <c r="O2964" s="31"/>
      <c r="S2964" s="57"/>
      <c r="X2964" s="57"/>
    </row>
    <row r="2965" spans="1:24" hidden="1" x14ac:dyDescent="0.35">
      <c r="A2965">
        <v>2961</v>
      </c>
      <c r="B2965">
        <v>2962</v>
      </c>
      <c r="C2965">
        <v>146.103184432999</v>
      </c>
      <c r="D2965">
        <v>-17.6417504299</v>
      </c>
      <c r="G2965" s="92"/>
      <c r="I2965">
        <v>8</v>
      </c>
      <c r="J2965" t="s">
        <v>26</v>
      </c>
      <c r="K2965" s="57"/>
      <c r="L2965" s="31"/>
      <c r="M2965" s="31"/>
      <c r="N2965" s="31"/>
      <c r="O2965" s="31"/>
      <c r="S2965" s="57"/>
      <c r="X2965" s="57"/>
    </row>
    <row r="2966" spans="1:24" hidden="1" x14ac:dyDescent="0.35">
      <c r="A2966">
        <v>2962</v>
      </c>
      <c r="B2966">
        <v>2963</v>
      </c>
      <c r="C2966">
        <v>146.10314598100001</v>
      </c>
      <c r="D2966">
        <v>-17.641673061900001</v>
      </c>
      <c r="G2966" s="92"/>
      <c r="I2966">
        <v>8</v>
      </c>
      <c r="J2966" t="s">
        <v>26</v>
      </c>
      <c r="K2966" s="57"/>
      <c r="L2966" s="31"/>
      <c r="M2966" s="31"/>
      <c r="N2966" s="31"/>
      <c r="O2966" s="31"/>
      <c r="S2966" s="57"/>
      <c r="X2966" s="57"/>
    </row>
    <row r="2967" spans="1:24" hidden="1" x14ac:dyDescent="0.35">
      <c r="A2967">
        <v>2963</v>
      </c>
      <c r="B2967">
        <v>2964</v>
      </c>
      <c r="C2967">
        <v>146.10310752999899</v>
      </c>
      <c r="D2967">
        <v>-17.641595693900001</v>
      </c>
      <c r="G2967" s="92"/>
      <c r="I2967">
        <v>8</v>
      </c>
      <c r="J2967" t="s">
        <v>26</v>
      </c>
      <c r="K2967" s="57"/>
      <c r="L2967" s="31"/>
      <c r="M2967" s="31"/>
      <c r="N2967" s="31"/>
      <c r="O2967" s="31"/>
      <c r="S2967" s="57"/>
      <c r="X2967" s="57"/>
    </row>
    <row r="2968" spans="1:24" hidden="1" x14ac:dyDescent="0.35">
      <c r="A2968">
        <v>2964</v>
      </c>
      <c r="B2968">
        <v>2965</v>
      </c>
      <c r="C2968">
        <v>146.103069078</v>
      </c>
      <c r="D2968">
        <v>-17.6415183258</v>
      </c>
      <c r="G2968" s="92"/>
      <c r="I2968">
        <v>8</v>
      </c>
      <c r="J2968" t="s">
        <v>26</v>
      </c>
      <c r="K2968" s="57"/>
      <c r="L2968" s="31"/>
      <c r="M2968" s="31"/>
      <c r="N2968" s="31"/>
      <c r="O2968" s="31"/>
      <c r="S2968" s="57"/>
      <c r="X2968" s="57"/>
    </row>
    <row r="2969" spans="1:24" hidden="1" x14ac:dyDescent="0.35">
      <c r="A2969">
        <v>2965</v>
      </c>
      <c r="B2969">
        <v>2966</v>
      </c>
      <c r="C2969">
        <v>146.10303062700001</v>
      </c>
      <c r="D2969">
        <v>-17.641440957699899</v>
      </c>
      <c r="G2969" s="92"/>
      <c r="I2969">
        <v>8</v>
      </c>
      <c r="J2969" t="s">
        <v>26</v>
      </c>
      <c r="K2969" s="57"/>
      <c r="L2969" s="31"/>
      <c r="M2969" s="31"/>
      <c r="N2969" s="31"/>
      <c r="O2969" s="31"/>
      <c r="S2969" s="57"/>
      <c r="X2969" s="57"/>
    </row>
    <row r="2970" spans="1:24" hidden="1" x14ac:dyDescent="0.35">
      <c r="A2970">
        <v>2966</v>
      </c>
      <c r="B2970">
        <v>2967</v>
      </c>
      <c r="C2970">
        <v>146.10299217599899</v>
      </c>
      <c r="D2970">
        <v>-17.6413635894999</v>
      </c>
      <c r="G2970" s="92"/>
      <c r="I2970">
        <v>8</v>
      </c>
      <c r="J2970" t="s">
        <v>26</v>
      </c>
      <c r="K2970" s="57"/>
      <c r="L2970" s="31"/>
      <c r="M2970" s="31"/>
      <c r="N2970" s="31"/>
      <c r="O2970" s="31"/>
      <c r="S2970" s="57"/>
      <c r="X2970" s="57"/>
    </row>
    <row r="2971" spans="1:24" hidden="1" x14ac:dyDescent="0.35">
      <c r="A2971">
        <v>2967</v>
      </c>
      <c r="B2971">
        <v>2968</v>
      </c>
      <c r="C2971">
        <v>146.102953724</v>
      </c>
      <c r="D2971">
        <v>-17.6412862213</v>
      </c>
      <c r="G2971" s="92"/>
      <c r="I2971">
        <v>8</v>
      </c>
      <c r="J2971" t="s">
        <v>26</v>
      </c>
      <c r="K2971" s="57"/>
      <c r="L2971" s="31"/>
      <c r="M2971" s="31"/>
      <c r="N2971" s="31"/>
      <c r="O2971" s="31"/>
      <c r="S2971" s="57"/>
      <c r="X2971" s="57"/>
    </row>
    <row r="2972" spans="1:24" hidden="1" x14ac:dyDescent="0.35">
      <c r="A2972">
        <v>2968</v>
      </c>
      <c r="B2972">
        <v>2969</v>
      </c>
      <c r="C2972">
        <v>146.10292181200001</v>
      </c>
      <c r="D2972">
        <v>-17.641206280399899</v>
      </c>
      <c r="G2972" s="92"/>
      <c r="I2972">
        <v>8</v>
      </c>
      <c r="J2972" t="s">
        <v>26</v>
      </c>
      <c r="K2972" s="57"/>
      <c r="L2972" s="31"/>
      <c r="M2972" s="31"/>
      <c r="N2972" s="31"/>
      <c r="O2972" s="31"/>
      <c r="S2972" s="57"/>
      <c r="X2972" s="57"/>
    </row>
    <row r="2973" spans="1:24" hidden="1" x14ac:dyDescent="0.35">
      <c r="A2973">
        <v>2969</v>
      </c>
      <c r="B2973">
        <v>2970</v>
      </c>
      <c r="C2973">
        <v>146.10289179399899</v>
      </c>
      <c r="D2973">
        <v>-17.641125594399899</v>
      </c>
      <c r="G2973" s="92"/>
      <c r="I2973">
        <v>8</v>
      </c>
      <c r="J2973" t="s">
        <v>26</v>
      </c>
      <c r="K2973" s="57"/>
      <c r="L2973" s="31"/>
      <c r="M2973" s="31"/>
      <c r="N2973" s="31"/>
      <c r="O2973" s="31"/>
      <c r="S2973" s="57"/>
      <c r="X2973" s="57"/>
    </row>
    <row r="2974" spans="1:24" hidden="1" x14ac:dyDescent="0.35">
      <c r="A2974">
        <v>2970</v>
      </c>
      <c r="B2974">
        <v>2971</v>
      </c>
      <c r="C2974">
        <v>146.102861775999</v>
      </c>
      <c r="D2974">
        <v>-17.6410449083</v>
      </c>
      <c r="G2974" s="92"/>
      <c r="I2974">
        <v>8</v>
      </c>
      <c r="J2974" t="s">
        <v>26</v>
      </c>
      <c r="K2974" s="57"/>
      <c r="L2974" s="31"/>
      <c r="M2974" s="31"/>
      <c r="N2974" s="31"/>
      <c r="O2974" s="31"/>
      <c r="S2974" s="57"/>
      <c r="X2974" s="57"/>
    </row>
    <row r="2975" spans="1:24" hidden="1" x14ac:dyDescent="0.35">
      <c r="A2975">
        <v>2971</v>
      </c>
      <c r="B2975">
        <v>2972</v>
      </c>
      <c r="C2975">
        <v>146.102820385</v>
      </c>
      <c r="D2975">
        <v>-17.6409689549</v>
      </c>
      <c r="G2975" s="92"/>
      <c r="I2975">
        <v>8</v>
      </c>
      <c r="J2975" t="s">
        <v>26</v>
      </c>
      <c r="K2975" s="57"/>
      <c r="L2975" s="31"/>
      <c r="M2975" s="31"/>
      <c r="N2975" s="31"/>
      <c r="O2975" s="31"/>
      <c r="S2975" s="57"/>
      <c r="X2975" s="57"/>
    </row>
    <row r="2976" spans="1:24" hidden="1" x14ac:dyDescent="0.35">
      <c r="A2976">
        <v>2972</v>
      </c>
      <c r="B2976">
        <v>2973</v>
      </c>
      <c r="C2976">
        <v>146.102818818999</v>
      </c>
      <c r="D2976">
        <v>-17.640884019200001</v>
      </c>
      <c r="G2976" s="92"/>
      <c r="I2976">
        <v>8</v>
      </c>
      <c r="J2976" t="s">
        <v>26</v>
      </c>
      <c r="K2976" s="57"/>
      <c r="L2976" s="31"/>
      <c r="M2976" s="31"/>
      <c r="N2976" s="31"/>
      <c r="O2976" s="31"/>
      <c r="S2976" s="57"/>
      <c r="X2976" s="57"/>
    </row>
    <row r="2977" spans="1:24" hidden="1" x14ac:dyDescent="0.35">
      <c r="A2977">
        <v>2973</v>
      </c>
      <c r="B2977">
        <v>2974</v>
      </c>
      <c r="C2977">
        <v>146.10281528900001</v>
      </c>
      <c r="D2977">
        <v>-17.6408003779</v>
      </c>
      <c r="G2977" s="92"/>
      <c r="I2977">
        <v>8</v>
      </c>
      <c r="J2977" t="s">
        <v>26</v>
      </c>
      <c r="K2977" s="57"/>
      <c r="L2977" s="31"/>
      <c r="M2977" s="31"/>
      <c r="N2977" s="31"/>
      <c r="O2977" s="31"/>
      <c r="S2977" s="57"/>
      <c r="X2977" s="57"/>
    </row>
    <row r="2978" spans="1:24" hidden="1" x14ac:dyDescent="0.35">
      <c r="A2978">
        <v>2974</v>
      </c>
      <c r="B2978">
        <v>2975</v>
      </c>
      <c r="C2978">
        <v>146.10277129900001</v>
      </c>
      <c r="D2978">
        <v>-17.640727752899899</v>
      </c>
      <c r="G2978" s="92"/>
      <c r="I2978">
        <v>8</v>
      </c>
      <c r="J2978" t="s">
        <v>26</v>
      </c>
      <c r="K2978" s="57"/>
      <c r="L2978" s="31"/>
      <c r="M2978" s="31"/>
      <c r="N2978" s="31"/>
      <c r="O2978" s="31"/>
      <c r="S2978" s="57"/>
      <c r="X2978" s="57"/>
    </row>
    <row r="2979" spans="1:24" hidden="1" x14ac:dyDescent="0.35">
      <c r="A2979">
        <v>2975</v>
      </c>
      <c r="B2979">
        <v>2976</v>
      </c>
      <c r="C2979">
        <v>146.10272359300001</v>
      </c>
      <c r="D2979">
        <v>-17.6406564688</v>
      </c>
      <c r="G2979" s="92"/>
      <c r="I2979">
        <v>8</v>
      </c>
      <c r="J2979" t="s">
        <v>26</v>
      </c>
      <c r="K2979" s="57"/>
      <c r="L2979" s="31"/>
      <c r="M2979" s="31"/>
      <c r="N2979" s="31"/>
      <c r="O2979" s="31"/>
      <c r="S2979" s="57"/>
      <c r="X2979" s="57"/>
    </row>
    <row r="2980" spans="1:24" hidden="1" x14ac:dyDescent="0.35">
      <c r="A2980">
        <v>2976</v>
      </c>
      <c r="B2980">
        <v>2977</v>
      </c>
      <c r="C2980">
        <v>146.102690150999</v>
      </c>
      <c r="D2980">
        <v>-17.6405770147</v>
      </c>
      <c r="G2980" s="92"/>
      <c r="I2980">
        <v>8</v>
      </c>
      <c r="J2980" t="s">
        <v>26</v>
      </c>
      <c r="K2980" s="57"/>
      <c r="L2980" s="31"/>
      <c r="M2980" s="31"/>
      <c r="N2980" s="31"/>
      <c r="O2980" s="31"/>
      <c r="S2980" s="57"/>
      <c r="X2980" s="57"/>
    </row>
    <row r="2981" spans="1:24" hidden="1" x14ac:dyDescent="0.35">
      <c r="A2981">
        <v>2977</v>
      </c>
      <c r="B2981">
        <v>2978</v>
      </c>
      <c r="C2981">
        <v>146.102673866</v>
      </c>
      <c r="D2981">
        <v>-17.6404929441</v>
      </c>
      <c r="G2981" s="92"/>
      <c r="I2981">
        <v>8</v>
      </c>
      <c r="J2981" t="s">
        <v>26</v>
      </c>
      <c r="K2981" s="57"/>
      <c r="L2981" s="31"/>
      <c r="M2981" s="31"/>
      <c r="N2981" s="31"/>
      <c r="O2981" s="31"/>
      <c r="S2981" s="57"/>
      <c r="X2981" s="57"/>
    </row>
    <row r="2982" spans="1:24" hidden="1" x14ac:dyDescent="0.35">
      <c r="A2982">
        <v>2978</v>
      </c>
      <c r="B2982">
        <v>2979</v>
      </c>
      <c r="C2982">
        <v>146.102669539</v>
      </c>
      <c r="D2982">
        <v>-17.640407538800002</v>
      </c>
      <c r="G2982" s="92"/>
      <c r="I2982">
        <v>8</v>
      </c>
      <c r="J2982" t="s">
        <v>26</v>
      </c>
      <c r="K2982" s="57"/>
      <c r="L2982" s="31"/>
      <c r="M2982" s="31"/>
      <c r="N2982" s="31"/>
      <c r="O2982" s="31"/>
      <c r="S2982" s="57"/>
      <c r="X2982" s="57"/>
    </row>
    <row r="2983" spans="1:24" hidden="1" x14ac:dyDescent="0.35">
      <c r="A2983">
        <v>2979</v>
      </c>
      <c r="B2983">
        <v>2980</v>
      </c>
      <c r="C2983">
        <v>146.102666988999</v>
      </c>
      <c r="D2983">
        <v>-17.6403219659</v>
      </c>
      <c r="G2983" s="92"/>
      <c r="I2983">
        <v>8</v>
      </c>
      <c r="J2983" t="s">
        <v>26</v>
      </c>
      <c r="K2983" s="57"/>
      <c r="L2983" s="31"/>
      <c r="M2983" s="31"/>
      <c r="N2983" s="31"/>
      <c r="O2983" s="31"/>
      <c r="S2983" s="57"/>
      <c r="X2983" s="57"/>
    </row>
    <row r="2984" spans="1:24" hidden="1" x14ac:dyDescent="0.35">
      <c r="A2984">
        <v>2980</v>
      </c>
      <c r="B2984">
        <v>2981</v>
      </c>
      <c r="C2984">
        <v>146.102636297</v>
      </c>
      <c r="D2984">
        <v>-17.640241578600001</v>
      </c>
      <c r="G2984" s="92"/>
      <c r="I2984">
        <v>8</v>
      </c>
      <c r="J2984" t="s">
        <v>26</v>
      </c>
      <c r="K2984" s="57"/>
      <c r="L2984" s="31"/>
      <c r="M2984" s="31"/>
      <c r="N2984" s="31"/>
      <c r="O2984" s="31"/>
      <c r="S2984" s="57"/>
      <c r="X2984" s="57"/>
    </row>
    <row r="2985" spans="1:24" hidden="1" x14ac:dyDescent="0.35">
      <c r="A2985">
        <v>2981</v>
      </c>
      <c r="B2985">
        <v>2982</v>
      </c>
      <c r="C2985">
        <v>146.10260518800001</v>
      </c>
      <c r="D2985">
        <v>-17.6401612682</v>
      </c>
      <c r="G2985" s="92"/>
      <c r="I2985">
        <v>8</v>
      </c>
      <c r="J2985" t="s">
        <v>26</v>
      </c>
      <c r="K2985" s="57"/>
      <c r="L2985" s="31"/>
      <c r="M2985" s="31"/>
      <c r="N2985" s="31"/>
      <c r="O2985" s="31"/>
      <c r="S2985" s="57"/>
      <c r="X2985" s="57"/>
    </row>
    <row r="2986" spans="1:24" hidden="1" x14ac:dyDescent="0.35">
      <c r="A2986">
        <v>2982</v>
      </c>
      <c r="B2986">
        <v>2983</v>
      </c>
      <c r="C2986">
        <v>146.10257408000001</v>
      </c>
      <c r="D2986">
        <v>-17.640080957599899</v>
      </c>
      <c r="G2986" s="92"/>
      <c r="I2986">
        <v>8</v>
      </c>
      <c r="J2986" t="s">
        <v>26</v>
      </c>
      <c r="K2986" s="57"/>
      <c r="L2986" s="31"/>
      <c r="M2986" s="31"/>
      <c r="N2986" s="31"/>
      <c r="O2986" s="31"/>
      <c r="S2986" s="57"/>
      <c r="X2986" s="57"/>
    </row>
    <row r="2987" spans="1:24" hidden="1" x14ac:dyDescent="0.35">
      <c r="A2987">
        <v>2983</v>
      </c>
      <c r="B2987">
        <v>2984</v>
      </c>
      <c r="C2987">
        <v>146.10254297200001</v>
      </c>
      <c r="D2987">
        <v>-17.6400006470999</v>
      </c>
      <c r="G2987" s="92"/>
      <c r="I2987">
        <v>8</v>
      </c>
      <c r="J2987" t="s">
        <v>26</v>
      </c>
      <c r="K2987" s="57"/>
      <c r="L2987" s="31"/>
      <c r="M2987" s="31"/>
      <c r="N2987" s="31"/>
      <c r="O2987" s="31"/>
      <c r="S2987" s="57"/>
      <c r="X2987" s="57"/>
    </row>
    <row r="2988" spans="1:24" hidden="1" x14ac:dyDescent="0.35">
      <c r="A2988">
        <v>2984</v>
      </c>
      <c r="B2988">
        <v>2985</v>
      </c>
      <c r="C2988">
        <v>146.102511810999</v>
      </c>
      <c r="D2988">
        <v>-17.6399203548999</v>
      </c>
      <c r="G2988" s="92"/>
      <c r="I2988">
        <v>8</v>
      </c>
      <c r="J2988" t="s">
        <v>26</v>
      </c>
      <c r="K2988" s="57"/>
      <c r="L2988" s="31"/>
      <c r="M2988" s="31"/>
      <c r="N2988" s="31"/>
      <c r="O2988" s="31"/>
      <c r="S2988" s="57"/>
      <c r="X2988" s="57"/>
    </row>
    <row r="2989" spans="1:24" hidden="1" x14ac:dyDescent="0.35">
      <c r="A2989">
        <v>2985</v>
      </c>
      <c r="B2989">
        <v>2986</v>
      </c>
      <c r="C2989">
        <v>146.102480568</v>
      </c>
      <c r="D2989">
        <v>-17.6398400918</v>
      </c>
      <c r="G2989" s="92"/>
      <c r="I2989">
        <v>8</v>
      </c>
      <c r="J2989" t="s">
        <v>26</v>
      </c>
      <c r="K2989" s="57"/>
      <c r="L2989" s="31"/>
      <c r="M2989" s="31"/>
      <c r="N2989" s="31"/>
      <c r="O2989" s="31"/>
      <c r="S2989" s="57"/>
      <c r="X2989" s="57"/>
    </row>
    <row r="2990" spans="1:24" hidden="1" x14ac:dyDescent="0.35">
      <c r="A2990">
        <v>2986</v>
      </c>
      <c r="B2990">
        <v>2987</v>
      </c>
      <c r="C2990">
        <v>146.102449323999</v>
      </c>
      <c r="D2990">
        <v>-17.6397598285999</v>
      </c>
      <c r="G2990" s="92"/>
      <c r="I2990">
        <v>8</v>
      </c>
      <c r="J2990" t="s">
        <v>26</v>
      </c>
      <c r="K2990" s="57"/>
      <c r="L2990" s="31"/>
      <c r="M2990" s="31"/>
      <c r="N2990" s="31"/>
      <c r="O2990" s="31"/>
      <c r="S2990" s="57"/>
      <c r="X2990" s="57"/>
    </row>
    <row r="2991" spans="1:24" hidden="1" x14ac:dyDescent="0.35">
      <c r="A2991">
        <v>2987</v>
      </c>
      <c r="B2991">
        <v>2988</v>
      </c>
      <c r="C2991">
        <v>146.102418080999</v>
      </c>
      <c r="D2991">
        <v>-17.639679565400002</v>
      </c>
      <c r="G2991" s="92"/>
      <c r="I2991">
        <v>8</v>
      </c>
      <c r="J2991" t="s">
        <v>26</v>
      </c>
      <c r="K2991" s="57"/>
      <c r="L2991" s="31"/>
      <c r="M2991" s="31"/>
      <c r="N2991" s="31"/>
      <c r="O2991" s="31"/>
      <c r="S2991" s="57"/>
      <c r="X2991" s="57"/>
    </row>
    <row r="2992" spans="1:24" hidden="1" x14ac:dyDescent="0.35">
      <c r="A2992">
        <v>2988</v>
      </c>
      <c r="B2992">
        <v>2989</v>
      </c>
      <c r="C2992">
        <v>146.102386838</v>
      </c>
      <c r="D2992">
        <v>-17.639599302099899</v>
      </c>
      <c r="F2992" t="str">
        <f>HYPERLINK("D:\Data From Lucan\2024\Moresby\Frames_for_Analysis/2989_20240611_0003_L_0196.jpg","2989_20240611_0003_L_0196.jpg")</f>
        <v>2989_20240611_0003_L_0196.jpg</v>
      </c>
      <c r="G2992" s="92" t="s">
        <v>4601</v>
      </c>
      <c r="I2992">
        <v>8</v>
      </c>
      <c r="K2992" s="57">
        <v>1</v>
      </c>
      <c r="L2992" s="31"/>
      <c r="M2992" s="31"/>
      <c r="N2992" s="31"/>
      <c r="O2992" s="31"/>
      <c r="P2992" s="57">
        <v>1</v>
      </c>
      <c r="Q2992" s="57">
        <v>0</v>
      </c>
      <c r="R2992" s="57">
        <v>0</v>
      </c>
      <c r="S2992" s="57">
        <v>0</v>
      </c>
      <c r="T2992" s="57">
        <v>0</v>
      </c>
      <c r="U2992" s="57">
        <v>0</v>
      </c>
      <c r="V2992" s="57">
        <v>0</v>
      </c>
      <c r="W2992" s="57">
        <v>0</v>
      </c>
      <c r="X2992" s="57">
        <v>0</v>
      </c>
    </row>
    <row r="2993" spans="1:24" hidden="1" x14ac:dyDescent="0.35">
      <c r="A2993">
        <v>2989</v>
      </c>
      <c r="B2993">
        <v>2990</v>
      </c>
      <c r="C2993">
        <v>146.10235559500001</v>
      </c>
      <c r="D2993">
        <v>-17.639519038700001</v>
      </c>
      <c r="F2993" t="str">
        <f>HYPERLINK("D:\Data From Lucan\2024\Moresby\Frames_for_Analysis/2990_20240611_0003_L_0199.jpg","2990_20240611_0003_L_0199.jpg")</f>
        <v>2990_20240611_0003_L_0199.jpg</v>
      </c>
      <c r="G2993" s="92" t="s">
        <v>4602</v>
      </c>
      <c r="I2993">
        <v>8</v>
      </c>
      <c r="K2993" s="57">
        <v>1</v>
      </c>
      <c r="L2993" s="31"/>
      <c r="M2993" s="31"/>
      <c r="N2993" s="31"/>
      <c r="O2993" s="31"/>
      <c r="P2993" s="57">
        <v>1</v>
      </c>
      <c r="Q2993" s="57">
        <v>0</v>
      </c>
      <c r="R2993" s="57">
        <v>0</v>
      </c>
      <c r="S2993" s="57">
        <v>0</v>
      </c>
      <c r="T2993" s="57">
        <v>0</v>
      </c>
      <c r="U2993" s="57">
        <v>0</v>
      </c>
      <c r="V2993" s="57">
        <v>0</v>
      </c>
      <c r="W2993" s="57">
        <v>0</v>
      </c>
      <c r="X2993" s="57">
        <v>0</v>
      </c>
    </row>
    <row r="2994" spans="1:24" hidden="1" x14ac:dyDescent="0.35">
      <c r="A2994">
        <v>2990</v>
      </c>
      <c r="B2994">
        <v>2991</v>
      </c>
      <c r="C2994">
        <v>146.102324353</v>
      </c>
      <c r="D2994">
        <v>-17.639438775199899</v>
      </c>
      <c r="F2994" t="str">
        <f>HYPERLINK("D:\Data From Lucan\2024\Moresby\Frames_for_Analysis/2991_20240611_0003_L_0200.jpg","2991_20240611_0003_L_0200.jpg")</f>
        <v>2991_20240611_0003_L_0200.jpg</v>
      </c>
      <c r="G2994" s="92" t="s">
        <v>4603</v>
      </c>
      <c r="I2994">
        <v>8</v>
      </c>
      <c r="K2994" s="57">
        <v>1</v>
      </c>
      <c r="L2994" s="31"/>
      <c r="M2994" s="31"/>
      <c r="N2994" s="31"/>
      <c r="O2994" s="31"/>
      <c r="P2994" s="57">
        <v>1</v>
      </c>
      <c r="Q2994" s="57">
        <v>0</v>
      </c>
      <c r="R2994" s="57">
        <v>0</v>
      </c>
      <c r="S2994" s="57">
        <v>0</v>
      </c>
      <c r="T2994" s="57">
        <v>0</v>
      </c>
      <c r="U2994" s="57">
        <v>0</v>
      </c>
      <c r="V2994" s="57">
        <v>0</v>
      </c>
      <c r="W2994" s="57">
        <v>0</v>
      </c>
      <c r="X2994" s="57">
        <v>0</v>
      </c>
    </row>
    <row r="2995" spans="1:24" hidden="1" x14ac:dyDescent="0.35">
      <c r="A2995">
        <v>2991</v>
      </c>
      <c r="B2995">
        <v>2992</v>
      </c>
      <c r="C2995">
        <v>146.102291253999</v>
      </c>
      <c r="D2995">
        <v>-17.6393592113</v>
      </c>
      <c r="F2995" t="str">
        <f>HYPERLINK("D:\Data From Lucan\2024\Moresby\Frames_for_Analysis/2992_20240611_0003_L_0202.jpg","2992_20240611_0003_L_0202.jpg")</f>
        <v>2992_20240611_0003_L_0202.jpg</v>
      </c>
      <c r="G2995" s="92" t="s">
        <v>4604</v>
      </c>
      <c r="I2995">
        <v>8</v>
      </c>
      <c r="K2995" s="57">
        <v>1</v>
      </c>
      <c r="L2995" s="31"/>
      <c r="M2995" s="31"/>
      <c r="N2995" s="31"/>
      <c r="O2995" s="31"/>
      <c r="P2995" s="57">
        <v>1</v>
      </c>
      <c r="Q2995" s="57">
        <v>0</v>
      </c>
      <c r="R2995" s="57">
        <v>0</v>
      </c>
      <c r="S2995" s="57">
        <v>0</v>
      </c>
      <c r="T2995" s="57">
        <v>0</v>
      </c>
      <c r="U2995" s="57">
        <v>0</v>
      </c>
      <c r="V2995" s="57">
        <v>0</v>
      </c>
      <c r="W2995" s="57">
        <v>0</v>
      </c>
      <c r="X2995" s="57">
        <v>0</v>
      </c>
    </row>
    <row r="2996" spans="1:24" hidden="1" x14ac:dyDescent="0.35">
      <c r="A2996">
        <v>2992</v>
      </c>
      <c r="B2996">
        <v>2993</v>
      </c>
      <c r="C2996">
        <v>146.10225644100001</v>
      </c>
      <c r="D2996">
        <v>-17.639280293199899</v>
      </c>
      <c r="F2996" t="str">
        <f>HYPERLINK("D:\Data From Lucan\2024\Moresby\Frames_for_Analysis/2993_20240611_0003_L_0203.jpg","2993_20240611_0003_L_0203.jpg")</f>
        <v>2993_20240611_0003_L_0203.jpg</v>
      </c>
      <c r="G2996" s="92" t="s">
        <v>4605</v>
      </c>
      <c r="I2996">
        <v>8</v>
      </c>
      <c r="K2996" s="57">
        <v>1</v>
      </c>
      <c r="L2996" s="31"/>
      <c r="M2996" s="31"/>
      <c r="N2996" s="31"/>
      <c r="O2996" s="31"/>
      <c r="P2996" s="57">
        <v>1</v>
      </c>
      <c r="Q2996" s="57">
        <v>0</v>
      </c>
      <c r="R2996" s="57">
        <v>0</v>
      </c>
      <c r="S2996" s="57">
        <v>0</v>
      </c>
      <c r="T2996" s="57">
        <v>0</v>
      </c>
      <c r="U2996" s="57">
        <v>0</v>
      </c>
      <c r="V2996" s="57">
        <v>0</v>
      </c>
      <c r="W2996" s="57">
        <v>0</v>
      </c>
      <c r="X2996" s="57">
        <v>0</v>
      </c>
    </row>
    <row r="2997" spans="1:24" hidden="1" x14ac:dyDescent="0.35">
      <c r="A2997">
        <v>2993</v>
      </c>
      <c r="B2997">
        <v>2994</v>
      </c>
      <c r="C2997">
        <v>146.102221627999</v>
      </c>
      <c r="D2997">
        <v>-17.639201375100001</v>
      </c>
      <c r="G2997" s="92"/>
      <c r="I2997">
        <v>8</v>
      </c>
      <c r="J2997" t="s">
        <v>26</v>
      </c>
      <c r="K2997" s="57"/>
      <c r="L2997" s="31"/>
      <c r="M2997" s="31"/>
      <c r="N2997" s="31"/>
      <c r="O2997" s="31"/>
      <c r="S2997" s="57"/>
      <c r="X2997" s="57"/>
    </row>
    <row r="2998" spans="1:24" hidden="1" x14ac:dyDescent="0.35">
      <c r="A2998">
        <v>2994</v>
      </c>
      <c r="B2998">
        <v>2995</v>
      </c>
      <c r="C2998">
        <v>146.10218742999899</v>
      </c>
      <c r="D2998">
        <v>-17.6391222232999</v>
      </c>
      <c r="F2998" t="str">
        <f>HYPERLINK("D:\Data From Lucan\2024\Moresby\Frames_for_Analysis/2995_20240611_0003_L_0205.jpg","2995_20240611_0003_L_0205.jpg")</f>
        <v>2995_20240611_0003_L_0205.jpg</v>
      </c>
      <c r="G2998" s="92" t="s">
        <v>4606</v>
      </c>
      <c r="I2998">
        <v>8</v>
      </c>
      <c r="K2998" s="57">
        <v>1</v>
      </c>
      <c r="L2998" s="31"/>
      <c r="M2998" s="31"/>
      <c r="N2998" s="31"/>
      <c r="O2998" s="31"/>
      <c r="P2998" s="57">
        <v>1</v>
      </c>
      <c r="Q2998" s="57">
        <v>0</v>
      </c>
      <c r="R2998" s="57">
        <v>0</v>
      </c>
      <c r="S2998" s="57">
        <v>0</v>
      </c>
      <c r="T2998" s="57">
        <v>0</v>
      </c>
      <c r="U2998" s="57">
        <v>0</v>
      </c>
      <c r="V2998" s="57">
        <v>0</v>
      </c>
      <c r="W2998" s="57">
        <v>0</v>
      </c>
      <c r="X2998" s="57">
        <v>0</v>
      </c>
    </row>
    <row r="2999" spans="1:24" hidden="1" x14ac:dyDescent="0.35">
      <c r="A2999">
        <v>2995</v>
      </c>
      <c r="B2999">
        <v>2996</v>
      </c>
      <c r="C2999">
        <v>146.102155750999</v>
      </c>
      <c r="D2999">
        <v>-17.639042115399899</v>
      </c>
      <c r="F2999" t="str">
        <f>HYPERLINK("D:\Data From Lucan\2024\Moresby\Frames_for_Analysis/2996_20240611_0003_L_0207.jpg","2996_20240611_0003_L_0207.jpg")</f>
        <v>2996_20240611_0003_L_0207.jpg</v>
      </c>
      <c r="G2999" s="92" t="s">
        <v>4607</v>
      </c>
      <c r="I2999">
        <v>8</v>
      </c>
      <c r="K2999" s="57">
        <v>1</v>
      </c>
      <c r="L2999" s="31"/>
      <c r="M2999" s="31"/>
      <c r="N2999" s="31"/>
      <c r="O2999" s="31"/>
      <c r="P2999" s="57">
        <v>1</v>
      </c>
      <c r="Q2999" s="57">
        <v>0</v>
      </c>
      <c r="R2999" s="57">
        <v>0</v>
      </c>
      <c r="S2999" s="57">
        <v>0</v>
      </c>
      <c r="T2999" s="57">
        <v>0</v>
      </c>
      <c r="U2999" s="57">
        <v>0</v>
      </c>
      <c r="V2999" s="57">
        <v>0</v>
      </c>
      <c r="W2999" s="57">
        <v>0</v>
      </c>
      <c r="X2999" s="57">
        <v>0</v>
      </c>
    </row>
    <row r="3000" spans="1:24" hidden="1" x14ac:dyDescent="0.35">
      <c r="A3000">
        <v>2996</v>
      </c>
      <c r="B3000">
        <v>2997</v>
      </c>
      <c r="C3000">
        <v>146.102124070999</v>
      </c>
      <c r="D3000">
        <v>-17.6389620074</v>
      </c>
      <c r="G3000" s="92"/>
      <c r="I3000">
        <v>8</v>
      </c>
      <c r="J3000" t="s">
        <v>26</v>
      </c>
      <c r="K3000" s="57"/>
      <c r="L3000" s="31"/>
      <c r="M3000" s="31"/>
      <c r="N3000" s="31"/>
      <c r="O3000" s="31"/>
      <c r="S3000" s="57"/>
      <c r="X3000" s="57"/>
    </row>
    <row r="3001" spans="1:24" hidden="1" x14ac:dyDescent="0.35">
      <c r="A3001">
        <v>2997</v>
      </c>
      <c r="B3001">
        <v>2998</v>
      </c>
      <c r="C3001">
        <v>146.10209959599899</v>
      </c>
      <c r="D3001">
        <v>-17.638879853799899</v>
      </c>
      <c r="G3001" s="92"/>
      <c r="I3001">
        <v>8</v>
      </c>
      <c r="J3001" t="s">
        <v>26</v>
      </c>
      <c r="K3001" s="57"/>
      <c r="L3001" s="31"/>
      <c r="M3001" s="31"/>
      <c r="N3001" s="31"/>
      <c r="O3001" s="31"/>
      <c r="S3001" s="57"/>
      <c r="X3001" s="57"/>
    </row>
    <row r="3002" spans="1:24" hidden="1" x14ac:dyDescent="0.35">
      <c r="A3002">
        <v>2998</v>
      </c>
      <c r="B3002">
        <v>2999</v>
      </c>
      <c r="C3002">
        <v>146.10208010900001</v>
      </c>
      <c r="D3002">
        <v>-17.638796284200001</v>
      </c>
      <c r="G3002" s="92"/>
      <c r="I3002">
        <v>8</v>
      </c>
      <c r="J3002" t="s">
        <v>26</v>
      </c>
      <c r="K3002" s="57"/>
      <c r="L3002" s="31"/>
      <c r="M3002" s="31"/>
      <c r="N3002" s="31"/>
      <c r="O3002" s="31"/>
      <c r="S3002" s="57"/>
      <c r="X3002" s="57"/>
    </row>
    <row r="3003" spans="1:24" hidden="1" x14ac:dyDescent="0.35">
      <c r="A3003">
        <v>2999</v>
      </c>
      <c r="B3003">
        <v>3000</v>
      </c>
      <c r="C3003">
        <v>146.102069959999</v>
      </c>
      <c r="D3003">
        <v>-17.638712092700001</v>
      </c>
      <c r="G3003" s="92"/>
      <c r="I3003">
        <v>8</v>
      </c>
      <c r="J3003" t="s">
        <v>26</v>
      </c>
      <c r="K3003" s="57"/>
      <c r="L3003" s="31"/>
      <c r="M3003" s="31"/>
      <c r="N3003" s="31"/>
      <c r="O3003" s="31"/>
      <c r="S3003" s="57"/>
      <c r="X3003" s="57"/>
    </row>
    <row r="3004" spans="1:24" hidden="1" x14ac:dyDescent="0.35">
      <c r="A3004">
        <v>3000</v>
      </c>
      <c r="B3004">
        <v>3001</v>
      </c>
      <c r="C3004">
        <v>146.10207706200001</v>
      </c>
      <c r="D3004">
        <v>-17.6386267524</v>
      </c>
      <c r="G3004" s="92"/>
      <c r="I3004">
        <v>8</v>
      </c>
      <c r="J3004" t="s">
        <v>26</v>
      </c>
      <c r="K3004" s="57"/>
      <c r="L3004" s="31"/>
      <c r="M3004" s="31"/>
      <c r="N3004" s="31"/>
      <c r="O3004" s="31"/>
      <c r="S3004" s="57"/>
      <c r="X3004" s="57"/>
    </row>
    <row r="3005" spans="1:24" hidden="1" x14ac:dyDescent="0.35">
      <c r="A3005">
        <v>3001</v>
      </c>
      <c r="B3005">
        <v>3002</v>
      </c>
      <c r="C3005">
        <v>146.102084163</v>
      </c>
      <c r="D3005">
        <v>-17.6385414121</v>
      </c>
      <c r="G3005" s="92"/>
      <c r="I3005">
        <v>8</v>
      </c>
      <c r="J3005" t="s">
        <v>26</v>
      </c>
      <c r="K3005" s="57"/>
      <c r="L3005" s="31"/>
      <c r="M3005" s="31"/>
      <c r="N3005" s="31"/>
      <c r="O3005" s="31"/>
      <c r="S3005" s="57"/>
      <c r="X3005" s="57"/>
    </row>
    <row r="3006" spans="1:24" hidden="1" x14ac:dyDescent="0.35">
      <c r="A3006">
        <v>3002</v>
      </c>
      <c r="B3006">
        <v>3003</v>
      </c>
      <c r="C3006">
        <v>146.10208938100001</v>
      </c>
      <c r="D3006">
        <v>-17.6384559516999</v>
      </c>
      <c r="G3006" s="92"/>
      <c r="I3006">
        <v>8</v>
      </c>
      <c r="J3006" t="s">
        <v>26</v>
      </c>
      <c r="K3006" s="57"/>
      <c r="L3006" s="31"/>
      <c r="M3006" s="31"/>
      <c r="N3006" s="31"/>
      <c r="O3006" s="31"/>
      <c r="S3006" s="57"/>
      <c r="X3006" s="57"/>
    </row>
    <row r="3007" spans="1:24" hidden="1" x14ac:dyDescent="0.35">
      <c r="A3007">
        <v>3003</v>
      </c>
      <c r="B3007">
        <v>3004</v>
      </c>
      <c r="C3007">
        <v>146.10209426200001</v>
      </c>
      <c r="D3007">
        <v>-17.6383704699</v>
      </c>
      <c r="G3007" s="92"/>
      <c r="I3007">
        <v>8</v>
      </c>
      <c r="J3007" t="s">
        <v>26</v>
      </c>
      <c r="K3007" s="57"/>
      <c r="L3007" s="31"/>
      <c r="M3007" s="31"/>
      <c r="N3007" s="31"/>
      <c r="O3007" s="31"/>
      <c r="S3007" s="57"/>
      <c r="X3007" s="57"/>
    </row>
    <row r="3008" spans="1:24" hidden="1" x14ac:dyDescent="0.35">
      <c r="A3008">
        <v>3004</v>
      </c>
      <c r="B3008">
        <v>3005</v>
      </c>
      <c r="C3008">
        <v>146.102097587999</v>
      </c>
      <c r="D3008">
        <v>-17.6382849441</v>
      </c>
      <c r="G3008" s="92"/>
      <c r="I3008">
        <v>8</v>
      </c>
      <c r="J3008" t="s">
        <v>26</v>
      </c>
      <c r="K3008" s="57"/>
      <c r="L3008" s="31"/>
      <c r="M3008" s="31"/>
      <c r="N3008" s="31"/>
      <c r="O3008" s="31"/>
      <c r="S3008" s="57"/>
      <c r="X3008" s="57"/>
    </row>
    <row r="3009" spans="1:24" hidden="1" x14ac:dyDescent="0.35">
      <c r="A3009">
        <v>3005</v>
      </c>
      <c r="B3009">
        <v>3006</v>
      </c>
      <c r="C3009">
        <v>146.102098011999</v>
      </c>
      <c r="D3009">
        <v>-17.638199336700001</v>
      </c>
      <c r="G3009" s="92"/>
      <c r="I3009">
        <v>8</v>
      </c>
      <c r="J3009" t="s">
        <v>26</v>
      </c>
      <c r="K3009" s="57"/>
      <c r="L3009" s="31"/>
      <c r="M3009" s="31"/>
      <c r="N3009" s="31"/>
      <c r="O3009" s="31"/>
      <c r="S3009" s="57"/>
      <c r="X3009" s="57"/>
    </row>
    <row r="3010" spans="1:24" hidden="1" x14ac:dyDescent="0.35">
      <c r="A3010">
        <v>3006</v>
      </c>
      <c r="B3010">
        <v>3007</v>
      </c>
      <c r="C3010">
        <v>146.102100385</v>
      </c>
      <c r="D3010">
        <v>-17.638113860400001</v>
      </c>
      <c r="G3010" s="92"/>
      <c r="I3010">
        <v>8</v>
      </c>
      <c r="J3010" t="s">
        <v>26</v>
      </c>
      <c r="K3010" s="57"/>
      <c r="L3010" s="31"/>
      <c r="M3010" s="31"/>
      <c r="N3010" s="31"/>
      <c r="O3010" s="31"/>
      <c r="S3010" s="57"/>
      <c r="X3010" s="57"/>
    </row>
    <row r="3011" spans="1:24" hidden="1" x14ac:dyDescent="0.35">
      <c r="A3011">
        <v>3007</v>
      </c>
      <c r="B3011">
        <v>3008</v>
      </c>
      <c r="C3011">
        <v>146.102125803999</v>
      </c>
      <c r="D3011">
        <v>-17.638036464599899</v>
      </c>
      <c r="G3011" s="92"/>
      <c r="I3011">
        <v>8</v>
      </c>
      <c r="J3011" t="s">
        <v>26</v>
      </c>
      <c r="K3011" s="57"/>
      <c r="L3011" s="31"/>
      <c r="M3011" s="31"/>
      <c r="N3011" s="31"/>
      <c r="O3011" s="31"/>
      <c r="S3011" s="57"/>
      <c r="X3011" s="57"/>
    </row>
    <row r="3012" spans="1:24" hidden="1" x14ac:dyDescent="0.35">
      <c r="A3012">
        <v>3008</v>
      </c>
      <c r="B3012">
        <v>3009</v>
      </c>
      <c r="C3012">
        <v>146.10219678600001</v>
      </c>
      <c r="D3012">
        <v>-17.638015973200002</v>
      </c>
      <c r="G3012" s="92"/>
      <c r="I3012">
        <v>8</v>
      </c>
      <c r="J3012" t="s">
        <v>26</v>
      </c>
      <c r="K3012" s="57"/>
      <c r="L3012" s="31"/>
      <c r="M3012" s="31"/>
      <c r="N3012" s="31"/>
      <c r="O3012" s="31"/>
      <c r="S3012" s="57"/>
      <c r="X3012" s="57"/>
    </row>
    <row r="3013" spans="1:24" hidden="1" x14ac:dyDescent="0.35">
      <c r="A3013">
        <v>3009</v>
      </c>
      <c r="B3013">
        <v>3010</v>
      </c>
      <c r="C3013">
        <v>146.10223034699899</v>
      </c>
      <c r="D3013">
        <v>-17.6380929026</v>
      </c>
      <c r="G3013" s="92"/>
      <c r="I3013">
        <v>8</v>
      </c>
      <c r="J3013" t="s">
        <v>26</v>
      </c>
      <c r="K3013" s="57"/>
      <c r="L3013" s="31"/>
      <c r="M3013" s="31"/>
      <c r="N3013" s="31"/>
      <c r="O3013" s="31"/>
      <c r="S3013" s="57"/>
      <c r="X3013" s="57"/>
    </row>
    <row r="3014" spans="1:24" hidden="1" x14ac:dyDescent="0.35">
      <c r="A3014">
        <v>3010</v>
      </c>
      <c r="B3014">
        <v>3011</v>
      </c>
      <c r="C3014">
        <v>146.10225452399899</v>
      </c>
      <c r="D3014">
        <v>-17.6381752787</v>
      </c>
      <c r="G3014" s="92"/>
      <c r="I3014">
        <v>8</v>
      </c>
      <c r="J3014" t="s">
        <v>26</v>
      </c>
      <c r="K3014" s="57"/>
      <c r="L3014" s="31"/>
      <c r="M3014" s="31"/>
      <c r="N3014" s="31"/>
      <c r="O3014" s="31"/>
      <c r="S3014" s="57"/>
      <c r="X3014" s="57"/>
    </row>
    <row r="3015" spans="1:24" hidden="1" x14ac:dyDescent="0.35">
      <c r="A3015">
        <v>3011</v>
      </c>
      <c r="B3015">
        <v>3012</v>
      </c>
      <c r="C3015">
        <v>146.102262435</v>
      </c>
      <c r="D3015">
        <v>-17.6382605545</v>
      </c>
      <c r="G3015" s="92"/>
      <c r="I3015">
        <v>8</v>
      </c>
      <c r="J3015" t="s">
        <v>26</v>
      </c>
      <c r="K3015" s="57"/>
      <c r="L3015" s="31"/>
      <c r="M3015" s="31"/>
      <c r="N3015" s="31"/>
      <c r="O3015" s="31"/>
      <c r="S3015" s="57"/>
      <c r="X3015" s="57"/>
    </row>
    <row r="3016" spans="1:24" hidden="1" x14ac:dyDescent="0.35">
      <c r="A3016">
        <v>3012</v>
      </c>
      <c r="B3016">
        <v>3013</v>
      </c>
      <c r="C3016">
        <v>146.102271311999</v>
      </c>
      <c r="D3016">
        <v>-17.6383456219999</v>
      </c>
      <c r="G3016" s="92"/>
      <c r="I3016">
        <v>8</v>
      </c>
      <c r="J3016" t="s">
        <v>26</v>
      </c>
      <c r="K3016" s="57"/>
      <c r="L3016" s="31"/>
      <c r="M3016" s="31"/>
      <c r="N3016" s="31"/>
      <c r="O3016" s="31"/>
      <c r="S3016" s="57"/>
      <c r="X3016" s="57"/>
    </row>
    <row r="3017" spans="1:24" hidden="1" x14ac:dyDescent="0.35">
      <c r="A3017">
        <v>3013</v>
      </c>
      <c r="B3017">
        <v>3014</v>
      </c>
      <c r="C3017">
        <v>146.10230272300001</v>
      </c>
      <c r="D3017">
        <v>-17.638425826100001</v>
      </c>
      <c r="G3017" s="92"/>
      <c r="I3017">
        <v>8</v>
      </c>
      <c r="J3017" t="s">
        <v>26</v>
      </c>
      <c r="K3017" s="57"/>
      <c r="L3017" s="31"/>
      <c r="M3017" s="31"/>
      <c r="N3017" s="31"/>
      <c r="O3017" s="31"/>
      <c r="S3017" s="57"/>
      <c r="X3017" s="57"/>
    </row>
    <row r="3018" spans="1:24" hidden="1" x14ac:dyDescent="0.35">
      <c r="A3018">
        <v>3014</v>
      </c>
      <c r="B3018">
        <v>3015</v>
      </c>
      <c r="C3018">
        <v>146.10235436100001</v>
      </c>
      <c r="D3018">
        <v>-17.6384937453</v>
      </c>
      <c r="G3018" s="92"/>
      <c r="I3018">
        <v>8</v>
      </c>
      <c r="J3018" t="s">
        <v>26</v>
      </c>
      <c r="K3018" s="57"/>
      <c r="L3018" s="31"/>
      <c r="M3018" s="31"/>
      <c r="N3018" s="31"/>
      <c r="O3018" s="31"/>
      <c r="S3018" s="57"/>
      <c r="X3018" s="57"/>
    </row>
    <row r="3019" spans="1:24" hidden="1" x14ac:dyDescent="0.35">
      <c r="A3019">
        <v>3015</v>
      </c>
      <c r="B3019">
        <v>3016</v>
      </c>
      <c r="C3019">
        <v>146.102423471999</v>
      </c>
      <c r="D3019">
        <v>-17.638545201900001</v>
      </c>
      <c r="G3019" s="92"/>
      <c r="I3019">
        <v>8</v>
      </c>
      <c r="J3019" t="s">
        <v>26</v>
      </c>
      <c r="K3019" s="57"/>
      <c r="L3019" s="31"/>
      <c r="M3019" s="31"/>
      <c r="N3019" s="31"/>
      <c r="O3019" s="31"/>
      <c r="S3019" s="57"/>
      <c r="X3019" s="57"/>
    </row>
    <row r="3020" spans="1:24" hidden="1" x14ac:dyDescent="0.35">
      <c r="A3020">
        <v>3016</v>
      </c>
      <c r="B3020">
        <v>3017</v>
      </c>
      <c r="C3020">
        <v>146.10250287700001</v>
      </c>
      <c r="D3020">
        <v>-17.6385178508</v>
      </c>
      <c r="G3020" s="92"/>
      <c r="I3020">
        <v>8</v>
      </c>
      <c r="J3020" t="s">
        <v>26</v>
      </c>
      <c r="K3020" s="57"/>
      <c r="L3020" s="31"/>
      <c r="M3020" s="31"/>
      <c r="N3020" s="31"/>
      <c r="O3020" s="31"/>
      <c r="S3020" s="57"/>
      <c r="X3020" s="57"/>
    </row>
    <row r="3021" spans="1:24" hidden="1" x14ac:dyDescent="0.35">
      <c r="A3021">
        <v>3017</v>
      </c>
      <c r="B3021">
        <v>3018</v>
      </c>
      <c r="C3021">
        <v>146.10253684400001</v>
      </c>
      <c r="D3021">
        <v>-17.638438598299899</v>
      </c>
      <c r="G3021" s="92"/>
      <c r="I3021">
        <v>8</v>
      </c>
      <c r="J3021" t="s">
        <v>26</v>
      </c>
      <c r="K3021" s="57"/>
      <c r="L3021" s="31"/>
      <c r="M3021" s="31"/>
      <c r="N3021" s="31"/>
      <c r="O3021" s="31"/>
      <c r="S3021" s="57"/>
      <c r="X3021" s="57"/>
    </row>
    <row r="3022" spans="1:24" hidden="1" x14ac:dyDescent="0.35">
      <c r="A3022">
        <v>3018</v>
      </c>
      <c r="B3022">
        <v>3019</v>
      </c>
      <c r="C3022">
        <v>146.102570810999</v>
      </c>
      <c r="D3022">
        <v>-17.638359345800001</v>
      </c>
      <c r="G3022" s="92"/>
      <c r="I3022">
        <v>8</v>
      </c>
      <c r="J3022" t="s">
        <v>26</v>
      </c>
      <c r="K3022" s="57"/>
      <c r="L3022" s="31"/>
      <c r="M3022" s="31"/>
      <c r="N3022" s="31"/>
      <c r="O3022" s="31"/>
      <c r="S3022" s="57"/>
      <c r="X3022" s="57"/>
    </row>
    <row r="3023" spans="1:24" hidden="1" x14ac:dyDescent="0.35">
      <c r="A3023">
        <v>3019</v>
      </c>
      <c r="B3023">
        <v>3020</v>
      </c>
      <c r="C3023">
        <v>146.10260753700001</v>
      </c>
      <c r="D3023">
        <v>-17.638281245000002</v>
      </c>
      <c r="G3023" s="92"/>
      <c r="I3023">
        <v>8</v>
      </c>
      <c r="J3023" t="s">
        <v>26</v>
      </c>
      <c r="K3023" s="57"/>
      <c r="L3023" s="31"/>
      <c r="M3023" s="31"/>
      <c r="N3023" s="31"/>
      <c r="O3023" s="31"/>
      <c r="S3023" s="57"/>
      <c r="X3023" s="57"/>
    </row>
    <row r="3024" spans="1:24" hidden="1" x14ac:dyDescent="0.35">
      <c r="A3024">
        <v>3020</v>
      </c>
      <c r="B3024">
        <v>3021</v>
      </c>
      <c r="C3024">
        <v>146.102645631999</v>
      </c>
      <c r="D3024">
        <v>-17.638203715700001</v>
      </c>
      <c r="F3024" t="str">
        <f>HYPERLINK("D:\Data From Lucan\2024\Moresby\Frames_for_Analysis/3021_20240611_0003_L_0208.jpg","3021_20240611_0003_L_0208.jpg")</f>
        <v>3021_20240611_0003_L_0208.jpg</v>
      </c>
      <c r="G3024" s="92" t="s">
        <v>4608</v>
      </c>
      <c r="I3024">
        <v>8</v>
      </c>
      <c r="K3024" s="57">
        <v>1</v>
      </c>
      <c r="L3024" s="31"/>
      <c r="M3024" s="31"/>
      <c r="N3024" s="31"/>
      <c r="O3024" s="31"/>
      <c r="P3024" s="57">
        <v>1</v>
      </c>
      <c r="Q3024" s="57">
        <v>0</v>
      </c>
      <c r="R3024" s="57">
        <v>0</v>
      </c>
      <c r="S3024" s="57">
        <v>0</v>
      </c>
      <c r="T3024" s="57">
        <v>2</v>
      </c>
      <c r="U3024" s="57">
        <v>0</v>
      </c>
      <c r="V3024" s="57">
        <v>0</v>
      </c>
      <c r="W3024" s="57">
        <v>0</v>
      </c>
      <c r="X3024" s="57">
        <v>0</v>
      </c>
    </row>
    <row r="3025" spans="1:24" hidden="1" x14ac:dyDescent="0.35">
      <c r="A3025">
        <v>3021</v>
      </c>
      <c r="B3025">
        <v>3022</v>
      </c>
      <c r="C3025">
        <v>146.102683726999</v>
      </c>
      <c r="D3025">
        <v>-17.6381261862999</v>
      </c>
      <c r="G3025" s="92"/>
      <c r="I3025">
        <v>8</v>
      </c>
      <c r="J3025" t="s">
        <v>26</v>
      </c>
      <c r="K3025" s="57"/>
      <c r="L3025" s="31"/>
      <c r="M3025" s="31"/>
      <c r="N3025" s="31"/>
      <c r="O3025" s="31"/>
      <c r="S3025" s="57"/>
      <c r="X3025" s="57"/>
    </row>
    <row r="3026" spans="1:24" hidden="1" x14ac:dyDescent="0.35">
      <c r="A3026">
        <v>3022</v>
      </c>
      <c r="B3026">
        <v>3023</v>
      </c>
      <c r="C3026">
        <v>146.10272182200001</v>
      </c>
      <c r="D3026">
        <v>-17.638048656799899</v>
      </c>
      <c r="F3026" t="str">
        <f>HYPERLINK("D:\Data From Lucan\2024\Moresby\Frames_for_Analysis/3023_20240611_0003_L_0209.jpg","3023_20240611_0003_L_0209.jpg")</f>
        <v>3023_20240611_0003_L_0209.jpg</v>
      </c>
      <c r="G3026" s="92" t="s">
        <v>4609</v>
      </c>
      <c r="I3026">
        <v>8</v>
      </c>
      <c r="K3026" s="57">
        <v>1</v>
      </c>
      <c r="L3026" s="31"/>
      <c r="M3026" s="31"/>
      <c r="N3026" s="31"/>
      <c r="O3026" s="31"/>
      <c r="P3026" s="57">
        <v>1</v>
      </c>
      <c r="Q3026" s="57">
        <v>0</v>
      </c>
      <c r="R3026" s="57">
        <v>0</v>
      </c>
      <c r="S3026" s="57">
        <v>0</v>
      </c>
      <c r="T3026" s="57">
        <v>0</v>
      </c>
      <c r="U3026" s="57">
        <v>0</v>
      </c>
      <c r="V3026" s="57">
        <v>0</v>
      </c>
      <c r="W3026" s="57">
        <v>0</v>
      </c>
      <c r="X3026" s="57">
        <v>0</v>
      </c>
    </row>
    <row r="3027" spans="1:24" hidden="1" x14ac:dyDescent="0.35">
      <c r="A3027">
        <v>3023</v>
      </c>
      <c r="B3027">
        <v>3024</v>
      </c>
      <c r="C3027">
        <v>146.102759918</v>
      </c>
      <c r="D3027">
        <v>-17.6379711274</v>
      </c>
      <c r="G3027" s="92"/>
      <c r="I3027">
        <v>8</v>
      </c>
      <c r="J3027" t="s">
        <v>26</v>
      </c>
      <c r="K3027" s="57"/>
      <c r="L3027" s="31"/>
      <c r="M3027" s="31"/>
      <c r="N3027" s="31"/>
      <c r="O3027" s="31"/>
      <c r="S3027" s="57"/>
      <c r="X3027" s="57"/>
    </row>
    <row r="3028" spans="1:24" hidden="1" x14ac:dyDescent="0.35">
      <c r="A3028">
        <v>3024</v>
      </c>
      <c r="B3028">
        <v>3025</v>
      </c>
      <c r="C3028">
        <v>146.10279801300001</v>
      </c>
      <c r="D3028">
        <v>-17.6378935979</v>
      </c>
      <c r="G3028" s="92"/>
      <c r="I3028">
        <v>8</v>
      </c>
      <c r="J3028" t="s">
        <v>26</v>
      </c>
      <c r="K3028" s="57"/>
      <c r="L3028" s="31"/>
      <c r="M3028" s="31"/>
      <c r="N3028" s="31"/>
      <c r="O3028" s="31"/>
      <c r="S3028" s="57"/>
      <c r="X3028" s="57"/>
    </row>
    <row r="3029" spans="1:24" hidden="1" x14ac:dyDescent="0.35">
      <c r="A3029">
        <v>3025</v>
      </c>
      <c r="B3029">
        <v>3026</v>
      </c>
      <c r="C3029">
        <v>146.102836107999</v>
      </c>
      <c r="D3029">
        <v>-17.6378160683999</v>
      </c>
      <c r="F3029" t="str">
        <f>HYPERLINK("D:\Data From Lucan\2024\Moresby\Frames_for_Analysis/3026_20240611_0003_L_0210.jpg","3026_20240611_0003_L_0210.jpg")</f>
        <v>3026_20240611_0003_L_0210.jpg</v>
      </c>
      <c r="G3029" s="92" t="s">
        <v>4610</v>
      </c>
      <c r="I3029">
        <v>8</v>
      </c>
      <c r="K3029" s="57">
        <v>1</v>
      </c>
      <c r="L3029" s="31"/>
      <c r="M3029" s="31"/>
      <c r="N3029" s="31"/>
      <c r="O3029" s="31"/>
      <c r="P3029" s="57">
        <v>1</v>
      </c>
      <c r="Q3029" s="57">
        <v>0</v>
      </c>
      <c r="R3029" s="57">
        <v>0</v>
      </c>
      <c r="S3029" s="57">
        <v>0</v>
      </c>
      <c r="T3029" s="57">
        <v>0</v>
      </c>
      <c r="U3029" s="57">
        <v>0</v>
      </c>
      <c r="V3029" s="57">
        <v>0</v>
      </c>
      <c r="W3029" s="57">
        <v>0</v>
      </c>
      <c r="X3029" s="57">
        <v>0</v>
      </c>
    </row>
    <row r="3030" spans="1:24" hidden="1" x14ac:dyDescent="0.35">
      <c r="A3030">
        <v>3026</v>
      </c>
      <c r="B3030">
        <v>3027</v>
      </c>
      <c r="C3030">
        <v>146.102887350999</v>
      </c>
      <c r="D3030">
        <v>-17.637746346099899</v>
      </c>
      <c r="G3030" s="92"/>
      <c r="I3030">
        <v>8</v>
      </c>
      <c r="J3030" t="s">
        <v>26</v>
      </c>
      <c r="K3030" s="57"/>
      <c r="L3030" s="31"/>
      <c r="M3030" s="31"/>
      <c r="N3030" s="31"/>
      <c r="O3030" s="31"/>
      <c r="S3030" s="57"/>
      <c r="X3030" s="57"/>
    </row>
    <row r="3031" spans="1:24" hidden="1" x14ac:dyDescent="0.35">
      <c r="A3031">
        <v>3027</v>
      </c>
      <c r="B3031">
        <v>3028</v>
      </c>
      <c r="C3031">
        <v>146.102943592</v>
      </c>
      <c r="D3031">
        <v>-17.6376795913</v>
      </c>
      <c r="G3031" s="92"/>
      <c r="I3031">
        <v>8</v>
      </c>
      <c r="J3031" t="s">
        <v>26</v>
      </c>
      <c r="K3031" s="57"/>
      <c r="L3031" s="31"/>
      <c r="M3031" s="31"/>
      <c r="N3031" s="31"/>
      <c r="O3031" s="31"/>
      <c r="S3031" s="57"/>
      <c r="X3031" s="57"/>
    </row>
    <row r="3032" spans="1:24" hidden="1" x14ac:dyDescent="0.35">
      <c r="A3032">
        <v>3028</v>
      </c>
      <c r="B3032">
        <v>3029</v>
      </c>
      <c r="C3032">
        <v>146.10299983300001</v>
      </c>
      <c r="D3032">
        <v>-17.637612836500001</v>
      </c>
      <c r="G3032" s="92"/>
      <c r="I3032">
        <v>8</v>
      </c>
      <c r="J3032" t="s">
        <v>26</v>
      </c>
      <c r="K3032" s="57"/>
      <c r="L3032" s="31"/>
      <c r="M3032" s="31"/>
      <c r="N3032" s="31"/>
      <c r="O3032" s="31"/>
      <c r="S3032" s="57"/>
      <c r="X3032" s="57"/>
    </row>
    <row r="3033" spans="1:24" hidden="1" x14ac:dyDescent="0.35">
      <c r="A3033">
        <v>3029</v>
      </c>
      <c r="B3033">
        <v>3030</v>
      </c>
      <c r="C3033">
        <v>146.103059395999</v>
      </c>
      <c r="D3033">
        <v>-17.6375487613</v>
      </c>
      <c r="G3033" s="92"/>
      <c r="I3033">
        <v>8</v>
      </c>
      <c r="J3033" t="s">
        <v>26</v>
      </c>
      <c r="K3033" s="57"/>
      <c r="L3033" s="31"/>
      <c r="M3033" s="31"/>
      <c r="N3033" s="31"/>
      <c r="O3033" s="31"/>
      <c r="S3033" s="57"/>
      <c r="X3033" s="57"/>
    </row>
    <row r="3034" spans="1:24" hidden="1" x14ac:dyDescent="0.35">
      <c r="A3034">
        <v>3030</v>
      </c>
      <c r="B3034">
        <v>3031</v>
      </c>
      <c r="C3034">
        <v>146.103119515999</v>
      </c>
      <c r="D3034">
        <v>-17.637485152899899</v>
      </c>
      <c r="G3034" s="92"/>
      <c r="I3034">
        <v>8</v>
      </c>
      <c r="J3034" t="s">
        <v>26</v>
      </c>
      <c r="K3034" s="57"/>
      <c r="L3034" s="31"/>
      <c r="M3034" s="31"/>
      <c r="N3034" s="31"/>
      <c r="O3034" s="31"/>
      <c r="S3034" s="57"/>
      <c r="X3034" s="57"/>
    </row>
    <row r="3035" spans="1:24" hidden="1" x14ac:dyDescent="0.35">
      <c r="A3035">
        <v>3031</v>
      </c>
      <c r="B3035">
        <v>3032</v>
      </c>
      <c r="C3035">
        <v>146.10318005600001</v>
      </c>
      <c r="D3035">
        <v>-17.637421905499899</v>
      </c>
      <c r="G3035" s="92"/>
      <c r="I3035">
        <v>8</v>
      </c>
      <c r="J3035" t="s">
        <v>26</v>
      </c>
      <c r="K3035" s="57"/>
      <c r="L3035" s="31"/>
      <c r="M3035" s="31"/>
      <c r="N3035" s="31"/>
      <c r="O3035" s="31"/>
      <c r="S3035" s="57"/>
      <c r="X3035" s="57"/>
    </row>
    <row r="3036" spans="1:24" hidden="1" x14ac:dyDescent="0.35">
      <c r="A3036">
        <v>3032</v>
      </c>
      <c r="B3036">
        <v>3033</v>
      </c>
      <c r="C3036">
        <v>146.10322192800001</v>
      </c>
      <c r="D3036">
        <v>-17.6373481844</v>
      </c>
      <c r="G3036" s="92"/>
      <c r="I3036">
        <v>8</v>
      </c>
      <c r="J3036" t="s">
        <v>26</v>
      </c>
      <c r="K3036" s="57"/>
      <c r="L3036" s="31"/>
      <c r="M3036" s="31"/>
      <c r="N3036" s="31"/>
      <c r="O3036" s="31"/>
      <c r="S3036" s="57"/>
      <c r="X3036" s="57"/>
    </row>
    <row r="3037" spans="1:24" x14ac:dyDescent="0.35">
      <c r="A3037">
        <v>3033</v>
      </c>
      <c r="B3037">
        <v>3034</v>
      </c>
      <c r="C3037">
        <v>146.10322395</v>
      </c>
      <c r="D3037">
        <v>-17.6372684018</v>
      </c>
      <c r="F3037" t="str">
        <f>HYPERLINK("D:\Data From Lucan\2024\Moresby\Frames_for_Analysis/3034_20240611_0003_L_0212.jpg","3034_20240611_0003_L_0212.jpg")</f>
        <v>3034_20240611_0003_L_0212.jpg</v>
      </c>
      <c r="G3037" s="92" t="s">
        <v>4611</v>
      </c>
      <c r="I3037">
        <v>2</v>
      </c>
      <c r="K3037" s="97">
        <v>1</v>
      </c>
      <c r="L3037" s="31"/>
      <c r="M3037" s="31"/>
      <c r="N3037" s="31"/>
      <c r="O3037" s="31"/>
      <c r="P3037" s="57">
        <v>1</v>
      </c>
      <c r="Q3037" s="57">
        <v>0</v>
      </c>
      <c r="R3037" s="57">
        <v>0</v>
      </c>
      <c r="S3037" s="97">
        <v>0</v>
      </c>
      <c r="T3037" s="57">
        <v>0</v>
      </c>
      <c r="U3037" s="57">
        <v>0</v>
      </c>
      <c r="V3037" s="57">
        <v>0</v>
      </c>
      <c r="W3037" s="57">
        <v>0</v>
      </c>
      <c r="X3037" s="97">
        <v>0</v>
      </c>
    </row>
    <row r="3038" spans="1:24" x14ac:dyDescent="0.35">
      <c r="A3038">
        <v>3034</v>
      </c>
      <c r="B3038">
        <v>3035</v>
      </c>
      <c r="C3038">
        <v>146.103186397999</v>
      </c>
      <c r="D3038">
        <v>-17.637190631700001</v>
      </c>
      <c r="E3038">
        <f>IF(MOD(B3038,5)=0, 50, "")</f>
        <v>50</v>
      </c>
      <c r="F3038" t="str">
        <f>HYPERLINK("D:\Data From Lucan\2024\Moresby\Frames_for_Analysis/3035_20240611_0003_L_0214.jpg","3035_20240611_0003_L_0214.jpg")</f>
        <v>3035_20240611_0003_L_0214.jpg</v>
      </c>
      <c r="G3038" s="92" t="s">
        <v>4612</v>
      </c>
      <c r="I3038">
        <v>2</v>
      </c>
      <c r="K3038" s="97">
        <v>1</v>
      </c>
      <c r="L3038" s="31"/>
      <c r="M3038" s="31"/>
      <c r="N3038" s="31"/>
      <c r="O3038" s="31"/>
      <c r="P3038" s="57">
        <v>1</v>
      </c>
      <c r="Q3038" s="57">
        <v>0</v>
      </c>
      <c r="R3038" s="57">
        <v>0</v>
      </c>
      <c r="S3038" s="97">
        <v>0</v>
      </c>
      <c r="T3038" s="57">
        <v>2</v>
      </c>
      <c r="U3038" s="57">
        <v>0</v>
      </c>
      <c r="V3038" s="57">
        <v>0</v>
      </c>
      <c r="W3038" s="57">
        <v>0</v>
      </c>
      <c r="X3038" s="97">
        <v>0</v>
      </c>
    </row>
    <row r="3039" spans="1:24" x14ac:dyDescent="0.35">
      <c r="A3039">
        <v>3035</v>
      </c>
      <c r="B3039">
        <v>3036</v>
      </c>
      <c r="C3039">
        <v>146.10314884600001</v>
      </c>
      <c r="D3039">
        <v>-17.6371128615</v>
      </c>
      <c r="E3039" s="92" t="str">
        <f t="shared" ref="E3039:E3102" si="0">IF(MOD(B3039,5)=0, 50, "")</f>
        <v/>
      </c>
      <c r="F3039" t="str">
        <f>HYPERLINK("D:\Data From Lucan\2024\Moresby\Frames_for_Analysis/3036_20240611_0003_L_0216.jpg","3036_20240611_0003_L_0216.jpg")</f>
        <v>3036_20240611_0003_L_0216.jpg</v>
      </c>
      <c r="G3039" s="92" t="s">
        <v>4613</v>
      </c>
      <c r="I3039">
        <v>2</v>
      </c>
      <c r="K3039" s="97">
        <v>1</v>
      </c>
      <c r="L3039" s="31"/>
      <c r="M3039" s="31"/>
      <c r="N3039" s="31"/>
      <c r="O3039" s="31"/>
      <c r="P3039" s="57">
        <v>1</v>
      </c>
      <c r="Q3039" s="57">
        <v>0</v>
      </c>
      <c r="R3039" s="57">
        <v>0</v>
      </c>
      <c r="S3039" s="97">
        <v>0</v>
      </c>
      <c r="T3039" s="57">
        <v>0</v>
      </c>
      <c r="U3039" s="57">
        <v>0</v>
      </c>
      <c r="V3039" s="57">
        <v>0</v>
      </c>
      <c r="W3039" s="57">
        <v>0</v>
      </c>
      <c r="X3039" s="97">
        <v>0</v>
      </c>
    </row>
    <row r="3040" spans="1:24" x14ac:dyDescent="0.35">
      <c r="A3040">
        <v>3036</v>
      </c>
      <c r="B3040">
        <v>3037</v>
      </c>
      <c r="C3040">
        <v>146.103111294</v>
      </c>
      <c r="D3040">
        <v>-17.6370350913</v>
      </c>
      <c r="E3040" s="92" t="str">
        <f t="shared" si="0"/>
        <v/>
      </c>
      <c r="F3040" t="str">
        <f>HYPERLINK("D:\Data From Lucan\2024\Moresby\Frames_for_Analysis/3037_20240611_0003_L_0218.jpg","3037_20240611_0003_L_0218.jpg")</f>
        <v>3037_20240611_0003_L_0218.jpg</v>
      </c>
      <c r="G3040" s="92" t="s">
        <v>4614</v>
      </c>
      <c r="I3040">
        <v>2</v>
      </c>
      <c r="K3040" s="97">
        <v>1</v>
      </c>
      <c r="L3040" s="31"/>
      <c r="M3040" s="31"/>
      <c r="N3040" s="31"/>
      <c r="O3040" s="31"/>
      <c r="P3040" s="57">
        <v>1</v>
      </c>
      <c r="Q3040" s="57">
        <v>0</v>
      </c>
      <c r="R3040" s="57">
        <v>0</v>
      </c>
      <c r="S3040" s="97">
        <v>0</v>
      </c>
      <c r="T3040" s="57">
        <v>0</v>
      </c>
      <c r="U3040" s="57">
        <v>0</v>
      </c>
      <c r="V3040" s="57">
        <v>0</v>
      </c>
      <c r="W3040" s="57">
        <v>0</v>
      </c>
      <c r="X3040" s="97">
        <v>0</v>
      </c>
    </row>
    <row r="3041" spans="1:24" x14ac:dyDescent="0.35">
      <c r="A3041">
        <v>3037</v>
      </c>
      <c r="B3041">
        <v>3038</v>
      </c>
      <c r="C3041">
        <v>146.103073741999</v>
      </c>
      <c r="D3041">
        <v>-17.636957321000001</v>
      </c>
      <c r="E3041" s="92" t="str">
        <f t="shared" si="0"/>
        <v/>
      </c>
      <c r="F3041" t="str">
        <f>HYPERLINK("D:\Data From Lucan\2024\Moresby\Frames_for_Analysis/3038_20240611_0003_L_0221.jpg","3038_20240611_0003_L_0221.jpg")</f>
        <v>3038_20240611_0003_L_0221.jpg</v>
      </c>
      <c r="G3041" s="92" t="s">
        <v>4615</v>
      </c>
      <c r="I3041">
        <v>2</v>
      </c>
      <c r="K3041" s="97">
        <v>1</v>
      </c>
      <c r="L3041" s="31"/>
      <c r="M3041" s="31"/>
      <c r="N3041" s="31"/>
      <c r="O3041" s="31"/>
      <c r="P3041" s="57">
        <v>1</v>
      </c>
      <c r="Q3041" s="57">
        <v>0</v>
      </c>
      <c r="R3041" s="57">
        <v>0</v>
      </c>
      <c r="S3041" s="97">
        <v>0</v>
      </c>
      <c r="T3041" s="57">
        <v>0</v>
      </c>
      <c r="U3041" s="57">
        <v>0</v>
      </c>
      <c r="V3041" s="57">
        <v>0</v>
      </c>
      <c r="W3041" s="57">
        <v>0</v>
      </c>
      <c r="X3041" s="97">
        <v>0</v>
      </c>
    </row>
    <row r="3042" spans="1:24" x14ac:dyDescent="0.35">
      <c r="A3042">
        <v>3038</v>
      </c>
      <c r="B3042">
        <v>3039</v>
      </c>
      <c r="C3042">
        <v>146.103036594</v>
      </c>
      <c r="D3042">
        <v>-17.6368793747999</v>
      </c>
      <c r="E3042" s="92" t="str">
        <f t="shared" si="0"/>
        <v/>
      </c>
      <c r="F3042" t="str">
        <f>HYPERLINK("D:\Data From Lucan\2024\Moresby\Frames_for_Analysis/3039_20240611_0003_L_0224.jpg","3039_20240611_0003_L_0224.jpg")</f>
        <v>3039_20240611_0003_L_0224.jpg</v>
      </c>
      <c r="G3042" s="92" t="s">
        <v>4616</v>
      </c>
      <c r="I3042">
        <v>2</v>
      </c>
      <c r="K3042" s="97">
        <v>1</v>
      </c>
      <c r="L3042" s="31"/>
      <c r="M3042" s="31"/>
      <c r="N3042" s="31"/>
      <c r="O3042" s="31"/>
      <c r="P3042" s="57">
        <v>1</v>
      </c>
      <c r="Q3042" s="57">
        <v>0</v>
      </c>
      <c r="R3042" s="57">
        <v>0</v>
      </c>
      <c r="S3042" s="97">
        <v>0</v>
      </c>
      <c r="T3042" s="57">
        <v>0</v>
      </c>
      <c r="U3042" s="57">
        <v>0</v>
      </c>
      <c r="V3042" s="57">
        <v>0</v>
      </c>
      <c r="W3042" s="57">
        <v>0</v>
      </c>
      <c r="X3042" s="97">
        <v>0</v>
      </c>
    </row>
    <row r="3043" spans="1:24" x14ac:dyDescent="0.35">
      <c r="A3043">
        <v>3039</v>
      </c>
      <c r="B3043">
        <v>3040</v>
      </c>
      <c r="C3043">
        <v>146.102999447</v>
      </c>
      <c r="D3043">
        <v>-17.6368014279</v>
      </c>
      <c r="E3043" s="92">
        <f t="shared" si="0"/>
        <v>50</v>
      </c>
      <c r="F3043" t="str">
        <f>HYPERLINK("D:\Data From Lucan\2024\Moresby\Frames_for_Analysis/3040_20240611_0003_L_0226.jpg","3040_20240611_0003_L_0226.jpg")</f>
        <v>3040_20240611_0003_L_0226.jpg</v>
      </c>
      <c r="G3043" s="92" t="s">
        <v>4617</v>
      </c>
      <c r="I3043">
        <v>2</v>
      </c>
      <c r="K3043" s="97">
        <v>1</v>
      </c>
      <c r="L3043" s="31"/>
      <c r="M3043" s="31"/>
      <c r="N3043" s="31"/>
      <c r="O3043" s="31"/>
      <c r="P3043" s="57">
        <v>1</v>
      </c>
      <c r="Q3043" s="57">
        <v>0</v>
      </c>
      <c r="R3043" s="57">
        <v>0</v>
      </c>
      <c r="S3043" s="97">
        <v>0</v>
      </c>
      <c r="T3043" s="57">
        <v>0</v>
      </c>
      <c r="U3043" s="57">
        <v>0</v>
      </c>
      <c r="V3043" s="57">
        <v>0</v>
      </c>
      <c r="W3043" s="57">
        <v>0</v>
      </c>
      <c r="X3043" s="97">
        <v>0</v>
      </c>
    </row>
    <row r="3044" spans="1:24" x14ac:dyDescent="0.35">
      <c r="A3044">
        <v>3040</v>
      </c>
      <c r="B3044">
        <v>3041</v>
      </c>
      <c r="C3044">
        <v>146.102962300999</v>
      </c>
      <c r="D3044">
        <v>-17.636723481000001</v>
      </c>
      <c r="E3044" s="92" t="str">
        <f t="shared" si="0"/>
        <v/>
      </c>
      <c r="F3044" t="str">
        <f>HYPERLINK("D:\Data From Lucan\2024\Moresby\Frames_for_Analysis/3041_20240611_0003_L_0229.jpg","3041_20240611_0003_L_0229.jpg")</f>
        <v>3041_20240611_0003_L_0229.jpg</v>
      </c>
      <c r="G3044" s="92" t="s">
        <v>4618</v>
      </c>
      <c r="I3044">
        <v>2</v>
      </c>
      <c r="K3044" s="97">
        <v>1</v>
      </c>
      <c r="L3044" s="31"/>
      <c r="M3044" s="31"/>
      <c r="N3044" s="31"/>
      <c r="O3044" s="31"/>
      <c r="P3044" s="57">
        <v>1</v>
      </c>
      <c r="Q3044" s="57">
        <v>0</v>
      </c>
      <c r="R3044" s="57">
        <v>0</v>
      </c>
      <c r="S3044" s="97">
        <v>0</v>
      </c>
      <c r="T3044" s="57">
        <v>0</v>
      </c>
      <c r="U3044" s="57">
        <v>0</v>
      </c>
      <c r="V3044" s="57">
        <v>0</v>
      </c>
      <c r="W3044" s="57">
        <v>0</v>
      </c>
      <c r="X3044" s="97">
        <v>0</v>
      </c>
    </row>
    <row r="3045" spans="1:24" x14ac:dyDescent="0.35">
      <c r="A3045">
        <v>3041</v>
      </c>
      <c r="B3045">
        <v>3042</v>
      </c>
      <c r="C3045">
        <v>146.102925153999</v>
      </c>
      <c r="D3045">
        <v>-17.636645534100001</v>
      </c>
      <c r="E3045" s="92" t="str">
        <f t="shared" si="0"/>
        <v/>
      </c>
      <c r="F3045" t="str">
        <f>HYPERLINK("D:\Data From Lucan\2024\Moresby\Frames_for_Analysis/3042_20240611_0003_L_0231.jpg","3042_20240611_0003_L_0231.jpg")</f>
        <v>3042_20240611_0003_L_0231.jpg</v>
      </c>
      <c r="G3045" s="92" t="s">
        <v>4619</v>
      </c>
      <c r="I3045">
        <v>2</v>
      </c>
      <c r="K3045" s="97">
        <v>1</v>
      </c>
      <c r="L3045" s="31"/>
      <c r="M3045" s="31"/>
      <c r="N3045" s="31"/>
      <c r="O3045" s="31"/>
      <c r="P3045" s="57">
        <v>1</v>
      </c>
      <c r="Q3045" s="57">
        <v>0</v>
      </c>
      <c r="R3045" s="57">
        <v>0</v>
      </c>
      <c r="S3045" s="97">
        <v>0</v>
      </c>
      <c r="T3045" s="57">
        <v>0</v>
      </c>
      <c r="U3045" s="57">
        <v>0</v>
      </c>
      <c r="V3045" s="57">
        <v>0</v>
      </c>
      <c r="W3045" s="57">
        <v>0</v>
      </c>
      <c r="X3045" s="97">
        <v>0</v>
      </c>
    </row>
    <row r="3046" spans="1:24" x14ac:dyDescent="0.35">
      <c r="A3046">
        <v>3042</v>
      </c>
      <c r="B3046">
        <v>3043</v>
      </c>
      <c r="C3046">
        <v>146.102888006999</v>
      </c>
      <c r="D3046">
        <v>-17.6365675871</v>
      </c>
      <c r="E3046" s="92" t="str">
        <f t="shared" si="0"/>
        <v/>
      </c>
      <c r="F3046" t="str">
        <f>HYPERLINK("D:\Data From Lucan\2024\Moresby\Frames_for_Analysis/3043_20240611_0003_L_0233.jpg","3043_20240611_0003_L_0233.jpg")</f>
        <v>3043_20240611_0003_L_0233.jpg</v>
      </c>
      <c r="G3046" s="92" t="s">
        <v>4620</v>
      </c>
      <c r="I3046">
        <v>2</v>
      </c>
      <c r="K3046" s="97">
        <v>1</v>
      </c>
      <c r="L3046" s="31"/>
      <c r="M3046" s="31"/>
      <c r="N3046" s="31"/>
      <c r="O3046" s="31"/>
      <c r="P3046" s="57">
        <v>1</v>
      </c>
      <c r="Q3046" s="57">
        <v>0</v>
      </c>
      <c r="R3046" s="57">
        <v>0</v>
      </c>
      <c r="S3046" s="97">
        <v>0</v>
      </c>
      <c r="T3046" s="57">
        <v>0</v>
      </c>
      <c r="U3046" s="57">
        <v>0</v>
      </c>
      <c r="V3046" s="57">
        <v>0</v>
      </c>
      <c r="W3046" s="57">
        <v>0</v>
      </c>
      <c r="X3046" s="97">
        <v>0</v>
      </c>
    </row>
    <row r="3047" spans="1:24" x14ac:dyDescent="0.35">
      <c r="A3047">
        <v>3043</v>
      </c>
      <c r="B3047">
        <v>3044</v>
      </c>
      <c r="C3047">
        <v>146.10285086100001</v>
      </c>
      <c r="D3047">
        <v>-17.636489640099899</v>
      </c>
      <c r="E3047" s="92" t="str">
        <f t="shared" si="0"/>
        <v/>
      </c>
      <c r="F3047" t="str">
        <f>HYPERLINK("D:\Data From Lucan\2024\Moresby\Frames_for_Analysis/3044_20240611_0003_L_0236.jpg","3044_20240611_0003_L_0236.jpg")</f>
        <v>3044_20240611_0003_L_0236.jpg</v>
      </c>
      <c r="G3047" s="92" t="s">
        <v>4621</v>
      </c>
      <c r="I3047">
        <v>2</v>
      </c>
      <c r="K3047" s="97">
        <v>1</v>
      </c>
      <c r="L3047" s="31"/>
      <c r="M3047" s="31"/>
      <c r="N3047" s="31"/>
      <c r="O3047" s="31"/>
      <c r="P3047" s="57">
        <v>1</v>
      </c>
      <c r="Q3047" s="57">
        <v>0</v>
      </c>
      <c r="R3047" s="57">
        <v>0</v>
      </c>
      <c r="S3047" s="97">
        <v>0</v>
      </c>
      <c r="T3047" s="57">
        <v>0</v>
      </c>
      <c r="U3047" s="57">
        <v>0</v>
      </c>
      <c r="V3047" s="57">
        <v>0</v>
      </c>
      <c r="W3047" s="57">
        <v>0</v>
      </c>
      <c r="X3047" s="97">
        <v>0</v>
      </c>
    </row>
    <row r="3048" spans="1:24" x14ac:dyDescent="0.35">
      <c r="A3048">
        <v>3044</v>
      </c>
      <c r="B3048">
        <v>3045</v>
      </c>
      <c r="C3048">
        <v>146.10281371400001</v>
      </c>
      <c r="D3048">
        <v>-17.6364116929999</v>
      </c>
      <c r="E3048" s="92">
        <f t="shared" si="0"/>
        <v>50</v>
      </c>
      <c r="F3048" t="str">
        <f>HYPERLINK("D:\Data From Lucan\2024\Moresby\Frames_for_Analysis/3045_20240611_0003_L_0240.jpg","3045_20240611_0003_L_0240.jpg")</f>
        <v>3045_20240611_0003_L_0240.jpg</v>
      </c>
      <c r="G3048" s="92" t="s">
        <v>4622</v>
      </c>
      <c r="I3048">
        <v>2</v>
      </c>
      <c r="K3048" s="97">
        <v>1</v>
      </c>
      <c r="L3048" s="31"/>
      <c r="M3048" s="31"/>
      <c r="N3048" s="31"/>
      <c r="O3048" s="31"/>
      <c r="P3048" s="57">
        <v>1</v>
      </c>
      <c r="Q3048" s="57">
        <v>0</v>
      </c>
      <c r="R3048" s="57">
        <v>0</v>
      </c>
      <c r="S3048" s="97">
        <v>0</v>
      </c>
      <c r="T3048" s="57">
        <v>0</v>
      </c>
      <c r="U3048" s="57">
        <v>0</v>
      </c>
      <c r="V3048" s="57">
        <v>0</v>
      </c>
      <c r="W3048" s="57">
        <v>0</v>
      </c>
      <c r="X3048" s="97">
        <v>0</v>
      </c>
    </row>
    <row r="3049" spans="1:24" x14ac:dyDescent="0.35">
      <c r="A3049">
        <v>3045</v>
      </c>
      <c r="B3049">
        <v>3046</v>
      </c>
      <c r="C3049">
        <v>146.102776567999</v>
      </c>
      <c r="D3049">
        <v>-17.6363337459</v>
      </c>
      <c r="E3049" s="92" t="str">
        <f t="shared" si="0"/>
        <v/>
      </c>
      <c r="F3049" t="str">
        <f>HYPERLINK("D:\Data From Lucan\2024\Moresby\Frames_for_Analysis/3046_20240611_0003_L_0243.jpg","3046_20240611_0003_L_0243.jpg")</f>
        <v>3046_20240611_0003_L_0243.jpg</v>
      </c>
      <c r="G3049" s="92" t="s">
        <v>4623</v>
      </c>
      <c r="I3049">
        <v>2</v>
      </c>
      <c r="K3049" s="97">
        <v>1</v>
      </c>
      <c r="L3049" s="31"/>
      <c r="M3049" s="31"/>
      <c r="N3049" s="31"/>
      <c r="O3049" s="31"/>
      <c r="P3049" s="57">
        <v>1</v>
      </c>
      <c r="Q3049" s="57">
        <v>0</v>
      </c>
      <c r="R3049" s="57">
        <v>0</v>
      </c>
      <c r="S3049" s="97">
        <v>0</v>
      </c>
      <c r="T3049" s="57">
        <v>0</v>
      </c>
      <c r="U3049" s="57">
        <v>0</v>
      </c>
      <c r="V3049" s="57">
        <v>0</v>
      </c>
      <c r="W3049" s="57">
        <v>0</v>
      </c>
      <c r="X3049" s="97">
        <v>0</v>
      </c>
    </row>
    <row r="3050" spans="1:24" x14ac:dyDescent="0.35">
      <c r="A3050">
        <v>3046</v>
      </c>
      <c r="B3050">
        <v>3047</v>
      </c>
      <c r="C3050">
        <v>146.102739420999</v>
      </c>
      <c r="D3050">
        <v>-17.636255798800001</v>
      </c>
      <c r="E3050" s="92" t="str">
        <f t="shared" si="0"/>
        <v/>
      </c>
      <c r="F3050" t="str">
        <f>HYPERLINK("D:\Data From Lucan\2024\Moresby\Frames_for_Analysis/3047_20240611_0003_L_0246.jpg","3047_20240611_0003_L_0246.jpg")</f>
        <v>3047_20240611_0003_L_0246.jpg</v>
      </c>
      <c r="G3050" s="92" t="s">
        <v>4624</v>
      </c>
      <c r="I3050">
        <v>2</v>
      </c>
      <c r="K3050" s="97">
        <v>1</v>
      </c>
      <c r="L3050" s="31"/>
      <c r="M3050" s="31"/>
      <c r="N3050" s="31"/>
      <c r="O3050" s="31"/>
      <c r="P3050" s="57">
        <v>1</v>
      </c>
      <c r="Q3050" s="57">
        <v>0</v>
      </c>
      <c r="R3050" s="57">
        <v>0</v>
      </c>
      <c r="S3050" s="97">
        <v>0</v>
      </c>
      <c r="T3050" s="57">
        <v>0</v>
      </c>
      <c r="U3050" s="57">
        <v>0</v>
      </c>
      <c r="V3050" s="57">
        <v>0</v>
      </c>
      <c r="W3050" s="57">
        <v>0</v>
      </c>
      <c r="X3050" s="97">
        <v>0</v>
      </c>
    </row>
    <row r="3051" spans="1:24" x14ac:dyDescent="0.35">
      <c r="A3051">
        <v>3047</v>
      </c>
      <c r="B3051">
        <v>3048</v>
      </c>
      <c r="C3051">
        <v>146.102699954</v>
      </c>
      <c r="D3051">
        <v>-17.636178904800001</v>
      </c>
      <c r="E3051" s="92" t="str">
        <f t="shared" si="0"/>
        <v/>
      </c>
      <c r="F3051" t="str">
        <f>HYPERLINK("D:\Data From Lucan\2024\Moresby\Frames_for_Analysis/3048_20240611_0003_L_0250.jpg","3048_20240611_0003_L_0250.jpg")</f>
        <v>3048_20240611_0003_L_0250.jpg</v>
      </c>
      <c r="G3051" s="92" t="s">
        <v>4625</v>
      </c>
      <c r="I3051">
        <v>2</v>
      </c>
      <c r="K3051" s="97">
        <v>1</v>
      </c>
      <c r="L3051" s="31"/>
      <c r="M3051" s="31"/>
      <c r="N3051" s="31"/>
      <c r="O3051" s="31"/>
      <c r="P3051" s="57">
        <v>1</v>
      </c>
      <c r="Q3051" s="57">
        <v>0</v>
      </c>
      <c r="R3051" s="57">
        <v>0</v>
      </c>
      <c r="S3051" s="97">
        <v>0</v>
      </c>
      <c r="T3051" s="57">
        <v>0</v>
      </c>
      <c r="U3051" s="57">
        <v>0</v>
      </c>
      <c r="V3051" s="57">
        <v>0</v>
      </c>
      <c r="W3051" s="57">
        <v>0</v>
      </c>
      <c r="X3051" s="97">
        <v>0</v>
      </c>
    </row>
    <row r="3052" spans="1:24" x14ac:dyDescent="0.35">
      <c r="A3052">
        <v>3048</v>
      </c>
      <c r="B3052">
        <v>3049</v>
      </c>
      <c r="C3052">
        <v>146.10265987899899</v>
      </c>
      <c r="D3052">
        <v>-17.636102286100002</v>
      </c>
      <c r="E3052" s="92" t="str">
        <f t="shared" si="0"/>
        <v/>
      </c>
      <c r="F3052" t="str">
        <f>HYPERLINK("D:\Data From Lucan\2024\Moresby\Frames_for_Analysis/3049_20240611_0003_L_0253.jpg","3049_20240611_0003_L_0253.jpg")</f>
        <v>3049_20240611_0003_L_0253.jpg</v>
      </c>
      <c r="G3052" s="92" t="s">
        <v>4626</v>
      </c>
      <c r="I3052">
        <v>2</v>
      </c>
      <c r="K3052" s="97">
        <v>1</v>
      </c>
      <c r="L3052" s="31"/>
      <c r="M3052" s="31"/>
      <c r="N3052" s="31"/>
      <c r="O3052" s="31"/>
      <c r="P3052" s="57">
        <v>1</v>
      </c>
      <c r="Q3052" s="57">
        <v>0</v>
      </c>
      <c r="R3052" s="57">
        <v>0</v>
      </c>
      <c r="S3052" s="97">
        <v>0</v>
      </c>
      <c r="T3052" s="57">
        <v>0</v>
      </c>
      <c r="U3052" s="57">
        <v>0</v>
      </c>
      <c r="V3052" s="57">
        <v>0</v>
      </c>
      <c r="W3052" s="57">
        <v>0</v>
      </c>
      <c r="X3052" s="97">
        <v>0</v>
      </c>
    </row>
    <row r="3053" spans="1:24" x14ac:dyDescent="0.35">
      <c r="A3053">
        <v>3049</v>
      </c>
      <c r="B3053">
        <v>3050</v>
      </c>
      <c r="C3053">
        <v>146.102619804</v>
      </c>
      <c r="D3053">
        <v>-17.6360256675</v>
      </c>
      <c r="E3053" s="92">
        <f t="shared" si="0"/>
        <v>50</v>
      </c>
      <c r="F3053" t="str">
        <f>HYPERLINK("D:\Data From Lucan\2024\Moresby\Frames_for_Analysis/3050_20240611_0003_L_0257.jpg","3050_20240611_0003_L_0257.jpg")</f>
        <v>3050_20240611_0003_L_0257.jpg</v>
      </c>
      <c r="G3053" s="92" t="s">
        <v>4627</v>
      </c>
      <c r="I3053">
        <v>2</v>
      </c>
      <c r="K3053" s="97">
        <v>1</v>
      </c>
      <c r="L3053" s="31"/>
      <c r="M3053" s="31"/>
      <c r="N3053" s="31"/>
      <c r="O3053" s="31"/>
      <c r="P3053" s="57">
        <v>1</v>
      </c>
      <c r="Q3053" s="57">
        <v>0</v>
      </c>
      <c r="R3053" s="57">
        <v>0</v>
      </c>
      <c r="S3053" s="97">
        <v>0</v>
      </c>
      <c r="T3053" s="57">
        <v>0</v>
      </c>
      <c r="U3053" s="57">
        <v>0</v>
      </c>
      <c r="V3053" s="57">
        <v>0</v>
      </c>
      <c r="W3053" s="57">
        <v>0</v>
      </c>
      <c r="X3053" s="97">
        <v>0</v>
      </c>
    </row>
    <row r="3054" spans="1:24" x14ac:dyDescent="0.35">
      <c r="A3054">
        <v>3050</v>
      </c>
      <c r="B3054">
        <v>3051</v>
      </c>
      <c r="C3054">
        <v>146.10257973</v>
      </c>
      <c r="D3054">
        <v>-17.635949048800001</v>
      </c>
      <c r="E3054" s="92" t="str">
        <f t="shared" si="0"/>
        <v/>
      </c>
      <c r="F3054" t="str">
        <f>HYPERLINK("D:\Data From Lucan\2024\Moresby\Frames_for_Analysis/3051_20240611_0003_L_0260.jpg","3051_20240611_0003_L_0260.jpg")</f>
        <v>3051_20240611_0003_L_0260.jpg</v>
      </c>
      <c r="G3054" s="92" t="s">
        <v>4628</v>
      </c>
      <c r="I3054">
        <v>2</v>
      </c>
      <c r="K3054" s="97">
        <v>1</v>
      </c>
      <c r="L3054" s="31"/>
      <c r="M3054" s="31"/>
      <c r="N3054" s="31"/>
      <c r="O3054" s="31"/>
      <c r="P3054" s="57">
        <v>1</v>
      </c>
      <c r="Q3054" s="57">
        <v>0</v>
      </c>
      <c r="R3054" s="57">
        <v>0</v>
      </c>
      <c r="S3054" s="97">
        <v>0</v>
      </c>
      <c r="T3054" s="57">
        <v>0</v>
      </c>
      <c r="U3054" s="57">
        <v>0</v>
      </c>
      <c r="V3054" s="57">
        <v>0</v>
      </c>
      <c r="W3054" s="57">
        <v>0</v>
      </c>
      <c r="X3054" s="97">
        <v>0</v>
      </c>
    </row>
    <row r="3055" spans="1:24" x14ac:dyDescent="0.35">
      <c r="A3055">
        <v>3051</v>
      </c>
      <c r="B3055">
        <v>3052</v>
      </c>
      <c r="C3055">
        <v>146.10253965499899</v>
      </c>
      <c r="D3055">
        <v>-17.6358724299999</v>
      </c>
      <c r="E3055" s="92" t="str">
        <f t="shared" si="0"/>
        <v/>
      </c>
      <c r="F3055" t="str">
        <f>HYPERLINK("D:\Data From Lucan\2024\Moresby\Frames_for_Analysis/3052_20240611_0003_L_0263.jpg","3052_20240611_0003_L_0263.jpg")</f>
        <v>3052_20240611_0003_L_0263.jpg</v>
      </c>
      <c r="G3055" s="92" t="s">
        <v>4629</v>
      </c>
      <c r="I3055">
        <v>2</v>
      </c>
      <c r="K3055" s="97">
        <v>1</v>
      </c>
      <c r="L3055" s="31"/>
      <c r="M3055" s="31"/>
      <c r="N3055" s="31"/>
      <c r="O3055" s="31"/>
      <c r="P3055" s="57">
        <v>1</v>
      </c>
      <c r="Q3055" s="57">
        <v>0</v>
      </c>
      <c r="R3055" s="57">
        <v>0</v>
      </c>
      <c r="S3055" s="97">
        <v>0</v>
      </c>
      <c r="T3055" s="57">
        <v>0</v>
      </c>
      <c r="U3055" s="57">
        <v>0</v>
      </c>
      <c r="V3055" s="57">
        <v>0</v>
      </c>
      <c r="W3055" s="57">
        <v>0</v>
      </c>
      <c r="X3055" s="97">
        <v>0</v>
      </c>
    </row>
    <row r="3056" spans="1:24" x14ac:dyDescent="0.35">
      <c r="A3056">
        <v>3052</v>
      </c>
      <c r="B3056">
        <v>3053</v>
      </c>
      <c r="C3056">
        <v>146.10249958099899</v>
      </c>
      <c r="D3056">
        <v>-17.635795811200001</v>
      </c>
      <c r="E3056" s="92" t="str">
        <f t="shared" si="0"/>
        <v/>
      </c>
      <c r="F3056" t="str">
        <f>HYPERLINK("D:\Data From Lucan\2024\Moresby\Frames_for_Analysis/3053_20240611_0003_L_0266.jpg","3053_20240611_0003_L_0266.jpg")</f>
        <v>3053_20240611_0003_L_0266.jpg</v>
      </c>
      <c r="G3056" s="92" t="s">
        <v>4630</v>
      </c>
      <c r="I3056">
        <v>2</v>
      </c>
      <c r="K3056" s="97">
        <v>1</v>
      </c>
      <c r="L3056" s="31"/>
      <c r="M3056" s="31"/>
      <c r="N3056" s="31"/>
      <c r="O3056" s="31"/>
      <c r="P3056" s="57">
        <v>1</v>
      </c>
      <c r="Q3056" s="57">
        <v>0</v>
      </c>
      <c r="R3056" s="57">
        <v>0</v>
      </c>
      <c r="S3056" s="97">
        <v>0</v>
      </c>
      <c r="T3056" s="57">
        <v>0</v>
      </c>
      <c r="U3056" s="57">
        <v>0</v>
      </c>
      <c r="V3056" s="57">
        <v>0</v>
      </c>
      <c r="W3056" s="57">
        <v>0</v>
      </c>
      <c r="X3056" s="97">
        <v>0</v>
      </c>
    </row>
    <row r="3057" spans="1:24" x14ac:dyDescent="0.35">
      <c r="A3057">
        <v>3053</v>
      </c>
      <c r="B3057">
        <v>3054</v>
      </c>
      <c r="C3057">
        <v>146.102459506</v>
      </c>
      <c r="D3057">
        <v>-17.6357191924</v>
      </c>
      <c r="E3057" s="92" t="str">
        <f t="shared" si="0"/>
        <v/>
      </c>
      <c r="F3057" t="str">
        <f>HYPERLINK("D:\Data From Lucan\2024\Moresby\Frames_for_Analysis/3054_20240611_0003_L_0269.jpg","3054_20240611_0003_L_0269.jpg")</f>
        <v>3054_20240611_0003_L_0269.jpg</v>
      </c>
      <c r="G3057" s="92" t="s">
        <v>4631</v>
      </c>
      <c r="I3057">
        <v>2</v>
      </c>
      <c r="K3057" s="97">
        <v>1</v>
      </c>
      <c r="L3057" s="31"/>
      <c r="M3057" s="31"/>
      <c r="N3057" s="31"/>
      <c r="O3057" s="31"/>
      <c r="P3057" s="57">
        <v>1</v>
      </c>
      <c r="Q3057" s="57">
        <v>0</v>
      </c>
      <c r="R3057" s="57">
        <v>0</v>
      </c>
      <c r="S3057" s="97">
        <v>0</v>
      </c>
      <c r="T3057" s="57">
        <v>0</v>
      </c>
      <c r="U3057" s="57">
        <v>0</v>
      </c>
      <c r="V3057" s="57">
        <v>0</v>
      </c>
      <c r="W3057" s="57">
        <v>0</v>
      </c>
      <c r="X3057" s="97">
        <v>0</v>
      </c>
    </row>
    <row r="3058" spans="1:24" x14ac:dyDescent="0.35">
      <c r="A3058">
        <v>3054</v>
      </c>
      <c r="B3058">
        <v>3055</v>
      </c>
      <c r="C3058">
        <v>146.10241943099899</v>
      </c>
      <c r="D3058">
        <v>-17.635642573599899</v>
      </c>
      <c r="E3058" s="92">
        <f t="shared" si="0"/>
        <v>50</v>
      </c>
      <c r="F3058" t="str">
        <f>HYPERLINK("D:\Data From Lucan\2024\Moresby\Frames_for_Analysis/3055_20240611_0003_L_0272.jpg","3055_20240611_0003_L_0272.jpg")</f>
        <v>3055_20240611_0003_L_0272.jpg</v>
      </c>
      <c r="G3058" s="92" t="s">
        <v>4632</v>
      </c>
      <c r="I3058">
        <v>2</v>
      </c>
      <c r="K3058" s="97">
        <v>1</v>
      </c>
      <c r="L3058" s="31"/>
      <c r="M3058" s="31"/>
      <c r="N3058" s="31"/>
      <c r="O3058" s="31"/>
      <c r="P3058" s="57">
        <v>1</v>
      </c>
      <c r="Q3058" s="57">
        <v>0</v>
      </c>
      <c r="R3058" s="57">
        <v>0</v>
      </c>
      <c r="S3058" s="97">
        <v>0</v>
      </c>
      <c r="T3058" s="57">
        <v>0</v>
      </c>
      <c r="U3058" s="57">
        <v>0</v>
      </c>
      <c r="V3058" s="57">
        <v>0</v>
      </c>
      <c r="W3058" s="57">
        <v>0</v>
      </c>
      <c r="X3058" s="97">
        <v>0</v>
      </c>
    </row>
    <row r="3059" spans="1:24" x14ac:dyDescent="0.35">
      <c r="A3059">
        <v>3055</v>
      </c>
      <c r="B3059">
        <v>3056</v>
      </c>
      <c r="C3059">
        <v>146.10237935699899</v>
      </c>
      <c r="D3059">
        <v>-17.635565954699899</v>
      </c>
      <c r="E3059" s="92" t="str">
        <f t="shared" si="0"/>
        <v/>
      </c>
      <c r="F3059" t="str">
        <f>HYPERLINK("D:\Data From Lucan\2024\Moresby\Frames_for_Analysis/3056_20240611_0003_L_0274.jpg","3056_20240611_0003_L_0274.jpg")</f>
        <v>3056_20240611_0003_L_0274.jpg</v>
      </c>
      <c r="G3059" s="92" t="s">
        <v>4633</v>
      </c>
      <c r="I3059">
        <v>2</v>
      </c>
      <c r="K3059" s="97">
        <v>1</v>
      </c>
      <c r="L3059" s="31"/>
      <c r="M3059" s="31"/>
      <c r="N3059" s="31"/>
      <c r="O3059" s="31"/>
      <c r="P3059" s="57">
        <v>1</v>
      </c>
      <c r="Q3059" s="57">
        <v>0</v>
      </c>
      <c r="R3059" s="57">
        <v>0</v>
      </c>
      <c r="S3059" s="97">
        <v>0</v>
      </c>
      <c r="T3059" s="57">
        <v>0</v>
      </c>
      <c r="U3059" s="57">
        <v>0</v>
      </c>
      <c r="V3059" s="57">
        <v>0</v>
      </c>
      <c r="W3059" s="57">
        <v>0</v>
      </c>
      <c r="X3059" s="97">
        <v>0</v>
      </c>
    </row>
    <row r="3060" spans="1:24" x14ac:dyDescent="0.35">
      <c r="A3060">
        <v>3056</v>
      </c>
      <c r="B3060">
        <v>3057</v>
      </c>
      <c r="C3060">
        <v>146.102339282</v>
      </c>
      <c r="D3060">
        <v>-17.6354893357999</v>
      </c>
      <c r="E3060" s="92" t="str">
        <f t="shared" si="0"/>
        <v/>
      </c>
      <c r="F3060" t="str">
        <f>HYPERLINK("D:\Data From Lucan\2024\Moresby\Frames_for_Analysis/3057_20240611_0003_L_0279.jpg","3057_20240611_0003_L_0279.jpg")</f>
        <v>3057_20240611_0003_L_0279.jpg</v>
      </c>
      <c r="G3060" s="92" t="s">
        <v>4634</v>
      </c>
      <c r="I3060">
        <v>2</v>
      </c>
      <c r="K3060" s="97">
        <v>1</v>
      </c>
      <c r="L3060" s="31"/>
      <c r="M3060" s="31"/>
      <c r="N3060" s="31"/>
      <c r="O3060" s="31"/>
      <c r="P3060" s="57">
        <v>1</v>
      </c>
      <c r="Q3060" s="57">
        <v>0</v>
      </c>
      <c r="R3060" s="57">
        <v>0</v>
      </c>
      <c r="S3060" s="97">
        <v>0</v>
      </c>
      <c r="T3060" s="57">
        <v>0</v>
      </c>
      <c r="U3060" s="57">
        <v>0</v>
      </c>
      <c r="V3060" s="57">
        <v>0</v>
      </c>
      <c r="W3060" s="57">
        <v>0</v>
      </c>
      <c r="X3060" s="97">
        <v>0</v>
      </c>
    </row>
    <row r="3061" spans="1:24" x14ac:dyDescent="0.35">
      <c r="A3061">
        <v>3057</v>
      </c>
      <c r="B3061">
        <v>3058</v>
      </c>
      <c r="C3061">
        <v>146.10229920800001</v>
      </c>
      <c r="D3061">
        <v>-17.6354127168999</v>
      </c>
      <c r="E3061" s="92" t="str">
        <f t="shared" si="0"/>
        <v/>
      </c>
      <c r="F3061" t="str">
        <f>HYPERLINK("D:\Data From Lucan\2024\Moresby\Frames_for_Analysis/3058_20240611_0003_L_0281.jpg","3058_20240611_0003_L_0281.jpg")</f>
        <v>3058_20240611_0003_L_0281.jpg</v>
      </c>
      <c r="G3061" s="92" t="s">
        <v>4635</v>
      </c>
      <c r="I3061">
        <v>2</v>
      </c>
      <c r="K3061" s="97">
        <v>1</v>
      </c>
      <c r="L3061" s="31"/>
      <c r="M3061" s="31"/>
      <c r="N3061" s="31"/>
      <c r="O3061" s="31"/>
      <c r="P3061" s="57">
        <v>1</v>
      </c>
      <c r="Q3061" s="57">
        <v>0</v>
      </c>
      <c r="R3061" s="57">
        <v>0</v>
      </c>
      <c r="S3061" s="97">
        <v>0</v>
      </c>
      <c r="T3061" s="57">
        <v>0</v>
      </c>
      <c r="U3061" s="57">
        <v>0</v>
      </c>
      <c r="V3061" s="57">
        <v>0</v>
      </c>
      <c r="W3061" s="57">
        <v>0</v>
      </c>
      <c r="X3061" s="97">
        <v>0</v>
      </c>
    </row>
    <row r="3062" spans="1:24" x14ac:dyDescent="0.35">
      <c r="A3062">
        <v>3058</v>
      </c>
      <c r="B3062">
        <v>3059</v>
      </c>
      <c r="C3062">
        <v>146.10225913400001</v>
      </c>
      <c r="D3062">
        <v>-17.635336097700002</v>
      </c>
      <c r="E3062" s="92" t="str">
        <f t="shared" si="0"/>
        <v/>
      </c>
      <c r="F3062" t="str">
        <f>HYPERLINK("D:\Data From Lucan\2024\Moresby\Frames_for_Analysis/3059_20240611_0003_L_0284.jpg","3059_20240611_0003_L_0284.jpg")</f>
        <v>3059_20240611_0003_L_0284.jpg</v>
      </c>
      <c r="G3062" s="92" t="s">
        <v>4636</v>
      </c>
      <c r="I3062">
        <v>2</v>
      </c>
      <c r="K3062" s="97">
        <v>1</v>
      </c>
      <c r="L3062" s="31"/>
      <c r="M3062" s="31"/>
      <c r="N3062" s="31"/>
      <c r="O3062" s="31"/>
      <c r="P3062" s="57">
        <v>1</v>
      </c>
      <c r="Q3062" s="57">
        <v>0</v>
      </c>
      <c r="R3062" s="57">
        <v>0</v>
      </c>
      <c r="S3062" s="97">
        <v>0</v>
      </c>
      <c r="T3062" s="57">
        <v>0</v>
      </c>
      <c r="U3062" s="57">
        <v>0</v>
      </c>
      <c r="V3062" s="57">
        <v>0</v>
      </c>
      <c r="W3062" s="57">
        <v>0</v>
      </c>
      <c r="X3062" s="97">
        <v>0</v>
      </c>
    </row>
    <row r="3063" spans="1:24" x14ac:dyDescent="0.35">
      <c r="A3063">
        <v>3059</v>
      </c>
      <c r="B3063">
        <v>3060</v>
      </c>
      <c r="C3063">
        <v>146.102219058999</v>
      </c>
      <c r="D3063">
        <v>-17.635259478599899</v>
      </c>
      <c r="E3063" s="92">
        <f t="shared" si="0"/>
        <v>50</v>
      </c>
      <c r="F3063" t="str">
        <f>HYPERLINK("D:\Data From Lucan\2024\Moresby\Frames_for_Analysis/3060_20240611_0003_L_0287.jpg","3060_20240611_0003_L_0287.jpg")</f>
        <v>3060_20240611_0003_L_0287.jpg</v>
      </c>
      <c r="G3063" s="92" t="s">
        <v>4637</v>
      </c>
      <c r="I3063">
        <v>2</v>
      </c>
      <c r="K3063" s="97">
        <v>1</v>
      </c>
      <c r="L3063" s="31"/>
      <c r="M3063" s="31"/>
      <c r="N3063" s="31"/>
      <c r="O3063" s="31"/>
      <c r="P3063" s="57">
        <v>1</v>
      </c>
      <c r="Q3063" s="57">
        <v>0</v>
      </c>
      <c r="R3063" s="57">
        <v>0</v>
      </c>
      <c r="S3063" s="97">
        <v>0</v>
      </c>
      <c r="T3063" s="57">
        <v>0</v>
      </c>
      <c r="U3063" s="57">
        <v>0</v>
      </c>
      <c r="V3063" s="57">
        <v>0</v>
      </c>
      <c r="W3063" s="57">
        <v>0</v>
      </c>
      <c r="X3063" s="97">
        <v>0</v>
      </c>
    </row>
    <row r="3064" spans="1:24" x14ac:dyDescent="0.35">
      <c r="A3064">
        <v>3060</v>
      </c>
      <c r="B3064">
        <v>3061</v>
      </c>
      <c r="C3064">
        <v>146.102178984999</v>
      </c>
      <c r="D3064">
        <v>-17.6351828594</v>
      </c>
      <c r="E3064" s="92" t="str">
        <f t="shared" si="0"/>
        <v/>
      </c>
      <c r="F3064" t="str">
        <f>HYPERLINK("D:\Data From Lucan\2024\Moresby\Frames_for_Analysis/3061_20240611_0003_L_0290.jpg","3061_20240611_0003_L_0290.jpg")</f>
        <v>3061_20240611_0003_L_0290.jpg</v>
      </c>
      <c r="G3064" s="92" t="s">
        <v>4638</v>
      </c>
      <c r="I3064">
        <v>2</v>
      </c>
      <c r="K3064" s="97">
        <v>1</v>
      </c>
      <c r="L3064" s="31"/>
      <c r="M3064" s="31"/>
      <c r="N3064" s="31"/>
      <c r="O3064" s="31"/>
      <c r="P3064" s="57">
        <v>1</v>
      </c>
      <c r="Q3064" s="57">
        <v>0</v>
      </c>
      <c r="R3064" s="57">
        <v>0</v>
      </c>
      <c r="S3064" s="97">
        <v>0</v>
      </c>
      <c r="T3064" s="57">
        <v>0</v>
      </c>
      <c r="U3064" s="57">
        <v>0</v>
      </c>
      <c r="V3064" s="57">
        <v>0</v>
      </c>
      <c r="W3064" s="57">
        <v>0</v>
      </c>
      <c r="X3064" s="97">
        <v>0</v>
      </c>
    </row>
    <row r="3065" spans="1:24" x14ac:dyDescent="0.35">
      <c r="A3065">
        <v>3061</v>
      </c>
      <c r="B3065">
        <v>3062</v>
      </c>
      <c r="C3065">
        <v>146.102138910999</v>
      </c>
      <c r="D3065">
        <v>-17.635106240199899</v>
      </c>
      <c r="E3065" s="92" t="str">
        <f t="shared" si="0"/>
        <v/>
      </c>
      <c r="F3065" t="str">
        <f>HYPERLINK("D:\Data From Lucan\2024\Moresby\Frames_for_Analysis/3062_20240611_0003_L_0293.jpg","3062_20240611_0003_L_0293.jpg")</f>
        <v>3062_20240611_0003_L_0293.jpg</v>
      </c>
      <c r="G3065" s="92" t="s">
        <v>4639</v>
      </c>
      <c r="I3065">
        <v>2</v>
      </c>
      <c r="K3065" s="97">
        <v>1</v>
      </c>
      <c r="L3065" s="31"/>
      <c r="M3065" s="31"/>
      <c r="N3065" s="31"/>
      <c r="O3065" s="31"/>
      <c r="P3065" s="57">
        <v>1</v>
      </c>
      <c r="Q3065" s="57">
        <v>0</v>
      </c>
      <c r="R3065" s="57">
        <v>0</v>
      </c>
      <c r="S3065" s="97">
        <v>0</v>
      </c>
      <c r="T3065" s="57">
        <v>0</v>
      </c>
      <c r="U3065" s="57">
        <v>0</v>
      </c>
      <c r="V3065" s="57">
        <v>0</v>
      </c>
      <c r="W3065" s="57">
        <v>0</v>
      </c>
      <c r="X3065" s="97">
        <v>0</v>
      </c>
    </row>
    <row r="3066" spans="1:24" x14ac:dyDescent="0.35">
      <c r="A3066">
        <v>3062</v>
      </c>
      <c r="B3066">
        <v>3063</v>
      </c>
      <c r="C3066">
        <v>146.10209883600001</v>
      </c>
      <c r="D3066">
        <v>-17.635029621000001</v>
      </c>
      <c r="E3066" s="92" t="str">
        <f t="shared" si="0"/>
        <v/>
      </c>
      <c r="F3066" t="str">
        <f>HYPERLINK("D:\Data From Lucan\2024\Moresby\Frames_for_Analysis/3063_20240611_0003_L_0296.jpg","3063_20240611_0003_L_0296.jpg")</f>
        <v>3063_20240611_0003_L_0296.jpg</v>
      </c>
      <c r="G3066" s="92" t="s">
        <v>4640</v>
      </c>
      <c r="I3066">
        <v>2</v>
      </c>
      <c r="K3066" s="97">
        <v>1</v>
      </c>
      <c r="L3066" s="31"/>
      <c r="M3066" s="31"/>
      <c r="N3066" s="31"/>
      <c r="O3066" s="31"/>
      <c r="P3066" s="57">
        <v>1</v>
      </c>
      <c r="Q3066" s="57">
        <v>0</v>
      </c>
      <c r="R3066" s="57">
        <v>0</v>
      </c>
      <c r="S3066" s="97">
        <v>0</v>
      </c>
      <c r="T3066" s="57">
        <v>0</v>
      </c>
      <c r="U3066" s="57">
        <v>0</v>
      </c>
      <c r="V3066" s="57">
        <v>0</v>
      </c>
      <c r="W3066" s="57">
        <v>0</v>
      </c>
      <c r="X3066" s="97">
        <v>0</v>
      </c>
    </row>
    <row r="3067" spans="1:24" x14ac:dyDescent="0.35">
      <c r="A3067">
        <v>3063</v>
      </c>
      <c r="B3067">
        <v>3064</v>
      </c>
      <c r="C3067">
        <v>146.10205876200001</v>
      </c>
      <c r="D3067">
        <v>-17.634953001700001</v>
      </c>
      <c r="E3067" s="92" t="str">
        <f t="shared" si="0"/>
        <v/>
      </c>
      <c r="F3067" t="str">
        <f>HYPERLINK("D:\Data From Lucan\2024\Moresby\Frames_for_Analysis/3064_20240611_0003_L_0299.jpg","3064_20240611_0003_L_0299.jpg")</f>
        <v>3064_20240611_0003_L_0299.jpg</v>
      </c>
      <c r="G3067" s="92" t="s">
        <v>4641</v>
      </c>
      <c r="I3067">
        <v>2</v>
      </c>
      <c r="K3067" s="97">
        <v>1</v>
      </c>
      <c r="L3067" s="31"/>
      <c r="M3067" s="31"/>
      <c r="N3067" s="31"/>
      <c r="O3067" s="31"/>
      <c r="P3067" s="57">
        <v>1</v>
      </c>
      <c r="Q3067" s="57">
        <v>0</v>
      </c>
      <c r="R3067" s="57">
        <v>0</v>
      </c>
      <c r="S3067" s="97">
        <v>0</v>
      </c>
      <c r="T3067" s="57">
        <v>0</v>
      </c>
      <c r="U3067" s="57">
        <v>0</v>
      </c>
      <c r="V3067" s="57">
        <v>0</v>
      </c>
      <c r="W3067" s="57">
        <v>0</v>
      </c>
      <c r="X3067" s="97">
        <v>0</v>
      </c>
    </row>
    <row r="3068" spans="1:24" x14ac:dyDescent="0.35">
      <c r="A3068">
        <v>3064</v>
      </c>
      <c r="B3068">
        <v>3065</v>
      </c>
      <c r="C3068">
        <v>146.102018686999</v>
      </c>
      <c r="D3068">
        <v>-17.6348763827</v>
      </c>
      <c r="E3068" s="92">
        <f t="shared" si="0"/>
        <v>50</v>
      </c>
      <c r="F3068" t="str">
        <f>HYPERLINK("D:\Data From Lucan\2024\Moresby\Frames_for_Analysis/3065_20240611_0003_L_0302.jpg","3065_20240611_0003_L_0302.jpg")</f>
        <v>3065_20240611_0003_L_0302.jpg</v>
      </c>
      <c r="G3068" s="92" t="s">
        <v>4642</v>
      </c>
      <c r="I3068">
        <v>2</v>
      </c>
      <c r="K3068" s="97">
        <v>1</v>
      </c>
      <c r="L3068" s="31"/>
      <c r="M3068" s="31"/>
      <c r="N3068" s="31"/>
      <c r="O3068" s="31"/>
      <c r="P3068" s="57">
        <v>1</v>
      </c>
      <c r="Q3068" s="57">
        <v>0</v>
      </c>
      <c r="R3068" s="57">
        <v>0</v>
      </c>
      <c r="S3068" s="97">
        <v>0</v>
      </c>
      <c r="T3068" s="57">
        <v>0</v>
      </c>
      <c r="U3068" s="57">
        <v>0</v>
      </c>
      <c r="V3068" s="57">
        <v>0</v>
      </c>
      <c r="W3068" s="57">
        <v>0</v>
      </c>
      <c r="X3068" s="97">
        <v>0</v>
      </c>
    </row>
    <row r="3069" spans="1:24" x14ac:dyDescent="0.35">
      <c r="A3069">
        <v>3065</v>
      </c>
      <c r="B3069">
        <v>3066</v>
      </c>
      <c r="C3069">
        <v>146.10197880000001</v>
      </c>
      <c r="D3069">
        <v>-17.6347996788</v>
      </c>
      <c r="E3069" s="92" t="str">
        <f t="shared" si="0"/>
        <v/>
      </c>
      <c r="F3069" t="str">
        <f>HYPERLINK("D:\Data From Lucan\2024\Moresby\Frames_for_Analysis/3066_20240611_0003_L_0305.jpg","3066_20240611_0003_L_0305.jpg")</f>
        <v>3066_20240611_0003_L_0305.jpg</v>
      </c>
      <c r="G3069" s="92" t="s">
        <v>4643</v>
      </c>
      <c r="I3069">
        <v>2</v>
      </c>
      <c r="K3069" s="97">
        <v>1</v>
      </c>
      <c r="L3069" s="31"/>
      <c r="M3069" s="31"/>
      <c r="N3069" s="31"/>
      <c r="O3069" s="31"/>
      <c r="P3069" s="57">
        <v>1</v>
      </c>
      <c r="Q3069" s="57">
        <v>0</v>
      </c>
      <c r="R3069" s="57">
        <v>0</v>
      </c>
      <c r="S3069" s="97">
        <v>0</v>
      </c>
      <c r="T3069" s="57">
        <v>0</v>
      </c>
      <c r="U3069" s="57">
        <v>0</v>
      </c>
      <c r="V3069" s="57">
        <v>0</v>
      </c>
      <c r="W3069" s="57">
        <v>0</v>
      </c>
      <c r="X3069" s="97">
        <v>0</v>
      </c>
    </row>
    <row r="3070" spans="1:24" x14ac:dyDescent="0.35">
      <c r="A3070">
        <v>3066</v>
      </c>
      <c r="B3070">
        <v>3067</v>
      </c>
      <c r="C3070">
        <v>146.10194173100001</v>
      </c>
      <c r="D3070">
        <v>-17.6347216974</v>
      </c>
      <c r="E3070" s="92" t="str">
        <f t="shared" si="0"/>
        <v/>
      </c>
      <c r="F3070" t="str">
        <f>HYPERLINK("D:\Data From Lucan\2024\Moresby\Frames_for_Analysis/3067_20240611_0003_L_0308.jpg","3067_20240611_0003_L_0308.jpg")</f>
        <v>3067_20240611_0003_L_0308.jpg</v>
      </c>
      <c r="G3070" s="92" t="s">
        <v>4644</v>
      </c>
      <c r="I3070">
        <v>2</v>
      </c>
      <c r="K3070" s="97">
        <v>1</v>
      </c>
      <c r="L3070" s="31"/>
      <c r="M3070" s="31"/>
      <c r="N3070" s="31"/>
      <c r="O3070" s="31"/>
      <c r="P3070" s="57">
        <v>1</v>
      </c>
      <c r="Q3070" s="57">
        <v>0</v>
      </c>
      <c r="R3070" s="57">
        <v>0</v>
      </c>
      <c r="S3070" s="97">
        <v>0</v>
      </c>
      <c r="T3070" s="57">
        <v>0</v>
      </c>
      <c r="U3070" s="57">
        <v>0</v>
      </c>
      <c r="V3070" s="57">
        <v>0</v>
      </c>
      <c r="W3070" s="57">
        <v>0</v>
      </c>
      <c r="X3070" s="97">
        <v>0</v>
      </c>
    </row>
    <row r="3071" spans="1:24" x14ac:dyDescent="0.35">
      <c r="A3071">
        <v>3067</v>
      </c>
      <c r="B3071">
        <v>3068</v>
      </c>
      <c r="C3071">
        <v>146.10190466200001</v>
      </c>
      <c r="D3071">
        <v>-17.6346437159999</v>
      </c>
      <c r="E3071" s="92" t="str">
        <f t="shared" si="0"/>
        <v/>
      </c>
      <c r="F3071" t="str">
        <f>HYPERLINK("D:\Data From Lucan\2024\Moresby\Frames_for_Analysis/3068_20240611_0003_L_0312.jpg","3068_20240611_0003_L_0312.jpg")</f>
        <v>3068_20240611_0003_L_0312.jpg</v>
      </c>
      <c r="G3071" s="92" t="s">
        <v>4645</v>
      </c>
      <c r="I3071">
        <v>2</v>
      </c>
      <c r="K3071" s="97">
        <v>1</v>
      </c>
      <c r="L3071" s="31"/>
      <c r="M3071" s="31"/>
      <c r="N3071" s="31"/>
      <c r="O3071" s="31"/>
      <c r="P3071" s="57">
        <v>1</v>
      </c>
      <c r="Q3071" s="57">
        <v>0</v>
      </c>
      <c r="R3071" s="57">
        <v>0</v>
      </c>
      <c r="S3071" s="97">
        <v>0</v>
      </c>
      <c r="T3071" s="57">
        <v>0</v>
      </c>
      <c r="U3071" s="57">
        <v>0</v>
      </c>
      <c r="V3071" s="57">
        <v>0</v>
      </c>
      <c r="W3071" s="57">
        <v>0</v>
      </c>
      <c r="X3071" s="97">
        <v>0</v>
      </c>
    </row>
    <row r="3072" spans="1:24" x14ac:dyDescent="0.35">
      <c r="A3072">
        <v>3068</v>
      </c>
      <c r="B3072">
        <v>3069</v>
      </c>
      <c r="C3072">
        <v>146.10186759300001</v>
      </c>
      <c r="D3072">
        <v>-17.634565734599899</v>
      </c>
      <c r="E3072" s="92" t="str">
        <f t="shared" si="0"/>
        <v/>
      </c>
      <c r="F3072" t="str">
        <f>HYPERLINK("D:\Data From Lucan\2024\Moresby\Frames_for_Analysis/3069_20240611_0003_L_0315.jpg","3069_20240611_0003_L_0315.jpg")</f>
        <v>3069_20240611_0003_L_0315.jpg</v>
      </c>
      <c r="G3072" s="92" t="s">
        <v>4646</v>
      </c>
      <c r="I3072">
        <v>2</v>
      </c>
      <c r="K3072" s="97">
        <v>1</v>
      </c>
      <c r="L3072" s="31"/>
      <c r="M3072" s="31"/>
      <c r="N3072" s="31"/>
      <c r="O3072" s="31"/>
      <c r="P3072" s="57">
        <v>1</v>
      </c>
      <c r="Q3072" s="57">
        <v>0</v>
      </c>
      <c r="R3072" s="57">
        <v>0</v>
      </c>
      <c r="S3072" s="97">
        <v>0</v>
      </c>
      <c r="T3072" s="57">
        <v>0</v>
      </c>
      <c r="U3072" s="57">
        <v>0</v>
      </c>
      <c r="V3072" s="57">
        <v>0</v>
      </c>
      <c r="W3072" s="57">
        <v>0</v>
      </c>
      <c r="X3072" s="97">
        <v>0</v>
      </c>
    </row>
    <row r="3073" spans="1:24" x14ac:dyDescent="0.35">
      <c r="A3073">
        <v>3069</v>
      </c>
      <c r="B3073">
        <v>3070</v>
      </c>
      <c r="C3073">
        <v>146.10183052400001</v>
      </c>
      <c r="D3073">
        <v>-17.6344877531</v>
      </c>
      <c r="E3073" s="92">
        <f t="shared" si="0"/>
        <v>50</v>
      </c>
      <c r="F3073" t="str">
        <f>HYPERLINK("D:\Data From Lucan\2024\Moresby\Frames_for_Analysis/3070_20240611_0003_L_0319.jpg","3070_20240611_0003_L_0319.jpg")</f>
        <v>3070_20240611_0003_L_0319.jpg</v>
      </c>
      <c r="G3073" s="92" t="s">
        <v>4647</v>
      </c>
      <c r="I3073">
        <v>2</v>
      </c>
      <c r="K3073" s="97">
        <v>1</v>
      </c>
      <c r="L3073" s="31"/>
      <c r="M3073" s="31"/>
      <c r="N3073" s="31"/>
      <c r="O3073" s="31"/>
      <c r="P3073" s="57">
        <v>1</v>
      </c>
      <c r="Q3073" s="57">
        <v>0</v>
      </c>
      <c r="R3073" s="57">
        <v>0</v>
      </c>
      <c r="S3073" s="97">
        <v>0</v>
      </c>
      <c r="T3073" s="57">
        <v>0</v>
      </c>
      <c r="U3073" s="57">
        <v>0</v>
      </c>
      <c r="V3073" s="57">
        <v>0</v>
      </c>
      <c r="W3073" s="57">
        <v>0</v>
      </c>
      <c r="X3073" s="97">
        <v>0</v>
      </c>
    </row>
    <row r="3074" spans="1:24" x14ac:dyDescent="0.35">
      <c r="A3074">
        <v>3070</v>
      </c>
      <c r="B3074">
        <v>3071</v>
      </c>
      <c r="C3074">
        <v>146.10179345500001</v>
      </c>
      <c r="D3074">
        <v>-17.634409771600001</v>
      </c>
      <c r="E3074" s="92" t="str">
        <f t="shared" si="0"/>
        <v/>
      </c>
      <c r="F3074" t="str">
        <f>HYPERLINK("D:\Data From Lucan\2024\Moresby\Frames_for_Analysis/3071_20240611_0003_L_0322.jpg","3071_20240611_0003_L_0322.jpg")</f>
        <v>3071_20240611_0003_L_0322.jpg</v>
      </c>
      <c r="G3074" s="92" t="s">
        <v>4648</v>
      </c>
      <c r="I3074">
        <v>2</v>
      </c>
      <c r="K3074" s="97">
        <v>1</v>
      </c>
      <c r="L3074" s="31"/>
      <c r="M3074" s="31"/>
      <c r="N3074" s="31"/>
      <c r="O3074" s="31"/>
      <c r="P3074" s="57">
        <v>1</v>
      </c>
      <c r="Q3074" s="57">
        <v>0</v>
      </c>
      <c r="R3074" s="57">
        <v>0</v>
      </c>
      <c r="S3074" s="97">
        <v>0</v>
      </c>
      <c r="T3074" s="57">
        <v>0</v>
      </c>
      <c r="U3074" s="57">
        <v>0</v>
      </c>
      <c r="V3074" s="57">
        <v>0</v>
      </c>
      <c r="W3074" s="57">
        <v>0</v>
      </c>
      <c r="X3074" s="97">
        <v>0</v>
      </c>
    </row>
    <row r="3075" spans="1:24" x14ac:dyDescent="0.35">
      <c r="A3075">
        <v>3071</v>
      </c>
      <c r="B3075">
        <v>3072</v>
      </c>
      <c r="C3075">
        <v>146.10175638600001</v>
      </c>
      <c r="D3075">
        <v>-17.634331790000001</v>
      </c>
      <c r="E3075" s="92" t="str">
        <f t="shared" si="0"/>
        <v/>
      </c>
      <c r="F3075" t="str">
        <f>HYPERLINK("D:\Data From Lucan\2024\Moresby\Frames_for_Analysis/3072_20240611_0003_L_0325.jpg","3072_20240611_0003_L_0325.jpg")</f>
        <v>3072_20240611_0003_L_0325.jpg</v>
      </c>
      <c r="G3075" s="92" t="s">
        <v>4649</v>
      </c>
      <c r="I3075">
        <v>2</v>
      </c>
      <c r="K3075" s="97">
        <v>1</v>
      </c>
      <c r="L3075" s="31"/>
      <c r="M3075" s="31"/>
      <c r="N3075" s="31"/>
      <c r="O3075" s="31"/>
      <c r="P3075" s="57">
        <v>1</v>
      </c>
      <c r="Q3075" s="57">
        <v>0</v>
      </c>
      <c r="R3075" s="57">
        <v>0</v>
      </c>
      <c r="S3075" s="97">
        <v>0</v>
      </c>
      <c r="T3075" s="57">
        <v>0</v>
      </c>
      <c r="U3075" s="57">
        <v>0</v>
      </c>
      <c r="V3075" s="57">
        <v>0</v>
      </c>
      <c r="W3075" s="57">
        <v>0</v>
      </c>
      <c r="X3075" s="97">
        <v>0</v>
      </c>
    </row>
    <row r="3076" spans="1:24" x14ac:dyDescent="0.35">
      <c r="A3076">
        <v>3072</v>
      </c>
      <c r="B3076">
        <v>3073</v>
      </c>
      <c r="C3076">
        <v>146.101719317</v>
      </c>
      <c r="D3076">
        <v>-17.6342538084</v>
      </c>
      <c r="E3076" s="92" t="str">
        <f t="shared" si="0"/>
        <v/>
      </c>
      <c r="F3076" t="str">
        <f>HYPERLINK("D:\Data From Lucan\2024\Moresby\Frames_for_Analysis/3073_20240611_0003_L_0328.jpg","3073_20240611_0003_L_0328.jpg")</f>
        <v>3073_20240611_0003_L_0328.jpg</v>
      </c>
      <c r="G3076" s="92" t="s">
        <v>4650</v>
      </c>
      <c r="I3076">
        <v>2</v>
      </c>
      <c r="K3076" s="97">
        <v>1</v>
      </c>
      <c r="L3076" s="31"/>
      <c r="M3076" s="31"/>
      <c r="N3076" s="31"/>
      <c r="O3076" s="31"/>
      <c r="P3076" s="57">
        <v>1</v>
      </c>
      <c r="Q3076" s="57">
        <v>0</v>
      </c>
      <c r="R3076" s="57">
        <v>0</v>
      </c>
      <c r="S3076" s="97">
        <v>0</v>
      </c>
      <c r="T3076" s="57">
        <v>0</v>
      </c>
      <c r="U3076" s="57">
        <v>0</v>
      </c>
      <c r="V3076" s="57">
        <v>0</v>
      </c>
      <c r="W3076" s="57">
        <v>0</v>
      </c>
      <c r="X3076" s="97">
        <v>0</v>
      </c>
    </row>
    <row r="3077" spans="1:24" x14ac:dyDescent="0.35">
      <c r="A3077">
        <v>3073</v>
      </c>
      <c r="B3077">
        <v>3074</v>
      </c>
      <c r="C3077">
        <v>146.101682248999</v>
      </c>
      <c r="D3077">
        <v>-17.6341758268</v>
      </c>
      <c r="E3077" s="92" t="str">
        <f t="shared" si="0"/>
        <v/>
      </c>
      <c r="F3077" t="str">
        <f>HYPERLINK("D:\Data From Lucan\2024\Moresby\Frames_for_Analysis/3074_20240611_0003_L_0332.jpg","3074_20240611_0003_L_0332.jpg")</f>
        <v>3074_20240611_0003_L_0332.jpg</v>
      </c>
      <c r="G3077" s="92" t="s">
        <v>4651</v>
      </c>
      <c r="I3077">
        <v>2</v>
      </c>
      <c r="K3077" s="97">
        <v>1</v>
      </c>
      <c r="L3077" s="31"/>
      <c r="M3077" s="31"/>
      <c r="N3077" s="31"/>
      <c r="O3077" s="31"/>
      <c r="P3077" s="57">
        <v>1</v>
      </c>
      <c r="Q3077" s="57">
        <v>0</v>
      </c>
      <c r="R3077" s="57">
        <v>0</v>
      </c>
      <c r="S3077" s="97">
        <v>0</v>
      </c>
      <c r="T3077" s="57">
        <v>0</v>
      </c>
      <c r="U3077" s="57">
        <v>0</v>
      </c>
      <c r="V3077" s="57">
        <v>0</v>
      </c>
      <c r="W3077" s="57">
        <v>0</v>
      </c>
      <c r="X3077" s="97">
        <v>0</v>
      </c>
    </row>
    <row r="3078" spans="1:24" x14ac:dyDescent="0.35">
      <c r="A3078">
        <v>3074</v>
      </c>
      <c r="B3078">
        <v>3075</v>
      </c>
      <c r="C3078">
        <v>146.101645179999</v>
      </c>
      <c r="D3078">
        <v>-17.6340978451999</v>
      </c>
      <c r="E3078" s="92">
        <f t="shared" si="0"/>
        <v>50</v>
      </c>
      <c r="F3078" t="str">
        <f>HYPERLINK("D:\Data From Lucan\2024\Moresby\Frames_for_Analysis/3075_20240611_0003_L_0335.jpg","3075_20240611_0003_L_0335.jpg")</f>
        <v>3075_20240611_0003_L_0335.jpg</v>
      </c>
      <c r="G3078" s="92" t="s">
        <v>4652</v>
      </c>
      <c r="I3078">
        <v>2</v>
      </c>
      <c r="K3078" s="97">
        <v>1</v>
      </c>
      <c r="L3078" s="31"/>
      <c r="M3078" s="31"/>
      <c r="N3078" s="31"/>
      <c r="O3078" s="31"/>
      <c r="P3078" s="57">
        <v>1</v>
      </c>
      <c r="Q3078" s="57">
        <v>0</v>
      </c>
      <c r="R3078" s="57">
        <v>0</v>
      </c>
      <c r="S3078" s="97">
        <v>0</v>
      </c>
      <c r="T3078" s="57">
        <v>0</v>
      </c>
      <c r="U3078" s="57">
        <v>0</v>
      </c>
      <c r="V3078" s="57">
        <v>0</v>
      </c>
      <c r="W3078" s="57">
        <v>0</v>
      </c>
      <c r="X3078" s="97">
        <v>0</v>
      </c>
    </row>
    <row r="3079" spans="1:24" x14ac:dyDescent="0.35">
      <c r="A3079">
        <v>3075</v>
      </c>
      <c r="B3079">
        <v>3076</v>
      </c>
      <c r="C3079">
        <v>146.101608110999</v>
      </c>
      <c r="D3079">
        <v>-17.634019863500001</v>
      </c>
      <c r="E3079" s="92" t="str">
        <f t="shared" si="0"/>
        <v/>
      </c>
      <c r="F3079" t="str">
        <f>HYPERLINK("D:\Data From Lucan\2024\Moresby\Frames_for_Analysis/3076_20240611_0003_L_0340.jpg","3076_20240611_0003_L_0340.jpg")</f>
        <v>3076_20240611_0003_L_0340.jpg</v>
      </c>
      <c r="G3079" s="92" t="s">
        <v>4653</v>
      </c>
      <c r="I3079">
        <v>2</v>
      </c>
      <c r="K3079" s="97">
        <v>1</v>
      </c>
      <c r="L3079" s="31"/>
      <c r="M3079" s="31"/>
      <c r="N3079" s="31"/>
      <c r="O3079" s="31"/>
      <c r="P3079" s="57">
        <v>1</v>
      </c>
      <c r="Q3079" s="57">
        <v>0</v>
      </c>
      <c r="R3079" s="57">
        <v>0</v>
      </c>
      <c r="S3079" s="97">
        <v>0</v>
      </c>
      <c r="T3079" s="57">
        <v>0</v>
      </c>
      <c r="U3079" s="57">
        <v>0</v>
      </c>
      <c r="V3079" s="57">
        <v>0</v>
      </c>
      <c r="W3079" s="57">
        <v>0</v>
      </c>
      <c r="X3079" s="97">
        <v>0</v>
      </c>
    </row>
    <row r="3080" spans="1:24" x14ac:dyDescent="0.35">
      <c r="A3080">
        <v>3076</v>
      </c>
      <c r="B3080">
        <v>3077</v>
      </c>
      <c r="C3080">
        <v>146.10157104199899</v>
      </c>
      <c r="D3080">
        <v>-17.633941881799899</v>
      </c>
      <c r="E3080" s="92" t="str">
        <f t="shared" si="0"/>
        <v/>
      </c>
      <c r="F3080" t="str">
        <f>HYPERLINK("D:\Data From Lucan\2024\Moresby\Frames_for_Analysis/3077_20240611_0003_L_0344.jpg","3077_20240611_0003_L_0344.jpg")</f>
        <v>3077_20240611_0003_L_0344.jpg</v>
      </c>
      <c r="G3080" s="92" t="s">
        <v>4654</v>
      </c>
      <c r="I3080">
        <v>2</v>
      </c>
      <c r="K3080" s="97">
        <v>1</v>
      </c>
      <c r="L3080" s="31"/>
      <c r="M3080" s="31"/>
      <c r="N3080" s="31"/>
      <c r="O3080" s="31"/>
      <c r="P3080" s="57">
        <v>1</v>
      </c>
      <c r="Q3080" s="57">
        <v>0</v>
      </c>
      <c r="R3080" s="57">
        <v>0</v>
      </c>
      <c r="S3080" s="97">
        <v>0</v>
      </c>
      <c r="T3080" s="57">
        <v>0</v>
      </c>
      <c r="U3080" s="57">
        <v>0</v>
      </c>
      <c r="V3080" s="57">
        <v>0</v>
      </c>
      <c r="W3080" s="57">
        <v>0</v>
      </c>
      <c r="X3080" s="97">
        <v>0</v>
      </c>
    </row>
    <row r="3081" spans="1:24" x14ac:dyDescent="0.35">
      <c r="A3081">
        <v>3077</v>
      </c>
      <c r="B3081">
        <v>3078</v>
      </c>
      <c r="C3081">
        <v>146.10153397299899</v>
      </c>
      <c r="D3081">
        <v>-17.633863900000001</v>
      </c>
      <c r="E3081" s="92" t="str">
        <f t="shared" si="0"/>
        <v/>
      </c>
      <c r="F3081" t="str">
        <f>HYPERLINK("D:\Data From Lucan\2024\Moresby\Frames_for_Analysis/3078_20240611_0003_L_0347.jpg","3078_20240611_0003_L_0347.jpg")</f>
        <v>3078_20240611_0003_L_0347.jpg</v>
      </c>
      <c r="G3081" s="92" t="s">
        <v>4655</v>
      </c>
      <c r="I3081">
        <v>2</v>
      </c>
      <c r="K3081" s="97">
        <v>1</v>
      </c>
      <c r="L3081" s="31"/>
      <c r="M3081" s="31"/>
      <c r="N3081" s="31"/>
      <c r="O3081" s="31"/>
      <c r="P3081" s="57">
        <v>1</v>
      </c>
      <c r="Q3081" s="57">
        <v>0</v>
      </c>
      <c r="R3081" s="57">
        <v>0</v>
      </c>
      <c r="S3081" s="97">
        <v>0</v>
      </c>
      <c r="T3081" s="57">
        <v>0</v>
      </c>
      <c r="U3081" s="57">
        <v>0</v>
      </c>
      <c r="V3081" s="57">
        <v>0</v>
      </c>
      <c r="W3081" s="57">
        <v>0</v>
      </c>
      <c r="X3081" s="97">
        <v>0</v>
      </c>
    </row>
    <row r="3082" spans="1:24" x14ac:dyDescent="0.35">
      <c r="A3082">
        <v>3078</v>
      </c>
      <c r="B3082">
        <v>3079</v>
      </c>
      <c r="C3082">
        <v>146.10149690399899</v>
      </c>
      <c r="D3082">
        <v>-17.6337859182999</v>
      </c>
      <c r="E3082" s="92" t="str">
        <f t="shared" si="0"/>
        <v/>
      </c>
      <c r="F3082" t="str">
        <f>HYPERLINK("D:\Data From Lucan\2024\Moresby\Frames_for_Analysis/3079_20240611_0003_L_0351.jpg","3079_20240611_0003_L_0351.jpg")</f>
        <v>3079_20240611_0003_L_0351.jpg</v>
      </c>
      <c r="G3082" s="92" t="s">
        <v>4656</v>
      </c>
      <c r="I3082">
        <v>2</v>
      </c>
      <c r="K3082" s="97">
        <v>1</v>
      </c>
      <c r="L3082" s="31"/>
      <c r="M3082" s="31"/>
      <c r="N3082" s="31"/>
      <c r="O3082" s="31"/>
      <c r="P3082" s="57">
        <v>1</v>
      </c>
      <c r="Q3082" s="57">
        <v>0</v>
      </c>
      <c r="R3082" s="57">
        <v>0</v>
      </c>
      <c r="S3082" s="97">
        <v>0</v>
      </c>
      <c r="T3082" s="57">
        <v>0</v>
      </c>
      <c r="U3082" s="57">
        <v>0</v>
      </c>
      <c r="V3082" s="57">
        <v>0</v>
      </c>
      <c r="W3082" s="57">
        <v>0</v>
      </c>
      <c r="X3082" s="97">
        <v>0</v>
      </c>
    </row>
    <row r="3083" spans="1:24" x14ac:dyDescent="0.35">
      <c r="A3083">
        <v>3079</v>
      </c>
      <c r="B3083">
        <v>3080</v>
      </c>
      <c r="C3083">
        <v>146.10145983500001</v>
      </c>
      <c r="D3083">
        <v>-17.6337079364</v>
      </c>
      <c r="E3083" s="92">
        <f t="shared" si="0"/>
        <v>50</v>
      </c>
      <c r="F3083" t="str">
        <f>HYPERLINK("D:\Data From Lucan\2024\Moresby\Frames_for_Analysis/3080_20240611_0003_L_0354.jpg","3080_20240611_0003_L_0354.jpg")</f>
        <v>3080_20240611_0003_L_0354.jpg</v>
      </c>
      <c r="G3083" s="92" t="s">
        <v>4657</v>
      </c>
      <c r="I3083">
        <v>2</v>
      </c>
      <c r="K3083" s="97">
        <v>1</v>
      </c>
      <c r="L3083" s="31"/>
      <c r="M3083" s="31"/>
      <c r="N3083" s="31"/>
      <c r="O3083" s="31"/>
      <c r="P3083" s="57">
        <v>1</v>
      </c>
      <c r="Q3083" s="57">
        <v>0</v>
      </c>
      <c r="R3083" s="57">
        <v>0</v>
      </c>
      <c r="S3083" s="97">
        <v>0</v>
      </c>
      <c r="T3083" s="57">
        <v>0</v>
      </c>
      <c r="U3083" s="57">
        <v>0</v>
      </c>
      <c r="V3083" s="57">
        <v>0</v>
      </c>
      <c r="W3083" s="57">
        <v>0</v>
      </c>
      <c r="X3083" s="97">
        <v>0</v>
      </c>
    </row>
    <row r="3084" spans="1:24" x14ac:dyDescent="0.35">
      <c r="A3084">
        <v>3080</v>
      </c>
      <c r="B3084">
        <v>3081</v>
      </c>
      <c r="C3084">
        <v>146.10142276600001</v>
      </c>
      <c r="D3084">
        <v>-17.6336299546</v>
      </c>
      <c r="E3084" s="92" t="str">
        <f t="shared" si="0"/>
        <v/>
      </c>
      <c r="F3084" t="str">
        <f>HYPERLINK("D:\Data From Lucan\2024\Moresby\Frames_for_Analysis/3081_20240611_0003_L_0358.jpg","3081_20240611_0003_L_0358.jpg")</f>
        <v>3081_20240611_0003_L_0358.jpg</v>
      </c>
      <c r="G3084" s="92" t="s">
        <v>4658</v>
      </c>
      <c r="I3084">
        <v>2</v>
      </c>
      <c r="K3084" s="97">
        <v>1</v>
      </c>
      <c r="L3084" s="31"/>
      <c r="M3084" s="31"/>
      <c r="N3084" s="31"/>
      <c r="O3084" s="31"/>
      <c r="P3084" s="57">
        <v>1</v>
      </c>
      <c r="Q3084" s="57">
        <v>0</v>
      </c>
      <c r="R3084" s="57">
        <v>0</v>
      </c>
      <c r="S3084" s="97">
        <v>0</v>
      </c>
      <c r="T3084" s="57">
        <v>0</v>
      </c>
      <c r="U3084" s="57">
        <v>0</v>
      </c>
      <c r="V3084" s="57">
        <v>0</v>
      </c>
      <c r="W3084" s="57">
        <v>0</v>
      </c>
      <c r="X3084" s="97">
        <v>0</v>
      </c>
    </row>
    <row r="3085" spans="1:24" x14ac:dyDescent="0.35">
      <c r="A3085">
        <v>3081</v>
      </c>
      <c r="B3085">
        <v>3082</v>
      </c>
      <c r="C3085">
        <v>146.10138569700001</v>
      </c>
      <c r="D3085">
        <v>-17.633551972700001</v>
      </c>
      <c r="E3085" s="92" t="str">
        <f t="shared" si="0"/>
        <v/>
      </c>
      <c r="F3085" t="str">
        <f>HYPERLINK("D:\Data From Lucan\2024\Moresby\Frames_for_Analysis/3082_20240611_0003_L_0363.jpg","3082_20240611_0003_L_0363.jpg")</f>
        <v>3082_20240611_0003_L_0363.jpg</v>
      </c>
      <c r="G3085" s="92" t="s">
        <v>4659</v>
      </c>
      <c r="I3085">
        <v>2</v>
      </c>
      <c r="K3085" s="97">
        <v>1</v>
      </c>
      <c r="L3085" s="31"/>
      <c r="M3085" s="31"/>
      <c r="N3085" s="31"/>
      <c r="O3085" s="31"/>
      <c r="P3085" s="57">
        <v>1</v>
      </c>
      <c r="Q3085" s="57">
        <v>0</v>
      </c>
      <c r="R3085" s="57">
        <v>0</v>
      </c>
      <c r="S3085" s="97">
        <v>0</v>
      </c>
      <c r="T3085" s="57">
        <v>0</v>
      </c>
      <c r="U3085" s="57">
        <v>0</v>
      </c>
      <c r="V3085" s="57">
        <v>0</v>
      </c>
      <c r="W3085" s="57">
        <v>0</v>
      </c>
      <c r="X3085" s="97">
        <v>0</v>
      </c>
    </row>
    <row r="3086" spans="1:24" x14ac:dyDescent="0.35">
      <c r="A3086">
        <v>3082</v>
      </c>
      <c r="B3086">
        <v>3083</v>
      </c>
      <c r="C3086">
        <v>146.101353386</v>
      </c>
      <c r="D3086">
        <v>-17.6334720923</v>
      </c>
      <c r="E3086" s="92" t="str">
        <f t="shared" si="0"/>
        <v/>
      </c>
      <c r="F3086" t="str">
        <f>HYPERLINK("D:\Data From Lucan\2024\Moresby\Frames_for_Analysis/3083_20240611_0003_L_0367.jpg","3083_20240611_0003_L_0367.jpg")</f>
        <v>3083_20240611_0003_L_0367.jpg</v>
      </c>
      <c r="G3086" s="92" t="s">
        <v>4660</v>
      </c>
      <c r="I3086">
        <v>2</v>
      </c>
      <c r="K3086" s="97">
        <v>1</v>
      </c>
      <c r="L3086" s="31"/>
      <c r="M3086" s="31"/>
      <c r="N3086" s="31"/>
      <c r="O3086" s="31"/>
      <c r="P3086" s="57">
        <v>1</v>
      </c>
      <c r="Q3086" s="57">
        <v>0</v>
      </c>
      <c r="R3086" s="57">
        <v>0</v>
      </c>
      <c r="S3086" s="97">
        <v>0</v>
      </c>
      <c r="T3086" s="57">
        <v>0</v>
      </c>
      <c r="U3086" s="57">
        <v>0</v>
      </c>
      <c r="V3086" s="57">
        <v>0</v>
      </c>
      <c r="W3086" s="57">
        <v>0</v>
      </c>
      <c r="X3086" s="97">
        <v>0</v>
      </c>
    </row>
    <row r="3087" spans="1:24" x14ac:dyDescent="0.35">
      <c r="A3087">
        <v>3083</v>
      </c>
      <c r="B3087">
        <v>3084</v>
      </c>
      <c r="C3087">
        <v>146.10132108600001</v>
      </c>
      <c r="D3087">
        <v>-17.633392207</v>
      </c>
      <c r="E3087" s="92" t="str">
        <f t="shared" si="0"/>
        <v/>
      </c>
      <c r="F3087" t="str">
        <f>HYPERLINK("D:\Data From Lucan\2024\Moresby\Frames_for_Analysis/3084_20240611_0003_L_0371.jpg","3084_20240611_0003_L_0371.jpg")</f>
        <v>3084_20240611_0003_L_0371.jpg</v>
      </c>
      <c r="G3087" s="92" t="s">
        <v>4661</v>
      </c>
      <c r="I3087">
        <v>2</v>
      </c>
      <c r="K3087" s="97">
        <v>1</v>
      </c>
      <c r="L3087" s="31"/>
      <c r="M3087" s="31"/>
      <c r="N3087" s="31"/>
      <c r="O3087" s="31"/>
      <c r="P3087" s="57">
        <v>1</v>
      </c>
      <c r="Q3087" s="57">
        <v>0</v>
      </c>
      <c r="R3087" s="57">
        <v>0</v>
      </c>
      <c r="S3087" s="97">
        <v>0</v>
      </c>
      <c r="T3087" s="57">
        <v>0</v>
      </c>
      <c r="U3087" s="57">
        <v>0</v>
      </c>
      <c r="V3087" s="57">
        <v>0</v>
      </c>
      <c r="W3087" s="57">
        <v>0</v>
      </c>
      <c r="X3087" s="97">
        <v>0</v>
      </c>
    </row>
    <row r="3088" spans="1:24" x14ac:dyDescent="0.35">
      <c r="A3088">
        <v>3084</v>
      </c>
      <c r="B3088">
        <v>3085</v>
      </c>
      <c r="C3088">
        <v>146.101288785999</v>
      </c>
      <c r="D3088">
        <v>-17.6333123217</v>
      </c>
      <c r="E3088" s="92">
        <f t="shared" si="0"/>
        <v>50</v>
      </c>
      <c r="F3088" t="str">
        <f>HYPERLINK("D:\Data From Lucan\2024\Moresby\Frames_for_Analysis/3085_20240611_0003_L_0375.jpg","3085_20240611_0003_L_0375.jpg")</f>
        <v>3085_20240611_0003_L_0375.jpg</v>
      </c>
      <c r="G3088" s="92" t="s">
        <v>4662</v>
      </c>
      <c r="I3088">
        <v>2</v>
      </c>
      <c r="K3088" s="97">
        <v>1</v>
      </c>
      <c r="L3088" s="31"/>
      <c r="M3088" s="31"/>
      <c r="N3088" s="31"/>
      <c r="O3088" s="31"/>
      <c r="P3088" s="57">
        <v>1</v>
      </c>
      <c r="Q3088" s="57">
        <v>0</v>
      </c>
      <c r="R3088" s="57">
        <v>0</v>
      </c>
      <c r="S3088" s="97">
        <v>0</v>
      </c>
      <c r="T3088" s="57">
        <v>0</v>
      </c>
      <c r="U3088" s="57">
        <v>0</v>
      </c>
      <c r="V3088" s="57">
        <v>0</v>
      </c>
      <c r="W3088" s="57">
        <v>0</v>
      </c>
      <c r="X3088" s="97">
        <v>0</v>
      </c>
    </row>
    <row r="3089" spans="1:24" x14ac:dyDescent="0.35">
      <c r="A3089">
        <v>3085</v>
      </c>
      <c r="B3089">
        <v>3086</v>
      </c>
      <c r="C3089">
        <v>146.101256487</v>
      </c>
      <c r="D3089">
        <v>-17.633232436299899</v>
      </c>
      <c r="E3089" s="92" t="str">
        <f t="shared" si="0"/>
        <v/>
      </c>
      <c r="F3089" t="str">
        <f>HYPERLINK("D:\Data From Lucan\2024\Moresby\Frames_for_Analysis/3086_20240611_0003_L_0379.jpg","3086_20240611_0003_L_0379.jpg")</f>
        <v>3086_20240611_0003_L_0379.jpg</v>
      </c>
      <c r="G3089" s="92" t="s">
        <v>4663</v>
      </c>
      <c r="I3089">
        <v>2</v>
      </c>
      <c r="K3089" s="97">
        <v>1</v>
      </c>
      <c r="L3089" s="31"/>
      <c r="M3089" s="31"/>
      <c r="N3089" s="31"/>
      <c r="O3089" s="31"/>
      <c r="P3089" s="57">
        <v>1</v>
      </c>
      <c r="Q3089" s="57">
        <v>0</v>
      </c>
      <c r="R3089" s="57">
        <v>0</v>
      </c>
      <c r="S3089" s="97">
        <v>0</v>
      </c>
      <c r="T3089" s="57">
        <v>0</v>
      </c>
      <c r="U3089" s="57">
        <v>0</v>
      </c>
      <c r="V3089" s="57">
        <v>0</v>
      </c>
      <c r="W3089" s="57">
        <v>0</v>
      </c>
      <c r="X3089" s="97">
        <v>0</v>
      </c>
    </row>
    <row r="3090" spans="1:24" x14ac:dyDescent="0.35">
      <c r="A3090">
        <v>3086</v>
      </c>
      <c r="B3090">
        <v>3087</v>
      </c>
      <c r="C3090">
        <v>146.10122418700001</v>
      </c>
      <c r="D3090">
        <v>-17.633152550799899</v>
      </c>
      <c r="E3090" s="92" t="str">
        <f t="shared" si="0"/>
        <v/>
      </c>
      <c r="F3090" t="str">
        <f>HYPERLINK("D:\Data From Lucan\2024\Moresby\Frames_for_Analysis/3087_20240611_0003_L_0383.jpg","3087_20240611_0003_L_0383.jpg")</f>
        <v>3087_20240611_0003_L_0383.jpg</v>
      </c>
      <c r="G3090" s="92" t="s">
        <v>4664</v>
      </c>
      <c r="I3090">
        <v>2</v>
      </c>
      <c r="K3090" s="97">
        <v>1</v>
      </c>
      <c r="L3090" s="31"/>
      <c r="M3090" s="31"/>
      <c r="N3090" s="31"/>
      <c r="O3090" s="31"/>
      <c r="P3090" s="57">
        <v>1</v>
      </c>
      <c r="Q3090" s="57">
        <v>0</v>
      </c>
      <c r="R3090" s="57">
        <v>0</v>
      </c>
      <c r="S3090" s="97">
        <v>0</v>
      </c>
      <c r="T3090" s="57">
        <v>0</v>
      </c>
      <c r="U3090" s="57">
        <v>0</v>
      </c>
      <c r="V3090" s="57">
        <v>0</v>
      </c>
      <c r="W3090" s="57">
        <v>0</v>
      </c>
      <c r="X3090" s="97">
        <v>0</v>
      </c>
    </row>
    <row r="3091" spans="1:24" x14ac:dyDescent="0.35">
      <c r="A3091">
        <v>3087</v>
      </c>
      <c r="B3091">
        <v>3088</v>
      </c>
      <c r="C3091">
        <v>146.10119188799899</v>
      </c>
      <c r="D3091">
        <v>-17.6330726654</v>
      </c>
      <c r="E3091" s="92" t="str">
        <f t="shared" si="0"/>
        <v/>
      </c>
      <c r="F3091" t="str">
        <f>HYPERLINK("D:\Data From Lucan\2024\Moresby\Frames_for_Analysis/3088_20240611_0003_L_0390.jpg","3088_20240611_0003_L_0390.jpg")</f>
        <v>3088_20240611_0003_L_0390.jpg</v>
      </c>
      <c r="G3091" s="92" t="s">
        <v>4665</v>
      </c>
      <c r="I3091">
        <v>2</v>
      </c>
      <c r="K3091" s="97">
        <v>1</v>
      </c>
      <c r="L3091" s="31"/>
      <c r="M3091" s="31"/>
      <c r="N3091" s="31"/>
      <c r="O3091" s="31"/>
      <c r="P3091" s="57">
        <v>1</v>
      </c>
      <c r="Q3091" s="57">
        <v>0</v>
      </c>
      <c r="R3091" s="57">
        <v>0</v>
      </c>
      <c r="S3091" s="97">
        <v>0</v>
      </c>
      <c r="T3091" s="57">
        <v>0</v>
      </c>
      <c r="U3091" s="57">
        <v>0</v>
      </c>
      <c r="V3091" s="57">
        <v>0</v>
      </c>
      <c r="W3091" s="57">
        <v>0</v>
      </c>
      <c r="X3091" s="97">
        <v>0</v>
      </c>
    </row>
    <row r="3092" spans="1:24" x14ac:dyDescent="0.35">
      <c r="A3092">
        <v>3088</v>
      </c>
      <c r="B3092">
        <v>3089</v>
      </c>
      <c r="C3092">
        <v>146.101159588</v>
      </c>
      <c r="D3092">
        <v>-17.6329927799</v>
      </c>
      <c r="E3092" s="92" t="str">
        <f t="shared" si="0"/>
        <v/>
      </c>
      <c r="F3092" t="str">
        <f>HYPERLINK("D:\Data From Lucan\2024\Moresby\Frames_for_Analysis/3089_20240611_0003_L_0395.jpg","3089_20240611_0003_L_0395.jpg")</f>
        <v>3089_20240611_0003_L_0395.jpg</v>
      </c>
      <c r="G3092" s="92" t="s">
        <v>4666</v>
      </c>
      <c r="I3092">
        <v>2</v>
      </c>
      <c r="K3092" s="97">
        <v>1</v>
      </c>
      <c r="L3092" s="31"/>
      <c r="M3092" s="31"/>
      <c r="N3092" s="31"/>
      <c r="O3092" s="31"/>
      <c r="P3092" s="57">
        <v>1</v>
      </c>
      <c r="Q3092" s="57">
        <v>0</v>
      </c>
      <c r="R3092" s="57">
        <v>0</v>
      </c>
      <c r="S3092" s="97">
        <v>0</v>
      </c>
      <c r="T3092" s="57">
        <v>0</v>
      </c>
      <c r="U3092" s="57">
        <v>0</v>
      </c>
      <c r="V3092" s="57">
        <v>0</v>
      </c>
      <c r="W3092" s="57">
        <v>0</v>
      </c>
      <c r="X3092" s="97">
        <v>0</v>
      </c>
    </row>
    <row r="3093" spans="1:24" x14ac:dyDescent="0.35">
      <c r="A3093">
        <v>3089</v>
      </c>
      <c r="B3093">
        <v>3090</v>
      </c>
      <c r="C3093">
        <v>146.10112728799899</v>
      </c>
      <c r="D3093">
        <v>-17.6329128944</v>
      </c>
      <c r="E3093" s="92">
        <f t="shared" si="0"/>
        <v>50</v>
      </c>
      <c r="F3093" t="str">
        <f>HYPERLINK("D:\Data From Lucan\2024\Moresby\Frames_for_Analysis/3090_20240611_0003_L_0403.jpg","3090_20240611_0003_L_0403.jpg")</f>
        <v>3090_20240611_0003_L_0403.jpg</v>
      </c>
      <c r="G3093" s="92" t="s">
        <v>4667</v>
      </c>
      <c r="I3093">
        <v>2</v>
      </c>
      <c r="K3093" s="97">
        <v>1</v>
      </c>
      <c r="L3093" s="31"/>
      <c r="M3093" s="31"/>
      <c r="N3093" s="31"/>
      <c r="O3093" s="31"/>
      <c r="P3093" s="57">
        <v>1</v>
      </c>
      <c r="Q3093" s="57">
        <v>0</v>
      </c>
      <c r="R3093" s="57">
        <v>0</v>
      </c>
      <c r="S3093" s="97">
        <v>0</v>
      </c>
      <c r="T3093" s="57">
        <v>0</v>
      </c>
      <c r="U3093" s="57">
        <v>0</v>
      </c>
      <c r="V3093" s="57">
        <v>0</v>
      </c>
      <c r="W3093" s="57">
        <v>0</v>
      </c>
      <c r="X3093" s="97">
        <v>0</v>
      </c>
    </row>
    <row r="3094" spans="1:24" x14ac:dyDescent="0.35">
      <c r="A3094">
        <v>3090</v>
      </c>
      <c r="B3094">
        <v>3091</v>
      </c>
      <c r="C3094">
        <v>146.10109498899899</v>
      </c>
      <c r="D3094">
        <v>-17.632833008799899</v>
      </c>
      <c r="E3094" s="92" t="str">
        <f t="shared" si="0"/>
        <v/>
      </c>
      <c r="F3094" t="str">
        <f>HYPERLINK("D:\Data From Lucan\2024\Moresby\Frames_for_Analysis/3091_20240611_0003_L_0409.jpg","3091_20240611_0003_L_0409.jpg")</f>
        <v>3091_20240611_0003_L_0409.jpg</v>
      </c>
      <c r="G3094" s="92" t="s">
        <v>4668</v>
      </c>
      <c r="I3094">
        <v>2</v>
      </c>
      <c r="K3094" s="97">
        <v>1</v>
      </c>
      <c r="L3094" s="31"/>
      <c r="M3094" s="31"/>
      <c r="N3094" s="31"/>
      <c r="O3094" s="31"/>
      <c r="P3094" s="57">
        <v>1</v>
      </c>
      <c r="Q3094" s="57">
        <v>0</v>
      </c>
      <c r="R3094" s="57">
        <v>0</v>
      </c>
      <c r="S3094" s="97">
        <v>0</v>
      </c>
      <c r="T3094" s="57">
        <v>0</v>
      </c>
      <c r="U3094" s="57">
        <v>0</v>
      </c>
      <c r="V3094" s="57">
        <v>0</v>
      </c>
      <c r="W3094" s="57">
        <v>0</v>
      </c>
      <c r="X3094" s="97">
        <v>0</v>
      </c>
    </row>
    <row r="3095" spans="1:24" x14ac:dyDescent="0.35">
      <c r="A3095">
        <v>3091</v>
      </c>
      <c r="B3095">
        <v>3092</v>
      </c>
      <c r="C3095">
        <v>146.101062689</v>
      </c>
      <c r="D3095">
        <v>-17.632753123200001</v>
      </c>
      <c r="E3095" s="92" t="str">
        <f t="shared" si="0"/>
        <v/>
      </c>
      <c r="F3095" t="str">
        <f>HYPERLINK("D:\Data From Lucan\2024\Moresby\Frames_for_Analysis/3092_20240611_0003_L_0414.jpg","3092_20240611_0003_L_0414.jpg")</f>
        <v>3092_20240611_0003_L_0414.jpg</v>
      </c>
      <c r="G3095" s="92" t="s">
        <v>4669</v>
      </c>
      <c r="I3095">
        <v>2</v>
      </c>
      <c r="K3095" s="97">
        <v>1</v>
      </c>
      <c r="L3095" s="31"/>
      <c r="M3095" s="31"/>
      <c r="N3095" s="31"/>
      <c r="O3095" s="31"/>
      <c r="P3095" s="57">
        <v>1</v>
      </c>
      <c r="Q3095" s="57">
        <v>0</v>
      </c>
      <c r="R3095" s="57">
        <v>0</v>
      </c>
      <c r="S3095" s="97">
        <v>0</v>
      </c>
      <c r="T3095" s="57">
        <v>0</v>
      </c>
      <c r="U3095" s="57">
        <v>0</v>
      </c>
      <c r="V3095" s="57">
        <v>0</v>
      </c>
      <c r="W3095" s="57">
        <v>0</v>
      </c>
      <c r="X3095" s="97">
        <v>0</v>
      </c>
    </row>
    <row r="3096" spans="1:24" x14ac:dyDescent="0.35">
      <c r="A3096">
        <v>3092</v>
      </c>
      <c r="B3096">
        <v>3093</v>
      </c>
      <c r="C3096">
        <v>146.10103039000001</v>
      </c>
      <c r="D3096">
        <v>-17.632673237599899</v>
      </c>
      <c r="E3096" s="92" t="str">
        <f t="shared" si="0"/>
        <v/>
      </c>
      <c r="F3096" t="str">
        <f>HYPERLINK("D:\Data From Lucan\2024\Moresby\Frames_for_Analysis/3093_20240611_0003_L_0419.jpg","3093_20240611_0003_L_0419.jpg")</f>
        <v>3093_20240611_0003_L_0419.jpg</v>
      </c>
      <c r="G3096" s="92" t="s">
        <v>4670</v>
      </c>
      <c r="I3096">
        <v>2</v>
      </c>
      <c r="K3096" s="97">
        <v>1</v>
      </c>
      <c r="L3096" s="31"/>
      <c r="M3096" s="31"/>
      <c r="N3096" s="31"/>
      <c r="O3096" s="31"/>
      <c r="P3096" s="57">
        <v>1</v>
      </c>
      <c r="Q3096" s="57">
        <v>0</v>
      </c>
      <c r="R3096" s="57">
        <v>0</v>
      </c>
      <c r="S3096" s="97">
        <v>0</v>
      </c>
      <c r="T3096" s="57">
        <v>0</v>
      </c>
      <c r="U3096" s="57">
        <v>0</v>
      </c>
      <c r="V3096" s="57">
        <v>0</v>
      </c>
      <c r="W3096" s="57">
        <v>0</v>
      </c>
      <c r="X3096" s="97">
        <v>0</v>
      </c>
    </row>
    <row r="3097" spans="1:24" x14ac:dyDescent="0.35">
      <c r="A3097">
        <v>3093</v>
      </c>
      <c r="B3097">
        <v>3094</v>
      </c>
      <c r="C3097">
        <v>146.100998089999</v>
      </c>
      <c r="D3097">
        <v>-17.632593351899899</v>
      </c>
      <c r="E3097" s="92" t="str">
        <f t="shared" si="0"/>
        <v/>
      </c>
      <c r="F3097" t="str">
        <f>HYPERLINK("D:\Data From Lucan\2024\Moresby\Frames_for_Analysis/3094_20240611_0003_L_0426.jpg","3094_20240611_0003_L_0426.jpg")</f>
        <v>3094_20240611_0003_L_0426.jpg</v>
      </c>
      <c r="G3097" s="92" t="s">
        <v>4671</v>
      </c>
      <c r="I3097">
        <v>2</v>
      </c>
      <c r="K3097" s="97">
        <v>1</v>
      </c>
      <c r="L3097" s="31"/>
      <c r="M3097" s="31"/>
      <c r="N3097" s="31"/>
      <c r="O3097" s="31"/>
      <c r="P3097" s="57">
        <v>1</v>
      </c>
      <c r="Q3097" s="57">
        <v>0</v>
      </c>
      <c r="R3097" s="57">
        <v>0</v>
      </c>
      <c r="S3097" s="97">
        <v>0</v>
      </c>
      <c r="T3097" s="57">
        <v>0</v>
      </c>
      <c r="U3097" s="57">
        <v>0</v>
      </c>
      <c r="V3097" s="57">
        <v>0</v>
      </c>
      <c r="W3097" s="57">
        <v>0</v>
      </c>
      <c r="X3097" s="97">
        <v>0</v>
      </c>
    </row>
    <row r="3098" spans="1:24" x14ac:dyDescent="0.35">
      <c r="A3098">
        <v>3094</v>
      </c>
      <c r="B3098">
        <v>3095</v>
      </c>
      <c r="C3098">
        <v>146.10096579</v>
      </c>
      <c r="D3098">
        <v>-17.632513466199899</v>
      </c>
      <c r="E3098" s="92">
        <f t="shared" si="0"/>
        <v>50</v>
      </c>
      <c r="F3098" t="str">
        <f>HYPERLINK("D:\Data From Lucan\2024\Moresby\Frames_for_Analysis/3095_20240611_0003_L_0433.jpg","3095_20240611_0003_L_0433.jpg")</f>
        <v>3095_20240611_0003_L_0433.jpg</v>
      </c>
      <c r="G3098" s="92" t="s">
        <v>4672</v>
      </c>
      <c r="I3098">
        <v>2</v>
      </c>
      <c r="K3098" s="97">
        <v>1</v>
      </c>
      <c r="L3098" s="31"/>
      <c r="M3098" s="31"/>
      <c r="N3098" s="31"/>
      <c r="O3098" s="31"/>
      <c r="P3098" s="57">
        <v>1</v>
      </c>
      <c r="Q3098" s="57">
        <v>0</v>
      </c>
      <c r="R3098" s="57">
        <v>0</v>
      </c>
      <c r="S3098" s="97">
        <v>0</v>
      </c>
      <c r="T3098" s="57">
        <v>0</v>
      </c>
      <c r="U3098" s="57">
        <v>0</v>
      </c>
      <c r="V3098" s="57">
        <v>0</v>
      </c>
      <c r="W3098" s="57">
        <v>0</v>
      </c>
      <c r="X3098" s="97">
        <v>0</v>
      </c>
    </row>
    <row r="3099" spans="1:24" x14ac:dyDescent="0.35">
      <c r="A3099">
        <v>3095</v>
      </c>
      <c r="B3099">
        <v>3096</v>
      </c>
      <c r="C3099">
        <v>146.10093349100001</v>
      </c>
      <c r="D3099">
        <v>-17.632433580400001</v>
      </c>
      <c r="E3099" s="92" t="str">
        <f t="shared" si="0"/>
        <v/>
      </c>
      <c r="F3099" t="str">
        <f>HYPERLINK("D:\Data From Lucan\2024\Moresby\Frames_for_Analysis/3096_20240611_0003_L_0436.jpg","3096_20240611_0003_L_0436.jpg")</f>
        <v>3096_20240611_0003_L_0436.jpg</v>
      </c>
      <c r="G3099" s="92" t="s">
        <v>4673</v>
      </c>
      <c r="I3099">
        <v>2</v>
      </c>
      <c r="K3099" s="97">
        <v>1</v>
      </c>
      <c r="L3099" s="31"/>
      <c r="M3099" s="31"/>
      <c r="N3099" s="31"/>
      <c r="O3099" s="31"/>
      <c r="P3099" s="57">
        <v>1</v>
      </c>
      <c r="Q3099" s="57">
        <v>0</v>
      </c>
      <c r="R3099" s="57">
        <v>0</v>
      </c>
      <c r="S3099" s="97">
        <v>0</v>
      </c>
      <c r="T3099" s="57">
        <v>0</v>
      </c>
      <c r="U3099" s="57">
        <v>0</v>
      </c>
      <c r="V3099" s="57">
        <v>0</v>
      </c>
      <c r="W3099" s="57">
        <v>0</v>
      </c>
      <c r="X3099" s="97">
        <v>0</v>
      </c>
    </row>
    <row r="3100" spans="1:24" x14ac:dyDescent="0.35">
      <c r="A3100">
        <v>3096</v>
      </c>
      <c r="B3100">
        <v>3097</v>
      </c>
      <c r="C3100">
        <v>146.100901190999</v>
      </c>
      <c r="D3100">
        <v>-17.6323536945999</v>
      </c>
      <c r="E3100" s="92" t="str">
        <f t="shared" si="0"/>
        <v/>
      </c>
      <c r="F3100" t="str">
        <f>HYPERLINK("D:\Data From Lucan\2024\Moresby\Frames_for_Analysis/3097_20240611_0003_L_0441.jpg","3097_20240611_0003_L_0441.jpg")</f>
        <v>3097_20240611_0003_L_0441.jpg</v>
      </c>
      <c r="G3100" s="92" t="s">
        <v>4674</v>
      </c>
      <c r="I3100">
        <v>2</v>
      </c>
      <c r="K3100" s="97">
        <v>1</v>
      </c>
      <c r="L3100" s="31"/>
      <c r="M3100" s="31"/>
      <c r="N3100" s="31"/>
      <c r="O3100" s="31"/>
      <c r="P3100" s="57">
        <v>1</v>
      </c>
      <c r="Q3100" s="57">
        <v>0</v>
      </c>
      <c r="R3100" s="57">
        <v>0</v>
      </c>
      <c r="S3100" s="97">
        <v>0</v>
      </c>
      <c r="T3100" s="57">
        <v>0</v>
      </c>
      <c r="U3100" s="57">
        <v>0</v>
      </c>
      <c r="V3100" s="57">
        <v>0</v>
      </c>
      <c r="W3100" s="57">
        <v>0</v>
      </c>
      <c r="X3100" s="97">
        <v>0</v>
      </c>
    </row>
    <row r="3101" spans="1:24" x14ac:dyDescent="0.35">
      <c r="A3101">
        <v>3097</v>
      </c>
      <c r="B3101">
        <v>3098</v>
      </c>
      <c r="C3101">
        <v>146.100863277999</v>
      </c>
      <c r="D3101">
        <v>-17.6322765793999</v>
      </c>
      <c r="E3101" s="92" t="str">
        <f t="shared" si="0"/>
        <v/>
      </c>
      <c r="F3101" t="str">
        <f>HYPERLINK("D:\Data From Lucan\2024\Moresby\Frames_for_Analysis/3098_20240611_0003_L_0444.jpg","3098_20240611_0003_L_0444.jpg")</f>
        <v>3098_20240611_0003_L_0444.jpg</v>
      </c>
      <c r="G3101" s="92" t="s">
        <v>4675</v>
      </c>
      <c r="I3101">
        <v>2</v>
      </c>
      <c r="K3101" s="97">
        <v>1</v>
      </c>
      <c r="L3101" s="31"/>
      <c r="M3101" s="31"/>
      <c r="N3101" s="31"/>
      <c r="O3101" s="31"/>
      <c r="P3101" s="57">
        <v>1</v>
      </c>
      <c r="Q3101" s="57">
        <v>0</v>
      </c>
      <c r="R3101" s="57">
        <v>0</v>
      </c>
      <c r="S3101" s="97">
        <v>0</v>
      </c>
      <c r="T3101" s="57">
        <v>0</v>
      </c>
      <c r="U3101" s="57">
        <v>0</v>
      </c>
      <c r="V3101" s="57">
        <v>0</v>
      </c>
      <c r="W3101" s="57">
        <v>0</v>
      </c>
      <c r="X3101" s="97">
        <v>0</v>
      </c>
    </row>
    <row r="3102" spans="1:24" x14ac:dyDescent="0.35">
      <c r="A3102">
        <v>3098</v>
      </c>
      <c r="B3102">
        <v>3099</v>
      </c>
      <c r="C3102">
        <v>146.10081346000001</v>
      </c>
      <c r="D3102">
        <v>-17.632205338599899</v>
      </c>
      <c r="E3102" s="92" t="str">
        <f t="shared" si="0"/>
        <v/>
      </c>
      <c r="F3102" t="str">
        <f>HYPERLINK("D:\Data From Lucan\2024\Moresby\Frames_for_Analysis/3099_20240611_0003_L_0448.jpg","3099_20240611_0003_L_0448.jpg")</f>
        <v>3099_20240611_0003_L_0448.jpg</v>
      </c>
      <c r="G3102" s="92" t="s">
        <v>4676</v>
      </c>
      <c r="I3102">
        <v>2</v>
      </c>
      <c r="K3102" s="97">
        <v>1</v>
      </c>
      <c r="L3102" s="31"/>
      <c r="M3102" s="31"/>
      <c r="N3102" s="31"/>
      <c r="O3102" s="31"/>
      <c r="P3102" s="57">
        <v>1</v>
      </c>
      <c r="Q3102" s="57">
        <v>0</v>
      </c>
      <c r="R3102" s="57">
        <v>0</v>
      </c>
      <c r="S3102" s="97">
        <v>0</v>
      </c>
      <c r="T3102" s="57">
        <v>0</v>
      </c>
      <c r="U3102" s="57">
        <v>0</v>
      </c>
      <c r="V3102" s="57">
        <v>0</v>
      </c>
      <c r="W3102" s="57">
        <v>0</v>
      </c>
      <c r="X3102" s="97">
        <v>0</v>
      </c>
    </row>
    <row r="3103" spans="1:24" x14ac:dyDescent="0.35">
      <c r="A3103">
        <v>3099</v>
      </c>
      <c r="B3103">
        <v>3100</v>
      </c>
      <c r="C3103">
        <v>146.100763642999</v>
      </c>
      <c r="D3103">
        <v>-17.632134097800002</v>
      </c>
      <c r="E3103" s="92">
        <f t="shared" ref="E3103:E3166" si="1">IF(MOD(B3103,5)=0, 50, "")</f>
        <v>50</v>
      </c>
      <c r="F3103" t="str">
        <f>HYPERLINK("D:\Data From Lucan\2024\Moresby\Frames_for_Analysis/3100_20240611_0003_L_0451.jpg","3100_20240611_0003_L_0451.jpg")</f>
        <v>3100_20240611_0003_L_0451.jpg</v>
      </c>
      <c r="G3103" s="92" t="s">
        <v>4677</v>
      </c>
      <c r="I3103">
        <v>2</v>
      </c>
      <c r="K3103" s="97">
        <v>1</v>
      </c>
      <c r="L3103" s="31"/>
      <c r="M3103" s="31"/>
      <c r="N3103" s="31"/>
      <c r="O3103" s="31"/>
      <c r="P3103" s="57">
        <v>1</v>
      </c>
      <c r="Q3103" s="57">
        <v>0</v>
      </c>
      <c r="R3103" s="57">
        <v>0</v>
      </c>
      <c r="S3103" s="97">
        <v>0</v>
      </c>
      <c r="T3103" s="57">
        <v>0</v>
      </c>
      <c r="U3103" s="57">
        <v>0</v>
      </c>
      <c r="V3103" s="57">
        <v>0</v>
      </c>
      <c r="W3103" s="57">
        <v>0</v>
      </c>
      <c r="X3103" s="97">
        <v>0</v>
      </c>
    </row>
    <row r="3104" spans="1:24" x14ac:dyDescent="0.35">
      <c r="A3104">
        <v>3100</v>
      </c>
      <c r="B3104">
        <v>3101</v>
      </c>
      <c r="C3104">
        <v>146.100713826</v>
      </c>
      <c r="D3104">
        <v>-17.632062857000001</v>
      </c>
      <c r="E3104" s="92" t="str">
        <f t="shared" si="1"/>
        <v/>
      </c>
      <c r="F3104" t="str">
        <f>HYPERLINK("D:\Data From Lucan\2024\Moresby\Frames_for_Analysis/3101_20240611_0003_L_0455.jpg","3101_20240611_0003_L_0455.jpg")</f>
        <v>3101_20240611_0003_L_0455.jpg</v>
      </c>
      <c r="G3104" s="92" t="s">
        <v>4678</v>
      </c>
      <c r="I3104">
        <v>2</v>
      </c>
      <c r="K3104" s="97">
        <v>1</v>
      </c>
      <c r="L3104" s="31"/>
      <c r="M3104" s="31"/>
      <c r="N3104" s="31"/>
      <c r="O3104" s="31"/>
      <c r="P3104" s="57">
        <v>1</v>
      </c>
      <c r="Q3104" s="57">
        <v>0</v>
      </c>
      <c r="R3104" s="57">
        <v>0</v>
      </c>
      <c r="S3104" s="97">
        <v>0</v>
      </c>
      <c r="T3104" s="57">
        <v>0</v>
      </c>
      <c r="U3104" s="57">
        <v>0</v>
      </c>
      <c r="V3104" s="57">
        <v>0</v>
      </c>
      <c r="W3104" s="57">
        <v>0</v>
      </c>
      <c r="X3104" s="97">
        <v>0</v>
      </c>
    </row>
    <row r="3105" spans="1:24" x14ac:dyDescent="0.35">
      <c r="A3105">
        <v>3101</v>
      </c>
      <c r="B3105">
        <v>3102</v>
      </c>
      <c r="C3105">
        <v>146.10066400900001</v>
      </c>
      <c r="D3105">
        <v>-17.631991616099899</v>
      </c>
      <c r="E3105" s="92" t="str">
        <f t="shared" si="1"/>
        <v/>
      </c>
      <c r="F3105" t="str">
        <f>HYPERLINK("D:\Data From Lucan\2024\Moresby\Frames_for_Analysis/3102_20240611_0003_L_0459.jpg","3102_20240611_0003_L_0459.jpg")</f>
        <v>3102_20240611_0003_L_0459.jpg</v>
      </c>
      <c r="G3105" s="92" t="s">
        <v>4679</v>
      </c>
      <c r="I3105">
        <v>2</v>
      </c>
      <c r="K3105" s="97">
        <v>1</v>
      </c>
      <c r="L3105" s="31"/>
      <c r="M3105" s="31"/>
      <c r="N3105" s="31"/>
      <c r="O3105" s="31"/>
      <c r="P3105" s="57">
        <v>1</v>
      </c>
      <c r="Q3105" s="57">
        <v>0</v>
      </c>
      <c r="R3105" s="57">
        <v>0</v>
      </c>
      <c r="S3105" s="97">
        <v>0</v>
      </c>
      <c r="T3105" s="57">
        <v>0</v>
      </c>
      <c r="U3105" s="57">
        <v>0</v>
      </c>
      <c r="V3105" s="57">
        <v>0</v>
      </c>
      <c r="W3105" s="57">
        <v>0</v>
      </c>
      <c r="X3105" s="97">
        <v>0</v>
      </c>
    </row>
    <row r="3106" spans="1:24" x14ac:dyDescent="0.35">
      <c r="A3106">
        <v>3102</v>
      </c>
      <c r="B3106">
        <v>3103</v>
      </c>
      <c r="C3106">
        <v>146.10060886599899</v>
      </c>
      <c r="D3106">
        <v>-17.631924188700001</v>
      </c>
      <c r="E3106" s="92" t="str">
        <f t="shared" si="1"/>
        <v/>
      </c>
      <c r="F3106" t="str">
        <f>HYPERLINK("D:\Data From Lucan\2024\Moresby\Frames_for_Analysis/3103_20240611_0003_L_0462.jpg","3103_20240611_0003_L_0462.jpg")</f>
        <v>3103_20240611_0003_L_0462.jpg</v>
      </c>
      <c r="G3106" s="92" t="s">
        <v>4680</v>
      </c>
      <c r="I3106">
        <v>2</v>
      </c>
      <c r="K3106" s="97">
        <v>1</v>
      </c>
      <c r="L3106" s="31"/>
      <c r="M3106" s="31"/>
      <c r="N3106" s="31"/>
      <c r="O3106" s="31"/>
      <c r="P3106" s="57">
        <v>1</v>
      </c>
      <c r="Q3106" s="57">
        <v>0</v>
      </c>
      <c r="R3106" s="57">
        <v>0</v>
      </c>
      <c r="S3106" s="97">
        <v>0</v>
      </c>
      <c r="T3106" s="57">
        <v>0</v>
      </c>
      <c r="U3106" s="57">
        <v>0</v>
      </c>
      <c r="V3106" s="57">
        <v>0</v>
      </c>
      <c r="W3106" s="57">
        <v>0</v>
      </c>
      <c r="X3106" s="97">
        <v>0</v>
      </c>
    </row>
    <row r="3107" spans="1:24" x14ac:dyDescent="0.35">
      <c r="A3107">
        <v>3103</v>
      </c>
      <c r="B3107">
        <v>3104</v>
      </c>
      <c r="C3107">
        <v>146.100550935999</v>
      </c>
      <c r="D3107">
        <v>-17.631858757100002</v>
      </c>
      <c r="E3107" s="92" t="str">
        <f t="shared" si="1"/>
        <v/>
      </c>
      <c r="F3107" t="str">
        <f>HYPERLINK("D:\Data From Lucan\2024\Moresby\Frames_for_Analysis/3104_20240611_0003_L_0467.jpg","3104_20240611_0003_L_0467.jpg")</f>
        <v>3104_20240611_0003_L_0467.jpg</v>
      </c>
      <c r="G3107" s="92" t="s">
        <v>4681</v>
      </c>
      <c r="I3107">
        <v>2</v>
      </c>
      <c r="K3107" s="97">
        <v>1</v>
      </c>
      <c r="L3107" s="31"/>
      <c r="M3107" s="31"/>
      <c r="N3107" s="31"/>
      <c r="O3107" s="31"/>
      <c r="P3107" s="57">
        <v>1</v>
      </c>
      <c r="Q3107" s="57">
        <v>0</v>
      </c>
      <c r="R3107" s="57">
        <v>0</v>
      </c>
      <c r="S3107" s="97">
        <v>0</v>
      </c>
      <c r="T3107" s="57">
        <v>0</v>
      </c>
      <c r="U3107" s="57">
        <v>0</v>
      </c>
      <c r="V3107" s="57">
        <v>0</v>
      </c>
      <c r="W3107" s="57">
        <v>0</v>
      </c>
      <c r="X3107" s="97">
        <v>0</v>
      </c>
    </row>
    <row r="3108" spans="1:24" x14ac:dyDescent="0.35">
      <c r="A3108">
        <v>3104</v>
      </c>
      <c r="B3108">
        <v>3105</v>
      </c>
      <c r="C3108">
        <v>146.100493005</v>
      </c>
      <c r="D3108">
        <v>-17.6317933254</v>
      </c>
      <c r="E3108" s="92">
        <f t="shared" si="1"/>
        <v>50</v>
      </c>
      <c r="F3108" t="str">
        <f>HYPERLINK("D:\Data From Lucan\2024\Moresby\Frames_for_Analysis/3105_20240611_0003_L_0470.jpg","3105_20240611_0003_L_0470.jpg")</f>
        <v>3105_20240611_0003_L_0470.jpg</v>
      </c>
      <c r="G3108" s="92" t="s">
        <v>4682</v>
      </c>
      <c r="I3108">
        <v>2</v>
      </c>
      <c r="K3108" s="97">
        <v>1</v>
      </c>
      <c r="L3108" s="31"/>
      <c r="M3108" s="31"/>
      <c r="N3108" s="31"/>
      <c r="O3108" s="31"/>
      <c r="P3108" s="57">
        <v>1</v>
      </c>
      <c r="Q3108" s="57">
        <v>0</v>
      </c>
      <c r="R3108" s="57">
        <v>0</v>
      </c>
      <c r="S3108" s="97">
        <v>0</v>
      </c>
      <c r="T3108" s="57">
        <v>0</v>
      </c>
      <c r="U3108" s="57">
        <v>0</v>
      </c>
      <c r="V3108" s="57">
        <v>0</v>
      </c>
      <c r="W3108" s="57">
        <v>0</v>
      </c>
      <c r="X3108" s="97">
        <v>0</v>
      </c>
    </row>
    <row r="3109" spans="1:24" x14ac:dyDescent="0.35">
      <c r="A3109">
        <v>3105</v>
      </c>
      <c r="B3109">
        <v>3106</v>
      </c>
      <c r="C3109">
        <v>146.10043147600001</v>
      </c>
      <c r="D3109">
        <v>-17.6317317375999</v>
      </c>
      <c r="E3109" s="92" t="str">
        <f t="shared" si="1"/>
        <v/>
      </c>
      <c r="F3109" t="str">
        <f>HYPERLINK("D:\Data From Lucan\2024\Moresby\Frames_for_Analysis/3106_20240611_0003_L_0476.jpg","3106_20240611_0003_L_0476.jpg")</f>
        <v>3106_20240611_0003_L_0476.jpg</v>
      </c>
      <c r="G3109" s="92" t="s">
        <v>4683</v>
      </c>
      <c r="I3109">
        <v>2</v>
      </c>
      <c r="K3109" s="97">
        <v>1</v>
      </c>
      <c r="L3109" s="31"/>
      <c r="M3109" s="31"/>
      <c r="N3109" s="31"/>
      <c r="O3109" s="31"/>
      <c r="P3109" s="57">
        <v>1</v>
      </c>
      <c r="Q3109" s="57">
        <v>0</v>
      </c>
      <c r="R3109" s="57">
        <v>0</v>
      </c>
      <c r="S3109" s="97">
        <v>0</v>
      </c>
      <c r="T3109" s="57">
        <v>0</v>
      </c>
      <c r="U3109" s="57">
        <v>0</v>
      </c>
      <c r="V3109" s="57">
        <v>0</v>
      </c>
      <c r="W3109" s="57">
        <v>0</v>
      </c>
      <c r="X3109" s="97">
        <v>0</v>
      </c>
    </row>
    <row r="3110" spans="1:24" x14ac:dyDescent="0.35">
      <c r="A3110">
        <v>3106</v>
      </c>
      <c r="B3110">
        <v>3107</v>
      </c>
      <c r="C3110">
        <v>146.10035668800001</v>
      </c>
      <c r="D3110">
        <v>-17.631684311000001</v>
      </c>
      <c r="E3110" s="92" t="str">
        <f t="shared" si="1"/>
        <v/>
      </c>
      <c r="F3110" t="str">
        <f>HYPERLINK("D:\Data From Lucan\2024\Moresby\Frames_for_Analysis/3107_20240611_0003_L_0482.jpg","3107_20240611_0003_L_0482.jpg")</f>
        <v>3107_20240611_0003_L_0482.jpg</v>
      </c>
      <c r="G3110" s="92" t="s">
        <v>4684</v>
      </c>
      <c r="I3110">
        <v>2</v>
      </c>
      <c r="K3110" s="97">
        <v>1</v>
      </c>
      <c r="L3110" s="31"/>
      <c r="M3110" s="31"/>
      <c r="N3110" s="31"/>
      <c r="O3110" s="31"/>
      <c r="P3110" s="57">
        <v>1</v>
      </c>
      <c r="Q3110" s="57">
        <v>0</v>
      </c>
      <c r="R3110" s="57">
        <v>0</v>
      </c>
      <c r="S3110" s="97">
        <v>0</v>
      </c>
      <c r="T3110" s="57">
        <v>0</v>
      </c>
      <c r="U3110" s="57">
        <v>0</v>
      </c>
      <c r="V3110" s="57">
        <v>0</v>
      </c>
      <c r="W3110" s="57">
        <v>0</v>
      </c>
      <c r="X3110" s="97">
        <v>0</v>
      </c>
    </row>
    <row r="3111" spans="1:24" x14ac:dyDescent="0.35">
      <c r="A3111">
        <v>3107</v>
      </c>
      <c r="B3111">
        <v>3108</v>
      </c>
      <c r="C3111">
        <v>146.10028190099899</v>
      </c>
      <c r="D3111">
        <v>-17.631636884300001</v>
      </c>
      <c r="E3111" s="92" t="str">
        <f t="shared" si="1"/>
        <v/>
      </c>
      <c r="F3111" t="str">
        <f>HYPERLINK("D:\Data From Lucan\2024\Moresby\Frames_for_Analysis/3108_20240611_0003_L_0487.jpg","3108_20240611_0003_L_0487.jpg")</f>
        <v>3108_20240611_0003_L_0487.jpg</v>
      </c>
      <c r="G3111" s="92" t="s">
        <v>4685</v>
      </c>
      <c r="I3111">
        <v>2</v>
      </c>
      <c r="K3111" s="97">
        <v>1</v>
      </c>
      <c r="L3111" s="31"/>
      <c r="M3111" s="31"/>
      <c r="N3111" s="31"/>
      <c r="O3111" s="31"/>
      <c r="P3111" s="57">
        <v>1</v>
      </c>
      <c r="Q3111" s="57">
        <v>0</v>
      </c>
      <c r="R3111" s="57">
        <v>0</v>
      </c>
      <c r="S3111" s="97">
        <v>0</v>
      </c>
      <c r="T3111" s="57">
        <v>0</v>
      </c>
      <c r="U3111" s="57">
        <v>0</v>
      </c>
      <c r="V3111" s="57">
        <v>0</v>
      </c>
      <c r="W3111" s="57">
        <v>0</v>
      </c>
      <c r="X3111" s="97">
        <v>0</v>
      </c>
    </row>
    <row r="3112" spans="1:24" x14ac:dyDescent="0.35">
      <c r="A3112">
        <v>3108</v>
      </c>
      <c r="B3112">
        <v>3109</v>
      </c>
      <c r="C3112">
        <v>146.10020711300001</v>
      </c>
      <c r="D3112">
        <v>-17.631589457600001</v>
      </c>
      <c r="E3112" s="92" t="str">
        <f t="shared" si="1"/>
        <v/>
      </c>
      <c r="F3112" t="str">
        <f>HYPERLINK("D:\Data From Lucan\2024\Moresby\Frames_for_Analysis/3109_20240611_0003_L_0494.jpg","3109_20240611_0003_L_0494.jpg")</f>
        <v>3109_20240611_0003_L_0494.jpg</v>
      </c>
      <c r="G3112" s="92" t="s">
        <v>4686</v>
      </c>
      <c r="I3112">
        <v>2</v>
      </c>
      <c r="K3112" s="97">
        <v>1</v>
      </c>
      <c r="L3112" s="31"/>
      <c r="M3112" s="31"/>
      <c r="N3112" s="31"/>
      <c r="O3112" s="31"/>
      <c r="P3112" s="57">
        <v>1</v>
      </c>
      <c r="Q3112" s="57">
        <v>0</v>
      </c>
      <c r="R3112" s="57">
        <v>0</v>
      </c>
      <c r="S3112" s="97">
        <v>0</v>
      </c>
      <c r="T3112" s="57">
        <v>0</v>
      </c>
      <c r="U3112" s="57">
        <v>0</v>
      </c>
      <c r="V3112" s="57">
        <v>0</v>
      </c>
      <c r="W3112" s="57">
        <v>0</v>
      </c>
      <c r="X3112" s="97">
        <v>0</v>
      </c>
    </row>
    <row r="3113" spans="1:24" x14ac:dyDescent="0.35">
      <c r="A3113">
        <v>3109</v>
      </c>
      <c r="B3113">
        <v>3110</v>
      </c>
      <c r="C3113">
        <v>146.100132325</v>
      </c>
      <c r="D3113">
        <v>-17.6315420309</v>
      </c>
      <c r="E3113" s="92">
        <f t="shared" si="1"/>
        <v>50</v>
      </c>
      <c r="F3113" t="str">
        <f>HYPERLINK("D:\Data From Lucan\2024\Moresby\Frames_for_Analysis/3110_20240611_0003_L_0498.jpg","3110_20240611_0003_L_0498.jpg")</f>
        <v>3110_20240611_0003_L_0498.jpg</v>
      </c>
      <c r="G3113" s="92" t="s">
        <v>4687</v>
      </c>
      <c r="I3113">
        <v>2</v>
      </c>
      <c r="K3113" s="97">
        <v>1</v>
      </c>
      <c r="L3113" s="31"/>
      <c r="M3113" s="31"/>
      <c r="N3113" s="31"/>
      <c r="O3113" s="31"/>
      <c r="P3113" s="57">
        <v>1</v>
      </c>
      <c r="Q3113" s="57">
        <v>0</v>
      </c>
      <c r="R3113" s="57">
        <v>0</v>
      </c>
      <c r="S3113" s="97">
        <v>0</v>
      </c>
      <c r="T3113" s="57">
        <v>0</v>
      </c>
      <c r="U3113" s="57">
        <v>0</v>
      </c>
      <c r="V3113" s="57">
        <v>0</v>
      </c>
      <c r="W3113" s="57">
        <v>0</v>
      </c>
      <c r="X3113" s="97">
        <v>0</v>
      </c>
    </row>
    <row r="3114" spans="1:24" x14ac:dyDescent="0.35">
      <c r="A3114">
        <v>3110</v>
      </c>
      <c r="B3114">
        <v>3111</v>
      </c>
      <c r="C3114">
        <v>146.10005753799899</v>
      </c>
      <c r="D3114">
        <v>-17.631494604099899</v>
      </c>
      <c r="E3114" s="92" t="str">
        <f t="shared" si="1"/>
        <v/>
      </c>
      <c r="F3114" t="str">
        <f>HYPERLINK("D:\Data From Lucan\2024\Moresby\Frames_for_Analysis/3111_20240611_0003_L_0500.jpg","3111_20240611_0003_L_0500.jpg")</f>
        <v>3111_20240611_0003_L_0500.jpg</v>
      </c>
      <c r="G3114" s="92" t="s">
        <v>4688</v>
      </c>
      <c r="I3114">
        <v>2</v>
      </c>
      <c r="K3114" s="97">
        <v>1</v>
      </c>
      <c r="L3114" s="31"/>
      <c r="M3114" s="31"/>
      <c r="N3114" s="31"/>
      <c r="O3114" s="31"/>
      <c r="P3114" s="57">
        <v>1</v>
      </c>
      <c r="Q3114" s="57">
        <v>0</v>
      </c>
      <c r="R3114" s="57">
        <v>0</v>
      </c>
      <c r="S3114" s="97">
        <v>0</v>
      </c>
      <c r="T3114" s="57">
        <v>0</v>
      </c>
      <c r="U3114" s="57">
        <v>0</v>
      </c>
      <c r="V3114" s="57">
        <v>0</v>
      </c>
      <c r="W3114" s="57">
        <v>0</v>
      </c>
      <c r="X3114" s="97">
        <v>0</v>
      </c>
    </row>
    <row r="3115" spans="1:24" x14ac:dyDescent="0.35">
      <c r="A3115">
        <v>3111</v>
      </c>
      <c r="B3115">
        <v>3112</v>
      </c>
      <c r="C3115">
        <v>146.09998275000001</v>
      </c>
      <c r="D3115">
        <v>-17.631447177399899</v>
      </c>
      <c r="E3115" s="92" t="str">
        <f t="shared" si="1"/>
        <v/>
      </c>
      <c r="F3115" t="str">
        <f>HYPERLINK("D:\Data From Lucan\2024\Moresby\Frames_for_Analysis/3112_20240611_0003_L_0504.jpg","3112_20240611_0003_L_0504.jpg")</f>
        <v>3112_20240611_0003_L_0504.jpg</v>
      </c>
      <c r="G3115" s="92" t="s">
        <v>4689</v>
      </c>
      <c r="I3115">
        <v>2</v>
      </c>
      <c r="K3115" s="97">
        <v>1</v>
      </c>
      <c r="L3115" s="31"/>
      <c r="M3115" s="31"/>
      <c r="N3115" s="31"/>
      <c r="O3115" s="31"/>
      <c r="P3115" s="57">
        <v>1</v>
      </c>
      <c r="Q3115" s="57">
        <v>0</v>
      </c>
      <c r="R3115" s="57">
        <v>0</v>
      </c>
      <c r="S3115" s="97">
        <v>0</v>
      </c>
      <c r="T3115" s="57">
        <v>2</v>
      </c>
      <c r="U3115" s="57">
        <v>0</v>
      </c>
      <c r="V3115" s="57">
        <v>0</v>
      </c>
      <c r="W3115" s="57">
        <v>0</v>
      </c>
      <c r="X3115" s="97">
        <v>0</v>
      </c>
    </row>
    <row r="3116" spans="1:24" x14ac:dyDescent="0.35">
      <c r="A3116">
        <v>3112</v>
      </c>
      <c r="B3116">
        <v>3113</v>
      </c>
      <c r="C3116">
        <v>146.099907962</v>
      </c>
      <c r="D3116">
        <v>-17.631399750700002</v>
      </c>
      <c r="E3116" s="92" t="str">
        <f t="shared" si="1"/>
        <v/>
      </c>
      <c r="F3116" t="str">
        <f>HYPERLINK("D:\Data From Lucan\2024\Moresby\Frames_for_Analysis/3113_20240611_0003_L_0507.jpg","3113_20240611_0003_L_0507.jpg")</f>
        <v>3113_20240611_0003_L_0507.jpg</v>
      </c>
      <c r="G3116" s="92" t="s">
        <v>4690</v>
      </c>
      <c r="I3116">
        <v>2</v>
      </c>
      <c r="K3116" s="97">
        <v>1</v>
      </c>
      <c r="L3116" s="31"/>
      <c r="M3116" s="31"/>
      <c r="N3116" s="31"/>
      <c r="O3116" s="31"/>
      <c r="P3116" s="57">
        <v>1</v>
      </c>
      <c r="Q3116" s="57">
        <v>0</v>
      </c>
      <c r="R3116" s="57">
        <v>0</v>
      </c>
      <c r="S3116" s="97">
        <v>0</v>
      </c>
      <c r="T3116" s="57">
        <v>0</v>
      </c>
      <c r="U3116" s="57">
        <v>0</v>
      </c>
      <c r="V3116" s="57">
        <v>0</v>
      </c>
      <c r="W3116" s="57">
        <v>0</v>
      </c>
      <c r="X3116" s="97">
        <v>0</v>
      </c>
    </row>
    <row r="3117" spans="1:24" x14ac:dyDescent="0.35">
      <c r="A3117">
        <v>3113</v>
      </c>
      <c r="B3117">
        <v>3114</v>
      </c>
      <c r="C3117">
        <v>146.09983295500001</v>
      </c>
      <c r="D3117">
        <v>-17.631352677700001</v>
      </c>
      <c r="E3117" s="92" t="str">
        <f t="shared" si="1"/>
        <v/>
      </c>
      <c r="F3117" t="str">
        <f>HYPERLINK("D:\Data From Lucan\2024\Moresby\Frames_for_Analysis/3114_20240611_0003_L_0509.jpg","3114_20240611_0003_L_0509.jpg")</f>
        <v>3114_20240611_0003_L_0509.jpg</v>
      </c>
      <c r="G3117" s="92" t="s">
        <v>4691</v>
      </c>
      <c r="I3117">
        <v>2</v>
      </c>
      <c r="K3117" s="97">
        <v>1</v>
      </c>
      <c r="L3117" s="31"/>
      <c r="M3117" s="31"/>
      <c r="N3117" s="31"/>
      <c r="O3117" s="31"/>
      <c r="P3117" s="57">
        <v>1</v>
      </c>
      <c r="Q3117" s="57">
        <v>0</v>
      </c>
      <c r="R3117" s="57">
        <v>0</v>
      </c>
      <c r="S3117" s="97">
        <v>0</v>
      </c>
      <c r="T3117" s="57">
        <v>0</v>
      </c>
      <c r="U3117" s="57">
        <v>0</v>
      </c>
      <c r="V3117" s="57">
        <v>0</v>
      </c>
      <c r="W3117" s="57">
        <v>0</v>
      </c>
      <c r="X3117" s="97">
        <v>0</v>
      </c>
    </row>
    <row r="3118" spans="1:24" x14ac:dyDescent="0.35">
      <c r="A3118">
        <v>3114</v>
      </c>
      <c r="B3118">
        <v>3115</v>
      </c>
      <c r="C3118">
        <v>146.099753265</v>
      </c>
      <c r="D3118">
        <v>-17.6313131627</v>
      </c>
      <c r="E3118" s="92">
        <f t="shared" si="1"/>
        <v>50</v>
      </c>
      <c r="F3118" t="str">
        <f>HYPERLINK("D:\Data From Lucan\2024\Moresby\Frames_for_Analysis/3115_20240611_0003_L_0513.jpg","3115_20240611_0003_L_0513.jpg")</f>
        <v>3115_20240611_0003_L_0513.jpg</v>
      </c>
      <c r="G3118" s="92" t="s">
        <v>4692</v>
      </c>
      <c r="I3118">
        <v>2</v>
      </c>
      <c r="K3118" s="97">
        <v>1</v>
      </c>
      <c r="L3118" s="31"/>
      <c r="M3118" s="31"/>
      <c r="N3118" s="31"/>
      <c r="O3118" s="31"/>
      <c r="P3118" s="57">
        <v>1</v>
      </c>
      <c r="Q3118" s="57">
        <v>0</v>
      </c>
      <c r="R3118" s="57">
        <v>0</v>
      </c>
      <c r="S3118" s="97">
        <v>0</v>
      </c>
      <c r="T3118" s="57">
        <v>0</v>
      </c>
      <c r="U3118" s="57">
        <v>0</v>
      </c>
      <c r="V3118" s="57">
        <v>0</v>
      </c>
      <c r="W3118" s="57">
        <v>0</v>
      </c>
      <c r="X3118" s="97">
        <v>0</v>
      </c>
    </row>
    <row r="3119" spans="1:24" x14ac:dyDescent="0.35">
      <c r="A3119">
        <v>3115</v>
      </c>
      <c r="B3119">
        <v>3116</v>
      </c>
      <c r="C3119">
        <v>146.09967357400001</v>
      </c>
      <c r="D3119">
        <v>-17.631273647699899</v>
      </c>
      <c r="E3119" s="92" t="str">
        <f t="shared" si="1"/>
        <v/>
      </c>
      <c r="F3119" t="str">
        <f>HYPERLINK("D:\Data From Lucan\2024\Moresby\Frames_for_Analysis/3116_20240611_0003_L_0516.jpg","3116_20240611_0003_L_0516.jpg")</f>
        <v>3116_20240611_0003_L_0516.jpg</v>
      </c>
      <c r="G3119" s="92" t="s">
        <v>4693</v>
      </c>
      <c r="I3119">
        <v>2</v>
      </c>
      <c r="K3119" s="97">
        <v>1</v>
      </c>
      <c r="L3119" s="31"/>
      <c r="M3119" s="31"/>
      <c r="N3119" s="31"/>
      <c r="O3119" s="31"/>
      <c r="P3119" s="57">
        <v>1</v>
      </c>
      <c r="Q3119" s="57">
        <v>0</v>
      </c>
      <c r="R3119" s="57">
        <v>0</v>
      </c>
      <c r="S3119" s="97">
        <v>0</v>
      </c>
      <c r="T3119" s="57">
        <v>0</v>
      </c>
      <c r="U3119" s="57">
        <v>0</v>
      </c>
      <c r="V3119" s="57">
        <v>0</v>
      </c>
      <c r="W3119" s="57">
        <v>0</v>
      </c>
      <c r="X3119" s="97">
        <v>0</v>
      </c>
    </row>
    <row r="3120" spans="1:24" x14ac:dyDescent="0.35">
      <c r="A3120">
        <v>3116</v>
      </c>
      <c r="B3120">
        <v>3117</v>
      </c>
      <c r="C3120">
        <v>146.099593884</v>
      </c>
      <c r="D3120">
        <v>-17.631234132700001</v>
      </c>
      <c r="E3120" s="92" t="str">
        <f t="shared" si="1"/>
        <v/>
      </c>
      <c r="F3120" t="str">
        <f>HYPERLINK("D:\Data From Lucan\2024\Moresby\Frames_for_Analysis/3117_20240611_0003_L_0519.jpg","3117_20240611_0003_L_0519.jpg")</f>
        <v>3117_20240611_0003_L_0519.jpg</v>
      </c>
      <c r="G3120" s="92" t="s">
        <v>4694</v>
      </c>
      <c r="I3120">
        <v>2</v>
      </c>
      <c r="K3120" s="97">
        <v>1</v>
      </c>
      <c r="L3120" s="31"/>
      <c r="M3120" s="31"/>
      <c r="N3120" s="31"/>
      <c r="O3120" s="31"/>
      <c r="P3120" s="57">
        <v>1</v>
      </c>
      <c r="Q3120" s="57">
        <v>0</v>
      </c>
      <c r="R3120" s="57">
        <v>0</v>
      </c>
      <c r="S3120" s="97">
        <v>0</v>
      </c>
      <c r="T3120" s="57">
        <v>0</v>
      </c>
      <c r="U3120" s="57">
        <v>0</v>
      </c>
      <c r="V3120" s="57">
        <v>0</v>
      </c>
      <c r="W3120" s="57">
        <v>0</v>
      </c>
      <c r="X3120" s="97">
        <v>0</v>
      </c>
    </row>
    <row r="3121" spans="1:24" x14ac:dyDescent="0.35">
      <c r="A3121">
        <v>3117</v>
      </c>
      <c r="B3121">
        <v>3118</v>
      </c>
      <c r="C3121">
        <v>146.099514193999</v>
      </c>
      <c r="D3121">
        <v>-17.6311946177</v>
      </c>
      <c r="E3121" s="92" t="str">
        <f t="shared" si="1"/>
        <v/>
      </c>
      <c r="F3121" t="str">
        <f>HYPERLINK("D:\Data From Lucan\2024\Moresby\Frames_for_Analysis/3118_20240611_0003_L_0523.jpg","3118_20240611_0003_L_0523.jpg")</f>
        <v>3118_20240611_0003_L_0523.jpg</v>
      </c>
      <c r="G3121" s="92" t="s">
        <v>4695</v>
      </c>
      <c r="I3121">
        <v>2</v>
      </c>
      <c r="K3121" s="97">
        <v>1</v>
      </c>
      <c r="L3121" s="31"/>
      <c r="M3121" s="31"/>
      <c r="N3121" s="31"/>
      <c r="O3121" s="31"/>
      <c r="P3121" s="57">
        <v>1</v>
      </c>
      <c r="Q3121" s="57">
        <v>0</v>
      </c>
      <c r="R3121" s="57">
        <v>0</v>
      </c>
      <c r="S3121" s="97">
        <v>0</v>
      </c>
      <c r="T3121" s="57">
        <v>2</v>
      </c>
      <c r="U3121" s="57">
        <v>0</v>
      </c>
      <c r="V3121" s="57">
        <v>0</v>
      </c>
      <c r="W3121" s="57">
        <v>0</v>
      </c>
      <c r="X3121" s="97">
        <v>0</v>
      </c>
    </row>
    <row r="3122" spans="1:24" x14ac:dyDescent="0.35">
      <c r="A3122">
        <v>3118</v>
      </c>
      <c r="B3122">
        <v>3119</v>
      </c>
      <c r="C3122">
        <v>146.099434502999</v>
      </c>
      <c r="D3122">
        <v>-17.631155102600001</v>
      </c>
      <c r="E3122" s="92" t="str">
        <f t="shared" si="1"/>
        <v/>
      </c>
      <c r="F3122" t="str">
        <f>HYPERLINK("D:\Data From Lucan\2024\Moresby\Frames_for_Analysis/3119_20240611_0003_L_0526.jpg","3119_20240611_0003_L_0526.jpg")</f>
        <v>3119_20240611_0003_L_0526.jpg</v>
      </c>
      <c r="G3122" s="92" t="s">
        <v>4696</v>
      </c>
      <c r="I3122">
        <v>2</v>
      </c>
      <c r="K3122" s="97">
        <v>1</v>
      </c>
      <c r="L3122" s="31"/>
      <c r="M3122" s="31"/>
      <c r="N3122" s="31"/>
      <c r="O3122" s="31"/>
      <c r="P3122" s="57">
        <v>1</v>
      </c>
      <c r="Q3122" s="57">
        <v>0</v>
      </c>
      <c r="R3122" s="57">
        <v>0</v>
      </c>
      <c r="S3122" s="97">
        <v>0</v>
      </c>
      <c r="T3122" s="57">
        <v>0</v>
      </c>
      <c r="U3122" s="57">
        <v>0</v>
      </c>
      <c r="V3122" s="57">
        <v>0</v>
      </c>
      <c r="W3122" s="57">
        <v>0</v>
      </c>
      <c r="X3122" s="97">
        <v>0</v>
      </c>
    </row>
    <row r="3123" spans="1:24" x14ac:dyDescent="0.35">
      <c r="A3123">
        <v>3119</v>
      </c>
      <c r="B3123">
        <v>3120</v>
      </c>
      <c r="C3123">
        <v>146.099354812999</v>
      </c>
      <c r="D3123">
        <v>-17.6311155876</v>
      </c>
      <c r="E3123" s="92">
        <f t="shared" si="1"/>
        <v>50</v>
      </c>
      <c r="F3123" t="str">
        <f>HYPERLINK("D:\Data From Lucan\2024\Moresby\Frames_for_Analysis/3120_20240611_0003_L_0529.jpg","3120_20240611_0003_L_0529.jpg")</f>
        <v>3120_20240611_0003_L_0529.jpg</v>
      </c>
      <c r="G3123" s="92" t="s">
        <v>4697</v>
      </c>
      <c r="I3123">
        <v>2</v>
      </c>
      <c r="K3123" s="97">
        <v>1</v>
      </c>
      <c r="L3123" s="31"/>
      <c r="M3123" s="31"/>
      <c r="N3123" s="31"/>
      <c r="O3123" s="31"/>
      <c r="P3123" s="57">
        <v>1</v>
      </c>
      <c r="Q3123" s="57">
        <v>0</v>
      </c>
      <c r="R3123" s="57">
        <v>0</v>
      </c>
      <c r="S3123" s="97">
        <v>0</v>
      </c>
      <c r="T3123" s="57">
        <v>0</v>
      </c>
      <c r="U3123" s="57">
        <v>0</v>
      </c>
      <c r="V3123" s="57">
        <v>0</v>
      </c>
      <c r="W3123" s="57">
        <v>0</v>
      </c>
      <c r="X3123" s="97">
        <v>0</v>
      </c>
    </row>
    <row r="3124" spans="1:24" x14ac:dyDescent="0.35">
      <c r="A3124">
        <v>3120</v>
      </c>
      <c r="B3124">
        <v>3121</v>
      </c>
      <c r="C3124">
        <v>146.09927512300001</v>
      </c>
      <c r="D3124">
        <v>-17.6310760725999</v>
      </c>
      <c r="E3124" s="92" t="str">
        <f t="shared" si="1"/>
        <v/>
      </c>
      <c r="F3124" t="str">
        <f>HYPERLINK("D:\Data From Lucan\2024\Moresby\Frames_for_Analysis/3121_20240611_0010_R_1222.jpg","3121_20240611_0010_R_1222.jpg")</f>
        <v>3121_20240611_0010_R_1222.jpg</v>
      </c>
      <c r="G3124" s="92" t="s">
        <v>4698</v>
      </c>
      <c r="I3124">
        <v>2</v>
      </c>
      <c r="K3124" s="97">
        <v>1</v>
      </c>
      <c r="L3124" s="31"/>
      <c r="M3124" s="31"/>
      <c r="N3124" s="31"/>
      <c r="O3124" s="31"/>
      <c r="P3124" s="57">
        <v>1</v>
      </c>
      <c r="Q3124" s="57">
        <v>0</v>
      </c>
      <c r="R3124" s="57">
        <v>0</v>
      </c>
      <c r="S3124" s="97">
        <v>0</v>
      </c>
      <c r="T3124" s="57">
        <v>0</v>
      </c>
      <c r="U3124" s="57">
        <v>0</v>
      </c>
      <c r="V3124" s="57">
        <v>0</v>
      </c>
      <c r="W3124" s="57">
        <v>0</v>
      </c>
      <c r="X3124" s="97">
        <v>0</v>
      </c>
    </row>
    <row r="3125" spans="1:24" x14ac:dyDescent="0.35">
      <c r="A3125">
        <v>3121</v>
      </c>
      <c r="B3125">
        <v>3122</v>
      </c>
      <c r="C3125">
        <v>146.09919543300001</v>
      </c>
      <c r="D3125">
        <v>-17.6310365575</v>
      </c>
      <c r="E3125" s="92" t="str">
        <f t="shared" si="1"/>
        <v/>
      </c>
      <c r="F3125" t="str">
        <f>HYPERLINK("D:\Data From Lucan\2024\Moresby\Frames_for_Analysis/3122_20240611_0003_L_0536.jpg","3122_20240611_0003_L_0536.jpg")</f>
        <v>3122_20240611_0003_L_0536.jpg</v>
      </c>
      <c r="G3125" s="92" t="s">
        <v>4699</v>
      </c>
      <c r="I3125">
        <v>2</v>
      </c>
      <c r="K3125" s="97">
        <v>1</v>
      </c>
      <c r="L3125" s="31"/>
      <c r="M3125" s="31"/>
      <c r="N3125" s="31"/>
      <c r="O3125" s="31"/>
      <c r="P3125" s="57">
        <v>1</v>
      </c>
      <c r="Q3125" s="57">
        <v>0</v>
      </c>
      <c r="R3125" s="57">
        <v>0</v>
      </c>
      <c r="S3125" s="97">
        <v>0</v>
      </c>
      <c r="T3125" s="57">
        <v>0</v>
      </c>
      <c r="U3125" s="57">
        <v>0</v>
      </c>
      <c r="V3125" s="57">
        <v>0</v>
      </c>
      <c r="W3125" s="57">
        <v>0</v>
      </c>
      <c r="X3125" s="97">
        <v>0</v>
      </c>
    </row>
    <row r="3126" spans="1:24" x14ac:dyDescent="0.35">
      <c r="A3126">
        <v>3122</v>
      </c>
      <c r="B3126">
        <v>3123</v>
      </c>
      <c r="C3126">
        <v>146.09911574200001</v>
      </c>
      <c r="D3126">
        <v>-17.630997042400001</v>
      </c>
      <c r="E3126" s="92" t="str">
        <f t="shared" si="1"/>
        <v/>
      </c>
      <c r="F3126" t="str">
        <f>HYPERLINK("D:\Data From Lucan\2024\Moresby\Frames_for_Analysis/3123_20240611_0010_R_1217.jpg","3123_20240611_0010_R_1217.jpg")</f>
        <v>3123_20240611_0010_R_1217.jpg</v>
      </c>
      <c r="G3126" s="92" t="s">
        <v>4700</v>
      </c>
      <c r="I3126">
        <v>2</v>
      </c>
      <c r="K3126" s="97">
        <v>1</v>
      </c>
      <c r="L3126" s="31"/>
      <c r="M3126" s="31"/>
      <c r="N3126" s="31"/>
      <c r="O3126" s="31"/>
      <c r="P3126" s="57">
        <v>1</v>
      </c>
      <c r="Q3126" s="57">
        <v>0</v>
      </c>
      <c r="R3126" s="57">
        <v>0</v>
      </c>
      <c r="S3126" s="97">
        <v>0</v>
      </c>
      <c r="T3126" s="57">
        <v>0</v>
      </c>
      <c r="U3126" s="57">
        <v>0</v>
      </c>
      <c r="V3126" s="57">
        <v>0</v>
      </c>
      <c r="W3126" s="57">
        <v>0</v>
      </c>
      <c r="X3126" s="97">
        <v>0</v>
      </c>
    </row>
    <row r="3127" spans="1:24" x14ac:dyDescent="0.35">
      <c r="A3127">
        <v>3123</v>
      </c>
      <c r="B3127">
        <v>3124</v>
      </c>
      <c r="C3127">
        <v>146.099036052</v>
      </c>
      <c r="D3127">
        <v>-17.6309575274</v>
      </c>
      <c r="E3127" s="92" t="str">
        <f t="shared" si="1"/>
        <v/>
      </c>
      <c r="F3127" t="str">
        <f>HYPERLINK("D:\Data From Lucan\2024\Moresby\Frames_for_Analysis/3124_20240611_0010_R_1214.jpg","3124_20240611_0010_R_1214.jpg")</f>
        <v>3124_20240611_0010_R_1214.jpg</v>
      </c>
      <c r="G3127" s="92" t="s">
        <v>4701</v>
      </c>
      <c r="I3127">
        <v>2</v>
      </c>
      <c r="K3127" s="97">
        <v>1</v>
      </c>
      <c r="L3127" s="31"/>
      <c r="M3127" s="31"/>
      <c r="N3127" s="31"/>
      <c r="O3127" s="31"/>
      <c r="P3127" s="57">
        <v>1</v>
      </c>
      <c r="Q3127" s="57">
        <v>0</v>
      </c>
      <c r="R3127" s="57">
        <v>0</v>
      </c>
      <c r="S3127" s="97">
        <v>0</v>
      </c>
      <c r="T3127" s="57">
        <v>0</v>
      </c>
      <c r="U3127" s="57">
        <v>0</v>
      </c>
      <c r="V3127" s="57">
        <v>0</v>
      </c>
      <c r="W3127" s="57">
        <v>0</v>
      </c>
      <c r="X3127" s="97">
        <v>0</v>
      </c>
    </row>
    <row r="3128" spans="1:24" x14ac:dyDescent="0.35">
      <c r="A3128">
        <v>3124</v>
      </c>
      <c r="B3128">
        <v>3125</v>
      </c>
      <c r="C3128">
        <v>146.098956361999</v>
      </c>
      <c r="D3128">
        <v>-17.6309180123</v>
      </c>
      <c r="E3128" s="92">
        <f t="shared" si="1"/>
        <v>50</v>
      </c>
      <c r="F3128" t="str">
        <f>HYPERLINK("D:\Data From Lucan\2024\Moresby\Frames_for_Analysis/3125_20240611_0003_L_0545.jpg","3125_20240611_0003_L_0545.jpg")</f>
        <v>3125_20240611_0003_L_0545.jpg</v>
      </c>
      <c r="G3128" s="92" t="s">
        <v>4702</v>
      </c>
      <c r="I3128">
        <v>2</v>
      </c>
      <c r="K3128" s="97">
        <v>1</v>
      </c>
      <c r="L3128" s="31"/>
      <c r="M3128" s="31"/>
      <c r="N3128" s="31"/>
      <c r="O3128" s="31"/>
      <c r="P3128" s="57">
        <v>1</v>
      </c>
      <c r="Q3128" s="57">
        <v>0</v>
      </c>
      <c r="R3128" s="57">
        <v>0</v>
      </c>
      <c r="S3128" s="97">
        <v>0</v>
      </c>
      <c r="T3128" s="57">
        <v>0</v>
      </c>
      <c r="U3128" s="57">
        <v>0</v>
      </c>
      <c r="V3128" s="57">
        <v>0</v>
      </c>
      <c r="W3128" s="57">
        <v>0</v>
      </c>
      <c r="X3128" s="97">
        <v>0</v>
      </c>
    </row>
    <row r="3129" spans="1:24" x14ac:dyDescent="0.35">
      <c r="A3129">
        <v>3125</v>
      </c>
      <c r="B3129">
        <v>3126</v>
      </c>
      <c r="C3129">
        <v>146.098876670999</v>
      </c>
      <c r="D3129">
        <v>-17.630878497200001</v>
      </c>
      <c r="E3129" s="92" t="str">
        <f t="shared" si="1"/>
        <v/>
      </c>
      <c r="F3129" t="str">
        <f>HYPERLINK("D:\Data From Lucan\2024\Moresby\Frames_for_Analysis/3126_20240611_0010_R_1209.jpg","3126_20240611_0010_R_1209.jpg")</f>
        <v>3126_20240611_0010_R_1209.jpg</v>
      </c>
      <c r="G3129" s="92" t="s">
        <v>4703</v>
      </c>
      <c r="I3129">
        <v>2</v>
      </c>
      <c r="K3129" s="97">
        <v>1</v>
      </c>
      <c r="L3129" s="31"/>
      <c r="M3129" s="31"/>
      <c r="N3129" s="31"/>
      <c r="O3129" s="31"/>
      <c r="P3129" s="57">
        <v>1</v>
      </c>
      <c r="Q3129" s="57">
        <v>0</v>
      </c>
      <c r="R3129" s="57">
        <v>0</v>
      </c>
      <c r="S3129" s="97">
        <v>0</v>
      </c>
      <c r="T3129" s="57">
        <v>0</v>
      </c>
      <c r="U3129" s="57">
        <v>0</v>
      </c>
      <c r="V3129" s="57">
        <v>0</v>
      </c>
      <c r="W3129" s="57">
        <v>0</v>
      </c>
      <c r="X3129" s="97">
        <v>0</v>
      </c>
    </row>
    <row r="3130" spans="1:24" x14ac:dyDescent="0.35">
      <c r="A3130">
        <v>3126</v>
      </c>
      <c r="B3130">
        <v>3127</v>
      </c>
      <c r="C3130">
        <v>146.09879546100001</v>
      </c>
      <c r="D3130">
        <v>-17.630842064100001</v>
      </c>
      <c r="E3130" s="92" t="str">
        <f t="shared" si="1"/>
        <v/>
      </c>
      <c r="F3130" t="str">
        <f>HYPERLINK("D:\Data From Lucan\2024\Moresby\Frames_for_Analysis/3127_20240611_0010_R_1207.jpg","3127_20240611_0010_R_1207.jpg")</f>
        <v>3127_20240611_0010_R_1207.jpg</v>
      </c>
      <c r="G3130" s="92" t="s">
        <v>4704</v>
      </c>
      <c r="I3130">
        <v>2</v>
      </c>
      <c r="K3130" s="97">
        <v>1</v>
      </c>
      <c r="L3130" s="31"/>
      <c r="M3130" s="31"/>
      <c r="N3130" s="31"/>
      <c r="O3130" s="31"/>
      <c r="P3130" s="57">
        <v>1</v>
      </c>
      <c r="Q3130" s="57">
        <v>0</v>
      </c>
      <c r="R3130" s="57">
        <v>0</v>
      </c>
      <c r="S3130" s="97">
        <v>0</v>
      </c>
      <c r="T3130" s="57">
        <v>0</v>
      </c>
      <c r="U3130" s="57">
        <v>0</v>
      </c>
      <c r="V3130" s="57">
        <v>0</v>
      </c>
      <c r="W3130" s="57">
        <v>0</v>
      </c>
      <c r="X3130" s="97">
        <v>0</v>
      </c>
    </row>
    <row r="3131" spans="1:24" x14ac:dyDescent="0.35">
      <c r="A3131">
        <v>3127</v>
      </c>
      <c r="B3131">
        <v>3128</v>
      </c>
      <c r="C3131">
        <v>146.09871267899899</v>
      </c>
      <c r="D3131">
        <v>-17.630808819799899</v>
      </c>
      <c r="E3131" s="92" t="str">
        <f t="shared" si="1"/>
        <v/>
      </c>
      <c r="F3131" t="str">
        <f>HYPERLINK("D:\Data From Lucan\2024\Moresby\Frames_for_Analysis/3128_20240611_0010_R_1204.jpg","3128_20240611_0010_R_1204.jpg")</f>
        <v>3128_20240611_0010_R_1204.jpg</v>
      </c>
      <c r="G3131" s="92" t="s">
        <v>4705</v>
      </c>
      <c r="I3131">
        <v>2</v>
      </c>
      <c r="K3131" s="97">
        <v>1</v>
      </c>
      <c r="L3131" s="31"/>
      <c r="M3131" s="31"/>
      <c r="N3131" s="31"/>
      <c r="O3131" s="31"/>
      <c r="P3131" s="57">
        <v>1</v>
      </c>
      <c r="Q3131" s="57">
        <v>0</v>
      </c>
      <c r="R3131" s="57">
        <v>0</v>
      </c>
      <c r="S3131" s="97">
        <v>0</v>
      </c>
      <c r="T3131" s="57">
        <v>0</v>
      </c>
      <c r="U3131" s="57">
        <v>0</v>
      </c>
      <c r="V3131" s="57">
        <v>0</v>
      </c>
      <c r="W3131" s="57">
        <v>0</v>
      </c>
      <c r="X3131" s="97">
        <v>0</v>
      </c>
    </row>
    <row r="3132" spans="1:24" x14ac:dyDescent="0.35">
      <c r="A3132">
        <v>3128</v>
      </c>
      <c r="B3132">
        <v>3129</v>
      </c>
      <c r="C3132">
        <v>146.098629896999</v>
      </c>
      <c r="D3132">
        <v>-17.630775575600001</v>
      </c>
      <c r="E3132" s="92" t="str">
        <f t="shared" si="1"/>
        <v/>
      </c>
      <c r="F3132" t="str">
        <f>HYPERLINK("D:\Data From Lucan\2024\Moresby\Frames_for_Analysis/3129_20240611_0010_R_1202.jpg","3129_20240611_0010_R_1202.jpg")</f>
        <v>3129_20240611_0010_R_1202.jpg</v>
      </c>
      <c r="G3132" s="92" t="s">
        <v>4706</v>
      </c>
      <c r="I3132">
        <v>2</v>
      </c>
      <c r="K3132" s="97">
        <v>1</v>
      </c>
      <c r="L3132" s="31"/>
      <c r="M3132" s="31"/>
      <c r="N3132" s="31"/>
      <c r="O3132" s="31"/>
      <c r="P3132" s="57">
        <v>1</v>
      </c>
      <c r="Q3132" s="57">
        <v>0</v>
      </c>
      <c r="R3132" s="57">
        <v>0</v>
      </c>
      <c r="S3132" s="97">
        <v>0</v>
      </c>
      <c r="T3132" s="57">
        <v>0</v>
      </c>
      <c r="U3132" s="57">
        <v>0</v>
      </c>
      <c r="V3132" s="57">
        <v>0</v>
      </c>
      <c r="W3132" s="57">
        <v>0</v>
      </c>
      <c r="X3132" s="97">
        <v>0</v>
      </c>
    </row>
    <row r="3133" spans="1:24" x14ac:dyDescent="0.35">
      <c r="A3133">
        <v>3129</v>
      </c>
      <c r="B3133">
        <v>3130</v>
      </c>
      <c r="C3133">
        <v>146.098547115</v>
      </c>
      <c r="D3133">
        <v>-17.630742331299899</v>
      </c>
      <c r="E3133" s="92">
        <f t="shared" si="1"/>
        <v>50</v>
      </c>
      <c r="F3133" t="str">
        <f>HYPERLINK("D:\Data From Lucan\2024\Moresby\Frames_for_Analysis/3130_20240611_0010_R_1199.jpg","3130_20240611_0010_R_1199.jpg")</f>
        <v>3130_20240611_0010_R_1199.jpg</v>
      </c>
      <c r="G3133" s="92" t="s">
        <v>4707</v>
      </c>
      <c r="I3133">
        <v>2</v>
      </c>
      <c r="K3133" s="97">
        <v>1</v>
      </c>
      <c r="L3133" s="31"/>
      <c r="M3133" s="31"/>
      <c r="N3133" s="31"/>
      <c r="O3133" s="31"/>
      <c r="P3133" s="57">
        <v>1</v>
      </c>
      <c r="Q3133" s="57">
        <v>0</v>
      </c>
      <c r="R3133" s="57">
        <v>0</v>
      </c>
      <c r="S3133" s="97">
        <v>0</v>
      </c>
      <c r="T3133" s="57">
        <v>0</v>
      </c>
      <c r="U3133" s="57">
        <v>0</v>
      </c>
      <c r="V3133" s="57">
        <v>0</v>
      </c>
      <c r="W3133" s="57">
        <v>0</v>
      </c>
      <c r="X3133" s="97">
        <v>0</v>
      </c>
    </row>
    <row r="3134" spans="1:24" x14ac:dyDescent="0.35">
      <c r="A3134">
        <v>3130</v>
      </c>
      <c r="B3134">
        <v>3131</v>
      </c>
      <c r="C3134">
        <v>146.098464331999</v>
      </c>
      <c r="D3134">
        <v>-17.630709087</v>
      </c>
      <c r="E3134" s="92" t="str">
        <f t="shared" si="1"/>
        <v/>
      </c>
      <c r="F3134" t="str">
        <f>HYPERLINK("D:\Data From Lucan\2024\Moresby\Frames_for_Analysis/3131_20240611_0010_R_1197.jpg","3131_20240611_0010_R_1197.jpg")</f>
        <v>3131_20240611_0010_R_1197.jpg</v>
      </c>
      <c r="G3134" s="92" t="s">
        <v>4708</v>
      </c>
      <c r="I3134">
        <v>2</v>
      </c>
      <c r="K3134" s="97">
        <v>1</v>
      </c>
      <c r="L3134" s="31"/>
      <c r="M3134" s="31"/>
      <c r="N3134" s="31"/>
      <c r="O3134" s="31"/>
      <c r="P3134" s="57">
        <v>1</v>
      </c>
      <c r="Q3134" s="57">
        <v>0</v>
      </c>
      <c r="R3134" s="57">
        <v>0</v>
      </c>
      <c r="S3134" s="97">
        <v>0</v>
      </c>
      <c r="T3134" s="57">
        <v>0</v>
      </c>
      <c r="U3134" s="57">
        <v>0</v>
      </c>
      <c r="V3134" s="57">
        <v>0</v>
      </c>
      <c r="W3134" s="57">
        <v>0</v>
      </c>
      <c r="X3134" s="97">
        <v>0</v>
      </c>
    </row>
    <row r="3135" spans="1:24" x14ac:dyDescent="0.35">
      <c r="A3135">
        <v>3131</v>
      </c>
      <c r="B3135">
        <v>3132</v>
      </c>
      <c r="C3135">
        <v>146.098381549999</v>
      </c>
      <c r="D3135">
        <v>-17.630675842700001</v>
      </c>
      <c r="E3135" s="92" t="str">
        <f t="shared" si="1"/>
        <v/>
      </c>
      <c r="F3135" t="str">
        <f>HYPERLINK("D:\Data From Lucan\2024\Moresby\Frames_for_Analysis/3132_20240611_0010_R_1194.jpg","3132_20240611_0010_R_1194.jpg")</f>
        <v>3132_20240611_0010_R_1194.jpg</v>
      </c>
      <c r="G3135" s="92" t="s">
        <v>4709</v>
      </c>
      <c r="I3135">
        <v>2</v>
      </c>
      <c r="K3135" s="97">
        <v>1</v>
      </c>
      <c r="L3135" s="31"/>
      <c r="M3135" s="31"/>
      <c r="N3135" s="31"/>
      <c r="O3135" s="31"/>
      <c r="P3135" s="57">
        <v>1</v>
      </c>
      <c r="Q3135" s="57">
        <v>0</v>
      </c>
      <c r="R3135" s="57">
        <v>0</v>
      </c>
      <c r="S3135" s="97">
        <v>0</v>
      </c>
      <c r="T3135" s="57">
        <v>0</v>
      </c>
      <c r="U3135" s="57">
        <v>0</v>
      </c>
      <c r="V3135" s="57">
        <v>0</v>
      </c>
      <c r="W3135" s="57">
        <v>0</v>
      </c>
      <c r="X3135" s="97">
        <v>0</v>
      </c>
    </row>
    <row r="3136" spans="1:24" x14ac:dyDescent="0.35">
      <c r="A3136">
        <v>3132</v>
      </c>
      <c r="B3136">
        <v>3133</v>
      </c>
      <c r="C3136">
        <v>146.09829876800001</v>
      </c>
      <c r="D3136">
        <v>-17.6306425985</v>
      </c>
      <c r="E3136" s="92" t="str">
        <f t="shared" si="1"/>
        <v/>
      </c>
      <c r="F3136" t="str">
        <f>HYPERLINK("D:\Data From Lucan\2024\Moresby\Frames_for_Analysis/3133_20240611_0010_R_1192.jpg","3133_20240611_0010_R_1192.jpg")</f>
        <v>3133_20240611_0010_R_1192.jpg</v>
      </c>
      <c r="G3136" s="92" t="s">
        <v>4710</v>
      </c>
      <c r="I3136">
        <v>2</v>
      </c>
      <c r="K3136" s="97">
        <v>1</v>
      </c>
      <c r="L3136" s="31"/>
      <c r="M3136" s="31"/>
      <c r="N3136" s="31"/>
      <c r="O3136" s="31"/>
      <c r="P3136" s="57">
        <v>1</v>
      </c>
      <c r="Q3136" s="57">
        <v>0</v>
      </c>
      <c r="R3136" s="57">
        <v>0</v>
      </c>
      <c r="S3136" s="97">
        <v>0</v>
      </c>
      <c r="T3136" s="57">
        <v>0</v>
      </c>
      <c r="U3136" s="57">
        <v>0</v>
      </c>
      <c r="V3136" s="57">
        <v>0</v>
      </c>
      <c r="W3136" s="57">
        <v>0</v>
      </c>
      <c r="X3136" s="97">
        <v>0</v>
      </c>
    </row>
    <row r="3137" spans="1:24" x14ac:dyDescent="0.35">
      <c r="A3137">
        <v>3133</v>
      </c>
      <c r="B3137">
        <v>3134</v>
      </c>
      <c r="C3137">
        <v>146.09821598600001</v>
      </c>
      <c r="D3137">
        <v>-17.630609354200001</v>
      </c>
      <c r="E3137" s="92" t="str">
        <f t="shared" si="1"/>
        <v/>
      </c>
      <c r="F3137" t="str">
        <f>HYPERLINK("D:\Data From Lucan\2024\Moresby\Frames_for_Analysis/3134_20240611_0010_R_1189.jpg","3134_20240611_0010_R_1189.jpg")</f>
        <v>3134_20240611_0010_R_1189.jpg</v>
      </c>
      <c r="G3137" s="92" t="s">
        <v>4711</v>
      </c>
      <c r="I3137">
        <v>2</v>
      </c>
      <c r="K3137" s="97">
        <v>1</v>
      </c>
      <c r="L3137" s="31"/>
      <c r="M3137" s="31"/>
      <c r="N3137" s="31"/>
      <c r="O3137" s="31"/>
      <c r="P3137" s="57">
        <v>1</v>
      </c>
      <c r="Q3137" s="57">
        <v>0</v>
      </c>
      <c r="R3137" s="57">
        <v>0</v>
      </c>
      <c r="S3137" s="97">
        <v>0</v>
      </c>
      <c r="T3137" s="57">
        <v>0</v>
      </c>
      <c r="U3137" s="57">
        <v>0</v>
      </c>
      <c r="V3137" s="57">
        <v>0</v>
      </c>
      <c r="W3137" s="57">
        <v>0</v>
      </c>
      <c r="X3137" s="97">
        <v>0</v>
      </c>
    </row>
    <row r="3138" spans="1:24" x14ac:dyDescent="0.35">
      <c r="A3138">
        <v>3134</v>
      </c>
      <c r="B3138">
        <v>3135</v>
      </c>
      <c r="C3138">
        <v>146.098133203999</v>
      </c>
      <c r="D3138">
        <v>-17.630576109900002</v>
      </c>
      <c r="E3138" s="92">
        <f t="shared" si="1"/>
        <v>50</v>
      </c>
      <c r="F3138" t="str">
        <f>HYPERLINK("D:\Data From Lucan\2024\Moresby\Frames_for_Analysis/3135_20240611_0010_R_1186.jpg","3135_20240611_0010_R_1186.jpg")</f>
        <v>3135_20240611_0010_R_1186.jpg</v>
      </c>
      <c r="G3138" s="92" t="s">
        <v>4712</v>
      </c>
      <c r="I3138">
        <v>2</v>
      </c>
      <c r="K3138" s="97">
        <v>1</v>
      </c>
      <c r="L3138" s="31"/>
      <c r="M3138" s="31"/>
      <c r="N3138" s="31"/>
      <c r="O3138" s="31"/>
      <c r="P3138" s="57">
        <v>1</v>
      </c>
      <c r="Q3138" s="57">
        <v>0</v>
      </c>
      <c r="R3138" s="57">
        <v>0</v>
      </c>
      <c r="S3138" s="97">
        <v>0</v>
      </c>
      <c r="T3138" s="57">
        <v>0</v>
      </c>
      <c r="U3138" s="57">
        <v>0</v>
      </c>
      <c r="V3138" s="57">
        <v>0</v>
      </c>
      <c r="W3138" s="57">
        <v>0</v>
      </c>
      <c r="X3138" s="97">
        <v>0</v>
      </c>
    </row>
    <row r="3139" spans="1:24" x14ac:dyDescent="0.35">
      <c r="A3139">
        <v>3135</v>
      </c>
      <c r="B3139">
        <v>3136</v>
      </c>
      <c r="C3139">
        <v>146.09805042100001</v>
      </c>
      <c r="D3139">
        <v>-17.630542865599899</v>
      </c>
      <c r="E3139" s="92" t="str">
        <f t="shared" si="1"/>
        <v/>
      </c>
      <c r="F3139" t="str">
        <f>HYPERLINK("D:\Data From Lucan\2024\Moresby\Frames_for_Analysis/3136_20240611_0010_R_1184.jpg","3136_20240611_0010_R_1184.jpg")</f>
        <v>3136_20240611_0010_R_1184.jpg</v>
      </c>
      <c r="G3139" s="92" t="s">
        <v>4713</v>
      </c>
      <c r="I3139">
        <v>2</v>
      </c>
      <c r="K3139" s="97">
        <v>1</v>
      </c>
      <c r="L3139" s="31"/>
      <c r="M3139" s="31"/>
      <c r="N3139" s="31"/>
      <c r="O3139" s="31"/>
      <c r="P3139" s="57">
        <v>1</v>
      </c>
      <c r="Q3139" s="57">
        <v>0</v>
      </c>
      <c r="R3139" s="57">
        <v>0</v>
      </c>
      <c r="S3139" s="97">
        <v>0</v>
      </c>
      <c r="T3139" s="57">
        <v>0</v>
      </c>
      <c r="U3139" s="57">
        <v>0</v>
      </c>
      <c r="V3139" s="57">
        <v>0</v>
      </c>
      <c r="W3139" s="57">
        <v>0</v>
      </c>
      <c r="X3139" s="97">
        <v>0</v>
      </c>
    </row>
    <row r="3140" spans="1:24" x14ac:dyDescent="0.35">
      <c r="A3140">
        <v>3136</v>
      </c>
      <c r="B3140">
        <v>3137</v>
      </c>
      <c r="C3140">
        <v>146.09796763899899</v>
      </c>
      <c r="D3140">
        <v>-17.630509621200002</v>
      </c>
      <c r="E3140" s="92" t="str">
        <f t="shared" si="1"/>
        <v/>
      </c>
      <c r="F3140" t="str">
        <f>HYPERLINK("D:\Data From Lucan\2024\Moresby\Frames_for_Analysis/3137_20240611_0010_R_1181.jpg","3137_20240611_0010_R_1181.jpg")</f>
        <v>3137_20240611_0010_R_1181.jpg</v>
      </c>
      <c r="G3140" s="92" t="s">
        <v>4714</v>
      </c>
      <c r="I3140">
        <v>2</v>
      </c>
      <c r="K3140" s="97">
        <v>1</v>
      </c>
      <c r="L3140" s="31"/>
      <c r="M3140" s="31"/>
      <c r="N3140" s="31"/>
      <c r="O3140" s="31"/>
      <c r="P3140" s="57">
        <v>1</v>
      </c>
      <c r="Q3140" s="57">
        <v>0</v>
      </c>
      <c r="R3140" s="57">
        <v>0</v>
      </c>
      <c r="S3140" s="97">
        <v>0</v>
      </c>
      <c r="T3140" s="57">
        <v>0</v>
      </c>
      <c r="U3140" s="57">
        <v>0</v>
      </c>
      <c r="V3140" s="57">
        <v>0</v>
      </c>
      <c r="W3140" s="57">
        <v>0</v>
      </c>
      <c r="X3140" s="97">
        <v>0</v>
      </c>
    </row>
    <row r="3141" spans="1:24" x14ac:dyDescent="0.35">
      <c r="A3141">
        <v>3137</v>
      </c>
      <c r="B3141">
        <v>3138</v>
      </c>
      <c r="C3141">
        <v>146.097884856999</v>
      </c>
      <c r="D3141">
        <v>-17.6304763768999</v>
      </c>
      <c r="E3141" s="92" t="str">
        <f t="shared" si="1"/>
        <v/>
      </c>
      <c r="F3141" t="str">
        <f>HYPERLINK("D:\Data From Lucan\2024\Moresby\Frames_for_Analysis/3138_20240611_0010_R_1179.jpg","3138_20240611_0010_R_1179.jpg")</f>
        <v>3138_20240611_0010_R_1179.jpg</v>
      </c>
      <c r="G3141" s="92" t="s">
        <v>4715</v>
      </c>
      <c r="I3141">
        <v>2</v>
      </c>
      <c r="K3141" s="97">
        <v>1</v>
      </c>
      <c r="L3141" s="31"/>
      <c r="M3141" s="31"/>
      <c r="N3141" s="31"/>
      <c r="O3141" s="31"/>
      <c r="P3141" s="57">
        <v>1</v>
      </c>
      <c r="Q3141" s="57">
        <v>0</v>
      </c>
      <c r="R3141" s="57">
        <v>0</v>
      </c>
      <c r="S3141" s="97">
        <v>0</v>
      </c>
      <c r="T3141" s="57">
        <v>0</v>
      </c>
      <c r="U3141" s="57">
        <v>0</v>
      </c>
      <c r="V3141" s="57">
        <v>0</v>
      </c>
      <c r="W3141" s="57">
        <v>0</v>
      </c>
      <c r="X3141" s="97">
        <v>0</v>
      </c>
    </row>
    <row r="3142" spans="1:24" x14ac:dyDescent="0.35">
      <c r="A3142">
        <v>3138</v>
      </c>
      <c r="B3142">
        <v>3139</v>
      </c>
      <c r="C3142">
        <v>146.097802075</v>
      </c>
      <c r="D3142">
        <v>-17.6304431326</v>
      </c>
      <c r="E3142" s="92" t="str">
        <f t="shared" si="1"/>
        <v/>
      </c>
      <c r="F3142" t="str">
        <f>HYPERLINK("D:\Data From Lucan\2024\Moresby\Frames_for_Analysis/3139_20240611_0010_R_1176.jpg","3139_20240611_0010_R_1176.jpg")</f>
        <v>3139_20240611_0010_R_1176.jpg</v>
      </c>
      <c r="G3142" s="92" t="s">
        <v>4716</v>
      </c>
      <c r="I3142">
        <v>2</v>
      </c>
      <c r="K3142" s="97">
        <v>1</v>
      </c>
      <c r="L3142" s="31"/>
      <c r="M3142" s="31"/>
      <c r="N3142" s="31"/>
      <c r="O3142" s="31"/>
      <c r="P3142" s="57">
        <v>1</v>
      </c>
      <c r="Q3142" s="57">
        <v>0</v>
      </c>
      <c r="R3142" s="57">
        <v>0</v>
      </c>
      <c r="S3142" s="97">
        <v>0</v>
      </c>
      <c r="T3142" s="57">
        <v>0</v>
      </c>
      <c r="U3142" s="57">
        <v>0</v>
      </c>
      <c r="V3142" s="57">
        <v>0</v>
      </c>
      <c r="W3142" s="57">
        <v>0</v>
      </c>
      <c r="X3142" s="97">
        <v>0</v>
      </c>
    </row>
    <row r="3143" spans="1:24" x14ac:dyDescent="0.35">
      <c r="A3143">
        <v>3139</v>
      </c>
      <c r="B3143">
        <v>3140</v>
      </c>
      <c r="C3143">
        <v>146.097719291999</v>
      </c>
      <c r="D3143">
        <v>-17.630409888300001</v>
      </c>
      <c r="E3143" s="92">
        <f t="shared" si="1"/>
        <v>50</v>
      </c>
      <c r="F3143" t="str">
        <f>HYPERLINK("D:\Data From Lucan\2024\Moresby\Frames_for_Analysis/3140_20240611_0010_R_1173.jpg","3140_20240611_0010_R_1173.jpg")</f>
        <v>3140_20240611_0010_R_1173.jpg</v>
      </c>
      <c r="G3143" s="92" t="s">
        <v>4717</v>
      </c>
      <c r="I3143">
        <v>2</v>
      </c>
      <c r="K3143" s="97">
        <v>1</v>
      </c>
      <c r="L3143" s="31"/>
      <c r="M3143" s="31"/>
      <c r="N3143" s="31"/>
      <c r="O3143" s="31"/>
      <c r="P3143" s="57">
        <v>1</v>
      </c>
      <c r="Q3143" s="57">
        <v>0</v>
      </c>
      <c r="R3143" s="57">
        <v>0</v>
      </c>
      <c r="S3143" s="97">
        <v>0</v>
      </c>
      <c r="T3143" s="57">
        <v>0</v>
      </c>
      <c r="U3143" s="57">
        <v>0</v>
      </c>
      <c r="V3143" s="57">
        <v>0</v>
      </c>
      <c r="W3143" s="57">
        <v>0</v>
      </c>
      <c r="X3143" s="97">
        <v>0</v>
      </c>
    </row>
    <row r="3144" spans="1:24" x14ac:dyDescent="0.35">
      <c r="A3144">
        <v>3140</v>
      </c>
      <c r="B3144">
        <v>3141</v>
      </c>
      <c r="C3144">
        <v>146.09763651</v>
      </c>
      <c r="D3144">
        <v>-17.6303766439</v>
      </c>
      <c r="E3144" s="92" t="str">
        <f t="shared" si="1"/>
        <v/>
      </c>
      <c r="F3144" t="str">
        <f>HYPERLINK("D:\Data From Lucan\2024\Moresby\Frames_for_Analysis/3141_20240611_0010_R_1171.jpg","3141_20240611_0010_R_1171.jpg")</f>
        <v>3141_20240611_0010_R_1171.jpg</v>
      </c>
      <c r="G3144" s="92" t="s">
        <v>4718</v>
      </c>
      <c r="I3144">
        <v>2</v>
      </c>
      <c r="K3144" s="97">
        <v>1</v>
      </c>
      <c r="L3144" s="31"/>
      <c r="M3144" s="31"/>
      <c r="N3144" s="31"/>
      <c r="O3144" s="31"/>
      <c r="P3144" s="57">
        <v>1</v>
      </c>
      <c r="Q3144" s="57">
        <v>0</v>
      </c>
      <c r="R3144" s="57">
        <v>0</v>
      </c>
      <c r="S3144" s="97">
        <v>0</v>
      </c>
      <c r="T3144" s="57">
        <v>0</v>
      </c>
      <c r="U3144" s="57">
        <v>0</v>
      </c>
      <c r="V3144" s="57">
        <v>0</v>
      </c>
      <c r="W3144" s="57">
        <v>0</v>
      </c>
      <c r="X3144" s="97">
        <v>0</v>
      </c>
    </row>
    <row r="3145" spans="1:24" x14ac:dyDescent="0.35">
      <c r="A3145">
        <v>3141</v>
      </c>
      <c r="B3145">
        <v>3142</v>
      </c>
      <c r="C3145">
        <v>146.09755372800001</v>
      </c>
      <c r="D3145">
        <v>-17.630343399600001</v>
      </c>
      <c r="E3145" s="92" t="str">
        <f t="shared" si="1"/>
        <v/>
      </c>
      <c r="F3145" t="str">
        <f>HYPERLINK("D:\Data From Lucan\2024\Moresby\Frames_for_Analysis/3142_20240611_0010_R_1168.jpg","3142_20240611_0010_R_1168.jpg")</f>
        <v>3142_20240611_0010_R_1168.jpg</v>
      </c>
      <c r="G3145" s="92" t="s">
        <v>4719</v>
      </c>
      <c r="I3145">
        <v>2</v>
      </c>
      <c r="K3145" s="97">
        <v>1</v>
      </c>
      <c r="L3145" s="31"/>
      <c r="M3145" s="31"/>
      <c r="N3145" s="31"/>
      <c r="O3145" s="31"/>
      <c r="P3145" s="57">
        <v>1</v>
      </c>
      <c r="Q3145" s="57">
        <v>0</v>
      </c>
      <c r="R3145" s="57">
        <v>0</v>
      </c>
      <c r="S3145" s="97">
        <v>0</v>
      </c>
      <c r="T3145" s="57">
        <v>0</v>
      </c>
      <c r="U3145" s="57">
        <v>0</v>
      </c>
      <c r="V3145" s="57">
        <v>0</v>
      </c>
      <c r="W3145" s="57">
        <v>0</v>
      </c>
      <c r="X3145" s="97">
        <v>0</v>
      </c>
    </row>
    <row r="3146" spans="1:24" x14ac:dyDescent="0.35">
      <c r="A3146">
        <v>3142</v>
      </c>
      <c r="B3146">
        <v>3143</v>
      </c>
      <c r="C3146">
        <v>146.09746975600001</v>
      </c>
      <c r="D3146">
        <v>-17.6303137443</v>
      </c>
      <c r="E3146" s="92" t="str">
        <f t="shared" si="1"/>
        <v/>
      </c>
      <c r="F3146" t="str">
        <f>HYPERLINK("D:\Data From Lucan\2024\Moresby\Frames_for_Analysis/3143_20240611_0010_R_1165.jpg","3143_20240611_0010_R_1165.jpg")</f>
        <v>3143_20240611_0010_R_1165.jpg</v>
      </c>
      <c r="G3146" s="92" t="s">
        <v>4720</v>
      </c>
      <c r="I3146">
        <v>2</v>
      </c>
      <c r="K3146" s="97">
        <v>1</v>
      </c>
      <c r="L3146" s="31"/>
      <c r="M3146" s="31"/>
      <c r="N3146" s="31"/>
      <c r="O3146" s="31"/>
      <c r="P3146" s="57">
        <v>1</v>
      </c>
      <c r="Q3146" s="57">
        <v>0</v>
      </c>
      <c r="R3146" s="57">
        <v>0</v>
      </c>
      <c r="S3146" s="97">
        <v>0</v>
      </c>
      <c r="T3146" s="57">
        <v>0</v>
      </c>
      <c r="U3146" s="57">
        <v>0</v>
      </c>
      <c r="V3146" s="57">
        <v>0</v>
      </c>
      <c r="W3146" s="57">
        <v>0</v>
      </c>
      <c r="X3146" s="97">
        <v>0</v>
      </c>
    </row>
    <row r="3147" spans="1:24" x14ac:dyDescent="0.35">
      <c r="A3147">
        <v>3143</v>
      </c>
      <c r="B3147">
        <v>3144</v>
      </c>
      <c r="C3147">
        <v>146.097381958</v>
      </c>
      <c r="D3147">
        <v>-17.630295632700001</v>
      </c>
      <c r="E3147" s="92" t="str">
        <f t="shared" si="1"/>
        <v/>
      </c>
      <c r="F3147" t="str">
        <f>HYPERLINK("D:\Data From Lucan\2024\Moresby\Frames_for_Analysis/3144_20240611_0010_R_1163.jpg","3144_20240611_0010_R_1163.jpg")</f>
        <v>3144_20240611_0010_R_1163.jpg</v>
      </c>
      <c r="G3147" s="92" t="s">
        <v>4721</v>
      </c>
      <c r="I3147">
        <v>2</v>
      </c>
      <c r="K3147" s="97">
        <v>1</v>
      </c>
      <c r="L3147" s="31"/>
      <c r="M3147" s="31"/>
      <c r="N3147" s="31"/>
      <c r="O3147" s="31"/>
      <c r="P3147" s="57">
        <v>1</v>
      </c>
      <c r="Q3147" s="57">
        <v>0</v>
      </c>
      <c r="R3147" s="57">
        <v>0</v>
      </c>
      <c r="S3147" s="97">
        <v>0</v>
      </c>
      <c r="T3147" s="57">
        <v>0</v>
      </c>
      <c r="U3147" s="57">
        <v>0</v>
      </c>
      <c r="V3147" s="57">
        <v>0</v>
      </c>
      <c r="W3147" s="57">
        <v>0</v>
      </c>
      <c r="X3147" s="97">
        <v>0</v>
      </c>
    </row>
    <row r="3148" spans="1:24" x14ac:dyDescent="0.35">
      <c r="A3148">
        <v>3144</v>
      </c>
      <c r="B3148">
        <v>3145</v>
      </c>
      <c r="C3148">
        <v>146.097294159999</v>
      </c>
      <c r="D3148">
        <v>-17.6302775212</v>
      </c>
      <c r="E3148" s="92">
        <f t="shared" si="1"/>
        <v>50</v>
      </c>
      <c r="F3148" t="str">
        <f>HYPERLINK("D:\Data From Lucan\2024\Moresby\Frames_for_Analysis/3145_20240611_0010_R_1160.jpg","3145_20240611_0010_R_1160.jpg")</f>
        <v>3145_20240611_0010_R_1160.jpg</v>
      </c>
      <c r="G3148" s="92" t="s">
        <v>4722</v>
      </c>
      <c r="I3148">
        <v>2</v>
      </c>
      <c r="K3148" s="97">
        <v>1</v>
      </c>
      <c r="L3148" s="31"/>
      <c r="M3148" s="31"/>
      <c r="N3148" s="31"/>
      <c r="O3148" s="31"/>
      <c r="P3148" s="57">
        <v>1</v>
      </c>
      <c r="Q3148" s="57">
        <v>0</v>
      </c>
      <c r="R3148" s="57">
        <v>0</v>
      </c>
      <c r="S3148" s="97">
        <v>0</v>
      </c>
      <c r="T3148" s="57">
        <v>0</v>
      </c>
      <c r="U3148" s="57">
        <v>0</v>
      </c>
      <c r="V3148" s="57">
        <v>0</v>
      </c>
      <c r="W3148" s="57">
        <v>0</v>
      </c>
      <c r="X3148" s="97">
        <v>0</v>
      </c>
    </row>
    <row r="3149" spans="1:24" x14ac:dyDescent="0.35">
      <c r="A3149">
        <v>3145</v>
      </c>
      <c r="B3149">
        <v>3146</v>
      </c>
      <c r="C3149">
        <v>146.097206360999</v>
      </c>
      <c r="D3149">
        <v>-17.630259409600001</v>
      </c>
      <c r="E3149" s="92" t="str">
        <f t="shared" si="1"/>
        <v/>
      </c>
      <c r="F3149" t="str">
        <f>HYPERLINK("D:\Data From Lucan\2024\Moresby\Frames_for_Analysis/3146_20240611_0010_R_1157.jpg","3146_20240611_0010_R_1157.jpg")</f>
        <v>3146_20240611_0010_R_1157.jpg</v>
      </c>
      <c r="G3149" s="92" t="s">
        <v>4723</v>
      </c>
      <c r="I3149">
        <v>2</v>
      </c>
      <c r="K3149" s="97">
        <v>1</v>
      </c>
      <c r="L3149" s="31"/>
      <c r="M3149" s="31"/>
      <c r="N3149" s="31"/>
      <c r="O3149" s="31"/>
      <c r="P3149" s="57">
        <v>1</v>
      </c>
      <c r="Q3149" s="57">
        <v>0</v>
      </c>
      <c r="R3149" s="57">
        <v>0</v>
      </c>
      <c r="S3149" s="97">
        <v>0</v>
      </c>
      <c r="T3149" s="57">
        <v>0</v>
      </c>
      <c r="U3149" s="57">
        <v>0</v>
      </c>
      <c r="V3149" s="57">
        <v>0</v>
      </c>
      <c r="W3149" s="57">
        <v>0</v>
      </c>
      <c r="X3149" s="97">
        <v>0</v>
      </c>
    </row>
    <row r="3150" spans="1:24" x14ac:dyDescent="0.35">
      <c r="A3150">
        <v>3146</v>
      </c>
      <c r="B3150">
        <v>3147</v>
      </c>
      <c r="C3150">
        <v>146.09711856300001</v>
      </c>
      <c r="D3150">
        <v>-17.630241298000001</v>
      </c>
      <c r="E3150" s="92" t="str">
        <f t="shared" si="1"/>
        <v/>
      </c>
      <c r="F3150" t="str">
        <f>HYPERLINK("D:\Data From Lucan\2024\Moresby\Frames_for_Analysis/3147_20240611_0010_R_1155.jpg","3147_20240611_0010_R_1155.jpg")</f>
        <v>3147_20240611_0010_R_1155.jpg</v>
      </c>
      <c r="G3150" s="92" t="s">
        <v>4724</v>
      </c>
      <c r="I3150">
        <v>2</v>
      </c>
      <c r="K3150" s="97">
        <v>1</v>
      </c>
      <c r="L3150" s="31"/>
      <c r="M3150" s="31"/>
      <c r="N3150" s="31"/>
      <c r="O3150" s="31"/>
      <c r="P3150" s="57">
        <v>1</v>
      </c>
      <c r="Q3150" s="57">
        <v>0</v>
      </c>
      <c r="R3150" s="57">
        <v>0</v>
      </c>
      <c r="S3150" s="97">
        <v>0</v>
      </c>
      <c r="T3150" s="57">
        <v>0</v>
      </c>
      <c r="U3150" s="57">
        <v>0</v>
      </c>
      <c r="V3150" s="57">
        <v>0</v>
      </c>
      <c r="W3150" s="57">
        <v>0</v>
      </c>
      <c r="X3150" s="97">
        <v>0</v>
      </c>
    </row>
    <row r="3151" spans="1:24" x14ac:dyDescent="0.35">
      <c r="A3151">
        <v>3147</v>
      </c>
      <c r="B3151">
        <v>3148</v>
      </c>
      <c r="C3151">
        <v>146.097030765</v>
      </c>
      <c r="D3151">
        <v>-17.630223186399899</v>
      </c>
      <c r="E3151" s="92" t="str">
        <f t="shared" si="1"/>
        <v/>
      </c>
      <c r="F3151" t="str">
        <f>HYPERLINK("D:\Data From Lucan\2024\Moresby\Frames_for_Analysis/3148_20240611_0010_R_1152.jpg","3148_20240611_0010_R_1152.jpg")</f>
        <v>3148_20240611_0010_R_1152.jpg</v>
      </c>
      <c r="G3151" s="92" t="s">
        <v>4725</v>
      </c>
      <c r="I3151">
        <v>2</v>
      </c>
      <c r="K3151" s="97">
        <v>1</v>
      </c>
      <c r="L3151" s="31"/>
      <c r="M3151" s="31"/>
      <c r="N3151" s="31"/>
      <c r="O3151" s="31"/>
      <c r="P3151" s="57">
        <v>1</v>
      </c>
      <c r="Q3151" s="57">
        <v>0</v>
      </c>
      <c r="R3151" s="57">
        <v>0</v>
      </c>
      <c r="S3151" s="97">
        <v>0</v>
      </c>
      <c r="T3151" s="57">
        <v>0</v>
      </c>
      <c r="U3151" s="57">
        <v>0</v>
      </c>
      <c r="V3151" s="57">
        <v>0</v>
      </c>
      <c r="W3151" s="57">
        <v>0</v>
      </c>
      <c r="X3151" s="97">
        <v>0</v>
      </c>
    </row>
    <row r="3152" spans="1:24" x14ac:dyDescent="0.35">
      <c r="A3152">
        <v>3148</v>
      </c>
      <c r="B3152">
        <v>3149</v>
      </c>
      <c r="C3152">
        <v>146.096942966</v>
      </c>
      <c r="D3152">
        <v>-17.6302050747999</v>
      </c>
      <c r="E3152" s="92" t="str">
        <f t="shared" si="1"/>
        <v/>
      </c>
      <c r="F3152" t="str">
        <f>HYPERLINK("D:\Data From Lucan\2024\Moresby\Frames_for_Analysis/3149_20240611_0010_R_1150.jpg","3149_20240611_0010_R_1150.jpg")</f>
        <v>3149_20240611_0010_R_1150.jpg</v>
      </c>
      <c r="G3152" s="92" t="s">
        <v>4726</v>
      </c>
      <c r="I3152">
        <v>2</v>
      </c>
      <c r="K3152" s="97">
        <v>1</v>
      </c>
      <c r="L3152" s="31"/>
      <c r="M3152" s="31"/>
      <c r="N3152" s="31"/>
      <c r="O3152" s="31"/>
      <c r="P3152" s="57">
        <v>1</v>
      </c>
      <c r="Q3152" s="57">
        <v>0</v>
      </c>
      <c r="R3152" s="57">
        <v>0</v>
      </c>
      <c r="S3152" s="97">
        <v>0</v>
      </c>
      <c r="T3152" s="57">
        <v>0</v>
      </c>
      <c r="U3152" s="57">
        <v>0</v>
      </c>
      <c r="V3152" s="57">
        <v>0</v>
      </c>
      <c r="W3152" s="57">
        <v>0</v>
      </c>
      <c r="X3152" s="97">
        <v>0</v>
      </c>
    </row>
    <row r="3153" spans="1:24" x14ac:dyDescent="0.35">
      <c r="A3153">
        <v>3149</v>
      </c>
      <c r="B3153">
        <v>3150</v>
      </c>
      <c r="C3153">
        <v>146.096855167999</v>
      </c>
      <c r="D3153">
        <v>-17.6301869632</v>
      </c>
      <c r="E3153" s="92">
        <f t="shared" si="1"/>
        <v>50</v>
      </c>
      <c r="F3153" t="str">
        <f>HYPERLINK("D:\Data From Lucan\2024\Moresby\Frames_for_Analysis/3150_20240611_0010_R_1147.jpg","3150_20240611_0010_R_1147.jpg")</f>
        <v>3150_20240611_0010_R_1147.jpg</v>
      </c>
      <c r="G3153" s="92" t="s">
        <v>4727</v>
      </c>
      <c r="I3153">
        <v>2</v>
      </c>
      <c r="K3153" s="97">
        <v>1</v>
      </c>
      <c r="L3153" s="31"/>
      <c r="M3153" s="31"/>
      <c r="N3153" s="31"/>
      <c r="O3153" s="31"/>
      <c r="P3153" s="57">
        <v>1</v>
      </c>
      <c r="Q3153" s="57">
        <v>0</v>
      </c>
      <c r="R3153" s="57">
        <v>0</v>
      </c>
      <c r="S3153" s="97">
        <v>0</v>
      </c>
      <c r="T3153" s="57">
        <v>0</v>
      </c>
      <c r="U3153" s="57">
        <v>0</v>
      </c>
      <c r="V3153" s="57">
        <v>0</v>
      </c>
      <c r="W3153" s="57">
        <v>0</v>
      </c>
      <c r="X3153" s="97">
        <v>0</v>
      </c>
    </row>
    <row r="3154" spans="1:24" x14ac:dyDescent="0.35">
      <c r="A3154">
        <v>3150</v>
      </c>
      <c r="B3154">
        <v>3151</v>
      </c>
      <c r="C3154">
        <v>146.09676737000001</v>
      </c>
      <c r="D3154">
        <v>-17.630168851600001</v>
      </c>
      <c r="E3154" s="92" t="str">
        <f t="shared" si="1"/>
        <v/>
      </c>
      <c r="F3154" t="str">
        <f>HYPERLINK("D:\Data From Lucan\2024\Moresby\Frames_for_Analysis/3151_20240611_0010_R_1144.jpg","3151_20240611_0010_R_1144.jpg")</f>
        <v>3151_20240611_0010_R_1144.jpg</v>
      </c>
      <c r="G3154" s="92" t="s">
        <v>4728</v>
      </c>
      <c r="I3154">
        <v>2</v>
      </c>
      <c r="K3154" s="97">
        <v>1</v>
      </c>
      <c r="L3154" s="31"/>
      <c r="M3154" s="31"/>
      <c r="N3154" s="31"/>
      <c r="O3154" s="31"/>
      <c r="P3154" s="57">
        <v>1</v>
      </c>
      <c r="Q3154" s="57">
        <v>0</v>
      </c>
      <c r="R3154" s="57">
        <v>0</v>
      </c>
      <c r="S3154" s="97">
        <v>0</v>
      </c>
      <c r="T3154" s="57">
        <v>0</v>
      </c>
      <c r="U3154" s="57">
        <v>0</v>
      </c>
      <c r="V3154" s="57">
        <v>0</v>
      </c>
      <c r="W3154" s="57">
        <v>0</v>
      </c>
      <c r="X3154" s="97">
        <v>0</v>
      </c>
    </row>
    <row r="3155" spans="1:24" x14ac:dyDescent="0.35">
      <c r="A3155">
        <v>3151</v>
      </c>
      <c r="B3155">
        <v>3152</v>
      </c>
      <c r="C3155">
        <v>146.09667957100001</v>
      </c>
      <c r="D3155">
        <v>-17.630150740000001</v>
      </c>
      <c r="E3155" s="92" t="str">
        <f t="shared" si="1"/>
        <v/>
      </c>
      <c r="F3155" t="str">
        <f>HYPERLINK("D:\Data From Lucan\2024\Moresby\Frames_for_Analysis/3152_20240611_0010_R_1141.jpg","3152_20240611_0010_R_1141.jpg")</f>
        <v>3152_20240611_0010_R_1141.jpg</v>
      </c>
      <c r="G3155" s="92" t="s">
        <v>4729</v>
      </c>
      <c r="I3155">
        <v>2</v>
      </c>
      <c r="K3155" s="97">
        <v>1</v>
      </c>
      <c r="L3155" s="31"/>
      <c r="M3155" s="31"/>
      <c r="N3155" s="31"/>
      <c r="O3155" s="31"/>
      <c r="P3155" s="57">
        <v>1</v>
      </c>
      <c r="Q3155" s="57">
        <v>0</v>
      </c>
      <c r="R3155" s="57">
        <v>0</v>
      </c>
      <c r="S3155" s="97">
        <v>0</v>
      </c>
      <c r="T3155" s="57">
        <v>0</v>
      </c>
      <c r="U3155" s="57">
        <v>0</v>
      </c>
      <c r="V3155" s="57">
        <v>0</v>
      </c>
      <c r="W3155" s="57">
        <v>0</v>
      </c>
      <c r="X3155" s="97">
        <v>0</v>
      </c>
    </row>
    <row r="3156" spans="1:24" x14ac:dyDescent="0.35">
      <c r="A3156">
        <v>3152</v>
      </c>
      <c r="B3156">
        <v>3153</v>
      </c>
      <c r="C3156">
        <v>146.096591773</v>
      </c>
      <c r="D3156">
        <v>-17.630132628399899</v>
      </c>
      <c r="E3156" s="92" t="str">
        <f t="shared" si="1"/>
        <v/>
      </c>
      <c r="F3156" t="str">
        <f>HYPERLINK("D:\Data From Lucan\2024\Moresby\Frames_for_Analysis/3153_20240611_0010_R_1138.jpg","3153_20240611_0010_R_1138.jpg")</f>
        <v>3153_20240611_0010_R_1138.jpg</v>
      </c>
      <c r="G3156" s="92" t="s">
        <v>4730</v>
      </c>
      <c r="I3156">
        <v>2</v>
      </c>
      <c r="K3156" s="97">
        <v>1</v>
      </c>
      <c r="L3156" s="31"/>
      <c r="M3156" s="31"/>
      <c r="N3156" s="31"/>
      <c r="O3156" s="31"/>
      <c r="P3156" s="57">
        <v>1</v>
      </c>
      <c r="Q3156" s="57">
        <v>0</v>
      </c>
      <c r="R3156" s="57">
        <v>0</v>
      </c>
      <c r="S3156" s="97">
        <v>0</v>
      </c>
      <c r="T3156" s="57">
        <v>0</v>
      </c>
      <c r="U3156" s="57">
        <v>0</v>
      </c>
      <c r="V3156" s="57">
        <v>0</v>
      </c>
      <c r="W3156" s="57">
        <v>0</v>
      </c>
      <c r="X3156" s="97">
        <v>0</v>
      </c>
    </row>
    <row r="3157" spans="1:24" x14ac:dyDescent="0.35">
      <c r="A3157">
        <v>3153</v>
      </c>
      <c r="B3157">
        <v>3154</v>
      </c>
      <c r="C3157">
        <v>146.096503974999</v>
      </c>
      <c r="D3157">
        <v>-17.6301145167999</v>
      </c>
      <c r="E3157" s="92" t="str">
        <f t="shared" si="1"/>
        <v/>
      </c>
      <c r="F3157" t="str">
        <f>HYPERLINK("D:\Data From Lucan\2024\Moresby\Frames_for_Analysis/3154_20240611_0010_R_1136.jpg","3154_20240611_0010_R_1136.jpg")</f>
        <v>3154_20240611_0010_R_1136.jpg</v>
      </c>
      <c r="G3157" s="92" t="s">
        <v>4731</v>
      </c>
      <c r="I3157">
        <v>2</v>
      </c>
      <c r="K3157" s="97">
        <v>1</v>
      </c>
      <c r="L3157" s="31"/>
      <c r="M3157" s="31"/>
      <c r="N3157" s="31"/>
      <c r="O3157" s="31"/>
      <c r="P3157" s="57">
        <v>1</v>
      </c>
      <c r="Q3157" s="57">
        <v>0</v>
      </c>
      <c r="R3157" s="57">
        <v>0</v>
      </c>
      <c r="S3157" s="97">
        <v>0</v>
      </c>
      <c r="T3157" s="57">
        <v>0</v>
      </c>
      <c r="U3157" s="57">
        <v>0</v>
      </c>
      <c r="V3157" s="57">
        <v>0</v>
      </c>
      <c r="W3157" s="57">
        <v>0</v>
      </c>
      <c r="X3157" s="97">
        <v>0</v>
      </c>
    </row>
    <row r="3158" spans="1:24" x14ac:dyDescent="0.35">
      <c r="A3158">
        <v>3154</v>
      </c>
      <c r="B3158">
        <v>3155</v>
      </c>
      <c r="C3158">
        <v>146.096416175999</v>
      </c>
      <c r="D3158">
        <v>-17.6300964052</v>
      </c>
      <c r="E3158" s="92">
        <f t="shared" si="1"/>
        <v>50</v>
      </c>
      <c r="F3158" t="str">
        <f>HYPERLINK("D:\Data From Lucan\2024\Moresby\Frames_for_Analysis/3155_20240611_0010_R_1132.jpg","3155_20240611_0010_R_1132.jpg")</f>
        <v>3155_20240611_0010_R_1132.jpg</v>
      </c>
      <c r="G3158" s="92" t="s">
        <v>4732</v>
      </c>
      <c r="I3158">
        <v>2</v>
      </c>
      <c r="K3158" s="97">
        <v>1</v>
      </c>
      <c r="L3158" s="31"/>
      <c r="M3158" s="31"/>
      <c r="N3158" s="31"/>
      <c r="O3158" s="31"/>
      <c r="P3158" s="57">
        <v>1</v>
      </c>
      <c r="Q3158" s="57">
        <v>0</v>
      </c>
      <c r="R3158" s="57">
        <v>0</v>
      </c>
      <c r="S3158" s="97">
        <v>0</v>
      </c>
      <c r="T3158" s="57">
        <v>0</v>
      </c>
      <c r="U3158" s="57">
        <v>0</v>
      </c>
      <c r="V3158" s="57">
        <v>0</v>
      </c>
      <c r="W3158" s="57">
        <v>0</v>
      </c>
      <c r="X3158" s="97">
        <v>0</v>
      </c>
    </row>
    <row r="3159" spans="1:24" x14ac:dyDescent="0.35">
      <c r="A3159">
        <v>3155</v>
      </c>
      <c r="B3159">
        <v>3156</v>
      </c>
      <c r="C3159">
        <v>146.09632837800001</v>
      </c>
      <c r="D3159">
        <v>-17.6300782936</v>
      </c>
      <c r="E3159" s="92" t="str">
        <f t="shared" si="1"/>
        <v/>
      </c>
      <c r="F3159" t="str">
        <f>HYPERLINK("D:\Data From Lucan\2024\Moresby\Frames_for_Analysis/3156_20240611_0010_R_1130.jpg","3156_20240611_0010_R_1130.jpg")</f>
        <v>3156_20240611_0010_R_1130.jpg</v>
      </c>
      <c r="G3159" s="92" t="s">
        <v>4733</v>
      </c>
      <c r="I3159">
        <v>2</v>
      </c>
      <c r="K3159" s="97">
        <v>1</v>
      </c>
      <c r="L3159" s="31"/>
      <c r="M3159" s="31"/>
      <c r="N3159" s="31"/>
      <c r="O3159" s="31"/>
      <c r="P3159" s="57">
        <v>1</v>
      </c>
      <c r="Q3159" s="57">
        <v>0</v>
      </c>
      <c r="R3159" s="57">
        <v>0</v>
      </c>
      <c r="S3159" s="97">
        <v>0</v>
      </c>
      <c r="T3159" s="57">
        <v>0</v>
      </c>
      <c r="U3159" s="57">
        <v>0</v>
      </c>
      <c r="V3159" s="57">
        <v>0</v>
      </c>
      <c r="W3159" s="57">
        <v>0</v>
      </c>
      <c r="X3159" s="97">
        <v>0</v>
      </c>
    </row>
    <row r="3160" spans="1:24" x14ac:dyDescent="0.35">
      <c r="A3160">
        <v>3156</v>
      </c>
      <c r="B3160">
        <v>3157</v>
      </c>
      <c r="C3160">
        <v>146.09624058</v>
      </c>
      <c r="D3160">
        <v>-17.630060182000001</v>
      </c>
      <c r="E3160" s="92" t="str">
        <f t="shared" si="1"/>
        <v/>
      </c>
      <c r="F3160" t="str">
        <f>HYPERLINK("D:\Data From Lucan\2024\Moresby\Frames_for_Analysis/3157_20240611_0010_R_1127.jpg","3157_20240611_0010_R_1127.jpg")</f>
        <v>3157_20240611_0010_R_1127.jpg</v>
      </c>
      <c r="G3160" s="92" t="s">
        <v>4734</v>
      </c>
      <c r="I3160">
        <v>2</v>
      </c>
      <c r="K3160" s="97">
        <v>1</v>
      </c>
      <c r="L3160" s="31"/>
      <c r="M3160" s="31"/>
      <c r="N3160" s="31"/>
      <c r="O3160" s="31"/>
      <c r="P3160" s="57">
        <v>1</v>
      </c>
      <c r="Q3160" s="57">
        <v>0</v>
      </c>
      <c r="R3160" s="57">
        <v>0</v>
      </c>
      <c r="S3160" s="97">
        <v>0</v>
      </c>
      <c r="T3160" s="57">
        <v>0</v>
      </c>
      <c r="U3160" s="57">
        <v>0</v>
      </c>
      <c r="V3160" s="57">
        <v>0</v>
      </c>
      <c r="W3160" s="57">
        <v>0</v>
      </c>
      <c r="X3160" s="97">
        <v>0</v>
      </c>
    </row>
    <row r="3161" spans="1:24" x14ac:dyDescent="0.35">
      <c r="A3161">
        <v>3157</v>
      </c>
      <c r="B3161">
        <v>3158</v>
      </c>
      <c r="C3161">
        <v>146.096152781</v>
      </c>
      <c r="D3161">
        <v>-17.6300420703</v>
      </c>
      <c r="E3161" s="92" t="str">
        <f t="shared" si="1"/>
        <v/>
      </c>
      <c r="F3161" t="str">
        <f>HYPERLINK("D:\Data From Lucan\2024\Moresby\Frames_for_Analysis/3158_20240611_0010_R_1125.jpg","3158_20240611_0010_R_1125.jpg")</f>
        <v>3158_20240611_0010_R_1125.jpg</v>
      </c>
      <c r="G3161" s="92" t="s">
        <v>4735</v>
      </c>
      <c r="I3161">
        <v>2</v>
      </c>
      <c r="K3161" s="97">
        <v>1</v>
      </c>
      <c r="L3161" s="31"/>
      <c r="M3161" s="31"/>
      <c r="N3161" s="31"/>
      <c r="O3161" s="31"/>
      <c r="P3161" s="57">
        <v>1</v>
      </c>
      <c r="Q3161" s="57">
        <v>0</v>
      </c>
      <c r="R3161" s="57">
        <v>0</v>
      </c>
      <c r="S3161" s="97">
        <v>0</v>
      </c>
      <c r="T3161" s="57">
        <v>0</v>
      </c>
      <c r="U3161" s="57">
        <v>0</v>
      </c>
      <c r="V3161" s="57">
        <v>0</v>
      </c>
      <c r="W3161" s="57">
        <v>0</v>
      </c>
      <c r="X3161" s="97">
        <v>0</v>
      </c>
    </row>
    <row r="3162" spans="1:24" x14ac:dyDescent="0.35">
      <c r="A3162">
        <v>3158</v>
      </c>
      <c r="B3162">
        <v>3159</v>
      </c>
      <c r="C3162">
        <v>146.096064982999</v>
      </c>
      <c r="D3162">
        <v>-17.630023958700001</v>
      </c>
      <c r="E3162" s="92" t="str">
        <f t="shared" si="1"/>
        <v/>
      </c>
      <c r="F3162" t="str">
        <f>HYPERLINK("D:\Data From Lucan\2024\Moresby\Frames_for_Analysis/3159_20240611_0010_R_1122.jpg","3159_20240611_0010_R_1122.jpg")</f>
        <v>3159_20240611_0010_R_1122.jpg</v>
      </c>
      <c r="G3162" s="92" t="s">
        <v>4736</v>
      </c>
      <c r="I3162">
        <v>2</v>
      </c>
      <c r="K3162" s="97">
        <v>1</v>
      </c>
      <c r="L3162" s="31"/>
      <c r="M3162" s="31"/>
      <c r="N3162" s="31"/>
      <c r="O3162" s="31"/>
      <c r="P3162" s="57">
        <v>1</v>
      </c>
      <c r="Q3162" s="57">
        <v>0</v>
      </c>
      <c r="R3162" s="57">
        <v>0</v>
      </c>
      <c r="S3162" s="97">
        <v>0</v>
      </c>
      <c r="T3162" s="57">
        <v>0</v>
      </c>
      <c r="U3162" s="57">
        <v>0</v>
      </c>
      <c r="V3162" s="57">
        <v>0</v>
      </c>
      <c r="W3162" s="57">
        <v>0</v>
      </c>
      <c r="X3162" s="97">
        <v>0</v>
      </c>
    </row>
    <row r="3163" spans="1:24" x14ac:dyDescent="0.35">
      <c r="A3163">
        <v>3159</v>
      </c>
      <c r="B3163">
        <v>3160</v>
      </c>
      <c r="C3163">
        <v>146.09597718500001</v>
      </c>
      <c r="D3163">
        <v>-17.630005847100001</v>
      </c>
      <c r="E3163" s="92">
        <f t="shared" si="1"/>
        <v>50</v>
      </c>
      <c r="F3163" t="str">
        <f>HYPERLINK("D:\Data From Lucan\2024\Moresby\Frames_for_Analysis/3160_20240611_0010_R_1120.jpg","3160_20240611_0010_R_1120.jpg")</f>
        <v>3160_20240611_0010_R_1120.jpg</v>
      </c>
      <c r="G3163" s="92" t="s">
        <v>4737</v>
      </c>
      <c r="I3163">
        <v>2</v>
      </c>
      <c r="K3163" s="97">
        <v>1</v>
      </c>
      <c r="L3163" s="31"/>
      <c r="M3163" s="31"/>
      <c r="N3163" s="31"/>
      <c r="O3163" s="31"/>
      <c r="P3163" s="57">
        <v>1</v>
      </c>
      <c r="Q3163" s="57">
        <v>0</v>
      </c>
      <c r="R3163" s="57">
        <v>0</v>
      </c>
      <c r="S3163" s="97">
        <v>0</v>
      </c>
      <c r="T3163" s="57">
        <v>0</v>
      </c>
      <c r="U3163" s="57">
        <v>0</v>
      </c>
      <c r="V3163" s="57">
        <v>0</v>
      </c>
      <c r="W3163" s="57">
        <v>0</v>
      </c>
      <c r="X3163" s="97">
        <v>0</v>
      </c>
    </row>
    <row r="3164" spans="1:24" x14ac:dyDescent="0.35">
      <c r="A3164">
        <v>3160</v>
      </c>
      <c r="B3164">
        <v>3161</v>
      </c>
      <c r="C3164">
        <v>146.095890061999</v>
      </c>
      <c r="D3164">
        <v>-17.6299850469</v>
      </c>
      <c r="E3164" s="92" t="str">
        <f t="shared" si="1"/>
        <v/>
      </c>
      <c r="F3164" t="str">
        <f>HYPERLINK("D:\Data From Lucan\2024\Moresby\Frames_for_Analysis/3161_20240611_0010_R_1118.jpg","3161_20240611_0010_R_1118.jpg")</f>
        <v>3161_20240611_0010_R_1118.jpg</v>
      </c>
      <c r="G3164" s="92" t="s">
        <v>4738</v>
      </c>
      <c r="I3164">
        <v>2</v>
      </c>
      <c r="K3164" s="97">
        <v>1</v>
      </c>
      <c r="L3164" s="31"/>
      <c r="M3164" s="31"/>
      <c r="N3164" s="31"/>
      <c r="O3164" s="31"/>
      <c r="P3164" s="57">
        <v>1</v>
      </c>
      <c r="Q3164" s="57">
        <v>0</v>
      </c>
      <c r="R3164" s="57">
        <v>0</v>
      </c>
      <c r="S3164" s="97">
        <v>0</v>
      </c>
      <c r="T3164" s="57">
        <v>0</v>
      </c>
      <c r="U3164" s="57">
        <v>0</v>
      </c>
      <c r="V3164" s="57">
        <v>0</v>
      </c>
      <c r="W3164" s="57">
        <v>0</v>
      </c>
      <c r="X3164" s="97">
        <v>0</v>
      </c>
    </row>
    <row r="3165" spans="1:24" x14ac:dyDescent="0.35">
      <c r="A3165">
        <v>3161</v>
      </c>
      <c r="B3165">
        <v>3162</v>
      </c>
      <c r="C3165">
        <v>146.095803173999</v>
      </c>
      <c r="D3165">
        <v>-17.629963309200001</v>
      </c>
      <c r="E3165" s="92" t="str">
        <f t="shared" si="1"/>
        <v/>
      </c>
      <c r="F3165" t="str">
        <f>HYPERLINK("D:\Data From Lucan\2024\Moresby\Frames_for_Analysis/3162_20240611_0010_R_1115.jpg","3162_20240611_0010_R_1115.jpg")</f>
        <v>3162_20240611_0010_R_1115.jpg</v>
      </c>
      <c r="G3165" s="92" t="s">
        <v>4739</v>
      </c>
      <c r="I3165">
        <v>2</v>
      </c>
      <c r="K3165" s="97">
        <v>1</v>
      </c>
      <c r="L3165" s="31"/>
      <c r="M3165" s="31"/>
      <c r="N3165" s="31"/>
      <c r="O3165" s="31"/>
      <c r="P3165" s="57">
        <v>1</v>
      </c>
      <c r="Q3165" s="57">
        <v>0</v>
      </c>
      <c r="R3165" s="57">
        <v>0</v>
      </c>
      <c r="S3165" s="97">
        <v>0</v>
      </c>
      <c r="T3165" s="57">
        <v>0</v>
      </c>
      <c r="U3165" s="57">
        <v>0</v>
      </c>
      <c r="V3165" s="57">
        <v>0</v>
      </c>
      <c r="W3165" s="57">
        <v>0</v>
      </c>
      <c r="X3165" s="97">
        <v>0</v>
      </c>
    </row>
    <row r="3166" spans="1:24" x14ac:dyDescent="0.35">
      <c r="A3166">
        <v>3162</v>
      </c>
      <c r="B3166">
        <v>3163</v>
      </c>
      <c r="C3166">
        <v>146.09571628699899</v>
      </c>
      <c r="D3166">
        <v>-17.6299415714</v>
      </c>
      <c r="E3166" s="92" t="str">
        <f t="shared" si="1"/>
        <v/>
      </c>
      <c r="F3166" t="str">
        <f>HYPERLINK("D:\Data From Lucan\2024\Moresby\Frames_for_Analysis/3163_20240611_0010_R_1112.jpg","3163_20240611_0010_R_1112.jpg")</f>
        <v>3163_20240611_0010_R_1112.jpg</v>
      </c>
      <c r="G3166" s="92" t="s">
        <v>4740</v>
      </c>
      <c r="I3166">
        <v>2</v>
      </c>
      <c r="K3166" s="97">
        <v>1</v>
      </c>
      <c r="L3166" s="31"/>
      <c r="M3166" s="31"/>
      <c r="N3166" s="31"/>
      <c r="O3166" s="31"/>
      <c r="P3166" s="57">
        <v>1</v>
      </c>
      <c r="Q3166" s="57">
        <v>0</v>
      </c>
      <c r="R3166" s="57">
        <v>0</v>
      </c>
      <c r="S3166" s="97">
        <v>0</v>
      </c>
      <c r="T3166" s="57">
        <v>0</v>
      </c>
      <c r="U3166" s="57">
        <v>0</v>
      </c>
      <c r="V3166" s="57">
        <v>0</v>
      </c>
      <c r="W3166" s="57">
        <v>0</v>
      </c>
      <c r="X3166" s="97">
        <v>0</v>
      </c>
    </row>
    <row r="3167" spans="1:24" x14ac:dyDescent="0.35">
      <c r="A3167">
        <v>3163</v>
      </c>
      <c r="B3167">
        <v>3164</v>
      </c>
      <c r="C3167">
        <v>146.09562939899899</v>
      </c>
      <c r="D3167">
        <v>-17.629919833700001</v>
      </c>
      <c r="E3167" s="92" t="str">
        <f t="shared" ref="E3167:E3230" si="2">IF(MOD(B3167,5)=0, 50, "")</f>
        <v/>
      </c>
      <c r="F3167" t="str">
        <f>HYPERLINK("D:\Data From Lucan\2024\Moresby\Frames_for_Analysis/3164_20240611_0010_R_1110.jpg","3164_20240611_0010_R_1110.jpg")</f>
        <v>3164_20240611_0010_R_1110.jpg</v>
      </c>
      <c r="G3167" s="92" t="s">
        <v>4741</v>
      </c>
      <c r="I3167">
        <v>2</v>
      </c>
      <c r="K3167" s="97">
        <v>1</v>
      </c>
      <c r="L3167" s="31"/>
      <c r="M3167" s="31"/>
      <c r="N3167" s="31"/>
      <c r="O3167" s="31"/>
      <c r="P3167" s="57">
        <v>1</v>
      </c>
      <c r="Q3167" s="57">
        <v>0</v>
      </c>
      <c r="R3167" s="57">
        <v>0</v>
      </c>
      <c r="S3167" s="97">
        <v>0</v>
      </c>
      <c r="T3167" s="57">
        <v>0</v>
      </c>
      <c r="U3167" s="57">
        <v>0</v>
      </c>
      <c r="V3167" s="57">
        <v>0</v>
      </c>
      <c r="W3167" s="57">
        <v>0</v>
      </c>
      <c r="X3167" s="97">
        <v>0</v>
      </c>
    </row>
    <row r="3168" spans="1:24" x14ac:dyDescent="0.35">
      <c r="A3168">
        <v>3164</v>
      </c>
      <c r="B3168">
        <v>3165</v>
      </c>
      <c r="C3168">
        <v>146.095542510999</v>
      </c>
      <c r="D3168">
        <v>-17.629898096000002</v>
      </c>
      <c r="E3168" s="92">
        <f t="shared" si="2"/>
        <v>50</v>
      </c>
      <c r="F3168" t="str">
        <f>HYPERLINK("D:\Data From Lucan\2024\Moresby\Frames_for_Analysis/3165_20240611_0010_R_1107.jpg","3165_20240611_0010_R_1107.jpg")</f>
        <v>3165_20240611_0010_R_1107.jpg</v>
      </c>
      <c r="G3168" s="92" t="s">
        <v>4742</v>
      </c>
      <c r="I3168">
        <v>2</v>
      </c>
      <c r="K3168" s="97">
        <v>1</v>
      </c>
      <c r="L3168" s="31"/>
      <c r="M3168" s="31"/>
      <c r="N3168" s="31"/>
      <c r="O3168" s="31"/>
      <c r="P3168" s="57">
        <v>1</v>
      </c>
      <c r="Q3168" s="57">
        <v>0</v>
      </c>
      <c r="R3168" s="57">
        <v>0</v>
      </c>
      <c r="S3168" s="97">
        <v>0</v>
      </c>
      <c r="T3168" s="57">
        <v>0</v>
      </c>
      <c r="U3168" s="57">
        <v>0</v>
      </c>
      <c r="V3168" s="57">
        <v>0</v>
      </c>
      <c r="W3168" s="57">
        <v>0</v>
      </c>
      <c r="X3168" s="97">
        <v>0</v>
      </c>
    </row>
    <row r="3169" spans="1:24" x14ac:dyDescent="0.35">
      <c r="A3169">
        <v>3165</v>
      </c>
      <c r="B3169">
        <v>3166</v>
      </c>
      <c r="C3169">
        <v>146.09545562400001</v>
      </c>
      <c r="D3169">
        <v>-17.629876358299899</v>
      </c>
      <c r="E3169" s="92" t="str">
        <f t="shared" si="2"/>
        <v/>
      </c>
      <c r="F3169" t="str">
        <f>HYPERLINK("D:\Data From Lucan\2024\Moresby\Frames_for_Analysis/3166_20240611_0010_R_1104.jpg","3166_20240611_0010_R_1104.jpg")</f>
        <v>3166_20240611_0010_R_1104.jpg</v>
      </c>
      <c r="G3169" s="92" t="s">
        <v>4743</v>
      </c>
      <c r="I3169">
        <v>2</v>
      </c>
      <c r="K3169" s="97">
        <v>1</v>
      </c>
      <c r="L3169" s="31"/>
      <c r="M3169" s="31"/>
      <c r="N3169" s="31"/>
      <c r="O3169" s="31"/>
      <c r="P3169" s="57">
        <v>1</v>
      </c>
      <c r="Q3169" s="57">
        <v>0</v>
      </c>
      <c r="R3169" s="57">
        <v>0</v>
      </c>
      <c r="S3169" s="97">
        <v>0</v>
      </c>
      <c r="T3169" s="57">
        <v>0</v>
      </c>
      <c r="U3169" s="57">
        <v>0</v>
      </c>
      <c r="V3169" s="57">
        <v>0</v>
      </c>
      <c r="W3169" s="57">
        <v>0</v>
      </c>
      <c r="X3169" s="97">
        <v>0</v>
      </c>
    </row>
    <row r="3170" spans="1:24" x14ac:dyDescent="0.35">
      <c r="A3170">
        <v>3166</v>
      </c>
      <c r="B3170">
        <v>3167</v>
      </c>
      <c r="C3170">
        <v>146.09536873600001</v>
      </c>
      <c r="D3170">
        <v>-17.6298546206</v>
      </c>
      <c r="E3170" s="92" t="str">
        <f t="shared" si="2"/>
        <v/>
      </c>
      <c r="F3170" t="str">
        <f>HYPERLINK("D:\Data From Lucan\2024\Moresby\Frames_for_Analysis/3167_20240611_0010_R_1102.jpg","3167_20240611_0010_R_1102.jpg")</f>
        <v>3167_20240611_0010_R_1102.jpg</v>
      </c>
      <c r="G3170" s="92" t="s">
        <v>4744</v>
      </c>
      <c r="I3170">
        <v>2</v>
      </c>
      <c r="K3170" s="97">
        <v>1</v>
      </c>
      <c r="L3170" s="31"/>
      <c r="M3170" s="31"/>
      <c r="N3170" s="31"/>
      <c r="O3170" s="31"/>
      <c r="P3170" s="57">
        <v>1</v>
      </c>
      <c r="Q3170" s="57">
        <v>0</v>
      </c>
      <c r="R3170" s="57">
        <v>0</v>
      </c>
      <c r="S3170" s="97">
        <v>0</v>
      </c>
      <c r="T3170" s="57">
        <v>0</v>
      </c>
      <c r="U3170" s="57">
        <v>0</v>
      </c>
      <c r="V3170" s="57">
        <v>0</v>
      </c>
      <c r="W3170" s="57">
        <v>0</v>
      </c>
      <c r="X3170" s="97">
        <v>0</v>
      </c>
    </row>
    <row r="3171" spans="1:24" x14ac:dyDescent="0.35">
      <c r="A3171">
        <v>3167</v>
      </c>
      <c r="B3171">
        <v>3168</v>
      </c>
      <c r="C3171">
        <v>146.095281849</v>
      </c>
      <c r="D3171">
        <v>-17.629832882900001</v>
      </c>
      <c r="E3171" s="92" t="str">
        <f t="shared" si="2"/>
        <v/>
      </c>
      <c r="F3171" t="str">
        <f>HYPERLINK("D:\Data From Lucan\2024\Moresby\Frames_for_Analysis/3168_20240611_0010_R_1099.jpg","3168_20240611_0010_R_1099.jpg")</f>
        <v>3168_20240611_0010_R_1099.jpg</v>
      </c>
      <c r="G3171" s="92" t="s">
        <v>4745</v>
      </c>
      <c r="I3171">
        <v>2</v>
      </c>
      <c r="K3171" s="97">
        <v>1</v>
      </c>
      <c r="L3171" s="31"/>
      <c r="M3171" s="31"/>
      <c r="N3171" s="31"/>
      <c r="O3171" s="31"/>
      <c r="P3171" s="57">
        <v>1</v>
      </c>
      <c r="Q3171" s="57">
        <v>0</v>
      </c>
      <c r="R3171" s="57">
        <v>0</v>
      </c>
      <c r="S3171" s="97">
        <v>0</v>
      </c>
      <c r="T3171" s="57">
        <v>0</v>
      </c>
      <c r="U3171" s="57">
        <v>0</v>
      </c>
      <c r="V3171" s="57">
        <v>0</v>
      </c>
      <c r="W3171" s="57">
        <v>0</v>
      </c>
      <c r="X3171" s="97">
        <v>0</v>
      </c>
    </row>
    <row r="3172" spans="1:24" x14ac:dyDescent="0.35">
      <c r="A3172">
        <v>3168</v>
      </c>
      <c r="B3172">
        <v>3169</v>
      </c>
      <c r="C3172">
        <v>146.095194961</v>
      </c>
      <c r="D3172">
        <v>-17.6298111451</v>
      </c>
      <c r="E3172" s="92" t="str">
        <f t="shared" si="2"/>
        <v/>
      </c>
      <c r="F3172" t="str">
        <f>HYPERLINK("D:\Data From Lucan\2024\Moresby\Frames_for_Analysis/3169_20240611_0010_R_1097.jpg","3169_20240611_0010_R_1097.jpg")</f>
        <v>3169_20240611_0010_R_1097.jpg</v>
      </c>
      <c r="G3172" s="92" t="s">
        <v>4746</v>
      </c>
      <c r="I3172">
        <v>2</v>
      </c>
      <c r="K3172" s="97">
        <v>1</v>
      </c>
      <c r="L3172" s="31"/>
      <c r="M3172" s="31"/>
      <c r="N3172" s="31"/>
      <c r="O3172" s="31"/>
      <c r="P3172" s="57">
        <v>1</v>
      </c>
      <c r="Q3172" s="57">
        <v>0</v>
      </c>
      <c r="R3172" s="57">
        <v>0</v>
      </c>
      <c r="S3172" s="97">
        <v>0</v>
      </c>
      <c r="T3172" s="57">
        <v>0</v>
      </c>
      <c r="U3172" s="57">
        <v>0</v>
      </c>
      <c r="V3172" s="57">
        <v>0</v>
      </c>
      <c r="W3172" s="57">
        <v>0</v>
      </c>
      <c r="X3172" s="97">
        <v>0</v>
      </c>
    </row>
    <row r="3173" spans="1:24" x14ac:dyDescent="0.35">
      <c r="A3173">
        <v>3169</v>
      </c>
      <c r="B3173">
        <v>3170</v>
      </c>
      <c r="C3173">
        <v>146.09510807300001</v>
      </c>
      <c r="D3173">
        <v>-17.629789407400001</v>
      </c>
      <c r="E3173" s="92">
        <f t="shared" si="2"/>
        <v>50</v>
      </c>
      <c r="F3173" t="str">
        <f>HYPERLINK("D:\Data From Lucan\2024\Moresby\Frames_for_Analysis/3170_20240611_0010_R_1094.jpg","3170_20240611_0010_R_1094.jpg")</f>
        <v>3170_20240611_0010_R_1094.jpg</v>
      </c>
      <c r="G3173" s="92" t="s">
        <v>4747</v>
      </c>
      <c r="I3173">
        <v>2</v>
      </c>
      <c r="K3173" s="97">
        <v>1</v>
      </c>
      <c r="L3173" s="31"/>
      <c r="M3173" s="31"/>
      <c r="N3173" s="31"/>
      <c r="O3173" s="31"/>
      <c r="P3173" s="57">
        <v>1</v>
      </c>
      <c r="Q3173" s="57">
        <v>0</v>
      </c>
      <c r="R3173" s="57">
        <v>0</v>
      </c>
      <c r="S3173" s="97">
        <v>0</v>
      </c>
      <c r="T3173" s="57">
        <v>0</v>
      </c>
      <c r="U3173" s="57">
        <v>0</v>
      </c>
      <c r="V3173" s="57">
        <v>0</v>
      </c>
      <c r="W3173" s="57">
        <v>0</v>
      </c>
      <c r="X3173" s="97">
        <v>0</v>
      </c>
    </row>
    <row r="3174" spans="1:24" x14ac:dyDescent="0.35">
      <c r="A3174">
        <v>3170</v>
      </c>
      <c r="B3174">
        <v>3171</v>
      </c>
      <c r="C3174">
        <v>146.095021185999</v>
      </c>
      <c r="D3174">
        <v>-17.629767669700001</v>
      </c>
      <c r="E3174" s="92" t="str">
        <f t="shared" si="2"/>
        <v/>
      </c>
      <c r="F3174" t="str">
        <f>HYPERLINK("D:\Data From Lucan\2024\Moresby\Frames_for_Analysis/3171_20240611_0010_R_1091.jpg","3171_20240611_0010_R_1091.jpg")</f>
        <v>3171_20240611_0010_R_1091.jpg</v>
      </c>
      <c r="G3174" s="92" t="s">
        <v>4748</v>
      </c>
      <c r="I3174">
        <v>2</v>
      </c>
      <c r="K3174" s="97">
        <v>1</v>
      </c>
      <c r="L3174" s="31"/>
      <c r="M3174" s="31"/>
      <c r="N3174" s="31"/>
      <c r="O3174" s="31"/>
      <c r="P3174" s="57">
        <v>1</v>
      </c>
      <c r="Q3174" s="57">
        <v>0</v>
      </c>
      <c r="R3174" s="57">
        <v>0</v>
      </c>
      <c r="S3174" s="97">
        <v>0</v>
      </c>
      <c r="T3174" s="57">
        <v>0</v>
      </c>
      <c r="U3174" s="57">
        <v>0</v>
      </c>
      <c r="V3174" s="57">
        <v>0</v>
      </c>
      <c r="W3174" s="57">
        <v>0</v>
      </c>
      <c r="X3174" s="97">
        <v>0</v>
      </c>
    </row>
    <row r="3175" spans="1:24" x14ac:dyDescent="0.35">
      <c r="A3175">
        <v>3171</v>
      </c>
      <c r="B3175">
        <v>3172</v>
      </c>
      <c r="C3175">
        <v>146.09493508899899</v>
      </c>
      <c r="D3175">
        <v>-17.6297432996999</v>
      </c>
      <c r="E3175" s="92" t="str">
        <f t="shared" si="2"/>
        <v/>
      </c>
      <c r="F3175" t="str">
        <f>HYPERLINK("D:\Data From Lucan\2024\Moresby\Frames_for_Analysis/3172_20240611_0010_R_1088.jpg","3172_20240611_0010_R_1088.jpg")</f>
        <v>3172_20240611_0010_R_1088.jpg</v>
      </c>
      <c r="G3175" s="92" t="s">
        <v>4749</v>
      </c>
      <c r="I3175">
        <v>2</v>
      </c>
      <c r="K3175" s="97">
        <v>1</v>
      </c>
      <c r="L3175" s="31"/>
      <c r="M3175" s="31"/>
      <c r="N3175" s="31"/>
      <c r="O3175" s="31"/>
      <c r="P3175" s="57">
        <v>1</v>
      </c>
      <c r="Q3175" s="57">
        <v>0</v>
      </c>
      <c r="R3175" s="57">
        <v>0</v>
      </c>
      <c r="S3175" s="97">
        <v>0</v>
      </c>
      <c r="T3175" s="57">
        <v>0</v>
      </c>
      <c r="U3175" s="57">
        <v>0</v>
      </c>
      <c r="V3175" s="57">
        <v>0</v>
      </c>
      <c r="W3175" s="57">
        <v>0</v>
      </c>
      <c r="X3175" s="97">
        <v>0</v>
      </c>
    </row>
    <row r="3176" spans="1:24" x14ac:dyDescent="0.35">
      <c r="A3176">
        <v>3172</v>
      </c>
      <c r="B3176">
        <v>3173</v>
      </c>
      <c r="C3176">
        <v>146.094849288999</v>
      </c>
      <c r="D3176">
        <v>-17.629717938700001</v>
      </c>
      <c r="E3176" s="92" t="str">
        <f t="shared" si="2"/>
        <v/>
      </c>
      <c r="F3176" t="str">
        <f>HYPERLINK("D:\Data From Lucan\2024\Moresby\Frames_for_Analysis/3173_20240611_0010_R_1086.jpg","3173_20240611_0010_R_1086.jpg")</f>
        <v>3173_20240611_0010_R_1086.jpg</v>
      </c>
      <c r="G3176" s="92" t="s">
        <v>4750</v>
      </c>
      <c r="I3176">
        <v>2</v>
      </c>
      <c r="K3176" s="97">
        <v>1</v>
      </c>
      <c r="L3176" s="31"/>
      <c r="M3176" s="31"/>
      <c r="N3176" s="31"/>
      <c r="O3176" s="31"/>
      <c r="P3176" s="57">
        <v>1</v>
      </c>
      <c r="Q3176" s="57">
        <v>0</v>
      </c>
      <c r="R3176" s="57">
        <v>0</v>
      </c>
      <c r="S3176" s="97">
        <v>0</v>
      </c>
      <c r="T3176" s="57">
        <v>0</v>
      </c>
      <c r="U3176" s="57">
        <v>0</v>
      </c>
      <c r="V3176" s="57">
        <v>0</v>
      </c>
      <c r="W3176" s="57">
        <v>0</v>
      </c>
      <c r="X3176" s="97">
        <v>0</v>
      </c>
    </row>
    <row r="3177" spans="1:24" x14ac:dyDescent="0.35">
      <c r="A3177">
        <v>3173</v>
      </c>
      <c r="B3177">
        <v>3174</v>
      </c>
      <c r="C3177">
        <v>146.094763489999</v>
      </c>
      <c r="D3177">
        <v>-17.6296925776</v>
      </c>
      <c r="E3177" s="92" t="str">
        <f t="shared" si="2"/>
        <v/>
      </c>
      <c r="F3177" t="str">
        <f>HYPERLINK("D:\Data From Lucan\2024\Moresby\Frames_for_Analysis/3174_20240611_0010_R_1083.jpg","3174_20240611_0010_R_1083.jpg")</f>
        <v>3174_20240611_0010_R_1083.jpg</v>
      </c>
      <c r="G3177" s="92" t="s">
        <v>4751</v>
      </c>
      <c r="I3177">
        <v>2</v>
      </c>
      <c r="K3177" s="97">
        <v>1</v>
      </c>
      <c r="L3177" s="31"/>
      <c r="M3177" s="31"/>
      <c r="N3177" s="31"/>
      <c r="O3177" s="31"/>
      <c r="P3177" s="57">
        <v>1</v>
      </c>
      <c r="Q3177" s="57">
        <v>0</v>
      </c>
      <c r="R3177" s="57">
        <v>0</v>
      </c>
      <c r="S3177" s="97">
        <v>0</v>
      </c>
      <c r="T3177" s="57">
        <v>0</v>
      </c>
      <c r="U3177" s="57">
        <v>0</v>
      </c>
      <c r="V3177" s="57">
        <v>0</v>
      </c>
      <c r="W3177" s="57">
        <v>0</v>
      </c>
      <c r="X3177" s="97">
        <v>0</v>
      </c>
    </row>
    <row r="3178" spans="1:24" x14ac:dyDescent="0.35">
      <c r="A3178">
        <v>3174</v>
      </c>
      <c r="B3178">
        <v>3175</v>
      </c>
      <c r="C3178">
        <v>146.094677689999</v>
      </c>
      <c r="D3178">
        <v>-17.629667216600001</v>
      </c>
      <c r="E3178" s="92">
        <f t="shared" si="2"/>
        <v>50</v>
      </c>
      <c r="F3178" t="str">
        <f>HYPERLINK("D:\Data From Lucan\2024\Moresby\Frames_for_Analysis/3175_20240611_0010_R_1080.jpg","3175_20240611_0010_R_1080.jpg")</f>
        <v>3175_20240611_0010_R_1080.jpg</v>
      </c>
      <c r="G3178" s="92" t="s">
        <v>4752</v>
      </c>
      <c r="I3178">
        <v>2</v>
      </c>
      <c r="K3178" s="97">
        <v>1</v>
      </c>
      <c r="L3178" s="31"/>
      <c r="M3178" s="31"/>
      <c r="N3178" s="31"/>
      <c r="O3178" s="31"/>
      <c r="P3178" s="57">
        <v>1</v>
      </c>
      <c r="Q3178" s="57">
        <v>0</v>
      </c>
      <c r="R3178" s="57">
        <v>0</v>
      </c>
      <c r="S3178" s="97">
        <v>0</v>
      </c>
      <c r="T3178" s="57">
        <v>0</v>
      </c>
      <c r="U3178" s="57">
        <v>0</v>
      </c>
      <c r="V3178" s="57">
        <v>0</v>
      </c>
      <c r="W3178" s="57">
        <v>0</v>
      </c>
      <c r="X3178" s="97">
        <v>0</v>
      </c>
    </row>
    <row r="3179" spans="1:24" x14ac:dyDescent="0.35">
      <c r="A3179">
        <v>3175</v>
      </c>
      <c r="B3179">
        <v>3176</v>
      </c>
      <c r="C3179">
        <v>146.09459189</v>
      </c>
      <c r="D3179">
        <v>-17.629641855500001</v>
      </c>
      <c r="E3179" s="92" t="str">
        <f t="shared" si="2"/>
        <v/>
      </c>
      <c r="F3179" t="str">
        <f>HYPERLINK("D:\Data From Lucan\2024\Moresby\Frames_for_Analysis/3176_20240611_0010_R_1077.jpg","3176_20240611_0010_R_1077.jpg")</f>
        <v>3176_20240611_0010_R_1077.jpg</v>
      </c>
      <c r="G3179" s="92" t="s">
        <v>4753</v>
      </c>
      <c r="I3179">
        <v>2</v>
      </c>
      <c r="K3179" s="97">
        <v>1</v>
      </c>
      <c r="L3179" s="31"/>
      <c r="M3179" s="31"/>
      <c r="N3179" s="31"/>
      <c r="O3179" s="31"/>
      <c r="P3179" s="57">
        <v>1</v>
      </c>
      <c r="Q3179" s="57">
        <v>0</v>
      </c>
      <c r="R3179" s="57">
        <v>0</v>
      </c>
      <c r="S3179" s="97">
        <v>0</v>
      </c>
      <c r="T3179" s="57">
        <v>0</v>
      </c>
      <c r="U3179" s="57">
        <v>0</v>
      </c>
      <c r="V3179" s="57">
        <v>0</v>
      </c>
      <c r="W3179" s="57">
        <v>0</v>
      </c>
      <c r="X3179" s="97">
        <v>0</v>
      </c>
    </row>
    <row r="3180" spans="1:24" x14ac:dyDescent="0.35">
      <c r="A3180">
        <v>3176</v>
      </c>
      <c r="B3180">
        <v>3177</v>
      </c>
      <c r="C3180">
        <v>146.094506091</v>
      </c>
      <c r="D3180">
        <v>-17.629616494499899</v>
      </c>
      <c r="E3180" s="92" t="str">
        <f t="shared" si="2"/>
        <v/>
      </c>
      <c r="F3180" t="str">
        <f>HYPERLINK("D:\Data From Lucan\2024\Moresby\Frames_for_Analysis/3177_20240611_0010_R_1075.jpg","3177_20240611_0010_R_1075.jpg")</f>
        <v>3177_20240611_0010_R_1075.jpg</v>
      </c>
      <c r="G3180" s="92" t="s">
        <v>4754</v>
      </c>
      <c r="I3180">
        <v>2</v>
      </c>
      <c r="K3180" s="97">
        <v>1</v>
      </c>
      <c r="L3180" s="31"/>
      <c r="M3180" s="31"/>
      <c r="N3180" s="31"/>
      <c r="O3180" s="31"/>
      <c r="P3180" s="57">
        <v>1</v>
      </c>
      <c r="Q3180" s="57">
        <v>0</v>
      </c>
      <c r="R3180" s="57">
        <v>0</v>
      </c>
      <c r="S3180" s="97">
        <v>0</v>
      </c>
      <c r="T3180" s="57">
        <v>0</v>
      </c>
      <c r="U3180" s="57">
        <v>0</v>
      </c>
      <c r="V3180" s="57">
        <v>0</v>
      </c>
      <c r="W3180" s="57">
        <v>0</v>
      </c>
      <c r="X3180" s="97">
        <v>0</v>
      </c>
    </row>
    <row r="3181" spans="1:24" x14ac:dyDescent="0.35">
      <c r="A3181">
        <v>3177</v>
      </c>
      <c r="B3181">
        <v>3178</v>
      </c>
      <c r="C3181">
        <v>146.09442029100001</v>
      </c>
      <c r="D3181">
        <v>-17.629591133400002</v>
      </c>
      <c r="E3181" s="92" t="str">
        <f t="shared" si="2"/>
        <v/>
      </c>
      <c r="F3181" t="str">
        <f>HYPERLINK("D:\Data From Lucan\2024\Moresby\Frames_for_Analysis/3178_20240611_0010_R_1072.jpg","3178_20240611_0010_R_1072.jpg")</f>
        <v>3178_20240611_0010_R_1072.jpg</v>
      </c>
      <c r="G3181" s="92" t="s">
        <v>4755</v>
      </c>
      <c r="I3181">
        <v>2</v>
      </c>
      <c r="K3181" s="97">
        <v>1</v>
      </c>
      <c r="L3181" s="31"/>
      <c r="M3181" s="31"/>
      <c r="N3181" s="31"/>
      <c r="O3181" s="31"/>
      <c r="P3181" s="57">
        <v>1</v>
      </c>
      <c r="Q3181" s="57">
        <v>0</v>
      </c>
      <c r="R3181" s="57">
        <v>0</v>
      </c>
      <c r="S3181" s="97">
        <v>0</v>
      </c>
      <c r="T3181" s="57">
        <v>0</v>
      </c>
      <c r="U3181" s="57">
        <v>0</v>
      </c>
      <c r="V3181" s="57">
        <v>0</v>
      </c>
      <c r="W3181" s="57">
        <v>0</v>
      </c>
      <c r="X3181" s="97">
        <v>0</v>
      </c>
    </row>
    <row r="3182" spans="1:24" x14ac:dyDescent="0.35">
      <c r="A3182">
        <v>3178</v>
      </c>
      <c r="B3182">
        <v>3179</v>
      </c>
      <c r="C3182">
        <v>146.094334492</v>
      </c>
      <c r="D3182">
        <v>-17.629565772300001</v>
      </c>
      <c r="E3182" s="92" t="str">
        <f t="shared" si="2"/>
        <v/>
      </c>
      <c r="F3182" t="str">
        <f>HYPERLINK("D:\Data From Lucan\2024\Moresby\Frames_for_Analysis/3179_20240611_0010_R_1070.jpg","3179_20240611_0010_R_1070.jpg")</f>
        <v>3179_20240611_0010_R_1070.jpg</v>
      </c>
      <c r="G3182" s="92" t="s">
        <v>4756</v>
      </c>
      <c r="I3182">
        <v>2</v>
      </c>
      <c r="K3182" s="97">
        <v>1</v>
      </c>
      <c r="L3182" s="31"/>
      <c r="M3182" s="31"/>
      <c r="N3182" s="31"/>
      <c r="O3182" s="31"/>
      <c r="P3182" s="57">
        <v>1</v>
      </c>
      <c r="Q3182" s="57">
        <v>0</v>
      </c>
      <c r="R3182" s="57">
        <v>0</v>
      </c>
      <c r="S3182" s="97">
        <v>0</v>
      </c>
      <c r="T3182" s="57">
        <v>0</v>
      </c>
      <c r="U3182" s="57">
        <v>0</v>
      </c>
      <c r="V3182" s="57">
        <v>0</v>
      </c>
      <c r="W3182" s="57">
        <v>0</v>
      </c>
      <c r="X3182" s="97">
        <v>0</v>
      </c>
    </row>
    <row r="3183" spans="1:24" x14ac:dyDescent="0.35">
      <c r="A3183">
        <v>3179</v>
      </c>
      <c r="B3183">
        <v>3180</v>
      </c>
      <c r="C3183">
        <v>146.09424869200001</v>
      </c>
      <c r="D3183">
        <v>-17.629540411299899</v>
      </c>
      <c r="E3183" s="92">
        <f t="shared" si="2"/>
        <v>50</v>
      </c>
      <c r="F3183" t="str">
        <f>HYPERLINK("D:\Data From Lucan\2024\Moresby\Frames_for_Analysis/3180_20240611_0010_R_1067.jpg","3180_20240611_0010_R_1067.jpg")</f>
        <v>3180_20240611_0010_R_1067.jpg</v>
      </c>
      <c r="G3183" s="92" t="s">
        <v>4757</v>
      </c>
      <c r="I3183">
        <v>2</v>
      </c>
      <c r="K3183" s="97">
        <v>1</v>
      </c>
      <c r="L3183" s="31"/>
      <c r="M3183" s="31"/>
      <c r="N3183" s="31"/>
      <c r="O3183" s="31"/>
      <c r="P3183" s="57">
        <v>1</v>
      </c>
      <c r="Q3183" s="57">
        <v>0</v>
      </c>
      <c r="R3183" s="57">
        <v>0</v>
      </c>
      <c r="S3183" s="97">
        <v>0</v>
      </c>
      <c r="T3183" s="57">
        <v>0</v>
      </c>
      <c r="U3183" s="57">
        <v>0</v>
      </c>
      <c r="V3183" s="57">
        <v>0</v>
      </c>
      <c r="W3183" s="57">
        <v>0</v>
      </c>
      <c r="X3183" s="97">
        <v>0</v>
      </c>
    </row>
    <row r="3184" spans="1:24" x14ac:dyDescent="0.35">
      <c r="A3184">
        <v>3180</v>
      </c>
      <c r="B3184">
        <v>3181</v>
      </c>
      <c r="C3184">
        <v>146.094162893</v>
      </c>
      <c r="D3184">
        <v>-17.629515050199899</v>
      </c>
      <c r="E3184" s="92" t="str">
        <f t="shared" si="2"/>
        <v/>
      </c>
      <c r="F3184" t="str">
        <f>HYPERLINK("D:\Data From Lucan\2024\Moresby\Frames_for_Analysis/3181_20240611_0010_R_1065.jpg","3181_20240611_0010_R_1065.jpg")</f>
        <v>3181_20240611_0010_R_1065.jpg</v>
      </c>
      <c r="G3184" s="92" t="s">
        <v>4758</v>
      </c>
      <c r="I3184">
        <v>2</v>
      </c>
      <c r="K3184" s="97">
        <v>1</v>
      </c>
      <c r="L3184" s="31"/>
      <c r="M3184" s="31"/>
      <c r="N3184" s="31"/>
      <c r="O3184" s="31"/>
      <c r="P3184" s="57">
        <v>1</v>
      </c>
      <c r="Q3184" s="57">
        <v>0</v>
      </c>
      <c r="R3184" s="57">
        <v>0</v>
      </c>
      <c r="S3184" s="97">
        <v>0</v>
      </c>
      <c r="T3184" s="57">
        <v>0</v>
      </c>
      <c r="U3184" s="57">
        <v>0</v>
      </c>
      <c r="V3184" s="57">
        <v>0</v>
      </c>
      <c r="W3184" s="57">
        <v>0</v>
      </c>
      <c r="X3184" s="97">
        <v>0</v>
      </c>
    </row>
    <row r="3185" spans="1:24" x14ac:dyDescent="0.35">
      <c r="A3185">
        <v>3181</v>
      </c>
      <c r="B3185">
        <v>3182</v>
      </c>
      <c r="C3185">
        <v>146.09407709300001</v>
      </c>
      <c r="D3185">
        <v>-17.629489689100001</v>
      </c>
      <c r="E3185" s="92" t="str">
        <f t="shared" si="2"/>
        <v/>
      </c>
      <c r="F3185" t="str">
        <f>HYPERLINK("D:\Data From Lucan\2024\Moresby\Frames_for_Analysis/3182_20240611_0010_R_1062.jpg","3182_20240611_0010_R_1062.jpg")</f>
        <v>3182_20240611_0010_R_1062.jpg</v>
      </c>
      <c r="G3185" s="92" t="s">
        <v>4759</v>
      </c>
      <c r="I3185">
        <v>2</v>
      </c>
      <c r="K3185" s="97">
        <v>1</v>
      </c>
      <c r="L3185" s="31"/>
      <c r="M3185" s="31"/>
      <c r="N3185" s="31"/>
      <c r="O3185" s="31"/>
      <c r="P3185" s="57">
        <v>1</v>
      </c>
      <c r="Q3185" s="57">
        <v>0</v>
      </c>
      <c r="R3185" s="57">
        <v>0</v>
      </c>
      <c r="S3185" s="97">
        <v>0</v>
      </c>
      <c r="T3185" s="57">
        <v>0</v>
      </c>
      <c r="U3185" s="57">
        <v>0</v>
      </c>
      <c r="V3185" s="57">
        <v>0</v>
      </c>
      <c r="W3185" s="57">
        <v>0</v>
      </c>
      <c r="X3185" s="97">
        <v>0</v>
      </c>
    </row>
    <row r="3186" spans="1:24" x14ac:dyDescent="0.35">
      <c r="A3186">
        <v>3182</v>
      </c>
      <c r="B3186">
        <v>3183</v>
      </c>
      <c r="C3186">
        <v>146.09399129299899</v>
      </c>
      <c r="D3186">
        <v>-17.629464328000001</v>
      </c>
      <c r="E3186" s="92" t="str">
        <f t="shared" si="2"/>
        <v/>
      </c>
      <c r="F3186" t="str">
        <f>HYPERLINK("D:\Data From Lucan\2024\Moresby\Frames_for_Analysis/3183_20240611_0010_R_1060.jpg","3183_20240611_0010_R_1060.jpg")</f>
        <v>3183_20240611_0010_R_1060.jpg</v>
      </c>
      <c r="G3186" s="92" t="s">
        <v>4760</v>
      </c>
      <c r="I3186">
        <v>2</v>
      </c>
      <c r="K3186" s="97">
        <v>1</v>
      </c>
      <c r="L3186" s="31"/>
      <c r="M3186" s="31"/>
      <c r="N3186" s="31"/>
      <c r="O3186" s="31"/>
      <c r="P3186" s="57">
        <v>1</v>
      </c>
      <c r="Q3186" s="57">
        <v>0</v>
      </c>
      <c r="R3186" s="57">
        <v>0</v>
      </c>
      <c r="S3186" s="97">
        <v>0</v>
      </c>
      <c r="T3186" s="57">
        <v>0</v>
      </c>
      <c r="U3186" s="57">
        <v>0</v>
      </c>
      <c r="V3186" s="57">
        <v>0</v>
      </c>
      <c r="W3186" s="57">
        <v>0</v>
      </c>
      <c r="X3186" s="97">
        <v>0</v>
      </c>
    </row>
    <row r="3187" spans="1:24" x14ac:dyDescent="0.35">
      <c r="A3187">
        <v>3183</v>
      </c>
      <c r="B3187">
        <v>3184</v>
      </c>
      <c r="C3187">
        <v>146.09390549400001</v>
      </c>
      <c r="D3187">
        <v>-17.629438966999899</v>
      </c>
      <c r="E3187" s="92" t="str">
        <f t="shared" si="2"/>
        <v/>
      </c>
      <c r="F3187" t="str">
        <f>HYPERLINK("D:\Data From Lucan\2024\Moresby\Frames_for_Analysis/3184_20240611_0010_R_1057.jpg","3184_20240611_0010_R_1057.jpg")</f>
        <v>3184_20240611_0010_R_1057.jpg</v>
      </c>
      <c r="G3187" s="92" t="s">
        <v>4761</v>
      </c>
      <c r="I3187">
        <v>2</v>
      </c>
      <c r="K3187" s="97">
        <v>1</v>
      </c>
      <c r="L3187" s="31"/>
      <c r="M3187" s="31"/>
      <c r="N3187" s="31"/>
      <c r="O3187" s="31"/>
      <c r="P3187" s="57">
        <v>1</v>
      </c>
      <c r="Q3187" s="57">
        <v>0</v>
      </c>
      <c r="R3187" s="57">
        <v>0</v>
      </c>
      <c r="S3187" s="97">
        <v>0</v>
      </c>
      <c r="T3187" s="57">
        <v>0</v>
      </c>
      <c r="U3187" s="57">
        <v>0</v>
      </c>
      <c r="V3187" s="57">
        <v>0</v>
      </c>
      <c r="W3187" s="57">
        <v>0</v>
      </c>
      <c r="X3187" s="97">
        <v>0</v>
      </c>
    </row>
    <row r="3188" spans="1:24" x14ac:dyDescent="0.35">
      <c r="A3188">
        <v>3184</v>
      </c>
      <c r="B3188">
        <v>3185</v>
      </c>
      <c r="C3188">
        <v>146.093820289999</v>
      </c>
      <c r="D3188">
        <v>-17.629411852299899</v>
      </c>
      <c r="E3188" s="92">
        <f t="shared" si="2"/>
        <v>50</v>
      </c>
      <c r="F3188" t="str">
        <f>HYPERLINK("D:\Data From Lucan\2024\Moresby\Frames_for_Analysis/3185_20240611_0010_R_1055.jpg","3185_20240611_0010_R_1055.jpg")</f>
        <v>3185_20240611_0010_R_1055.jpg</v>
      </c>
      <c r="G3188" s="92" t="s">
        <v>4762</v>
      </c>
      <c r="I3188">
        <v>2</v>
      </c>
      <c r="K3188" s="97">
        <v>1</v>
      </c>
      <c r="L3188" s="31"/>
      <c r="M3188" s="31"/>
      <c r="N3188" s="31"/>
      <c r="O3188" s="31"/>
      <c r="P3188" s="57">
        <v>1</v>
      </c>
      <c r="Q3188" s="57">
        <v>0</v>
      </c>
      <c r="R3188" s="57">
        <v>0</v>
      </c>
      <c r="S3188" s="97">
        <v>0</v>
      </c>
      <c r="T3188" s="57">
        <v>0</v>
      </c>
      <c r="U3188" s="57">
        <v>0</v>
      </c>
      <c r="V3188" s="57">
        <v>0</v>
      </c>
      <c r="W3188" s="57">
        <v>0</v>
      </c>
      <c r="X3188" s="97">
        <v>0</v>
      </c>
    </row>
    <row r="3189" spans="1:24" x14ac:dyDescent="0.35">
      <c r="A3189">
        <v>3185</v>
      </c>
      <c r="B3189">
        <v>3186</v>
      </c>
      <c r="C3189">
        <v>146.093735159999</v>
      </c>
      <c r="D3189">
        <v>-17.629384517799899</v>
      </c>
      <c r="E3189" s="92" t="str">
        <f t="shared" si="2"/>
        <v/>
      </c>
      <c r="F3189" t="str">
        <f>HYPERLINK("D:\Data From Lucan\2024\Moresby\Frames_for_Analysis/3186_20240611_0010_R_1052.jpg","3186_20240611_0010_R_1052.jpg")</f>
        <v>3186_20240611_0010_R_1052.jpg</v>
      </c>
      <c r="G3189" s="92" t="s">
        <v>4763</v>
      </c>
      <c r="I3189">
        <v>2</v>
      </c>
      <c r="K3189" s="97">
        <v>1</v>
      </c>
      <c r="L3189" s="31"/>
      <c r="M3189" s="31"/>
      <c r="N3189" s="31"/>
      <c r="O3189" s="31"/>
      <c r="P3189" s="57">
        <v>1</v>
      </c>
      <c r="Q3189" s="57">
        <v>0</v>
      </c>
      <c r="R3189" s="57">
        <v>0</v>
      </c>
      <c r="S3189" s="97">
        <v>0</v>
      </c>
      <c r="T3189" s="57">
        <v>0</v>
      </c>
      <c r="U3189" s="57">
        <v>0</v>
      </c>
      <c r="V3189" s="57">
        <v>0</v>
      </c>
      <c r="W3189" s="57">
        <v>0</v>
      </c>
      <c r="X3189" s="97">
        <v>0</v>
      </c>
    </row>
    <row r="3190" spans="1:24" x14ac:dyDescent="0.35">
      <c r="A3190">
        <v>3186</v>
      </c>
      <c r="B3190">
        <v>3187</v>
      </c>
      <c r="C3190">
        <v>146.093650029999</v>
      </c>
      <c r="D3190">
        <v>-17.629357183300002</v>
      </c>
      <c r="E3190" s="92" t="str">
        <f t="shared" si="2"/>
        <v/>
      </c>
      <c r="F3190" t="str">
        <f>HYPERLINK("D:\Data From Lucan\2024\Moresby\Frames_for_Analysis/3187_20240611_0010_R_1050.jpg","3187_20240611_0010_R_1050.jpg")</f>
        <v>3187_20240611_0010_R_1050.jpg</v>
      </c>
      <c r="G3190" s="92" t="s">
        <v>4764</v>
      </c>
      <c r="I3190">
        <v>2</v>
      </c>
      <c r="K3190" s="97">
        <v>1</v>
      </c>
      <c r="L3190" s="31"/>
      <c r="M3190" s="31"/>
      <c r="N3190" s="31"/>
      <c r="O3190" s="31"/>
      <c r="P3190" s="57">
        <v>1</v>
      </c>
      <c r="Q3190" s="57">
        <v>0</v>
      </c>
      <c r="R3190" s="57">
        <v>0</v>
      </c>
      <c r="S3190" s="97">
        <v>0</v>
      </c>
      <c r="T3190" s="57">
        <v>0</v>
      </c>
      <c r="U3190" s="57">
        <v>0</v>
      </c>
      <c r="V3190" s="57">
        <v>0</v>
      </c>
      <c r="W3190" s="57">
        <v>0</v>
      </c>
      <c r="X3190" s="97">
        <v>0</v>
      </c>
    </row>
    <row r="3191" spans="1:24" x14ac:dyDescent="0.35">
      <c r="A3191">
        <v>3187</v>
      </c>
      <c r="B3191">
        <v>3188</v>
      </c>
      <c r="C3191">
        <v>146.093564899999</v>
      </c>
      <c r="D3191">
        <v>-17.629329848800001</v>
      </c>
      <c r="E3191" s="92" t="str">
        <f t="shared" si="2"/>
        <v/>
      </c>
      <c r="F3191" t="str">
        <f>HYPERLINK("D:\Data From Lucan\2024\Moresby\Frames_for_Analysis/3188_20240611_0010_R_1047.jpg","3188_20240611_0010_R_1047.jpg")</f>
        <v>3188_20240611_0010_R_1047.jpg</v>
      </c>
      <c r="G3191" s="92" t="s">
        <v>4765</v>
      </c>
      <c r="I3191">
        <v>2</v>
      </c>
      <c r="K3191" s="97">
        <v>1</v>
      </c>
      <c r="L3191" s="31"/>
      <c r="M3191" s="31"/>
      <c r="N3191" s="31"/>
      <c r="O3191" s="31"/>
      <c r="P3191" s="57">
        <v>1</v>
      </c>
      <c r="Q3191" s="57">
        <v>0</v>
      </c>
      <c r="R3191" s="57">
        <v>0</v>
      </c>
      <c r="S3191" s="97">
        <v>0</v>
      </c>
      <c r="T3191" s="57">
        <v>0</v>
      </c>
      <c r="U3191" s="57">
        <v>0</v>
      </c>
      <c r="V3191" s="57">
        <v>0</v>
      </c>
      <c r="W3191" s="57">
        <v>0</v>
      </c>
      <c r="X3191" s="97">
        <v>0</v>
      </c>
    </row>
    <row r="3192" spans="1:24" x14ac:dyDescent="0.35">
      <c r="A3192">
        <v>3188</v>
      </c>
      <c r="B3192">
        <v>3189</v>
      </c>
      <c r="C3192">
        <v>146.09347977100001</v>
      </c>
      <c r="D3192">
        <v>-17.629302514300001</v>
      </c>
      <c r="E3192" s="92" t="str">
        <f t="shared" si="2"/>
        <v/>
      </c>
      <c r="F3192" t="str">
        <f>HYPERLINK("D:\Data From Lucan\2024\Moresby\Frames_for_Analysis/3189_20240611_0010_R_1044.jpg","3189_20240611_0010_R_1044.jpg")</f>
        <v>3189_20240611_0010_R_1044.jpg</v>
      </c>
      <c r="G3192" s="92" t="s">
        <v>4766</v>
      </c>
      <c r="I3192">
        <v>2</v>
      </c>
      <c r="K3192" s="97">
        <v>1</v>
      </c>
      <c r="L3192" s="31"/>
      <c r="M3192" s="31"/>
      <c r="N3192" s="31"/>
      <c r="O3192" s="31"/>
      <c r="P3192" s="57">
        <v>1</v>
      </c>
      <c r="Q3192" s="57">
        <v>0</v>
      </c>
      <c r="R3192" s="57">
        <v>0</v>
      </c>
      <c r="S3192" s="97">
        <v>0</v>
      </c>
      <c r="T3192" s="57">
        <v>0</v>
      </c>
      <c r="U3192" s="57">
        <v>0</v>
      </c>
      <c r="V3192" s="57">
        <v>0</v>
      </c>
      <c r="W3192" s="57">
        <v>0</v>
      </c>
      <c r="X3192" s="97">
        <v>0</v>
      </c>
    </row>
    <row r="3193" spans="1:24" x14ac:dyDescent="0.35">
      <c r="A3193">
        <v>3189</v>
      </c>
      <c r="B3193">
        <v>3190</v>
      </c>
      <c r="C3193">
        <v>146.093394641</v>
      </c>
      <c r="D3193">
        <v>-17.6292751798</v>
      </c>
      <c r="E3193" s="92">
        <f t="shared" si="2"/>
        <v>50</v>
      </c>
      <c r="F3193" t="str">
        <f>HYPERLINK("D:\Data From Lucan\2024\Moresby\Frames_for_Analysis/3190_20240611_0010_R_1042.jpg","3190_20240611_0010_R_1042.jpg")</f>
        <v>3190_20240611_0010_R_1042.jpg</v>
      </c>
      <c r="G3193" s="92" t="s">
        <v>4767</v>
      </c>
      <c r="I3193">
        <v>2</v>
      </c>
      <c r="K3193" s="97">
        <v>1</v>
      </c>
      <c r="L3193" s="31"/>
      <c r="M3193" s="31"/>
      <c r="N3193" s="31"/>
      <c r="O3193" s="31"/>
      <c r="P3193" s="57">
        <v>1</v>
      </c>
      <c r="Q3193" s="57">
        <v>0</v>
      </c>
      <c r="R3193" s="57">
        <v>0</v>
      </c>
      <c r="S3193" s="97">
        <v>0</v>
      </c>
      <c r="T3193" s="57">
        <v>0</v>
      </c>
      <c r="U3193" s="57">
        <v>0</v>
      </c>
      <c r="V3193" s="57">
        <v>0</v>
      </c>
      <c r="W3193" s="57">
        <v>0</v>
      </c>
      <c r="X3193" s="97">
        <v>0</v>
      </c>
    </row>
    <row r="3194" spans="1:24" x14ac:dyDescent="0.35">
      <c r="A3194">
        <v>3190</v>
      </c>
      <c r="B3194">
        <v>3191</v>
      </c>
      <c r="C3194">
        <v>146.093309511</v>
      </c>
      <c r="D3194">
        <v>-17.6292478453</v>
      </c>
      <c r="E3194" s="92" t="str">
        <f t="shared" si="2"/>
        <v/>
      </c>
      <c r="F3194" t="str">
        <f>HYPERLINK("D:\Data From Lucan\2024\Moresby\Frames_for_Analysis/3191_20240611_0010_R_1039.jpg","3191_20240611_0010_R_1039.jpg")</f>
        <v>3191_20240611_0010_R_1039.jpg</v>
      </c>
      <c r="G3194" s="92" t="s">
        <v>4768</v>
      </c>
      <c r="I3194">
        <v>2</v>
      </c>
      <c r="K3194" s="97">
        <v>1</v>
      </c>
      <c r="L3194" s="31"/>
      <c r="M3194" s="31"/>
      <c r="N3194" s="31"/>
      <c r="O3194" s="31"/>
      <c r="P3194" s="57">
        <v>1</v>
      </c>
      <c r="Q3194" s="57">
        <v>0</v>
      </c>
      <c r="R3194" s="57">
        <v>0</v>
      </c>
      <c r="S3194" s="97">
        <v>0</v>
      </c>
      <c r="T3194" s="57">
        <v>0</v>
      </c>
      <c r="U3194" s="57">
        <v>0</v>
      </c>
      <c r="V3194" s="57">
        <v>0</v>
      </c>
      <c r="W3194" s="57">
        <v>0</v>
      </c>
      <c r="X3194" s="97">
        <v>0</v>
      </c>
    </row>
    <row r="3195" spans="1:24" x14ac:dyDescent="0.35">
      <c r="A3195">
        <v>3191</v>
      </c>
      <c r="B3195">
        <v>3192</v>
      </c>
      <c r="C3195">
        <v>146.093224380999</v>
      </c>
      <c r="D3195">
        <v>-17.629220510700002</v>
      </c>
      <c r="E3195" s="92" t="str">
        <f t="shared" si="2"/>
        <v/>
      </c>
      <c r="F3195" t="str">
        <f>HYPERLINK("D:\Data From Lucan\2024\Moresby\Frames_for_Analysis/3192_20240611_0010_R_1036.jpg","3192_20240611_0010_R_1036.jpg")</f>
        <v>3192_20240611_0010_R_1036.jpg</v>
      </c>
      <c r="G3195" s="92" t="s">
        <v>4769</v>
      </c>
      <c r="I3195">
        <v>2</v>
      </c>
      <c r="K3195" s="97">
        <v>1</v>
      </c>
      <c r="L3195" s="31"/>
      <c r="M3195" s="31"/>
      <c r="N3195" s="31"/>
      <c r="O3195" s="31"/>
      <c r="P3195" s="57">
        <v>1</v>
      </c>
      <c r="Q3195" s="57">
        <v>0</v>
      </c>
      <c r="R3195" s="57">
        <v>0</v>
      </c>
      <c r="S3195" s="97">
        <v>0</v>
      </c>
      <c r="T3195" s="57">
        <v>0</v>
      </c>
      <c r="U3195" s="57">
        <v>0</v>
      </c>
      <c r="V3195" s="57">
        <v>0</v>
      </c>
      <c r="W3195" s="57">
        <v>0</v>
      </c>
      <c r="X3195" s="97">
        <v>0</v>
      </c>
    </row>
    <row r="3196" spans="1:24" x14ac:dyDescent="0.35">
      <c r="A3196">
        <v>3192</v>
      </c>
      <c r="B3196">
        <v>3193</v>
      </c>
      <c r="C3196">
        <v>146.09313925199899</v>
      </c>
      <c r="D3196">
        <v>-17.629193176200001</v>
      </c>
      <c r="E3196" s="92" t="str">
        <f t="shared" si="2"/>
        <v/>
      </c>
      <c r="F3196" t="str">
        <f>HYPERLINK("D:\Data From Lucan\2024\Moresby\Frames_for_Analysis/3193_20240611_0010_R_1034.jpg","3193_20240611_0010_R_1034.jpg")</f>
        <v>3193_20240611_0010_R_1034.jpg</v>
      </c>
      <c r="G3196" s="92" t="s">
        <v>4770</v>
      </c>
      <c r="I3196">
        <v>2</v>
      </c>
      <c r="K3196" s="97">
        <v>1</v>
      </c>
      <c r="L3196" s="31"/>
      <c r="M3196" s="31"/>
      <c r="N3196" s="31"/>
      <c r="O3196" s="31"/>
      <c r="P3196" s="57">
        <v>1</v>
      </c>
      <c r="Q3196" s="57">
        <v>0</v>
      </c>
      <c r="R3196" s="57">
        <v>0</v>
      </c>
      <c r="S3196" s="97">
        <v>0</v>
      </c>
      <c r="T3196" s="57">
        <v>0</v>
      </c>
      <c r="U3196" s="57">
        <v>0</v>
      </c>
      <c r="V3196" s="57">
        <v>0</v>
      </c>
      <c r="W3196" s="57">
        <v>0</v>
      </c>
      <c r="X3196" s="97">
        <v>0</v>
      </c>
    </row>
    <row r="3197" spans="1:24" x14ac:dyDescent="0.35">
      <c r="A3197">
        <v>3193</v>
      </c>
      <c r="B3197">
        <v>3194</v>
      </c>
      <c r="C3197">
        <v>146.09305412200001</v>
      </c>
      <c r="D3197">
        <v>-17.629165841700001</v>
      </c>
      <c r="E3197" s="92" t="str">
        <f t="shared" si="2"/>
        <v/>
      </c>
      <c r="F3197" t="str">
        <f>HYPERLINK("D:\Data From Lucan\2024\Moresby\Frames_for_Analysis/3194_20240611_0010_R_1031.jpg","3194_20240611_0010_R_1031.jpg")</f>
        <v>3194_20240611_0010_R_1031.jpg</v>
      </c>
      <c r="G3197" s="92" t="s">
        <v>4771</v>
      </c>
      <c r="I3197">
        <v>2</v>
      </c>
      <c r="K3197" s="97">
        <v>1</v>
      </c>
      <c r="L3197" s="31" t="s">
        <v>3959</v>
      </c>
      <c r="M3197" s="31" t="s">
        <v>3959</v>
      </c>
      <c r="N3197" s="31" t="s">
        <v>3959</v>
      </c>
      <c r="O3197" s="31" t="s">
        <v>3959</v>
      </c>
      <c r="P3197" s="57">
        <v>1</v>
      </c>
      <c r="Q3197" s="57">
        <v>0</v>
      </c>
      <c r="R3197" s="57">
        <v>0</v>
      </c>
      <c r="S3197" s="97">
        <v>0</v>
      </c>
      <c r="T3197" s="57">
        <v>0</v>
      </c>
      <c r="U3197" s="57">
        <v>0</v>
      </c>
      <c r="V3197" s="57">
        <v>0</v>
      </c>
      <c r="W3197" s="57">
        <v>0</v>
      </c>
      <c r="X3197" s="97">
        <v>0</v>
      </c>
    </row>
    <row r="3198" spans="1:24" x14ac:dyDescent="0.35">
      <c r="A3198">
        <v>3194</v>
      </c>
      <c r="B3198">
        <v>3195</v>
      </c>
      <c r="C3198">
        <v>146.09296899200001</v>
      </c>
      <c r="D3198">
        <v>-17.6291385072</v>
      </c>
      <c r="E3198" s="92">
        <f t="shared" si="2"/>
        <v>50</v>
      </c>
      <c r="F3198" t="str">
        <f>HYPERLINK("D:\Data From Lucan\2024\Moresby\Frames_for_Analysis/3195_20240611_0010_R_1029.jpg","3195_20240611_0010_R_1029.jpg")</f>
        <v>3195_20240611_0010_R_1029.jpg</v>
      </c>
      <c r="G3198" s="92" t="s">
        <v>4772</v>
      </c>
      <c r="I3198">
        <v>2</v>
      </c>
      <c r="K3198" s="97">
        <v>1</v>
      </c>
      <c r="L3198" s="31" t="s">
        <v>3959</v>
      </c>
      <c r="M3198" s="31" t="s">
        <v>3959</v>
      </c>
      <c r="N3198" s="31" t="s">
        <v>3959</v>
      </c>
      <c r="O3198" s="31" t="s">
        <v>3959</v>
      </c>
      <c r="P3198" s="57">
        <v>1</v>
      </c>
      <c r="Q3198" s="57">
        <v>0</v>
      </c>
      <c r="R3198" s="57">
        <v>0</v>
      </c>
      <c r="S3198" s="97">
        <v>0</v>
      </c>
      <c r="T3198" s="57">
        <v>0</v>
      </c>
      <c r="U3198" s="57">
        <v>0</v>
      </c>
      <c r="V3198" s="57">
        <v>0</v>
      </c>
      <c r="W3198" s="57">
        <v>0</v>
      </c>
      <c r="X3198" s="97">
        <v>0</v>
      </c>
    </row>
    <row r="3199" spans="1:24" x14ac:dyDescent="0.35">
      <c r="A3199">
        <v>3195</v>
      </c>
      <c r="B3199">
        <v>3196</v>
      </c>
      <c r="C3199">
        <v>146.092883185999</v>
      </c>
      <c r="D3199">
        <v>-17.629113323399899</v>
      </c>
      <c r="E3199" s="92" t="str">
        <f t="shared" si="2"/>
        <v/>
      </c>
      <c r="F3199" t="str">
        <f>HYPERLINK("D:\Data From Lucan\2024\Moresby\Frames_for_Analysis/3196_20240611_0010_R_1026.jpg","3196_20240611_0010_R_1026.jpg")</f>
        <v>3196_20240611_0010_R_1026.jpg</v>
      </c>
      <c r="G3199" s="92" t="s">
        <v>4773</v>
      </c>
      <c r="I3199">
        <v>2</v>
      </c>
      <c r="K3199" s="97">
        <v>1</v>
      </c>
      <c r="L3199" s="31" t="s">
        <v>3959</v>
      </c>
      <c r="M3199" s="31" t="s">
        <v>3959</v>
      </c>
      <c r="N3199" s="31" t="s">
        <v>3959</v>
      </c>
      <c r="O3199" s="31" t="s">
        <v>3959</v>
      </c>
      <c r="P3199" s="57">
        <v>1</v>
      </c>
      <c r="Q3199" s="57">
        <v>0</v>
      </c>
      <c r="R3199" s="57">
        <v>0</v>
      </c>
      <c r="S3199" s="97">
        <v>0</v>
      </c>
      <c r="T3199" s="57">
        <v>0</v>
      </c>
      <c r="U3199" s="57">
        <v>0</v>
      </c>
      <c r="V3199" s="57">
        <v>0</v>
      </c>
      <c r="W3199" s="57">
        <v>0</v>
      </c>
      <c r="X3199" s="97">
        <v>0</v>
      </c>
    </row>
    <row r="3200" spans="1:24" x14ac:dyDescent="0.35">
      <c r="A3200">
        <v>3196</v>
      </c>
      <c r="B3200">
        <v>3197</v>
      </c>
      <c r="C3200">
        <v>146.092796316</v>
      </c>
      <c r="D3200">
        <v>-17.629091519700001</v>
      </c>
      <c r="E3200" s="92" t="str">
        <f t="shared" si="2"/>
        <v/>
      </c>
      <c r="F3200" t="str">
        <f>HYPERLINK("D:\Data From Lucan\2024\Moresby\Frames_for_Analysis/3197_20240611_0010_R_1023.jpg","3197_20240611_0010_R_1023.jpg")</f>
        <v>3197_20240611_0010_R_1023.jpg</v>
      </c>
      <c r="G3200" s="92" t="s">
        <v>4774</v>
      </c>
      <c r="I3200">
        <v>2</v>
      </c>
      <c r="K3200" s="97">
        <v>1</v>
      </c>
      <c r="L3200" s="31" t="s">
        <v>3959</v>
      </c>
      <c r="M3200" s="31" t="s">
        <v>3959</v>
      </c>
      <c r="N3200" s="31" t="s">
        <v>3959</v>
      </c>
      <c r="O3200" s="31" t="s">
        <v>3959</v>
      </c>
      <c r="P3200" s="57">
        <v>1</v>
      </c>
      <c r="Q3200" s="57">
        <v>0</v>
      </c>
      <c r="R3200" s="57">
        <v>0</v>
      </c>
      <c r="S3200" s="97">
        <v>0</v>
      </c>
      <c r="T3200" s="57">
        <v>0</v>
      </c>
      <c r="U3200" s="57">
        <v>0</v>
      </c>
      <c r="V3200" s="57">
        <v>0</v>
      </c>
      <c r="W3200" s="57">
        <v>0</v>
      </c>
      <c r="X3200" s="97">
        <v>0</v>
      </c>
    </row>
    <row r="3201" spans="1:24" x14ac:dyDescent="0.35">
      <c r="A3201">
        <v>3197</v>
      </c>
      <c r="B3201">
        <v>3198</v>
      </c>
      <c r="C3201">
        <v>146.092709447</v>
      </c>
      <c r="D3201">
        <v>-17.629069716099899</v>
      </c>
      <c r="E3201" s="92" t="str">
        <f t="shared" si="2"/>
        <v/>
      </c>
      <c r="F3201" t="str">
        <f>HYPERLINK("D:\Data From Lucan\2024\Moresby\Frames_for_Analysis/3198_20240611_0010_R_1021.jpg","3198_20240611_0010_R_1021.jpg")</f>
        <v>3198_20240611_0010_R_1021.jpg</v>
      </c>
      <c r="G3201" s="92" t="s">
        <v>4775</v>
      </c>
      <c r="I3201">
        <v>2</v>
      </c>
      <c r="K3201" s="97">
        <v>1</v>
      </c>
      <c r="L3201" s="31" t="s">
        <v>3959</v>
      </c>
      <c r="M3201" s="31" t="s">
        <v>3959</v>
      </c>
      <c r="N3201" s="31" t="s">
        <v>3959</v>
      </c>
      <c r="O3201" s="31" t="s">
        <v>3959</v>
      </c>
      <c r="P3201" s="57">
        <v>1</v>
      </c>
      <c r="Q3201" s="57">
        <v>0</v>
      </c>
      <c r="R3201" s="57">
        <v>0</v>
      </c>
      <c r="S3201" s="97">
        <v>0</v>
      </c>
      <c r="T3201" s="57">
        <v>0</v>
      </c>
      <c r="U3201" s="57">
        <v>0</v>
      </c>
      <c r="V3201" s="57">
        <v>0</v>
      </c>
      <c r="W3201" s="57">
        <v>0</v>
      </c>
      <c r="X3201" s="97">
        <v>0</v>
      </c>
    </row>
    <row r="3202" spans="1:24" x14ac:dyDescent="0.35">
      <c r="A3202">
        <v>3198</v>
      </c>
      <c r="B3202">
        <v>3199</v>
      </c>
      <c r="C3202">
        <v>146.09262257699899</v>
      </c>
      <c r="D3202">
        <v>-17.629047912400001</v>
      </c>
      <c r="E3202" s="92" t="str">
        <f t="shared" si="2"/>
        <v/>
      </c>
      <c r="F3202" t="str">
        <f>HYPERLINK("D:\Data From Lucan\2024\Moresby\Frames_for_Analysis/3199_20240611_0010_R_1018.jpg","3199_20240611_0010_R_1018.jpg")</f>
        <v>3199_20240611_0010_R_1018.jpg</v>
      </c>
      <c r="G3202" s="92" t="s">
        <v>4776</v>
      </c>
      <c r="I3202">
        <v>2</v>
      </c>
      <c r="K3202" s="97">
        <v>1</v>
      </c>
      <c r="L3202" s="31" t="s">
        <v>3959</v>
      </c>
      <c r="M3202" s="31" t="s">
        <v>3959</v>
      </c>
      <c r="N3202" s="31" t="s">
        <v>3959</v>
      </c>
      <c r="O3202" s="31" t="s">
        <v>3959</v>
      </c>
      <c r="P3202" s="57">
        <v>1</v>
      </c>
      <c r="Q3202" s="57">
        <v>0</v>
      </c>
      <c r="R3202" s="57">
        <v>0</v>
      </c>
      <c r="S3202" s="97">
        <v>0</v>
      </c>
      <c r="T3202" s="57">
        <v>0</v>
      </c>
      <c r="U3202" s="57">
        <v>0</v>
      </c>
      <c r="V3202" s="57">
        <v>0</v>
      </c>
      <c r="W3202" s="57">
        <v>0</v>
      </c>
      <c r="X3202" s="97">
        <v>0</v>
      </c>
    </row>
    <row r="3203" spans="1:24" x14ac:dyDescent="0.35">
      <c r="A3203">
        <v>3199</v>
      </c>
      <c r="B3203">
        <v>3200</v>
      </c>
      <c r="C3203">
        <v>146.09253570800001</v>
      </c>
      <c r="D3203">
        <v>-17.6290261087</v>
      </c>
      <c r="E3203" s="92">
        <f t="shared" si="2"/>
        <v>50</v>
      </c>
      <c r="F3203" t="str">
        <f>HYPERLINK("D:\Data From Lucan\2024\Moresby\Frames_for_Analysis/3200_20240611_0010_R_1016.jpg","3200_20240611_0010_R_1016.jpg")</f>
        <v>3200_20240611_0010_R_1016.jpg</v>
      </c>
      <c r="G3203" s="92" t="s">
        <v>4777</v>
      </c>
      <c r="I3203">
        <v>2</v>
      </c>
      <c r="K3203" s="97">
        <v>1</v>
      </c>
      <c r="L3203" s="31" t="s">
        <v>3959</v>
      </c>
      <c r="M3203" s="31" t="s">
        <v>3959</v>
      </c>
      <c r="N3203" s="31" t="s">
        <v>3959</v>
      </c>
      <c r="O3203" s="31" t="s">
        <v>3959</v>
      </c>
      <c r="P3203" s="57">
        <v>1</v>
      </c>
      <c r="Q3203" s="57">
        <v>0</v>
      </c>
      <c r="R3203" s="57">
        <v>0</v>
      </c>
      <c r="S3203" s="97">
        <v>0</v>
      </c>
      <c r="T3203" s="57">
        <v>0</v>
      </c>
      <c r="U3203" s="57">
        <v>0</v>
      </c>
      <c r="V3203" s="57">
        <v>0</v>
      </c>
      <c r="W3203" s="57">
        <v>0</v>
      </c>
      <c r="X3203" s="97">
        <v>0</v>
      </c>
    </row>
    <row r="3204" spans="1:24" x14ac:dyDescent="0.35">
      <c r="A3204">
        <v>3200</v>
      </c>
      <c r="B3204">
        <v>3201</v>
      </c>
      <c r="C3204">
        <v>146.09244883900001</v>
      </c>
      <c r="D3204">
        <v>-17.629004304999899</v>
      </c>
      <c r="E3204" s="92" t="str">
        <f t="shared" si="2"/>
        <v/>
      </c>
      <c r="F3204" t="str">
        <f>HYPERLINK("D:\Data From Lucan\2024\Moresby\Frames_for_Analysis/3201_20240611_0010_R_1013.jpg","3201_20240611_0010_R_1013.jpg")</f>
        <v>3201_20240611_0010_R_1013.jpg</v>
      </c>
      <c r="G3204" s="92" t="s">
        <v>4778</v>
      </c>
      <c r="I3204">
        <v>2</v>
      </c>
      <c r="K3204" s="97">
        <v>1</v>
      </c>
      <c r="L3204" s="31" t="s">
        <v>3959</v>
      </c>
      <c r="M3204" s="31" t="s">
        <v>3959</v>
      </c>
      <c r="N3204" s="31" t="s">
        <v>3959</v>
      </c>
      <c r="O3204" s="31" t="s">
        <v>3959</v>
      </c>
      <c r="P3204" s="57">
        <v>1</v>
      </c>
      <c r="Q3204" s="57">
        <v>0</v>
      </c>
      <c r="R3204" s="57">
        <v>0</v>
      </c>
      <c r="S3204" s="97">
        <v>0</v>
      </c>
      <c r="T3204" s="57">
        <v>0</v>
      </c>
      <c r="U3204" s="57">
        <v>0</v>
      </c>
      <c r="V3204" s="57">
        <v>0</v>
      </c>
      <c r="W3204" s="57">
        <v>0</v>
      </c>
      <c r="X3204" s="97">
        <v>0</v>
      </c>
    </row>
    <row r="3205" spans="1:24" x14ac:dyDescent="0.35">
      <c r="A3205">
        <v>3201</v>
      </c>
      <c r="B3205">
        <v>3202</v>
      </c>
      <c r="C3205">
        <v>146.092361968999</v>
      </c>
      <c r="D3205">
        <v>-17.628982501300001</v>
      </c>
      <c r="E3205" s="92" t="str">
        <f t="shared" si="2"/>
        <v/>
      </c>
      <c r="F3205" t="str">
        <f>HYPERLINK("D:\Data From Lucan\2024\Moresby\Frames_for_Analysis/3202_20240611_0010_R_1010.jpg","3202_20240611_0010_R_1010.jpg")</f>
        <v>3202_20240611_0010_R_1010.jpg</v>
      </c>
      <c r="G3205" s="92" t="s">
        <v>4779</v>
      </c>
      <c r="I3205">
        <v>2</v>
      </c>
      <c r="K3205" s="97">
        <v>1</v>
      </c>
      <c r="L3205" s="31" t="s">
        <v>3959</v>
      </c>
      <c r="M3205" s="31" t="s">
        <v>3959</v>
      </c>
      <c r="N3205" s="31" t="s">
        <v>3959</v>
      </c>
      <c r="O3205" s="31" t="s">
        <v>3959</v>
      </c>
      <c r="P3205" s="57">
        <v>1</v>
      </c>
      <c r="Q3205" s="57">
        <v>0</v>
      </c>
      <c r="R3205" s="57">
        <v>0</v>
      </c>
      <c r="S3205" s="97">
        <v>0</v>
      </c>
      <c r="T3205" s="57">
        <v>0</v>
      </c>
      <c r="U3205" s="57">
        <v>0</v>
      </c>
      <c r="V3205" s="57">
        <v>0</v>
      </c>
      <c r="W3205" s="57">
        <v>0</v>
      </c>
      <c r="X3205" s="97">
        <v>0</v>
      </c>
    </row>
    <row r="3206" spans="1:24" x14ac:dyDescent="0.35">
      <c r="A3206">
        <v>3202</v>
      </c>
      <c r="B3206">
        <v>3203</v>
      </c>
      <c r="C3206">
        <v>146.092275099999</v>
      </c>
      <c r="D3206">
        <v>-17.6289606976</v>
      </c>
      <c r="E3206" s="92" t="str">
        <f t="shared" si="2"/>
        <v/>
      </c>
      <c r="F3206" t="str">
        <f>HYPERLINK("D:\Data From Lucan\2024\Moresby\Frames_for_Analysis/3203_20240611_0010_R_1008.jpg","3203_20240611_0010_R_1008.jpg")</f>
        <v>3203_20240611_0010_R_1008.jpg</v>
      </c>
      <c r="G3206" s="92" t="s">
        <v>4780</v>
      </c>
      <c r="I3206">
        <v>2</v>
      </c>
      <c r="K3206" s="97">
        <v>1</v>
      </c>
      <c r="L3206" s="31" t="s">
        <v>3959</v>
      </c>
      <c r="M3206" s="31" t="s">
        <v>3959</v>
      </c>
      <c r="N3206" s="31" t="s">
        <v>3959</v>
      </c>
      <c r="O3206" s="31" t="s">
        <v>3959</v>
      </c>
      <c r="P3206" s="57">
        <v>1</v>
      </c>
      <c r="Q3206" s="57">
        <v>0</v>
      </c>
      <c r="R3206" s="57">
        <v>0</v>
      </c>
      <c r="S3206" s="97">
        <v>0</v>
      </c>
      <c r="T3206" s="57">
        <v>0</v>
      </c>
      <c r="U3206" s="57">
        <v>0</v>
      </c>
      <c r="V3206" s="57">
        <v>0</v>
      </c>
      <c r="W3206" s="57">
        <v>0</v>
      </c>
      <c r="X3206" s="97">
        <v>0</v>
      </c>
    </row>
    <row r="3207" spans="1:24" x14ac:dyDescent="0.35">
      <c r="A3207">
        <v>3203</v>
      </c>
      <c r="B3207">
        <v>3204</v>
      </c>
      <c r="C3207">
        <v>146.09218823</v>
      </c>
      <c r="D3207">
        <v>-17.6289388938999</v>
      </c>
      <c r="E3207" s="92" t="str">
        <f t="shared" si="2"/>
        <v/>
      </c>
      <c r="F3207" t="str">
        <f>HYPERLINK("D:\Data From Lucan\2024\Moresby\Frames_for_Analysis/3204_20240611_0010_R_1005.jpg","3204_20240611_0010_R_1005.jpg")</f>
        <v>3204_20240611_0010_R_1005.jpg</v>
      </c>
      <c r="G3207" s="92" t="s">
        <v>4781</v>
      </c>
      <c r="I3207">
        <v>2</v>
      </c>
      <c r="K3207" s="97">
        <v>1</v>
      </c>
      <c r="L3207" s="31" t="s">
        <v>3959</v>
      </c>
      <c r="M3207" s="31" t="s">
        <v>3959</v>
      </c>
      <c r="N3207" s="31" t="s">
        <v>3959</v>
      </c>
      <c r="O3207" s="31" t="s">
        <v>3959</v>
      </c>
      <c r="P3207" s="57">
        <v>1</v>
      </c>
      <c r="Q3207" s="57">
        <v>0</v>
      </c>
      <c r="R3207" s="57">
        <v>0</v>
      </c>
      <c r="S3207" s="97">
        <v>0</v>
      </c>
      <c r="T3207" s="57">
        <v>0</v>
      </c>
      <c r="U3207" s="57">
        <v>0</v>
      </c>
      <c r="V3207" s="57">
        <v>0</v>
      </c>
      <c r="W3207" s="57">
        <v>0</v>
      </c>
      <c r="X3207" s="97">
        <v>0</v>
      </c>
    </row>
    <row r="3208" spans="1:24" x14ac:dyDescent="0.35">
      <c r="A3208">
        <v>3204</v>
      </c>
      <c r="B3208">
        <v>3205</v>
      </c>
      <c r="C3208">
        <v>146.092101361</v>
      </c>
      <c r="D3208">
        <v>-17.628917090200002</v>
      </c>
      <c r="E3208" s="92">
        <f t="shared" si="2"/>
        <v>50</v>
      </c>
      <c r="F3208" t="str">
        <f>HYPERLINK("D:\Data From Lucan\2024\Moresby\Frames_for_Analysis/3205_20240611_0010_R_1003.jpg","3205_20240611_0010_R_1003.jpg")</f>
        <v>3205_20240611_0010_R_1003.jpg</v>
      </c>
      <c r="G3208" s="92" t="s">
        <v>4782</v>
      </c>
      <c r="I3208">
        <v>2</v>
      </c>
      <c r="K3208" s="97">
        <v>1</v>
      </c>
      <c r="L3208" s="31" t="s">
        <v>3959</v>
      </c>
      <c r="M3208" s="31" t="s">
        <v>3959</v>
      </c>
      <c r="N3208" s="31" t="s">
        <v>3959</v>
      </c>
      <c r="O3208" s="31" t="s">
        <v>3959</v>
      </c>
      <c r="P3208" s="57">
        <v>1</v>
      </c>
      <c r="Q3208" s="57">
        <v>0</v>
      </c>
      <c r="R3208" s="57">
        <v>0</v>
      </c>
      <c r="S3208" s="97">
        <v>0</v>
      </c>
      <c r="T3208" s="57">
        <v>0</v>
      </c>
      <c r="U3208" s="57">
        <v>0</v>
      </c>
      <c r="V3208" s="57">
        <v>0</v>
      </c>
      <c r="W3208" s="57">
        <v>0</v>
      </c>
      <c r="X3208" s="97">
        <v>0</v>
      </c>
    </row>
    <row r="3209" spans="1:24" x14ac:dyDescent="0.35">
      <c r="A3209">
        <v>3205</v>
      </c>
      <c r="B3209">
        <v>3206</v>
      </c>
      <c r="C3209">
        <v>146.092014492</v>
      </c>
      <c r="D3209">
        <v>-17.628895286500001</v>
      </c>
      <c r="E3209" s="92" t="str">
        <f t="shared" si="2"/>
        <v/>
      </c>
      <c r="F3209" t="str">
        <f>HYPERLINK("D:\Data From Lucan\2024\Moresby\Frames_for_Analysis/3206_20240611_0010_R_1000.jpg","3206_20240611_0010_R_1000.jpg")</f>
        <v>3206_20240611_0010_R_1000.jpg</v>
      </c>
      <c r="G3209" s="92" t="s">
        <v>4783</v>
      </c>
      <c r="I3209">
        <v>2</v>
      </c>
      <c r="K3209" s="97">
        <v>1</v>
      </c>
      <c r="L3209" s="31" t="s">
        <v>3959</v>
      </c>
      <c r="M3209" s="31" t="s">
        <v>3959</v>
      </c>
      <c r="N3209" s="31" t="s">
        <v>3959</v>
      </c>
      <c r="O3209" s="31" t="s">
        <v>3959</v>
      </c>
      <c r="P3209" s="57">
        <v>1</v>
      </c>
      <c r="Q3209" s="57">
        <v>0</v>
      </c>
      <c r="R3209" s="57">
        <v>0</v>
      </c>
      <c r="S3209" s="97">
        <v>0</v>
      </c>
      <c r="T3209" s="57">
        <v>0</v>
      </c>
      <c r="U3209" s="57">
        <v>0</v>
      </c>
      <c r="V3209" s="57">
        <v>0</v>
      </c>
      <c r="W3209" s="57">
        <v>0</v>
      </c>
      <c r="X3209" s="97">
        <v>0</v>
      </c>
    </row>
    <row r="3210" spans="1:24" x14ac:dyDescent="0.35">
      <c r="A3210">
        <v>3206</v>
      </c>
      <c r="B3210">
        <v>3207</v>
      </c>
      <c r="C3210">
        <v>146.09192762199899</v>
      </c>
      <c r="D3210">
        <v>-17.6288734828</v>
      </c>
      <c r="E3210" s="92" t="str">
        <f t="shared" si="2"/>
        <v/>
      </c>
      <c r="F3210" t="str">
        <f>HYPERLINK("D:\Data From Lucan\2024\Moresby\Frames_for_Analysis/3207_20240611_0010_R_0997.jpg","3207_20240611_0010_R_0997.jpg")</f>
        <v>3207_20240611_0010_R_0997.jpg</v>
      </c>
      <c r="G3210" s="92" t="s">
        <v>4784</v>
      </c>
      <c r="I3210">
        <v>2</v>
      </c>
      <c r="K3210" s="97">
        <v>1</v>
      </c>
      <c r="L3210" s="31" t="s">
        <v>3959</v>
      </c>
      <c r="M3210" s="31" t="s">
        <v>3959</v>
      </c>
      <c r="N3210" s="31" t="s">
        <v>3959</v>
      </c>
      <c r="O3210" s="31" t="s">
        <v>3959</v>
      </c>
      <c r="P3210" s="57">
        <v>1</v>
      </c>
      <c r="Q3210" s="57">
        <v>0</v>
      </c>
      <c r="R3210" s="57">
        <v>0</v>
      </c>
      <c r="S3210" s="97">
        <v>0</v>
      </c>
      <c r="T3210" s="57">
        <v>0</v>
      </c>
      <c r="U3210" s="57">
        <v>0</v>
      </c>
      <c r="V3210" s="57">
        <v>0</v>
      </c>
      <c r="W3210" s="57">
        <v>0</v>
      </c>
      <c r="X3210" s="97">
        <v>0</v>
      </c>
    </row>
    <row r="3211" spans="1:24" x14ac:dyDescent="0.35">
      <c r="A3211">
        <v>3207</v>
      </c>
      <c r="B3211">
        <v>3208</v>
      </c>
      <c r="C3211">
        <v>146.09184075300001</v>
      </c>
      <c r="D3211">
        <v>-17.628851679099899</v>
      </c>
      <c r="E3211" s="92" t="str">
        <f t="shared" si="2"/>
        <v/>
      </c>
      <c r="F3211" t="str">
        <f>HYPERLINK("D:\Data From Lucan\2024\Moresby\Frames_for_Analysis/3208_20240611_0010_R_0995.jpg","3208_20240611_0010_R_0995.jpg")</f>
        <v>3208_20240611_0010_R_0995.jpg</v>
      </c>
      <c r="G3211" s="92" t="s">
        <v>4785</v>
      </c>
      <c r="I3211">
        <v>2</v>
      </c>
      <c r="K3211" s="97">
        <v>1</v>
      </c>
      <c r="L3211" s="31" t="s">
        <v>3959</v>
      </c>
      <c r="M3211" s="31" t="s">
        <v>3959</v>
      </c>
      <c r="N3211" s="31" t="s">
        <v>3959</v>
      </c>
      <c r="O3211" s="31" t="s">
        <v>3959</v>
      </c>
      <c r="P3211" s="57">
        <v>1</v>
      </c>
      <c r="Q3211" s="57">
        <v>0</v>
      </c>
      <c r="R3211" s="57">
        <v>0</v>
      </c>
      <c r="S3211" s="97">
        <v>0</v>
      </c>
      <c r="T3211" s="57">
        <v>0</v>
      </c>
      <c r="U3211" s="57">
        <v>0</v>
      </c>
      <c r="V3211" s="57">
        <v>0</v>
      </c>
      <c r="W3211" s="57">
        <v>0</v>
      </c>
      <c r="X3211" s="97">
        <v>0</v>
      </c>
    </row>
    <row r="3212" spans="1:24" x14ac:dyDescent="0.35">
      <c r="A3212">
        <v>3208</v>
      </c>
      <c r="B3212">
        <v>3209</v>
      </c>
      <c r="C3212">
        <v>146.091753882999</v>
      </c>
      <c r="D3212">
        <v>-17.628829875400001</v>
      </c>
      <c r="E3212" s="92" t="str">
        <f t="shared" si="2"/>
        <v/>
      </c>
      <c r="F3212" t="str">
        <f>HYPERLINK("D:\Data From Lucan\2024\Moresby\Frames_for_Analysis/3209_20240611_0010_R_0992.jpg","3209_20240611_0010_R_0992.jpg")</f>
        <v>3209_20240611_0010_R_0992.jpg</v>
      </c>
      <c r="G3212" s="92" t="s">
        <v>4786</v>
      </c>
      <c r="I3212">
        <v>2</v>
      </c>
      <c r="K3212" s="97">
        <v>1</v>
      </c>
      <c r="L3212" s="31" t="s">
        <v>3959</v>
      </c>
      <c r="M3212" s="31" t="s">
        <v>3959</v>
      </c>
      <c r="N3212" s="31" t="s">
        <v>3959</v>
      </c>
      <c r="O3212" s="31" t="s">
        <v>3959</v>
      </c>
      <c r="P3212" s="57">
        <v>1</v>
      </c>
      <c r="Q3212" s="57">
        <v>0</v>
      </c>
      <c r="R3212" s="57">
        <v>0</v>
      </c>
      <c r="S3212" s="97">
        <v>0</v>
      </c>
      <c r="T3212" s="57">
        <v>0</v>
      </c>
      <c r="U3212" s="57">
        <v>0</v>
      </c>
      <c r="V3212" s="57">
        <v>0</v>
      </c>
      <c r="W3212" s="57">
        <v>0</v>
      </c>
      <c r="X3212" s="97">
        <v>0</v>
      </c>
    </row>
    <row r="3213" spans="1:24" x14ac:dyDescent="0.35">
      <c r="A3213">
        <v>3209</v>
      </c>
      <c r="B3213">
        <v>3210</v>
      </c>
      <c r="C3213">
        <v>146.091667013999</v>
      </c>
      <c r="D3213">
        <v>-17.6288080717</v>
      </c>
      <c r="E3213" s="92">
        <f t="shared" si="2"/>
        <v>50</v>
      </c>
      <c r="F3213" t="str">
        <f>HYPERLINK("D:\Data From Lucan\2024\Moresby\Frames_for_Analysis/3210_20240611_0010_R_0990.jpg","3210_20240611_0010_R_0990.jpg")</f>
        <v>3210_20240611_0010_R_0990.jpg</v>
      </c>
      <c r="G3213" s="92" t="s">
        <v>4787</v>
      </c>
      <c r="I3213">
        <v>2</v>
      </c>
      <c r="K3213" s="97">
        <v>1</v>
      </c>
      <c r="L3213" s="31" t="s">
        <v>3959</v>
      </c>
      <c r="M3213" s="31" t="s">
        <v>3959</v>
      </c>
      <c r="N3213" s="31" t="s">
        <v>3959</v>
      </c>
      <c r="O3213" s="31" t="s">
        <v>3959</v>
      </c>
      <c r="P3213" s="57">
        <v>1</v>
      </c>
      <c r="Q3213" s="57">
        <v>0</v>
      </c>
      <c r="R3213" s="57">
        <v>0</v>
      </c>
      <c r="S3213" s="97">
        <v>0</v>
      </c>
      <c r="T3213" s="57">
        <v>0</v>
      </c>
      <c r="U3213" s="57">
        <v>0</v>
      </c>
      <c r="V3213" s="57">
        <v>0</v>
      </c>
      <c r="W3213" s="57">
        <v>0</v>
      </c>
      <c r="X3213" s="97">
        <v>0</v>
      </c>
    </row>
    <row r="3214" spans="1:24" x14ac:dyDescent="0.35">
      <c r="A3214">
        <v>3210</v>
      </c>
      <c r="B3214">
        <v>3211</v>
      </c>
      <c r="C3214">
        <v>146.09157868200001</v>
      </c>
      <c r="D3214">
        <v>-17.6287926239999</v>
      </c>
      <c r="E3214" s="92" t="str">
        <f t="shared" si="2"/>
        <v/>
      </c>
      <c r="F3214" t="str">
        <f>HYPERLINK("D:\Data From Lucan\2024\Moresby\Frames_for_Analysis/3211_20240611_0010_R_0987.jpg","3211_20240611_0010_R_0987.jpg")</f>
        <v>3211_20240611_0010_R_0987.jpg</v>
      </c>
      <c r="G3214" s="92" t="s">
        <v>4788</v>
      </c>
      <c r="I3214">
        <v>2</v>
      </c>
      <c r="K3214" s="97">
        <v>1</v>
      </c>
      <c r="L3214" s="31" t="s">
        <v>3959</v>
      </c>
      <c r="M3214" s="31" t="s">
        <v>3959</v>
      </c>
      <c r="N3214" s="31" t="s">
        <v>3959</v>
      </c>
      <c r="O3214" s="31" t="s">
        <v>3959</v>
      </c>
      <c r="P3214" s="57">
        <v>1</v>
      </c>
      <c r="Q3214" s="57">
        <v>0</v>
      </c>
      <c r="R3214" s="57">
        <v>0</v>
      </c>
      <c r="S3214" s="97">
        <v>0</v>
      </c>
      <c r="T3214" s="57">
        <v>0</v>
      </c>
      <c r="U3214" s="57">
        <v>0</v>
      </c>
      <c r="V3214" s="57">
        <v>0</v>
      </c>
      <c r="W3214" s="57">
        <v>0</v>
      </c>
      <c r="X3214" s="97">
        <v>0</v>
      </c>
    </row>
    <row r="3215" spans="1:24" x14ac:dyDescent="0.35">
      <c r="A3215">
        <v>3211</v>
      </c>
      <c r="B3215">
        <v>3212</v>
      </c>
      <c r="C3215">
        <v>146.09149021100001</v>
      </c>
      <c r="D3215">
        <v>-17.6287777828</v>
      </c>
      <c r="E3215" s="92" t="str">
        <f t="shared" si="2"/>
        <v/>
      </c>
      <c r="F3215" t="str">
        <f>HYPERLINK("D:\Data From Lucan\2024\Moresby\Frames_for_Analysis/3212_20240611_0010_R_0984.jpg","3212_20240611_0010_R_0984.jpg")</f>
        <v>3212_20240611_0010_R_0984.jpg</v>
      </c>
      <c r="G3215" s="92" t="s">
        <v>4789</v>
      </c>
      <c r="I3215">
        <v>2</v>
      </c>
      <c r="K3215" s="97">
        <v>1</v>
      </c>
      <c r="L3215" s="31" t="s">
        <v>3959</v>
      </c>
      <c r="M3215" s="31" t="s">
        <v>3959</v>
      </c>
      <c r="N3215" s="31" t="s">
        <v>3959</v>
      </c>
      <c r="O3215" s="31" t="s">
        <v>3959</v>
      </c>
      <c r="P3215" s="57">
        <v>1</v>
      </c>
      <c r="Q3215" s="57">
        <v>0</v>
      </c>
      <c r="R3215" s="57">
        <v>0</v>
      </c>
      <c r="S3215" s="97">
        <v>0</v>
      </c>
      <c r="T3215" s="57">
        <v>0</v>
      </c>
      <c r="U3215" s="57">
        <v>0</v>
      </c>
      <c r="V3215" s="57">
        <v>0</v>
      </c>
      <c r="W3215" s="57">
        <v>0</v>
      </c>
      <c r="X3215" s="97">
        <v>0</v>
      </c>
    </row>
    <row r="3216" spans="1:24" x14ac:dyDescent="0.35">
      <c r="A3216">
        <v>3212</v>
      </c>
      <c r="B3216">
        <v>3213</v>
      </c>
      <c r="C3216">
        <v>146.091401738999</v>
      </c>
      <c r="D3216">
        <v>-17.628762941600002</v>
      </c>
      <c r="E3216" s="92" t="str">
        <f t="shared" si="2"/>
        <v/>
      </c>
      <c r="F3216" t="str">
        <f>HYPERLINK("D:\Data From Lucan\2024\Moresby\Frames_for_Analysis/3213_20240611_0010_R_0982.jpg","3213_20240611_0010_R_0982.jpg")</f>
        <v>3213_20240611_0010_R_0982.jpg</v>
      </c>
      <c r="G3216" s="92" t="s">
        <v>4790</v>
      </c>
      <c r="I3216">
        <v>2</v>
      </c>
      <c r="K3216" s="97">
        <v>1</v>
      </c>
      <c r="L3216" s="31" t="s">
        <v>3959</v>
      </c>
      <c r="M3216" s="31" t="s">
        <v>3959</v>
      </c>
      <c r="N3216" s="31" t="s">
        <v>3959</v>
      </c>
      <c r="O3216" s="31" t="s">
        <v>3959</v>
      </c>
      <c r="P3216" s="57">
        <v>1</v>
      </c>
      <c r="Q3216" s="57">
        <v>0</v>
      </c>
      <c r="R3216" s="57">
        <v>0</v>
      </c>
      <c r="S3216" s="97">
        <v>0</v>
      </c>
      <c r="T3216" s="57">
        <v>0</v>
      </c>
      <c r="U3216" s="57">
        <v>0</v>
      </c>
      <c r="V3216" s="57">
        <v>0</v>
      </c>
      <c r="W3216" s="57">
        <v>0</v>
      </c>
      <c r="X3216" s="97">
        <v>0</v>
      </c>
    </row>
    <row r="3217" spans="1:24" x14ac:dyDescent="0.35">
      <c r="A3217">
        <v>3213</v>
      </c>
      <c r="B3217">
        <v>3214</v>
      </c>
      <c r="C3217">
        <v>146.091313267999</v>
      </c>
      <c r="D3217">
        <v>-17.628748100300001</v>
      </c>
      <c r="E3217" s="92" t="str">
        <f t="shared" si="2"/>
        <v/>
      </c>
      <c r="F3217" t="str">
        <f>HYPERLINK("D:\Data From Lucan\2024\Moresby\Frames_for_Analysis/3214_20240611_0010_R_0979.jpg","3214_20240611_0010_R_0979.jpg")</f>
        <v>3214_20240611_0010_R_0979.jpg</v>
      </c>
      <c r="G3217" s="92" t="s">
        <v>4791</v>
      </c>
      <c r="I3217">
        <v>2</v>
      </c>
      <c r="K3217" s="97">
        <v>1</v>
      </c>
      <c r="L3217" s="31" t="s">
        <v>3959</v>
      </c>
      <c r="M3217" s="31" t="s">
        <v>3959</v>
      </c>
      <c r="N3217" s="31" t="s">
        <v>3959</v>
      </c>
      <c r="O3217" s="31" t="s">
        <v>3959</v>
      </c>
      <c r="P3217" s="57">
        <v>1</v>
      </c>
      <c r="Q3217" s="57">
        <v>0</v>
      </c>
      <c r="R3217" s="57">
        <v>0</v>
      </c>
      <c r="S3217" s="97">
        <v>0</v>
      </c>
      <c r="T3217" s="57">
        <v>0</v>
      </c>
      <c r="U3217" s="57">
        <v>0</v>
      </c>
      <c r="V3217" s="57">
        <v>0</v>
      </c>
      <c r="W3217" s="57">
        <v>0</v>
      </c>
      <c r="X3217" s="97">
        <v>0</v>
      </c>
    </row>
    <row r="3218" spans="1:24" x14ac:dyDescent="0.35">
      <c r="A3218">
        <v>3214</v>
      </c>
      <c r="B3218">
        <v>3215</v>
      </c>
      <c r="C3218">
        <v>146.09122479600001</v>
      </c>
      <c r="D3218">
        <v>-17.628733259099899</v>
      </c>
      <c r="E3218" s="92">
        <f t="shared" si="2"/>
        <v>50</v>
      </c>
      <c r="F3218" t="str">
        <f>HYPERLINK("D:\Data From Lucan\2024\Moresby\Frames_for_Analysis/3215_20240611_0010_R_0976.jpg","3215_20240611_0010_R_0976.jpg")</f>
        <v>3215_20240611_0010_R_0976.jpg</v>
      </c>
      <c r="G3218" s="92" t="s">
        <v>4792</v>
      </c>
      <c r="I3218">
        <v>2</v>
      </c>
      <c r="K3218" s="97">
        <v>1</v>
      </c>
      <c r="L3218" s="31" t="s">
        <v>3959</v>
      </c>
      <c r="M3218" s="31" t="s">
        <v>3959</v>
      </c>
      <c r="N3218" s="31" t="s">
        <v>3959</v>
      </c>
      <c r="O3218" s="31" t="s">
        <v>3959</v>
      </c>
      <c r="P3218" s="57">
        <v>1</v>
      </c>
      <c r="Q3218" s="57">
        <v>0</v>
      </c>
      <c r="R3218" s="57">
        <v>0</v>
      </c>
      <c r="S3218" s="97">
        <v>0</v>
      </c>
      <c r="T3218" s="57">
        <v>0</v>
      </c>
      <c r="U3218" s="57">
        <v>0</v>
      </c>
      <c r="V3218" s="57">
        <v>0</v>
      </c>
      <c r="W3218" s="57">
        <v>0</v>
      </c>
      <c r="X3218" s="97">
        <v>0</v>
      </c>
    </row>
    <row r="3219" spans="1:24" x14ac:dyDescent="0.35">
      <c r="A3219">
        <v>3215</v>
      </c>
      <c r="B3219">
        <v>3216</v>
      </c>
      <c r="C3219">
        <v>146.09113632500001</v>
      </c>
      <c r="D3219">
        <v>-17.6287184179</v>
      </c>
      <c r="E3219" s="92" t="str">
        <f t="shared" si="2"/>
        <v/>
      </c>
      <c r="F3219" t="str">
        <f>HYPERLINK("D:\Data From Lucan\2024\Moresby\Frames_for_Analysis/3216_20240611_0010_R_0973.jpg","3216_20240611_0010_R_0973.jpg")</f>
        <v>3216_20240611_0010_R_0973.jpg</v>
      </c>
      <c r="G3219" s="92" t="s">
        <v>4793</v>
      </c>
      <c r="I3219">
        <v>2</v>
      </c>
      <c r="K3219" s="97">
        <v>1</v>
      </c>
      <c r="L3219" s="31" t="s">
        <v>3959</v>
      </c>
      <c r="M3219" s="31" t="s">
        <v>3959</v>
      </c>
      <c r="N3219" s="31" t="s">
        <v>3959</v>
      </c>
      <c r="O3219" s="31" t="s">
        <v>3959</v>
      </c>
      <c r="P3219" s="57">
        <v>1</v>
      </c>
      <c r="Q3219" s="57">
        <v>0</v>
      </c>
      <c r="R3219" s="57">
        <v>0</v>
      </c>
      <c r="S3219" s="97">
        <v>0</v>
      </c>
      <c r="T3219" s="57">
        <v>0</v>
      </c>
      <c r="U3219" s="57">
        <v>0</v>
      </c>
      <c r="V3219" s="57">
        <v>0</v>
      </c>
      <c r="W3219" s="57">
        <v>0</v>
      </c>
      <c r="X3219" s="97">
        <v>0</v>
      </c>
    </row>
    <row r="3220" spans="1:24" x14ac:dyDescent="0.35">
      <c r="A3220">
        <v>3216</v>
      </c>
      <c r="B3220">
        <v>3217</v>
      </c>
      <c r="C3220">
        <v>146.091047852999</v>
      </c>
      <c r="D3220">
        <v>-17.6287035766</v>
      </c>
      <c r="E3220" s="92" t="str">
        <f t="shared" si="2"/>
        <v/>
      </c>
      <c r="F3220" t="str">
        <f>HYPERLINK("D:\Data From Lucan\2024\Moresby\Frames_for_Analysis/3217_20240611_0010_R_0971.jpg","3217_20240611_0010_R_0971.jpg")</f>
        <v>3217_20240611_0010_R_0971.jpg</v>
      </c>
      <c r="G3220" s="92" t="s">
        <v>4794</v>
      </c>
      <c r="I3220">
        <v>2</v>
      </c>
      <c r="K3220" s="97">
        <v>1</v>
      </c>
      <c r="L3220" s="31" t="s">
        <v>3959</v>
      </c>
      <c r="M3220" s="31" t="s">
        <v>3959</v>
      </c>
      <c r="N3220" s="31" t="s">
        <v>3959</v>
      </c>
      <c r="O3220" s="31" t="s">
        <v>3959</v>
      </c>
      <c r="P3220" s="57">
        <v>1</v>
      </c>
      <c r="Q3220" s="57">
        <v>0</v>
      </c>
      <c r="R3220" s="57">
        <v>0</v>
      </c>
      <c r="S3220" s="97">
        <v>0</v>
      </c>
      <c r="T3220" s="57">
        <v>0</v>
      </c>
      <c r="U3220" s="57">
        <v>0</v>
      </c>
      <c r="V3220" s="57">
        <v>0</v>
      </c>
      <c r="W3220" s="57">
        <v>0</v>
      </c>
      <c r="X3220" s="97">
        <v>0</v>
      </c>
    </row>
    <row r="3221" spans="1:24" x14ac:dyDescent="0.35">
      <c r="A3221">
        <v>3217</v>
      </c>
      <c r="B3221">
        <v>3218</v>
      </c>
      <c r="C3221">
        <v>146.090959381999</v>
      </c>
      <c r="D3221">
        <v>-17.628688735400001</v>
      </c>
      <c r="E3221" s="92" t="str">
        <f t="shared" si="2"/>
        <v/>
      </c>
      <c r="F3221" t="str">
        <f>HYPERLINK("D:\Data From Lucan\2024\Moresby\Frames_for_Analysis/3218_20240611_0010_R_0968.jpg","3218_20240611_0010_R_0968.jpg")</f>
        <v>3218_20240611_0010_R_0968.jpg</v>
      </c>
      <c r="G3221" s="92" t="s">
        <v>4795</v>
      </c>
      <c r="I3221">
        <v>2</v>
      </c>
      <c r="K3221" s="97">
        <v>1</v>
      </c>
      <c r="L3221" s="31" t="s">
        <v>3959</v>
      </c>
      <c r="M3221" s="31" t="s">
        <v>3959</v>
      </c>
      <c r="N3221" s="31" t="s">
        <v>3959</v>
      </c>
      <c r="O3221" s="31" t="s">
        <v>3959</v>
      </c>
      <c r="P3221" s="57">
        <v>1</v>
      </c>
      <c r="Q3221" s="57">
        <v>0</v>
      </c>
      <c r="R3221" s="57">
        <v>0</v>
      </c>
      <c r="S3221" s="97">
        <v>0</v>
      </c>
      <c r="T3221" s="57">
        <v>0</v>
      </c>
      <c r="U3221" s="57">
        <v>0</v>
      </c>
      <c r="V3221" s="57">
        <v>0</v>
      </c>
      <c r="W3221" s="57">
        <v>0</v>
      </c>
      <c r="X3221" s="97">
        <v>0</v>
      </c>
    </row>
    <row r="3222" spans="1:24" x14ac:dyDescent="0.35">
      <c r="A3222">
        <v>3218</v>
      </c>
      <c r="B3222">
        <v>3219</v>
      </c>
      <c r="C3222">
        <v>146.09087091000001</v>
      </c>
      <c r="D3222">
        <v>-17.628673894199899</v>
      </c>
      <c r="E3222" s="92" t="str">
        <f t="shared" si="2"/>
        <v/>
      </c>
      <c r="F3222" t="str">
        <f>HYPERLINK("D:\Data From Lucan\2024\Moresby\Frames_for_Analysis/3219_20240611_0010_R_0965.jpg","3219_20240611_0010_R_0965.jpg")</f>
        <v>3219_20240611_0010_R_0965.jpg</v>
      </c>
      <c r="G3222" s="92" t="s">
        <v>4796</v>
      </c>
      <c r="I3222">
        <v>2</v>
      </c>
      <c r="K3222" s="97">
        <v>1</v>
      </c>
      <c r="L3222" s="31" t="s">
        <v>3959</v>
      </c>
      <c r="M3222" s="31" t="s">
        <v>3959</v>
      </c>
      <c r="N3222" s="31" t="s">
        <v>3959</v>
      </c>
      <c r="O3222" s="31" t="s">
        <v>3959</v>
      </c>
      <c r="P3222" s="57">
        <v>1</v>
      </c>
      <c r="Q3222" s="57">
        <v>0</v>
      </c>
      <c r="R3222" s="57">
        <v>0</v>
      </c>
      <c r="S3222" s="97">
        <v>0</v>
      </c>
      <c r="T3222" s="57">
        <v>0</v>
      </c>
      <c r="U3222" s="57">
        <v>0</v>
      </c>
      <c r="V3222" s="57">
        <v>0</v>
      </c>
      <c r="W3222" s="57">
        <v>0</v>
      </c>
      <c r="X3222" s="97">
        <v>0</v>
      </c>
    </row>
    <row r="3223" spans="1:24" x14ac:dyDescent="0.35">
      <c r="A3223">
        <v>3219</v>
      </c>
      <c r="B3223">
        <v>3220</v>
      </c>
      <c r="C3223">
        <v>146.09078243900001</v>
      </c>
      <c r="D3223">
        <v>-17.628659052900002</v>
      </c>
      <c r="E3223" s="92">
        <f t="shared" si="2"/>
        <v>50</v>
      </c>
      <c r="F3223" t="str">
        <f>HYPERLINK("D:\Data From Lucan\2024\Moresby\Frames_for_Analysis/3220_20240611_0010_R_0963.jpg","3220_20240611_0010_R_0963.jpg")</f>
        <v>3220_20240611_0010_R_0963.jpg</v>
      </c>
      <c r="G3223" s="92" t="s">
        <v>4797</v>
      </c>
      <c r="I3223">
        <v>2</v>
      </c>
      <c r="K3223" s="97">
        <v>1</v>
      </c>
      <c r="L3223" s="31" t="s">
        <v>3959</v>
      </c>
      <c r="M3223" s="31" t="s">
        <v>3959</v>
      </c>
      <c r="N3223" s="31" t="s">
        <v>3959</v>
      </c>
      <c r="O3223" s="31" t="s">
        <v>3959</v>
      </c>
      <c r="P3223" s="57">
        <v>1</v>
      </c>
      <c r="Q3223" s="57">
        <v>0</v>
      </c>
      <c r="R3223" s="57">
        <v>0</v>
      </c>
      <c r="S3223" s="97">
        <v>0</v>
      </c>
      <c r="T3223" s="57">
        <v>0</v>
      </c>
      <c r="U3223" s="57">
        <v>0</v>
      </c>
      <c r="V3223" s="57">
        <v>0</v>
      </c>
      <c r="W3223" s="57">
        <v>0</v>
      </c>
      <c r="X3223" s="97">
        <v>0</v>
      </c>
    </row>
    <row r="3224" spans="1:24" x14ac:dyDescent="0.35">
      <c r="A3224">
        <v>3220</v>
      </c>
      <c r="B3224">
        <v>3221</v>
      </c>
      <c r="C3224">
        <v>146.090693966999</v>
      </c>
      <c r="D3224">
        <v>-17.6286442116999</v>
      </c>
      <c r="E3224" s="92" t="str">
        <f t="shared" si="2"/>
        <v/>
      </c>
      <c r="F3224" t="str">
        <f>HYPERLINK("D:\Data From Lucan\2024\Moresby\Frames_for_Analysis/3221_20240611_0010_R_0960.jpg","3221_20240611_0010_R_0960.jpg")</f>
        <v>3221_20240611_0010_R_0960.jpg</v>
      </c>
      <c r="G3224" s="92" t="s">
        <v>4798</v>
      </c>
      <c r="I3224">
        <v>2</v>
      </c>
      <c r="K3224" s="97">
        <v>1</v>
      </c>
      <c r="L3224" s="31" t="s">
        <v>3959</v>
      </c>
      <c r="M3224" s="31" t="s">
        <v>3959</v>
      </c>
      <c r="N3224" s="31" t="s">
        <v>3959</v>
      </c>
      <c r="O3224" s="31" t="s">
        <v>3959</v>
      </c>
      <c r="P3224" s="57">
        <v>1</v>
      </c>
      <c r="Q3224" s="57">
        <v>0</v>
      </c>
      <c r="R3224" s="57">
        <v>0</v>
      </c>
      <c r="S3224" s="97">
        <v>0</v>
      </c>
      <c r="T3224" s="57">
        <v>0</v>
      </c>
      <c r="U3224" s="57">
        <v>0</v>
      </c>
      <c r="V3224" s="57">
        <v>0</v>
      </c>
      <c r="W3224" s="57">
        <v>0</v>
      </c>
      <c r="X3224" s="97">
        <v>0</v>
      </c>
    </row>
    <row r="3225" spans="1:24" x14ac:dyDescent="0.35">
      <c r="A3225">
        <v>3221</v>
      </c>
      <c r="B3225">
        <v>3222</v>
      </c>
      <c r="C3225">
        <v>146.090605495999</v>
      </c>
      <c r="D3225">
        <v>-17.628629370399899</v>
      </c>
      <c r="E3225" s="92" t="str">
        <f t="shared" si="2"/>
        <v/>
      </c>
      <c r="F3225" t="str">
        <f>HYPERLINK("D:\Data From Lucan\2024\Moresby\Frames_for_Analysis/3222_20240611_0010_R_0957.jpg","3222_20240611_0010_R_0957.jpg")</f>
        <v>3222_20240611_0010_R_0957.jpg</v>
      </c>
      <c r="G3225" s="92" t="s">
        <v>4799</v>
      </c>
      <c r="I3225">
        <v>2</v>
      </c>
      <c r="K3225" s="97">
        <v>1</v>
      </c>
      <c r="L3225" s="31" t="s">
        <v>3959</v>
      </c>
      <c r="M3225" s="31" t="s">
        <v>3959</v>
      </c>
      <c r="N3225" s="31" t="s">
        <v>3959</v>
      </c>
      <c r="O3225" s="31" t="s">
        <v>3959</v>
      </c>
      <c r="P3225" s="57">
        <v>1</v>
      </c>
      <c r="Q3225" s="57">
        <v>0</v>
      </c>
      <c r="R3225" s="57">
        <v>0</v>
      </c>
      <c r="S3225" s="97">
        <v>0</v>
      </c>
      <c r="T3225" s="57">
        <v>0</v>
      </c>
      <c r="U3225" s="57">
        <v>0</v>
      </c>
      <c r="V3225" s="57">
        <v>0</v>
      </c>
      <c r="W3225" s="57">
        <v>0</v>
      </c>
      <c r="X3225" s="97">
        <v>0</v>
      </c>
    </row>
    <row r="3226" spans="1:24" x14ac:dyDescent="0.35">
      <c r="A3226">
        <v>3222</v>
      </c>
      <c r="B3226">
        <v>3223</v>
      </c>
      <c r="C3226">
        <v>146.090516874</v>
      </c>
      <c r="D3226">
        <v>-17.6286154314</v>
      </c>
      <c r="E3226" s="92" t="str">
        <f t="shared" si="2"/>
        <v/>
      </c>
      <c r="F3226" t="str">
        <f>HYPERLINK("D:\Data From Lucan\2024\Moresby\Frames_for_Analysis/3223_20240611_0010_R_0955.jpg","3223_20240611_0010_R_0955.jpg")</f>
        <v>3223_20240611_0010_R_0955.jpg</v>
      </c>
      <c r="G3226" s="92" t="s">
        <v>4800</v>
      </c>
      <c r="I3226">
        <v>2</v>
      </c>
      <c r="K3226" s="97">
        <v>1</v>
      </c>
      <c r="L3226" s="31" t="s">
        <v>3959</v>
      </c>
      <c r="M3226" s="31" t="s">
        <v>3959</v>
      </c>
      <c r="N3226" s="31" t="s">
        <v>3959</v>
      </c>
      <c r="O3226" s="31" t="s">
        <v>3959</v>
      </c>
      <c r="P3226" s="57">
        <v>1</v>
      </c>
      <c r="Q3226" s="57">
        <v>0</v>
      </c>
      <c r="R3226" s="57">
        <v>0</v>
      </c>
      <c r="S3226" s="97">
        <v>0</v>
      </c>
      <c r="T3226" s="57">
        <v>0</v>
      </c>
      <c r="U3226" s="57">
        <v>0</v>
      </c>
      <c r="V3226" s="57">
        <v>0</v>
      </c>
      <c r="W3226" s="57">
        <v>0</v>
      </c>
      <c r="X3226" s="97">
        <v>0</v>
      </c>
    </row>
    <row r="3227" spans="1:24" x14ac:dyDescent="0.35">
      <c r="A3227">
        <v>3223</v>
      </c>
      <c r="B3227">
        <v>3224</v>
      </c>
      <c r="C3227">
        <v>146.090427943999</v>
      </c>
      <c r="D3227">
        <v>-17.628603332000001</v>
      </c>
      <c r="E3227" s="92" t="str">
        <f t="shared" si="2"/>
        <v/>
      </c>
      <c r="F3227" t="str">
        <f>HYPERLINK("D:\Data From Lucan\2024\Moresby\Frames_for_Analysis/3224_20240611_0010_R_0952.jpg","3224_20240611_0010_R_0952.jpg")</f>
        <v>3224_20240611_0010_R_0952.jpg</v>
      </c>
      <c r="G3227" s="92" t="s">
        <v>4801</v>
      </c>
      <c r="I3227">
        <v>2</v>
      </c>
      <c r="K3227" s="97">
        <v>1</v>
      </c>
      <c r="L3227" s="31" t="s">
        <v>3959</v>
      </c>
      <c r="M3227" s="31" t="s">
        <v>3959</v>
      </c>
      <c r="N3227" s="31" t="s">
        <v>3959</v>
      </c>
      <c r="O3227" s="31" t="s">
        <v>3959</v>
      </c>
      <c r="P3227" s="57">
        <v>1</v>
      </c>
      <c r="Q3227" s="57">
        <v>0</v>
      </c>
      <c r="R3227" s="57">
        <v>0</v>
      </c>
      <c r="S3227" s="97">
        <v>0</v>
      </c>
      <c r="T3227" s="57">
        <v>0</v>
      </c>
      <c r="U3227" s="57">
        <v>0</v>
      </c>
      <c r="V3227" s="57">
        <v>0</v>
      </c>
      <c r="W3227" s="57">
        <v>0</v>
      </c>
      <c r="X3227" s="97">
        <v>0</v>
      </c>
    </row>
    <row r="3228" spans="1:24" x14ac:dyDescent="0.35">
      <c r="A3228">
        <v>3224</v>
      </c>
      <c r="B3228">
        <v>3225</v>
      </c>
      <c r="C3228">
        <v>146.090339013999</v>
      </c>
      <c r="D3228">
        <v>-17.628591232600002</v>
      </c>
      <c r="E3228" s="92">
        <f t="shared" si="2"/>
        <v>50</v>
      </c>
      <c r="F3228" t="str">
        <f>HYPERLINK("D:\Data From Lucan\2024\Moresby\Frames_for_Analysis/3225_20240611_0010_R_0950.jpg","3225_20240611_0010_R_0950.jpg")</f>
        <v>3225_20240611_0010_R_0950.jpg</v>
      </c>
      <c r="G3228" s="92" t="s">
        <v>4802</v>
      </c>
      <c r="I3228">
        <v>2</v>
      </c>
      <c r="K3228" s="97">
        <v>1</v>
      </c>
      <c r="L3228" s="31" t="s">
        <v>3959</v>
      </c>
      <c r="M3228" s="31" t="s">
        <v>3959</v>
      </c>
      <c r="N3228" s="31" t="s">
        <v>3959</v>
      </c>
      <c r="O3228" s="31" t="s">
        <v>3959</v>
      </c>
      <c r="P3228" s="57">
        <v>1</v>
      </c>
      <c r="Q3228" s="57">
        <v>0</v>
      </c>
      <c r="R3228" s="57">
        <v>0</v>
      </c>
      <c r="S3228" s="97">
        <v>0</v>
      </c>
      <c r="T3228" s="57">
        <v>0</v>
      </c>
      <c r="U3228" s="57">
        <v>0</v>
      </c>
      <c r="V3228" s="57">
        <v>0</v>
      </c>
      <c r="W3228" s="57">
        <v>0</v>
      </c>
      <c r="X3228" s="97">
        <v>0</v>
      </c>
    </row>
    <row r="3229" spans="1:24" x14ac:dyDescent="0.35">
      <c r="A3229">
        <v>3225</v>
      </c>
      <c r="B3229">
        <v>3226</v>
      </c>
      <c r="C3229">
        <v>146.090250083999</v>
      </c>
      <c r="D3229">
        <v>-17.628579133100001</v>
      </c>
      <c r="E3229" s="92" t="str">
        <f t="shared" si="2"/>
        <v/>
      </c>
      <c r="F3229" t="str">
        <f>HYPERLINK("D:\Data From Lucan\2024\Moresby\Frames_for_Analysis/3226_20240611_0010_R_0947.jpg","3226_20240611_0010_R_0947.jpg")</f>
        <v>3226_20240611_0010_R_0947.jpg</v>
      </c>
      <c r="G3229" s="92" t="s">
        <v>4803</v>
      </c>
      <c r="I3229">
        <v>2</v>
      </c>
      <c r="K3229" s="97">
        <v>1</v>
      </c>
      <c r="L3229" s="31" t="s">
        <v>3959</v>
      </c>
      <c r="M3229" s="31" t="s">
        <v>3959</v>
      </c>
      <c r="N3229" s="31" t="s">
        <v>3959</v>
      </c>
      <c r="O3229" s="31" t="s">
        <v>3959</v>
      </c>
      <c r="P3229" s="57">
        <v>1</v>
      </c>
      <c r="Q3229" s="57">
        <v>0</v>
      </c>
      <c r="R3229" s="57">
        <v>0</v>
      </c>
      <c r="S3229" s="97">
        <v>0</v>
      </c>
      <c r="T3229" s="57">
        <v>0</v>
      </c>
      <c r="U3229" s="57">
        <v>0</v>
      </c>
      <c r="V3229" s="57">
        <v>0</v>
      </c>
      <c r="W3229" s="57">
        <v>0</v>
      </c>
      <c r="X3229" s="97">
        <v>0</v>
      </c>
    </row>
    <row r="3230" spans="1:24" x14ac:dyDescent="0.35">
      <c r="A3230">
        <v>3226</v>
      </c>
      <c r="B3230">
        <v>3227</v>
      </c>
      <c r="C3230">
        <v>146.09016115399899</v>
      </c>
      <c r="D3230">
        <v>-17.628567033700001</v>
      </c>
      <c r="E3230" s="92" t="str">
        <f t="shared" si="2"/>
        <v/>
      </c>
      <c r="F3230" t="str">
        <f>HYPERLINK("D:\Data From Lucan\2024\Moresby\Frames_for_Analysis/3227_20240611_0010_R_0945.jpg","3227_20240611_0010_R_0945.jpg")</f>
        <v>3227_20240611_0010_R_0945.jpg</v>
      </c>
      <c r="G3230" s="92" t="s">
        <v>4804</v>
      </c>
      <c r="I3230">
        <v>2</v>
      </c>
      <c r="K3230" s="97">
        <v>1</v>
      </c>
      <c r="L3230" s="31" t="s">
        <v>3959</v>
      </c>
      <c r="M3230" s="31" t="s">
        <v>3959</v>
      </c>
      <c r="N3230" s="31" t="s">
        <v>3959</v>
      </c>
      <c r="O3230" s="31" t="s">
        <v>3959</v>
      </c>
      <c r="P3230" s="57">
        <v>1</v>
      </c>
      <c r="Q3230" s="57">
        <v>0</v>
      </c>
      <c r="R3230" s="57">
        <v>0</v>
      </c>
      <c r="S3230" s="97">
        <v>0</v>
      </c>
      <c r="T3230" s="57">
        <v>0</v>
      </c>
      <c r="U3230" s="57">
        <v>0</v>
      </c>
      <c r="V3230" s="57">
        <v>0</v>
      </c>
      <c r="W3230" s="57">
        <v>0</v>
      </c>
      <c r="X3230" s="97">
        <v>0</v>
      </c>
    </row>
    <row r="3231" spans="1:24" x14ac:dyDescent="0.35">
      <c r="A3231">
        <v>3227</v>
      </c>
      <c r="B3231">
        <v>3228</v>
      </c>
      <c r="C3231">
        <v>146.09007222400001</v>
      </c>
      <c r="D3231">
        <v>-17.6285549342</v>
      </c>
      <c r="E3231" s="92" t="str">
        <f t="shared" ref="E3231:E3243" si="3">IF(MOD(B3231,5)=0, 50, "")</f>
        <v/>
      </c>
      <c r="F3231" t="str">
        <f>HYPERLINK("D:\Data From Lucan\2024\Moresby\Frames_for_Analysis/3228_20240611_0010_R_0942.jpg","3228_20240611_0010_R_0942.jpg")</f>
        <v>3228_20240611_0010_R_0942.jpg</v>
      </c>
      <c r="G3231" s="92" t="s">
        <v>4805</v>
      </c>
      <c r="I3231">
        <v>2</v>
      </c>
      <c r="K3231" s="97">
        <v>1</v>
      </c>
      <c r="L3231" s="31" t="s">
        <v>3959</v>
      </c>
      <c r="M3231" s="31" t="s">
        <v>3959</v>
      </c>
      <c r="N3231" s="31" t="s">
        <v>3959</v>
      </c>
      <c r="O3231" s="31" t="s">
        <v>3959</v>
      </c>
      <c r="P3231" s="57">
        <v>1</v>
      </c>
      <c r="Q3231" s="57">
        <v>0</v>
      </c>
      <c r="R3231" s="57">
        <v>0</v>
      </c>
      <c r="S3231" s="97">
        <v>0</v>
      </c>
      <c r="T3231" s="57">
        <v>0</v>
      </c>
      <c r="U3231" s="57">
        <v>0</v>
      </c>
      <c r="V3231" s="57">
        <v>0</v>
      </c>
      <c r="W3231" s="57">
        <v>0</v>
      </c>
      <c r="X3231" s="97">
        <v>0</v>
      </c>
    </row>
    <row r="3232" spans="1:24" x14ac:dyDescent="0.35">
      <c r="A3232">
        <v>3228</v>
      </c>
      <c r="B3232">
        <v>3229</v>
      </c>
      <c r="C3232">
        <v>146.08998329400001</v>
      </c>
      <c r="D3232">
        <v>-17.628542834800001</v>
      </c>
      <c r="E3232" s="92" t="str">
        <f t="shared" si="3"/>
        <v/>
      </c>
      <c r="F3232" t="str">
        <f>HYPERLINK("D:\Data From Lucan\2024\Moresby\Frames_for_Analysis/3229_20240611_0010_R_0940.jpg","3229_20240611_0010_R_0940.jpg")</f>
        <v>3229_20240611_0010_R_0940.jpg</v>
      </c>
      <c r="G3232" s="92" t="s">
        <v>4806</v>
      </c>
      <c r="I3232">
        <v>2</v>
      </c>
      <c r="K3232" s="97">
        <v>1</v>
      </c>
      <c r="L3232" s="31" t="s">
        <v>3959</v>
      </c>
      <c r="M3232" s="31" t="s">
        <v>3959</v>
      </c>
      <c r="N3232" s="31" t="s">
        <v>3959</v>
      </c>
      <c r="O3232" s="31" t="s">
        <v>3959</v>
      </c>
      <c r="P3232" s="57">
        <v>1</v>
      </c>
      <c r="Q3232" s="57">
        <v>0</v>
      </c>
      <c r="R3232" s="57">
        <v>0</v>
      </c>
      <c r="S3232" s="97">
        <v>0</v>
      </c>
      <c r="T3232" s="57">
        <v>0</v>
      </c>
      <c r="U3232" s="57">
        <v>0</v>
      </c>
      <c r="V3232" s="57">
        <v>0</v>
      </c>
      <c r="W3232" s="57">
        <v>0</v>
      </c>
      <c r="X3232" s="97">
        <v>0</v>
      </c>
    </row>
    <row r="3233" spans="1:24" x14ac:dyDescent="0.35">
      <c r="A3233">
        <v>3229</v>
      </c>
      <c r="B3233">
        <v>3230</v>
      </c>
      <c r="C3233">
        <v>146.089894364</v>
      </c>
      <c r="D3233">
        <v>-17.6285307353</v>
      </c>
      <c r="E3233" s="92">
        <f t="shared" si="3"/>
        <v>50</v>
      </c>
      <c r="F3233" t="str">
        <f>HYPERLINK("D:\Data From Lucan\2024\Moresby\Frames_for_Analysis/3230_20240611_0010_R_0938.jpg","3230_20240611_0010_R_0938.jpg")</f>
        <v>3230_20240611_0010_R_0938.jpg</v>
      </c>
      <c r="G3233" s="92" t="s">
        <v>4807</v>
      </c>
      <c r="I3233">
        <v>2</v>
      </c>
      <c r="K3233" s="97">
        <v>1</v>
      </c>
      <c r="L3233" s="31" t="s">
        <v>3959</v>
      </c>
      <c r="M3233" s="31" t="s">
        <v>3959</v>
      </c>
      <c r="N3233" s="31" t="s">
        <v>3959</v>
      </c>
      <c r="O3233" s="31" t="s">
        <v>3959</v>
      </c>
      <c r="P3233" s="57">
        <v>1</v>
      </c>
      <c r="Q3233" s="57">
        <v>0</v>
      </c>
      <c r="R3233" s="57">
        <v>0</v>
      </c>
      <c r="S3233" s="97">
        <v>0</v>
      </c>
      <c r="T3233" s="57">
        <v>0</v>
      </c>
      <c r="U3233" s="57">
        <v>0</v>
      </c>
      <c r="V3233" s="57">
        <v>0</v>
      </c>
      <c r="W3233" s="57">
        <v>0</v>
      </c>
      <c r="X3233" s="97">
        <v>0</v>
      </c>
    </row>
    <row r="3234" spans="1:24" x14ac:dyDescent="0.35">
      <c r="A3234">
        <v>3230</v>
      </c>
      <c r="B3234">
        <v>3231</v>
      </c>
      <c r="C3234">
        <v>146.089805433999</v>
      </c>
      <c r="D3234">
        <v>-17.628518635900001</v>
      </c>
      <c r="E3234" s="92" t="str">
        <f t="shared" si="3"/>
        <v/>
      </c>
      <c r="F3234" t="str">
        <f>HYPERLINK("D:\Data From Lucan\2024\Moresby\Frames_for_Analysis/3231_20240611_0010_R_0935.jpg","3231_20240611_0010_R_0935.jpg")</f>
        <v>3231_20240611_0010_R_0935.jpg</v>
      </c>
      <c r="G3234" s="92" t="s">
        <v>4808</v>
      </c>
      <c r="I3234">
        <v>2</v>
      </c>
      <c r="K3234" s="97">
        <v>1</v>
      </c>
      <c r="L3234" s="31" t="s">
        <v>3959</v>
      </c>
      <c r="M3234" s="31" t="s">
        <v>3959</v>
      </c>
      <c r="N3234" s="31" t="s">
        <v>3959</v>
      </c>
      <c r="O3234" s="31" t="s">
        <v>3959</v>
      </c>
      <c r="P3234" s="57">
        <v>1</v>
      </c>
      <c r="Q3234" s="57">
        <v>0</v>
      </c>
      <c r="R3234" s="57">
        <v>0</v>
      </c>
      <c r="S3234" s="97">
        <v>0</v>
      </c>
      <c r="T3234" s="57">
        <v>0</v>
      </c>
      <c r="U3234" s="57">
        <v>0</v>
      </c>
      <c r="V3234" s="57">
        <v>0</v>
      </c>
      <c r="W3234" s="57">
        <v>0</v>
      </c>
      <c r="X3234" s="97">
        <v>0</v>
      </c>
    </row>
    <row r="3235" spans="1:24" x14ac:dyDescent="0.35">
      <c r="A3235">
        <v>3231</v>
      </c>
      <c r="B3235">
        <v>3232</v>
      </c>
      <c r="C3235">
        <v>146.08971650500001</v>
      </c>
      <c r="D3235">
        <v>-17.6285065364</v>
      </c>
      <c r="E3235" s="92" t="str">
        <f t="shared" si="3"/>
        <v/>
      </c>
      <c r="F3235" t="str">
        <f>HYPERLINK("D:\Data From Lucan\2024\Moresby\Frames_for_Analysis/3232_20240611_0010_R_0932.jpg","3232_20240611_0010_R_0932.jpg")</f>
        <v>3232_20240611_0010_R_0932.jpg</v>
      </c>
      <c r="G3235" s="92" t="s">
        <v>4809</v>
      </c>
      <c r="I3235">
        <v>2</v>
      </c>
      <c r="K3235" s="97">
        <v>1</v>
      </c>
      <c r="L3235" s="31" t="s">
        <v>3959</v>
      </c>
      <c r="M3235" s="31" t="s">
        <v>3959</v>
      </c>
      <c r="N3235" s="31" t="s">
        <v>3959</v>
      </c>
      <c r="O3235" s="31" t="s">
        <v>3959</v>
      </c>
      <c r="P3235" s="57">
        <v>1</v>
      </c>
      <c r="Q3235" s="57">
        <v>0</v>
      </c>
      <c r="R3235" s="57">
        <v>0</v>
      </c>
      <c r="S3235" s="97">
        <v>0</v>
      </c>
      <c r="T3235" s="57">
        <v>0</v>
      </c>
      <c r="U3235" s="57">
        <v>0</v>
      </c>
      <c r="V3235" s="57">
        <v>0</v>
      </c>
      <c r="W3235" s="57">
        <v>0</v>
      </c>
      <c r="X3235" s="97">
        <v>0</v>
      </c>
    </row>
    <row r="3236" spans="1:24" x14ac:dyDescent="0.35">
      <c r="A3236">
        <v>3232</v>
      </c>
      <c r="B3236">
        <v>3233</v>
      </c>
      <c r="C3236">
        <v>146.08962757500001</v>
      </c>
      <c r="D3236">
        <v>-17.628494437000001</v>
      </c>
      <c r="E3236" s="92" t="str">
        <f t="shared" si="3"/>
        <v/>
      </c>
      <c r="F3236" t="str">
        <f>HYPERLINK("D:\Data From Lucan\2024\Moresby\Frames_for_Analysis/3233_20240611_0010_R_0930.jpg","3233_20240611_0010_R_0930.jpg")</f>
        <v>3233_20240611_0010_R_0930.jpg</v>
      </c>
      <c r="G3236" s="92" t="s">
        <v>4810</v>
      </c>
      <c r="I3236">
        <v>2</v>
      </c>
      <c r="K3236" s="97">
        <v>1</v>
      </c>
      <c r="L3236" s="31" t="s">
        <v>3959</v>
      </c>
      <c r="M3236" s="31" t="s">
        <v>3959</v>
      </c>
      <c r="N3236" s="31" t="s">
        <v>3959</v>
      </c>
      <c r="O3236" s="31" t="s">
        <v>3959</v>
      </c>
      <c r="P3236" s="57">
        <v>1</v>
      </c>
      <c r="Q3236" s="57">
        <v>0</v>
      </c>
      <c r="R3236" s="57">
        <v>0</v>
      </c>
      <c r="S3236" s="97">
        <v>0</v>
      </c>
      <c r="T3236" s="57">
        <v>0</v>
      </c>
      <c r="U3236" s="57">
        <v>0</v>
      </c>
      <c r="V3236" s="57">
        <v>0</v>
      </c>
      <c r="W3236" s="57">
        <v>0</v>
      </c>
      <c r="X3236" s="97">
        <v>0</v>
      </c>
    </row>
    <row r="3237" spans="1:24" x14ac:dyDescent="0.35">
      <c r="A3237">
        <v>3233</v>
      </c>
      <c r="B3237">
        <v>3234</v>
      </c>
      <c r="C3237">
        <v>146.089538645</v>
      </c>
      <c r="D3237">
        <v>-17.6284823374999</v>
      </c>
      <c r="E3237" s="92" t="str">
        <f t="shared" si="3"/>
        <v/>
      </c>
      <c r="F3237" t="str">
        <f>HYPERLINK("D:\Data From Lucan\2024\Moresby\Frames_for_Analysis/3234_20240611_0010_R_0927.jpg","3234_20240611_0010_R_0927.jpg")</f>
        <v>3234_20240611_0010_R_0927.jpg</v>
      </c>
      <c r="G3237" s="92" t="s">
        <v>4811</v>
      </c>
      <c r="I3237">
        <v>2</v>
      </c>
      <c r="K3237" s="97">
        <v>1</v>
      </c>
      <c r="L3237" s="31" t="s">
        <v>3959</v>
      </c>
      <c r="M3237" s="31" t="s">
        <v>3959</v>
      </c>
      <c r="N3237" s="31" t="s">
        <v>3959</v>
      </c>
      <c r="O3237" s="31" t="s">
        <v>3959</v>
      </c>
      <c r="P3237" s="57">
        <v>1</v>
      </c>
      <c r="Q3237" s="57">
        <v>0</v>
      </c>
      <c r="R3237" s="57">
        <v>0</v>
      </c>
      <c r="S3237" s="97">
        <v>0</v>
      </c>
      <c r="T3237" s="57">
        <v>0</v>
      </c>
      <c r="U3237" s="57">
        <v>0</v>
      </c>
      <c r="V3237" s="57">
        <v>0</v>
      </c>
      <c r="W3237" s="57">
        <v>0</v>
      </c>
      <c r="X3237" s="97">
        <v>0</v>
      </c>
    </row>
    <row r="3238" spans="1:24" x14ac:dyDescent="0.35">
      <c r="A3238">
        <v>3234</v>
      </c>
      <c r="B3238">
        <v>3235</v>
      </c>
      <c r="C3238">
        <v>146.089449715</v>
      </c>
      <c r="D3238">
        <v>-17.6284702381</v>
      </c>
      <c r="E3238" s="92">
        <f t="shared" si="3"/>
        <v>50</v>
      </c>
      <c r="F3238" t="str">
        <f>HYPERLINK("D:\Data From Lucan\2024\Moresby\Frames_for_Analysis/3235_20240611_0010_R_0925.jpg","3235_20240611_0010_R_0925.jpg")</f>
        <v>3235_20240611_0010_R_0925.jpg</v>
      </c>
      <c r="G3238" s="92" t="s">
        <v>4812</v>
      </c>
      <c r="I3238">
        <v>2</v>
      </c>
      <c r="K3238" s="97">
        <v>1</v>
      </c>
      <c r="L3238" s="31" t="s">
        <v>3959</v>
      </c>
      <c r="M3238" s="31" t="s">
        <v>3959</v>
      </c>
      <c r="N3238" s="31" t="s">
        <v>3959</v>
      </c>
      <c r="O3238" s="31" t="s">
        <v>3959</v>
      </c>
      <c r="P3238" s="57">
        <v>1</v>
      </c>
      <c r="Q3238" s="57">
        <v>0</v>
      </c>
      <c r="R3238" s="57">
        <v>0</v>
      </c>
      <c r="S3238" s="97">
        <v>0</v>
      </c>
      <c r="T3238" s="57">
        <v>0</v>
      </c>
      <c r="U3238" s="57">
        <v>0</v>
      </c>
      <c r="V3238" s="57">
        <v>0</v>
      </c>
      <c r="W3238" s="57">
        <v>0</v>
      </c>
      <c r="X3238" s="97">
        <v>0</v>
      </c>
    </row>
    <row r="3239" spans="1:24" x14ac:dyDescent="0.35">
      <c r="A3239">
        <v>3235</v>
      </c>
      <c r="B3239">
        <v>3236</v>
      </c>
      <c r="C3239">
        <v>146.089360784999</v>
      </c>
      <c r="D3239">
        <v>-17.6284581385999</v>
      </c>
      <c r="E3239" s="92" t="str">
        <f t="shared" si="3"/>
        <v/>
      </c>
      <c r="F3239" t="str">
        <f>HYPERLINK("D:\Data From Lucan\2024\Moresby\Frames_for_Analysis/3236_20240611_0010_R_0922.jpg","3236_20240611_0010_R_0922.jpg")</f>
        <v>3236_20240611_0010_R_0922.jpg</v>
      </c>
      <c r="G3239" s="92" t="s">
        <v>4813</v>
      </c>
      <c r="I3239">
        <v>2</v>
      </c>
      <c r="K3239" s="97">
        <v>1</v>
      </c>
      <c r="L3239" s="31" t="s">
        <v>3959</v>
      </c>
      <c r="M3239" s="31" t="s">
        <v>3959</v>
      </c>
      <c r="N3239" s="31" t="s">
        <v>3959</v>
      </c>
      <c r="O3239" s="31" t="s">
        <v>3959</v>
      </c>
      <c r="P3239" s="57">
        <v>1</v>
      </c>
      <c r="Q3239" s="57">
        <v>0</v>
      </c>
      <c r="R3239" s="57">
        <v>0</v>
      </c>
      <c r="S3239" s="97">
        <v>0</v>
      </c>
      <c r="T3239" s="57">
        <v>0</v>
      </c>
      <c r="U3239" s="57">
        <v>0</v>
      </c>
      <c r="V3239" s="57">
        <v>0</v>
      </c>
      <c r="W3239" s="57">
        <v>0</v>
      </c>
      <c r="X3239" s="97">
        <v>0</v>
      </c>
    </row>
    <row r="3240" spans="1:24" x14ac:dyDescent="0.35">
      <c r="A3240">
        <v>3236</v>
      </c>
      <c r="B3240">
        <v>3237</v>
      </c>
      <c r="C3240">
        <v>146.089271854999</v>
      </c>
      <c r="D3240">
        <v>-17.628446039100002</v>
      </c>
      <c r="E3240" s="92" t="str">
        <f t="shared" si="3"/>
        <v/>
      </c>
      <c r="F3240" t="str">
        <f>HYPERLINK("D:\Data From Lucan\2024\Moresby\Frames_for_Analysis/3237_20240611_0010_R_0919.jpg","3237_20240611_0010_R_0919.jpg")</f>
        <v>3237_20240611_0010_R_0919.jpg</v>
      </c>
      <c r="G3240" s="92" t="s">
        <v>4814</v>
      </c>
      <c r="I3240">
        <v>2</v>
      </c>
      <c r="K3240" s="97">
        <v>1</v>
      </c>
      <c r="L3240" s="31" t="s">
        <v>3959</v>
      </c>
      <c r="M3240" s="31" t="s">
        <v>3959</v>
      </c>
      <c r="N3240" s="31" t="s">
        <v>3959</v>
      </c>
      <c r="O3240" s="31" t="s">
        <v>3959</v>
      </c>
      <c r="P3240" s="57">
        <v>1</v>
      </c>
      <c r="Q3240" s="57">
        <v>0</v>
      </c>
      <c r="R3240" s="57">
        <v>0</v>
      </c>
      <c r="S3240" s="97">
        <v>0</v>
      </c>
      <c r="T3240" s="57">
        <v>0</v>
      </c>
      <c r="U3240" s="57">
        <v>0</v>
      </c>
      <c r="V3240" s="57">
        <v>0</v>
      </c>
      <c r="W3240" s="57">
        <v>0</v>
      </c>
      <c r="X3240" s="97">
        <v>0</v>
      </c>
    </row>
    <row r="3241" spans="1:24" x14ac:dyDescent="0.35">
      <c r="A3241">
        <v>3237</v>
      </c>
      <c r="B3241">
        <v>3238</v>
      </c>
      <c r="C3241">
        <v>146.08918292499899</v>
      </c>
      <c r="D3241">
        <v>-17.628433939699899</v>
      </c>
      <c r="E3241" s="92" t="str">
        <f t="shared" si="3"/>
        <v/>
      </c>
      <c r="F3241" t="str">
        <f>HYPERLINK("D:\Data From Lucan\2024\Moresby\Frames_for_Analysis/3238_20240611_0010_R_0917.jpg","3238_20240611_0010_R_0917.jpg")</f>
        <v>3238_20240611_0010_R_0917.jpg</v>
      </c>
      <c r="G3241" s="92" t="s">
        <v>4815</v>
      </c>
      <c r="I3241">
        <v>2</v>
      </c>
      <c r="K3241" s="97">
        <v>1</v>
      </c>
      <c r="L3241" s="31" t="s">
        <v>3959</v>
      </c>
      <c r="M3241" s="31" t="s">
        <v>3959</v>
      </c>
      <c r="N3241" s="31" t="s">
        <v>3959</v>
      </c>
      <c r="O3241" s="31" t="s">
        <v>3959</v>
      </c>
      <c r="P3241" s="57">
        <v>1</v>
      </c>
      <c r="Q3241" s="57">
        <v>0</v>
      </c>
      <c r="R3241" s="57">
        <v>0</v>
      </c>
      <c r="S3241" s="97">
        <v>0</v>
      </c>
      <c r="T3241" s="57">
        <v>0</v>
      </c>
      <c r="U3241" s="57">
        <v>0</v>
      </c>
      <c r="V3241" s="57">
        <v>0</v>
      </c>
      <c r="W3241" s="57">
        <v>0</v>
      </c>
      <c r="X3241" s="97">
        <v>0</v>
      </c>
    </row>
    <row r="3242" spans="1:24" x14ac:dyDescent="0.35">
      <c r="A3242">
        <v>3238</v>
      </c>
      <c r="B3242">
        <v>3239</v>
      </c>
      <c r="C3242">
        <v>146.08909399500001</v>
      </c>
      <c r="D3242">
        <v>-17.628421840200001</v>
      </c>
      <c r="E3242" s="92" t="str">
        <f t="shared" si="3"/>
        <v/>
      </c>
      <c r="F3242" t="str">
        <f>HYPERLINK("D:\Data From Lucan\2024\Moresby\Frames_for_Analysis/3239_20240611_0010_R_0914.jpg","3239_20240611_0010_R_0914.jpg")</f>
        <v>3239_20240611_0010_R_0914.jpg</v>
      </c>
      <c r="G3242" s="92" t="s">
        <v>4816</v>
      </c>
      <c r="I3242">
        <v>2</v>
      </c>
      <c r="K3242" s="97">
        <v>1</v>
      </c>
      <c r="L3242" s="31" t="s">
        <v>3959</v>
      </c>
      <c r="M3242" s="31" t="s">
        <v>3959</v>
      </c>
      <c r="N3242" s="31" t="s">
        <v>3959</v>
      </c>
      <c r="O3242" s="31" t="s">
        <v>3959</v>
      </c>
      <c r="P3242" s="57">
        <v>1</v>
      </c>
      <c r="Q3242" s="57">
        <v>0</v>
      </c>
      <c r="R3242" s="57">
        <v>0</v>
      </c>
      <c r="S3242" s="97">
        <v>0</v>
      </c>
      <c r="T3242" s="57">
        <v>0</v>
      </c>
      <c r="U3242" s="57">
        <v>0</v>
      </c>
      <c r="V3242" s="57">
        <v>0</v>
      </c>
      <c r="W3242" s="57">
        <v>0</v>
      </c>
      <c r="X3242" s="97">
        <v>0</v>
      </c>
    </row>
    <row r="3243" spans="1:24" x14ac:dyDescent="0.35">
      <c r="A3243">
        <v>3239</v>
      </c>
      <c r="B3243">
        <v>3240</v>
      </c>
      <c r="C3243">
        <v>146.089005065999</v>
      </c>
      <c r="D3243">
        <v>-17.628409740799899</v>
      </c>
      <c r="E3243" s="92">
        <f t="shared" si="3"/>
        <v>50</v>
      </c>
      <c r="F3243" t="str">
        <f>HYPERLINK("D:\Data From Lucan\2024\Moresby\Frames_for_Analysis/3240_20240611_0010_R_0911.jpg","3240_20240611_0010_R_0911.jpg")</f>
        <v>3240_20240611_0010_R_0911.jpg</v>
      </c>
      <c r="G3243" s="92" t="s">
        <v>4817</v>
      </c>
      <c r="I3243">
        <v>2</v>
      </c>
      <c r="K3243" s="97">
        <v>1</v>
      </c>
      <c r="L3243" s="31" t="s">
        <v>3959</v>
      </c>
      <c r="M3243" s="31" t="s">
        <v>3959</v>
      </c>
      <c r="N3243" s="31" t="s">
        <v>3959</v>
      </c>
      <c r="O3243" s="31" t="s">
        <v>3959</v>
      </c>
      <c r="P3243" s="57">
        <v>1</v>
      </c>
      <c r="Q3243" s="57">
        <v>0</v>
      </c>
      <c r="R3243" s="57">
        <v>0</v>
      </c>
      <c r="S3243" s="97">
        <v>0</v>
      </c>
      <c r="T3243" s="57">
        <v>0</v>
      </c>
      <c r="U3243" s="57">
        <v>0</v>
      </c>
      <c r="V3243" s="57">
        <v>0</v>
      </c>
      <c r="W3243" s="57">
        <v>0</v>
      </c>
      <c r="X3243" s="97">
        <v>0</v>
      </c>
    </row>
    <row r="3244" spans="1:24" hidden="1" x14ac:dyDescent="0.35">
      <c r="A3244">
        <v>3240</v>
      </c>
      <c r="B3244">
        <v>3241</v>
      </c>
      <c r="C3244">
        <v>146.088916111</v>
      </c>
      <c r="D3244">
        <v>-17.628397841000002</v>
      </c>
      <c r="F3244" t="str">
        <f>HYPERLINK("D:\Data From Lucan\2024\Moresby\Frames_for_Analysis/3241_20240611_0010_R_0909.jpg","3241_20240611_0010_R_0909.jpg")</f>
        <v>3241_20240611_0010_R_0909.jpg</v>
      </c>
      <c r="G3244" s="92" t="s">
        <v>4818</v>
      </c>
      <c r="I3244">
        <v>3</v>
      </c>
      <c r="K3244" s="57">
        <v>1</v>
      </c>
      <c r="L3244" s="31" t="s">
        <v>3959</v>
      </c>
      <c r="M3244" s="31" t="s">
        <v>3959</v>
      </c>
      <c r="N3244" s="31" t="s">
        <v>3959</v>
      </c>
      <c r="O3244" s="31" t="s">
        <v>3959</v>
      </c>
      <c r="P3244" s="57">
        <v>1</v>
      </c>
      <c r="Q3244" s="57">
        <v>0</v>
      </c>
      <c r="R3244" s="57">
        <v>0</v>
      </c>
      <c r="S3244" s="57">
        <v>0</v>
      </c>
      <c r="T3244" s="57">
        <v>0</v>
      </c>
      <c r="U3244" s="57">
        <v>0</v>
      </c>
      <c r="V3244" s="57">
        <v>0</v>
      </c>
      <c r="W3244" s="57">
        <v>0</v>
      </c>
      <c r="X3244" s="57">
        <v>0</v>
      </c>
    </row>
    <row r="3245" spans="1:24" hidden="1" x14ac:dyDescent="0.35">
      <c r="A3245">
        <v>3241</v>
      </c>
      <c r="B3245">
        <v>3242</v>
      </c>
      <c r="C3245">
        <v>146.088826670999</v>
      </c>
      <c r="D3245">
        <v>-17.628389856999899</v>
      </c>
      <c r="F3245" t="str">
        <f>HYPERLINK("D:\Data From Lucan\2024\Moresby\Frames_for_Analysis/3242_20240611_0010_R_0906.jpg","3242_20240611_0010_R_0906.jpg")</f>
        <v>3242_20240611_0010_R_0906.jpg</v>
      </c>
      <c r="G3245" s="92" t="s">
        <v>4819</v>
      </c>
      <c r="I3245">
        <v>3</v>
      </c>
      <c r="K3245" s="57">
        <v>1</v>
      </c>
      <c r="L3245" s="31" t="s">
        <v>3959</v>
      </c>
      <c r="M3245" s="31" t="s">
        <v>3959</v>
      </c>
      <c r="N3245" s="31" t="s">
        <v>3959</v>
      </c>
      <c r="O3245" s="31" t="s">
        <v>3959</v>
      </c>
      <c r="P3245" s="57">
        <v>1</v>
      </c>
      <c r="Q3245" s="57">
        <v>0</v>
      </c>
      <c r="R3245" s="57">
        <v>0</v>
      </c>
      <c r="S3245" s="57">
        <v>0</v>
      </c>
      <c r="T3245" s="57">
        <v>0</v>
      </c>
      <c r="U3245" s="57">
        <v>0</v>
      </c>
      <c r="V3245" s="57">
        <v>0</v>
      </c>
      <c r="W3245" s="57">
        <v>0</v>
      </c>
      <c r="X3245" s="57">
        <v>0</v>
      </c>
    </row>
    <row r="3246" spans="1:24" hidden="1" x14ac:dyDescent="0.35">
      <c r="A3246">
        <v>3242</v>
      </c>
      <c r="B3246">
        <v>3243</v>
      </c>
      <c r="C3246">
        <v>146.08873723100001</v>
      </c>
      <c r="D3246">
        <v>-17.6283818731</v>
      </c>
      <c r="F3246" t="str">
        <f>HYPERLINK("D:\Data From Lucan\2024\Moresby\Frames_for_Analysis/3243_20240611_0010_R_0903.jpg","3243_20240611_0010_R_0903.jpg")</f>
        <v>3243_20240611_0010_R_0903.jpg</v>
      </c>
      <c r="G3246" s="92" t="s">
        <v>4820</v>
      </c>
      <c r="I3246">
        <v>3</v>
      </c>
      <c r="K3246" s="57">
        <v>1</v>
      </c>
      <c r="L3246" s="31" t="s">
        <v>3959</v>
      </c>
      <c r="M3246" s="31" t="s">
        <v>3959</v>
      </c>
      <c r="N3246" s="31" t="s">
        <v>3959</v>
      </c>
      <c r="O3246" s="31" t="s">
        <v>3959</v>
      </c>
      <c r="P3246" s="57">
        <v>1</v>
      </c>
      <c r="Q3246" s="57">
        <v>0</v>
      </c>
      <c r="R3246" s="57">
        <v>0</v>
      </c>
      <c r="S3246" s="57">
        <v>0</v>
      </c>
      <c r="T3246" s="57">
        <v>0</v>
      </c>
      <c r="U3246" s="57">
        <v>0</v>
      </c>
      <c r="V3246" s="57">
        <v>0</v>
      </c>
      <c r="W3246" s="57">
        <v>0</v>
      </c>
      <c r="X3246" s="57">
        <v>0</v>
      </c>
    </row>
    <row r="3247" spans="1:24" hidden="1" x14ac:dyDescent="0.35">
      <c r="A3247">
        <v>3243</v>
      </c>
      <c r="B3247">
        <v>3244</v>
      </c>
      <c r="C3247">
        <v>146.088647791</v>
      </c>
      <c r="D3247">
        <v>-17.628373889100001</v>
      </c>
      <c r="F3247" t="str">
        <f>HYPERLINK("D:\Data From Lucan\2024\Moresby\Frames_for_Analysis/3244_20240611_0010_R_0901.jpg","3244_20240611_0010_R_0901.jpg")</f>
        <v>3244_20240611_0010_R_0901.jpg</v>
      </c>
      <c r="G3247" s="92" t="s">
        <v>4821</v>
      </c>
      <c r="I3247">
        <v>3</v>
      </c>
      <c r="K3247" s="57">
        <v>1</v>
      </c>
      <c r="L3247" s="31" t="s">
        <v>3959</v>
      </c>
      <c r="M3247" s="31" t="s">
        <v>3959</v>
      </c>
      <c r="N3247" s="31" t="s">
        <v>3959</v>
      </c>
      <c r="O3247" s="31" t="s">
        <v>3959</v>
      </c>
      <c r="P3247" s="57">
        <v>1</v>
      </c>
      <c r="Q3247" s="57">
        <v>0</v>
      </c>
      <c r="R3247" s="57">
        <v>0</v>
      </c>
      <c r="S3247" s="57">
        <v>0</v>
      </c>
      <c r="T3247" s="57">
        <v>0</v>
      </c>
      <c r="U3247" s="57">
        <v>0</v>
      </c>
      <c r="V3247" s="57">
        <v>0</v>
      </c>
      <c r="W3247" s="57">
        <v>0</v>
      </c>
      <c r="X3247" s="57">
        <v>0</v>
      </c>
    </row>
    <row r="3248" spans="1:24" hidden="1" x14ac:dyDescent="0.35">
      <c r="A3248">
        <v>3244</v>
      </c>
      <c r="B3248">
        <v>3245</v>
      </c>
      <c r="C3248">
        <v>146.08855835099899</v>
      </c>
      <c r="D3248">
        <v>-17.6283659051999</v>
      </c>
      <c r="F3248" t="str">
        <f>HYPERLINK("D:\Data From Lucan\2024\Moresby\Frames_for_Analysis/3245_20240611_0010_R_0898.jpg","3245_20240611_0010_R_0898.jpg")</f>
        <v>3245_20240611_0010_R_0898.jpg</v>
      </c>
      <c r="G3248" s="92" t="s">
        <v>4822</v>
      </c>
      <c r="I3248">
        <v>3</v>
      </c>
      <c r="K3248" s="57">
        <v>1</v>
      </c>
      <c r="L3248" s="31" t="s">
        <v>3959</v>
      </c>
      <c r="M3248" s="31" t="s">
        <v>3959</v>
      </c>
      <c r="N3248" s="31" t="s">
        <v>3959</v>
      </c>
      <c r="O3248" s="31" t="s">
        <v>3959</v>
      </c>
      <c r="P3248" s="57">
        <v>1</v>
      </c>
      <c r="Q3248" s="57">
        <v>0</v>
      </c>
      <c r="R3248" s="57">
        <v>0</v>
      </c>
      <c r="S3248" s="57">
        <v>0</v>
      </c>
      <c r="T3248" s="57">
        <v>0</v>
      </c>
      <c r="U3248" s="57">
        <v>0</v>
      </c>
      <c r="V3248" s="57">
        <v>0</v>
      </c>
      <c r="W3248" s="57">
        <v>0</v>
      </c>
      <c r="X3248" s="57">
        <v>0</v>
      </c>
    </row>
    <row r="3249" spans="1:24" hidden="1" x14ac:dyDescent="0.35">
      <c r="A3249">
        <v>3245</v>
      </c>
      <c r="B3249">
        <v>3246</v>
      </c>
      <c r="C3249">
        <v>146.08846891100001</v>
      </c>
      <c r="D3249">
        <v>-17.6283579211999</v>
      </c>
      <c r="F3249" t="str">
        <f>HYPERLINK("D:\Data From Lucan\2024\Moresby\Frames_for_Analysis/3246_20240611_0010_R_0896.jpg","3246_20240611_0010_R_0896.jpg")</f>
        <v>3246_20240611_0010_R_0896.jpg</v>
      </c>
      <c r="G3249" s="92" t="s">
        <v>4823</v>
      </c>
      <c r="I3249">
        <v>3</v>
      </c>
      <c r="K3249" s="57">
        <v>1</v>
      </c>
      <c r="L3249" s="31" t="s">
        <v>3959</v>
      </c>
      <c r="M3249" s="31" t="s">
        <v>3959</v>
      </c>
      <c r="N3249" s="31" t="s">
        <v>3959</v>
      </c>
      <c r="O3249" s="31" t="s">
        <v>3959</v>
      </c>
      <c r="P3249" s="57">
        <v>1</v>
      </c>
      <c r="Q3249" s="57">
        <v>0</v>
      </c>
      <c r="R3249" s="57">
        <v>0</v>
      </c>
      <c r="S3249" s="57">
        <v>0</v>
      </c>
      <c r="T3249" s="57">
        <v>0</v>
      </c>
      <c r="U3249" s="57">
        <v>0</v>
      </c>
      <c r="V3249" s="57">
        <v>0</v>
      </c>
      <c r="W3249" s="57">
        <v>0</v>
      </c>
      <c r="X3249" s="57">
        <v>0</v>
      </c>
    </row>
    <row r="3250" spans="1:24" hidden="1" x14ac:dyDescent="0.35">
      <c r="A3250">
        <v>3246</v>
      </c>
      <c r="B3250">
        <v>3247</v>
      </c>
      <c r="C3250">
        <v>146.088379470999</v>
      </c>
      <c r="D3250">
        <v>-17.6283499371999</v>
      </c>
      <c r="F3250" t="str">
        <f>HYPERLINK("D:\Data From Lucan\2024\Moresby\Frames_for_Analysis/3247_20240611_0010_R_0893.jpg","3247_20240611_0010_R_0893.jpg")</f>
        <v>3247_20240611_0010_R_0893.jpg</v>
      </c>
      <c r="G3250" s="92" t="s">
        <v>4824</v>
      </c>
      <c r="I3250">
        <v>3</v>
      </c>
      <c r="K3250" s="57">
        <v>1</v>
      </c>
      <c r="L3250" s="31" t="s">
        <v>3959</v>
      </c>
      <c r="M3250" s="31" t="s">
        <v>3959</v>
      </c>
      <c r="N3250" s="31" t="s">
        <v>3959</v>
      </c>
      <c r="O3250" s="31" t="s">
        <v>3959</v>
      </c>
      <c r="P3250" s="57">
        <v>1</v>
      </c>
      <c r="Q3250" s="57">
        <v>0</v>
      </c>
      <c r="R3250" s="57">
        <v>0</v>
      </c>
      <c r="S3250" s="57">
        <v>0</v>
      </c>
      <c r="T3250" s="57">
        <v>0</v>
      </c>
      <c r="U3250" s="57">
        <v>0</v>
      </c>
      <c r="V3250" s="57">
        <v>0</v>
      </c>
      <c r="W3250" s="57">
        <v>0</v>
      </c>
      <c r="X3250" s="57">
        <v>0</v>
      </c>
    </row>
    <row r="3251" spans="1:24" hidden="1" x14ac:dyDescent="0.35">
      <c r="A3251">
        <v>3247</v>
      </c>
      <c r="B3251">
        <v>3248</v>
      </c>
      <c r="C3251">
        <v>146.08829003100001</v>
      </c>
      <c r="D3251">
        <v>-17.628341953300001</v>
      </c>
      <c r="F3251" t="str">
        <f>HYPERLINK("D:\Data From Lucan\2024\Moresby\Frames_for_Analysis/3248_20240611_0010_R_0891.jpg","3248_20240611_0010_R_0891.jpg")</f>
        <v>3248_20240611_0010_R_0891.jpg</v>
      </c>
      <c r="G3251" s="92" t="s">
        <v>4825</v>
      </c>
      <c r="I3251">
        <v>3</v>
      </c>
      <c r="K3251" s="57">
        <v>1</v>
      </c>
      <c r="L3251" s="31" t="s">
        <v>3959</v>
      </c>
      <c r="M3251" s="31" t="s">
        <v>3959</v>
      </c>
      <c r="N3251" s="31" t="s">
        <v>3959</v>
      </c>
      <c r="O3251" s="31" t="s">
        <v>3959</v>
      </c>
      <c r="P3251" s="57">
        <v>1</v>
      </c>
      <c r="Q3251" s="57">
        <v>0</v>
      </c>
      <c r="R3251" s="57">
        <v>0</v>
      </c>
      <c r="S3251" s="57">
        <v>0</v>
      </c>
      <c r="T3251" s="57">
        <v>0</v>
      </c>
      <c r="U3251" s="57">
        <v>0</v>
      </c>
      <c r="V3251" s="57">
        <v>0</v>
      </c>
      <c r="W3251" s="57">
        <v>0</v>
      </c>
      <c r="X3251" s="57">
        <v>0</v>
      </c>
    </row>
    <row r="3252" spans="1:24" hidden="1" x14ac:dyDescent="0.35">
      <c r="A3252">
        <v>3248</v>
      </c>
      <c r="B3252">
        <v>3249</v>
      </c>
      <c r="C3252">
        <v>146.08820059000001</v>
      </c>
      <c r="D3252">
        <v>-17.628333969300002</v>
      </c>
      <c r="F3252" t="str">
        <f>HYPERLINK("D:\Data From Lucan\2024\Moresby\Frames_for_Analysis/3249_20240611_0010_R_0888.jpg","3249_20240611_0010_R_0888.jpg")</f>
        <v>3249_20240611_0010_R_0888.jpg</v>
      </c>
      <c r="G3252" s="92" t="s">
        <v>4826</v>
      </c>
      <c r="I3252">
        <v>3</v>
      </c>
      <c r="K3252" s="57">
        <v>1</v>
      </c>
      <c r="L3252" s="31" t="s">
        <v>3959</v>
      </c>
      <c r="M3252" s="31" t="s">
        <v>3959</v>
      </c>
      <c r="N3252" s="31" t="s">
        <v>3959</v>
      </c>
      <c r="O3252" s="31" t="s">
        <v>3959</v>
      </c>
      <c r="P3252" s="57">
        <v>1</v>
      </c>
      <c r="Q3252" s="57">
        <v>0</v>
      </c>
      <c r="R3252" s="57">
        <v>0</v>
      </c>
      <c r="S3252" s="57">
        <v>0</v>
      </c>
      <c r="T3252" s="57">
        <v>0</v>
      </c>
      <c r="U3252" s="57">
        <v>0</v>
      </c>
      <c r="V3252" s="57">
        <v>0</v>
      </c>
      <c r="W3252" s="57">
        <v>0</v>
      </c>
      <c r="X3252" s="57">
        <v>0</v>
      </c>
    </row>
    <row r="3253" spans="1:24" hidden="1" x14ac:dyDescent="0.35">
      <c r="A3253">
        <v>3249</v>
      </c>
      <c r="B3253">
        <v>3250</v>
      </c>
      <c r="C3253">
        <v>146.08811115</v>
      </c>
      <c r="D3253">
        <v>-17.6283259854</v>
      </c>
      <c r="F3253" t="str">
        <f>HYPERLINK("D:\Data From Lucan\2024\Moresby\Frames_for_Analysis/3250_20240611_0010_R_0886.jpg","3250_20240611_0010_R_0886.jpg")</f>
        <v>3250_20240611_0010_R_0886.jpg</v>
      </c>
      <c r="G3253" s="92" t="s">
        <v>4827</v>
      </c>
      <c r="I3253">
        <v>3</v>
      </c>
      <c r="K3253" s="57">
        <v>1</v>
      </c>
      <c r="L3253" s="31" t="s">
        <v>3959</v>
      </c>
      <c r="M3253" s="31" t="s">
        <v>3959</v>
      </c>
      <c r="N3253" s="31" t="s">
        <v>3959</v>
      </c>
      <c r="O3253" s="31" t="s">
        <v>3959</v>
      </c>
      <c r="P3253" s="57">
        <v>1</v>
      </c>
      <c r="Q3253" s="57">
        <v>0</v>
      </c>
      <c r="R3253" s="57">
        <v>0</v>
      </c>
      <c r="S3253" s="57">
        <v>0</v>
      </c>
      <c r="T3253" s="57">
        <v>0</v>
      </c>
      <c r="U3253" s="57">
        <v>0</v>
      </c>
      <c r="V3253" s="57">
        <v>0</v>
      </c>
      <c r="W3253" s="57">
        <v>0</v>
      </c>
      <c r="X3253" s="57">
        <v>0</v>
      </c>
    </row>
    <row r="3254" spans="1:24" hidden="1" x14ac:dyDescent="0.35">
      <c r="A3254">
        <v>3250</v>
      </c>
      <c r="B3254">
        <v>3251</v>
      </c>
      <c r="C3254">
        <v>146.088021709999</v>
      </c>
      <c r="D3254">
        <v>-17.6283180014</v>
      </c>
      <c r="F3254" t="str">
        <f>HYPERLINK("D:\Data From Lucan\2024\Moresby\Frames_for_Analysis/3251_20240611_0010_R_0883.jpg","3251_20240611_0010_R_0883.jpg")</f>
        <v>3251_20240611_0010_R_0883.jpg</v>
      </c>
      <c r="G3254" s="92" t="s">
        <v>4828</v>
      </c>
      <c r="I3254">
        <v>3</v>
      </c>
      <c r="K3254" s="57">
        <v>1</v>
      </c>
      <c r="L3254" s="31" t="s">
        <v>3959</v>
      </c>
      <c r="M3254" s="31" t="s">
        <v>3959</v>
      </c>
      <c r="N3254" s="31" t="s">
        <v>3959</v>
      </c>
      <c r="O3254" s="31" t="s">
        <v>3959</v>
      </c>
      <c r="P3254" s="57">
        <v>1</v>
      </c>
      <c r="Q3254" s="57">
        <v>0</v>
      </c>
      <c r="R3254" s="57">
        <v>0</v>
      </c>
      <c r="S3254" s="57">
        <v>0</v>
      </c>
      <c r="T3254" s="57">
        <v>0</v>
      </c>
      <c r="U3254" s="57">
        <v>0</v>
      </c>
      <c r="V3254" s="57">
        <v>0</v>
      </c>
      <c r="W3254" s="57">
        <v>0</v>
      </c>
      <c r="X3254" s="57">
        <v>0</v>
      </c>
    </row>
    <row r="3255" spans="1:24" hidden="1" x14ac:dyDescent="0.35">
      <c r="A3255">
        <v>3251</v>
      </c>
      <c r="B3255">
        <v>3252</v>
      </c>
      <c r="C3255">
        <v>146.08793227000001</v>
      </c>
      <c r="D3255">
        <v>-17.6283100174</v>
      </c>
      <c r="F3255" t="str">
        <f>HYPERLINK("D:\Data From Lucan\2024\Moresby\Frames_for_Analysis/3252_20240611_0010_R_0881.jpg","3252_20240611_0010_R_0881.jpg")</f>
        <v>3252_20240611_0010_R_0881.jpg</v>
      </c>
      <c r="G3255" s="92" t="s">
        <v>4829</v>
      </c>
      <c r="I3255">
        <v>3</v>
      </c>
      <c r="K3255" s="57">
        <v>1</v>
      </c>
      <c r="L3255" s="31" t="s">
        <v>3959</v>
      </c>
      <c r="M3255" s="31" t="s">
        <v>3959</v>
      </c>
      <c r="N3255" s="31" t="s">
        <v>3959</v>
      </c>
      <c r="O3255" s="31" t="s">
        <v>3959</v>
      </c>
      <c r="P3255" s="57">
        <v>1</v>
      </c>
      <c r="Q3255" s="57">
        <v>0</v>
      </c>
      <c r="R3255" s="57">
        <v>0</v>
      </c>
      <c r="S3255" s="57">
        <v>0</v>
      </c>
      <c r="T3255" s="57">
        <v>0</v>
      </c>
      <c r="U3255" s="57">
        <v>0</v>
      </c>
      <c r="V3255" s="57">
        <v>0</v>
      </c>
      <c r="W3255" s="57">
        <v>0</v>
      </c>
      <c r="X3255" s="57">
        <v>0</v>
      </c>
    </row>
    <row r="3256" spans="1:24" hidden="1" x14ac:dyDescent="0.35">
      <c r="A3256">
        <v>3252</v>
      </c>
      <c r="B3256">
        <v>3253</v>
      </c>
      <c r="C3256">
        <v>146.08784283</v>
      </c>
      <c r="D3256">
        <v>-17.628302033499899</v>
      </c>
      <c r="F3256" t="str">
        <f>HYPERLINK("D:\Data From Lucan\2024\Moresby\Frames_for_Analysis/3253_20240611_0010_R_0879.jpg","3253_20240611_0010_R_0879.jpg")</f>
        <v>3253_20240611_0010_R_0879.jpg</v>
      </c>
      <c r="G3256" s="92" t="s">
        <v>4830</v>
      </c>
      <c r="I3256">
        <v>3</v>
      </c>
      <c r="K3256" s="57">
        <v>1</v>
      </c>
      <c r="L3256" s="31" t="s">
        <v>3959</v>
      </c>
      <c r="M3256" s="31" t="s">
        <v>3959</v>
      </c>
      <c r="N3256" s="31" t="s">
        <v>3959</v>
      </c>
      <c r="O3256" s="31" t="s">
        <v>3959</v>
      </c>
      <c r="P3256" s="57">
        <v>1</v>
      </c>
      <c r="Q3256" s="57">
        <v>0</v>
      </c>
      <c r="R3256" s="57">
        <v>0</v>
      </c>
      <c r="S3256" s="57">
        <v>0</v>
      </c>
      <c r="T3256" s="57">
        <v>0</v>
      </c>
      <c r="U3256" s="57">
        <v>0</v>
      </c>
      <c r="V3256" s="57">
        <v>0</v>
      </c>
      <c r="W3256" s="57">
        <v>0</v>
      </c>
      <c r="X3256" s="57">
        <v>0</v>
      </c>
    </row>
    <row r="3257" spans="1:24" hidden="1" x14ac:dyDescent="0.35">
      <c r="A3257">
        <v>3253</v>
      </c>
      <c r="B3257">
        <v>3254</v>
      </c>
      <c r="C3257">
        <v>146.08775338999899</v>
      </c>
      <c r="D3257">
        <v>-17.6282940494999</v>
      </c>
      <c r="F3257" t="str">
        <f>HYPERLINK("D:\Data From Lucan\2024\Moresby\Frames_for_Analysis/3254_20240611_0010_R_0876.jpg","3254_20240611_0010_R_0876.jpg")</f>
        <v>3254_20240611_0010_R_0876.jpg</v>
      </c>
      <c r="G3257" s="92" t="s">
        <v>4831</v>
      </c>
      <c r="I3257">
        <v>3</v>
      </c>
      <c r="K3257" s="57">
        <v>1</v>
      </c>
      <c r="L3257" s="31" t="s">
        <v>3959</v>
      </c>
      <c r="M3257" s="31" t="s">
        <v>3959</v>
      </c>
      <c r="N3257" s="31" t="s">
        <v>3959</v>
      </c>
      <c r="O3257" s="31" t="s">
        <v>3959</v>
      </c>
      <c r="P3257" s="57">
        <v>1</v>
      </c>
      <c r="Q3257" s="57">
        <v>0</v>
      </c>
      <c r="R3257" s="57">
        <v>0</v>
      </c>
      <c r="S3257" s="57">
        <v>0</v>
      </c>
      <c r="T3257" s="57">
        <v>0</v>
      </c>
      <c r="U3257" s="57">
        <v>0</v>
      </c>
      <c r="V3257" s="57">
        <v>0</v>
      </c>
      <c r="W3257" s="57">
        <v>0</v>
      </c>
      <c r="X3257" s="57">
        <v>0</v>
      </c>
    </row>
    <row r="3258" spans="1:24" hidden="1" x14ac:dyDescent="0.35">
      <c r="A3258">
        <v>3254</v>
      </c>
      <c r="B3258">
        <v>3255</v>
      </c>
      <c r="C3258">
        <v>146.08766395000001</v>
      </c>
      <c r="D3258">
        <v>-17.6282860654999</v>
      </c>
      <c r="F3258" t="str">
        <f>HYPERLINK("D:\Data From Lucan\2024\Moresby\Frames_for_Analysis/3255_20240611_0010_R_0874.jpg","3255_20240611_0010_R_0874.jpg")</f>
        <v>3255_20240611_0010_R_0874.jpg</v>
      </c>
      <c r="G3258" s="92" t="s">
        <v>4832</v>
      </c>
      <c r="I3258">
        <v>3</v>
      </c>
      <c r="K3258" s="57">
        <v>1</v>
      </c>
      <c r="L3258" s="31" t="s">
        <v>3959</v>
      </c>
      <c r="M3258" s="31" t="s">
        <v>3959</v>
      </c>
      <c r="N3258" s="31" t="s">
        <v>3959</v>
      </c>
      <c r="O3258" s="31" t="s">
        <v>3959</v>
      </c>
      <c r="P3258" s="57">
        <v>1</v>
      </c>
      <c r="Q3258" s="57">
        <v>0</v>
      </c>
      <c r="R3258" s="57">
        <v>0</v>
      </c>
      <c r="S3258" s="57">
        <v>0</v>
      </c>
      <c r="T3258" s="57">
        <v>0</v>
      </c>
      <c r="U3258" s="57">
        <v>0</v>
      </c>
      <c r="V3258" s="57">
        <v>0</v>
      </c>
      <c r="W3258" s="57">
        <v>0</v>
      </c>
      <c r="X3258" s="57">
        <v>0</v>
      </c>
    </row>
    <row r="3259" spans="1:24" hidden="1" x14ac:dyDescent="0.35">
      <c r="A3259">
        <v>3255</v>
      </c>
      <c r="B3259">
        <v>3256</v>
      </c>
      <c r="C3259">
        <v>146.087574509999</v>
      </c>
      <c r="D3259">
        <v>-17.628278081600001</v>
      </c>
      <c r="F3259" t="str">
        <f>HYPERLINK("D:\Data From Lucan\2024\Moresby\Frames_for_Analysis/3256_20240611_0010_R_0871.jpg","3256_20240611_0010_R_0871.jpg")</f>
        <v>3256_20240611_0010_R_0871.jpg</v>
      </c>
      <c r="G3259" s="92" t="s">
        <v>4833</v>
      </c>
      <c r="I3259">
        <v>3</v>
      </c>
      <c r="K3259" s="57">
        <v>1</v>
      </c>
      <c r="L3259" s="31" t="s">
        <v>3959</v>
      </c>
      <c r="M3259" s="31" t="s">
        <v>3959</v>
      </c>
      <c r="N3259" s="31" t="s">
        <v>3959</v>
      </c>
      <c r="O3259" s="31" t="s">
        <v>3959</v>
      </c>
      <c r="P3259" s="57">
        <v>1</v>
      </c>
      <c r="Q3259" s="57">
        <v>0</v>
      </c>
      <c r="R3259" s="57">
        <v>0</v>
      </c>
      <c r="S3259" s="57">
        <v>0</v>
      </c>
      <c r="T3259" s="57">
        <v>0</v>
      </c>
      <c r="U3259" s="57">
        <v>0</v>
      </c>
      <c r="V3259" s="57">
        <v>0</v>
      </c>
      <c r="W3259" s="57">
        <v>0</v>
      </c>
      <c r="X3259" s="57">
        <v>0</v>
      </c>
    </row>
    <row r="3260" spans="1:24" hidden="1" x14ac:dyDescent="0.35">
      <c r="A3260">
        <v>3256</v>
      </c>
      <c r="B3260">
        <v>3257</v>
      </c>
      <c r="C3260">
        <v>146.08748507000001</v>
      </c>
      <c r="D3260">
        <v>-17.628270097600002</v>
      </c>
      <c r="F3260" t="str">
        <f>HYPERLINK("D:\Data From Lucan\2024\Moresby\Frames_for_Analysis/3257_20240611_0010_R_0869.jpg","3257_20240611_0010_R_0869.jpg")</f>
        <v>3257_20240611_0010_R_0869.jpg</v>
      </c>
      <c r="G3260" s="92" t="s">
        <v>4834</v>
      </c>
      <c r="I3260">
        <v>3</v>
      </c>
      <c r="K3260" s="57">
        <v>1</v>
      </c>
      <c r="L3260" s="31" t="s">
        <v>3959</v>
      </c>
      <c r="M3260" s="31" t="s">
        <v>3959</v>
      </c>
      <c r="N3260" s="31" t="s">
        <v>3959</v>
      </c>
      <c r="O3260" s="31" t="s">
        <v>3959</v>
      </c>
      <c r="P3260" s="57">
        <v>1</v>
      </c>
      <c r="Q3260" s="57">
        <v>0</v>
      </c>
      <c r="R3260" s="57">
        <v>0</v>
      </c>
      <c r="S3260" s="57">
        <v>0</v>
      </c>
      <c r="T3260" s="57">
        <v>0</v>
      </c>
      <c r="U3260" s="57">
        <v>0</v>
      </c>
      <c r="V3260" s="57">
        <v>0</v>
      </c>
      <c r="W3260" s="57">
        <v>0</v>
      </c>
      <c r="X3260" s="57">
        <v>0</v>
      </c>
    </row>
    <row r="3261" spans="1:24" hidden="1" x14ac:dyDescent="0.35">
      <c r="A3261">
        <v>3257</v>
      </c>
      <c r="B3261">
        <v>3258</v>
      </c>
      <c r="C3261">
        <v>146.087395606</v>
      </c>
      <c r="D3261">
        <v>-17.6282624074999</v>
      </c>
      <c r="F3261" t="str">
        <f>HYPERLINK("D:\Data From Lucan\2024\Moresby\Frames_for_Analysis/3258_20240611_0010_R_0866.jpg","3258_20240611_0010_R_0866.jpg")</f>
        <v>3258_20240611_0010_R_0866.jpg</v>
      </c>
      <c r="G3261" s="92" t="s">
        <v>4835</v>
      </c>
      <c r="I3261">
        <v>3</v>
      </c>
      <c r="K3261" s="57">
        <v>1</v>
      </c>
      <c r="L3261" s="31" t="s">
        <v>3959</v>
      </c>
      <c r="M3261" s="31" t="s">
        <v>3959</v>
      </c>
      <c r="N3261" s="31" t="s">
        <v>3959</v>
      </c>
      <c r="O3261" s="31" t="s">
        <v>3959</v>
      </c>
      <c r="P3261" s="57">
        <v>1</v>
      </c>
      <c r="Q3261" s="57">
        <v>0</v>
      </c>
      <c r="R3261" s="57">
        <v>0</v>
      </c>
      <c r="S3261" s="57">
        <v>0</v>
      </c>
      <c r="T3261" s="57">
        <v>0</v>
      </c>
      <c r="U3261" s="57">
        <v>0</v>
      </c>
      <c r="V3261" s="57">
        <v>0</v>
      </c>
      <c r="W3261" s="57">
        <v>0</v>
      </c>
      <c r="X3261" s="57">
        <v>0</v>
      </c>
    </row>
    <row r="3262" spans="1:24" hidden="1" x14ac:dyDescent="0.35">
      <c r="A3262">
        <v>3258</v>
      </c>
      <c r="B3262">
        <v>3259</v>
      </c>
      <c r="C3262">
        <v>146.08730595200001</v>
      </c>
      <c r="D3262">
        <v>-17.6282570177999</v>
      </c>
      <c r="F3262" t="str">
        <f>HYPERLINK("D:\Data From Lucan\2024\Moresby\Frames_for_Analysis/3259_20240611_0010_R_0864.jpg","3259_20240611_0010_R_0864.jpg")</f>
        <v>3259_20240611_0010_R_0864.jpg</v>
      </c>
      <c r="G3262" s="92" t="s">
        <v>4836</v>
      </c>
      <c r="I3262">
        <v>3</v>
      </c>
      <c r="K3262" s="57">
        <v>1</v>
      </c>
      <c r="L3262" s="31" t="s">
        <v>3959</v>
      </c>
      <c r="M3262" s="31" t="s">
        <v>3959</v>
      </c>
      <c r="N3262" s="31" t="s">
        <v>3959</v>
      </c>
      <c r="O3262" s="31" t="s">
        <v>3959</v>
      </c>
      <c r="P3262" s="57">
        <v>1</v>
      </c>
      <c r="Q3262" s="57">
        <v>0</v>
      </c>
      <c r="R3262" s="57">
        <v>0</v>
      </c>
      <c r="S3262" s="57">
        <v>0</v>
      </c>
      <c r="T3262" s="57">
        <v>0</v>
      </c>
      <c r="U3262" s="57">
        <v>0</v>
      </c>
      <c r="V3262" s="57">
        <v>0</v>
      </c>
      <c r="W3262" s="57">
        <v>0</v>
      </c>
      <c r="X3262" s="57">
        <v>0</v>
      </c>
    </row>
    <row r="3263" spans="1:24" hidden="1" x14ac:dyDescent="0.35">
      <c r="A3263">
        <v>3259</v>
      </c>
      <c r="B3263">
        <v>3260</v>
      </c>
      <c r="C3263">
        <v>146.087216299</v>
      </c>
      <c r="D3263">
        <v>-17.628251628000001</v>
      </c>
      <c r="F3263" t="str">
        <f>HYPERLINK("D:\Data From Lucan\2024\Moresby\Frames_for_Analysis/3260_20240611_0010_R_0861.jpg","3260_20240611_0010_R_0861.jpg")</f>
        <v>3260_20240611_0010_R_0861.jpg</v>
      </c>
      <c r="G3263" s="92" t="s">
        <v>4837</v>
      </c>
      <c r="I3263">
        <v>3</v>
      </c>
      <c r="K3263" s="57">
        <v>1</v>
      </c>
      <c r="L3263" s="31" t="s">
        <v>3959</v>
      </c>
      <c r="M3263" s="31" t="s">
        <v>3959</v>
      </c>
      <c r="N3263" s="31" t="s">
        <v>3959</v>
      </c>
      <c r="O3263" s="31" t="s">
        <v>3959</v>
      </c>
      <c r="P3263" s="57">
        <v>1</v>
      </c>
      <c r="Q3263" s="57">
        <v>0</v>
      </c>
      <c r="R3263" s="57">
        <v>0</v>
      </c>
      <c r="S3263" s="57">
        <v>0</v>
      </c>
      <c r="T3263" s="57">
        <v>0</v>
      </c>
      <c r="U3263" s="57">
        <v>0</v>
      </c>
      <c r="V3263" s="57">
        <v>0</v>
      </c>
      <c r="W3263" s="57">
        <v>0</v>
      </c>
      <c r="X3263" s="57">
        <v>0</v>
      </c>
    </row>
    <row r="3264" spans="1:24" hidden="1" x14ac:dyDescent="0.35">
      <c r="A3264">
        <v>3260</v>
      </c>
      <c r="B3264">
        <v>3261</v>
      </c>
      <c r="C3264">
        <v>146.087126646</v>
      </c>
      <c r="D3264">
        <v>-17.628246238300001</v>
      </c>
      <c r="F3264" t="str">
        <f>HYPERLINK("D:\Data From Lucan\2024\Moresby\Frames_for_Analysis/3261_20240611_0010_R_0859.jpg","3261_20240611_0010_R_0859.jpg")</f>
        <v>3261_20240611_0010_R_0859.jpg</v>
      </c>
      <c r="G3264" s="92" t="s">
        <v>4838</v>
      </c>
      <c r="I3264">
        <v>3</v>
      </c>
      <c r="K3264" s="57">
        <v>1</v>
      </c>
      <c r="L3264" s="31" t="s">
        <v>3959</v>
      </c>
      <c r="M3264" s="31" t="s">
        <v>3959</v>
      </c>
      <c r="N3264" s="31" t="s">
        <v>3959</v>
      </c>
      <c r="O3264" s="31" t="s">
        <v>3959</v>
      </c>
      <c r="P3264" s="57">
        <v>1</v>
      </c>
      <c r="Q3264" s="57">
        <v>0</v>
      </c>
      <c r="R3264" s="57">
        <v>0</v>
      </c>
      <c r="S3264" s="57">
        <v>0</v>
      </c>
      <c r="T3264" s="57">
        <v>0</v>
      </c>
      <c r="U3264" s="57">
        <v>0</v>
      </c>
      <c r="V3264" s="57">
        <v>0</v>
      </c>
      <c r="W3264" s="57">
        <v>0</v>
      </c>
      <c r="X3264" s="57">
        <v>0</v>
      </c>
    </row>
    <row r="3265" spans="1:24" hidden="1" x14ac:dyDescent="0.35">
      <c r="A3265">
        <v>3261</v>
      </c>
      <c r="B3265">
        <v>3262</v>
      </c>
      <c r="C3265">
        <v>146.08703699200001</v>
      </c>
      <c r="D3265">
        <v>-17.6282408484999</v>
      </c>
      <c r="F3265" t="str">
        <f>HYPERLINK("D:\Data From Lucan\2024\Moresby\Frames_for_Analysis/3262_20240611_0010_R_0856.jpg","3262_20240611_0010_R_0856.jpg")</f>
        <v>3262_20240611_0010_R_0856.jpg</v>
      </c>
      <c r="G3265" s="92" t="s">
        <v>4839</v>
      </c>
      <c r="I3265">
        <v>3</v>
      </c>
      <c r="K3265" s="57">
        <v>1</v>
      </c>
      <c r="L3265" s="31" t="s">
        <v>3959</v>
      </c>
      <c r="M3265" s="31" t="s">
        <v>3959</v>
      </c>
      <c r="N3265" s="31" t="s">
        <v>3959</v>
      </c>
      <c r="O3265" s="31" t="s">
        <v>3959</v>
      </c>
      <c r="P3265" s="57">
        <v>1</v>
      </c>
      <c r="Q3265" s="57">
        <v>0</v>
      </c>
      <c r="R3265" s="57">
        <v>0</v>
      </c>
      <c r="S3265" s="57">
        <v>0</v>
      </c>
      <c r="T3265" s="57">
        <v>0</v>
      </c>
      <c r="U3265" s="57">
        <v>0</v>
      </c>
      <c r="V3265" s="57">
        <v>0</v>
      </c>
      <c r="W3265" s="57">
        <v>0</v>
      </c>
      <c r="X3265" s="57">
        <v>0</v>
      </c>
    </row>
    <row r="3266" spans="1:24" hidden="1" x14ac:dyDescent="0.35">
      <c r="A3266">
        <v>3262</v>
      </c>
      <c r="B3266">
        <v>3263</v>
      </c>
      <c r="C3266">
        <v>146.08694733900001</v>
      </c>
      <c r="D3266">
        <v>-17.6282354587999</v>
      </c>
      <c r="F3266" t="str">
        <f>HYPERLINK("D:\Data From Lucan\2024\Moresby\Frames_for_Analysis/3263_20240611_0010_R_0854.jpg","3263_20240611_0010_R_0854.jpg")</f>
        <v>3263_20240611_0010_R_0854.jpg</v>
      </c>
      <c r="G3266" s="92" t="s">
        <v>4840</v>
      </c>
      <c r="I3266">
        <v>3</v>
      </c>
      <c r="K3266" s="57">
        <v>1</v>
      </c>
      <c r="L3266" s="31" t="s">
        <v>3959</v>
      </c>
      <c r="M3266" s="31" t="s">
        <v>3959</v>
      </c>
      <c r="N3266" s="31" t="s">
        <v>3959</v>
      </c>
      <c r="O3266" s="31" t="s">
        <v>3959</v>
      </c>
      <c r="P3266" s="57">
        <v>1</v>
      </c>
      <c r="Q3266" s="57">
        <v>0</v>
      </c>
      <c r="R3266" s="57">
        <v>0</v>
      </c>
      <c r="S3266" s="57">
        <v>0</v>
      </c>
      <c r="T3266" s="57">
        <v>0</v>
      </c>
      <c r="U3266" s="57">
        <v>0</v>
      </c>
      <c r="V3266" s="57">
        <v>0</v>
      </c>
      <c r="W3266" s="57">
        <v>0</v>
      </c>
      <c r="X3266" s="57">
        <v>0</v>
      </c>
    </row>
    <row r="3267" spans="1:24" hidden="1" x14ac:dyDescent="0.35">
      <c r="A3267">
        <v>3263</v>
      </c>
      <c r="B3267">
        <v>3264</v>
      </c>
      <c r="C3267">
        <v>146.086857686</v>
      </c>
      <c r="D3267">
        <v>-17.628230069000001</v>
      </c>
      <c r="F3267" t="str">
        <f>HYPERLINK("D:\Data From Lucan\2024\Moresby\Frames_for_Analysis/3264_20240611_0010_R_0851.jpg","3264_20240611_0010_R_0851.jpg")</f>
        <v>3264_20240611_0010_R_0851.jpg</v>
      </c>
      <c r="G3267" s="92" t="s">
        <v>4841</v>
      </c>
      <c r="I3267">
        <v>3</v>
      </c>
      <c r="K3267" s="57">
        <v>1</v>
      </c>
      <c r="L3267" s="31" t="s">
        <v>3959</v>
      </c>
      <c r="M3267" s="31" t="s">
        <v>3959</v>
      </c>
      <c r="N3267" s="31" t="s">
        <v>3959</v>
      </c>
      <c r="O3267" s="31" t="s">
        <v>3959</v>
      </c>
      <c r="P3267" s="57">
        <v>1</v>
      </c>
      <c r="Q3267" s="57">
        <v>0</v>
      </c>
      <c r="R3267" s="57">
        <v>0</v>
      </c>
      <c r="S3267" s="57">
        <v>0</v>
      </c>
      <c r="T3267" s="57">
        <v>0</v>
      </c>
      <c r="U3267" s="57">
        <v>0</v>
      </c>
      <c r="V3267" s="57">
        <v>0</v>
      </c>
      <c r="W3267" s="57">
        <v>0</v>
      </c>
      <c r="X3267" s="57">
        <v>0</v>
      </c>
    </row>
    <row r="3268" spans="1:24" hidden="1" x14ac:dyDescent="0.35">
      <c r="A3268">
        <v>3264</v>
      </c>
      <c r="B3268">
        <v>3265</v>
      </c>
      <c r="C3268">
        <v>146.08676803200001</v>
      </c>
      <c r="D3268">
        <v>-17.628224679300001</v>
      </c>
      <c r="F3268" t="str">
        <f>HYPERLINK("D:\Data From Lucan\2024\Moresby\Frames_for_Analysis/3265_20240611_0010_R_0849.jpg","3265_20240611_0010_R_0849.jpg")</f>
        <v>3265_20240611_0010_R_0849.jpg</v>
      </c>
      <c r="G3268" s="92" t="s">
        <v>4842</v>
      </c>
      <c r="I3268">
        <v>3</v>
      </c>
      <c r="K3268" s="57">
        <v>1</v>
      </c>
      <c r="L3268" s="31" t="s">
        <v>3959</v>
      </c>
      <c r="M3268" s="31" t="s">
        <v>3959</v>
      </c>
      <c r="N3268" s="31" t="s">
        <v>3959</v>
      </c>
      <c r="O3268" s="31" t="s">
        <v>3959</v>
      </c>
      <c r="P3268" s="57">
        <v>1</v>
      </c>
      <c r="Q3268" s="57">
        <v>0</v>
      </c>
      <c r="R3268" s="57">
        <v>0</v>
      </c>
      <c r="S3268" s="57">
        <v>0</v>
      </c>
      <c r="T3268" s="57">
        <v>0</v>
      </c>
      <c r="U3268" s="57">
        <v>0</v>
      </c>
      <c r="V3268" s="57">
        <v>0</v>
      </c>
      <c r="W3268" s="57">
        <v>0</v>
      </c>
      <c r="X3268" s="57">
        <v>0</v>
      </c>
    </row>
    <row r="3269" spans="1:24" hidden="1" x14ac:dyDescent="0.35">
      <c r="A3269">
        <v>3265</v>
      </c>
      <c r="B3269">
        <v>3266</v>
      </c>
      <c r="C3269">
        <v>146.08667837900001</v>
      </c>
      <c r="D3269">
        <v>-17.628219289499899</v>
      </c>
      <c r="F3269" t="str">
        <f>HYPERLINK("D:\Data From Lucan\2024\Moresby\Frames_for_Analysis/3266_20240611_0010_R_0846.jpg","3266_20240611_0010_R_0846.jpg")</f>
        <v>3266_20240611_0010_R_0846.jpg</v>
      </c>
      <c r="G3269" s="92" t="s">
        <v>4843</v>
      </c>
      <c r="I3269">
        <v>3</v>
      </c>
      <c r="K3269" s="57">
        <v>1</v>
      </c>
      <c r="L3269" s="31" t="s">
        <v>3959</v>
      </c>
      <c r="M3269" s="31" t="s">
        <v>3959</v>
      </c>
      <c r="N3269" s="31" t="s">
        <v>3959</v>
      </c>
      <c r="O3269" s="31" t="s">
        <v>3959</v>
      </c>
      <c r="P3269" s="57">
        <v>1</v>
      </c>
      <c r="Q3269" s="57">
        <v>0</v>
      </c>
      <c r="R3269" s="57">
        <v>0</v>
      </c>
      <c r="S3269" s="57">
        <v>0</v>
      </c>
      <c r="T3269" s="57">
        <v>0</v>
      </c>
      <c r="U3269" s="57">
        <v>0</v>
      </c>
      <c r="V3269" s="57">
        <v>0</v>
      </c>
      <c r="W3269" s="57">
        <v>0</v>
      </c>
      <c r="X3269" s="57">
        <v>0</v>
      </c>
    </row>
    <row r="3270" spans="1:24" hidden="1" x14ac:dyDescent="0.35">
      <c r="A3270">
        <v>3266</v>
      </c>
      <c r="B3270">
        <v>3267</v>
      </c>
      <c r="C3270">
        <v>146.086588726</v>
      </c>
      <c r="D3270">
        <v>-17.628213899799899</v>
      </c>
      <c r="F3270" t="str">
        <f>HYPERLINK("D:\Data From Lucan\2024\Moresby\Frames_for_Analysis/3267_20240611_0010_R_0844.jpg","3267_20240611_0010_R_0844.jpg")</f>
        <v>3267_20240611_0010_R_0844.jpg</v>
      </c>
      <c r="G3270" s="92" t="s">
        <v>4844</v>
      </c>
      <c r="I3270">
        <v>3</v>
      </c>
      <c r="K3270" s="57">
        <v>1</v>
      </c>
      <c r="L3270" s="31" t="s">
        <v>3959</v>
      </c>
      <c r="M3270" s="31" t="s">
        <v>3959</v>
      </c>
      <c r="N3270" s="31" t="s">
        <v>3959</v>
      </c>
      <c r="O3270" s="31" t="s">
        <v>3959</v>
      </c>
      <c r="P3270" s="57">
        <v>1</v>
      </c>
      <c r="Q3270" s="57">
        <v>0</v>
      </c>
      <c r="R3270" s="57">
        <v>0</v>
      </c>
      <c r="S3270" s="57">
        <v>0</v>
      </c>
      <c r="T3270" s="57">
        <v>0</v>
      </c>
      <c r="U3270" s="57">
        <v>0</v>
      </c>
      <c r="V3270" s="57">
        <v>0</v>
      </c>
      <c r="W3270" s="57">
        <v>0</v>
      </c>
      <c r="X3270" s="57">
        <v>0</v>
      </c>
    </row>
    <row r="3271" spans="1:24" hidden="1" x14ac:dyDescent="0.35">
      <c r="A3271">
        <v>3267</v>
      </c>
      <c r="B3271">
        <v>3268</v>
      </c>
      <c r="C3271">
        <v>146.08649907200001</v>
      </c>
      <c r="D3271">
        <v>-17.628208510099899</v>
      </c>
      <c r="F3271" t="str">
        <f>HYPERLINK("D:\Data From Lucan\2024\Moresby\Frames_for_Analysis/3268_20240611_0010_R_0841.jpg","3268_20240611_0010_R_0841.jpg")</f>
        <v>3268_20240611_0010_R_0841.jpg</v>
      </c>
      <c r="G3271" s="92" t="s">
        <v>4845</v>
      </c>
      <c r="I3271">
        <v>3</v>
      </c>
      <c r="K3271" s="57">
        <v>1</v>
      </c>
      <c r="L3271" s="31" t="s">
        <v>3959</v>
      </c>
      <c r="M3271" s="31" t="s">
        <v>3959</v>
      </c>
      <c r="N3271" s="31" t="s">
        <v>3959</v>
      </c>
      <c r="O3271" s="31" t="s">
        <v>3959</v>
      </c>
      <c r="P3271" s="57">
        <v>1</v>
      </c>
      <c r="Q3271" s="57">
        <v>0</v>
      </c>
      <c r="R3271" s="57">
        <v>0</v>
      </c>
      <c r="S3271" s="57">
        <v>0</v>
      </c>
      <c r="T3271" s="57">
        <v>0</v>
      </c>
      <c r="U3271" s="57">
        <v>0</v>
      </c>
      <c r="V3271" s="57">
        <v>0</v>
      </c>
      <c r="W3271" s="57">
        <v>0</v>
      </c>
      <c r="X3271" s="57">
        <v>0</v>
      </c>
    </row>
    <row r="3272" spans="1:24" hidden="1" x14ac:dyDescent="0.35">
      <c r="A3272">
        <v>3268</v>
      </c>
      <c r="B3272">
        <v>3269</v>
      </c>
      <c r="C3272">
        <v>146.08640941900001</v>
      </c>
      <c r="D3272">
        <v>-17.6282031203</v>
      </c>
      <c r="F3272" t="str">
        <f>HYPERLINK("D:\Data From Lucan\2024\Moresby\Frames_for_Analysis/3269_20240611_0010_R_0839.jpg","3269_20240611_0010_R_0839.jpg")</f>
        <v>3269_20240611_0010_R_0839.jpg</v>
      </c>
      <c r="G3272" s="92" t="s">
        <v>4846</v>
      </c>
      <c r="I3272">
        <v>3</v>
      </c>
      <c r="K3272" s="57">
        <v>1</v>
      </c>
      <c r="L3272" s="31" t="s">
        <v>3959</v>
      </c>
      <c r="M3272" s="31" t="s">
        <v>3959</v>
      </c>
      <c r="N3272" s="31" t="s">
        <v>3959</v>
      </c>
      <c r="O3272" s="31" t="s">
        <v>3959</v>
      </c>
      <c r="P3272" s="57">
        <v>1</v>
      </c>
      <c r="Q3272" s="57">
        <v>0</v>
      </c>
      <c r="R3272" s="57">
        <v>0</v>
      </c>
      <c r="S3272" s="57">
        <v>0</v>
      </c>
      <c r="T3272" s="57">
        <v>0</v>
      </c>
      <c r="U3272" s="57">
        <v>0</v>
      </c>
      <c r="V3272" s="57">
        <v>0</v>
      </c>
      <c r="W3272" s="57">
        <v>0</v>
      </c>
      <c r="X3272" s="57">
        <v>0</v>
      </c>
    </row>
    <row r="3273" spans="1:24" hidden="1" x14ac:dyDescent="0.35">
      <c r="A3273">
        <v>3269</v>
      </c>
      <c r="B3273">
        <v>3270</v>
      </c>
      <c r="C3273">
        <v>146.086319766</v>
      </c>
      <c r="D3273">
        <v>-17.6281977306</v>
      </c>
      <c r="F3273" t="str">
        <f>HYPERLINK("D:\Data From Lucan\2024\Moresby\Frames_for_Analysis/3270_20240611_0010_R_0836.jpg","3270_20240611_0010_R_0836.jpg")</f>
        <v>3270_20240611_0010_R_0836.jpg</v>
      </c>
      <c r="G3273" s="92" t="s">
        <v>4847</v>
      </c>
      <c r="I3273">
        <v>3</v>
      </c>
      <c r="K3273" s="57">
        <v>1</v>
      </c>
      <c r="L3273" s="31" t="s">
        <v>3959</v>
      </c>
      <c r="M3273" s="31" t="s">
        <v>3959</v>
      </c>
      <c r="N3273" s="31" t="s">
        <v>3959</v>
      </c>
      <c r="O3273" s="31" t="s">
        <v>3959</v>
      </c>
      <c r="P3273" s="57">
        <v>1</v>
      </c>
      <c r="Q3273" s="57">
        <v>0</v>
      </c>
      <c r="R3273" s="57">
        <v>0</v>
      </c>
      <c r="S3273" s="57">
        <v>0</v>
      </c>
      <c r="T3273" s="57">
        <v>0</v>
      </c>
      <c r="U3273" s="57">
        <v>0</v>
      </c>
      <c r="V3273" s="57">
        <v>0</v>
      </c>
      <c r="W3273" s="57">
        <v>0</v>
      </c>
      <c r="X3273" s="57">
        <v>0</v>
      </c>
    </row>
    <row r="3274" spans="1:24" hidden="1" x14ac:dyDescent="0.35">
      <c r="A3274">
        <v>3270</v>
      </c>
      <c r="B3274">
        <v>3271</v>
      </c>
      <c r="C3274">
        <v>146.08623011200001</v>
      </c>
      <c r="D3274">
        <v>-17.628192340799899</v>
      </c>
      <c r="F3274" t="str">
        <f>HYPERLINK("D:\Data From Lucan\2024\Moresby\Frames_for_Analysis/3271_20240611_0010_R_0833.jpg","3271_20240611_0010_R_0833.jpg")</f>
        <v>3271_20240611_0010_R_0833.jpg</v>
      </c>
      <c r="G3274" s="92" t="s">
        <v>4848</v>
      </c>
      <c r="I3274">
        <v>3</v>
      </c>
      <c r="K3274" s="57">
        <v>1</v>
      </c>
      <c r="L3274" s="31" t="s">
        <v>3959</v>
      </c>
      <c r="M3274" s="31" t="s">
        <v>3959</v>
      </c>
      <c r="N3274" s="31" t="s">
        <v>3959</v>
      </c>
      <c r="O3274" s="31" t="s">
        <v>3959</v>
      </c>
      <c r="P3274" s="57">
        <v>1</v>
      </c>
      <c r="Q3274" s="57">
        <v>0</v>
      </c>
      <c r="R3274" s="57">
        <v>0</v>
      </c>
      <c r="S3274" s="57">
        <v>0</v>
      </c>
      <c r="T3274" s="57">
        <v>0</v>
      </c>
      <c r="U3274" s="57">
        <v>0</v>
      </c>
      <c r="V3274" s="57">
        <v>0</v>
      </c>
      <c r="W3274" s="57">
        <v>0</v>
      </c>
      <c r="X3274" s="57">
        <v>0</v>
      </c>
    </row>
    <row r="3275" spans="1:24" hidden="1" x14ac:dyDescent="0.35">
      <c r="A3275">
        <v>3271</v>
      </c>
      <c r="B3275">
        <v>3272</v>
      </c>
      <c r="C3275">
        <v>146.08614045900001</v>
      </c>
      <c r="D3275">
        <v>-17.628186951099899</v>
      </c>
      <c r="F3275" t="str">
        <f>HYPERLINK("D:\Data From Lucan\2024\Moresby\Frames_for_Analysis/3272_20240611_0010_R_0831.jpg","3272_20240611_0010_R_0831.jpg")</f>
        <v>3272_20240611_0010_R_0831.jpg</v>
      </c>
      <c r="G3275" s="92" t="s">
        <v>4849</v>
      </c>
      <c r="I3275">
        <v>3</v>
      </c>
      <c r="K3275" s="57">
        <v>1</v>
      </c>
      <c r="L3275" s="31" t="s">
        <v>3959</v>
      </c>
      <c r="M3275" s="31" t="s">
        <v>3959</v>
      </c>
      <c r="N3275" s="31" t="s">
        <v>3959</v>
      </c>
      <c r="O3275" s="31" t="s">
        <v>3959</v>
      </c>
      <c r="P3275" s="57">
        <v>1</v>
      </c>
      <c r="Q3275" s="57">
        <v>0</v>
      </c>
      <c r="R3275" s="57">
        <v>0</v>
      </c>
      <c r="S3275" s="57">
        <v>0</v>
      </c>
      <c r="T3275" s="57">
        <v>0</v>
      </c>
      <c r="U3275" s="57">
        <v>0</v>
      </c>
      <c r="V3275" s="57">
        <v>0</v>
      </c>
      <c r="W3275" s="57">
        <v>0</v>
      </c>
      <c r="X3275" s="57">
        <v>0</v>
      </c>
    </row>
    <row r="3276" spans="1:24" hidden="1" x14ac:dyDescent="0.35">
      <c r="A3276">
        <v>3272</v>
      </c>
      <c r="B3276">
        <v>3273</v>
      </c>
      <c r="C3276">
        <v>146.08605079200001</v>
      </c>
      <c r="D3276">
        <v>-17.628181956900001</v>
      </c>
      <c r="F3276" t="str">
        <f>HYPERLINK("D:\Data From Lucan\2024\Moresby\Frames_for_Analysis/3273_20240611_0010_R_0828.jpg","3273_20240611_0010_R_0828.jpg")</f>
        <v>3273_20240611_0010_R_0828.jpg</v>
      </c>
      <c r="G3276" s="92" t="s">
        <v>4850</v>
      </c>
      <c r="I3276">
        <v>3</v>
      </c>
      <c r="K3276" s="57">
        <v>1</v>
      </c>
      <c r="L3276" s="31" t="s">
        <v>3959</v>
      </c>
      <c r="M3276" s="31" t="s">
        <v>3959</v>
      </c>
      <c r="N3276" s="31" t="s">
        <v>3959</v>
      </c>
      <c r="O3276" s="31" t="s">
        <v>3959</v>
      </c>
      <c r="P3276" s="57">
        <v>1</v>
      </c>
      <c r="Q3276" s="57">
        <v>0</v>
      </c>
      <c r="R3276" s="57">
        <v>0</v>
      </c>
      <c r="S3276" s="57">
        <v>0</v>
      </c>
      <c r="T3276" s="57">
        <v>0</v>
      </c>
      <c r="U3276" s="57">
        <v>0</v>
      </c>
      <c r="V3276" s="57">
        <v>0</v>
      </c>
      <c r="W3276" s="57">
        <v>0</v>
      </c>
      <c r="X3276" s="57">
        <v>0</v>
      </c>
    </row>
    <row r="3277" spans="1:24" hidden="1" x14ac:dyDescent="0.35">
      <c r="A3277">
        <v>3273</v>
      </c>
      <c r="B3277">
        <v>3274</v>
      </c>
      <c r="C3277">
        <v>146.08596096100001</v>
      </c>
      <c r="D3277">
        <v>-17.6281815406</v>
      </c>
      <c r="F3277" t="str">
        <f>HYPERLINK("D:\Data From Lucan\2024\Moresby\Frames_for_Analysis/3274_20240611_0010_R_0826.jpg","3274_20240611_0010_R_0826.jpg")</f>
        <v>3274_20240611_0010_R_0826.jpg</v>
      </c>
      <c r="G3277" s="92" t="s">
        <v>4851</v>
      </c>
      <c r="I3277">
        <v>3</v>
      </c>
      <c r="K3277" s="57">
        <v>1</v>
      </c>
      <c r="L3277" s="31" t="s">
        <v>3959</v>
      </c>
      <c r="M3277" s="31" t="s">
        <v>3959</v>
      </c>
      <c r="N3277" s="31" t="s">
        <v>3959</v>
      </c>
      <c r="O3277" s="31" t="s">
        <v>3959</v>
      </c>
      <c r="P3277" s="57">
        <v>1</v>
      </c>
      <c r="Q3277" s="57">
        <v>0</v>
      </c>
      <c r="R3277" s="57">
        <v>0</v>
      </c>
      <c r="S3277" s="57">
        <v>0</v>
      </c>
      <c r="T3277" s="57">
        <v>0</v>
      </c>
      <c r="U3277" s="57">
        <v>0</v>
      </c>
      <c r="V3277" s="57">
        <v>0</v>
      </c>
      <c r="W3277" s="57">
        <v>0</v>
      </c>
      <c r="X3277" s="57">
        <v>0</v>
      </c>
    </row>
    <row r="3278" spans="1:24" hidden="1" x14ac:dyDescent="0.35">
      <c r="A3278">
        <v>3274</v>
      </c>
      <c r="B3278">
        <v>3275</v>
      </c>
      <c r="C3278">
        <v>146.085871131</v>
      </c>
      <c r="D3278">
        <v>-17.628181124400001</v>
      </c>
      <c r="F3278" t="str">
        <f>HYPERLINK("D:\Data From Lucan\2024\Moresby\Frames_for_Analysis/3275_20240611_0010_R_0823.jpg","3275_20240611_0010_R_0823.jpg")</f>
        <v>3275_20240611_0010_R_0823.jpg</v>
      </c>
      <c r="G3278" s="92" t="s">
        <v>4852</v>
      </c>
      <c r="I3278">
        <v>3</v>
      </c>
      <c r="K3278" s="57">
        <v>1</v>
      </c>
      <c r="L3278" s="31" t="s">
        <v>3959</v>
      </c>
      <c r="M3278" s="31" t="s">
        <v>3959</v>
      </c>
      <c r="N3278" s="31" t="s">
        <v>3959</v>
      </c>
      <c r="O3278" s="31" t="s">
        <v>3959</v>
      </c>
      <c r="P3278" s="57">
        <v>1</v>
      </c>
      <c r="Q3278" s="57">
        <v>0</v>
      </c>
      <c r="R3278" s="57">
        <v>0</v>
      </c>
      <c r="S3278" s="57">
        <v>0</v>
      </c>
      <c r="T3278" s="57">
        <v>0</v>
      </c>
      <c r="U3278" s="57">
        <v>0</v>
      </c>
      <c r="V3278" s="57">
        <v>0</v>
      </c>
      <c r="W3278" s="57">
        <v>0</v>
      </c>
      <c r="X3278" s="57">
        <v>0</v>
      </c>
    </row>
    <row r="3279" spans="1:24" hidden="1" x14ac:dyDescent="0.35">
      <c r="A3279">
        <v>3275</v>
      </c>
      <c r="B3279">
        <v>3276</v>
      </c>
      <c r="C3279">
        <v>146.08578130000001</v>
      </c>
      <c r="D3279">
        <v>-17.6281807081</v>
      </c>
      <c r="F3279" t="str">
        <f>HYPERLINK("D:\Data From Lucan\2024\Moresby\Frames_for_Analysis/3276_20240611_0010_R_0821.jpg","3276_20240611_0010_R_0821.jpg")</f>
        <v>3276_20240611_0010_R_0821.jpg</v>
      </c>
      <c r="G3279" s="92" t="s">
        <v>4853</v>
      </c>
      <c r="I3279">
        <v>3</v>
      </c>
      <c r="K3279" s="57">
        <v>1</v>
      </c>
      <c r="L3279" s="31" t="s">
        <v>3959</v>
      </c>
      <c r="M3279" s="31" t="s">
        <v>3959</v>
      </c>
      <c r="N3279" s="31" t="s">
        <v>3959</v>
      </c>
      <c r="O3279" s="31" t="s">
        <v>3959</v>
      </c>
      <c r="P3279" s="57">
        <v>1</v>
      </c>
      <c r="Q3279" s="57">
        <v>0</v>
      </c>
      <c r="R3279" s="57">
        <v>0</v>
      </c>
      <c r="S3279" s="57">
        <v>0</v>
      </c>
      <c r="T3279" s="57">
        <v>0</v>
      </c>
      <c r="U3279" s="57">
        <v>0</v>
      </c>
      <c r="V3279" s="57">
        <v>0</v>
      </c>
      <c r="W3279" s="57">
        <v>0</v>
      </c>
      <c r="X3279" s="57">
        <v>0</v>
      </c>
    </row>
    <row r="3280" spans="1:24" hidden="1" x14ac:dyDescent="0.35">
      <c r="A3280">
        <v>3276</v>
      </c>
      <c r="B3280">
        <v>3277</v>
      </c>
      <c r="C3280">
        <v>146.08569147</v>
      </c>
      <c r="D3280">
        <v>-17.6281802918</v>
      </c>
      <c r="F3280" t="str">
        <f>HYPERLINK("D:\Data From Lucan\2024\Moresby\Frames_for_Analysis/3277_20240611_0010_R_0818.jpg","3277_20240611_0010_R_0818.jpg")</f>
        <v>3277_20240611_0010_R_0818.jpg</v>
      </c>
      <c r="G3280" s="92" t="s">
        <v>4854</v>
      </c>
      <c r="I3280">
        <v>3</v>
      </c>
      <c r="K3280" s="57">
        <v>1</v>
      </c>
      <c r="L3280" s="31" t="s">
        <v>3959</v>
      </c>
      <c r="M3280" s="31" t="s">
        <v>3959</v>
      </c>
      <c r="N3280" s="31" t="s">
        <v>3959</v>
      </c>
      <c r="O3280" s="31" t="s">
        <v>3959</v>
      </c>
      <c r="P3280" s="57">
        <v>1</v>
      </c>
      <c r="Q3280" s="57">
        <v>0</v>
      </c>
      <c r="R3280" s="57">
        <v>0</v>
      </c>
      <c r="S3280" s="57">
        <v>0</v>
      </c>
      <c r="T3280" s="57">
        <v>0</v>
      </c>
      <c r="U3280" s="57">
        <v>0</v>
      </c>
      <c r="V3280" s="57">
        <v>0</v>
      </c>
      <c r="W3280" s="57">
        <v>0</v>
      </c>
      <c r="X3280" s="57">
        <v>0</v>
      </c>
    </row>
    <row r="3281" spans="1:24" hidden="1" x14ac:dyDescent="0.35">
      <c r="A3281">
        <v>3277</v>
      </c>
      <c r="B3281">
        <v>3278</v>
      </c>
      <c r="C3281">
        <v>146.085601639</v>
      </c>
      <c r="D3281">
        <v>-17.6281798754999</v>
      </c>
      <c r="F3281" t="str">
        <f>HYPERLINK("D:\Data From Lucan\2024\Moresby\Frames_for_Analysis/3278_20240611_0010_R_0816.jpg","3278_20240611_0010_R_0816.jpg")</f>
        <v>3278_20240611_0010_R_0816.jpg</v>
      </c>
      <c r="G3281" s="92" t="s">
        <v>4855</v>
      </c>
      <c r="I3281">
        <v>3</v>
      </c>
      <c r="K3281" s="57">
        <v>1</v>
      </c>
      <c r="L3281" s="31" t="s">
        <v>3959</v>
      </c>
      <c r="M3281" s="31" t="s">
        <v>3959</v>
      </c>
      <c r="N3281" s="31" t="s">
        <v>3959</v>
      </c>
      <c r="O3281" s="31" t="s">
        <v>3959</v>
      </c>
      <c r="P3281" s="57">
        <v>1</v>
      </c>
      <c r="Q3281" s="57">
        <v>0</v>
      </c>
      <c r="R3281" s="57">
        <v>0</v>
      </c>
      <c r="S3281" s="57">
        <v>0</v>
      </c>
      <c r="T3281" s="57">
        <v>0</v>
      </c>
      <c r="U3281" s="57">
        <v>0</v>
      </c>
      <c r="V3281" s="57">
        <v>0</v>
      </c>
      <c r="W3281" s="57">
        <v>0</v>
      </c>
      <c r="X3281" s="57">
        <v>0</v>
      </c>
    </row>
    <row r="3282" spans="1:24" hidden="1" x14ac:dyDescent="0.35">
      <c r="A3282">
        <v>3278</v>
      </c>
      <c r="B3282">
        <v>3279</v>
      </c>
      <c r="C3282">
        <v>146.085511808999</v>
      </c>
      <c r="D3282">
        <v>-17.6281794593</v>
      </c>
      <c r="F3282" t="str">
        <f>HYPERLINK("D:\Data From Lucan\2024\Moresby\Frames_for_Analysis/3279_20240611_0010_R_0813.jpg","3279_20240611_0010_R_0813.jpg")</f>
        <v>3279_20240611_0010_R_0813.jpg</v>
      </c>
      <c r="G3282" s="92" t="s">
        <v>4856</v>
      </c>
      <c r="I3282">
        <v>3</v>
      </c>
      <c r="K3282" s="57">
        <v>1</v>
      </c>
      <c r="L3282" s="31" t="s">
        <v>3959</v>
      </c>
      <c r="M3282" s="31" t="s">
        <v>3959</v>
      </c>
      <c r="N3282" s="31" t="s">
        <v>3959</v>
      </c>
      <c r="O3282" s="31" t="s">
        <v>3959</v>
      </c>
      <c r="P3282" s="57">
        <v>1</v>
      </c>
      <c r="Q3282" s="57">
        <v>0</v>
      </c>
      <c r="R3282" s="57">
        <v>0</v>
      </c>
      <c r="S3282" s="57">
        <v>0</v>
      </c>
      <c r="T3282" s="57">
        <v>0</v>
      </c>
      <c r="U3282" s="57">
        <v>0</v>
      </c>
      <c r="V3282" s="57">
        <v>0</v>
      </c>
      <c r="W3282" s="57">
        <v>0</v>
      </c>
      <c r="X3282" s="57">
        <v>0</v>
      </c>
    </row>
    <row r="3283" spans="1:24" hidden="1" x14ac:dyDescent="0.35">
      <c r="A3283">
        <v>3279</v>
      </c>
      <c r="B3283">
        <v>3280</v>
      </c>
      <c r="C3283">
        <v>146.085421977999</v>
      </c>
      <c r="D3283">
        <v>-17.6281790429999</v>
      </c>
      <c r="F3283" t="str">
        <f>HYPERLINK("D:\Data From Lucan\2024\Moresby\Frames_for_Analysis/3280_20240611_0010_R_0811.jpg","3280_20240611_0010_R_0811.jpg")</f>
        <v>3280_20240611_0010_R_0811.jpg</v>
      </c>
      <c r="G3283" s="92" t="s">
        <v>4857</v>
      </c>
      <c r="I3283">
        <v>3</v>
      </c>
      <c r="K3283" s="57">
        <v>1</v>
      </c>
      <c r="L3283" s="31" t="s">
        <v>3959</v>
      </c>
      <c r="M3283" s="31" t="s">
        <v>3959</v>
      </c>
      <c r="N3283" s="31" t="s">
        <v>3959</v>
      </c>
      <c r="O3283" s="31" t="s">
        <v>3959</v>
      </c>
      <c r="P3283" s="57">
        <v>1</v>
      </c>
      <c r="Q3283" s="57">
        <v>0</v>
      </c>
      <c r="R3283" s="57">
        <v>0</v>
      </c>
      <c r="S3283" s="57">
        <v>0</v>
      </c>
      <c r="T3283" s="57">
        <v>0</v>
      </c>
      <c r="U3283" s="57">
        <v>0</v>
      </c>
      <c r="V3283" s="57">
        <v>0</v>
      </c>
      <c r="W3283" s="57">
        <v>0</v>
      </c>
      <c r="X3283" s="57">
        <v>0</v>
      </c>
    </row>
    <row r="3284" spans="1:24" hidden="1" x14ac:dyDescent="0.35">
      <c r="A3284">
        <v>3280</v>
      </c>
      <c r="B3284">
        <v>3281</v>
      </c>
      <c r="C3284">
        <v>146.085332456999</v>
      </c>
      <c r="D3284">
        <v>-17.628182384599899</v>
      </c>
      <c r="F3284" t="str">
        <f>HYPERLINK("D:\Data From Lucan\2024\Moresby\Frames_for_Analysis/3281_20240611_0010_R_0808.jpg","3281_20240611_0010_R_0808.jpg")</f>
        <v>3281_20240611_0010_R_0808.jpg</v>
      </c>
      <c r="G3284" s="92" t="s">
        <v>4858</v>
      </c>
      <c r="I3284">
        <v>3</v>
      </c>
      <c r="K3284" s="57">
        <v>1</v>
      </c>
      <c r="L3284" s="31" t="s">
        <v>3959</v>
      </c>
      <c r="M3284" s="31" t="s">
        <v>3959</v>
      </c>
      <c r="N3284" s="31" t="s">
        <v>3959</v>
      </c>
      <c r="O3284" s="31" t="s">
        <v>3959</v>
      </c>
      <c r="P3284" s="57">
        <v>1</v>
      </c>
      <c r="Q3284" s="57">
        <v>0</v>
      </c>
      <c r="R3284" s="57">
        <v>0</v>
      </c>
      <c r="S3284" s="57">
        <v>0</v>
      </c>
      <c r="T3284" s="57">
        <v>0</v>
      </c>
      <c r="U3284" s="57">
        <v>0</v>
      </c>
      <c r="V3284" s="57">
        <v>0</v>
      </c>
      <c r="W3284" s="57">
        <v>0</v>
      </c>
      <c r="X3284" s="57">
        <v>0</v>
      </c>
    </row>
    <row r="3285" spans="1:24" hidden="1" x14ac:dyDescent="0.35">
      <c r="A3285">
        <v>3281</v>
      </c>
      <c r="B3285">
        <v>3282</v>
      </c>
      <c r="C3285">
        <v>146.08524379100001</v>
      </c>
      <c r="D3285">
        <v>-17.628196132100001</v>
      </c>
      <c r="F3285" t="str">
        <f>HYPERLINK("D:\Data From Lucan\2024\Moresby\Frames_for_Analysis/3282_20240611_0010_R_0806.jpg","3282_20240611_0010_R_0806.jpg")</f>
        <v>3282_20240611_0010_R_0806.jpg</v>
      </c>
      <c r="G3285" s="92" t="s">
        <v>4859</v>
      </c>
      <c r="I3285">
        <v>3</v>
      </c>
      <c r="K3285" s="57">
        <v>1</v>
      </c>
      <c r="L3285" s="31" t="s">
        <v>3959</v>
      </c>
      <c r="M3285" s="31" t="s">
        <v>3959</v>
      </c>
      <c r="N3285" s="31" t="s">
        <v>3959</v>
      </c>
      <c r="O3285" s="31" t="s">
        <v>3959</v>
      </c>
      <c r="P3285" s="57">
        <v>1</v>
      </c>
      <c r="Q3285" s="57">
        <v>0</v>
      </c>
      <c r="R3285" s="57">
        <v>0</v>
      </c>
      <c r="S3285" s="57">
        <v>0</v>
      </c>
      <c r="T3285" s="57">
        <v>0</v>
      </c>
      <c r="U3285" s="57">
        <v>0</v>
      </c>
      <c r="V3285" s="57">
        <v>0</v>
      </c>
      <c r="W3285" s="57">
        <v>0</v>
      </c>
      <c r="X3285" s="57">
        <v>0</v>
      </c>
    </row>
    <row r="3286" spans="1:24" hidden="1" x14ac:dyDescent="0.35">
      <c r="A3286">
        <v>3282</v>
      </c>
      <c r="B3286">
        <v>3283</v>
      </c>
      <c r="C3286">
        <v>146.085155125</v>
      </c>
      <c r="D3286">
        <v>-17.628209879700002</v>
      </c>
      <c r="F3286" t="str">
        <f>HYPERLINK("D:\Data From Lucan\2024\Moresby\Frames_for_Analysis/3283_20240611_0010_R_0803.jpg","3283_20240611_0010_R_0803.jpg")</f>
        <v>3283_20240611_0010_R_0803.jpg</v>
      </c>
      <c r="G3286" s="92" t="s">
        <v>4860</v>
      </c>
      <c r="I3286">
        <v>3</v>
      </c>
      <c r="K3286" s="57">
        <v>1</v>
      </c>
      <c r="L3286" s="31" t="s">
        <v>3959</v>
      </c>
      <c r="M3286" s="31" t="s">
        <v>3959</v>
      </c>
      <c r="N3286" s="31" t="s">
        <v>3959</v>
      </c>
      <c r="O3286" s="31" t="s">
        <v>3959</v>
      </c>
      <c r="P3286" s="57">
        <v>1</v>
      </c>
      <c r="Q3286" s="57">
        <v>0</v>
      </c>
      <c r="R3286" s="57">
        <v>0</v>
      </c>
      <c r="S3286" s="57">
        <v>0</v>
      </c>
      <c r="T3286" s="57">
        <v>0</v>
      </c>
      <c r="U3286" s="57">
        <v>0</v>
      </c>
      <c r="V3286" s="57">
        <v>0</v>
      </c>
      <c r="W3286" s="57">
        <v>0</v>
      </c>
      <c r="X3286" s="57">
        <v>0</v>
      </c>
    </row>
    <row r="3287" spans="1:24" hidden="1" x14ac:dyDescent="0.35">
      <c r="A3287">
        <v>3283</v>
      </c>
      <c r="B3287">
        <v>3284</v>
      </c>
      <c r="C3287">
        <v>146.08506645899899</v>
      </c>
      <c r="D3287">
        <v>-17.628223627200001</v>
      </c>
      <c r="F3287" t="str">
        <f>HYPERLINK("D:\Data From Lucan\2024\Moresby\Frames_for_Analysis/3284_20240611_0010_R_0800.jpg","3284_20240611_0010_R_0800.jpg")</f>
        <v>3284_20240611_0010_R_0800.jpg</v>
      </c>
      <c r="G3287" s="92" t="s">
        <v>4861</v>
      </c>
      <c r="I3287">
        <v>3</v>
      </c>
      <c r="K3287" s="57">
        <v>1</v>
      </c>
      <c r="L3287" s="31" t="s">
        <v>3959</v>
      </c>
      <c r="M3287" s="31" t="s">
        <v>3959</v>
      </c>
      <c r="N3287" s="31" t="s">
        <v>3959</v>
      </c>
      <c r="O3287" s="31" t="s">
        <v>3959</v>
      </c>
      <c r="P3287" s="57">
        <v>1</v>
      </c>
      <c r="Q3287" s="57">
        <v>0</v>
      </c>
      <c r="R3287" s="57">
        <v>0</v>
      </c>
      <c r="S3287" s="57">
        <v>0</v>
      </c>
      <c r="T3287" s="57">
        <v>0</v>
      </c>
      <c r="U3287" s="57">
        <v>0</v>
      </c>
      <c r="V3287" s="57">
        <v>0</v>
      </c>
      <c r="W3287" s="57">
        <v>0</v>
      </c>
      <c r="X3287" s="57">
        <v>0</v>
      </c>
    </row>
    <row r="3288" spans="1:24" hidden="1" x14ac:dyDescent="0.35">
      <c r="A3288">
        <v>3284</v>
      </c>
      <c r="B3288">
        <v>3285</v>
      </c>
      <c r="C3288">
        <v>146.084977793999</v>
      </c>
      <c r="D3288">
        <v>-17.6282373746999</v>
      </c>
      <c r="F3288" t="str">
        <f>HYPERLINK("D:\Data From Lucan\2024\Moresby\Frames_for_Analysis/3285_20240611_0010_R_0797.jpg","3285_20240611_0010_R_0797.jpg")</f>
        <v>3285_20240611_0010_R_0797.jpg</v>
      </c>
      <c r="G3288" s="92" t="s">
        <v>4862</v>
      </c>
      <c r="I3288">
        <v>3</v>
      </c>
      <c r="K3288" s="57">
        <v>1</v>
      </c>
      <c r="L3288" s="31" t="s">
        <v>3959</v>
      </c>
      <c r="M3288" s="31" t="s">
        <v>3959</v>
      </c>
      <c r="N3288" s="31" t="s">
        <v>3959</v>
      </c>
      <c r="O3288" s="31" t="s">
        <v>3959</v>
      </c>
      <c r="P3288" s="57">
        <v>1</v>
      </c>
      <c r="Q3288" s="57">
        <v>0</v>
      </c>
      <c r="R3288" s="57">
        <v>0</v>
      </c>
      <c r="S3288" s="57">
        <v>0</v>
      </c>
      <c r="T3288" s="57">
        <v>0</v>
      </c>
      <c r="U3288" s="57">
        <v>0</v>
      </c>
      <c r="V3288" s="57">
        <v>0</v>
      </c>
      <c r="W3288" s="57">
        <v>0</v>
      </c>
      <c r="X3288" s="57">
        <v>0</v>
      </c>
    </row>
    <row r="3289" spans="1:24" hidden="1" x14ac:dyDescent="0.35">
      <c r="A3289">
        <v>3285</v>
      </c>
      <c r="B3289">
        <v>3286</v>
      </c>
      <c r="C3289">
        <v>146.084896117</v>
      </c>
      <c r="D3289">
        <v>-17.628270796399899</v>
      </c>
      <c r="F3289" t="str">
        <f>HYPERLINK("D:\Data From Lucan\2024\Moresby\Frames_for_Analysis/3286_20240611_0010_R_0793.jpg","3286_20240611_0010_R_0793.jpg")</f>
        <v>3286_20240611_0010_R_0793.jpg</v>
      </c>
      <c r="G3289" s="92" t="s">
        <v>4863</v>
      </c>
      <c r="I3289">
        <v>3</v>
      </c>
      <c r="K3289" s="57">
        <v>1</v>
      </c>
      <c r="L3289" s="31" t="s">
        <v>3959</v>
      </c>
      <c r="M3289" s="31" t="s">
        <v>3959</v>
      </c>
      <c r="N3289" s="31" t="s">
        <v>3959</v>
      </c>
      <c r="O3289" s="31" t="s">
        <v>3959</v>
      </c>
      <c r="P3289" s="57">
        <v>1</v>
      </c>
      <c r="Q3289" s="57">
        <v>0</v>
      </c>
      <c r="R3289" s="57">
        <v>0</v>
      </c>
      <c r="S3289" s="57">
        <v>0</v>
      </c>
      <c r="T3289" s="57">
        <v>0</v>
      </c>
      <c r="U3289" s="57">
        <v>0</v>
      </c>
      <c r="V3289" s="57">
        <v>0</v>
      </c>
      <c r="W3289" s="57">
        <v>0</v>
      </c>
      <c r="X3289" s="57">
        <v>0</v>
      </c>
    </row>
    <row r="3290" spans="1:24" hidden="1" x14ac:dyDescent="0.35">
      <c r="A3290">
        <v>3286</v>
      </c>
      <c r="B3290">
        <v>3287</v>
      </c>
      <c r="C3290">
        <v>146.08481692500001</v>
      </c>
      <c r="D3290">
        <v>-17.628311212</v>
      </c>
      <c r="F3290" t="str">
        <f>HYPERLINK("D:\Data From Lucan\2024\Moresby\Frames_for_Analysis/3287_20240611_0010_R_0786.jpg","3287_20240611_0010_R_0786.jpg")</f>
        <v>3287_20240611_0010_R_0786.jpg</v>
      </c>
      <c r="G3290" s="92" t="s">
        <v>4864</v>
      </c>
      <c r="I3290">
        <v>3</v>
      </c>
      <c r="K3290" s="57">
        <v>1</v>
      </c>
      <c r="L3290" s="31" t="s">
        <v>3959</v>
      </c>
      <c r="M3290" s="31" t="s">
        <v>3959</v>
      </c>
      <c r="N3290" s="31" t="s">
        <v>3959</v>
      </c>
      <c r="O3290" s="31" t="s">
        <v>3959</v>
      </c>
      <c r="P3290" s="57">
        <v>1</v>
      </c>
      <c r="Q3290" s="57">
        <v>0</v>
      </c>
      <c r="R3290" s="57">
        <v>0</v>
      </c>
      <c r="S3290" s="57">
        <v>0</v>
      </c>
      <c r="T3290" s="57">
        <v>0</v>
      </c>
      <c r="U3290" s="57">
        <v>0</v>
      </c>
      <c r="V3290" s="57">
        <v>0</v>
      </c>
      <c r="W3290" s="57">
        <v>0</v>
      </c>
      <c r="X3290" s="57">
        <v>0</v>
      </c>
    </row>
    <row r="3291" spans="1:24" hidden="1" x14ac:dyDescent="0.35">
      <c r="A3291">
        <v>3287</v>
      </c>
      <c r="B3291">
        <v>3288</v>
      </c>
      <c r="C3291">
        <v>146.08473773399899</v>
      </c>
      <c r="D3291">
        <v>-17.628351627699899</v>
      </c>
      <c r="F3291" t="str">
        <f>HYPERLINK("D:\Data From Lucan\2024\Moresby\Frames_for_Analysis/3288_20240611_0010_R_0783.jpg","3288_20240611_0010_R_0783.jpg")</f>
        <v>3288_20240611_0010_R_0783.jpg</v>
      </c>
      <c r="G3291" s="92" t="s">
        <v>4865</v>
      </c>
      <c r="I3291">
        <v>3</v>
      </c>
      <c r="K3291" s="57">
        <v>1</v>
      </c>
      <c r="L3291" s="31" t="s">
        <v>3959</v>
      </c>
      <c r="M3291" s="31" t="s">
        <v>3959</v>
      </c>
      <c r="N3291" s="31" t="s">
        <v>3959</v>
      </c>
      <c r="O3291" s="31" t="s">
        <v>3959</v>
      </c>
      <c r="P3291" s="57">
        <v>1</v>
      </c>
      <c r="Q3291" s="57">
        <v>0</v>
      </c>
      <c r="R3291" s="57">
        <v>0</v>
      </c>
      <c r="S3291" s="57">
        <v>0</v>
      </c>
      <c r="T3291" s="57">
        <v>0</v>
      </c>
      <c r="U3291" s="57">
        <v>0</v>
      </c>
      <c r="V3291" s="57">
        <v>0</v>
      </c>
      <c r="W3291" s="57">
        <v>0</v>
      </c>
      <c r="X3291" s="57">
        <v>0</v>
      </c>
    </row>
    <row r="3292" spans="1:24" hidden="1" x14ac:dyDescent="0.35">
      <c r="A3292">
        <v>3288</v>
      </c>
      <c r="B3292">
        <v>3289</v>
      </c>
      <c r="C3292">
        <v>146.084659278</v>
      </c>
      <c r="D3292">
        <v>-17.628393077799899</v>
      </c>
      <c r="F3292" t="str">
        <f>HYPERLINK("D:\Data From Lucan\2024\Moresby\Frames_for_Analysis/3289_20240611_0010_R_0780.jpg","3289_20240611_0010_R_0780.jpg")</f>
        <v>3289_20240611_0010_R_0780.jpg</v>
      </c>
      <c r="G3292" s="92" t="s">
        <v>4866</v>
      </c>
      <c r="I3292">
        <v>3</v>
      </c>
      <c r="K3292" s="57">
        <v>1</v>
      </c>
      <c r="L3292" s="31" t="s">
        <v>3959</v>
      </c>
      <c r="M3292" s="31" t="s">
        <v>3959</v>
      </c>
      <c r="N3292" s="31" t="s">
        <v>3959</v>
      </c>
      <c r="O3292" s="31" t="s">
        <v>3959</v>
      </c>
      <c r="P3292" s="57">
        <v>1</v>
      </c>
      <c r="Q3292" s="57">
        <v>0</v>
      </c>
      <c r="R3292" s="57">
        <v>0</v>
      </c>
      <c r="S3292" s="57">
        <v>0</v>
      </c>
      <c r="T3292" s="57">
        <v>0</v>
      </c>
      <c r="U3292" s="57">
        <v>0</v>
      </c>
      <c r="V3292" s="57">
        <v>0</v>
      </c>
      <c r="W3292" s="57">
        <v>0</v>
      </c>
      <c r="X3292" s="57">
        <v>0</v>
      </c>
    </row>
    <row r="3293" spans="1:24" hidden="1" x14ac:dyDescent="0.35">
      <c r="A3293">
        <v>3289</v>
      </c>
      <c r="B3293">
        <v>3290</v>
      </c>
      <c r="C3293">
        <v>146.084590595999</v>
      </c>
      <c r="D3293">
        <v>-17.628448258999899</v>
      </c>
      <c r="F3293" t="str">
        <f>HYPERLINK("D:\Data From Lucan\2024\Moresby\Frames_for_Analysis/3290_20240611_0010_R_0778.jpg","3290_20240611_0010_R_0778.jpg")</f>
        <v>3290_20240611_0010_R_0778.jpg</v>
      </c>
      <c r="G3293" s="92" t="s">
        <v>4867</v>
      </c>
      <c r="I3293">
        <v>3</v>
      </c>
      <c r="K3293" s="57">
        <v>1</v>
      </c>
      <c r="L3293" s="31" t="s">
        <v>3959</v>
      </c>
      <c r="M3293" s="31" t="s">
        <v>3959</v>
      </c>
      <c r="N3293" s="31" t="s">
        <v>3959</v>
      </c>
      <c r="O3293" s="31" t="s">
        <v>3959</v>
      </c>
      <c r="P3293" s="57">
        <v>1</v>
      </c>
      <c r="Q3293" s="57">
        <v>0</v>
      </c>
      <c r="R3293" s="57">
        <v>0</v>
      </c>
      <c r="S3293" s="57">
        <v>0</v>
      </c>
      <c r="T3293" s="57">
        <v>0</v>
      </c>
      <c r="U3293" s="57">
        <v>0</v>
      </c>
      <c r="V3293" s="57">
        <v>0</v>
      </c>
      <c r="W3293" s="57">
        <v>0</v>
      </c>
      <c r="X3293" s="57">
        <v>0</v>
      </c>
    </row>
    <row r="3294" spans="1:24" hidden="1" x14ac:dyDescent="0.35">
      <c r="A3294">
        <v>3290</v>
      </c>
      <c r="B3294">
        <v>3291</v>
      </c>
      <c r="C3294">
        <v>146.084521913</v>
      </c>
      <c r="D3294">
        <v>-17.628503440300001</v>
      </c>
      <c r="F3294" t="str">
        <f>HYPERLINK("D:\Data From Lucan\2024\Moresby\Frames_for_Analysis/3291_20240611_0010_R_0775.jpg","3291_20240611_0010_R_0775.jpg")</f>
        <v>3291_20240611_0010_R_0775.jpg</v>
      </c>
      <c r="G3294" s="92" t="s">
        <v>4868</v>
      </c>
      <c r="I3294">
        <v>3</v>
      </c>
      <c r="K3294" s="57">
        <v>1</v>
      </c>
      <c r="L3294" s="31" t="s">
        <v>3959</v>
      </c>
      <c r="M3294" s="31" t="s">
        <v>3959</v>
      </c>
      <c r="N3294" s="31" t="s">
        <v>3959</v>
      </c>
      <c r="O3294" s="31" t="s">
        <v>3959</v>
      </c>
      <c r="P3294" s="57">
        <v>1</v>
      </c>
      <c r="Q3294" s="57">
        <v>0</v>
      </c>
      <c r="R3294" s="57">
        <v>0</v>
      </c>
      <c r="S3294" s="57">
        <v>0</v>
      </c>
      <c r="T3294" s="57">
        <v>0</v>
      </c>
      <c r="U3294" s="57">
        <v>0</v>
      </c>
      <c r="V3294" s="57">
        <v>0</v>
      </c>
      <c r="W3294" s="57">
        <v>0</v>
      </c>
      <c r="X3294" s="57">
        <v>0</v>
      </c>
    </row>
    <row r="3295" spans="1:24" hidden="1" x14ac:dyDescent="0.35">
      <c r="A3295">
        <v>3291</v>
      </c>
      <c r="B3295">
        <v>3292</v>
      </c>
      <c r="C3295">
        <v>146.084453230999</v>
      </c>
      <c r="D3295">
        <v>-17.628558621500002</v>
      </c>
      <c r="F3295" t="str">
        <f>HYPERLINK("D:\Data From Lucan\2024\Moresby\Frames_for_Analysis/3292_20240611_0010_R_0773.jpg","3292_20240611_0010_R_0773.jpg")</f>
        <v>3292_20240611_0010_R_0773.jpg</v>
      </c>
      <c r="G3295" s="92" t="s">
        <v>4869</v>
      </c>
      <c r="I3295">
        <v>3</v>
      </c>
      <c r="K3295" s="57">
        <v>1</v>
      </c>
      <c r="L3295" s="31" t="s">
        <v>3959</v>
      </c>
      <c r="M3295" s="31" t="s">
        <v>3959</v>
      </c>
      <c r="N3295" s="31" t="s">
        <v>3959</v>
      </c>
      <c r="O3295" s="31" t="s">
        <v>3959</v>
      </c>
      <c r="P3295" s="57">
        <v>1</v>
      </c>
      <c r="Q3295" s="57">
        <v>0</v>
      </c>
      <c r="R3295" s="57">
        <v>0</v>
      </c>
      <c r="S3295" s="57">
        <v>0</v>
      </c>
      <c r="T3295" s="57">
        <v>0</v>
      </c>
      <c r="U3295" s="57">
        <v>0</v>
      </c>
      <c r="V3295" s="57">
        <v>0</v>
      </c>
      <c r="W3295" s="57">
        <v>0</v>
      </c>
      <c r="X3295" s="57">
        <v>0</v>
      </c>
    </row>
    <row r="3296" spans="1:24" hidden="1" x14ac:dyDescent="0.35">
      <c r="A3296">
        <v>3292</v>
      </c>
      <c r="B3296">
        <v>3293</v>
      </c>
      <c r="C3296">
        <v>146.084384548999</v>
      </c>
      <c r="D3296">
        <v>-17.6286138028</v>
      </c>
      <c r="F3296" t="str">
        <f>HYPERLINK("D:\Data From Lucan\2024\Moresby\Frames_for_Analysis/3293_20240611_0010_R_0770.jpg","3293_20240611_0010_R_0770.jpg")</f>
        <v>3293_20240611_0010_R_0770.jpg</v>
      </c>
      <c r="G3296" s="92" t="s">
        <v>4870</v>
      </c>
      <c r="I3296">
        <v>3</v>
      </c>
      <c r="K3296" s="57">
        <v>1</v>
      </c>
      <c r="L3296" s="31" t="s">
        <v>3959</v>
      </c>
      <c r="M3296" s="31" t="s">
        <v>3959</v>
      </c>
      <c r="N3296" s="31" t="s">
        <v>3959</v>
      </c>
      <c r="O3296" s="31" t="s">
        <v>3959</v>
      </c>
      <c r="P3296" s="57">
        <v>1</v>
      </c>
      <c r="Q3296" s="57">
        <v>0</v>
      </c>
      <c r="R3296" s="57">
        <v>0</v>
      </c>
      <c r="S3296" s="57">
        <v>0</v>
      </c>
      <c r="T3296" s="57">
        <v>0</v>
      </c>
      <c r="U3296" s="57">
        <v>0</v>
      </c>
      <c r="V3296" s="57">
        <v>0</v>
      </c>
      <c r="W3296" s="57">
        <v>0</v>
      </c>
      <c r="X3296" s="57">
        <v>0</v>
      </c>
    </row>
    <row r="3297" spans="1:24" hidden="1" x14ac:dyDescent="0.35">
      <c r="A3297">
        <v>3293</v>
      </c>
      <c r="B3297">
        <v>3294</v>
      </c>
      <c r="C3297">
        <v>146.08432926699899</v>
      </c>
      <c r="D3297">
        <v>-17.6286808386999</v>
      </c>
      <c r="F3297" t="str">
        <f>HYPERLINK("D:\Data From Lucan\2024\Moresby\Frames_for_Analysis/3294_20240611_0010_R_0768.jpg","3294_20240611_0010_R_0768.jpg")</f>
        <v>3294_20240611_0010_R_0768.jpg</v>
      </c>
      <c r="G3297" s="92" t="s">
        <v>4871</v>
      </c>
      <c r="I3297">
        <v>3</v>
      </c>
      <c r="K3297" s="57">
        <v>1</v>
      </c>
      <c r="L3297" s="31" t="s">
        <v>3959</v>
      </c>
      <c r="M3297" s="31" t="s">
        <v>3959</v>
      </c>
      <c r="N3297" s="31" t="s">
        <v>3959</v>
      </c>
      <c r="O3297" s="31" t="s">
        <v>3959</v>
      </c>
      <c r="P3297" s="57">
        <v>1</v>
      </c>
      <c r="Q3297" s="57">
        <v>0</v>
      </c>
      <c r="R3297" s="57">
        <v>0</v>
      </c>
      <c r="S3297" s="57">
        <v>0</v>
      </c>
      <c r="T3297" s="57">
        <v>0</v>
      </c>
      <c r="U3297" s="57">
        <v>0</v>
      </c>
      <c r="V3297" s="57">
        <v>0</v>
      </c>
      <c r="W3297" s="57">
        <v>0</v>
      </c>
      <c r="X3297" s="57">
        <v>0</v>
      </c>
    </row>
    <row r="3298" spans="1:24" hidden="1" x14ac:dyDescent="0.35">
      <c r="A3298">
        <v>3294</v>
      </c>
      <c r="B3298">
        <v>3295</v>
      </c>
      <c r="C3298">
        <v>146.08427663699899</v>
      </c>
      <c r="D3298">
        <v>-17.628750219299899</v>
      </c>
      <c r="F3298" t="str">
        <f>HYPERLINK("D:\Data From Lucan\2024\Moresby\Frames_for_Analysis/3295_20240611_0010_R_0765.jpg","3295_20240611_0010_R_0765.jpg")</f>
        <v>3295_20240611_0010_R_0765.jpg</v>
      </c>
      <c r="G3298" s="92" t="s">
        <v>4872</v>
      </c>
      <c r="I3298">
        <v>3</v>
      </c>
      <c r="K3298" s="57">
        <v>1</v>
      </c>
      <c r="L3298" s="31" t="s">
        <v>3959</v>
      </c>
      <c r="M3298" s="31" t="s">
        <v>3959</v>
      </c>
      <c r="N3298" s="31" t="s">
        <v>3959</v>
      </c>
      <c r="O3298" s="31" t="s">
        <v>3959</v>
      </c>
      <c r="P3298" s="57">
        <v>1</v>
      </c>
      <c r="Q3298" s="57">
        <v>0</v>
      </c>
      <c r="R3298" s="57">
        <v>0</v>
      </c>
      <c r="S3298" s="57">
        <v>0</v>
      </c>
      <c r="T3298" s="57">
        <v>0</v>
      </c>
      <c r="U3298" s="57">
        <v>0</v>
      </c>
      <c r="V3298" s="57">
        <v>0</v>
      </c>
      <c r="W3298" s="57">
        <v>0</v>
      </c>
      <c r="X3298" s="57">
        <v>0</v>
      </c>
    </row>
    <row r="3299" spans="1:24" hidden="1" x14ac:dyDescent="0.35">
      <c r="A3299">
        <v>3295</v>
      </c>
      <c r="B3299">
        <v>3296</v>
      </c>
      <c r="C3299">
        <v>146.08422400699899</v>
      </c>
      <c r="D3299">
        <v>-17.6288196</v>
      </c>
      <c r="F3299" t="str">
        <f>HYPERLINK("D:\Data From Lucan\2024\Moresby\Frames_for_Analysis/3296_20240611_0010_R_0762.jpg","3296_20240611_0010_R_0762.jpg")</f>
        <v>3296_20240611_0010_R_0762.jpg</v>
      </c>
      <c r="G3299" s="92" t="s">
        <v>4873</v>
      </c>
      <c r="I3299">
        <v>3</v>
      </c>
      <c r="K3299" s="57">
        <v>1</v>
      </c>
      <c r="L3299" s="31" t="s">
        <v>3959</v>
      </c>
      <c r="M3299" s="31" t="s">
        <v>3959</v>
      </c>
      <c r="N3299" s="31" t="s">
        <v>3959</v>
      </c>
      <c r="O3299" s="31" t="s">
        <v>3959</v>
      </c>
      <c r="P3299" s="57">
        <v>1</v>
      </c>
      <c r="Q3299" s="57">
        <v>0</v>
      </c>
      <c r="R3299" s="57">
        <v>0</v>
      </c>
      <c r="S3299" s="57">
        <v>0</v>
      </c>
      <c r="T3299" s="57">
        <v>0</v>
      </c>
      <c r="U3299" s="57">
        <v>0</v>
      </c>
      <c r="V3299" s="57">
        <v>0</v>
      </c>
      <c r="W3299" s="57">
        <v>0</v>
      </c>
      <c r="X3299" s="57">
        <v>0</v>
      </c>
    </row>
    <row r="3300" spans="1:24" hidden="1" x14ac:dyDescent="0.35">
      <c r="A3300">
        <v>3296</v>
      </c>
      <c r="B3300">
        <v>3297</v>
      </c>
      <c r="C3300">
        <v>146.084171376999</v>
      </c>
      <c r="D3300">
        <v>-17.6288889805999</v>
      </c>
      <c r="F3300" t="str">
        <f>HYPERLINK("D:\Data From Lucan\2024\Moresby\Frames_for_Analysis/3297_20240611_0010_R_0760.jpg","3297_20240611_0010_R_0760.jpg")</f>
        <v>3297_20240611_0010_R_0760.jpg</v>
      </c>
      <c r="G3300" s="92" t="s">
        <v>4874</v>
      </c>
      <c r="I3300">
        <v>3</v>
      </c>
      <c r="K3300" s="57">
        <v>1</v>
      </c>
      <c r="L3300" s="31" t="s">
        <v>3959</v>
      </c>
      <c r="M3300" s="31" t="s">
        <v>3959</v>
      </c>
      <c r="N3300" s="31" t="s">
        <v>3959</v>
      </c>
      <c r="O3300" s="31" t="s">
        <v>3959</v>
      </c>
      <c r="P3300" s="57">
        <v>1</v>
      </c>
      <c r="Q3300" s="57">
        <v>0</v>
      </c>
      <c r="R3300" s="57">
        <v>0</v>
      </c>
      <c r="S3300" s="57">
        <v>0</v>
      </c>
      <c r="T3300" s="57">
        <v>0</v>
      </c>
      <c r="U3300" s="57">
        <v>0</v>
      </c>
      <c r="V3300" s="57">
        <v>0</v>
      </c>
      <c r="W3300" s="57">
        <v>0</v>
      </c>
      <c r="X3300" s="57">
        <v>0</v>
      </c>
    </row>
    <row r="3301" spans="1:24" hidden="1" x14ac:dyDescent="0.35">
      <c r="A3301">
        <v>3297</v>
      </c>
      <c r="B3301">
        <v>3298</v>
      </c>
      <c r="C3301">
        <v>146.084118746</v>
      </c>
      <c r="D3301">
        <v>-17.628958361199899</v>
      </c>
      <c r="F3301" t="str">
        <f>HYPERLINK("D:\Data From Lucan\2024\Moresby\Frames_for_Analysis/3298_20240611_0010_R_0757.jpg","3298_20240611_0010_R_0757.jpg")</f>
        <v>3298_20240611_0010_R_0757.jpg</v>
      </c>
      <c r="G3301" s="92" t="s">
        <v>4875</v>
      </c>
      <c r="I3301">
        <v>3</v>
      </c>
      <c r="K3301" s="57">
        <v>1</v>
      </c>
      <c r="L3301" s="31" t="s">
        <v>3959</v>
      </c>
      <c r="M3301" s="31" t="s">
        <v>3959</v>
      </c>
      <c r="N3301" s="31" t="s">
        <v>3959</v>
      </c>
      <c r="O3301" s="31" t="s">
        <v>3959</v>
      </c>
      <c r="P3301" s="57">
        <v>1</v>
      </c>
      <c r="Q3301" s="57">
        <v>0</v>
      </c>
      <c r="R3301" s="57">
        <v>0</v>
      </c>
      <c r="S3301" s="57">
        <v>0</v>
      </c>
      <c r="T3301" s="57">
        <v>0</v>
      </c>
      <c r="U3301" s="57">
        <v>0</v>
      </c>
      <c r="V3301" s="57">
        <v>0</v>
      </c>
      <c r="W3301" s="57">
        <v>0</v>
      </c>
      <c r="X3301" s="57">
        <v>0</v>
      </c>
    </row>
    <row r="3302" spans="1:24" hidden="1" x14ac:dyDescent="0.35">
      <c r="A3302">
        <v>3298</v>
      </c>
      <c r="B3302">
        <v>3299</v>
      </c>
      <c r="C3302">
        <v>146.084066116</v>
      </c>
      <c r="D3302">
        <v>-17.629027741800002</v>
      </c>
      <c r="F3302" t="str">
        <f>HYPERLINK("D:\Data From Lucan\2024\Moresby\Frames_for_Analysis/3299_20240611_0010_R_0754.jpg","3299_20240611_0010_R_0754.jpg")</f>
        <v>3299_20240611_0010_R_0754.jpg</v>
      </c>
      <c r="G3302" s="92" t="s">
        <v>4876</v>
      </c>
      <c r="I3302">
        <v>3</v>
      </c>
      <c r="K3302" s="57">
        <v>1</v>
      </c>
      <c r="L3302" s="31" t="s">
        <v>3959</v>
      </c>
      <c r="M3302" s="31" t="s">
        <v>3959</v>
      </c>
      <c r="N3302" s="31" t="s">
        <v>3959</v>
      </c>
      <c r="O3302" s="31" t="s">
        <v>3959</v>
      </c>
      <c r="P3302" s="57">
        <v>1</v>
      </c>
      <c r="Q3302" s="57">
        <v>0</v>
      </c>
      <c r="R3302" s="57">
        <v>0</v>
      </c>
      <c r="S3302" s="57">
        <v>0</v>
      </c>
      <c r="T3302" s="57">
        <v>0</v>
      </c>
      <c r="U3302" s="57">
        <v>0</v>
      </c>
      <c r="V3302" s="57">
        <v>0</v>
      </c>
      <c r="W3302" s="57">
        <v>0</v>
      </c>
      <c r="X3302" s="57">
        <v>0</v>
      </c>
    </row>
    <row r="3303" spans="1:24" hidden="1" x14ac:dyDescent="0.35">
      <c r="A3303">
        <v>3299</v>
      </c>
      <c r="B3303">
        <v>3300</v>
      </c>
      <c r="C3303">
        <v>146.084013486</v>
      </c>
      <c r="D3303">
        <v>-17.6290971222999</v>
      </c>
      <c r="F3303" t="str">
        <f>HYPERLINK("D:\Data From Lucan\2024\Moresby\Frames_for_Analysis/3300_20240611_0010_R_0752.jpg","3300_20240611_0010_R_0752.jpg")</f>
        <v>3300_20240611_0010_R_0752.jpg</v>
      </c>
      <c r="G3303" s="92" t="s">
        <v>4877</v>
      </c>
      <c r="I3303">
        <v>3</v>
      </c>
      <c r="K3303" s="57">
        <v>1</v>
      </c>
      <c r="L3303" s="31" t="s">
        <v>3959</v>
      </c>
      <c r="M3303" s="31" t="s">
        <v>3959</v>
      </c>
      <c r="N3303" s="31" t="s">
        <v>3959</v>
      </c>
      <c r="O3303" s="31" t="s">
        <v>3959</v>
      </c>
      <c r="P3303" s="57">
        <v>1</v>
      </c>
      <c r="Q3303" s="57">
        <v>0</v>
      </c>
      <c r="R3303" s="57">
        <v>0</v>
      </c>
      <c r="S3303" s="57">
        <v>0</v>
      </c>
      <c r="T3303" s="57">
        <v>0</v>
      </c>
      <c r="U3303" s="57">
        <v>0</v>
      </c>
      <c r="V3303" s="57">
        <v>0</v>
      </c>
      <c r="W3303" s="57">
        <v>0</v>
      </c>
      <c r="X3303" s="57">
        <v>0</v>
      </c>
    </row>
    <row r="3304" spans="1:24" hidden="1" x14ac:dyDescent="0.35">
      <c r="A3304">
        <v>3300</v>
      </c>
      <c r="B3304">
        <v>3301</v>
      </c>
      <c r="C3304">
        <v>146.08396191200001</v>
      </c>
      <c r="D3304">
        <v>-17.6291671665</v>
      </c>
      <c r="F3304" t="str">
        <f>HYPERLINK("D:\Data From Lucan\2024\Moresby\Frames_for_Analysis/3301_20240611_0010_R_0749.jpg","3301_20240611_0010_R_0749.jpg")</f>
        <v>3301_20240611_0010_R_0749.jpg</v>
      </c>
      <c r="G3304" s="92" t="s">
        <v>4878</v>
      </c>
      <c r="I3304">
        <v>3</v>
      </c>
      <c r="K3304" s="57">
        <v>1</v>
      </c>
      <c r="L3304" s="31" t="s">
        <v>3959</v>
      </c>
      <c r="M3304" s="31" t="s">
        <v>3959</v>
      </c>
      <c r="N3304" s="31" t="s">
        <v>3959</v>
      </c>
      <c r="O3304" s="31" t="s">
        <v>3959</v>
      </c>
      <c r="P3304" s="57">
        <v>1</v>
      </c>
      <c r="Q3304" s="57">
        <v>0</v>
      </c>
      <c r="R3304" s="57">
        <v>0</v>
      </c>
      <c r="S3304" s="57">
        <v>0</v>
      </c>
      <c r="T3304" s="57">
        <v>0</v>
      </c>
      <c r="U3304" s="57">
        <v>0</v>
      </c>
      <c r="V3304" s="57">
        <v>0</v>
      </c>
      <c r="W3304" s="57">
        <v>0</v>
      </c>
      <c r="X3304" s="57">
        <v>0</v>
      </c>
    </row>
    <row r="3305" spans="1:24" hidden="1" x14ac:dyDescent="0.35">
      <c r="A3305">
        <v>3301</v>
      </c>
      <c r="B3305">
        <v>3302</v>
      </c>
      <c r="C3305">
        <v>146.08391579900001</v>
      </c>
      <c r="D3305">
        <v>-17.629240638500001</v>
      </c>
      <c r="F3305" t="str">
        <f>HYPERLINK("D:\Data From Lucan\2024\Moresby\Frames_for_Analysis/3302_20240611_0010_R_0747.jpg","3302_20240611_0010_R_0747.jpg")</f>
        <v>3302_20240611_0010_R_0747.jpg</v>
      </c>
      <c r="G3305" s="92" t="s">
        <v>4879</v>
      </c>
      <c r="I3305">
        <v>3</v>
      </c>
      <c r="K3305" s="57">
        <v>1</v>
      </c>
      <c r="L3305" s="31" t="s">
        <v>3959</v>
      </c>
      <c r="M3305" s="31" t="s">
        <v>3959</v>
      </c>
      <c r="N3305" s="31" t="s">
        <v>3959</v>
      </c>
      <c r="O3305" s="31" t="s">
        <v>3959</v>
      </c>
      <c r="P3305" s="57">
        <v>1</v>
      </c>
      <c r="Q3305" s="57">
        <v>0</v>
      </c>
      <c r="R3305" s="57">
        <v>0</v>
      </c>
      <c r="S3305" s="57">
        <v>0</v>
      </c>
      <c r="T3305" s="57">
        <v>0</v>
      </c>
      <c r="U3305" s="57">
        <v>0</v>
      </c>
      <c r="V3305" s="57">
        <v>0</v>
      </c>
      <c r="W3305" s="57">
        <v>0</v>
      </c>
      <c r="X3305" s="57">
        <v>0</v>
      </c>
    </row>
    <row r="3306" spans="1:24" hidden="1" x14ac:dyDescent="0.35">
      <c r="A3306">
        <v>3302</v>
      </c>
      <c r="B3306">
        <v>3303</v>
      </c>
      <c r="C3306">
        <v>146.08386968600001</v>
      </c>
      <c r="D3306">
        <v>-17.629314110500001</v>
      </c>
      <c r="F3306" t="str">
        <f>HYPERLINK("D:\Data From Lucan\2024\Moresby\Frames_for_Analysis/3303_20240611_0010_R_0744.jpg","3303_20240611_0010_R_0744.jpg")</f>
        <v>3303_20240611_0010_R_0744.jpg</v>
      </c>
      <c r="G3306" s="92" t="s">
        <v>4880</v>
      </c>
      <c r="I3306">
        <v>3</v>
      </c>
      <c r="K3306" s="57">
        <v>1</v>
      </c>
      <c r="L3306" s="31" t="s">
        <v>3959</v>
      </c>
      <c r="M3306" s="31" t="s">
        <v>3959</v>
      </c>
      <c r="N3306" s="31" t="s">
        <v>3959</v>
      </c>
      <c r="O3306" s="31" t="s">
        <v>3959</v>
      </c>
      <c r="P3306" s="57">
        <v>1</v>
      </c>
      <c r="Q3306" s="57">
        <v>0</v>
      </c>
      <c r="R3306" s="57">
        <v>0</v>
      </c>
      <c r="S3306" s="57">
        <v>0</v>
      </c>
      <c r="T3306" s="57">
        <v>0</v>
      </c>
      <c r="U3306" s="57">
        <v>0</v>
      </c>
      <c r="V3306" s="57">
        <v>0</v>
      </c>
      <c r="W3306" s="57">
        <v>0</v>
      </c>
      <c r="X3306" s="57">
        <v>0</v>
      </c>
    </row>
    <row r="3307" spans="1:24" hidden="1" x14ac:dyDescent="0.35">
      <c r="A3307">
        <v>3303</v>
      </c>
      <c r="B3307">
        <v>3304</v>
      </c>
      <c r="C3307">
        <v>146.083823572</v>
      </c>
      <c r="D3307">
        <v>-17.6293875824</v>
      </c>
      <c r="F3307" t="str">
        <f>HYPERLINK("D:\Data From Lucan\2024\Moresby\Frames_for_Analysis/3304_20240611_0010_R_0742.jpg","3304_20240611_0010_R_0742.jpg")</f>
        <v>3304_20240611_0010_R_0742.jpg</v>
      </c>
      <c r="G3307" s="92" t="s">
        <v>4881</v>
      </c>
      <c r="I3307">
        <v>3</v>
      </c>
      <c r="K3307" s="57">
        <v>1</v>
      </c>
      <c r="L3307" s="31" t="s">
        <v>3959</v>
      </c>
      <c r="M3307" s="31" t="s">
        <v>3959</v>
      </c>
      <c r="N3307" s="31" t="s">
        <v>3959</v>
      </c>
      <c r="O3307" s="31" t="s">
        <v>3959</v>
      </c>
      <c r="P3307" s="57">
        <v>1</v>
      </c>
      <c r="Q3307" s="57">
        <v>0</v>
      </c>
      <c r="R3307" s="57">
        <v>0</v>
      </c>
      <c r="S3307" s="57">
        <v>0</v>
      </c>
      <c r="T3307" s="57">
        <v>0</v>
      </c>
      <c r="U3307" s="57">
        <v>0</v>
      </c>
      <c r="V3307" s="57">
        <v>0</v>
      </c>
      <c r="W3307" s="57">
        <v>0</v>
      </c>
      <c r="X3307" s="57">
        <v>0</v>
      </c>
    </row>
    <row r="3308" spans="1:24" hidden="1" x14ac:dyDescent="0.35">
      <c r="A3308">
        <v>3304</v>
      </c>
      <c r="B3308">
        <v>3305</v>
      </c>
      <c r="C3308">
        <v>146.083777459</v>
      </c>
      <c r="D3308">
        <v>-17.629461054299899</v>
      </c>
      <c r="F3308" t="str">
        <f>HYPERLINK("D:\Data From Lucan\2024\Moresby\Frames_for_Analysis/3305_20240611_0010_R_0739.jpg","3305_20240611_0010_R_0739.jpg")</f>
        <v>3305_20240611_0010_R_0739.jpg</v>
      </c>
      <c r="G3308" s="92" t="s">
        <v>4882</v>
      </c>
      <c r="I3308">
        <v>3</v>
      </c>
      <c r="K3308" s="57">
        <v>1</v>
      </c>
      <c r="L3308" s="31" t="s">
        <v>3959</v>
      </c>
      <c r="M3308" s="31" t="s">
        <v>3959</v>
      </c>
      <c r="N3308" s="31" t="s">
        <v>3959</v>
      </c>
      <c r="O3308" s="31" t="s">
        <v>3959</v>
      </c>
      <c r="P3308" s="57">
        <v>1</v>
      </c>
      <c r="Q3308" s="57">
        <v>0</v>
      </c>
      <c r="R3308" s="57">
        <v>0</v>
      </c>
      <c r="S3308" s="57">
        <v>0</v>
      </c>
      <c r="T3308" s="57">
        <v>0</v>
      </c>
      <c r="U3308" s="57">
        <v>0</v>
      </c>
      <c r="V3308" s="57">
        <v>0</v>
      </c>
      <c r="W3308" s="57">
        <v>0</v>
      </c>
      <c r="X3308" s="57">
        <v>0</v>
      </c>
    </row>
    <row r="3309" spans="1:24" hidden="1" x14ac:dyDescent="0.35">
      <c r="A3309">
        <v>3305</v>
      </c>
      <c r="B3309">
        <v>3306</v>
      </c>
      <c r="C3309">
        <v>146.08373134499899</v>
      </c>
      <c r="D3309">
        <v>-17.629534526099899</v>
      </c>
      <c r="F3309" t="str">
        <f>HYPERLINK("D:\Data From Lucan\2024\Moresby\Frames_for_Analysis/3306_20240611_0010_R_0737.jpg","3306_20240611_0010_R_0737.jpg")</f>
        <v>3306_20240611_0010_R_0737.jpg</v>
      </c>
      <c r="G3309" s="92" t="s">
        <v>4883</v>
      </c>
      <c r="I3309">
        <v>3</v>
      </c>
      <c r="K3309" s="57">
        <v>1</v>
      </c>
      <c r="L3309" s="31" t="s">
        <v>3959</v>
      </c>
      <c r="M3309" s="31" t="s">
        <v>3959</v>
      </c>
      <c r="N3309" s="31" t="s">
        <v>3959</v>
      </c>
      <c r="O3309" s="31" t="s">
        <v>3959</v>
      </c>
      <c r="P3309" s="57">
        <v>1</v>
      </c>
      <c r="Q3309" s="57">
        <v>0</v>
      </c>
      <c r="R3309" s="57">
        <v>0</v>
      </c>
      <c r="S3309" s="57">
        <v>0</v>
      </c>
      <c r="T3309" s="57">
        <v>0</v>
      </c>
      <c r="U3309" s="57">
        <v>0</v>
      </c>
      <c r="V3309" s="57">
        <v>0</v>
      </c>
      <c r="W3309" s="57">
        <v>0</v>
      </c>
      <c r="X3309" s="57">
        <v>0</v>
      </c>
    </row>
    <row r="3310" spans="1:24" hidden="1" x14ac:dyDescent="0.35">
      <c r="A3310">
        <v>3306</v>
      </c>
      <c r="B3310">
        <v>3307</v>
      </c>
      <c r="C3310">
        <v>146.083685231999</v>
      </c>
      <c r="D3310">
        <v>-17.629607998000001</v>
      </c>
      <c r="F3310" t="str">
        <f>HYPERLINK("D:\Data From Lucan\2024\Moresby\Frames_for_Analysis/3307_20240611_0010_R_0734.jpg","3307_20240611_0010_R_0734.jpg")</f>
        <v>3307_20240611_0010_R_0734.jpg</v>
      </c>
      <c r="G3310" s="92" t="s">
        <v>4884</v>
      </c>
      <c r="I3310">
        <v>3</v>
      </c>
      <c r="K3310" s="57">
        <v>1</v>
      </c>
      <c r="L3310" s="31" t="s">
        <v>3959</v>
      </c>
      <c r="M3310" s="31" t="s">
        <v>3959</v>
      </c>
      <c r="N3310" s="31" t="s">
        <v>3959</v>
      </c>
      <c r="O3310" s="31" t="s">
        <v>3959</v>
      </c>
      <c r="P3310" s="57">
        <v>1</v>
      </c>
      <c r="Q3310" s="57">
        <v>0</v>
      </c>
      <c r="R3310" s="57">
        <v>0</v>
      </c>
      <c r="S3310" s="57">
        <v>0</v>
      </c>
      <c r="T3310" s="57">
        <v>0</v>
      </c>
      <c r="U3310" s="57">
        <v>0</v>
      </c>
      <c r="V3310" s="57">
        <v>0</v>
      </c>
      <c r="W3310" s="57">
        <v>0</v>
      </c>
      <c r="X3310" s="57">
        <v>0</v>
      </c>
    </row>
    <row r="3311" spans="1:24" hidden="1" x14ac:dyDescent="0.35">
      <c r="A3311">
        <v>3307</v>
      </c>
      <c r="B3311">
        <v>3308</v>
      </c>
      <c r="C3311">
        <v>146.083639118999</v>
      </c>
      <c r="D3311">
        <v>-17.629681469800001</v>
      </c>
      <c r="F3311" t="str">
        <f>HYPERLINK("D:\Data From Lucan\2024\Moresby\Frames_for_Analysis/3308_20240611_0010_R_0732.jpg","3308_20240611_0010_R_0732.jpg")</f>
        <v>3308_20240611_0010_R_0732.jpg</v>
      </c>
      <c r="G3311" s="92" t="s">
        <v>4885</v>
      </c>
      <c r="I3311">
        <v>3</v>
      </c>
      <c r="K3311" s="57">
        <v>1</v>
      </c>
      <c r="L3311" s="31" t="s">
        <v>3959</v>
      </c>
      <c r="M3311" s="31" t="s">
        <v>3959</v>
      </c>
      <c r="N3311" s="31" t="s">
        <v>3959</v>
      </c>
      <c r="O3311" s="31" t="s">
        <v>3959</v>
      </c>
      <c r="P3311" s="57">
        <v>1</v>
      </c>
      <c r="Q3311" s="57">
        <v>0</v>
      </c>
      <c r="R3311" s="57">
        <v>0</v>
      </c>
      <c r="S3311" s="57">
        <v>0</v>
      </c>
      <c r="T3311" s="57">
        <v>0</v>
      </c>
      <c r="U3311" s="57">
        <v>0</v>
      </c>
      <c r="V3311" s="57">
        <v>0</v>
      </c>
      <c r="W3311" s="57">
        <v>0</v>
      </c>
      <c r="X3311" s="57">
        <v>0</v>
      </c>
    </row>
    <row r="3312" spans="1:24" hidden="1" x14ac:dyDescent="0.35">
      <c r="A3312">
        <v>3308</v>
      </c>
      <c r="B3312">
        <v>3309</v>
      </c>
      <c r="C3312">
        <v>146.08359300500001</v>
      </c>
      <c r="D3312">
        <v>-17.629754941600002</v>
      </c>
      <c r="F3312" t="str">
        <f>HYPERLINK("D:\Data From Lucan\2024\Moresby\Frames_for_Analysis/3309_20240611_0010_R_0730.jpg","3309_20240611_0010_R_0730.jpg")</f>
        <v>3309_20240611_0010_R_0730.jpg</v>
      </c>
      <c r="G3312" s="92" t="s">
        <v>4886</v>
      </c>
      <c r="I3312">
        <v>3</v>
      </c>
      <c r="K3312" s="57">
        <v>1</v>
      </c>
      <c r="L3312" s="31" t="s">
        <v>3959</v>
      </c>
      <c r="M3312" s="31" t="s">
        <v>3959</v>
      </c>
      <c r="N3312" s="31" t="s">
        <v>3959</v>
      </c>
      <c r="O3312" s="31" t="s">
        <v>3959</v>
      </c>
      <c r="P3312" s="57">
        <v>1</v>
      </c>
      <c r="Q3312" s="57">
        <v>0</v>
      </c>
      <c r="R3312" s="57">
        <v>0</v>
      </c>
      <c r="S3312" s="57">
        <v>0</v>
      </c>
      <c r="T3312" s="57">
        <v>0</v>
      </c>
      <c r="U3312" s="57">
        <v>0</v>
      </c>
      <c r="V3312" s="57">
        <v>0</v>
      </c>
      <c r="W3312" s="57">
        <v>0</v>
      </c>
      <c r="X3312" s="57">
        <v>0</v>
      </c>
    </row>
    <row r="3313" spans="1:24" hidden="1" x14ac:dyDescent="0.35">
      <c r="A3313">
        <v>3309</v>
      </c>
      <c r="B3313">
        <v>3310</v>
      </c>
      <c r="C3313">
        <v>146.08354689199899</v>
      </c>
      <c r="D3313">
        <v>-17.6298284133</v>
      </c>
      <c r="F3313" t="str">
        <f>HYPERLINK("D:\Data From Lucan\2024\Moresby\Frames_for_Analysis/3310_20240611_0010_R_0727.jpg","3310_20240611_0010_R_0727.jpg")</f>
        <v>3310_20240611_0010_R_0727.jpg</v>
      </c>
      <c r="G3313" s="92" t="s">
        <v>4887</v>
      </c>
      <c r="I3313">
        <v>3</v>
      </c>
      <c r="K3313" s="57">
        <v>1</v>
      </c>
      <c r="L3313" s="31" t="s">
        <v>3959</v>
      </c>
      <c r="M3313" s="31" t="s">
        <v>3959</v>
      </c>
      <c r="N3313" s="31" t="s">
        <v>3959</v>
      </c>
      <c r="O3313" s="31" t="s">
        <v>3959</v>
      </c>
      <c r="P3313" s="57">
        <v>1</v>
      </c>
      <c r="Q3313" s="57">
        <v>0</v>
      </c>
      <c r="R3313" s="57">
        <v>0</v>
      </c>
      <c r="S3313" s="57">
        <v>0</v>
      </c>
      <c r="T3313" s="57">
        <v>0</v>
      </c>
      <c r="U3313" s="57">
        <v>0</v>
      </c>
      <c r="V3313" s="57">
        <v>0</v>
      </c>
      <c r="W3313" s="57">
        <v>0</v>
      </c>
      <c r="X3313" s="57">
        <v>0</v>
      </c>
    </row>
    <row r="3314" spans="1:24" hidden="1" x14ac:dyDescent="0.35">
      <c r="A3314">
        <v>3310</v>
      </c>
      <c r="B3314">
        <v>3311</v>
      </c>
      <c r="C3314">
        <v>146.083500778</v>
      </c>
      <c r="D3314">
        <v>-17.629901884999899</v>
      </c>
      <c r="F3314" t="str">
        <f>HYPERLINK("D:\Data From Lucan\2024\Moresby\Frames_for_Analysis/3311_20240611_0010_R_0724.jpg","3311_20240611_0010_R_0724.jpg")</f>
        <v>3311_20240611_0010_R_0724.jpg</v>
      </c>
      <c r="G3314" s="92" t="s">
        <v>4888</v>
      </c>
      <c r="I3314">
        <v>3</v>
      </c>
      <c r="K3314" s="57">
        <v>1</v>
      </c>
      <c r="L3314" s="31" t="s">
        <v>3959</v>
      </c>
      <c r="M3314" s="31" t="s">
        <v>3959</v>
      </c>
      <c r="N3314" s="31" t="s">
        <v>3959</v>
      </c>
      <c r="O3314" s="31" t="s">
        <v>3959</v>
      </c>
      <c r="P3314" s="57">
        <v>1</v>
      </c>
      <c r="Q3314" s="57">
        <v>0</v>
      </c>
      <c r="R3314" s="57">
        <v>0</v>
      </c>
      <c r="S3314" s="57">
        <v>0</v>
      </c>
      <c r="T3314" s="57">
        <v>0</v>
      </c>
      <c r="U3314" s="57">
        <v>0</v>
      </c>
      <c r="V3314" s="57">
        <v>0</v>
      </c>
      <c r="W3314" s="57">
        <v>0</v>
      </c>
      <c r="X3314" s="57">
        <v>0</v>
      </c>
    </row>
    <row r="3315" spans="1:24" hidden="1" x14ac:dyDescent="0.35">
      <c r="A3315">
        <v>3311</v>
      </c>
      <c r="B3315">
        <v>3312</v>
      </c>
      <c r="C3315">
        <v>146.083454665</v>
      </c>
      <c r="D3315">
        <v>-17.629975356700001</v>
      </c>
      <c r="F3315" t="str">
        <f>HYPERLINK("D:\Data From Lucan\2024\Moresby\Frames_for_Analysis/3312_20240611_0010_R_0722.jpg","3312_20240611_0010_R_0722.jpg")</f>
        <v>3312_20240611_0010_R_0722.jpg</v>
      </c>
      <c r="G3315" s="92" t="s">
        <v>4889</v>
      </c>
      <c r="I3315">
        <v>3</v>
      </c>
      <c r="K3315" s="57">
        <v>1</v>
      </c>
      <c r="L3315" s="31" t="s">
        <v>3959</v>
      </c>
      <c r="M3315" s="31" t="s">
        <v>3959</v>
      </c>
      <c r="N3315" s="31" t="s">
        <v>3959</v>
      </c>
      <c r="O3315" s="31" t="s">
        <v>3959</v>
      </c>
      <c r="P3315" s="57">
        <v>1</v>
      </c>
      <c r="Q3315" s="57">
        <v>0</v>
      </c>
      <c r="R3315" s="57">
        <v>0</v>
      </c>
      <c r="S3315" s="57">
        <v>0</v>
      </c>
      <c r="T3315" s="57">
        <v>0</v>
      </c>
      <c r="U3315" s="57">
        <v>0</v>
      </c>
      <c r="V3315" s="57">
        <v>0</v>
      </c>
      <c r="W3315" s="57">
        <v>0</v>
      </c>
      <c r="X3315" s="57">
        <v>0</v>
      </c>
    </row>
    <row r="3316" spans="1:24" hidden="1" x14ac:dyDescent="0.35">
      <c r="A3316">
        <v>3312</v>
      </c>
      <c r="B3316">
        <v>3313</v>
      </c>
      <c r="C3316">
        <v>146.08340855200001</v>
      </c>
      <c r="D3316">
        <v>-17.6300488284</v>
      </c>
      <c r="F3316" t="str">
        <f>HYPERLINK("D:\Data From Lucan\2024\Moresby\Frames_for_Analysis/3313_20240611_0010_R_0719.jpg","3313_20240611_0010_R_0719.jpg")</f>
        <v>3313_20240611_0010_R_0719.jpg</v>
      </c>
      <c r="G3316" s="92" t="s">
        <v>4890</v>
      </c>
      <c r="I3316">
        <v>3</v>
      </c>
      <c r="K3316" s="57">
        <v>1</v>
      </c>
      <c r="L3316" s="31" t="s">
        <v>3959</v>
      </c>
      <c r="M3316" s="31" t="s">
        <v>3959</v>
      </c>
      <c r="N3316" s="31" t="s">
        <v>3959</v>
      </c>
      <c r="O3316" s="31" t="s">
        <v>3959</v>
      </c>
      <c r="P3316" s="57">
        <v>1</v>
      </c>
      <c r="Q3316" s="57">
        <v>0</v>
      </c>
      <c r="R3316" s="57">
        <v>0</v>
      </c>
      <c r="S3316" s="57">
        <v>0</v>
      </c>
      <c r="T3316" s="57">
        <v>0</v>
      </c>
      <c r="U3316" s="57">
        <v>0</v>
      </c>
      <c r="V3316" s="57">
        <v>0</v>
      </c>
      <c r="W3316" s="57">
        <v>0</v>
      </c>
      <c r="X3316" s="57">
        <v>0</v>
      </c>
    </row>
    <row r="3317" spans="1:24" hidden="1" x14ac:dyDescent="0.35">
      <c r="A3317">
        <v>3313</v>
      </c>
      <c r="B3317">
        <v>3314</v>
      </c>
      <c r="C3317">
        <v>146.08337587700001</v>
      </c>
      <c r="D3317">
        <v>-17.630128553799899</v>
      </c>
      <c r="F3317" t="str">
        <f>HYPERLINK("D:\Data From Lucan\2024\Moresby\Frames_for_Analysis/3314_20240611_0010_R_0717.jpg","3314_20240611_0010_R_0717.jpg")</f>
        <v>3314_20240611_0010_R_0717.jpg</v>
      </c>
      <c r="G3317" s="92" t="s">
        <v>4891</v>
      </c>
      <c r="I3317">
        <v>3</v>
      </c>
      <c r="K3317" s="57">
        <v>1</v>
      </c>
      <c r="L3317" s="31" t="s">
        <v>3959</v>
      </c>
      <c r="M3317" s="31" t="s">
        <v>3959</v>
      </c>
      <c r="N3317" s="31" t="s">
        <v>3959</v>
      </c>
      <c r="O3317" s="31" t="s">
        <v>3959</v>
      </c>
      <c r="P3317" s="57">
        <v>1</v>
      </c>
      <c r="Q3317" s="57">
        <v>0</v>
      </c>
      <c r="R3317" s="57">
        <v>0</v>
      </c>
      <c r="S3317" s="57">
        <v>0</v>
      </c>
      <c r="T3317" s="57">
        <v>0</v>
      </c>
      <c r="U3317" s="57">
        <v>0</v>
      </c>
      <c r="V3317" s="57">
        <v>0</v>
      </c>
      <c r="W3317" s="57">
        <v>0</v>
      </c>
      <c r="X3317" s="57">
        <v>0</v>
      </c>
    </row>
    <row r="3318" spans="1:24" hidden="1" x14ac:dyDescent="0.35">
      <c r="A3318">
        <v>3314</v>
      </c>
      <c r="B3318">
        <v>3315</v>
      </c>
      <c r="C3318">
        <v>146.08334344100001</v>
      </c>
      <c r="D3318">
        <v>-17.630208390300002</v>
      </c>
      <c r="F3318" t="str">
        <f>HYPERLINK("D:\Data From Lucan\2024\Moresby\Frames_for_Analysis/3315_20240611_0010_R_0714.jpg","3315_20240611_0010_R_0714.jpg")</f>
        <v>3315_20240611_0010_R_0714.jpg</v>
      </c>
      <c r="G3318" s="92" t="s">
        <v>4892</v>
      </c>
      <c r="I3318">
        <v>3</v>
      </c>
      <c r="K3318" s="57">
        <v>1</v>
      </c>
      <c r="L3318" s="31" t="s">
        <v>3959</v>
      </c>
      <c r="M3318" s="31" t="s">
        <v>3959</v>
      </c>
      <c r="N3318" s="31" t="s">
        <v>3959</v>
      </c>
      <c r="O3318" s="31" t="s">
        <v>3959</v>
      </c>
      <c r="P3318" s="57">
        <v>1</v>
      </c>
      <c r="Q3318" s="57">
        <v>0</v>
      </c>
      <c r="R3318" s="57">
        <v>0</v>
      </c>
      <c r="S3318" s="57">
        <v>0</v>
      </c>
      <c r="T3318" s="57">
        <v>0</v>
      </c>
      <c r="U3318" s="57">
        <v>0</v>
      </c>
      <c r="V3318" s="57">
        <v>0</v>
      </c>
      <c r="W3318" s="57">
        <v>0</v>
      </c>
      <c r="X3318" s="57">
        <v>0</v>
      </c>
    </row>
    <row r="3319" spans="1:24" hidden="1" x14ac:dyDescent="0.35">
      <c r="A3319">
        <v>3315</v>
      </c>
      <c r="B3319">
        <v>3316</v>
      </c>
      <c r="C3319">
        <v>146.08331100500001</v>
      </c>
      <c r="D3319">
        <v>-17.6302882268999</v>
      </c>
      <c r="F3319" t="str">
        <f>HYPERLINK("D:\Data From Lucan\2024\Moresby\Frames_for_Analysis/3316_20240611_0010_R_0712.jpg","3316_20240611_0010_R_0712.jpg")</f>
        <v>3316_20240611_0010_R_0712.jpg</v>
      </c>
      <c r="G3319" s="92" t="s">
        <v>4893</v>
      </c>
      <c r="I3319">
        <v>3</v>
      </c>
      <c r="K3319" s="57">
        <v>1</v>
      </c>
      <c r="L3319" s="31" t="s">
        <v>3959</v>
      </c>
      <c r="M3319" s="31" t="s">
        <v>3959</v>
      </c>
      <c r="N3319" s="31" t="s">
        <v>3959</v>
      </c>
      <c r="O3319" s="31" t="s">
        <v>3959</v>
      </c>
      <c r="P3319" s="57">
        <v>1</v>
      </c>
      <c r="Q3319" s="57">
        <v>0</v>
      </c>
      <c r="R3319" s="57">
        <v>0</v>
      </c>
      <c r="S3319" s="57">
        <v>0</v>
      </c>
      <c r="T3319" s="57">
        <v>0</v>
      </c>
      <c r="U3319" s="57">
        <v>0</v>
      </c>
      <c r="V3319" s="57">
        <v>0</v>
      </c>
      <c r="W3319" s="57">
        <v>0</v>
      </c>
      <c r="X3319" s="57">
        <v>0</v>
      </c>
    </row>
    <row r="3320" spans="1:24" hidden="1" x14ac:dyDescent="0.35">
      <c r="A3320">
        <v>3316</v>
      </c>
      <c r="B3320">
        <v>3317</v>
      </c>
      <c r="C3320">
        <v>146.08327856899899</v>
      </c>
      <c r="D3320">
        <v>-17.630368063399899</v>
      </c>
      <c r="F3320" t="str">
        <f>HYPERLINK("D:\Data From Lucan\2024\Moresby\Frames_for_Analysis/3317_20240611_0010_R_0709.jpg","3317_20240611_0010_R_0709.jpg")</f>
        <v>3317_20240611_0010_R_0709.jpg</v>
      </c>
      <c r="G3320" s="92" t="s">
        <v>4894</v>
      </c>
      <c r="I3320">
        <v>3</v>
      </c>
      <c r="K3320" s="57">
        <v>1</v>
      </c>
      <c r="L3320" s="31" t="s">
        <v>3959</v>
      </c>
      <c r="M3320" s="31" t="s">
        <v>3959</v>
      </c>
      <c r="N3320" s="31" t="s">
        <v>3959</v>
      </c>
      <c r="O3320" s="31" t="s">
        <v>3959</v>
      </c>
      <c r="P3320" s="57">
        <v>1</v>
      </c>
      <c r="Q3320" s="57">
        <v>0</v>
      </c>
      <c r="R3320" s="57">
        <v>0</v>
      </c>
      <c r="S3320" s="57">
        <v>0</v>
      </c>
      <c r="T3320" s="57">
        <v>0</v>
      </c>
      <c r="U3320" s="57">
        <v>0</v>
      </c>
      <c r="V3320" s="57">
        <v>0</v>
      </c>
      <c r="W3320" s="57">
        <v>0</v>
      </c>
      <c r="X3320" s="57">
        <v>0</v>
      </c>
    </row>
    <row r="3321" spans="1:24" hidden="1" x14ac:dyDescent="0.35">
      <c r="A3321">
        <v>3317</v>
      </c>
      <c r="B3321">
        <v>3318</v>
      </c>
      <c r="C3321">
        <v>146.08324613299899</v>
      </c>
      <c r="D3321">
        <v>-17.6304478998</v>
      </c>
      <c r="F3321" t="str">
        <f>HYPERLINK("D:\Data From Lucan\2024\Moresby\Frames_for_Analysis/3318_20240611_0010_R_0707.jpg","3318_20240611_0010_R_0707.jpg")</f>
        <v>3318_20240611_0010_R_0707.jpg</v>
      </c>
      <c r="G3321" s="92" t="s">
        <v>4895</v>
      </c>
      <c r="I3321">
        <v>3</v>
      </c>
      <c r="K3321" s="57">
        <v>1</v>
      </c>
      <c r="L3321" s="31" t="s">
        <v>3959</v>
      </c>
      <c r="M3321" s="31" t="s">
        <v>3959</v>
      </c>
      <c r="N3321" s="31" t="s">
        <v>3959</v>
      </c>
      <c r="O3321" s="31" t="s">
        <v>3959</v>
      </c>
      <c r="P3321" s="57">
        <v>1</v>
      </c>
      <c r="Q3321" s="57">
        <v>0</v>
      </c>
      <c r="R3321" s="57">
        <v>0</v>
      </c>
      <c r="S3321" s="57">
        <v>0</v>
      </c>
      <c r="T3321" s="57">
        <v>0</v>
      </c>
      <c r="U3321" s="57">
        <v>0</v>
      </c>
      <c r="V3321" s="57">
        <v>0</v>
      </c>
      <c r="W3321" s="57">
        <v>0</v>
      </c>
      <c r="X3321" s="57">
        <v>0</v>
      </c>
    </row>
    <row r="3322" spans="1:24" hidden="1" x14ac:dyDescent="0.35">
      <c r="A3322">
        <v>3318</v>
      </c>
      <c r="B3322">
        <v>3319</v>
      </c>
      <c r="C3322">
        <v>146.083213696999</v>
      </c>
      <c r="D3322">
        <v>-17.6305277362999</v>
      </c>
      <c r="F3322" t="str">
        <f>HYPERLINK("D:\Data From Lucan\2024\Moresby\Frames_for_Analysis/3319_20240611_0010_R_0704.jpg","3319_20240611_0010_R_0704.jpg")</f>
        <v>3319_20240611_0010_R_0704.jpg</v>
      </c>
      <c r="G3322" s="92" t="s">
        <v>4896</v>
      </c>
      <c r="I3322">
        <v>3</v>
      </c>
      <c r="K3322" s="57">
        <v>1</v>
      </c>
      <c r="L3322" s="31" t="s">
        <v>3959</v>
      </c>
      <c r="M3322" s="31" t="s">
        <v>3959</v>
      </c>
      <c r="N3322" s="31" t="s">
        <v>3959</v>
      </c>
      <c r="O3322" s="31" t="s">
        <v>3959</v>
      </c>
      <c r="P3322" s="57">
        <v>1</v>
      </c>
      <c r="Q3322" s="57">
        <v>0</v>
      </c>
      <c r="R3322" s="57">
        <v>0</v>
      </c>
      <c r="S3322" s="57">
        <v>0</v>
      </c>
      <c r="T3322" s="57">
        <v>0</v>
      </c>
      <c r="U3322" s="57">
        <v>0</v>
      </c>
      <c r="V3322" s="57">
        <v>0</v>
      </c>
      <c r="W3322" s="57">
        <v>0</v>
      </c>
      <c r="X3322" s="57">
        <v>0</v>
      </c>
    </row>
    <row r="3323" spans="1:24" hidden="1" x14ac:dyDescent="0.35">
      <c r="A3323">
        <v>3319</v>
      </c>
      <c r="B3323">
        <v>3320</v>
      </c>
      <c r="C3323">
        <v>146.083181427</v>
      </c>
      <c r="D3323">
        <v>-17.6306076336</v>
      </c>
      <c r="F3323" t="str">
        <f>HYPERLINK("D:\Data From Lucan\2024\Moresby\Frames_for_Analysis/3320_20240611_0010_R_0702.jpg","3320_20240611_0010_R_0702.jpg")</f>
        <v>3320_20240611_0010_R_0702.jpg</v>
      </c>
      <c r="G3323" s="92" t="s">
        <v>4897</v>
      </c>
      <c r="I3323">
        <v>3</v>
      </c>
      <c r="K3323" s="57">
        <v>1</v>
      </c>
      <c r="L3323" s="31" t="s">
        <v>3959</v>
      </c>
      <c r="M3323" s="31" t="s">
        <v>3959</v>
      </c>
      <c r="N3323" s="31" t="s">
        <v>3959</v>
      </c>
      <c r="O3323" s="31" t="s">
        <v>3959</v>
      </c>
      <c r="P3323" s="57">
        <v>1</v>
      </c>
      <c r="Q3323" s="57">
        <v>0</v>
      </c>
      <c r="R3323" s="57">
        <v>0</v>
      </c>
      <c r="S3323" s="57">
        <v>0</v>
      </c>
      <c r="T3323" s="57">
        <v>0</v>
      </c>
      <c r="U3323" s="57">
        <v>0</v>
      </c>
      <c r="V3323" s="57">
        <v>0</v>
      </c>
      <c r="W3323" s="57">
        <v>0</v>
      </c>
      <c r="X3323" s="57">
        <v>0</v>
      </c>
    </row>
    <row r="3324" spans="1:24" hidden="1" x14ac:dyDescent="0.35">
      <c r="A3324">
        <v>3320</v>
      </c>
      <c r="B3324">
        <v>3321</v>
      </c>
      <c r="C3324">
        <v>146.08314920500001</v>
      </c>
      <c r="D3324">
        <v>-17.630687548600001</v>
      </c>
      <c r="F3324" t="str">
        <f>HYPERLINK("D:\Data From Lucan\2024\Moresby\Frames_for_Analysis/3321_20240611_0010_R_0699.jpg","3321_20240611_0010_R_0699.jpg")</f>
        <v>3321_20240611_0010_R_0699.jpg</v>
      </c>
      <c r="G3324" s="92" t="s">
        <v>4898</v>
      </c>
      <c r="I3324">
        <v>3</v>
      </c>
      <c r="K3324" s="57">
        <v>1</v>
      </c>
      <c r="L3324" s="31" t="s">
        <v>3959</v>
      </c>
      <c r="M3324" s="31" t="s">
        <v>3959</v>
      </c>
      <c r="N3324" s="31" t="s">
        <v>3959</v>
      </c>
      <c r="O3324" s="31" t="s">
        <v>3959</v>
      </c>
      <c r="P3324" s="57">
        <v>1</v>
      </c>
      <c r="Q3324" s="57">
        <v>0</v>
      </c>
      <c r="R3324" s="57">
        <v>0</v>
      </c>
      <c r="S3324" s="57">
        <v>0</v>
      </c>
      <c r="T3324" s="57">
        <v>0</v>
      </c>
      <c r="U3324" s="57">
        <v>0</v>
      </c>
      <c r="V3324" s="57">
        <v>0</v>
      </c>
      <c r="W3324" s="57">
        <v>0</v>
      </c>
      <c r="X3324" s="57">
        <v>0</v>
      </c>
    </row>
    <row r="3325" spans="1:24" hidden="1" x14ac:dyDescent="0.35">
      <c r="A3325">
        <v>3321</v>
      </c>
      <c r="B3325">
        <v>3322</v>
      </c>
      <c r="C3325">
        <v>146.083113862</v>
      </c>
      <c r="D3325">
        <v>-17.6307662540999</v>
      </c>
      <c r="F3325" t="str">
        <f>HYPERLINK("D:\Data From Lucan\2024\Moresby\Frames_for_Analysis/3322_20240611_0010_R_0697.jpg","3322_20240611_0010_R_0697.jpg")</f>
        <v>3322_20240611_0010_R_0697.jpg</v>
      </c>
      <c r="G3325" s="92" t="s">
        <v>4899</v>
      </c>
      <c r="I3325">
        <v>3</v>
      </c>
      <c r="K3325" s="57">
        <v>1</v>
      </c>
      <c r="L3325" s="31" t="s">
        <v>3959</v>
      </c>
      <c r="M3325" s="31" t="s">
        <v>3959</v>
      </c>
      <c r="N3325" s="31" t="s">
        <v>3959</v>
      </c>
      <c r="O3325" s="31" t="s">
        <v>3959</v>
      </c>
      <c r="P3325" s="57">
        <v>1</v>
      </c>
      <c r="Q3325" s="57">
        <v>0</v>
      </c>
      <c r="R3325" s="57">
        <v>0</v>
      </c>
      <c r="S3325" s="57">
        <v>0</v>
      </c>
      <c r="T3325" s="57">
        <v>0</v>
      </c>
      <c r="U3325" s="57">
        <v>0</v>
      </c>
      <c r="V3325" s="57">
        <v>0</v>
      </c>
      <c r="W3325" s="57">
        <v>0</v>
      </c>
      <c r="X3325" s="57">
        <v>0</v>
      </c>
    </row>
    <row r="3326" spans="1:24" hidden="1" x14ac:dyDescent="0.35">
      <c r="A3326">
        <v>3322</v>
      </c>
      <c r="B3326">
        <v>3323</v>
      </c>
      <c r="C3326">
        <v>146.083078422</v>
      </c>
      <c r="D3326">
        <v>-17.6308449219</v>
      </c>
      <c r="F3326" t="str">
        <f>HYPERLINK("D:\Data From Lucan\2024\Moresby\Frames_for_Analysis/3323_20240611_0010_R_0694.jpg","3323_20240611_0010_R_0694.jpg")</f>
        <v>3323_20240611_0010_R_0694.jpg</v>
      </c>
      <c r="G3326" s="92" t="s">
        <v>4900</v>
      </c>
      <c r="I3326">
        <v>3</v>
      </c>
      <c r="K3326" s="57">
        <v>1</v>
      </c>
      <c r="L3326" s="31" t="s">
        <v>3959</v>
      </c>
      <c r="M3326" s="31" t="s">
        <v>3959</v>
      </c>
      <c r="N3326" s="31" t="s">
        <v>3959</v>
      </c>
      <c r="O3326" s="31" t="s">
        <v>3959</v>
      </c>
      <c r="P3326" s="57">
        <v>1</v>
      </c>
      <c r="Q3326" s="57">
        <v>0</v>
      </c>
      <c r="R3326" s="57">
        <v>0</v>
      </c>
      <c r="S3326" s="57">
        <v>0</v>
      </c>
      <c r="T3326" s="57">
        <v>0</v>
      </c>
      <c r="U3326" s="57">
        <v>0</v>
      </c>
      <c r="V3326" s="57">
        <v>0</v>
      </c>
      <c r="W3326" s="57">
        <v>0</v>
      </c>
      <c r="X3326" s="57">
        <v>0</v>
      </c>
    </row>
    <row r="3327" spans="1:24" hidden="1" x14ac:dyDescent="0.35">
      <c r="A3327">
        <v>3323</v>
      </c>
      <c r="B3327">
        <v>3324</v>
      </c>
      <c r="C3327">
        <v>146.083042981999</v>
      </c>
      <c r="D3327">
        <v>-17.630923589799899</v>
      </c>
      <c r="F3327" t="str">
        <f>HYPERLINK("D:\Data From Lucan\2024\Moresby\Frames_for_Analysis/3324_20240611_0010_R_0692.jpg","3324_20240611_0010_R_0692.jpg")</f>
        <v>3324_20240611_0010_R_0692.jpg</v>
      </c>
      <c r="G3327" s="92" t="s">
        <v>4901</v>
      </c>
      <c r="I3327">
        <v>3</v>
      </c>
      <c r="K3327" s="57">
        <v>1</v>
      </c>
      <c r="L3327" s="31" t="s">
        <v>3959</v>
      </c>
      <c r="M3327" s="31" t="s">
        <v>3959</v>
      </c>
      <c r="N3327" s="31" t="s">
        <v>3959</v>
      </c>
      <c r="O3327" s="31" t="s">
        <v>3959</v>
      </c>
      <c r="P3327" s="57">
        <v>1</v>
      </c>
      <c r="Q3327" s="57">
        <v>0</v>
      </c>
      <c r="R3327" s="57">
        <v>0</v>
      </c>
      <c r="S3327" s="57">
        <v>0</v>
      </c>
      <c r="T3327" s="57">
        <v>0</v>
      </c>
      <c r="U3327" s="57">
        <v>0</v>
      </c>
      <c r="V3327" s="57">
        <v>0</v>
      </c>
      <c r="W3327" s="57">
        <v>0</v>
      </c>
      <c r="X3327" s="57">
        <v>0</v>
      </c>
    </row>
    <row r="3328" spans="1:24" hidden="1" x14ac:dyDescent="0.35">
      <c r="A3328">
        <v>3324</v>
      </c>
      <c r="B3328">
        <v>3325</v>
      </c>
      <c r="C3328">
        <v>146.083007541999</v>
      </c>
      <c r="D3328">
        <v>-17.631002257599899</v>
      </c>
      <c r="F3328" t="str">
        <f>HYPERLINK("D:\Data From Lucan\2024\Moresby\Frames_for_Analysis/3325_20240611_0010_R_0690.jpg","3325_20240611_0010_R_0690.jpg")</f>
        <v>3325_20240611_0010_R_0690.jpg</v>
      </c>
      <c r="G3328" s="92" t="s">
        <v>4902</v>
      </c>
      <c r="I3328">
        <v>3</v>
      </c>
      <c r="K3328" s="57">
        <v>1</v>
      </c>
      <c r="L3328" s="31" t="s">
        <v>3959</v>
      </c>
      <c r="M3328" s="31" t="s">
        <v>3959</v>
      </c>
      <c r="N3328" s="31" t="s">
        <v>3959</v>
      </c>
      <c r="O3328" s="31" t="s">
        <v>3959</v>
      </c>
      <c r="P3328" s="57">
        <v>1</v>
      </c>
      <c r="Q3328" s="57">
        <v>0</v>
      </c>
      <c r="R3328" s="57">
        <v>0</v>
      </c>
      <c r="S3328" s="57">
        <v>0</v>
      </c>
      <c r="T3328" s="57">
        <v>0</v>
      </c>
      <c r="U3328" s="57">
        <v>0</v>
      </c>
      <c r="V3328" s="57">
        <v>0</v>
      </c>
      <c r="W3328" s="57">
        <v>0</v>
      </c>
      <c r="X3328" s="57">
        <v>0</v>
      </c>
    </row>
    <row r="3329" spans="1:24" hidden="1" x14ac:dyDescent="0.35">
      <c r="A3329">
        <v>3325</v>
      </c>
      <c r="B3329">
        <v>3326</v>
      </c>
      <c r="C3329">
        <v>146.082972100999</v>
      </c>
      <c r="D3329">
        <v>-17.631080925300001</v>
      </c>
      <c r="F3329" t="str">
        <f>HYPERLINK("D:\Data From Lucan\2024\Moresby\Frames_for_Analysis/3326_20240611_0010_R_0687.jpg","3326_20240611_0010_R_0687.jpg")</f>
        <v>3326_20240611_0010_R_0687.jpg</v>
      </c>
      <c r="G3329" s="92" t="s">
        <v>4903</v>
      </c>
      <c r="I3329">
        <v>3</v>
      </c>
      <c r="K3329" s="57">
        <v>1</v>
      </c>
      <c r="L3329" s="31" t="s">
        <v>3959</v>
      </c>
      <c r="M3329" s="31" t="s">
        <v>3959</v>
      </c>
      <c r="N3329" s="31" t="s">
        <v>3959</v>
      </c>
      <c r="O3329" s="31" t="s">
        <v>3959</v>
      </c>
      <c r="P3329" s="57">
        <v>1</v>
      </c>
      <c r="Q3329" s="57">
        <v>0</v>
      </c>
      <c r="R3329" s="57">
        <v>0</v>
      </c>
      <c r="S3329" s="57">
        <v>0</v>
      </c>
      <c r="T3329" s="57">
        <v>0</v>
      </c>
      <c r="U3329" s="57">
        <v>0</v>
      </c>
      <c r="V3329" s="57">
        <v>0</v>
      </c>
      <c r="W3329" s="57">
        <v>0</v>
      </c>
      <c r="X3329" s="57">
        <v>0</v>
      </c>
    </row>
    <row r="3330" spans="1:24" hidden="1" x14ac:dyDescent="0.35">
      <c r="A3330">
        <v>3326</v>
      </c>
      <c r="B3330">
        <v>3327</v>
      </c>
      <c r="C3330">
        <v>146.082936660999</v>
      </c>
      <c r="D3330">
        <v>-17.631159593100001</v>
      </c>
      <c r="F3330" t="str">
        <f>HYPERLINK("D:\Data From Lucan\2024\Moresby\Frames_for_Analysis/3327_20240611_0010_R_0685.jpg","3327_20240611_0010_R_0685.jpg")</f>
        <v>3327_20240611_0010_R_0685.jpg</v>
      </c>
      <c r="G3330" s="92" t="s">
        <v>4904</v>
      </c>
      <c r="I3330">
        <v>3</v>
      </c>
      <c r="K3330" s="57">
        <v>1</v>
      </c>
      <c r="L3330" s="31" t="s">
        <v>3959</v>
      </c>
      <c r="M3330" s="31" t="s">
        <v>3959</v>
      </c>
      <c r="N3330" s="31" t="s">
        <v>3959</v>
      </c>
      <c r="O3330" s="31" t="s">
        <v>3959</v>
      </c>
      <c r="P3330" s="57">
        <v>1</v>
      </c>
      <c r="Q3330" s="57">
        <v>0</v>
      </c>
      <c r="R3330" s="57">
        <v>0</v>
      </c>
      <c r="S3330" s="57">
        <v>0</v>
      </c>
      <c r="T3330" s="57">
        <v>0</v>
      </c>
      <c r="U3330" s="57">
        <v>0</v>
      </c>
      <c r="V3330" s="57">
        <v>0</v>
      </c>
      <c r="W3330" s="57">
        <v>0</v>
      </c>
      <c r="X3330" s="57">
        <v>0</v>
      </c>
    </row>
    <row r="3331" spans="1:24" hidden="1" x14ac:dyDescent="0.35">
      <c r="A3331">
        <v>3327</v>
      </c>
      <c r="B3331">
        <v>3328</v>
      </c>
      <c r="C3331">
        <v>146.08290122099899</v>
      </c>
      <c r="D3331">
        <v>-17.631238260700002</v>
      </c>
      <c r="F3331" t="str">
        <f>HYPERLINK("D:\Data From Lucan\2024\Moresby\Frames_for_Analysis/3328_20240611_0010_R_0682.jpg","3328_20240611_0010_R_0682.jpg")</f>
        <v>3328_20240611_0010_R_0682.jpg</v>
      </c>
      <c r="G3331" s="92" t="s">
        <v>4905</v>
      </c>
      <c r="I3331">
        <v>3</v>
      </c>
      <c r="K3331" s="57">
        <v>1</v>
      </c>
      <c r="L3331" s="31" t="s">
        <v>3959</v>
      </c>
      <c r="M3331" s="31" t="s">
        <v>3959</v>
      </c>
      <c r="N3331" s="31" t="s">
        <v>3959</v>
      </c>
      <c r="O3331" s="31" t="s">
        <v>3959</v>
      </c>
      <c r="P3331" s="57">
        <v>1</v>
      </c>
      <c r="Q3331" s="57">
        <v>0</v>
      </c>
      <c r="R3331" s="57">
        <v>0</v>
      </c>
      <c r="S3331" s="57">
        <v>0</v>
      </c>
      <c r="T3331" s="57">
        <v>0</v>
      </c>
      <c r="U3331" s="57">
        <v>0</v>
      </c>
      <c r="V3331" s="57">
        <v>0</v>
      </c>
      <c r="W3331" s="57">
        <v>0</v>
      </c>
      <c r="X3331" s="57">
        <v>0</v>
      </c>
    </row>
    <row r="3332" spans="1:24" hidden="1" x14ac:dyDescent="0.35">
      <c r="A3332">
        <v>3328</v>
      </c>
      <c r="B3332">
        <v>3329</v>
      </c>
      <c r="C3332">
        <v>146.08286578100001</v>
      </c>
      <c r="D3332">
        <v>-17.6313169284</v>
      </c>
      <c r="F3332" t="str">
        <f>HYPERLINK("D:\Data From Lucan\2024\Moresby\Frames_for_Analysis/3329_20240611_0010_R_0680.jpg","3329_20240611_0010_R_0680.jpg")</f>
        <v>3329_20240611_0010_R_0680.jpg</v>
      </c>
      <c r="G3332" s="92" t="s">
        <v>4906</v>
      </c>
      <c r="I3332">
        <v>3</v>
      </c>
      <c r="K3332" s="57">
        <v>1</v>
      </c>
      <c r="L3332" s="31" t="s">
        <v>3959</v>
      </c>
      <c r="M3332" s="31" t="s">
        <v>3959</v>
      </c>
      <c r="N3332" s="31" t="s">
        <v>3959</v>
      </c>
      <c r="O3332" s="31" t="s">
        <v>3959</v>
      </c>
      <c r="P3332" s="57">
        <v>1</v>
      </c>
      <c r="Q3332" s="57">
        <v>0</v>
      </c>
      <c r="R3332" s="57">
        <v>0</v>
      </c>
      <c r="S3332" s="57">
        <v>0</v>
      </c>
      <c r="T3332" s="57">
        <v>0</v>
      </c>
      <c r="U3332" s="57">
        <v>0</v>
      </c>
      <c r="V3332" s="57">
        <v>0</v>
      </c>
      <c r="W3332" s="57">
        <v>0</v>
      </c>
      <c r="X3332" s="57">
        <v>0</v>
      </c>
    </row>
    <row r="3333" spans="1:24" hidden="1" x14ac:dyDescent="0.35">
      <c r="A3333">
        <v>3329</v>
      </c>
      <c r="B3333">
        <v>3330</v>
      </c>
      <c r="C3333">
        <v>146.08284018800001</v>
      </c>
      <c r="D3333">
        <v>-17.631398739000002</v>
      </c>
      <c r="F3333" t="str">
        <f>HYPERLINK("D:\Data From Lucan\2024\Moresby\Frames_for_Analysis/3330_20240611_0010_R_0678.jpg","3330_20240611_0010_R_0678.jpg")</f>
        <v>3330_20240611_0010_R_0678.jpg</v>
      </c>
      <c r="G3333" s="92" t="s">
        <v>4907</v>
      </c>
      <c r="I3333">
        <v>3</v>
      </c>
      <c r="K3333" s="57">
        <v>1</v>
      </c>
      <c r="L3333" s="31" t="s">
        <v>3959</v>
      </c>
      <c r="M3333" s="31" t="s">
        <v>3959</v>
      </c>
      <c r="N3333" s="31" t="s">
        <v>3959</v>
      </c>
      <c r="O3333" s="31" t="s">
        <v>3959</v>
      </c>
      <c r="P3333" s="57">
        <v>1</v>
      </c>
      <c r="Q3333" s="57">
        <v>0</v>
      </c>
      <c r="R3333" s="57">
        <v>0</v>
      </c>
      <c r="S3333" s="57">
        <v>0</v>
      </c>
      <c r="T3333" s="57">
        <v>0</v>
      </c>
      <c r="U3333" s="57">
        <v>0</v>
      </c>
      <c r="V3333" s="57">
        <v>0</v>
      </c>
      <c r="W3333" s="57">
        <v>0</v>
      </c>
      <c r="X3333" s="57">
        <v>0</v>
      </c>
    </row>
    <row r="3334" spans="1:24" hidden="1" x14ac:dyDescent="0.35">
      <c r="A3334">
        <v>3330</v>
      </c>
      <c r="B3334">
        <v>3331</v>
      </c>
      <c r="C3334">
        <v>146.08281876500001</v>
      </c>
      <c r="D3334">
        <v>-17.6314818803999</v>
      </c>
      <c r="F3334" t="str">
        <f>HYPERLINK("D:\Data From Lucan\2024\Moresby\Frames_for_Analysis/3331_20240611_0010_R_0675.jpg","3331_20240611_0010_R_0675.jpg")</f>
        <v>3331_20240611_0010_R_0675.jpg</v>
      </c>
      <c r="G3334" s="92" t="s">
        <v>4908</v>
      </c>
      <c r="I3334">
        <v>3</v>
      </c>
      <c r="K3334" s="57">
        <v>1</v>
      </c>
      <c r="L3334" s="31" t="s">
        <v>3959</v>
      </c>
      <c r="M3334" s="31" t="s">
        <v>3959</v>
      </c>
      <c r="N3334" s="31" t="s">
        <v>3959</v>
      </c>
      <c r="O3334" s="31" t="s">
        <v>3959</v>
      </c>
      <c r="P3334" s="57">
        <v>1</v>
      </c>
      <c r="Q3334" s="57">
        <v>0</v>
      </c>
      <c r="R3334" s="57">
        <v>0</v>
      </c>
      <c r="S3334" s="57">
        <v>0</v>
      </c>
      <c r="T3334" s="57">
        <v>0</v>
      </c>
      <c r="U3334" s="57">
        <v>0</v>
      </c>
      <c r="V3334" s="57">
        <v>0</v>
      </c>
      <c r="W3334" s="57">
        <v>0</v>
      </c>
      <c r="X3334" s="57">
        <v>0</v>
      </c>
    </row>
    <row r="3335" spans="1:24" hidden="1" x14ac:dyDescent="0.35">
      <c r="A3335">
        <v>3331</v>
      </c>
      <c r="B3335">
        <v>3332</v>
      </c>
      <c r="C3335">
        <v>146.082797341</v>
      </c>
      <c r="D3335">
        <v>-17.6315650218</v>
      </c>
      <c r="F3335" t="str">
        <f>HYPERLINK("D:\Data From Lucan\2024\Moresby\Frames_for_Analysis/3332_20240611_0010_R_0672.jpg","3332_20240611_0010_R_0672.jpg")</f>
        <v>3332_20240611_0010_R_0672.jpg</v>
      </c>
      <c r="G3335" s="92" t="s">
        <v>4909</v>
      </c>
      <c r="I3335">
        <v>3</v>
      </c>
      <c r="K3335" s="57">
        <v>1</v>
      </c>
      <c r="L3335" s="31" t="s">
        <v>3959</v>
      </c>
      <c r="M3335" s="31" t="s">
        <v>3959</v>
      </c>
      <c r="N3335" s="31" t="s">
        <v>3959</v>
      </c>
      <c r="O3335" s="31" t="s">
        <v>3959</v>
      </c>
      <c r="P3335" s="57">
        <v>1</v>
      </c>
      <c r="Q3335" s="57">
        <v>0</v>
      </c>
      <c r="R3335" s="57">
        <v>0</v>
      </c>
      <c r="S3335" s="57">
        <v>0</v>
      </c>
      <c r="T3335" s="57">
        <v>0</v>
      </c>
      <c r="U3335" s="57">
        <v>0</v>
      </c>
      <c r="V3335" s="57">
        <v>0</v>
      </c>
      <c r="W3335" s="57">
        <v>0</v>
      </c>
      <c r="X3335" s="57">
        <v>0</v>
      </c>
    </row>
    <row r="3336" spans="1:24" hidden="1" x14ac:dyDescent="0.35">
      <c r="A3336">
        <v>3332</v>
      </c>
      <c r="B3336">
        <v>3333</v>
      </c>
      <c r="C3336">
        <v>146.082775916999</v>
      </c>
      <c r="D3336">
        <v>-17.6316481630999</v>
      </c>
      <c r="F3336" t="str">
        <f>HYPERLINK("D:\Data From Lucan\2024\Moresby\Frames_for_Analysis/3333_20240611_0010_R_0670.jpg","3333_20240611_0010_R_0670.jpg")</f>
        <v>3333_20240611_0010_R_0670.jpg</v>
      </c>
      <c r="G3336" s="92" t="s">
        <v>4910</v>
      </c>
      <c r="I3336">
        <v>3</v>
      </c>
      <c r="K3336" s="57">
        <v>1</v>
      </c>
      <c r="L3336" s="31" t="s">
        <v>3959</v>
      </c>
      <c r="M3336" s="31" t="s">
        <v>3959</v>
      </c>
      <c r="N3336" s="31" t="s">
        <v>3959</v>
      </c>
      <c r="O3336" s="31" t="s">
        <v>3959</v>
      </c>
      <c r="P3336" s="57">
        <v>1</v>
      </c>
      <c r="Q3336" s="57">
        <v>0</v>
      </c>
      <c r="R3336" s="57">
        <v>0</v>
      </c>
      <c r="S3336" s="57">
        <v>0</v>
      </c>
      <c r="T3336" s="57">
        <v>0</v>
      </c>
      <c r="U3336" s="57">
        <v>0</v>
      </c>
      <c r="V3336" s="57">
        <v>0</v>
      </c>
      <c r="W3336" s="57">
        <v>0</v>
      </c>
      <c r="X3336" s="57">
        <v>0</v>
      </c>
    </row>
    <row r="3337" spans="1:24" hidden="1" x14ac:dyDescent="0.35">
      <c r="A3337">
        <v>3333</v>
      </c>
      <c r="B3337">
        <v>3334</v>
      </c>
      <c r="C3337">
        <v>146.082754494</v>
      </c>
      <c r="D3337">
        <v>-17.631731304399899</v>
      </c>
      <c r="F3337" t="str">
        <f>HYPERLINK("D:\Data From Lucan\2024\Moresby\Frames_for_Analysis/3334_20240611_0010_R_0667.jpg","3334_20240611_0010_R_0667.jpg")</f>
        <v>3334_20240611_0010_R_0667.jpg</v>
      </c>
      <c r="G3337" s="92" t="s">
        <v>4911</v>
      </c>
      <c r="I3337">
        <v>3</v>
      </c>
      <c r="K3337" s="57">
        <v>1</v>
      </c>
      <c r="L3337" s="31" t="s">
        <v>3959</v>
      </c>
      <c r="M3337" s="31" t="s">
        <v>3959</v>
      </c>
      <c r="N3337" s="31" t="s">
        <v>3959</v>
      </c>
      <c r="O3337" s="31" t="s">
        <v>3959</v>
      </c>
      <c r="P3337" s="57">
        <v>1</v>
      </c>
      <c r="Q3337" s="57">
        <v>0</v>
      </c>
      <c r="R3337" s="57">
        <v>0</v>
      </c>
      <c r="S3337" s="57">
        <v>0</v>
      </c>
      <c r="T3337" s="57">
        <v>0</v>
      </c>
      <c r="U3337" s="57">
        <v>0</v>
      </c>
      <c r="V3337" s="57">
        <v>0</v>
      </c>
      <c r="W3337" s="57">
        <v>0</v>
      </c>
      <c r="X3337" s="57">
        <v>0</v>
      </c>
    </row>
    <row r="3338" spans="1:24" hidden="1" x14ac:dyDescent="0.35">
      <c r="A3338">
        <v>3334</v>
      </c>
      <c r="B3338">
        <v>3335</v>
      </c>
      <c r="C3338">
        <v>146.08273306999899</v>
      </c>
      <c r="D3338">
        <v>-17.6318144456</v>
      </c>
      <c r="F3338" t="str">
        <f>HYPERLINK("D:\Data From Lucan\2024\Moresby\Frames_for_Analysis/3335_20240611_0010_R_0663.jpg","3335_20240611_0010_R_0663.jpg")</f>
        <v>3335_20240611_0010_R_0663.jpg</v>
      </c>
      <c r="G3338" s="92" t="s">
        <v>4912</v>
      </c>
      <c r="I3338">
        <v>3</v>
      </c>
      <c r="K3338" s="57">
        <v>1</v>
      </c>
      <c r="L3338" s="31" t="s">
        <v>3959</v>
      </c>
      <c r="M3338" s="31" t="s">
        <v>3959</v>
      </c>
      <c r="N3338" s="31" t="s">
        <v>3959</v>
      </c>
      <c r="O3338" s="31" t="s">
        <v>3959</v>
      </c>
      <c r="P3338" s="57">
        <v>1</v>
      </c>
      <c r="Q3338" s="57">
        <v>0</v>
      </c>
      <c r="R3338" s="57">
        <v>0</v>
      </c>
      <c r="S3338" s="57">
        <v>0</v>
      </c>
      <c r="T3338" s="57">
        <v>0</v>
      </c>
      <c r="U3338" s="57">
        <v>0</v>
      </c>
      <c r="V3338" s="57">
        <v>0</v>
      </c>
      <c r="W3338" s="57">
        <v>0</v>
      </c>
      <c r="X3338" s="57">
        <v>0</v>
      </c>
    </row>
    <row r="3339" spans="1:24" hidden="1" x14ac:dyDescent="0.35">
      <c r="A3339">
        <v>3335</v>
      </c>
      <c r="B3339">
        <v>3336</v>
      </c>
      <c r="C3339">
        <v>146.08271164600001</v>
      </c>
      <c r="D3339">
        <v>-17.631897586800001</v>
      </c>
      <c r="F3339" t="str">
        <f>HYPERLINK("D:\Data From Lucan\2024\Moresby\Frames_for_Analysis/3336_20240611_0010_R_0660.jpg","3336_20240611_0010_R_0660.jpg")</f>
        <v>3336_20240611_0010_R_0660.jpg</v>
      </c>
      <c r="G3339" s="92" t="s">
        <v>4913</v>
      </c>
      <c r="I3339">
        <v>3</v>
      </c>
      <c r="K3339" s="57">
        <v>1</v>
      </c>
      <c r="L3339" s="31" t="s">
        <v>3959</v>
      </c>
      <c r="M3339" s="31" t="s">
        <v>3959</v>
      </c>
      <c r="N3339" s="31" t="s">
        <v>3959</v>
      </c>
      <c r="O3339" s="31" t="s">
        <v>3959</v>
      </c>
      <c r="P3339" s="57">
        <v>1</v>
      </c>
      <c r="Q3339" s="57">
        <v>0</v>
      </c>
      <c r="R3339" s="57">
        <v>0</v>
      </c>
      <c r="S3339" s="57">
        <v>0</v>
      </c>
      <c r="T3339" s="57">
        <v>0</v>
      </c>
      <c r="U3339" s="57">
        <v>0</v>
      </c>
      <c r="V3339" s="57">
        <v>0</v>
      </c>
      <c r="W3339" s="57">
        <v>0</v>
      </c>
      <c r="X3339" s="57">
        <v>0</v>
      </c>
    </row>
    <row r="3340" spans="1:24" hidden="1" x14ac:dyDescent="0.35">
      <c r="A3340">
        <v>3336</v>
      </c>
      <c r="B3340">
        <v>3337</v>
      </c>
      <c r="C3340">
        <v>146.08269022299899</v>
      </c>
      <c r="D3340">
        <v>-17.631980727999899</v>
      </c>
      <c r="F3340" t="str">
        <f>HYPERLINK("D:\Data From Lucan\2024\Moresby\Frames_for_Analysis/3337_20240611_0010_R_0656.jpg","3337_20240611_0010_R_0656.jpg")</f>
        <v>3337_20240611_0010_R_0656.jpg</v>
      </c>
      <c r="G3340" s="92" t="s">
        <v>4914</v>
      </c>
      <c r="I3340">
        <v>3</v>
      </c>
      <c r="K3340" s="57">
        <v>1</v>
      </c>
      <c r="L3340" t="s">
        <v>3959</v>
      </c>
      <c r="M3340" t="s">
        <v>3959</v>
      </c>
      <c r="N3340" t="s">
        <v>3959</v>
      </c>
      <c r="O3340" t="s">
        <v>3959</v>
      </c>
      <c r="P3340" s="57">
        <v>1</v>
      </c>
      <c r="Q3340" s="57">
        <v>0</v>
      </c>
      <c r="R3340" s="57">
        <v>0</v>
      </c>
      <c r="S3340" s="57">
        <v>0</v>
      </c>
      <c r="T3340" s="57">
        <v>0</v>
      </c>
      <c r="U3340" s="57">
        <v>0</v>
      </c>
      <c r="V3340" s="57">
        <v>0</v>
      </c>
      <c r="W3340" s="57">
        <v>0</v>
      </c>
      <c r="X3340" s="57">
        <v>0</v>
      </c>
    </row>
    <row r="3341" spans="1:24" hidden="1" x14ac:dyDescent="0.35">
      <c r="A3341">
        <v>3337</v>
      </c>
      <c r="B3341">
        <v>3338</v>
      </c>
      <c r="C3341">
        <v>146.08268443</v>
      </c>
      <c r="D3341">
        <v>-17.632065707900001</v>
      </c>
      <c r="F3341" t="str">
        <f>HYPERLINK("D:\Data From Lucan\2024\Moresby\Frames_for_Analysis/3338_20240611_0010_R_0652.jpg","3338_20240611_0010_R_0652.jpg")</f>
        <v>3338_20240611_0010_R_0652.jpg</v>
      </c>
      <c r="G3341" s="92" t="s">
        <v>4915</v>
      </c>
      <c r="I3341">
        <v>3</v>
      </c>
      <c r="K3341" s="57">
        <v>1</v>
      </c>
      <c r="L3341" t="s">
        <v>3959</v>
      </c>
      <c r="M3341" t="s">
        <v>3959</v>
      </c>
      <c r="N3341" t="s">
        <v>3959</v>
      </c>
      <c r="O3341" t="s">
        <v>3959</v>
      </c>
      <c r="P3341" s="57">
        <v>1</v>
      </c>
      <c r="Q3341" s="57">
        <v>0</v>
      </c>
      <c r="R3341" s="57">
        <v>0</v>
      </c>
      <c r="S3341" s="57">
        <v>0</v>
      </c>
      <c r="T3341" s="57">
        <v>0</v>
      </c>
      <c r="U3341" s="57">
        <v>0</v>
      </c>
      <c r="V3341" s="57">
        <v>0</v>
      </c>
      <c r="W3341" s="57">
        <v>0</v>
      </c>
      <c r="X3341" s="57">
        <v>0</v>
      </c>
    </row>
    <row r="3342" spans="1:24" hidden="1" x14ac:dyDescent="0.35">
      <c r="A3342">
        <v>3338</v>
      </c>
      <c r="B3342">
        <v>3339</v>
      </c>
      <c r="C3342">
        <v>146.082683997</v>
      </c>
      <c r="D3342">
        <v>-17.6321513183</v>
      </c>
      <c r="F3342" t="str">
        <f>HYPERLINK("D:\Data From Lucan\2024\Moresby\Frames_for_Analysis/3339_20240611_0010_R_0650.jpg","3339_20240611_0010_R_0650.jpg")</f>
        <v>3339_20240611_0010_R_0650.jpg</v>
      </c>
      <c r="G3342" s="92" t="s">
        <v>4916</v>
      </c>
      <c r="I3342">
        <v>3</v>
      </c>
      <c r="K3342" s="57">
        <v>1</v>
      </c>
      <c r="L3342" t="s">
        <v>3959</v>
      </c>
      <c r="M3342" t="s">
        <v>3959</v>
      </c>
      <c r="N3342" t="s">
        <v>3959</v>
      </c>
      <c r="O3342" t="s">
        <v>3959</v>
      </c>
      <c r="P3342" s="57">
        <v>1</v>
      </c>
      <c r="Q3342" s="57">
        <v>0</v>
      </c>
      <c r="R3342" s="57">
        <v>0</v>
      </c>
      <c r="S3342" s="57">
        <v>0</v>
      </c>
      <c r="T3342" s="57">
        <v>0</v>
      </c>
      <c r="U3342" s="57">
        <v>0</v>
      </c>
      <c r="V3342" s="57">
        <v>0</v>
      </c>
      <c r="W3342" s="57">
        <v>0</v>
      </c>
      <c r="X3342" s="57">
        <v>0</v>
      </c>
    </row>
    <row r="3343" spans="1:24" hidden="1" x14ac:dyDescent="0.35">
      <c r="A3343">
        <v>3339</v>
      </c>
      <c r="B3343">
        <v>3340</v>
      </c>
      <c r="C3343">
        <v>146.08268356400001</v>
      </c>
      <c r="D3343">
        <v>-17.632236928600001</v>
      </c>
      <c r="F3343" t="str">
        <f>HYPERLINK("D:\Data From Lucan\2024\Moresby\Frames_for_Analysis/3340_20240611_0010_R_0647.jpg","3340_20240611_0010_R_0647.jpg")</f>
        <v>3340_20240611_0010_R_0647.jpg</v>
      </c>
      <c r="G3343" s="92" t="s">
        <v>4917</v>
      </c>
      <c r="I3343">
        <v>3</v>
      </c>
      <c r="K3343" s="57">
        <v>1</v>
      </c>
      <c r="L3343" t="s">
        <v>3959</v>
      </c>
      <c r="M3343" t="s">
        <v>3959</v>
      </c>
      <c r="N3343" t="s">
        <v>3959</v>
      </c>
      <c r="O3343" t="s">
        <v>3959</v>
      </c>
      <c r="P3343" s="57">
        <v>1</v>
      </c>
      <c r="Q3343" s="57">
        <v>0</v>
      </c>
      <c r="R3343" s="57">
        <v>0</v>
      </c>
      <c r="S3343" s="57">
        <v>0</v>
      </c>
      <c r="T3343" s="57">
        <v>0</v>
      </c>
      <c r="U3343" s="57">
        <v>0</v>
      </c>
      <c r="V3343" s="57">
        <v>0</v>
      </c>
      <c r="W3343" s="57">
        <v>0</v>
      </c>
      <c r="X3343" s="57">
        <v>0</v>
      </c>
    </row>
    <row r="3344" spans="1:24" hidden="1" x14ac:dyDescent="0.35">
      <c r="A3344">
        <v>3340</v>
      </c>
      <c r="B3344">
        <v>3341</v>
      </c>
      <c r="C3344">
        <v>146.08268313100001</v>
      </c>
      <c r="D3344">
        <v>-17.6323225388</v>
      </c>
      <c r="F3344" t="str">
        <f>HYPERLINK("D:\Data From Lucan\2024\Moresby\Frames_for_Analysis/3341_20240611_0010_R_0644.jpg","3341_20240611_0010_R_0644.jpg")</f>
        <v>3341_20240611_0010_R_0644.jpg</v>
      </c>
      <c r="G3344" s="92" t="s">
        <v>4918</v>
      </c>
      <c r="I3344">
        <v>3</v>
      </c>
      <c r="K3344" s="57">
        <v>1</v>
      </c>
      <c r="L3344" t="s">
        <v>3959</v>
      </c>
      <c r="M3344" t="s">
        <v>3959</v>
      </c>
      <c r="N3344" t="s">
        <v>3959</v>
      </c>
      <c r="O3344" t="s">
        <v>3959</v>
      </c>
      <c r="P3344" s="57">
        <v>1</v>
      </c>
      <c r="Q3344" s="57">
        <v>0</v>
      </c>
      <c r="R3344" s="57">
        <v>0</v>
      </c>
      <c r="S3344" s="57">
        <v>0</v>
      </c>
      <c r="T3344" s="57">
        <v>0</v>
      </c>
      <c r="U3344" s="57">
        <v>0</v>
      </c>
      <c r="V3344" s="57">
        <v>0</v>
      </c>
      <c r="W3344" s="57">
        <v>0</v>
      </c>
      <c r="X3344" s="57">
        <v>0</v>
      </c>
    </row>
    <row r="3345" spans="1:24" hidden="1" x14ac:dyDescent="0.35">
      <c r="A3345">
        <v>3341</v>
      </c>
      <c r="B3345">
        <v>3342</v>
      </c>
      <c r="C3345">
        <v>146.08268500700001</v>
      </c>
      <c r="D3345">
        <v>-17.632407935100002</v>
      </c>
      <c r="F3345" t="str">
        <f>HYPERLINK("D:\Data From Lucan\2024\Moresby\Frames_for_Analysis/3342_20240611_0010_R_0641.jpg","3342_20240611_0010_R_0641.jpg")</f>
        <v>3342_20240611_0010_R_0641.jpg</v>
      </c>
      <c r="G3345" s="92" t="s">
        <v>4919</v>
      </c>
      <c r="I3345">
        <v>3</v>
      </c>
      <c r="K3345" s="57">
        <v>1</v>
      </c>
      <c r="L3345" t="s">
        <v>3959</v>
      </c>
      <c r="M3345" t="s">
        <v>3959</v>
      </c>
      <c r="N3345" t="s">
        <v>3959</v>
      </c>
      <c r="O3345" t="s">
        <v>3959</v>
      </c>
      <c r="P3345" s="57">
        <v>1</v>
      </c>
      <c r="Q3345" s="57">
        <v>0</v>
      </c>
      <c r="R3345" s="57">
        <v>0</v>
      </c>
      <c r="S3345" s="57">
        <v>0</v>
      </c>
      <c r="T3345" s="57">
        <v>0</v>
      </c>
      <c r="U3345" s="57">
        <v>0</v>
      </c>
      <c r="V3345" s="57">
        <v>0</v>
      </c>
      <c r="W3345" s="57">
        <v>0</v>
      </c>
      <c r="X3345" s="57">
        <v>0</v>
      </c>
    </row>
    <row r="3346" spans="1:24" hidden="1" x14ac:dyDescent="0.35">
      <c r="A3346">
        <v>3342</v>
      </c>
      <c r="B3346">
        <v>3343</v>
      </c>
      <c r="C3346">
        <v>146.082702732</v>
      </c>
      <c r="D3346">
        <v>-17.6324918633</v>
      </c>
      <c r="F3346" t="str">
        <f>HYPERLINK("D:\Data From Lucan\2024\Moresby\Frames_for_Analysis/3343_20240611_0010_R_0639.jpg","3343_20240611_0010_R_0639.jpg")</f>
        <v>3343_20240611_0010_R_0639.jpg</v>
      </c>
      <c r="G3346" s="92" t="s">
        <v>4920</v>
      </c>
      <c r="I3346">
        <v>3</v>
      </c>
      <c r="K3346" s="57">
        <v>1</v>
      </c>
      <c r="L3346" t="s">
        <v>3959</v>
      </c>
      <c r="M3346" t="s">
        <v>3959</v>
      </c>
      <c r="N3346" t="s">
        <v>3959</v>
      </c>
      <c r="O3346" t="s">
        <v>3959</v>
      </c>
      <c r="P3346" s="57">
        <v>1</v>
      </c>
      <c r="Q3346" s="57">
        <v>0</v>
      </c>
      <c r="R3346" s="57">
        <v>0</v>
      </c>
      <c r="S3346" s="57">
        <v>0</v>
      </c>
      <c r="T3346" s="57">
        <v>0</v>
      </c>
      <c r="U3346" s="57">
        <v>0</v>
      </c>
      <c r="V3346" s="57">
        <v>0</v>
      </c>
      <c r="W3346" s="57">
        <v>0</v>
      </c>
      <c r="X3346" s="57">
        <v>0</v>
      </c>
    </row>
    <row r="3347" spans="1:24" hidden="1" x14ac:dyDescent="0.35">
      <c r="A3347">
        <v>3343</v>
      </c>
      <c r="B3347">
        <v>3344</v>
      </c>
      <c r="C3347">
        <v>146.082720456</v>
      </c>
      <c r="D3347">
        <v>-17.6325757914999</v>
      </c>
      <c r="F3347" t="str">
        <f>HYPERLINK("D:\Data From Lucan\2024\Moresby\Frames_for_Analysis/3344_20240611_0010_R_0636.jpg","3344_20240611_0010_R_0636.jpg")</f>
        <v>3344_20240611_0010_R_0636.jpg</v>
      </c>
      <c r="G3347" s="92" t="s">
        <v>4921</v>
      </c>
      <c r="I3347">
        <v>3</v>
      </c>
      <c r="K3347" s="57">
        <v>1</v>
      </c>
      <c r="L3347" t="s">
        <v>3959</v>
      </c>
      <c r="M3347" t="s">
        <v>3959</v>
      </c>
      <c r="N3347" t="s">
        <v>3959</v>
      </c>
      <c r="O3347" t="s">
        <v>3959</v>
      </c>
      <c r="P3347" s="57">
        <v>1</v>
      </c>
      <c r="Q3347" s="57">
        <v>0</v>
      </c>
      <c r="R3347" s="57">
        <v>0</v>
      </c>
      <c r="S3347" s="57">
        <v>0</v>
      </c>
      <c r="T3347" s="57">
        <v>0</v>
      </c>
      <c r="U3347" s="57">
        <v>0</v>
      </c>
      <c r="V3347" s="57">
        <v>0</v>
      </c>
      <c r="W3347" s="57">
        <v>0</v>
      </c>
      <c r="X3347" s="57">
        <v>0</v>
      </c>
    </row>
    <row r="3348" spans="1:24" hidden="1" x14ac:dyDescent="0.35">
      <c r="A3348">
        <v>3344</v>
      </c>
      <c r="B3348">
        <v>3345</v>
      </c>
      <c r="C3348">
        <v>146.082738180999</v>
      </c>
      <c r="D3348">
        <v>-17.6326597195999</v>
      </c>
      <c r="F3348" t="str">
        <f>HYPERLINK("D:\Data From Lucan\2024\Moresby\Frames_for_Analysis/3345_20240611_0010_R_0633.jpg","3345_20240611_0010_R_0633.jpg")</f>
        <v>3345_20240611_0010_R_0633.jpg</v>
      </c>
      <c r="G3348" s="92" t="s">
        <v>4922</v>
      </c>
      <c r="I3348">
        <v>3</v>
      </c>
      <c r="K3348" s="57">
        <v>1</v>
      </c>
      <c r="L3348" t="s">
        <v>3959</v>
      </c>
      <c r="M3348" t="s">
        <v>3959</v>
      </c>
      <c r="N3348" t="s">
        <v>3959</v>
      </c>
      <c r="O3348" t="s">
        <v>3959</v>
      </c>
      <c r="P3348" s="57">
        <v>1</v>
      </c>
      <c r="Q3348" s="57">
        <v>0</v>
      </c>
      <c r="R3348" s="57">
        <v>0</v>
      </c>
      <c r="S3348" s="57">
        <v>0</v>
      </c>
      <c r="T3348" s="57">
        <v>0</v>
      </c>
      <c r="U3348" s="57">
        <v>0</v>
      </c>
      <c r="V3348" s="57">
        <v>0</v>
      </c>
      <c r="W3348" s="57">
        <v>0</v>
      </c>
      <c r="X3348" s="57">
        <v>0</v>
      </c>
    </row>
    <row r="3349" spans="1:24" hidden="1" x14ac:dyDescent="0.35">
      <c r="A3349">
        <v>3345</v>
      </c>
      <c r="B3349">
        <v>3346</v>
      </c>
      <c r="C3349">
        <v>146.082755904999</v>
      </c>
      <c r="D3349">
        <v>-17.6327436477</v>
      </c>
      <c r="F3349" t="str">
        <f>HYPERLINK("D:\Data From Lucan\2024\Moresby\Frames_for_Analysis/3346_20240611_0010_R_0630.jpg","3346_20240611_0010_R_0630.jpg")</f>
        <v>3346_20240611_0010_R_0630.jpg</v>
      </c>
      <c r="G3349" s="92" t="s">
        <v>4923</v>
      </c>
      <c r="I3349">
        <v>3</v>
      </c>
      <c r="K3349" s="57">
        <v>1</v>
      </c>
      <c r="L3349" t="s">
        <v>3959</v>
      </c>
      <c r="M3349" t="s">
        <v>3959</v>
      </c>
      <c r="N3349" t="s">
        <v>3959</v>
      </c>
      <c r="O3349" t="s">
        <v>3959</v>
      </c>
      <c r="P3349" s="57">
        <v>1</v>
      </c>
      <c r="Q3349" s="57">
        <v>0</v>
      </c>
      <c r="R3349" s="57">
        <v>0</v>
      </c>
      <c r="S3349" s="57">
        <v>0</v>
      </c>
      <c r="T3349" s="57">
        <v>0</v>
      </c>
      <c r="U3349" s="57">
        <v>0</v>
      </c>
      <c r="V3349" s="57">
        <v>0</v>
      </c>
      <c r="W3349" s="57">
        <v>0</v>
      </c>
      <c r="X3349" s="57">
        <v>0</v>
      </c>
    </row>
    <row r="3350" spans="1:24" hidden="1" x14ac:dyDescent="0.35">
      <c r="A3350">
        <v>3346</v>
      </c>
      <c r="B3350">
        <v>3347</v>
      </c>
      <c r="C3350">
        <v>146.082773629</v>
      </c>
      <c r="D3350">
        <v>-17.632827575699899</v>
      </c>
      <c r="F3350" t="str">
        <f>HYPERLINK("D:\Data From Lucan\2024\Moresby\Frames_for_Analysis/3347_20240611_0010_R_0627.jpg","3347_20240611_0010_R_0627.jpg")</f>
        <v>3347_20240611_0010_R_0627.jpg</v>
      </c>
      <c r="G3350" s="92" t="s">
        <v>4924</v>
      </c>
      <c r="I3350">
        <v>3</v>
      </c>
      <c r="K3350" s="57">
        <v>1</v>
      </c>
      <c r="L3350" t="s">
        <v>3959</v>
      </c>
      <c r="M3350" t="s">
        <v>3959</v>
      </c>
      <c r="N3350" t="s">
        <v>3959</v>
      </c>
      <c r="O3350" t="s">
        <v>3959</v>
      </c>
      <c r="P3350" s="57">
        <v>1</v>
      </c>
      <c r="Q3350" s="57">
        <v>0</v>
      </c>
      <c r="R3350" s="57">
        <v>0</v>
      </c>
      <c r="S3350" s="57">
        <v>0</v>
      </c>
      <c r="T3350" s="57">
        <v>0</v>
      </c>
      <c r="U3350" s="57">
        <v>0</v>
      </c>
      <c r="V3350" s="57">
        <v>0</v>
      </c>
      <c r="W3350" s="57">
        <v>0</v>
      </c>
      <c r="X3350" s="57">
        <v>0</v>
      </c>
    </row>
    <row r="3351" spans="1:24" hidden="1" x14ac:dyDescent="0.35">
      <c r="A3351">
        <v>3347</v>
      </c>
      <c r="B3351">
        <v>3348</v>
      </c>
      <c r="C3351">
        <v>146.082791353999</v>
      </c>
      <c r="D3351">
        <v>-17.632911503700001</v>
      </c>
      <c r="F3351" t="str">
        <f>HYPERLINK("D:\Data From Lucan\2024\Moresby\Frames_for_Analysis/3348_20240611_0010_R_0625.jpg","3348_20240611_0010_R_0625.jpg")</f>
        <v>3348_20240611_0010_R_0625.jpg</v>
      </c>
      <c r="G3351" s="92" t="s">
        <v>4925</v>
      </c>
      <c r="I3351">
        <v>3</v>
      </c>
      <c r="K3351" s="57">
        <v>1</v>
      </c>
      <c r="L3351" t="s">
        <v>3959</v>
      </c>
      <c r="M3351" t="s">
        <v>3959</v>
      </c>
      <c r="N3351" t="s">
        <v>3959</v>
      </c>
      <c r="O3351" t="s">
        <v>3959</v>
      </c>
      <c r="P3351" s="57">
        <v>1</v>
      </c>
      <c r="Q3351" s="57">
        <v>0</v>
      </c>
      <c r="R3351" s="57">
        <v>0</v>
      </c>
      <c r="S3351" s="57">
        <v>0</v>
      </c>
      <c r="T3351" s="57">
        <v>0</v>
      </c>
      <c r="U3351" s="57">
        <v>0</v>
      </c>
      <c r="V3351" s="57">
        <v>0</v>
      </c>
      <c r="W3351" s="57">
        <v>0</v>
      </c>
      <c r="X3351" s="57">
        <v>0</v>
      </c>
    </row>
    <row r="3352" spans="1:24" hidden="1" x14ac:dyDescent="0.35">
      <c r="A3352">
        <v>3348</v>
      </c>
      <c r="B3352">
        <v>3349</v>
      </c>
      <c r="C3352">
        <v>146.082816527999</v>
      </c>
      <c r="D3352">
        <v>-17.632993113400001</v>
      </c>
      <c r="F3352" t="str">
        <f>HYPERLINK("D:\Data From Lucan\2024\Moresby\Frames_for_Analysis/3349_20240611_0010_R_0623.jpg","3349_20240611_0010_R_0623.jpg")</f>
        <v>3349_20240611_0010_R_0623.jpg</v>
      </c>
      <c r="G3352" s="92" t="s">
        <v>4926</v>
      </c>
      <c r="I3352">
        <v>3</v>
      </c>
      <c r="K3352" s="57">
        <v>1</v>
      </c>
      <c r="L3352" t="s">
        <v>3959</v>
      </c>
      <c r="M3352" t="s">
        <v>3959</v>
      </c>
      <c r="N3352" t="s">
        <v>3959</v>
      </c>
      <c r="O3352" t="s">
        <v>3959</v>
      </c>
      <c r="P3352" s="57">
        <v>1</v>
      </c>
      <c r="Q3352" s="57">
        <v>0</v>
      </c>
      <c r="R3352" s="57">
        <v>0</v>
      </c>
      <c r="S3352" s="57">
        <v>0</v>
      </c>
      <c r="T3352" s="57">
        <v>0</v>
      </c>
      <c r="U3352" s="57">
        <v>0</v>
      </c>
      <c r="V3352" s="57">
        <v>0</v>
      </c>
      <c r="W3352" s="57">
        <v>0</v>
      </c>
      <c r="X3352" s="57">
        <v>0</v>
      </c>
    </row>
    <row r="3353" spans="1:24" hidden="1" x14ac:dyDescent="0.35">
      <c r="A3353">
        <v>3349</v>
      </c>
      <c r="B3353">
        <v>3350</v>
      </c>
      <c r="C3353">
        <v>146.082854193</v>
      </c>
      <c r="D3353">
        <v>-17.633070835400002</v>
      </c>
      <c r="F3353" t="str">
        <f>HYPERLINK("D:\Data From Lucan\2024\Moresby\Frames_for_Analysis/3350_20240611_0010_R_0620.jpg","3350_20240611_0010_R_0620.jpg")</f>
        <v>3350_20240611_0010_R_0620.jpg</v>
      </c>
      <c r="G3353" s="92" t="s">
        <v>4927</v>
      </c>
      <c r="I3353">
        <v>3</v>
      </c>
      <c r="K3353" s="57">
        <v>1</v>
      </c>
      <c r="L3353" t="s">
        <v>3959</v>
      </c>
      <c r="M3353" t="s">
        <v>3959</v>
      </c>
      <c r="N3353" t="s">
        <v>3959</v>
      </c>
      <c r="O3353" t="s">
        <v>3959</v>
      </c>
      <c r="P3353" s="57">
        <v>1</v>
      </c>
      <c r="Q3353" s="57">
        <v>0</v>
      </c>
      <c r="R3353" s="57">
        <v>0</v>
      </c>
      <c r="S3353" s="57">
        <v>0</v>
      </c>
      <c r="T3353" s="57">
        <v>0</v>
      </c>
      <c r="U3353" s="57">
        <v>0</v>
      </c>
      <c r="V3353" s="57">
        <v>0</v>
      </c>
      <c r="W3353" s="57">
        <v>0</v>
      </c>
      <c r="X3353" s="57">
        <v>0</v>
      </c>
    </row>
    <row r="3354" spans="1:24" hidden="1" x14ac:dyDescent="0.35">
      <c r="A3354">
        <v>3350</v>
      </c>
      <c r="B3354">
        <v>3351</v>
      </c>
      <c r="C3354">
        <v>146.082891859</v>
      </c>
      <c r="D3354">
        <v>-17.6331485573</v>
      </c>
      <c r="F3354" t="str">
        <f>HYPERLINK("D:\Data From Lucan\2024\Moresby\Frames_for_Analysis/3351_20240611_0010_R_0618.jpg","3351_20240611_0010_R_0618.jpg")</f>
        <v>3351_20240611_0010_R_0618.jpg</v>
      </c>
      <c r="G3354" s="92" t="s">
        <v>4928</v>
      </c>
      <c r="I3354">
        <v>3</v>
      </c>
      <c r="K3354" s="57">
        <v>1</v>
      </c>
      <c r="L3354" t="s">
        <v>3959</v>
      </c>
      <c r="M3354" t="s">
        <v>3959</v>
      </c>
      <c r="N3354" t="s">
        <v>3959</v>
      </c>
      <c r="O3354" t="s">
        <v>3959</v>
      </c>
      <c r="P3354" s="57">
        <v>1</v>
      </c>
      <c r="Q3354" s="57">
        <v>0</v>
      </c>
      <c r="R3354" s="57">
        <v>0</v>
      </c>
      <c r="S3354" s="57">
        <v>0</v>
      </c>
      <c r="T3354" s="57">
        <v>0</v>
      </c>
      <c r="U3354" s="57">
        <v>0</v>
      </c>
      <c r="V3354" s="57">
        <v>0</v>
      </c>
      <c r="W3354" s="57">
        <v>0</v>
      </c>
      <c r="X3354" s="57">
        <v>0</v>
      </c>
    </row>
    <row r="3355" spans="1:24" hidden="1" x14ac:dyDescent="0.35">
      <c r="A3355">
        <v>3351</v>
      </c>
      <c r="B3355">
        <v>3352</v>
      </c>
      <c r="C3355">
        <v>146.082929524999</v>
      </c>
      <c r="D3355">
        <v>-17.633226279300001</v>
      </c>
      <c r="F3355" t="str">
        <f>HYPERLINK("D:\Data From Lucan\2024\Moresby\Frames_for_Analysis/3352_20240611_0010_R_0615.jpg","3352_20240611_0010_R_0615.jpg")</f>
        <v>3352_20240611_0010_R_0615.jpg</v>
      </c>
      <c r="G3355" s="92" t="s">
        <v>4929</v>
      </c>
      <c r="I3355">
        <v>3</v>
      </c>
      <c r="K3355" s="57">
        <v>1</v>
      </c>
      <c r="L3355" t="s">
        <v>3959</v>
      </c>
      <c r="M3355" t="s">
        <v>3959</v>
      </c>
      <c r="N3355" t="s">
        <v>3959</v>
      </c>
      <c r="O3355" t="s">
        <v>3959</v>
      </c>
      <c r="P3355" s="57">
        <v>1</v>
      </c>
      <c r="Q3355" s="57">
        <v>0</v>
      </c>
      <c r="R3355" s="57">
        <v>0</v>
      </c>
      <c r="S3355" s="57">
        <v>0</v>
      </c>
      <c r="T3355" s="57">
        <v>0</v>
      </c>
      <c r="U3355" s="57">
        <v>0</v>
      </c>
      <c r="V3355" s="57">
        <v>0</v>
      </c>
      <c r="W3355" s="57">
        <v>0</v>
      </c>
      <c r="X3355" s="57">
        <v>0</v>
      </c>
    </row>
    <row r="3356" spans="1:24" hidden="1" x14ac:dyDescent="0.35">
      <c r="A3356">
        <v>3352</v>
      </c>
      <c r="B3356">
        <v>3353</v>
      </c>
      <c r="C3356">
        <v>146.08296719000001</v>
      </c>
      <c r="D3356">
        <v>-17.633304001100001</v>
      </c>
      <c r="F3356" t="str">
        <f>HYPERLINK("D:\Data From Lucan\2024\Moresby\Frames_for_Analysis/3353_20240611_0010_R_0613.jpg","3353_20240611_0010_R_0613.jpg")</f>
        <v>3353_20240611_0010_R_0613.jpg</v>
      </c>
      <c r="G3356" s="92" t="s">
        <v>4930</v>
      </c>
      <c r="I3356">
        <v>3</v>
      </c>
      <c r="K3356" s="57">
        <v>1</v>
      </c>
      <c r="L3356" t="s">
        <v>3959</v>
      </c>
      <c r="M3356" t="s">
        <v>3959</v>
      </c>
      <c r="N3356" t="s">
        <v>3959</v>
      </c>
      <c r="O3356" t="s">
        <v>3959</v>
      </c>
      <c r="P3356" s="57">
        <v>1</v>
      </c>
      <c r="Q3356" s="57">
        <v>0</v>
      </c>
      <c r="R3356" s="57">
        <v>0</v>
      </c>
      <c r="S3356" s="57">
        <v>0</v>
      </c>
      <c r="T3356" s="57">
        <v>0</v>
      </c>
      <c r="U3356" s="57">
        <v>0</v>
      </c>
      <c r="V3356" s="57">
        <v>0</v>
      </c>
      <c r="W3356" s="57">
        <v>0</v>
      </c>
      <c r="X3356" s="57">
        <v>0</v>
      </c>
    </row>
    <row r="3357" spans="1:24" hidden="1" x14ac:dyDescent="0.35">
      <c r="A3357">
        <v>3353</v>
      </c>
      <c r="B3357">
        <v>3354</v>
      </c>
      <c r="C3357">
        <v>146.083004856</v>
      </c>
      <c r="D3357">
        <v>-17.6333817229999</v>
      </c>
      <c r="F3357" t="str">
        <f>HYPERLINK("D:\Data From Lucan\2024\Moresby\Frames_for_Analysis/3354_20240611_0010_R_0610.jpg","3354_20240611_0010_R_0610.jpg")</f>
        <v>3354_20240611_0010_R_0610.jpg</v>
      </c>
      <c r="G3357" s="92" t="s">
        <v>4931</v>
      </c>
      <c r="I3357">
        <v>3</v>
      </c>
      <c r="K3357" s="57">
        <v>1</v>
      </c>
      <c r="L3357" t="s">
        <v>3959</v>
      </c>
      <c r="M3357" t="s">
        <v>3959</v>
      </c>
      <c r="N3357" t="s">
        <v>3959</v>
      </c>
      <c r="O3357" t="s">
        <v>3959</v>
      </c>
      <c r="P3357" s="57">
        <v>1</v>
      </c>
      <c r="Q3357" s="57">
        <v>0</v>
      </c>
      <c r="R3357" s="57">
        <v>0</v>
      </c>
      <c r="S3357" s="57">
        <v>0</v>
      </c>
      <c r="T3357" s="57">
        <v>0</v>
      </c>
      <c r="U3357" s="57">
        <v>0</v>
      </c>
      <c r="V3357" s="57">
        <v>0</v>
      </c>
      <c r="W3357" s="57">
        <v>0</v>
      </c>
      <c r="X3357" s="57">
        <v>0</v>
      </c>
    </row>
    <row r="3358" spans="1:24" hidden="1" x14ac:dyDescent="0.35">
      <c r="A3358">
        <v>3354</v>
      </c>
      <c r="B3358">
        <v>3355</v>
      </c>
      <c r="C3358">
        <v>146.08304252100001</v>
      </c>
      <c r="D3358">
        <v>-17.6334594448</v>
      </c>
      <c r="F3358" t="str">
        <f>HYPERLINK("D:\Data From Lucan\2024\Moresby\Frames_for_Analysis/3355_20240611_0010_R_0608.jpg","3355_20240611_0010_R_0608.jpg")</f>
        <v>3355_20240611_0010_R_0608.jpg</v>
      </c>
      <c r="G3358" s="92" t="s">
        <v>4932</v>
      </c>
      <c r="I3358">
        <v>3</v>
      </c>
      <c r="K3358" s="57">
        <v>1</v>
      </c>
      <c r="L3358" t="s">
        <v>3959</v>
      </c>
      <c r="M3358" t="s">
        <v>3959</v>
      </c>
      <c r="N3358" t="s">
        <v>3959</v>
      </c>
      <c r="O3358" t="s">
        <v>3959</v>
      </c>
      <c r="P3358" s="57">
        <v>1</v>
      </c>
      <c r="Q3358" s="57">
        <v>0</v>
      </c>
      <c r="R3358" s="57">
        <v>0</v>
      </c>
      <c r="S3358" s="57">
        <v>0</v>
      </c>
      <c r="T3358" s="57">
        <v>0</v>
      </c>
      <c r="U3358" s="57">
        <v>0</v>
      </c>
      <c r="V3358" s="57">
        <v>0</v>
      </c>
      <c r="W3358" s="57">
        <v>0</v>
      </c>
      <c r="X3358" s="57">
        <v>0</v>
      </c>
    </row>
    <row r="3359" spans="1:24" hidden="1" x14ac:dyDescent="0.35">
      <c r="A3359">
        <v>3355</v>
      </c>
      <c r="B3359">
        <v>3356</v>
      </c>
      <c r="C3359">
        <v>146.08308161599899</v>
      </c>
      <c r="D3359">
        <v>-17.6335364949</v>
      </c>
      <c r="F3359" t="str">
        <f>HYPERLINK("D:\Data From Lucan\2024\Moresby\Frames_for_Analysis/3356_20240611_0010_R_0605.jpg","3356_20240611_0010_R_0605.jpg")</f>
        <v>3356_20240611_0010_R_0605.jpg</v>
      </c>
      <c r="G3359" s="92" t="s">
        <v>4933</v>
      </c>
      <c r="I3359">
        <v>3</v>
      </c>
      <c r="K3359" s="57">
        <v>1</v>
      </c>
      <c r="L3359" t="s">
        <v>3959</v>
      </c>
      <c r="M3359" t="s">
        <v>3959</v>
      </c>
      <c r="N3359" t="s">
        <v>3959</v>
      </c>
      <c r="O3359" t="s">
        <v>3959</v>
      </c>
      <c r="P3359" s="57">
        <v>1</v>
      </c>
      <c r="Q3359" s="57">
        <v>0</v>
      </c>
      <c r="R3359" s="57">
        <v>0</v>
      </c>
      <c r="S3359" s="57">
        <v>0</v>
      </c>
      <c r="T3359" s="57">
        <v>0</v>
      </c>
      <c r="U3359" s="57">
        <v>0</v>
      </c>
      <c r="V3359" s="57">
        <v>0</v>
      </c>
      <c r="W3359" s="57">
        <v>0</v>
      </c>
      <c r="X3359" s="57">
        <v>0</v>
      </c>
    </row>
    <row r="3360" spans="1:24" hidden="1" x14ac:dyDescent="0.35">
      <c r="A3360">
        <v>3356</v>
      </c>
      <c r="B3360">
        <v>3357</v>
      </c>
      <c r="C3360">
        <v>146.083123400999</v>
      </c>
      <c r="D3360">
        <v>-17.6336122802999</v>
      </c>
      <c r="F3360" t="str">
        <f>HYPERLINK("D:\Data From Lucan\2024\Moresby\Frames_for_Analysis/3357_20240611_0010_R_0601.jpg","3357_20240611_0010_R_0601.jpg")</f>
        <v>3357_20240611_0010_R_0601.jpg</v>
      </c>
      <c r="G3360" s="92" t="s">
        <v>4934</v>
      </c>
      <c r="I3360">
        <v>3</v>
      </c>
      <c r="K3360" s="57">
        <v>1</v>
      </c>
      <c r="L3360" t="s">
        <v>3959</v>
      </c>
      <c r="M3360" t="s">
        <v>3959</v>
      </c>
      <c r="N3360" t="s">
        <v>3959</v>
      </c>
      <c r="O3360" t="s">
        <v>3959</v>
      </c>
      <c r="P3360" s="57">
        <v>1</v>
      </c>
      <c r="Q3360" s="57">
        <v>0</v>
      </c>
      <c r="R3360" s="57">
        <v>0</v>
      </c>
      <c r="S3360" s="57">
        <v>0</v>
      </c>
      <c r="T3360" s="57">
        <v>0</v>
      </c>
      <c r="U3360" s="57">
        <v>0</v>
      </c>
      <c r="V3360" s="57">
        <v>0</v>
      </c>
      <c r="W3360" s="57">
        <v>0</v>
      </c>
      <c r="X3360" s="57">
        <v>0</v>
      </c>
    </row>
    <row r="3361" spans="1:24" hidden="1" x14ac:dyDescent="0.35">
      <c r="A3361">
        <v>3357</v>
      </c>
      <c r="B3361">
        <v>3358</v>
      </c>
      <c r="C3361">
        <v>146.08316518500001</v>
      </c>
      <c r="D3361">
        <v>-17.633688065800001</v>
      </c>
      <c r="F3361" t="str">
        <f>HYPERLINK("D:\Data From Lucan\2024\Moresby\Frames_for_Analysis/3358_20240611_0010_R_0598.jpg","3358_20240611_0010_R_0598.jpg")</f>
        <v>3358_20240611_0010_R_0598.jpg</v>
      </c>
      <c r="G3361" s="92" t="s">
        <v>4935</v>
      </c>
      <c r="I3361">
        <v>3</v>
      </c>
      <c r="K3361" s="57">
        <v>1</v>
      </c>
      <c r="L3361" t="s">
        <v>3959</v>
      </c>
      <c r="M3361" t="s">
        <v>3959</v>
      </c>
      <c r="N3361" t="s">
        <v>3959</v>
      </c>
      <c r="O3361" t="s">
        <v>3959</v>
      </c>
      <c r="P3361" s="57">
        <v>1</v>
      </c>
      <c r="Q3361" s="57">
        <v>0</v>
      </c>
      <c r="R3361" s="57">
        <v>0</v>
      </c>
      <c r="S3361" s="57">
        <v>0</v>
      </c>
      <c r="T3361" s="57">
        <v>0</v>
      </c>
      <c r="U3361" s="57">
        <v>0</v>
      </c>
      <c r="V3361" s="57">
        <v>0</v>
      </c>
      <c r="W3361" s="57">
        <v>0</v>
      </c>
      <c r="X3361" s="57">
        <v>0</v>
      </c>
    </row>
    <row r="3362" spans="1:24" hidden="1" x14ac:dyDescent="0.35">
      <c r="A3362">
        <v>3358</v>
      </c>
      <c r="B3362">
        <v>3359</v>
      </c>
      <c r="C3362">
        <v>146.083206969999</v>
      </c>
      <c r="D3362">
        <v>-17.633763851200001</v>
      </c>
      <c r="F3362" t="str">
        <f>HYPERLINK("D:\Data From Lucan\2024\Moresby\Frames_for_Analysis/3359_20240611_0010_R_0595.jpg","3359_20240611_0010_R_0595.jpg")</f>
        <v>3359_20240611_0010_R_0595.jpg</v>
      </c>
      <c r="G3362" s="92" t="s">
        <v>4936</v>
      </c>
      <c r="I3362">
        <v>3</v>
      </c>
      <c r="K3362" s="57">
        <v>1</v>
      </c>
      <c r="L3362" t="s">
        <v>3959</v>
      </c>
      <c r="M3362" t="s">
        <v>3959</v>
      </c>
      <c r="N3362" t="s">
        <v>3959</v>
      </c>
      <c r="O3362" t="s">
        <v>3959</v>
      </c>
      <c r="P3362" s="57">
        <v>1</v>
      </c>
      <c r="Q3362" s="57">
        <v>0</v>
      </c>
      <c r="R3362" s="57">
        <v>0</v>
      </c>
      <c r="S3362" s="57">
        <v>0</v>
      </c>
      <c r="T3362" s="57">
        <v>0</v>
      </c>
      <c r="U3362" s="57">
        <v>0</v>
      </c>
      <c r="V3362" s="57">
        <v>0</v>
      </c>
      <c r="W3362" s="57">
        <v>0</v>
      </c>
      <c r="X3362" s="57">
        <v>0</v>
      </c>
    </row>
    <row r="3363" spans="1:24" hidden="1" x14ac:dyDescent="0.35">
      <c r="A3363">
        <v>3359</v>
      </c>
      <c r="B3363">
        <v>3360</v>
      </c>
      <c r="C3363">
        <v>146.083248755</v>
      </c>
      <c r="D3363">
        <v>-17.633839636600001</v>
      </c>
      <c r="F3363" t="str">
        <f>HYPERLINK("D:\Data From Lucan\2024\Moresby\Frames_for_Analysis/3360_20240611_0010_R_0592.jpg","3360_20240611_0010_R_0592.jpg")</f>
        <v>3360_20240611_0010_R_0592.jpg</v>
      </c>
      <c r="G3363" s="92" t="s">
        <v>4937</v>
      </c>
      <c r="I3363">
        <v>3</v>
      </c>
      <c r="K3363" s="57">
        <v>1</v>
      </c>
      <c r="L3363" t="s">
        <v>3959</v>
      </c>
      <c r="M3363" t="s">
        <v>3959</v>
      </c>
      <c r="N3363" t="s">
        <v>3959</v>
      </c>
      <c r="O3363" t="s">
        <v>3959</v>
      </c>
      <c r="P3363" s="57">
        <v>1</v>
      </c>
      <c r="Q3363" s="57">
        <v>0</v>
      </c>
      <c r="R3363" s="57">
        <v>0</v>
      </c>
      <c r="S3363" s="57">
        <v>0</v>
      </c>
      <c r="T3363" s="57">
        <v>0</v>
      </c>
      <c r="U3363" s="57">
        <v>0</v>
      </c>
      <c r="V3363" s="57">
        <v>0</v>
      </c>
      <c r="W3363" s="57">
        <v>0</v>
      </c>
      <c r="X3363" s="57">
        <v>0</v>
      </c>
    </row>
    <row r="3364" spans="1:24" hidden="1" x14ac:dyDescent="0.35">
      <c r="A3364">
        <v>3360</v>
      </c>
      <c r="B3364">
        <v>3361</v>
      </c>
      <c r="C3364">
        <v>146.08329054000001</v>
      </c>
      <c r="D3364">
        <v>-17.6339154218999</v>
      </c>
      <c r="F3364" t="str">
        <f>HYPERLINK("D:\Data From Lucan\2024\Moresby\Frames_for_Analysis/3361_20240611_0010_R_0589.jpg","3361_20240611_0010_R_0589.jpg")</f>
        <v>3361_20240611_0010_R_0589.jpg</v>
      </c>
      <c r="G3364" s="92" t="s">
        <v>4938</v>
      </c>
      <c r="I3364">
        <v>3</v>
      </c>
      <c r="K3364" s="57">
        <v>1</v>
      </c>
      <c r="L3364" t="s">
        <v>3959</v>
      </c>
      <c r="M3364" t="s">
        <v>3959</v>
      </c>
      <c r="N3364" t="s">
        <v>3959</v>
      </c>
      <c r="O3364" t="s">
        <v>3959</v>
      </c>
      <c r="P3364" s="57">
        <v>1</v>
      </c>
      <c r="Q3364" s="57">
        <v>0</v>
      </c>
      <c r="R3364" s="57">
        <v>0</v>
      </c>
      <c r="S3364" s="57">
        <v>0</v>
      </c>
      <c r="T3364" s="57">
        <v>0</v>
      </c>
      <c r="U3364" s="57">
        <v>0</v>
      </c>
      <c r="V3364" s="57">
        <v>0</v>
      </c>
      <c r="W3364" s="57">
        <v>0</v>
      </c>
      <c r="X3364" s="57">
        <v>0</v>
      </c>
    </row>
    <row r="3365" spans="1:24" hidden="1" x14ac:dyDescent="0.35">
      <c r="A3365">
        <v>3361</v>
      </c>
      <c r="B3365">
        <v>3362</v>
      </c>
      <c r="C3365">
        <v>146.08334089900001</v>
      </c>
      <c r="D3365">
        <v>-17.633984006799899</v>
      </c>
      <c r="F3365" t="str">
        <f>HYPERLINK("D:\Data From Lucan\2024\Moresby\Frames_for_Analysis/3362_20240611_0010_R_0586.jpg","3362_20240611_0010_R_0586.jpg")</f>
        <v>3362_20240611_0010_R_0586.jpg</v>
      </c>
      <c r="G3365" s="92" t="s">
        <v>4939</v>
      </c>
      <c r="I3365">
        <v>3</v>
      </c>
      <c r="K3365" s="57">
        <v>1</v>
      </c>
      <c r="L3365" t="s">
        <v>3959</v>
      </c>
      <c r="M3365" t="s">
        <v>3959</v>
      </c>
      <c r="N3365" t="s">
        <v>3959</v>
      </c>
      <c r="O3365" t="s">
        <v>3959</v>
      </c>
      <c r="P3365" s="57">
        <v>1</v>
      </c>
      <c r="Q3365" s="57">
        <v>0</v>
      </c>
      <c r="R3365" s="57">
        <v>0</v>
      </c>
      <c r="S3365" s="57">
        <v>0</v>
      </c>
      <c r="T3365" s="57">
        <v>0</v>
      </c>
      <c r="U3365" s="57">
        <v>0</v>
      </c>
      <c r="V3365" s="57">
        <v>0</v>
      </c>
      <c r="W3365" s="57">
        <v>0</v>
      </c>
      <c r="X3365" s="57">
        <v>0</v>
      </c>
    </row>
    <row r="3366" spans="1:24" hidden="1" x14ac:dyDescent="0.35">
      <c r="A3366">
        <v>3362</v>
      </c>
      <c r="B3366">
        <v>3363</v>
      </c>
      <c r="C3366">
        <v>146.08341452900001</v>
      </c>
      <c r="D3366">
        <v>-17.634033049900001</v>
      </c>
      <c r="F3366" t="str">
        <f>HYPERLINK("D:\Data From Lucan\2024\Moresby\Frames_for_Analysis/3363_20240611_0010_R_0583.jpg","3363_20240611_0010_R_0583.jpg")</f>
        <v>3363_20240611_0010_R_0583.jpg</v>
      </c>
      <c r="G3366" s="92" t="s">
        <v>4940</v>
      </c>
      <c r="I3366">
        <v>3</v>
      </c>
      <c r="K3366" s="57">
        <v>1</v>
      </c>
      <c r="L3366" t="s">
        <v>3959</v>
      </c>
      <c r="M3366" t="s">
        <v>3959</v>
      </c>
      <c r="N3366" t="s">
        <v>3959</v>
      </c>
      <c r="O3366" t="s">
        <v>3959</v>
      </c>
      <c r="P3366" s="57">
        <v>1</v>
      </c>
      <c r="Q3366" s="57">
        <v>0</v>
      </c>
      <c r="R3366" s="57">
        <v>0</v>
      </c>
      <c r="S3366" s="57">
        <v>0</v>
      </c>
      <c r="T3366" s="57">
        <v>0</v>
      </c>
      <c r="U3366" s="57">
        <v>0</v>
      </c>
      <c r="V3366" s="57">
        <v>0</v>
      </c>
      <c r="W3366" s="57">
        <v>0</v>
      </c>
      <c r="X3366" s="57">
        <v>0</v>
      </c>
    </row>
    <row r="3367" spans="1:24" hidden="1" x14ac:dyDescent="0.35">
      <c r="A3367">
        <v>3363</v>
      </c>
      <c r="B3367">
        <v>3364</v>
      </c>
      <c r="C3367">
        <v>146.08348816</v>
      </c>
      <c r="D3367">
        <v>-17.634082092900002</v>
      </c>
      <c r="F3367" t="str">
        <f>HYPERLINK("D:\Data From Lucan\2024\Moresby\Frames_for_Analysis/3364_20240611_0010_R_0580.jpg","3364_20240611_0010_R_0580.jpg")</f>
        <v>3364_20240611_0010_R_0580.jpg</v>
      </c>
      <c r="G3367" s="92" t="s">
        <v>4941</v>
      </c>
      <c r="I3367">
        <v>3</v>
      </c>
      <c r="K3367" s="57">
        <v>1</v>
      </c>
      <c r="L3367" t="s">
        <v>3959</v>
      </c>
      <c r="M3367" t="s">
        <v>3959</v>
      </c>
      <c r="N3367" t="s">
        <v>3959</v>
      </c>
      <c r="O3367" t="s">
        <v>3959</v>
      </c>
      <c r="P3367" s="57">
        <v>1</v>
      </c>
      <c r="Q3367" s="57">
        <v>0</v>
      </c>
      <c r="R3367" s="57">
        <v>0</v>
      </c>
      <c r="S3367" s="57">
        <v>0</v>
      </c>
      <c r="T3367" s="57">
        <v>0</v>
      </c>
      <c r="U3367" s="57">
        <v>0</v>
      </c>
      <c r="V3367" s="57">
        <v>0</v>
      </c>
      <c r="W3367" s="57">
        <v>0</v>
      </c>
      <c r="X3367" s="57">
        <v>0</v>
      </c>
    </row>
    <row r="3368" spans="1:24" hidden="1" x14ac:dyDescent="0.35">
      <c r="A3368">
        <v>3364</v>
      </c>
      <c r="B3368">
        <v>3365</v>
      </c>
      <c r="C3368">
        <v>146.083561790999</v>
      </c>
      <c r="D3368">
        <v>-17.634131135800001</v>
      </c>
      <c r="F3368" t="str">
        <f>HYPERLINK("D:\Data From Lucan\2024\Moresby\Frames_for_Analysis/3365_20240611_0010_R_0578.jpg","3365_20240611_0010_R_0578.jpg")</f>
        <v>3365_20240611_0010_R_0578.jpg</v>
      </c>
      <c r="G3368" s="92" t="s">
        <v>4942</v>
      </c>
      <c r="I3368">
        <v>3</v>
      </c>
      <c r="K3368" s="57">
        <v>1</v>
      </c>
      <c r="L3368" t="s">
        <v>3959</v>
      </c>
      <c r="M3368" t="s">
        <v>3959</v>
      </c>
      <c r="N3368" t="s">
        <v>3959</v>
      </c>
      <c r="O3368" t="s">
        <v>3959</v>
      </c>
      <c r="P3368" s="57">
        <v>1</v>
      </c>
      <c r="Q3368" s="57">
        <v>0</v>
      </c>
      <c r="R3368" s="57">
        <v>0</v>
      </c>
      <c r="S3368" s="57">
        <v>0</v>
      </c>
      <c r="T3368" s="57">
        <v>0</v>
      </c>
      <c r="U3368" s="57">
        <v>0</v>
      </c>
      <c r="V3368" s="57">
        <v>0</v>
      </c>
      <c r="W3368" s="57">
        <v>0</v>
      </c>
      <c r="X3368" s="57">
        <v>0</v>
      </c>
    </row>
    <row r="3369" spans="1:24" hidden="1" x14ac:dyDescent="0.35">
      <c r="A3369">
        <v>3365</v>
      </c>
      <c r="B3369">
        <v>3366</v>
      </c>
      <c r="C3369">
        <v>146.083635420999</v>
      </c>
      <c r="D3369">
        <v>-17.634180178800001</v>
      </c>
      <c r="F3369" t="str">
        <f>HYPERLINK("D:\Data From Lucan\2024\Moresby\Frames_for_Analysis/3366_20240611_0010_R_0575.jpg","3366_20240611_0010_R_0575.jpg")</f>
        <v>3366_20240611_0010_R_0575.jpg</v>
      </c>
      <c r="G3369" s="92" t="s">
        <v>4943</v>
      </c>
      <c r="I3369">
        <v>3</v>
      </c>
      <c r="K3369" s="57">
        <v>1</v>
      </c>
      <c r="L3369" t="s">
        <v>3959</v>
      </c>
      <c r="M3369" t="s">
        <v>3959</v>
      </c>
      <c r="N3369" t="s">
        <v>3959</v>
      </c>
      <c r="O3369" t="s">
        <v>3959</v>
      </c>
      <c r="P3369" s="57">
        <v>1</v>
      </c>
      <c r="Q3369" s="57">
        <v>0</v>
      </c>
      <c r="R3369" s="57">
        <v>0</v>
      </c>
      <c r="S3369" s="57">
        <v>0</v>
      </c>
      <c r="T3369" s="57">
        <v>0</v>
      </c>
      <c r="U3369" s="57">
        <v>0</v>
      </c>
      <c r="V3369" s="57">
        <v>0</v>
      </c>
      <c r="W3369" s="57">
        <v>0</v>
      </c>
      <c r="X3369" s="57">
        <v>0</v>
      </c>
    </row>
    <row r="3370" spans="1:24" hidden="1" x14ac:dyDescent="0.35">
      <c r="A3370">
        <v>3366</v>
      </c>
      <c r="B3370">
        <v>3367</v>
      </c>
      <c r="C3370">
        <v>146.08371127500001</v>
      </c>
      <c r="D3370">
        <v>-17.634225820200001</v>
      </c>
      <c r="F3370" t="str">
        <f>HYPERLINK("D:\Data From Lucan\2024\Moresby\Frames_for_Analysis/3367_20240611_0010_R_0572.jpg","3367_20240611_0010_R_0572.jpg")</f>
        <v>3367_20240611_0010_R_0572.jpg</v>
      </c>
      <c r="G3370" s="92" t="s">
        <v>4944</v>
      </c>
      <c r="I3370">
        <v>3</v>
      </c>
      <c r="K3370" s="57">
        <v>1</v>
      </c>
      <c r="L3370" t="s">
        <v>3959</v>
      </c>
      <c r="M3370" t="s">
        <v>3959</v>
      </c>
      <c r="N3370" t="s">
        <v>3959</v>
      </c>
      <c r="O3370" t="s">
        <v>3959</v>
      </c>
      <c r="P3370" s="57">
        <v>1</v>
      </c>
      <c r="Q3370" s="57">
        <v>0</v>
      </c>
      <c r="R3370" s="57">
        <v>0</v>
      </c>
      <c r="S3370" s="57">
        <v>0</v>
      </c>
      <c r="T3370" s="57">
        <v>0</v>
      </c>
      <c r="U3370" s="57">
        <v>0</v>
      </c>
      <c r="V3370" s="57">
        <v>0</v>
      </c>
      <c r="W3370" s="57">
        <v>0</v>
      </c>
      <c r="X3370" s="57">
        <v>0</v>
      </c>
    </row>
    <row r="3371" spans="1:24" hidden="1" x14ac:dyDescent="0.35">
      <c r="A3371">
        <v>3367</v>
      </c>
      <c r="B3371">
        <v>3368</v>
      </c>
      <c r="C3371">
        <v>146.083789926999</v>
      </c>
      <c r="D3371">
        <v>-17.6342671815</v>
      </c>
      <c r="F3371" t="str">
        <f>HYPERLINK("D:\Data From Lucan\2024\Moresby\Frames_for_Analysis/3368_20240611_0010_R_0570.jpg","3368_20240611_0010_R_0570.jpg")</f>
        <v>3368_20240611_0010_R_0570.jpg</v>
      </c>
      <c r="G3371" s="92" t="s">
        <v>4945</v>
      </c>
      <c r="I3371">
        <v>3</v>
      </c>
      <c r="K3371" s="57">
        <v>1</v>
      </c>
      <c r="L3371" t="s">
        <v>3959</v>
      </c>
      <c r="M3371" t="s">
        <v>3959</v>
      </c>
      <c r="N3371" t="s">
        <v>3959</v>
      </c>
      <c r="O3371" t="s">
        <v>3959</v>
      </c>
      <c r="P3371" s="57">
        <v>1</v>
      </c>
      <c r="Q3371" s="57">
        <v>0</v>
      </c>
      <c r="R3371" s="57">
        <v>0</v>
      </c>
      <c r="S3371" s="57">
        <v>0</v>
      </c>
      <c r="T3371" s="57">
        <v>0</v>
      </c>
      <c r="U3371" s="57">
        <v>0</v>
      </c>
      <c r="V3371" s="57">
        <v>0</v>
      </c>
      <c r="W3371" s="57">
        <v>0</v>
      </c>
      <c r="X3371" s="57">
        <v>0</v>
      </c>
    </row>
    <row r="3372" spans="1:24" hidden="1" x14ac:dyDescent="0.35">
      <c r="A3372">
        <v>3368</v>
      </c>
      <c r="B3372">
        <v>3369</v>
      </c>
      <c r="C3372">
        <v>146.083868577999</v>
      </c>
      <c r="D3372">
        <v>-17.6343085427999</v>
      </c>
      <c r="F3372" t="str">
        <f>HYPERLINK("D:\Data From Lucan\2024\Moresby\Frames_for_Analysis/3369_20240611_0010_R_0568.jpg","3369_20240611_0010_R_0568.jpg")</f>
        <v>3369_20240611_0010_R_0568.jpg</v>
      </c>
      <c r="G3372" s="92" t="s">
        <v>4946</v>
      </c>
      <c r="I3372">
        <v>3</v>
      </c>
      <c r="K3372" s="57">
        <v>1</v>
      </c>
      <c r="L3372" t="s">
        <v>3959</v>
      </c>
      <c r="M3372" t="s">
        <v>3959</v>
      </c>
      <c r="N3372" t="s">
        <v>3959</v>
      </c>
      <c r="O3372" t="s">
        <v>3959</v>
      </c>
      <c r="P3372" s="57">
        <v>1</v>
      </c>
      <c r="Q3372" s="57">
        <v>0</v>
      </c>
      <c r="R3372" s="57">
        <v>0</v>
      </c>
      <c r="S3372" s="57">
        <v>0</v>
      </c>
      <c r="T3372" s="57">
        <v>0</v>
      </c>
      <c r="U3372" s="57">
        <v>0</v>
      </c>
      <c r="V3372" s="57">
        <v>0</v>
      </c>
      <c r="W3372" s="57">
        <v>0</v>
      </c>
      <c r="X3372" s="57">
        <v>0</v>
      </c>
    </row>
    <row r="3373" spans="1:24" hidden="1" x14ac:dyDescent="0.35">
      <c r="A3373">
        <v>3369</v>
      </c>
      <c r="B3373">
        <v>3370</v>
      </c>
      <c r="C3373">
        <v>146.08394723000001</v>
      </c>
      <c r="D3373">
        <v>-17.634349904</v>
      </c>
      <c r="F3373" t="str">
        <f>HYPERLINK("D:\Data From Lucan\2024\Moresby\Frames_for_Analysis/3370_20240611_0010_R_0565.jpg","3370_20240611_0010_R_0565.jpg")</f>
        <v>3370_20240611_0010_R_0565.jpg</v>
      </c>
      <c r="G3373" s="92" t="s">
        <v>4947</v>
      </c>
      <c r="I3373">
        <v>3</v>
      </c>
      <c r="K3373" s="57">
        <v>1</v>
      </c>
      <c r="L3373" t="s">
        <v>3959</v>
      </c>
      <c r="M3373" t="s">
        <v>3959</v>
      </c>
      <c r="N3373" t="s">
        <v>3959</v>
      </c>
      <c r="O3373" t="s">
        <v>3959</v>
      </c>
      <c r="P3373" s="57">
        <v>1</v>
      </c>
      <c r="Q3373" s="57">
        <v>0</v>
      </c>
      <c r="R3373" s="57">
        <v>0</v>
      </c>
      <c r="S3373" s="57">
        <v>0</v>
      </c>
      <c r="T3373" s="57">
        <v>0</v>
      </c>
      <c r="U3373" s="57">
        <v>0</v>
      </c>
      <c r="V3373" s="57">
        <v>0</v>
      </c>
      <c r="W3373" s="57">
        <v>0</v>
      </c>
      <c r="X3373" s="57">
        <v>0</v>
      </c>
    </row>
    <row r="3374" spans="1:24" hidden="1" x14ac:dyDescent="0.35">
      <c r="A3374">
        <v>3370</v>
      </c>
      <c r="B3374">
        <v>3371</v>
      </c>
      <c r="C3374">
        <v>146.084025881999</v>
      </c>
      <c r="D3374">
        <v>-17.6343912653</v>
      </c>
      <c r="F3374" t="str">
        <f>HYPERLINK("D:\Data From Lucan\2024\Moresby\Frames_for_Analysis/3371_20240611_0010_R_0562.jpg","3371_20240611_0010_R_0562.jpg")</f>
        <v>3371_20240611_0010_R_0562.jpg</v>
      </c>
      <c r="G3374" s="92" t="s">
        <v>4948</v>
      </c>
      <c r="I3374">
        <v>3</v>
      </c>
      <c r="K3374" s="57">
        <v>1</v>
      </c>
      <c r="L3374" t="s">
        <v>3959</v>
      </c>
      <c r="M3374" t="s">
        <v>3959</v>
      </c>
      <c r="N3374" t="s">
        <v>3959</v>
      </c>
      <c r="O3374" t="s">
        <v>3959</v>
      </c>
      <c r="P3374" s="57">
        <v>1</v>
      </c>
      <c r="Q3374" s="57">
        <v>0</v>
      </c>
      <c r="R3374" s="57">
        <v>0</v>
      </c>
      <c r="S3374" s="57">
        <v>0</v>
      </c>
      <c r="T3374" s="57">
        <v>0</v>
      </c>
      <c r="U3374" s="57">
        <v>0</v>
      </c>
      <c r="V3374" s="57">
        <v>0</v>
      </c>
      <c r="W3374" s="57">
        <v>0</v>
      </c>
      <c r="X3374" s="57">
        <v>0</v>
      </c>
    </row>
    <row r="3375" spans="1:24" hidden="1" x14ac:dyDescent="0.35">
      <c r="A3375">
        <v>3371</v>
      </c>
      <c r="B3375">
        <v>3372</v>
      </c>
      <c r="C3375">
        <v>146.08410453299899</v>
      </c>
      <c r="D3375">
        <v>-17.634432626599899</v>
      </c>
      <c r="F3375" t="str">
        <f>HYPERLINK("D:\Data From Lucan\2024\Moresby\Frames_for_Analysis/3372_20240611_0010_R_0559.jpg","3372_20240611_0010_R_0559.jpg")</f>
        <v>3372_20240611_0010_R_0559.jpg</v>
      </c>
      <c r="G3375" s="92" t="s">
        <v>4949</v>
      </c>
      <c r="I3375">
        <v>3</v>
      </c>
      <c r="K3375" s="57">
        <v>1</v>
      </c>
      <c r="L3375" t="s">
        <v>3959</v>
      </c>
      <c r="M3375" t="s">
        <v>3959</v>
      </c>
      <c r="N3375" t="s">
        <v>3959</v>
      </c>
      <c r="O3375" t="s">
        <v>3959</v>
      </c>
      <c r="P3375" s="57">
        <v>1</v>
      </c>
      <c r="Q3375" s="57">
        <v>0</v>
      </c>
      <c r="R3375" s="57">
        <v>0</v>
      </c>
      <c r="S3375" s="57">
        <v>0</v>
      </c>
      <c r="T3375" s="57">
        <v>0</v>
      </c>
      <c r="U3375" s="57">
        <v>0</v>
      </c>
      <c r="V3375" s="57">
        <v>0</v>
      </c>
      <c r="W3375" s="57">
        <v>0</v>
      </c>
      <c r="X3375" s="57">
        <v>0</v>
      </c>
    </row>
    <row r="3376" spans="1:24" hidden="1" x14ac:dyDescent="0.35">
      <c r="A3376">
        <v>3372</v>
      </c>
      <c r="B3376">
        <v>3373</v>
      </c>
      <c r="C3376">
        <v>146.084183185</v>
      </c>
      <c r="D3376">
        <v>-17.634473987900002</v>
      </c>
      <c r="F3376" t="str">
        <f>HYPERLINK("D:\Data From Lucan\2024\Moresby\Frames_for_Analysis/3373_20240611_0010_R_0557.jpg","3373_20240611_0010_R_0557.jpg")</f>
        <v>3373_20240611_0010_R_0557.jpg</v>
      </c>
      <c r="G3376" s="92" t="s">
        <v>4950</v>
      </c>
      <c r="I3376">
        <v>3</v>
      </c>
      <c r="K3376" s="57">
        <v>1</v>
      </c>
      <c r="L3376" t="s">
        <v>3959</v>
      </c>
      <c r="M3376" t="s">
        <v>3959</v>
      </c>
      <c r="N3376" t="s">
        <v>3959</v>
      </c>
      <c r="O3376" t="s">
        <v>3959</v>
      </c>
      <c r="P3376" s="57">
        <v>1</v>
      </c>
      <c r="Q3376" s="57">
        <v>0</v>
      </c>
      <c r="R3376" s="57">
        <v>0</v>
      </c>
      <c r="S3376" s="57">
        <v>0</v>
      </c>
      <c r="T3376" s="57">
        <v>0</v>
      </c>
      <c r="U3376" s="57">
        <v>0</v>
      </c>
      <c r="V3376" s="57">
        <v>0</v>
      </c>
      <c r="W3376" s="57">
        <v>0</v>
      </c>
      <c r="X3376" s="57">
        <v>0</v>
      </c>
    </row>
    <row r="3377" spans="1:24" hidden="1" x14ac:dyDescent="0.35">
      <c r="A3377">
        <v>3373</v>
      </c>
      <c r="B3377">
        <v>3374</v>
      </c>
      <c r="C3377">
        <v>146.08426183700001</v>
      </c>
      <c r="D3377">
        <v>-17.6345153490999</v>
      </c>
      <c r="F3377" t="str">
        <f>HYPERLINK("D:\Data From Lucan\2024\Moresby\Frames_for_Analysis/3374_20240611_0010_R_0554.jpg","3374_20240611_0010_R_0554.jpg")</f>
        <v>3374_20240611_0010_R_0554.jpg</v>
      </c>
      <c r="G3377" s="92" t="s">
        <v>4951</v>
      </c>
      <c r="I3377">
        <v>3</v>
      </c>
      <c r="K3377" s="57">
        <v>1</v>
      </c>
      <c r="L3377" t="s">
        <v>3959</v>
      </c>
      <c r="M3377" t="s">
        <v>3959</v>
      </c>
      <c r="N3377" t="s">
        <v>3959</v>
      </c>
      <c r="O3377" t="s">
        <v>3959</v>
      </c>
      <c r="P3377" s="57">
        <v>1</v>
      </c>
      <c r="Q3377" s="57">
        <v>0</v>
      </c>
      <c r="R3377" s="57">
        <v>0</v>
      </c>
      <c r="S3377" s="57">
        <v>0</v>
      </c>
      <c r="T3377" s="57">
        <v>0</v>
      </c>
      <c r="U3377" s="57">
        <v>0</v>
      </c>
      <c r="V3377" s="57">
        <v>0</v>
      </c>
      <c r="W3377" s="57">
        <v>0</v>
      </c>
      <c r="X3377" s="57">
        <v>0</v>
      </c>
    </row>
    <row r="3378" spans="1:24" hidden="1" x14ac:dyDescent="0.35">
      <c r="A3378">
        <v>3374</v>
      </c>
      <c r="B3378">
        <v>3375</v>
      </c>
      <c r="C3378">
        <v>146.08434048800001</v>
      </c>
      <c r="D3378">
        <v>-17.6345567103</v>
      </c>
      <c r="F3378" t="str">
        <f>HYPERLINK("D:\Data From Lucan\2024\Moresby\Frames_for_Analysis/3375_20240611_0010_R_0551.jpg","3375_20240611_0010_R_0551.jpg")</f>
        <v>3375_20240611_0010_R_0551.jpg</v>
      </c>
      <c r="G3378" s="92" t="s">
        <v>4952</v>
      </c>
      <c r="I3378">
        <v>3</v>
      </c>
      <c r="K3378" s="57">
        <v>1</v>
      </c>
      <c r="L3378" t="s">
        <v>3959</v>
      </c>
      <c r="M3378" t="s">
        <v>3959</v>
      </c>
      <c r="N3378" t="s">
        <v>3959</v>
      </c>
      <c r="O3378" t="s">
        <v>3959</v>
      </c>
      <c r="P3378" s="57">
        <v>1</v>
      </c>
      <c r="Q3378" s="57">
        <v>0</v>
      </c>
      <c r="R3378" s="57">
        <v>0</v>
      </c>
      <c r="S3378" s="57">
        <v>0</v>
      </c>
      <c r="T3378" s="57">
        <v>0</v>
      </c>
      <c r="U3378" s="57">
        <v>0</v>
      </c>
      <c r="V3378" s="57">
        <v>0</v>
      </c>
      <c r="W3378" s="57">
        <v>0</v>
      </c>
      <c r="X3378" s="57">
        <v>0</v>
      </c>
    </row>
    <row r="3379" spans="1:24" hidden="1" x14ac:dyDescent="0.35">
      <c r="A3379">
        <v>3375</v>
      </c>
      <c r="B3379">
        <v>3376</v>
      </c>
      <c r="C3379">
        <v>146.084419139999</v>
      </c>
      <c r="D3379">
        <v>-17.6345980715999</v>
      </c>
      <c r="F3379" t="str">
        <f>HYPERLINK("D:\Data From Lucan\2024\Moresby\Frames_for_Analysis/3376_20240611_0010_R_0548.jpg","3376_20240611_0010_R_0548.jpg")</f>
        <v>3376_20240611_0010_R_0548.jpg</v>
      </c>
      <c r="G3379" s="92" t="s">
        <v>4953</v>
      </c>
      <c r="I3379">
        <v>3</v>
      </c>
      <c r="K3379" s="57">
        <v>1</v>
      </c>
      <c r="L3379" t="s">
        <v>3959</v>
      </c>
      <c r="M3379" t="s">
        <v>3959</v>
      </c>
      <c r="N3379" t="s">
        <v>3959</v>
      </c>
      <c r="O3379" t="s">
        <v>3959</v>
      </c>
      <c r="P3379" s="57">
        <v>1</v>
      </c>
      <c r="Q3379" s="57">
        <v>0</v>
      </c>
      <c r="R3379" s="57">
        <v>0</v>
      </c>
      <c r="S3379" s="57">
        <v>0</v>
      </c>
      <c r="T3379" s="57">
        <v>0</v>
      </c>
      <c r="U3379" s="57">
        <v>0</v>
      </c>
      <c r="V3379" s="57">
        <v>0</v>
      </c>
      <c r="W3379" s="57">
        <v>0</v>
      </c>
      <c r="X3379" s="57">
        <v>0</v>
      </c>
    </row>
    <row r="3380" spans="1:24" hidden="1" x14ac:dyDescent="0.35">
      <c r="A3380">
        <v>3376</v>
      </c>
      <c r="B3380">
        <v>3377</v>
      </c>
      <c r="C3380">
        <v>146.08449779200001</v>
      </c>
      <c r="D3380">
        <v>-17.6346394328</v>
      </c>
      <c r="F3380" t="str">
        <f>HYPERLINK("D:\Data From Lucan\2024\Moresby\Frames_for_Analysis/3377_20240611_0010_R_0546.jpg","3377_20240611_0010_R_0546.jpg")</f>
        <v>3377_20240611_0010_R_0546.jpg</v>
      </c>
      <c r="G3380" s="92" t="s">
        <v>4954</v>
      </c>
      <c r="I3380">
        <v>3</v>
      </c>
      <c r="K3380" s="57">
        <v>1</v>
      </c>
      <c r="L3380" t="s">
        <v>3959</v>
      </c>
      <c r="M3380" t="s">
        <v>3959</v>
      </c>
      <c r="N3380" t="s">
        <v>3959</v>
      </c>
      <c r="O3380" t="s">
        <v>3959</v>
      </c>
      <c r="P3380" s="57">
        <v>1</v>
      </c>
      <c r="Q3380" s="57">
        <v>0</v>
      </c>
      <c r="R3380" s="57">
        <v>0</v>
      </c>
      <c r="S3380" s="57">
        <v>0</v>
      </c>
      <c r="T3380" s="57">
        <v>0</v>
      </c>
      <c r="U3380" s="57">
        <v>0</v>
      </c>
      <c r="V3380" s="57">
        <v>0</v>
      </c>
      <c r="W3380" s="57">
        <v>0</v>
      </c>
      <c r="X3380" s="57">
        <v>0</v>
      </c>
    </row>
    <row r="3381" spans="1:24" hidden="1" x14ac:dyDescent="0.35">
      <c r="A3381">
        <v>3377</v>
      </c>
      <c r="B3381">
        <v>3378</v>
      </c>
      <c r="C3381">
        <v>146.084576443</v>
      </c>
      <c r="D3381">
        <v>-17.634680794000001</v>
      </c>
      <c r="F3381" t="str">
        <f>HYPERLINK("D:\Data From Lucan\2024\Moresby\Frames_for_Analysis/3378_20240611_0010_R_0543.jpg","3378_20240611_0010_R_0543.jpg")</f>
        <v>3378_20240611_0010_R_0543.jpg</v>
      </c>
      <c r="G3381" s="92" t="s">
        <v>4955</v>
      </c>
      <c r="I3381">
        <v>3</v>
      </c>
      <c r="K3381" s="57">
        <v>1</v>
      </c>
      <c r="L3381" t="s">
        <v>3959</v>
      </c>
      <c r="M3381" t="s">
        <v>3959</v>
      </c>
      <c r="N3381" t="s">
        <v>3959</v>
      </c>
      <c r="O3381" t="s">
        <v>3959</v>
      </c>
      <c r="P3381" s="57">
        <v>1</v>
      </c>
      <c r="Q3381" s="57">
        <v>0</v>
      </c>
      <c r="R3381" s="57">
        <v>0</v>
      </c>
      <c r="S3381" s="57">
        <v>0</v>
      </c>
      <c r="T3381" s="57">
        <v>0</v>
      </c>
      <c r="U3381" s="57">
        <v>0</v>
      </c>
      <c r="V3381" s="57">
        <v>0</v>
      </c>
      <c r="W3381" s="57">
        <v>0</v>
      </c>
      <c r="X3381" s="57">
        <v>0</v>
      </c>
    </row>
    <row r="3382" spans="1:24" hidden="1" x14ac:dyDescent="0.35">
      <c r="A3382">
        <v>3378</v>
      </c>
      <c r="B3382">
        <v>3379</v>
      </c>
      <c r="C3382">
        <v>146.084658273</v>
      </c>
      <c r="D3382">
        <v>-17.634715837000002</v>
      </c>
      <c r="F3382" t="str">
        <f>HYPERLINK("D:\Data From Lucan\2024\Moresby\Frames_for_Analysis/3379_20240611_0010_R_0540.jpg","3379_20240611_0010_R_0540.jpg")</f>
        <v>3379_20240611_0010_R_0540.jpg</v>
      </c>
      <c r="G3382" s="92" t="s">
        <v>4956</v>
      </c>
      <c r="I3382">
        <v>3</v>
      </c>
      <c r="K3382" s="57">
        <v>1</v>
      </c>
      <c r="L3382" t="s">
        <v>3959</v>
      </c>
      <c r="M3382" t="s">
        <v>3959</v>
      </c>
      <c r="N3382" t="s">
        <v>3959</v>
      </c>
      <c r="O3382" t="s">
        <v>3959</v>
      </c>
      <c r="P3382" s="57">
        <v>1</v>
      </c>
      <c r="Q3382" s="57">
        <v>0</v>
      </c>
      <c r="R3382" s="57">
        <v>0</v>
      </c>
      <c r="S3382" s="57">
        <v>0</v>
      </c>
      <c r="T3382" s="57">
        <v>0</v>
      </c>
      <c r="U3382" s="57">
        <v>0</v>
      </c>
      <c r="V3382" s="57">
        <v>0</v>
      </c>
      <c r="W3382" s="57">
        <v>0</v>
      </c>
      <c r="X3382" s="57">
        <v>0</v>
      </c>
    </row>
    <row r="3383" spans="1:24" hidden="1" x14ac:dyDescent="0.35">
      <c r="A3383">
        <v>3379</v>
      </c>
      <c r="B3383">
        <v>3380</v>
      </c>
      <c r="C3383">
        <v>146.08474136800001</v>
      </c>
      <c r="D3383">
        <v>-17.634748363</v>
      </c>
      <c r="F3383" t="str">
        <f>HYPERLINK("D:\Data From Lucan\2024\Moresby\Frames_for_Analysis/3380_20240611_0010_R_0537.jpg","3380_20240611_0010_R_0537.jpg")</f>
        <v>3380_20240611_0010_R_0537.jpg</v>
      </c>
      <c r="G3383" s="92" t="s">
        <v>4957</v>
      </c>
      <c r="I3383">
        <v>3</v>
      </c>
      <c r="K3383" s="57">
        <v>1</v>
      </c>
      <c r="L3383" t="s">
        <v>3959</v>
      </c>
      <c r="M3383" t="s">
        <v>3959</v>
      </c>
      <c r="N3383" t="s">
        <v>3959</v>
      </c>
      <c r="O3383" t="s">
        <v>3959</v>
      </c>
      <c r="P3383" s="57">
        <v>1</v>
      </c>
      <c r="Q3383" s="57">
        <v>0</v>
      </c>
      <c r="R3383" s="57">
        <v>0</v>
      </c>
      <c r="S3383" s="57">
        <v>0</v>
      </c>
      <c r="T3383" s="57">
        <v>0</v>
      </c>
      <c r="U3383" s="57">
        <v>0</v>
      </c>
      <c r="V3383" s="57">
        <v>0</v>
      </c>
      <c r="W3383" s="57">
        <v>0</v>
      </c>
      <c r="X3383" s="57">
        <v>0</v>
      </c>
    </row>
    <row r="3384" spans="1:24" hidden="1" x14ac:dyDescent="0.35">
      <c r="A3384">
        <v>3380</v>
      </c>
      <c r="B3384">
        <v>3381</v>
      </c>
      <c r="C3384">
        <v>146.08482446400001</v>
      </c>
      <c r="D3384">
        <v>-17.634780889000002</v>
      </c>
      <c r="F3384" t="str">
        <f>HYPERLINK("D:\Data From Lucan\2024\Moresby\Frames_for_Analysis/3381_20240611_0010_R_0535.jpg","3381_20240611_0010_R_0535.jpg")</f>
        <v>3381_20240611_0010_R_0535.jpg</v>
      </c>
      <c r="G3384" s="92" t="s">
        <v>4958</v>
      </c>
      <c r="I3384">
        <v>3</v>
      </c>
      <c r="K3384" s="57">
        <v>1</v>
      </c>
      <c r="L3384" t="s">
        <v>3959</v>
      </c>
      <c r="M3384" t="s">
        <v>3959</v>
      </c>
      <c r="N3384" t="s">
        <v>3959</v>
      </c>
      <c r="O3384" t="s">
        <v>3959</v>
      </c>
      <c r="P3384" s="57">
        <v>1</v>
      </c>
      <c r="Q3384" s="57">
        <v>0</v>
      </c>
      <c r="R3384" s="57">
        <v>0</v>
      </c>
      <c r="S3384" s="57">
        <v>0</v>
      </c>
      <c r="T3384" s="57">
        <v>0</v>
      </c>
      <c r="U3384" s="57">
        <v>0</v>
      </c>
      <c r="V3384" s="57">
        <v>0</v>
      </c>
      <c r="W3384" s="57">
        <v>0</v>
      </c>
      <c r="X3384" s="57">
        <v>0</v>
      </c>
    </row>
    <row r="3385" spans="1:24" hidden="1" x14ac:dyDescent="0.35">
      <c r="A3385">
        <v>3381</v>
      </c>
      <c r="B3385">
        <v>3382</v>
      </c>
      <c r="C3385">
        <v>146.08490755899899</v>
      </c>
      <c r="D3385">
        <v>-17.634813415</v>
      </c>
      <c r="F3385" t="str">
        <f>HYPERLINK("D:\Data From Lucan\2024\Moresby\Frames_for_Analysis/3382_20240611_0010_R_0532.jpg","3382_20240611_0010_R_0532.jpg")</f>
        <v>3382_20240611_0010_R_0532.jpg</v>
      </c>
      <c r="G3385" s="92" t="s">
        <v>4959</v>
      </c>
      <c r="I3385">
        <v>3</v>
      </c>
      <c r="K3385" s="57">
        <v>1</v>
      </c>
      <c r="L3385" t="s">
        <v>3959</v>
      </c>
      <c r="M3385" t="s">
        <v>3959</v>
      </c>
      <c r="N3385" t="s">
        <v>3959</v>
      </c>
      <c r="O3385" t="s">
        <v>3959</v>
      </c>
      <c r="P3385" s="57">
        <v>1</v>
      </c>
      <c r="Q3385" s="57">
        <v>0</v>
      </c>
      <c r="R3385" s="57">
        <v>0</v>
      </c>
      <c r="S3385" s="57">
        <v>0</v>
      </c>
      <c r="T3385" s="57">
        <v>0</v>
      </c>
      <c r="U3385" s="57">
        <v>0</v>
      </c>
      <c r="V3385" s="57">
        <v>0</v>
      </c>
      <c r="W3385" s="57">
        <v>0</v>
      </c>
      <c r="X3385" s="57">
        <v>0</v>
      </c>
    </row>
    <row r="3386" spans="1:24" hidden="1" x14ac:dyDescent="0.35">
      <c r="A3386">
        <v>3382</v>
      </c>
      <c r="B3386">
        <v>3383</v>
      </c>
      <c r="C3386">
        <v>146.08499065500001</v>
      </c>
      <c r="D3386">
        <v>-17.6348459411</v>
      </c>
      <c r="F3386" t="str">
        <f>HYPERLINK("D:\Data From Lucan\2024\Moresby\Frames_for_Analysis/3383_20240611_0010_R_0530.jpg","3383_20240611_0010_R_0530.jpg")</f>
        <v>3383_20240611_0010_R_0530.jpg</v>
      </c>
      <c r="G3386" s="92" t="s">
        <v>4960</v>
      </c>
      <c r="I3386">
        <v>3</v>
      </c>
      <c r="K3386" s="57">
        <v>1</v>
      </c>
      <c r="L3386" t="s">
        <v>3959</v>
      </c>
      <c r="M3386" t="s">
        <v>3959</v>
      </c>
      <c r="N3386" t="s">
        <v>3959</v>
      </c>
      <c r="O3386" t="s">
        <v>3959</v>
      </c>
      <c r="P3386" s="57">
        <v>1</v>
      </c>
      <c r="Q3386" s="57">
        <v>0</v>
      </c>
      <c r="R3386" s="57">
        <v>0</v>
      </c>
      <c r="S3386" s="57">
        <v>0</v>
      </c>
      <c r="T3386" s="57">
        <v>0</v>
      </c>
      <c r="U3386" s="57">
        <v>0</v>
      </c>
      <c r="V3386" s="57">
        <v>0</v>
      </c>
      <c r="W3386" s="57">
        <v>0</v>
      </c>
      <c r="X3386" s="57">
        <v>0</v>
      </c>
    </row>
    <row r="3387" spans="1:24" hidden="1" x14ac:dyDescent="0.35">
      <c r="A3387">
        <v>3383</v>
      </c>
      <c r="B3387">
        <v>3384</v>
      </c>
      <c r="C3387">
        <v>146.085073749999</v>
      </c>
      <c r="D3387">
        <v>-17.634878467099899</v>
      </c>
      <c r="F3387" t="str">
        <f>HYPERLINK("D:\Data From Lucan\2024\Moresby\Frames_for_Analysis/3384_20240611_0010_R_0527.jpg","3384_20240611_0010_R_0527.jpg")</f>
        <v>3384_20240611_0010_R_0527.jpg</v>
      </c>
      <c r="G3387" s="92" t="s">
        <v>4961</v>
      </c>
      <c r="I3387">
        <v>3</v>
      </c>
      <c r="K3387" s="57">
        <v>1</v>
      </c>
      <c r="L3387" t="s">
        <v>3959</v>
      </c>
      <c r="M3387" t="s">
        <v>3959</v>
      </c>
      <c r="N3387" t="s">
        <v>3959</v>
      </c>
      <c r="O3387" t="s">
        <v>3959</v>
      </c>
      <c r="P3387" s="57">
        <v>1</v>
      </c>
      <c r="Q3387" s="57">
        <v>0</v>
      </c>
      <c r="R3387" s="57">
        <v>0</v>
      </c>
      <c r="S3387" s="57">
        <v>0</v>
      </c>
      <c r="T3387" s="57">
        <v>0</v>
      </c>
      <c r="U3387" s="57">
        <v>0</v>
      </c>
      <c r="V3387" s="57">
        <v>0</v>
      </c>
      <c r="W3387" s="57">
        <v>0</v>
      </c>
      <c r="X3387" s="57">
        <v>0</v>
      </c>
    </row>
    <row r="3388" spans="1:24" hidden="1" x14ac:dyDescent="0.35">
      <c r="A3388">
        <v>3384</v>
      </c>
      <c r="B3388">
        <v>3385</v>
      </c>
      <c r="C3388">
        <v>146.085156845</v>
      </c>
      <c r="D3388">
        <v>-17.6349109931</v>
      </c>
      <c r="F3388" t="str">
        <f>HYPERLINK("D:\Data From Lucan\2024\Moresby\Frames_for_Analysis/3385_20240611_0010_R_0525.jpg","3385_20240611_0010_R_0525.jpg")</f>
        <v>3385_20240611_0010_R_0525.jpg</v>
      </c>
      <c r="G3388" s="92" t="s">
        <v>4962</v>
      </c>
      <c r="I3388">
        <v>3</v>
      </c>
      <c r="K3388" s="57">
        <v>1</v>
      </c>
      <c r="L3388" t="s">
        <v>3959</v>
      </c>
      <c r="M3388" t="s">
        <v>3959</v>
      </c>
      <c r="N3388" t="s">
        <v>3959</v>
      </c>
      <c r="O3388" t="s">
        <v>3959</v>
      </c>
      <c r="P3388" s="57">
        <v>1</v>
      </c>
      <c r="Q3388" s="57">
        <v>0</v>
      </c>
      <c r="R3388" s="57">
        <v>0</v>
      </c>
      <c r="S3388" s="57">
        <v>0</v>
      </c>
      <c r="T3388" s="57">
        <v>0</v>
      </c>
      <c r="U3388" s="57">
        <v>0</v>
      </c>
      <c r="V3388" s="57">
        <v>0</v>
      </c>
      <c r="W3388" s="57">
        <v>0</v>
      </c>
      <c r="X3388" s="57">
        <v>0</v>
      </c>
    </row>
    <row r="3389" spans="1:24" hidden="1" x14ac:dyDescent="0.35">
      <c r="A3389">
        <v>3385</v>
      </c>
      <c r="B3389">
        <v>3386</v>
      </c>
      <c r="C3389">
        <v>146.085239940999</v>
      </c>
      <c r="D3389">
        <v>-17.634943519099899</v>
      </c>
      <c r="F3389" t="str">
        <f>HYPERLINK("D:\Data From Lucan\2024\Moresby\Frames_for_Analysis/3386_20240611_0010_R_0522.jpg","3386_20240611_0010_R_0522.jpg")</f>
        <v>3386_20240611_0010_R_0522.jpg</v>
      </c>
      <c r="G3389" s="92" t="s">
        <v>4963</v>
      </c>
      <c r="I3389">
        <v>3</v>
      </c>
      <c r="K3389" s="57">
        <v>1</v>
      </c>
      <c r="L3389" t="s">
        <v>3959</v>
      </c>
      <c r="M3389" t="s">
        <v>3959</v>
      </c>
      <c r="N3389" t="s">
        <v>3959</v>
      </c>
      <c r="O3389" t="s">
        <v>3959</v>
      </c>
      <c r="P3389" s="57">
        <v>1</v>
      </c>
      <c r="Q3389" s="57">
        <v>0</v>
      </c>
      <c r="R3389" s="57">
        <v>0</v>
      </c>
      <c r="S3389" s="57">
        <v>0</v>
      </c>
      <c r="T3389" s="57">
        <v>0</v>
      </c>
      <c r="U3389" s="57">
        <v>0</v>
      </c>
      <c r="V3389" s="57">
        <v>0</v>
      </c>
      <c r="W3389" s="57">
        <v>0</v>
      </c>
      <c r="X3389" s="57">
        <v>0</v>
      </c>
    </row>
    <row r="3390" spans="1:24" hidden="1" x14ac:dyDescent="0.35">
      <c r="A3390">
        <v>3386</v>
      </c>
      <c r="B3390">
        <v>3387</v>
      </c>
      <c r="C3390">
        <v>146.08532303600001</v>
      </c>
      <c r="D3390">
        <v>-17.634976044999899</v>
      </c>
      <c r="F3390" t="str">
        <f>HYPERLINK("D:\Data From Lucan\2024\Moresby\Frames_for_Analysis/3387_20240611_0010_R_0520.jpg","3387_20240611_0010_R_0520.jpg")</f>
        <v>3387_20240611_0010_R_0520.jpg</v>
      </c>
      <c r="G3390" s="92" t="s">
        <v>4964</v>
      </c>
      <c r="I3390">
        <v>3</v>
      </c>
      <c r="K3390" s="57">
        <v>1</v>
      </c>
      <c r="L3390" t="s">
        <v>3959</v>
      </c>
      <c r="M3390" t="s">
        <v>3959</v>
      </c>
      <c r="N3390" t="s">
        <v>3959</v>
      </c>
      <c r="O3390" t="s">
        <v>3959</v>
      </c>
      <c r="P3390" s="57">
        <v>1</v>
      </c>
      <c r="Q3390" s="57">
        <v>0</v>
      </c>
      <c r="R3390" s="57">
        <v>0</v>
      </c>
      <c r="S3390" s="57">
        <v>0</v>
      </c>
      <c r="T3390" s="57">
        <v>0</v>
      </c>
      <c r="U3390" s="57">
        <v>0</v>
      </c>
      <c r="V3390" s="57">
        <v>0</v>
      </c>
      <c r="W3390" s="57">
        <v>0</v>
      </c>
      <c r="X3390" s="57">
        <v>0</v>
      </c>
    </row>
    <row r="3391" spans="1:24" hidden="1" x14ac:dyDescent="0.35">
      <c r="A3391">
        <v>3387</v>
      </c>
      <c r="B3391">
        <v>3388</v>
      </c>
      <c r="C3391">
        <v>146.085406132</v>
      </c>
      <c r="D3391">
        <v>-17.635008571</v>
      </c>
      <c r="F3391" t="str">
        <f>HYPERLINK("D:\Data From Lucan\2024\Moresby\Frames_for_Analysis/3388_20240611_0010_R_0517.jpg","3388_20240611_0010_R_0517.jpg")</f>
        <v>3388_20240611_0010_R_0517.jpg</v>
      </c>
      <c r="G3391" s="92" t="s">
        <v>4965</v>
      </c>
      <c r="I3391">
        <v>3</v>
      </c>
      <c r="K3391" s="57">
        <v>1</v>
      </c>
      <c r="L3391" t="s">
        <v>3959</v>
      </c>
      <c r="M3391" t="s">
        <v>3959</v>
      </c>
      <c r="N3391" t="s">
        <v>3959</v>
      </c>
      <c r="O3391" t="s">
        <v>3959</v>
      </c>
      <c r="P3391" s="57">
        <v>1</v>
      </c>
      <c r="Q3391" s="57">
        <v>0</v>
      </c>
      <c r="R3391" s="57">
        <v>0</v>
      </c>
      <c r="S3391" s="57">
        <v>0</v>
      </c>
      <c r="T3391" s="57">
        <v>0</v>
      </c>
      <c r="U3391" s="57">
        <v>0</v>
      </c>
      <c r="V3391" s="57">
        <v>0</v>
      </c>
      <c r="W3391" s="57">
        <v>0</v>
      </c>
      <c r="X3391" s="57">
        <v>0</v>
      </c>
    </row>
    <row r="3392" spans="1:24" hidden="1" x14ac:dyDescent="0.35">
      <c r="A3392">
        <v>3388</v>
      </c>
      <c r="B3392">
        <v>3389</v>
      </c>
      <c r="C3392">
        <v>146.08548957400001</v>
      </c>
      <c r="D3392">
        <v>-17.635040262899899</v>
      </c>
      <c r="F3392" t="str">
        <f>HYPERLINK("D:\Data From Lucan\2024\Moresby\Frames_for_Analysis/3389_20240611_0010_R_0515.jpg","3389_20240611_0010_R_0515.jpg")</f>
        <v>3389_20240611_0010_R_0515.jpg</v>
      </c>
      <c r="G3392" s="92" t="s">
        <v>4966</v>
      </c>
      <c r="I3392">
        <v>3</v>
      </c>
      <c r="K3392" s="57">
        <v>1</v>
      </c>
      <c r="L3392" t="s">
        <v>3959</v>
      </c>
      <c r="M3392" t="s">
        <v>3959</v>
      </c>
      <c r="N3392" t="s">
        <v>3959</v>
      </c>
      <c r="O3392" t="s">
        <v>3959</v>
      </c>
      <c r="P3392" s="57">
        <v>1</v>
      </c>
      <c r="Q3392" s="57">
        <v>0</v>
      </c>
      <c r="R3392" s="57">
        <v>0</v>
      </c>
      <c r="S3392" s="57">
        <v>0</v>
      </c>
      <c r="T3392" s="57">
        <v>0</v>
      </c>
      <c r="U3392" s="57">
        <v>0</v>
      </c>
      <c r="V3392" s="57">
        <v>0</v>
      </c>
      <c r="W3392" s="57">
        <v>0</v>
      </c>
      <c r="X3392" s="57">
        <v>0</v>
      </c>
    </row>
    <row r="3393" spans="1:24" hidden="1" x14ac:dyDescent="0.35">
      <c r="A3393">
        <v>3389</v>
      </c>
      <c r="B3393">
        <v>3390</v>
      </c>
      <c r="C3393">
        <v>146.085573514</v>
      </c>
      <c r="D3393">
        <v>-17.6350707546999</v>
      </c>
      <c r="F3393" t="str">
        <f>HYPERLINK("D:\Data From Lucan\2024\Moresby\Frames_for_Analysis/3390_20240611_0010_R_0512.jpg","3390_20240611_0010_R_0512.jpg")</f>
        <v>3390_20240611_0010_R_0512.jpg</v>
      </c>
      <c r="G3393" s="92" t="s">
        <v>4967</v>
      </c>
      <c r="I3393">
        <v>3</v>
      </c>
      <c r="K3393" s="57">
        <v>1</v>
      </c>
      <c r="L3393" t="s">
        <v>3959</v>
      </c>
      <c r="M3393" t="s">
        <v>3959</v>
      </c>
      <c r="N3393" t="s">
        <v>3959</v>
      </c>
      <c r="O3393" t="s">
        <v>3959</v>
      </c>
      <c r="P3393" s="57">
        <v>1</v>
      </c>
      <c r="Q3393" s="57">
        <v>0</v>
      </c>
      <c r="R3393" s="57">
        <v>0</v>
      </c>
      <c r="S3393" s="57">
        <v>0</v>
      </c>
      <c r="T3393" s="57">
        <v>0</v>
      </c>
      <c r="U3393" s="57">
        <v>0</v>
      </c>
      <c r="V3393" s="57">
        <v>0</v>
      </c>
      <c r="W3393" s="57">
        <v>0</v>
      </c>
      <c r="X3393" s="57">
        <v>0</v>
      </c>
    </row>
    <row r="3394" spans="1:24" hidden="1" x14ac:dyDescent="0.35">
      <c r="A3394">
        <v>3390</v>
      </c>
      <c r="B3394">
        <v>3391</v>
      </c>
      <c r="C3394">
        <v>146.08565745499899</v>
      </c>
      <c r="D3394">
        <v>-17.6351012465</v>
      </c>
      <c r="F3394" t="str">
        <f>HYPERLINK("D:\Data From Lucan\2024\Moresby\Frames_for_Analysis/3391_20240611_0010_R_0510.jpg","3391_20240611_0010_R_0510.jpg")</f>
        <v>3391_20240611_0010_R_0510.jpg</v>
      </c>
      <c r="G3394" s="92" t="s">
        <v>4968</v>
      </c>
      <c r="I3394">
        <v>3</v>
      </c>
      <c r="K3394" s="57">
        <v>1</v>
      </c>
      <c r="L3394" t="s">
        <v>3959</v>
      </c>
      <c r="M3394" t="s">
        <v>3959</v>
      </c>
      <c r="N3394" t="s">
        <v>3959</v>
      </c>
      <c r="O3394" t="s">
        <v>3959</v>
      </c>
      <c r="P3394" s="57">
        <v>1</v>
      </c>
      <c r="Q3394" s="57">
        <v>0</v>
      </c>
      <c r="R3394" s="57">
        <v>0</v>
      </c>
      <c r="S3394" s="57">
        <v>0</v>
      </c>
      <c r="T3394" s="57">
        <v>0</v>
      </c>
      <c r="U3394" s="57">
        <v>0</v>
      </c>
      <c r="V3394" s="57">
        <v>0</v>
      </c>
      <c r="W3394" s="57">
        <v>0</v>
      </c>
      <c r="X3394" s="57">
        <v>0</v>
      </c>
    </row>
    <row r="3395" spans="1:24" hidden="1" x14ac:dyDescent="0.35">
      <c r="A3395">
        <v>3391</v>
      </c>
      <c r="B3395">
        <v>3392</v>
      </c>
      <c r="C3395">
        <v>146.08574139500001</v>
      </c>
      <c r="D3395">
        <v>-17.635131738399899</v>
      </c>
      <c r="F3395" t="str">
        <f>HYPERLINK("D:\Data From Lucan\2024\Moresby\Frames_for_Analysis/3392_20240611_0010_R_0507.jpg","3392_20240611_0010_R_0507.jpg")</f>
        <v>3392_20240611_0010_R_0507.jpg</v>
      </c>
      <c r="G3395" s="92" t="s">
        <v>4969</v>
      </c>
      <c r="I3395">
        <v>3</v>
      </c>
      <c r="K3395" s="57">
        <v>1</v>
      </c>
      <c r="L3395" t="s">
        <v>3959</v>
      </c>
      <c r="M3395" t="s">
        <v>3959</v>
      </c>
      <c r="N3395" t="s">
        <v>3959</v>
      </c>
      <c r="O3395" t="s">
        <v>3959</v>
      </c>
      <c r="P3395" s="57">
        <v>1</v>
      </c>
      <c r="Q3395" s="57">
        <v>0</v>
      </c>
      <c r="R3395" s="57">
        <v>0</v>
      </c>
      <c r="S3395" s="57">
        <v>0</v>
      </c>
      <c r="T3395" s="57">
        <v>0</v>
      </c>
      <c r="U3395" s="57">
        <v>0</v>
      </c>
      <c r="V3395" s="57">
        <v>0</v>
      </c>
      <c r="W3395" s="57">
        <v>0</v>
      </c>
      <c r="X3395" s="57">
        <v>0</v>
      </c>
    </row>
    <row r="3396" spans="1:24" hidden="1" x14ac:dyDescent="0.35">
      <c r="A3396">
        <v>3392</v>
      </c>
      <c r="B3396">
        <v>3393</v>
      </c>
      <c r="C3396">
        <v>146.08582533500001</v>
      </c>
      <c r="D3396">
        <v>-17.635162230199899</v>
      </c>
      <c r="F3396" t="str">
        <f>HYPERLINK("D:\Data From Lucan\2024\Moresby\Frames_for_Analysis/3393_20240611_0010_R_0505.jpg","3393_20240611_0010_R_0505.jpg")</f>
        <v>3393_20240611_0010_R_0505.jpg</v>
      </c>
      <c r="G3396" s="92" t="s">
        <v>4970</v>
      </c>
      <c r="I3396">
        <v>3</v>
      </c>
      <c r="K3396" s="57">
        <v>1</v>
      </c>
      <c r="L3396" t="s">
        <v>3959</v>
      </c>
      <c r="M3396" t="s">
        <v>3959</v>
      </c>
      <c r="N3396" t="s">
        <v>3959</v>
      </c>
      <c r="O3396" t="s">
        <v>3959</v>
      </c>
      <c r="P3396" s="57">
        <v>1</v>
      </c>
      <c r="Q3396" s="57">
        <v>0</v>
      </c>
      <c r="R3396" s="57">
        <v>0</v>
      </c>
      <c r="S3396" s="57">
        <v>0</v>
      </c>
      <c r="T3396" s="57">
        <v>0</v>
      </c>
      <c r="U3396" s="57">
        <v>0</v>
      </c>
      <c r="V3396" s="57">
        <v>0</v>
      </c>
      <c r="W3396" s="57">
        <v>0</v>
      </c>
      <c r="X3396" s="57">
        <v>0</v>
      </c>
    </row>
    <row r="3397" spans="1:24" hidden="1" x14ac:dyDescent="0.35">
      <c r="A3397">
        <v>3393</v>
      </c>
      <c r="B3397">
        <v>3394</v>
      </c>
      <c r="C3397">
        <v>146.085909275999</v>
      </c>
      <c r="D3397">
        <v>-17.6351927219999</v>
      </c>
      <c r="F3397" t="str">
        <f>HYPERLINK("D:\Data From Lucan\2024\Moresby\Frames_for_Analysis/3394_20240611_0010_R_0502.jpg","3394_20240611_0010_R_0502.jpg")</f>
        <v>3394_20240611_0010_R_0502.jpg</v>
      </c>
      <c r="G3397" s="92" t="s">
        <v>4971</v>
      </c>
      <c r="I3397">
        <v>3</v>
      </c>
      <c r="K3397" s="57">
        <v>1</v>
      </c>
      <c r="L3397" t="s">
        <v>3959</v>
      </c>
      <c r="M3397" t="s">
        <v>3959</v>
      </c>
      <c r="N3397" t="s">
        <v>3959</v>
      </c>
      <c r="O3397" t="s">
        <v>3959</v>
      </c>
      <c r="P3397" s="57">
        <v>1</v>
      </c>
      <c r="Q3397" s="57">
        <v>0</v>
      </c>
      <c r="R3397" s="57">
        <v>0</v>
      </c>
      <c r="S3397" s="57">
        <v>0</v>
      </c>
      <c r="T3397" s="57">
        <v>0</v>
      </c>
      <c r="U3397" s="57">
        <v>0</v>
      </c>
      <c r="V3397" s="57">
        <v>0</v>
      </c>
      <c r="W3397" s="57">
        <v>0</v>
      </c>
      <c r="X3397" s="57">
        <v>0</v>
      </c>
    </row>
    <row r="3398" spans="1:24" hidden="1" x14ac:dyDescent="0.35">
      <c r="A3398">
        <v>3394</v>
      </c>
      <c r="B3398">
        <v>3395</v>
      </c>
      <c r="C3398">
        <v>146.085993215999</v>
      </c>
      <c r="D3398">
        <v>-17.6352232138</v>
      </c>
      <c r="F3398" t="str">
        <f>HYPERLINK("D:\Data From Lucan\2024\Moresby\Frames_for_Analysis/3395_20240611_0010_R_0500.jpg","3395_20240611_0010_R_0500.jpg")</f>
        <v>3395_20240611_0010_R_0500.jpg</v>
      </c>
      <c r="G3398" s="92" t="s">
        <v>4972</v>
      </c>
      <c r="I3398">
        <v>3</v>
      </c>
      <c r="K3398" s="57">
        <v>1</v>
      </c>
      <c r="L3398" t="s">
        <v>3959</v>
      </c>
      <c r="M3398" t="s">
        <v>3959</v>
      </c>
      <c r="N3398" t="s">
        <v>3959</v>
      </c>
      <c r="O3398" t="s">
        <v>3959</v>
      </c>
      <c r="P3398" s="57">
        <v>1</v>
      </c>
      <c r="Q3398" s="57">
        <v>0</v>
      </c>
      <c r="R3398" s="57">
        <v>0</v>
      </c>
      <c r="S3398" s="57">
        <v>0</v>
      </c>
      <c r="T3398" s="57">
        <v>0</v>
      </c>
      <c r="U3398" s="57">
        <v>0</v>
      </c>
      <c r="V3398" s="57">
        <v>0</v>
      </c>
      <c r="W3398" s="57">
        <v>0</v>
      </c>
      <c r="X3398" s="57">
        <v>0</v>
      </c>
    </row>
    <row r="3399" spans="1:24" hidden="1" x14ac:dyDescent="0.35">
      <c r="A3399">
        <v>3395</v>
      </c>
      <c r="B3399">
        <v>3396</v>
      </c>
      <c r="C3399">
        <v>146.08607715700001</v>
      </c>
      <c r="D3399">
        <v>-17.635253705499899</v>
      </c>
      <c r="F3399" t="str">
        <f>HYPERLINK("D:\Data From Lucan\2024\Moresby\Frames_for_Analysis/3396_20240611_0010_R_0497.jpg","3396_20240611_0010_R_0497.jpg")</f>
        <v>3396_20240611_0010_R_0497.jpg</v>
      </c>
      <c r="G3399" s="92" t="s">
        <v>4973</v>
      </c>
      <c r="I3399">
        <v>3</v>
      </c>
      <c r="K3399" s="57">
        <v>1</v>
      </c>
      <c r="L3399" t="s">
        <v>3959</v>
      </c>
      <c r="M3399" t="s">
        <v>3959</v>
      </c>
      <c r="N3399" t="s">
        <v>3959</v>
      </c>
      <c r="O3399" t="s">
        <v>3959</v>
      </c>
      <c r="P3399" s="57">
        <v>1</v>
      </c>
      <c r="Q3399" s="57">
        <v>0</v>
      </c>
      <c r="R3399" s="57">
        <v>0</v>
      </c>
      <c r="S3399" s="57">
        <v>0</v>
      </c>
      <c r="T3399" s="57">
        <v>0</v>
      </c>
      <c r="U3399" s="57">
        <v>0</v>
      </c>
      <c r="V3399" s="57">
        <v>0</v>
      </c>
      <c r="W3399" s="57">
        <v>0</v>
      </c>
      <c r="X3399" s="57">
        <v>0</v>
      </c>
    </row>
    <row r="3400" spans="1:24" hidden="1" x14ac:dyDescent="0.35">
      <c r="A3400">
        <v>3396</v>
      </c>
      <c r="B3400">
        <v>3397</v>
      </c>
      <c r="C3400">
        <v>146.086161097</v>
      </c>
      <c r="D3400">
        <v>-17.635284197299899</v>
      </c>
      <c r="F3400" t="str">
        <f>HYPERLINK("D:\Data From Lucan\2024\Moresby\Frames_for_Analysis/3397_20240611_0010_R_0494.jpg","3397_20240611_0010_R_0494.jpg")</f>
        <v>3397_20240611_0010_R_0494.jpg</v>
      </c>
      <c r="G3400" s="92" t="s">
        <v>4974</v>
      </c>
      <c r="I3400">
        <v>3</v>
      </c>
      <c r="K3400" s="57">
        <v>1</v>
      </c>
      <c r="L3400" t="s">
        <v>3959</v>
      </c>
      <c r="M3400" t="s">
        <v>3959</v>
      </c>
      <c r="N3400" t="s">
        <v>3959</v>
      </c>
      <c r="O3400" t="s">
        <v>3959</v>
      </c>
      <c r="P3400" s="57">
        <v>1</v>
      </c>
      <c r="Q3400" s="57">
        <v>0</v>
      </c>
      <c r="R3400" s="57">
        <v>0</v>
      </c>
      <c r="S3400" s="57">
        <v>0</v>
      </c>
      <c r="T3400" s="57">
        <v>0</v>
      </c>
      <c r="U3400" s="57">
        <v>0</v>
      </c>
      <c r="V3400" s="57">
        <v>0</v>
      </c>
      <c r="W3400" s="57">
        <v>0</v>
      </c>
      <c r="X3400" s="57">
        <v>0</v>
      </c>
    </row>
    <row r="3401" spans="1:24" hidden="1" x14ac:dyDescent="0.35">
      <c r="A3401">
        <v>3397</v>
      </c>
      <c r="B3401">
        <v>3398</v>
      </c>
      <c r="C3401">
        <v>146.08624503799899</v>
      </c>
      <c r="D3401">
        <v>-17.6353146890999</v>
      </c>
      <c r="F3401" t="str">
        <f>HYPERLINK("D:\Data From Lucan\2024\Moresby\Frames_for_Analysis/3398_20240611_0010_R_0492.jpg","3398_20240611_0010_R_0492.jpg")</f>
        <v>3398_20240611_0010_R_0492.jpg</v>
      </c>
      <c r="G3401" s="92" t="s">
        <v>4975</v>
      </c>
      <c r="I3401">
        <v>3</v>
      </c>
      <c r="K3401" s="57">
        <v>1</v>
      </c>
      <c r="L3401" t="s">
        <v>3959</v>
      </c>
      <c r="M3401" t="s">
        <v>3959</v>
      </c>
      <c r="N3401" t="s">
        <v>3959</v>
      </c>
      <c r="O3401" t="s">
        <v>3959</v>
      </c>
      <c r="P3401" s="57">
        <v>1</v>
      </c>
      <c r="Q3401" s="57">
        <v>0</v>
      </c>
      <c r="R3401" s="57">
        <v>0</v>
      </c>
      <c r="S3401" s="57">
        <v>0</v>
      </c>
      <c r="T3401" s="57">
        <v>0</v>
      </c>
      <c r="U3401" s="57">
        <v>0</v>
      </c>
      <c r="V3401" s="57">
        <v>0</v>
      </c>
      <c r="W3401" s="57">
        <v>0</v>
      </c>
      <c r="X3401" s="57">
        <v>0</v>
      </c>
    </row>
    <row r="3402" spans="1:24" hidden="1" x14ac:dyDescent="0.35">
      <c r="A3402">
        <v>3398</v>
      </c>
      <c r="B3402">
        <v>3399</v>
      </c>
      <c r="C3402">
        <v>146.08633141600001</v>
      </c>
      <c r="D3402">
        <v>-17.635335919900001</v>
      </c>
      <c r="F3402" t="str">
        <f>HYPERLINK("D:\Data From Lucan\2024\Moresby\Frames_for_Analysis/3399_20240611_0010_R_0489.jpg","3399_20240611_0010_R_0489.jpg")</f>
        <v>3399_20240611_0010_R_0489.jpg</v>
      </c>
      <c r="G3402" s="92" t="s">
        <v>4976</v>
      </c>
      <c r="I3402">
        <v>3</v>
      </c>
      <c r="K3402" s="57">
        <v>1</v>
      </c>
      <c r="L3402" t="s">
        <v>3959</v>
      </c>
      <c r="M3402" t="s">
        <v>3959</v>
      </c>
      <c r="N3402" t="s">
        <v>3959</v>
      </c>
      <c r="O3402" t="s">
        <v>3959</v>
      </c>
      <c r="P3402" s="57">
        <v>1</v>
      </c>
      <c r="Q3402" s="57">
        <v>0</v>
      </c>
      <c r="R3402" s="57">
        <v>0</v>
      </c>
      <c r="S3402" s="57">
        <v>0</v>
      </c>
      <c r="T3402" s="57">
        <v>0</v>
      </c>
      <c r="U3402" s="57">
        <v>0</v>
      </c>
      <c r="V3402" s="57">
        <v>0</v>
      </c>
      <c r="W3402" s="57">
        <v>0</v>
      </c>
      <c r="X3402" s="57">
        <v>0</v>
      </c>
    </row>
    <row r="3403" spans="1:24" hidden="1" x14ac:dyDescent="0.35">
      <c r="A3403">
        <v>3399</v>
      </c>
      <c r="B3403">
        <v>3400</v>
      </c>
      <c r="C3403">
        <v>146.086420519</v>
      </c>
      <c r="D3403">
        <v>-17.635346800400001</v>
      </c>
      <c r="F3403" t="str">
        <f>HYPERLINK("D:\Data From Lucan\2024\Moresby\Frames_for_Analysis/3400_20240611_0010_R_0487.jpg","3400_20240611_0010_R_0487.jpg")</f>
        <v>3400_20240611_0010_R_0487.jpg</v>
      </c>
      <c r="G3403" s="92" t="s">
        <v>4977</v>
      </c>
      <c r="I3403">
        <v>3</v>
      </c>
      <c r="K3403" s="57">
        <v>1</v>
      </c>
      <c r="L3403" t="s">
        <v>3959</v>
      </c>
      <c r="M3403" t="s">
        <v>3959</v>
      </c>
      <c r="N3403" t="s">
        <v>3959</v>
      </c>
      <c r="O3403" t="s">
        <v>3959</v>
      </c>
      <c r="P3403" s="57">
        <v>1</v>
      </c>
      <c r="Q3403" s="57">
        <v>0</v>
      </c>
      <c r="R3403" s="57">
        <v>0</v>
      </c>
      <c r="S3403" s="57">
        <v>0</v>
      </c>
      <c r="T3403" s="57">
        <v>0</v>
      </c>
      <c r="U3403" s="57">
        <v>0</v>
      </c>
      <c r="V3403" s="57">
        <v>0</v>
      </c>
      <c r="W3403" s="57">
        <v>0</v>
      </c>
      <c r="X3403" s="57">
        <v>0</v>
      </c>
    </row>
    <row r="3404" spans="1:24" hidden="1" x14ac:dyDescent="0.35">
      <c r="A3404">
        <v>3400</v>
      </c>
      <c r="B3404">
        <v>3401</v>
      </c>
      <c r="C3404">
        <v>146.086509621999</v>
      </c>
      <c r="D3404">
        <v>-17.6353576809</v>
      </c>
      <c r="F3404" t="str">
        <f>HYPERLINK("D:\Data From Lucan\2024\Moresby\Frames_for_Analysis/3401_20240611_0010_R_0484.jpg","3401_20240611_0010_R_0484.jpg")</f>
        <v>3401_20240611_0010_R_0484.jpg</v>
      </c>
      <c r="G3404" s="92" t="s">
        <v>4978</v>
      </c>
      <c r="I3404">
        <v>3</v>
      </c>
      <c r="K3404" s="57">
        <v>1</v>
      </c>
      <c r="L3404" t="s">
        <v>3959</v>
      </c>
      <c r="M3404" t="s">
        <v>3959</v>
      </c>
      <c r="N3404" t="s">
        <v>3959</v>
      </c>
      <c r="O3404" t="s">
        <v>3959</v>
      </c>
      <c r="P3404" s="57">
        <v>1</v>
      </c>
      <c r="Q3404" s="57">
        <v>0</v>
      </c>
      <c r="R3404" s="57">
        <v>0</v>
      </c>
      <c r="S3404" s="57">
        <v>0</v>
      </c>
      <c r="T3404" s="57">
        <v>0</v>
      </c>
      <c r="U3404" s="57">
        <v>0</v>
      </c>
      <c r="V3404" s="57">
        <v>0</v>
      </c>
      <c r="W3404" s="57">
        <v>0</v>
      </c>
      <c r="X3404" s="57">
        <v>0</v>
      </c>
    </row>
    <row r="3405" spans="1:24" hidden="1" x14ac:dyDescent="0.35">
      <c r="A3405">
        <v>3401</v>
      </c>
      <c r="B3405">
        <v>3402</v>
      </c>
      <c r="C3405">
        <v>146.08659872499899</v>
      </c>
      <c r="D3405">
        <v>-17.6353685614</v>
      </c>
      <c r="F3405" t="str">
        <f>HYPERLINK("D:\Data From Lucan\2024\Moresby\Frames_for_Analysis/3402_20240611_0010_R_0482.jpg","3402_20240611_0010_R_0482.jpg")</f>
        <v>3402_20240611_0010_R_0482.jpg</v>
      </c>
      <c r="G3405" s="92" t="s">
        <v>4979</v>
      </c>
      <c r="I3405">
        <v>3</v>
      </c>
      <c r="K3405" s="57">
        <v>1</v>
      </c>
      <c r="L3405" t="s">
        <v>3959</v>
      </c>
      <c r="M3405" t="s">
        <v>3959</v>
      </c>
      <c r="N3405" t="s">
        <v>3959</v>
      </c>
      <c r="O3405" t="s">
        <v>3959</v>
      </c>
      <c r="P3405" s="57">
        <v>1</v>
      </c>
      <c r="Q3405" s="57">
        <v>0</v>
      </c>
      <c r="R3405" s="57">
        <v>0</v>
      </c>
      <c r="S3405" s="57">
        <v>0</v>
      </c>
      <c r="T3405" s="57">
        <v>0</v>
      </c>
      <c r="U3405" s="57">
        <v>0</v>
      </c>
      <c r="V3405" s="57">
        <v>0</v>
      </c>
      <c r="W3405" s="57">
        <v>0</v>
      </c>
      <c r="X3405" s="57">
        <v>0</v>
      </c>
    </row>
    <row r="3406" spans="1:24" hidden="1" x14ac:dyDescent="0.35">
      <c r="A3406">
        <v>3402</v>
      </c>
      <c r="B3406">
        <v>3403</v>
      </c>
      <c r="C3406">
        <v>146.08668782800001</v>
      </c>
      <c r="D3406">
        <v>-17.6353794419</v>
      </c>
      <c r="F3406" t="str">
        <f>HYPERLINK("D:\Data From Lucan\2024\Moresby\Frames_for_Analysis/3403_20240611_0010_R_0479.jpg","3403_20240611_0010_R_0479.jpg")</f>
        <v>3403_20240611_0010_R_0479.jpg</v>
      </c>
      <c r="G3406" s="92" t="s">
        <v>4980</v>
      </c>
      <c r="I3406">
        <v>3</v>
      </c>
      <c r="K3406" s="57">
        <v>1</v>
      </c>
      <c r="L3406" t="s">
        <v>3959</v>
      </c>
      <c r="M3406" t="s">
        <v>3959</v>
      </c>
      <c r="N3406" t="s">
        <v>3959</v>
      </c>
      <c r="O3406" t="s">
        <v>3959</v>
      </c>
      <c r="P3406" s="57">
        <v>1</v>
      </c>
      <c r="Q3406" s="57">
        <v>0</v>
      </c>
      <c r="R3406" s="57">
        <v>0</v>
      </c>
      <c r="S3406" s="57">
        <v>0</v>
      </c>
      <c r="T3406" s="57">
        <v>0</v>
      </c>
      <c r="U3406" s="57">
        <v>0</v>
      </c>
      <c r="V3406" s="57">
        <v>0</v>
      </c>
      <c r="W3406" s="57">
        <v>0</v>
      </c>
      <c r="X3406" s="57">
        <v>0</v>
      </c>
    </row>
    <row r="3407" spans="1:24" hidden="1" x14ac:dyDescent="0.35">
      <c r="A3407">
        <v>3403</v>
      </c>
      <c r="B3407">
        <v>3404</v>
      </c>
      <c r="C3407">
        <v>146.086776931</v>
      </c>
      <c r="D3407">
        <v>-17.6353903223999</v>
      </c>
      <c r="F3407" t="str">
        <f>HYPERLINK("D:\Data From Lucan\2024\Moresby\Frames_for_Analysis/3404_20240611_0010_R_0477.jpg","3404_20240611_0010_R_0477.jpg")</f>
        <v>3404_20240611_0010_R_0477.jpg</v>
      </c>
      <c r="G3407" s="92" t="s">
        <v>4981</v>
      </c>
      <c r="I3407">
        <v>3</v>
      </c>
      <c r="K3407" s="57">
        <v>1</v>
      </c>
      <c r="L3407" t="s">
        <v>3959</v>
      </c>
      <c r="M3407" t="s">
        <v>3959</v>
      </c>
      <c r="N3407" t="s">
        <v>3959</v>
      </c>
      <c r="O3407" t="s">
        <v>3959</v>
      </c>
      <c r="P3407" s="57">
        <v>1</v>
      </c>
      <c r="Q3407" s="57">
        <v>0</v>
      </c>
      <c r="R3407" s="57">
        <v>0</v>
      </c>
      <c r="S3407" s="57">
        <v>0</v>
      </c>
      <c r="T3407" s="57">
        <v>0</v>
      </c>
      <c r="U3407" s="57">
        <v>0</v>
      </c>
      <c r="V3407" s="57">
        <v>0</v>
      </c>
      <c r="W3407" s="57">
        <v>0</v>
      </c>
      <c r="X3407" s="57">
        <v>0</v>
      </c>
    </row>
    <row r="3408" spans="1:24" hidden="1" x14ac:dyDescent="0.35">
      <c r="A3408">
        <v>3404</v>
      </c>
      <c r="B3408">
        <v>3405</v>
      </c>
      <c r="C3408">
        <v>146.086865345999</v>
      </c>
      <c r="D3408">
        <v>-17.635404674499899</v>
      </c>
      <c r="F3408" t="str">
        <f>HYPERLINK("D:\Data From Lucan\2024\Moresby\Frames_for_Analysis/3405_20240611_0010_R_0474.jpg","3405_20240611_0010_R_0474.jpg")</f>
        <v>3405_20240611_0010_R_0474.jpg</v>
      </c>
      <c r="G3408" s="92" t="s">
        <v>4982</v>
      </c>
      <c r="I3408">
        <v>3</v>
      </c>
      <c r="K3408" s="57">
        <v>1</v>
      </c>
      <c r="L3408" t="s">
        <v>3959</v>
      </c>
      <c r="M3408" t="s">
        <v>3959</v>
      </c>
      <c r="N3408" t="s">
        <v>3959</v>
      </c>
      <c r="O3408" t="s">
        <v>3959</v>
      </c>
      <c r="P3408" s="57">
        <v>1</v>
      </c>
      <c r="Q3408" s="57">
        <v>0</v>
      </c>
      <c r="R3408" s="57">
        <v>0</v>
      </c>
      <c r="S3408" s="57">
        <v>0</v>
      </c>
      <c r="T3408" s="57">
        <v>0</v>
      </c>
      <c r="U3408" s="57">
        <v>0</v>
      </c>
      <c r="V3408" s="57">
        <v>0</v>
      </c>
      <c r="W3408" s="57">
        <v>0</v>
      </c>
      <c r="X3408" s="57">
        <v>0</v>
      </c>
    </row>
    <row r="3409" spans="1:24" hidden="1" x14ac:dyDescent="0.35">
      <c r="A3409">
        <v>3405</v>
      </c>
      <c r="B3409">
        <v>3406</v>
      </c>
      <c r="C3409">
        <v>146.086952472999</v>
      </c>
      <c r="D3409">
        <v>-17.635425523599899</v>
      </c>
      <c r="F3409" t="str">
        <f>HYPERLINK("D:\Data From Lucan\2024\Moresby\Frames_for_Analysis/3406_20240611_0010_R_0471.jpg","3406_20240611_0010_R_0471.jpg")</f>
        <v>3406_20240611_0010_R_0471.jpg</v>
      </c>
      <c r="G3409" s="92" t="s">
        <v>4983</v>
      </c>
      <c r="I3409">
        <v>3</v>
      </c>
      <c r="K3409" s="57">
        <v>1</v>
      </c>
      <c r="L3409" t="s">
        <v>3959</v>
      </c>
      <c r="M3409" t="s">
        <v>3959</v>
      </c>
      <c r="N3409" t="s">
        <v>3959</v>
      </c>
      <c r="O3409" t="s">
        <v>3959</v>
      </c>
      <c r="P3409" s="57">
        <v>1</v>
      </c>
      <c r="Q3409" s="57">
        <v>0</v>
      </c>
      <c r="R3409" s="57">
        <v>0</v>
      </c>
      <c r="S3409" s="57">
        <v>0</v>
      </c>
      <c r="T3409" s="57">
        <v>0</v>
      </c>
      <c r="U3409" s="57">
        <v>0</v>
      </c>
      <c r="V3409" s="57">
        <v>0</v>
      </c>
      <c r="W3409" s="57">
        <v>0</v>
      </c>
      <c r="X3409" s="57">
        <v>0</v>
      </c>
    </row>
    <row r="3410" spans="1:24" hidden="1" x14ac:dyDescent="0.35">
      <c r="A3410">
        <v>3406</v>
      </c>
      <c r="B3410">
        <v>3407</v>
      </c>
      <c r="C3410">
        <v>146.087039599999</v>
      </c>
      <c r="D3410">
        <v>-17.635446372699899</v>
      </c>
      <c r="F3410" t="str">
        <f>HYPERLINK("D:\Data From Lucan\2024\Moresby\Frames_for_Analysis/3407_20240611_0010_R_0469.jpg","3407_20240611_0010_R_0469.jpg")</f>
        <v>3407_20240611_0010_R_0469.jpg</v>
      </c>
      <c r="G3410" s="92" t="s">
        <v>4984</v>
      </c>
      <c r="I3410">
        <v>3</v>
      </c>
      <c r="K3410" s="57">
        <v>1</v>
      </c>
      <c r="L3410" t="s">
        <v>3959</v>
      </c>
      <c r="M3410" t="s">
        <v>3959</v>
      </c>
      <c r="N3410" t="s">
        <v>3959</v>
      </c>
      <c r="O3410" t="s">
        <v>3959</v>
      </c>
      <c r="P3410" s="57">
        <v>1</v>
      </c>
      <c r="Q3410" s="57">
        <v>0</v>
      </c>
      <c r="R3410" s="57">
        <v>0</v>
      </c>
      <c r="S3410" s="57">
        <v>0</v>
      </c>
      <c r="T3410" s="57">
        <v>0</v>
      </c>
      <c r="U3410" s="57">
        <v>0</v>
      </c>
      <c r="V3410" s="57">
        <v>0</v>
      </c>
      <c r="W3410" s="57">
        <v>0</v>
      </c>
      <c r="X3410" s="57">
        <v>0</v>
      </c>
    </row>
    <row r="3411" spans="1:24" hidden="1" x14ac:dyDescent="0.35">
      <c r="A3411">
        <v>3407</v>
      </c>
      <c r="B3411">
        <v>3408</v>
      </c>
      <c r="C3411">
        <v>146.087126726999</v>
      </c>
      <c r="D3411">
        <v>-17.6354672217999</v>
      </c>
      <c r="F3411" t="str">
        <f>HYPERLINK("D:\Data From Lucan\2024\Moresby\Frames_for_Analysis/3408_20240611_0010_R_0467.jpg","3408_20240611_0010_R_0467.jpg")</f>
        <v>3408_20240611_0010_R_0467.jpg</v>
      </c>
      <c r="G3411" s="92" t="s">
        <v>4985</v>
      </c>
      <c r="I3411">
        <v>3</v>
      </c>
      <c r="K3411" s="57">
        <v>1</v>
      </c>
      <c r="L3411" t="s">
        <v>3959</v>
      </c>
      <c r="M3411" t="s">
        <v>3959</v>
      </c>
      <c r="N3411" t="s">
        <v>3959</v>
      </c>
      <c r="O3411" t="s">
        <v>3959</v>
      </c>
      <c r="P3411" s="57">
        <v>1</v>
      </c>
      <c r="Q3411" s="57">
        <v>0</v>
      </c>
      <c r="R3411" s="57">
        <v>0</v>
      </c>
      <c r="S3411" s="57">
        <v>0</v>
      </c>
      <c r="T3411" s="57">
        <v>0</v>
      </c>
      <c r="U3411" s="57">
        <v>0</v>
      </c>
      <c r="V3411" s="57">
        <v>0</v>
      </c>
      <c r="W3411" s="57">
        <v>0</v>
      </c>
      <c r="X3411" s="57">
        <v>0</v>
      </c>
    </row>
    <row r="3412" spans="1:24" hidden="1" x14ac:dyDescent="0.35">
      <c r="A3412">
        <v>3408</v>
      </c>
      <c r="B3412">
        <v>3409</v>
      </c>
      <c r="C3412">
        <v>146.08721385300001</v>
      </c>
      <c r="D3412">
        <v>-17.635488070800001</v>
      </c>
      <c r="F3412" t="str">
        <f>HYPERLINK("D:\Data From Lucan\2024\Moresby\Frames_for_Analysis/3409_20240611_0010_R_0464.jpg","3409_20240611_0010_R_0464.jpg")</f>
        <v>3409_20240611_0010_R_0464.jpg</v>
      </c>
      <c r="G3412" s="92" t="s">
        <v>4986</v>
      </c>
      <c r="I3412">
        <v>3</v>
      </c>
      <c r="K3412" s="57">
        <v>1</v>
      </c>
      <c r="L3412" t="s">
        <v>3959</v>
      </c>
      <c r="M3412" t="s">
        <v>3959</v>
      </c>
      <c r="N3412" t="s">
        <v>3959</v>
      </c>
      <c r="O3412" t="s">
        <v>3959</v>
      </c>
      <c r="P3412" s="57">
        <v>1</v>
      </c>
      <c r="Q3412" s="57">
        <v>0</v>
      </c>
      <c r="R3412" s="57">
        <v>0</v>
      </c>
      <c r="S3412" s="57">
        <v>0</v>
      </c>
      <c r="T3412" s="57">
        <v>0</v>
      </c>
      <c r="U3412" s="57">
        <v>0</v>
      </c>
      <c r="V3412" s="57">
        <v>0</v>
      </c>
      <c r="W3412" s="57">
        <v>0</v>
      </c>
      <c r="X3412" s="57">
        <v>0</v>
      </c>
    </row>
    <row r="3413" spans="1:24" hidden="1" x14ac:dyDescent="0.35">
      <c r="A3413">
        <v>3409</v>
      </c>
      <c r="B3413">
        <v>3410</v>
      </c>
      <c r="C3413">
        <v>146.08730098000001</v>
      </c>
      <c r="D3413">
        <v>-17.635508919900001</v>
      </c>
      <c r="F3413" t="str">
        <f>HYPERLINK("D:\Data From Lucan\2024\Moresby\Frames_for_Analysis/3410_20240611_0010_R_0462.jpg","3410_20240611_0010_R_0462.jpg")</f>
        <v>3410_20240611_0010_R_0462.jpg</v>
      </c>
      <c r="G3413" s="92" t="s">
        <v>4987</v>
      </c>
      <c r="I3413">
        <v>3</v>
      </c>
      <c r="K3413" s="57">
        <v>1</v>
      </c>
      <c r="L3413" t="s">
        <v>3959</v>
      </c>
      <c r="M3413" t="s">
        <v>3959</v>
      </c>
      <c r="N3413" t="s">
        <v>3959</v>
      </c>
      <c r="O3413" t="s">
        <v>3959</v>
      </c>
      <c r="P3413" s="57">
        <v>1</v>
      </c>
      <c r="Q3413" s="57">
        <v>0</v>
      </c>
      <c r="R3413" s="57">
        <v>0</v>
      </c>
      <c r="S3413" s="57">
        <v>0</v>
      </c>
      <c r="T3413" s="57">
        <v>0</v>
      </c>
      <c r="U3413" s="57">
        <v>0</v>
      </c>
      <c r="V3413" s="57">
        <v>0</v>
      </c>
      <c r="W3413" s="57">
        <v>0</v>
      </c>
      <c r="X3413" s="57">
        <v>0</v>
      </c>
    </row>
    <row r="3414" spans="1:24" hidden="1" x14ac:dyDescent="0.35">
      <c r="A3414">
        <v>3410</v>
      </c>
      <c r="B3414">
        <v>3411</v>
      </c>
      <c r="C3414">
        <v>146.08738648600001</v>
      </c>
      <c r="D3414">
        <v>-17.6355348115999</v>
      </c>
      <c r="F3414" t="str">
        <f>HYPERLINK("D:\Data From Lucan\2024\Moresby\Frames_for_Analysis/3411_20240611_0010_R_0460.jpg","3411_20240611_0010_R_0460.jpg")</f>
        <v>3411_20240611_0010_R_0460.jpg</v>
      </c>
      <c r="G3414" s="92" t="s">
        <v>4988</v>
      </c>
      <c r="I3414">
        <v>3</v>
      </c>
      <c r="K3414" s="57">
        <v>1</v>
      </c>
      <c r="L3414" t="s">
        <v>3959</v>
      </c>
      <c r="M3414" t="s">
        <v>3959</v>
      </c>
      <c r="N3414" t="s">
        <v>3959</v>
      </c>
      <c r="O3414" t="s">
        <v>3959</v>
      </c>
      <c r="P3414" s="57">
        <v>1</v>
      </c>
      <c r="Q3414" s="57">
        <v>0</v>
      </c>
      <c r="R3414" s="57">
        <v>0</v>
      </c>
      <c r="S3414" s="57">
        <v>0</v>
      </c>
      <c r="T3414" s="57">
        <v>0</v>
      </c>
      <c r="U3414" s="57">
        <v>0</v>
      </c>
      <c r="V3414" s="57">
        <v>0</v>
      </c>
      <c r="W3414" s="57">
        <v>0</v>
      </c>
      <c r="X3414" s="57">
        <v>0</v>
      </c>
    </row>
    <row r="3415" spans="1:24" hidden="1" x14ac:dyDescent="0.35">
      <c r="A3415">
        <v>3411</v>
      </c>
      <c r="B3415">
        <v>3412</v>
      </c>
      <c r="C3415">
        <v>146.08747091000001</v>
      </c>
      <c r="D3415">
        <v>-17.6355640646</v>
      </c>
      <c r="F3415" t="str">
        <f>HYPERLINK("D:\Data From Lucan\2024\Moresby\Frames_for_Analysis/3412_20240611_0010_R_0457.jpg","3412_20240611_0010_R_0457.jpg")</f>
        <v>3412_20240611_0010_R_0457.jpg</v>
      </c>
      <c r="G3415" s="92" t="s">
        <v>4989</v>
      </c>
      <c r="I3415">
        <v>3</v>
      </c>
      <c r="K3415" s="57">
        <v>1</v>
      </c>
      <c r="L3415" t="s">
        <v>3959</v>
      </c>
      <c r="M3415" t="s">
        <v>3959</v>
      </c>
      <c r="N3415" t="s">
        <v>3959</v>
      </c>
      <c r="O3415" t="s">
        <v>3959</v>
      </c>
      <c r="P3415" s="57">
        <v>1</v>
      </c>
      <c r="Q3415" s="57">
        <v>0</v>
      </c>
      <c r="R3415" s="57">
        <v>0</v>
      </c>
      <c r="S3415" s="57">
        <v>0</v>
      </c>
      <c r="T3415" s="57">
        <v>0</v>
      </c>
      <c r="U3415" s="57">
        <v>0</v>
      </c>
      <c r="V3415" s="57">
        <v>0</v>
      </c>
      <c r="W3415" s="57">
        <v>0</v>
      </c>
      <c r="X3415" s="57">
        <v>0</v>
      </c>
    </row>
    <row r="3416" spans="1:24" hidden="1" x14ac:dyDescent="0.35">
      <c r="A3416">
        <v>3412</v>
      </c>
      <c r="B3416">
        <v>3413</v>
      </c>
      <c r="C3416">
        <v>146.087555334</v>
      </c>
      <c r="D3416">
        <v>-17.6355933177</v>
      </c>
      <c r="F3416" t="str">
        <f>HYPERLINK("D:\Data From Lucan\2024\Moresby\Frames_for_Analysis/3413_20240611_0010_R_0455.jpg","3413_20240611_0010_R_0455.jpg")</f>
        <v>3413_20240611_0010_R_0455.jpg</v>
      </c>
      <c r="G3416" s="92" t="s">
        <v>4990</v>
      </c>
      <c r="I3416">
        <v>3</v>
      </c>
      <c r="K3416" s="57">
        <v>1</v>
      </c>
      <c r="L3416" t="s">
        <v>3959</v>
      </c>
      <c r="M3416" t="s">
        <v>3959</v>
      </c>
      <c r="N3416" t="s">
        <v>3959</v>
      </c>
      <c r="O3416" t="s">
        <v>3959</v>
      </c>
      <c r="P3416" s="57">
        <v>1</v>
      </c>
      <c r="Q3416" s="57">
        <v>0</v>
      </c>
      <c r="R3416" s="57">
        <v>0</v>
      </c>
      <c r="S3416" s="57">
        <v>0</v>
      </c>
      <c r="T3416" s="57">
        <v>0</v>
      </c>
      <c r="U3416" s="57">
        <v>0</v>
      </c>
      <c r="V3416" s="57">
        <v>0</v>
      </c>
      <c r="W3416" s="57">
        <v>0</v>
      </c>
      <c r="X3416" s="57">
        <v>0</v>
      </c>
    </row>
    <row r="3417" spans="1:24" hidden="1" x14ac:dyDescent="0.35">
      <c r="A3417">
        <v>3413</v>
      </c>
      <c r="B3417">
        <v>3414</v>
      </c>
      <c r="C3417">
        <v>146.08763975900001</v>
      </c>
      <c r="D3417">
        <v>-17.635622570700001</v>
      </c>
      <c r="F3417" t="str">
        <f>HYPERLINK("D:\Data From Lucan\2024\Moresby\Frames_for_Analysis/3414_20240611_0010_R_0452.jpg","3414_20240611_0010_R_0452.jpg")</f>
        <v>3414_20240611_0010_R_0452.jpg</v>
      </c>
      <c r="G3417" s="92" t="s">
        <v>4991</v>
      </c>
      <c r="I3417">
        <v>3</v>
      </c>
      <c r="K3417" s="57">
        <v>1</v>
      </c>
      <c r="L3417" t="s">
        <v>3959</v>
      </c>
      <c r="M3417" t="s">
        <v>3959</v>
      </c>
      <c r="N3417" t="s">
        <v>3959</v>
      </c>
      <c r="O3417" t="s">
        <v>3959</v>
      </c>
      <c r="P3417" s="57">
        <v>1</v>
      </c>
      <c r="Q3417" s="57">
        <v>0</v>
      </c>
      <c r="R3417" s="57">
        <v>0</v>
      </c>
      <c r="S3417" s="57">
        <v>0</v>
      </c>
      <c r="T3417" s="57">
        <v>0</v>
      </c>
      <c r="U3417" s="57">
        <v>0</v>
      </c>
      <c r="V3417" s="57">
        <v>0</v>
      </c>
      <c r="W3417" s="57">
        <v>0</v>
      </c>
      <c r="X3417" s="57">
        <v>0</v>
      </c>
    </row>
    <row r="3418" spans="1:24" hidden="1" x14ac:dyDescent="0.35">
      <c r="A3418">
        <v>3414</v>
      </c>
      <c r="B3418">
        <v>3415</v>
      </c>
      <c r="C3418">
        <v>146.08772418300001</v>
      </c>
      <c r="D3418">
        <v>-17.635651823700002</v>
      </c>
      <c r="F3418" t="str">
        <f>HYPERLINK("D:\Data From Lucan\2024\Moresby\Frames_for_Analysis/3415_20240611_0010_R_0450.jpg","3415_20240611_0010_R_0450.jpg")</f>
        <v>3415_20240611_0010_R_0450.jpg</v>
      </c>
      <c r="G3418" s="92" t="s">
        <v>4992</v>
      </c>
      <c r="I3418">
        <v>3</v>
      </c>
      <c r="K3418" s="57">
        <v>1</v>
      </c>
      <c r="L3418" t="s">
        <v>3959</v>
      </c>
      <c r="M3418" t="s">
        <v>3959</v>
      </c>
      <c r="N3418" t="s">
        <v>3959</v>
      </c>
      <c r="O3418" t="s">
        <v>3959</v>
      </c>
      <c r="P3418" s="57">
        <v>1</v>
      </c>
      <c r="Q3418" s="57">
        <v>0</v>
      </c>
      <c r="R3418" s="57">
        <v>0</v>
      </c>
      <c r="S3418" s="57">
        <v>0</v>
      </c>
      <c r="T3418" s="57">
        <v>0</v>
      </c>
      <c r="U3418" s="57">
        <v>0</v>
      </c>
      <c r="V3418" s="57">
        <v>0</v>
      </c>
      <c r="W3418" s="57">
        <v>0</v>
      </c>
      <c r="X3418" s="57">
        <v>0</v>
      </c>
    </row>
    <row r="3419" spans="1:24" hidden="1" x14ac:dyDescent="0.35">
      <c r="A3419">
        <v>3415</v>
      </c>
      <c r="B3419">
        <v>3416</v>
      </c>
      <c r="C3419">
        <v>146.08780860799899</v>
      </c>
      <c r="D3419">
        <v>-17.635681076800001</v>
      </c>
      <c r="F3419" t="str">
        <f>HYPERLINK("D:\Data From Lucan\2024\Moresby\Frames_for_Analysis/3416_20240611_0010_R_0447.jpg","3416_20240611_0010_R_0447.jpg")</f>
        <v>3416_20240611_0010_R_0447.jpg</v>
      </c>
      <c r="G3419" s="92" t="s">
        <v>4993</v>
      </c>
      <c r="I3419">
        <v>3</v>
      </c>
      <c r="K3419" s="57">
        <v>1</v>
      </c>
      <c r="L3419" t="s">
        <v>3959</v>
      </c>
      <c r="M3419" t="s">
        <v>3959</v>
      </c>
      <c r="N3419" t="s">
        <v>3959</v>
      </c>
      <c r="O3419" t="s">
        <v>3959</v>
      </c>
      <c r="P3419" s="57">
        <v>1</v>
      </c>
      <c r="Q3419" s="57">
        <v>0</v>
      </c>
      <c r="R3419" s="57">
        <v>0</v>
      </c>
      <c r="S3419" s="57">
        <v>0</v>
      </c>
      <c r="T3419" s="57">
        <v>0</v>
      </c>
      <c r="U3419" s="57">
        <v>0</v>
      </c>
      <c r="V3419" s="57">
        <v>0</v>
      </c>
      <c r="W3419" s="57">
        <v>0</v>
      </c>
      <c r="X3419" s="57">
        <v>0</v>
      </c>
    </row>
    <row r="3420" spans="1:24" hidden="1" x14ac:dyDescent="0.35">
      <c r="A3420">
        <v>3416</v>
      </c>
      <c r="B3420">
        <v>3417</v>
      </c>
      <c r="C3420">
        <v>146.08789303200001</v>
      </c>
      <c r="D3420">
        <v>-17.635710329799899</v>
      </c>
      <c r="F3420" t="str">
        <f>HYPERLINK("D:\Data From Lucan\2024\Moresby\Frames_for_Analysis/3417_20240611_0010_R_0445.jpg","3417_20240611_0010_R_0445.jpg")</f>
        <v>3417_20240611_0010_R_0445.jpg</v>
      </c>
      <c r="G3420" s="92" t="s">
        <v>4994</v>
      </c>
      <c r="I3420">
        <v>3</v>
      </c>
      <c r="K3420" s="57">
        <v>1</v>
      </c>
      <c r="L3420" t="s">
        <v>3959</v>
      </c>
      <c r="M3420" t="s">
        <v>3959</v>
      </c>
      <c r="N3420" t="s">
        <v>3959</v>
      </c>
      <c r="O3420" t="s">
        <v>3959</v>
      </c>
      <c r="P3420" s="57">
        <v>1</v>
      </c>
      <c r="Q3420" s="57">
        <v>0</v>
      </c>
      <c r="R3420" s="57">
        <v>0</v>
      </c>
      <c r="S3420" s="57">
        <v>0</v>
      </c>
      <c r="T3420" s="57">
        <v>0</v>
      </c>
      <c r="U3420" s="57">
        <v>0</v>
      </c>
      <c r="V3420" s="57">
        <v>0</v>
      </c>
      <c r="W3420" s="57">
        <v>0</v>
      </c>
      <c r="X3420" s="57">
        <v>0</v>
      </c>
    </row>
    <row r="3421" spans="1:24" hidden="1" x14ac:dyDescent="0.35">
      <c r="A3421">
        <v>3417</v>
      </c>
      <c r="B3421">
        <v>3418</v>
      </c>
      <c r="C3421">
        <v>146.087977456</v>
      </c>
      <c r="D3421">
        <v>-17.6357395827999</v>
      </c>
      <c r="F3421" t="str">
        <f>HYPERLINK("D:\Data From Lucan\2024\Moresby\Frames_for_Analysis/3418_20240611_0010_R_0443.jpg","3418_20240611_0010_R_0443.jpg")</f>
        <v>3418_20240611_0010_R_0443.jpg</v>
      </c>
      <c r="G3421" s="92" t="s">
        <v>4995</v>
      </c>
      <c r="I3421">
        <v>3</v>
      </c>
      <c r="K3421" s="57">
        <v>1</v>
      </c>
      <c r="L3421" t="s">
        <v>3959</v>
      </c>
      <c r="M3421" t="s">
        <v>3959</v>
      </c>
      <c r="N3421" t="s">
        <v>3959</v>
      </c>
      <c r="O3421" t="s">
        <v>3959</v>
      </c>
      <c r="P3421" s="57">
        <v>1</v>
      </c>
      <c r="Q3421" s="57">
        <v>0</v>
      </c>
      <c r="R3421" s="57">
        <v>0</v>
      </c>
      <c r="S3421" s="57">
        <v>0</v>
      </c>
      <c r="T3421" s="57">
        <v>0</v>
      </c>
      <c r="U3421" s="57">
        <v>0</v>
      </c>
      <c r="V3421" s="57">
        <v>0</v>
      </c>
      <c r="W3421" s="57">
        <v>0</v>
      </c>
      <c r="X3421" s="57">
        <v>0</v>
      </c>
    </row>
    <row r="3422" spans="1:24" hidden="1" x14ac:dyDescent="0.35">
      <c r="A3422">
        <v>3418</v>
      </c>
      <c r="B3422">
        <v>3419</v>
      </c>
      <c r="C3422">
        <v>146.08805516300001</v>
      </c>
      <c r="D3422">
        <v>-17.635782007500001</v>
      </c>
      <c r="F3422" t="str">
        <f>HYPERLINK("D:\Data From Lucan\2024\Moresby\Frames_for_Analysis/3419_20240611_0010_R_0440.jpg","3419_20240611_0010_R_0440.jpg")</f>
        <v>3419_20240611_0010_R_0440.jpg</v>
      </c>
      <c r="G3422" s="92" t="s">
        <v>4996</v>
      </c>
      <c r="I3422">
        <v>3</v>
      </c>
      <c r="K3422" s="57">
        <v>1</v>
      </c>
      <c r="L3422" t="s">
        <v>3959</v>
      </c>
      <c r="M3422" t="s">
        <v>3959</v>
      </c>
      <c r="N3422" t="s">
        <v>3959</v>
      </c>
      <c r="O3422" t="s">
        <v>3959</v>
      </c>
      <c r="P3422" s="57">
        <v>1</v>
      </c>
      <c r="Q3422" s="57">
        <v>0</v>
      </c>
      <c r="R3422" s="57">
        <v>0</v>
      </c>
      <c r="S3422" s="57">
        <v>0</v>
      </c>
      <c r="T3422" s="57">
        <v>0</v>
      </c>
      <c r="U3422" s="57">
        <v>0</v>
      </c>
      <c r="V3422" s="57">
        <v>0</v>
      </c>
      <c r="W3422" s="57">
        <v>0</v>
      </c>
      <c r="X3422" s="57">
        <v>0</v>
      </c>
    </row>
    <row r="3423" spans="1:24" hidden="1" x14ac:dyDescent="0.35">
      <c r="A3423">
        <v>3419</v>
      </c>
      <c r="B3423">
        <v>3420</v>
      </c>
      <c r="C3423">
        <v>146.08813145900001</v>
      </c>
      <c r="D3423">
        <v>-17.6358271993</v>
      </c>
      <c r="F3423" t="str">
        <f>HYPERLINK("D:\Data From Lucan\2024\Moresby\Frames_for_Analysis/3420_20240611_0010_R_0438.jpg","3420_20240611_0010_R_0438.jpg")</f>
        <v>3420_20240611_0010_R_0438.jpg</v>
      </c>
      <c r="G3423" s="92" t="s">
        <v>4997</v>
      </c>
      <c r="I3423">
        <v>3</v>
      </c>
      <c r="K3423" s="57">
        <v>1</v>
      </c>
      <c r="L3423" t="s">
        <v>3959</v>
      </c>
      <c r="M3423" t="s">
        <v>3959</v>
      </c>
      <c r="N3423" t="s">
        <v>3959</v>
      </c>
      <c r="O3423" t="s">
        <v>3959</v>
      </c>
      <c r="P3423" s="57">
        <v>1</v>
      </c>
      <c r="Q3423" s="57">
        <v>0</v>
      </c>
      <c r="R3423" s="57">
        <v>0</v>
      </c>
      <c r="S3423" s="57">
        <v>0</v>
      </c>
      <c r="T3423" s="57">
        <v>0</v>
      </c>
      <c r="U3423" s="57">
        <v>0</v>
      </c>
      <c r="V3423" s="57">
        <v>0</v>
      </c>
      <c r="W3423" s="57">
        <v>0</v>
      </c>
      <c r="X3423" s="57">
        <v>0</v>
      </c>
    </row>
    <row r="3424" spans="1:24" hidden="1" x14ac:dyDescent="0.35">
      <c r="A3424">
        <v>3420</v>
      </c>
      <c r="B3424">
        <v>3421</v>
      </c>
      <c r="C3424">
        <v>146.088207753999</v>
      </c>
      <c r="D3424">
        <v>-17.635872391100001</v>
      </c>
      <c r="F3424" t="str">
        <f>HYPERLINK("D:\Data From Lucan\2024\Moresby\Frames_for_Analysis/3421_20240611_0010_R_0436.jpg","3421_20240611_0010_R_0436.jpg")</f>
        <v>3421_20240611_0010_R_0436.jpg</v>
      </c>
      <c r="G3424" s="92" t="s">
        <v>4998</v>
      </c>
      <c r="I3424">
        <v>3</v>
      </c>
      <c r="K3424" s="57">
        <v>1</v>
      </c>
      <c r="L3424" t="s">
        <v>3959</v>
      </c>
      <c r="M3424" t="s">
        <v>3959</v>
      </c>
      <c r="N3424" t="s">
        <v>3959</v>
      </c>
      <c r="O3424" t="s">
        <v>3959</v>
      </c>
      <c r="P3424" s="57">
        <v>1</v>
      </c>
      <c r="Q3424" s="57">
        <v>0</v>
      </c>
      <c r="R3424" s="57">
        <v>0</v>
      </c>
      <c r="S3424" s="57">
        <v>0</v>
      </c>
      <c r="T3424" s="57">
        <v>0</v>
      </c>
      <c r="U3424" s="57">
        <v>0</v>
      </c>
      <c r="V3424" s="57">
        <v>0</v>
      </c>
      <c r="W3424" s="57">
        <v>0</v>
      </c>
      <c r="X3424" s="57">
        <v>0</v>
      </c>
    </row>
    <row r="3425" spans="1:24" hidden="1" x14ac:dyDescent="0.35">
      <c r="A3425">
        <v>3421</v>
      </c>
      <c r="B3425">
        <v>3422</v>
      </c>
      <c r="C3425">
        <v>146.088284049999</v>
      </c>
      <c r="D3425">
        <v>-17.635917583000001</v>
      </c>
      <c r="F3425" t="str">
        <f>HYPERLINK("D:\Data From Lucan\2024\Moresby\Frames_for_Analysis/3422_20240611_0010_R_0433.jpg","3422_20240611_0010_R_0433.jpg")</f>
        <v>3422_20240611_0010_R_0433.jpg</v>
      </c>
      <c r="G3425" s="92" t="s">
        <v>4999</v>
      </c>
      <c r="I3425">
        <v>3</v>
      </c>
      <c r="K3425" s="57">
        <v>1</v>
      </c>
      <c r="L3425" t="s">
        <v>3959</v>
      </c>
      <c r="M3425" t="s">
        <v>3959</v>
      </c>
      <c r="N3425" t="s">
        <v>3959</v>
      </c>
      <c r="O3425" t="s">
        <v>3959</v>
      </c>
      <c r="P3425" s="57">
        <v>1</v>
      </c>
      <c r="Q3425" s="57">
        <v>0</v>
      </c>
      <c r="R3425" s="57">
        <v>0</v>
      </c>
      <c r="S3425" s="57">
        <v>0</v>
      </c>
      <c r="T3425" s="57">
        <v>0</v>
      </c>
      <c r="U3425" s="57">
        <v>0</v>
      </c>
      <c r="V3425" s="57">
        <v>0</v>
      </c>
      <c r="W3425" s="57">
        <v>0</v>
      </c>
      <c r="X3425" s="57">
        <v>0</v>
      </c>
    </row>
    <row r="3426" spans="1:24" hidden="1" x14ac:dyDescent="0.35">
      <c r="A3426">
        <v>3422</v>
      </c>
      <c r="B3426">
        <v>3423</v>
      </c>
      <c r="C3426">
        <v>146.08836034500001</v>
      </c>
      <c r="D3426">
        <v>-17.6359627747999</v>
      </c>
      <c r="F3426" t="str">
        <f>HYPERLINK("D:\Data From Lucan\2024\Moresby\Frames_for_Analysis/3423_20240611_0010_R_0431.jpg","3423_20240611_0010_R_0431.jpg")</f>
        <v>3423_20240611_0010_R_0431.jpg</v>
      </c>
      <c r="G3426" s="92" t="s">
        <v>5000</v>
      </c>
      <c r="I3426">
        <v>3</v>
      </c>
      <c r="K3426" s="57">
        <v>1</v>
      </c>
      <c r="L3426" t="s">
        <v>3959</v>
      </c>
      <c r="M3426" t="s">
        <v>3959</v>
      </c>
      <c r="N3426" t="s">
        <v>3959</v>
      </c>
      <c r="O3426" t="s">
        <v>3959</v>
      </c>
      <c r="P3426" s="57">
        <v>1</v>
      </c>
      <c r="Q3426" s="57">
        <v>0</v>
      </c>
      <c r="R3426" s="57">
        <v>0</v>
      </c>
      <c r="S3426" s="57">
        <v>0</v>
      </c>
      <c r="T3426" s="57">
        <v>0</v>
      </c>
      <c r="U3426" s="57">
        <v>0</v>
      </c>
      <c r="V3426" s="57">
        <v>0</v>
      </c>
      <c r="W3426" s="57">
        <v>0</v>
      </c>
      <c r="X3426" s="57">
        <v>0</v>
      </c>
    </row>
    <row r="3427" spans="1:24" hidden="1" x14ac:dyDescent="0.35">
      <c r="A3427">
        <v>3423</v>
      </c>
      <c r="B3427">
        <v>3424</v>
      </c>
      <c r="C3427">
        <v>146.08843686500001</v>
      </c>
      <c r="D3427">
        <v>-17.6360076190999</v>
      </c>
      <c r="F3427" t="str">
        <f>HYPERLINK("D:\Data From Lucan\2024\Moresby\Frames_for_Analysis/3424_20240611_0010_R_0428.jpg","3424_20240611_0010_R_0428.jpg")</f>
        <v>3424_20240611_0010_R_0428.jpg</v>
      </c>
      <c r="G3427" s="92" t="s">
        <v>5001</v>
      </c>
      <c r="I3427">
        <v>3</v>
      </c>
      <c r="K3427" s="57">
        <v>1</v>
      </c>
      <c r="L3427" t="s">
        <v>3959</v>
      </c>
      <c r="M3427" t="s">
        <v>3959</v>
      </c>
      <c r="N3427" t="s">
        <v>3959</v>
      </c>
      <c r="O3427" t="s">
        <v>3959</v>
      </c>
      <c r="P3427" s="57">
        <v>1</v>
      </c>
      <c r="Q3427" s="57">
        <v>0</v>
      </c>
      <c r="R3427" s="57">
        <v>0</v>
      </c>
      <c r="S3427" s="57">
        <v>0</v>
      </c>
      <c r="T3427" s="57">
        <v>0</v>
      </c>
      <c r="U3427" s="57">
        <v>0</v>
      </c>
      <c r="V3427" s="57">
        <v>0</v>
      </c>
      <c r="W3427" s="57">
        <v>0</v>
      </c>
      <c r="X3427" s="57">
        <v>0</v>
      </c>
    </row>
    <row r="3428" spans="1:24" hidden="1" x14ac:dyDescent="0.35">
      <c r="A3428">
        <v>3424</v>
      </c>
      <c r="B3428">
        <v>3425</v>
      </c>
      <c r="C3428">
        <v>146.08851354500001</v>
      </c>
      <c r="D3428">
        <v>-17.636052216100001</v>
      </c>
      <c r="F3428" t="str">
        <f>HYPERLINK("D:\Data From Lucan\2024\Moresby\Frames_for_Analysis/3425_20240611_0010_R_0426.jpg","3425_20240611_0010_R_0426.jpg")</f>
        <v>3425_20240611_0010_R_0426.jpg</v>
      </c>
      <c r="G3428" s="92" t="s">
        <v>5002</v>
      </c>
      <c r="I3428">
        <v>3</v>
      </c>
      <c r="K3428" s="57">
        <v>1</v>
      </c>
      <c r="L3428" t="s">
        <v>3959</v>
      </c>
      <c r="M3428" t="s">
        <v>3959</v>
      </c>
      <c r="N3428" t="s">
        <v>3959</v>
      </c>
      <c r="O3428" t="s">
        <v>3959</v>
      </c>
      <c r="P3428" s="57">
        <v>1</v>
      </c>
      <c r="Q3428" s="57">
        <v>0</v>
      </c>
      <c r="R3428" s="57">
        <v>0</v>
      </c>
      <c r="S3428" s="57">
        <v>0</v>
      </c>
      <c r="T3428" s="57">
        <v>0</v>
      </c>
      <c r="U3428" s="57">
        <v>0</v>
      </c>
      <c r="V3428" s="57">
        <v>0</v>
      </c>
      <c r="W3428" s="57">
        <v>0</v>
      </c>
      <c r="X3428" s="57">
        <v>0</v>
      </c>
    </row>
    <row r="3429" spans="1:24" hidden="1" x14ac:dyDescent="0.35">
      <c r="A3429">
        <v>3425</v>
      </c>
      <c r="B3429">
        <v>3426</v>
      </c>
      <c r="C3429">
        <v>146.088590224999</v>
      </c>
      <c r="D3429">
        <v>-17.636096813199998</v>
      </c>
      <c r="F3429" t="str">
        <f>HYPERLINK("D:\Data From Lucan\2024\Moresby\Frames_for_Analysis/3426_20240611_0010_R_0423.jpg","3426_20240611_0010_R_0423.jpg")</f>
        <v>3426_20240611_0010_R_0423.jpg</v>
      </c>
      <c r="G3429" s="92" t="s">
        <v>5003</v>
      </c>
      <c r="I3429">
        <v>3</v>
      </c>
      <c r="K3429" s="57">
        <v>1</v>
      </c>
      <c r="L3429" t="s">
        <v>3959</v>
      </c>
      <c r="M3429" t="s">
        <v>3959</v>
      </c>
      <c r="N3429" t="s">
        <v>3959</v>
      </c>
      <c r="O3429" t="s">
        <v>3959</v>
      </c>
      <c r="P3429" s="57">
        <v>1</v>
      </c>
      <c r="Q3429" s="57">
        <v>0</v>
      </c>
      <c r="R3429" s="57">
        <v>0</v>
      </c>
      <c r="S3429" s="57">
        <v>0</v>
      </c>
      <c r="T3429" s="57">
        <v>0</v>
      </c>
      <c r="U3429" s="57">
        <v>0</v>
      </c>
      <c r="V3429" s="57">
        <v>0</v>
      </c>
      <c r="W3429" s="57">
        <v>0</v>
      </c>
      <c r="X3429" s="57">
        <v>0</v>
      </c>
    </row>
    <row r="3430" spans="1:24" hidden="1" x14ac:dyDescent="0.35">
      <c r="A3430">
        <v>3426</v>
      </c>
      <c r="B3430">
        <v>3427</v>
      </c>
      <c r="C3430">
        <v>146.088666904999</v>
      </c>
      <c r="D3430">
        <v>-17.6361414102</v>
      </c>
      <c r="F3430" t="str">
        <f>HYPERLINK("D:\Data From Lucan\2024\Moresby\Frames_for_Analysis/3427_20240611_0010_R_0421.jpg","3427_20240611_0010_R_0421.jpg")</f>
        <v>3427_20240611_0010_R_0421.jpg</v>
      </c>
      <c r="G3430" s="92" t="s">
        <v>5004</v>
      </c>
      <c r="I3430">
        <v>3</v>
      </c>
      <c r="K3430" s="57">
        <v>1</v>
      </c>
      <c r="L3430" t="s">
        <v>3959</v>
      </c>
      <c r="M3430" t="s">
        <v>3959</v>
      </c>
      <c r="N3430" t="s">
        <v>3959</v>
      </c>
      <c r="O3430" t="s">
        <v>3959</v>
      </c>
      <c r="P3430" s="57">
        <v>1</v>
      </c>
      <c r="Q3430" s="57">
        <v>0</v>
      </c>
      <c r="R3430" s="57">
        <v>0</v>
      </c>
      <c r="S3430" s="57">
        <v>0</v>
      </c>
      <c r="T3430" s="57">
        <v>0</v>
      </c>
      <c r="U3430" s="57">
        <v>0</v>
      </c>
      <c r="V3430" s="57">
        <v>0</v>
      </c>
      <c r="W3430" s="57">
        <v>0</v>
      </c>
      <c r="X3430" s="57">
        <v>0</v>
      </c>
    </row>
    <row r="3431" spans="1:24" hidden="1" x14ac:dyDescent="0.35">
      <c r="A3431">
        <v>3427</v>
      </c>
      <c r="B3431">
        <v>3428</v>
      </c>
      <c r="C3431">
        <v>146.08874358400001</v>
      </c>
      <c r="D3431">
        <v>-17.6361860071999</v>
      </c>
      <c r="F3431" t="str">
        <f>HYPERLINK("D:\Data From Lucan\2024\Moresby\Frames_for_Analysis/3428_20240611_0010_R_0419.jpg","3428_20240611_0010_R_0419.jpg")</f>
        <v>3428_20240611_0010_R_0419.jpg</v>
      </c>
      <c r="G3431" s="92" t="s">
        <v>5005</v>
      </c>
      <c r="I3431">
        <v>3</v>
      </c>
      <c r="K3431" s="57">
        <v>1</v>
      </c>
      <c r="L3431" t="s">
        <v>3959</v>
      </c>
      <c r="M3431" t="s">
        <v>3959</v>
      </c>
      <c r="N3431" t="s">
        <v>3959</v>
      </c>
      <c r="O3431" t="s">
        <v>3959</v>
      </c>
      <c r="P3431" s="57">
        <v>1</v>
      </c>
      <c r="Q3431" s="57">
        <v>0</v>
      </c>
      <c r="R3431" s="57">
        <v>0</v>
      </c>
      <c r="S3431" s="57">
        <v>0</v>
      </c>
      <c r="T3431" s="57">
        <v>0</v>
      </c>
      <c r="U3431" s="57">
        <v>0</v>
      </c>
      <c r="V3431" s="57">
        <v>0</v>
      </c>
      <c r="W3431" s="57">
        <v>0</v>
      </c>
      <c r="X3431" s="57">
        <v>0</v>
      </c>
    </row>
    <row r="3432" spans="1:24" hidden="1" x14ac:dyDescent="0.35">
      <c r="A3432">
        <v>3428</v>
      </c>
      <c r="B3432">
        <v>3429</v>
      </c>
      <c r="C3432">
        <v>146.088813256999</v>
      </c>
      <c r="D3432">
        <v>-17.6362390231</v>
      </c>
      <c r="F3432" t="str">
        <f>HYPERLINK("D:\Data From Lucan\2024\Moresby\Frames_for_Analysis/3429_20240611_0010_R_0416.jpg","3429_20240611_0010_R_0416.jpg")</f>
        <v>3429_20240611_0010_R_0416.jpg</v>
      </c>
      <c r="G3432" s="92" t="s">
        <v>5006</v>
      </c>
      <c r="I3432">
        <v>3</v>
      </c>
      <c r="K3432" s="57">
        <v>1</v>
      </c>
      <c r="L3432" t="s">
        <v>3959</v>
      </c>
      <c r="M3432" t="s">
        <v>3959</v>
      </c>
      <c r="N3432" t="s">
        <v>3959</v>
      </c>
      <c r="O3432" t="s">
        <v>3959</v>
      </c>
      <c r="P3432" s="57">
        <v>1</v>
      </c>
      <c r="Q3432" s="57">
        <v>0</v>
      </c>
      <c r="R3432" s="57">
        <v>0</v>
      </c>
      <c r="S3432" s="57">
        <v>0</v>
      </c>
      <c r="T3432" s="57">
        <v>0</v>
      </c>
      <c r="U3432" s="57">
        <v>0</v>
      </c>
      <c r="V3432" s="57">
        <v>0</v>
      </c>
      <c r="W3432" s="57">
        <v>0</v>
      </c>
      <c r="X3432" s="57">
        <v>0</v>
      </c>
    </row>
    <row r="3433" spans="1:24" hidden="1" x14ac:dyDescent="0.35">
      <c r="A3433">
        <v>3429</v>
      </c>
      <c r="B3433">
        <v>3430</v>
      </c>
      <c r="C3433">
        <v>146.088876274999</v>
      </c>
      <c r="D3433">
        <v>-17.6363000324999</v>
      </c>
      <c r="F3433" t="str">
        <f>HYPERLINK("D:\Data From Lucan\2024\Moresby\Frames_for_Analysis/3430_20240611_0010_R_0414.jpg","3430_20240611_0010_R_0414.jpg")</f>
        <v>3430_20240611_0010_R_0414.jpg</v>
      </c>
      <c r="G3433" s="92" t="s">
        <v>5007</v>
      </c>
      <c r="I3433">
        <v>3</v>
      </c>
      <c r="K3433" s="57">
        <v>1</v>
      </c>
      <c r="L3433" t="s">
        <v>3959</v>
      </c>
      <c r="M3433" t="s">
        <v>3959</v>
      </c>
      <c r="N3433" t="s">
        <v>3959</v>
      </c>
      <c r="O3433" t="s">
        <v>3959</v>
      </c>
      <c r="P3433" s="57">
        <v>1</v>
      </c>
      <c r="Q3433" s="57">
        <v>0</v>
      </c>
      <c r="R3433" s="57">
        <v>0</v>
      </c>
      <c r="S3433" s="57">
        <v>0</v>
      </c>
      <c r="T3433" s="57">
        <v>0</v>
      </c>
      <c r="U3433" s="57">
        <v>0</v>
      </c>
      <c r="V3433" s="57">
        <v>0</v>
      </c>
      <c r="W3433" s="57">
        <v>0</v>
      </c>
      <c r="X3433" s="57">
        <v>0</v>
      </c>
    </row>
    <row r="3434" spans="1:24" hidden="1" x14ac:dyDescent="0.35">
      <c r="A3434">
        <v>3430</v>
      </c>
      <c r="B3434">
        <v>3431</v>
      </c>
      <c r="C3434">
        <v>146.088939293999</v>
      </c>
      <c r="D3434">
        <v>-17.6363610418999</v>
      </c>
      <c r="F3434" t="str">
        <f>HYPERLINK("D:\Data From Lucan\2024\Moresby\Frames_for_Analysis/3431_20240611_0010_R_0411.jpg","3431_20240611_0010_R_0411.jpg")</f>
        <v>3431_20240611_0010_R_0411.jpg</v>
      </c>
      <c r="G3434" s="92" t="s">
        <v>5008</v>
      </c>
      <c r="I3434">
        <v>3</v>
      </c>
      <c r="K3434" s="57">
        <v>1</v>
      </c>
      <c r="L3434" t="s">
        <v>3959</v>
      </c>
      <c r="M3434" t="s">
        <v>3959</v>
      </c>
      <c r="N3434" t="s">
        <v>3959</v>
      </c>
      <c r="O3434" t="s">
        <v>3959</v>
      </c>
      <c r="P3434" s="57">
        <v>1</v>
      </c>
      <c r="Q3434" s="57">
        <v>0</v>
      </c>
      <c r="R3434" s="57">
        <v>0</v>
      </c>
      <c r="S3434" s="57">
        <v>0</v>
      </c>
      <c r="T3434" s="57">
        <v>0</v>
      </c>
      <c r="U3434" s="57">
        <v>0</v>
      </c>
      <c r="V3434" s="57">
        <v>0</v>
      </c>
      <c r="W3434" s="57">
        <v>0</v>
      </c>
      <c r="X3434" s="57">
        <v>0</v>
      </c>
    </row>
    <row r="3435" spans="1:24" hidden="1" x14ac:dyDescent="0.35">
      <c r="A3435">
        <v>3431</v>
      </c>
      <c r="B3435">
        <v>3432</v>
      </c>
      <c r="C3435">
        <v>146.08900231300001</v>
      </c>
      <c r="D3435">
        <v>-17.636422051299899</v>
      </c>
      <c r="F3435" t="str">
        <f>HYPERLINK("D:\Data From Lucan\2024\Moresby\Frames_for_Analysis/3432_20240611_0010_R_0409.jpg","3432_20240611_0010_R_0409.jpg")</f>
        <v>3432_20240611_0010_R_0409.jpg</v>
      </c>
      <c r="G3435" s="92" t="s">
        <v>5009</v>
      </c>
      <c r="I3435">
        <v>3</v>
      </c>
      <c r="K3435" s="57">
        <v>1</v>
      </c>
      <c r="L3435" t="s">
        <v>3959</v>
      </c>
      <c r="M3435" t="s">
        <v>3959</v>
      </c>
      <c r="N3435" t="s">
        <v>3959</v>
      </c>
      <c r="O3435" t="s">
        <v>3959</v>
      </c>
      <c r="P3435" s="57">
        <v>1</v>
      </c>
      <c r="Q3435" s="57">
        <v>0</v>
      </c>
      <c r="R3435" s="57">
        <v>0</v>
      </c>
      <c r="S3435" s="57">
        <v>0</v>
      </c>
      <c r="T3435" s="57">
        <v>0</v>
      </c>
      <c r="U3435" s="57">
        <v>0</v>
      </c>
      <c r="V3435" s="57">
        <v>0</v>
      </c>
      <c r="W3435" s="57">
        <v>0</v>
      </c>
      <c r="X3435" s="57">
        <v>0</v>
      </c>
    </row>
    <row r="3436" spans="1:24" hidden="1" x14ac:dyDescent="0.35">
      <c r="A3436">
        <v>3432</v>
      </c>
      <c r="B3436">
        <v>3433</v>
      </c>
      <c r="C3436">
        <v>146.089065331</v>
      </c>
      <c r="D3436">
        <v>-17.636483060700002</v>
      </c>
      <c r="F3436" t="str">
        <f>HYPERLINK("D:\Data From Lucan\2024\Moresby\Frames_for_Analysis/3433_20240611_0010_R_0406.jpg","3433_20240611_0010_R_0406.jpg")</f>
        <v>3433_20240611_0010_R_0406.jpg</v>
      </c>
      <c r="G3436" s="92" t="s">
        <v>5010</v>
      </c>
      <c r="I3436">
        <v>3</v>
      </c>
      <c r="K3436" s="57">
        <v>1</v>
      </c>
      <c r="L3436" t="s">
        <v>3959</v>
      </c>
      <c r="M3436" t="s">
        <v>3959</v>
      </c>
      <c r="N3436" t="s">
        <v>3959</v>
      </c>
      <c r="O3436" t="s">
        <v>3959</v>
      </c>
      <c r="P3436" s="57">
        <v>1</v>
      </c>
      <c r="Q3436" s="57">
        <v>0</v>
      </c>
      <c r="R3436" s="57">
        <v>0</v>
      </c>
      <c r="S3436" s="57">
        <v>0</v>
      </c>
      <c r="T3436" s="57">
        <v>0</v>
      </c>
      <c r="U3436" s="57">
        <v>0</v>
      </c>
      <c r="V3436" s="57">
        <v>0</v>
      </c>
      <c r="W3436" s="57">
        <v>0</v>
      </c>
      <c r="X3436" s="57">
        <v>0</v>
      </c>
    </row>
    <row r="3437" spans="1:24" hidden="1" x14ac:dyDescent="0.35">
      <c r="A3437">
        <v>3433</v>
      </c>
      <c r="B3437">
        <v>3434</v>
      </c>
      <c r="C3437">
        <v>146.08912835000001</v>
      </c>
      <c r="D3437">
        <v>-17.6365440699999</v>
      </c>
      <c r="F3437" t="str">
        <f>HYPERLINK("D:\Data From Lucan\2024\Moresby\Frames_for_Analysis/3434_20240611_0010_R_0404.jpg","3434_20240611_0010_R_0404.jpg")</f>
        <v>3434_20240611_0010_R_0404.jpg</v>
      </c>
      <c r="G3437" s="92" t="s">
        <v>5011</v>
      </c>
      <c r="I3437">
        <v>3</v>
      </c>
      <c r="K3437" s="57">
        <v>1</v>
      </c>
      <c r="L3437" t="s">
        <v>3959</v>
      </c>
      <c r="M3437" t="s">
        <v>3959</v>
      </c>
      <c r="N3437" t="s">
        <v>3959</v>
      </c>
      <c r="O3437" t="s">
        <v>3959</v>
      </c>
      <c r="P3437" s="57">
        <v>1</v>
      </c>
      <c r="Q3437" s="57">
        <v>0</v>
      </c>
      <c r="R3437" s="57">
        <v>0</v>
      </c>
      <c r="S3437" s="57">
        <v>0</v>
      </c>
      <c r="T3437" s="57">
        <v>0</v>
      </c>
      <c r="U3437" s="57">
        <v>0</v>
      </c>
      <c r="V3437" s="57">
        <v>0</v>
      </c>
      <c r="W3437" s="57">
        <v>0</v>
      </c>
      <c r="X3437" s="57">
        <v>0</v>
      </c>
    </row>
    <row r="3438" spans="1:24" hidden="1" x14ac:dyDescent="0.35">
      <c r="A3438">
        <v>3434</v>
      </c>
      <c r="B3438">
        <v>3435</v>
      </c>
      <c r="C3438">
        <v>146.089186904999</v>
      </c>
      <c r="D3438">
        <v>-17.6366087759999</v>
      </c>
      <c r="F3438" t="str">
        <f>HYPERLINK("D:\Data From Lucan\2024\Moresby\Frames_for_Analysis/3435_20240611_0010_R_0402.jpg","3435_20240611_0010_R_0402.jpg")</f>
        <v>3435_20240611_0010_R_0402.jpg</v>
      </c>
      <c r="G3438" s="92" t="s">
        <v>5012</v>
      </c>
      <c r="I3438">
        <v>3</v>
      </c>
      <c r="K3438" s="57">
        <v>1</v>
      </c>
      <c r="L3438" t="s">
        <v>3959</v>
      </c>
      <c r="M3438" t="s">
        <v>3959</v>
      </c>
      <c r="N3438" t="s">
        <v>3959</v>
      </c>
      <c r="O3438" t="s">
        <v>3959</v>
      </c>
      <c r="P3438" s="57">
        <v>1</v>
      </c>
      <c r="Q3438" s="57">
        <v>0</v>
      </c>
      <c r="R3438" s="57">
        <v>0</v>
      </c>
      <c r="S3438" s="57">
        <v>0</v>
      </c>
      <c r="T3438" s="57">
        <v>0</v>
      </c>
      <c r="U3438" s="57">
        <v>0</v>
      </c>
      <c r="V3438" s="57">
        <v>0</v>
      </c>
      <c r="W3438" s="57">
        <v>0</v>
      </c>
      <c r="X3438" s="57">
        <v>0</v>
      </c>
    </row>
    <row r="3439" spans="1:24" hidden="1" x14ac:dyDescent="0.35">
      <c r="A3439">
        <v>3435</v>
      </c>
      <c r="B3439">
        <v>3436</v>
      </c>
      <c r="C3439">
        <v>146.089241504</v>
      </c>
      <c r="D3439">
        <v>-17.6366767578</v>
      </c>
      <c r="F3439" t="str">
        <f>HYPERLINK("D:\Data From Lucan\2024\Moresby\Frames_for_Analysis/3436_20240611_0010_R_0399.jpg","3436_20240611_0010_R_0399.jpg")</f>
        <v>3436_20240611_0010_R_0399.jpg</v>
      </c>
      <c r="G3439" s="92" t="s">
        <v>5013</v>
      </c>
      <c r="I3439">
        <v>3</v>
      </c>
      <c r="K3439" s="57">
        <v>1</v>
      </c>
      <c r="L3439" t="s">
        <v>3959</v>
      </c>
      <c r="M3439" t="s">
        <v>3959</v>
      </c>
      <c r="N3439" t="s">
        <v>3959</v>
      </c>
      <c r="O3439" t="s">
        <v>3959</v>
      </c>
      <c r="P3439" s="57">
        <v>1</v>
      </c>
      <c r="Q3439" s="57">
        <v>0</v>
      </c>
      <c r="R3439" s="57">
        <v>0</v>
      </c>
      <c r="S3439" s="57">
        <v>0</v>
      </c>
      <c r="T3439" s="57">
        <v>0</v>
      </c>
      <c r="U3439" s="57">
        <v>0</v>
      </c>
      <c r="V3439" s="57">
        <v>0</v>
      </c>
      <c r="W3439" s="57">
        <v>0</v>
      </c>
      <c r="X3439" s="57">
        <v>0</v>
      </c>
    </row>
    <row r="3440" spans="1:24" hidden="1" x14ac:dyDescent="0.35">
      <c r="A3440">
        <v>3436</v>
      </c>
      <c r="B3440">
        <v>3437</v>
      </c>
      <c r="C3440">
        <v>146.08929610300001</v>
      </c>
      <c r="D3440">
        <v>-17.6367447394999</v>
      </c>
      <c r="F3440" t="str">
        <f>HYPERLINK("D:\Data From Lucan\2024\Moresby\Frames_for_Analysis/3437_20240611_0010_R_0397.jpg","3437_20240611_0010_R_0397.jpg")</f>
        <v>3437_20240611_0010_R_0397.jpg</v>
      </c>
      <c r="G3440" s="92" t="s">
        <v>5014</v>
      </c>
      <c r="I3440">
        <v>3</v>
      </c>
      <c r="K3440" s="57">
        <v>1</v>
      </c>
      <c r="L3440" t="s">
        <v>3959</v>
      </c>
      <c r="M3440" t="s">
        <v>3959</v>
      </c>
      <c r="N3440" t="s">
        <v>3959</v>
      </c>
      <c r="O3440" t="s">
        <v>3959</v>
      </c>
      <c r="P3440" s="57">
        <v>1</v>
      </c>
      <c r="Q3440" s="57">
        <v>0</v>
      </c>
      <c r="R3440" s="57">
        <v>0</v>
      </c>
      <c r="S3440" s="57">
        <v>0</v>
      </c>
      <c r="T3440" s="57">
        <v>0</v>
      </c>
      <c r="U3440" s="57">
        <v>0</v>
      </c>
      <c r="V3440" s="57">
        <v>0</v>
      </c>
      <c r="W3440" s="57">
        <v>0</v>
      </c>
      <c r="X3440" s="57">
        <v>0</v>
      </c>
    </row>
    <row r="3441" spans="1:24" hidden="1" x14ac:dyDescent="0.35">
      <c r="A3441">
        <v>3437</v>
      </c>
      <c r="B3441">
        <v>3438</v>
      </c>
      <c r="C3441">
        <v>146.089350701999</v>
      </c>
      <c r="D3441">
        <v>-17.6368127211</v>
      </c>
      <c r="F3441" t="str">
        <f>HYPERLINK("D:\Data From Lucan\2024\Moresby\Frames_for_Analysis/3438_20240611_0010_R_0395.jpg","3438_20240611_0010_R_0395.jpg")</f>
        <v>3438_20240611_0010_R_0395.jpg</v>
      </c>
      <c r="G3441" s="92" t="s">
        <v>5015</v>
      </c>
      <c r="I3441">
        <v>3</v>
      </c>
      <c r="K3441" s="57">
        <v>1</v>
      </c>
      <c r="L3441" t="s">
        <v>3959</v>
      </c>
      <c r="M3441" t="s">
        <v>3959</v>
      </c>
      <c r="N3441" t="s">
        <v>3959</v>
      </c>
      <c r="O3441" t="s">
        <v>3959</v>
      </c>
      <c r="P3441" s="57">
        <v>1</v>
      </c>
      <c r="Q3441" s="57">
        <v>0</v>
      </c>
      <c r="R3441" s="57">
        <v>0</v>
      </c>
      <c r="S3441" s="57">
        <v>0</v>
      </c>
      <c r="T3441" s="57">
        <v>0</v>
      </c>
      <c r="U3441" s="57">
        <v>0</v>
      </c>
      <c r="V3441" s="57">
        <v>0</v>
      </c>
      <c r="W3441" s="57">
        <v>0</v>
      </c>
      <c r="X3441" s="57">
        <v>0</v>
      </c>
    </row>
    <row r="3442" spans="1:24" hidden="1" x14ac:dyDescent="0.35">
      <c r="A3442">
        <v>3438</v>
      </c>
      <c r="B3442">
        <v>3439</v>
      </c>
      <c r="C3442">
        <v>146.089405300999</v>
      </c>
      <c r="D3442">
        <v>-17.6368807027999</v>
      </c>
      <c r="F3442" t="str">
        <f>HYPERLINK("D:\Data From Lucan\2024\Moresby\Frames_for_Analysis/3439_20240611_0010_R_0392.jpg","3439_20240611_0010_R_0392.jpg")</f>
        <v>3439_20240611_0010_R_0392.jpg</v>
      </c>
      <c r="G3442" s="92" t="s">
        <v>5016</v>
      </c>
      <c r="I3442">
        <v>3</v>
      </c>
      <c r="K3442" s="57">
        <v>1</v>
      </c>
      <c r="L3442" t="s">
        <v>3959</v>
      </c>
      <c r="M3442" t="s">
        <v>3959</v>
      </c>
      <c r="N3442" t="s">
        <v>3959</v>
      </c>
      <c r="O3442" t="s">
        <v>3959</v>
      </c>
      <c r="P3442" s="57">
        <v>1</v>
      </c>
      <c r="Q3442" s="57">
        <v>0</v>
      </c>
      <c r="R3442" s="57">
        <v>0</v>
      </c>
      <c r="S3442" s="57">
        <v>0</v>
      </c>
      <c r="T3442" s="57">
        <v>0</v>
      </c>
      <c r="U3442" s="57">
        <v>0</v>
      </c>
      <c r="V3442" s="57">
        <v>0</v>
      </c>
      <c r="W3442" s="57">
        <v>0</v>
      </c>
      <c r="X3442" s="57">
        <v>0</v>
      </c>
    </row>
    <row r="3443" spans="1:24" hidden="1" x14ac:dyDescent="0.35">
      <c r="A3443">
        <v>3439</v>
      </c>
      <c r="B3443">
        <v>3440</v>
      </c>
      <c r="C3443">
        <v>146.089459900999</v>
      </c>
      <c r="D3443">
        <v>-17.6369486844</v>
      </c>
      <c r="F3443" t="str">
        <f>HYPERLINK("D:\Data From Lucan\2024\Moresby\Frames_for_Analysis/3440_20240611_0010_R_0390.jpg","3440_20240611_0010_R_0390.jpg")</f>
        <v>3440_20240611_0010_R_0390.jpg</v>
      </c>
      <c r="G3443" s="92" t="s">
        <v>5017</v>
      </c>
      <c r="I3443">
        <v>3</v>
      </c>
      <c r="K3443" s="57">
        <v>1</v>
      </c>
      <c r="L3443" t="s">
        <v>3959</v>
      </c>
      <c r="M3443" t="s">
        <v>3959</v>
      </c>
      <c r="N3443" t="s">
        <v>3959</v>
      </c>
      <c r="O3443" t="s">
        <v>3959</v>
      </c>
      <c r="P3443" s="57">
        <v>1</v>
      </c>
      <c r="Q3443" s="57">
        <v>0</v>
      </c>
      <c r="R3443" s="57">
        <v>0</v>
      </c>
      <c r="S3443" s="57">
        <v>0</v>
      </c>
      <c r="T3443" s="57">
        <v>0</v>
      </c>
      <c r="U3443" s="57">
        <v>0</v>
      </c>
      <c r="V3443" s="57">
        <v>0</v>
      </c>
      <c r="W3443" s="57">
        <v>0</v>
      </c>
      <c r="X3443" s="57">
        <v>0</v>
      </c>
    </row>
    <row r="3444" spans="1:24" hidden="1" x14ac:dyDescent="0.35">
      <c r="A3444">
        <v>3440</v>
      </c>
      <c r="B3444">
        <v>3441</v>
      </c>
      <c r="C3444">
        <v>146.08949824300001</v>
      </c>
      <c r="D3444">
        <v>-17.637025738999899</v>
      </c>
      <c r="F3444" t="str">
        <f>HYPERLINK("D:\Data From Lucan\2024\Moresby\Frames_for_Analysis/3441_20240611_0010_R_0387.jpg","3441_20240611_0010_R_0387.jpg")</f>
        <v>3441_20240611_0010_R_0387.jpg</v>
      </c>
      <c r="G3444" s="92" t="s">
        <v>5018</v>
      </c>
      <c r="I3444">
        <v>3</v>
      </c>
      <c r="K3444" s="57">
        <v>1</v>
      </c>
      <c r="L3444" t="s">
        <v>3959</v>
      </c>
      <c r="M3444" t="s">
        <v>3959</v>
      </c>
      <c r="N3444" t="s">
        <v>3959</v>
      </c>
      <c r="O3444" t="s">
        <v>3959</v>
      </c>
      <c r="P3444" s="57">
        <v>1</v>
      </c>
      <c r="Q3444" s="57">
        <v>0</v>
      </c>
      <c r="R3444" s="57">
        <v>0</v>
      </c>
      <c r="S3444" s="57">
        <v>0</v>
      </c>
      <c r="T3444" s="57">
        <v>0</v>
      </c>
      <c r="U3444" s="57">
        <v>0</v>
      </c>
      <c r="V3444" s="57">
        <v>0</v>
      </c>
      <c r="W3444" s="57">
        <v>0</v>
      </c>
      <c r="X3444" s="57">
        <v>0</v>
      </c>
    </row>
    <row r="3445" spans="1:24" hidden="1" x14ac:dyDescent="0.35">
      <c r="A3445">
        <v>3441</v>
      </c>
      <c r="B3445">
        <v>3442</v>
      </c>
      <c r="C3445">
        <v>146.08953374500001</v>
      </c>
      <c r="D3445">
        <v>-17.637104378699899</v>
      </c>
      <c r="F3445" t="str">
        <f>HYPERLINK("D:\Data From Lucan\2024\Moresby\Frames_for_Analysis/3442_20240611_0010_R_0385.jpg","3442_20240611_0010_R_0385.jpg")</f>
        <v>3442_20240611_0010_R_0385.jpg</v>
      </c>
      <c r="G3445" s="92" t="s">
        <v>5019</v>
      </c>
      <c r="I3445">
        <v>3</v>
      </c>
      <c r="K3445" s="57">
        <v>1</v>
      </c>
      <c r="L3445" t="s">
        <v>3959</v>
      </c>
      <c r="M3445" t="s">
        <v>3959</v>
      </c>
      <c r="N3445" t="s">
        <v>3959</v>
      </c>
      <c r="O3445" t="s">
        <v>3959</v>
      </c>
      <c r="P3445" s="57">
        <v>1</v>
      </c>
      <c r="Q3445" s="57">
        <v>0</v>
      </c>
      <c r="R3445" s="57">
        <v>0</v>
      </c>
      <c r="S3445" s="57">
        <v>0</v>
      </c>
      <c r="T3445" s="57">
        <v>0</v>
      </c>
      <c r="U3445" s="57">
        <v>0</v>
      </c>
      <c r="V3445" s="57">
        <v>0</v>
      </c>
      <c r="W3445" s="57">
        <v>0</v>
      </c>
      <c r="X3445" s="57">
        <v>0</v>
      </c>
    </row>
    <row r="3446" spans="1:24" hidden="1" x14ac:dyDescent="0.35">
      <c r="A3446">
        <v>3442</v>
      </c>
      <c r="B3446">
        <v>3443</v>
      </c>
      <c r="C3446">
        <v>146.08956924699899</v>
      </c>
      <c r="D3446">
        <v>-17.637183018399899</v>
      </c>
      <c r="F3446" t="str">
        <f>HYPERLINK("D:\Data From Lucan\2024\Moresby\Frames_for_Analysis/3443_20240611_0010_R_0382.jpg","3443_20240611_0010_R_0382.jpg")</f>
        <v>3443_20240611_0010_R_0382.jpg</v>
      </c>
      <c r="G3446" s="92" t="s">
        <v>5020</v>
      </c>
      <c r="I3446">
        <v>3</v>
      </c>
      <c r="K3446" s="57">
        <v>1</v>
      </c>
      <c r="L3446" t="s">
        <v>3959</v>
      </c>
      <c r="M3446" t="s">
        <v>3959</v>
      </c>
      <c r="N3446" t="s">
        <v>3959</v>
      </c>
      <c r="O3446" t="s">
        <v>3959</v>
      </c>
      <c r="P3446" s="57">
        <v>1</v>
      </c>
      <c r="Q3446" s="57">
        <v>0</v>
      </c>
      <c r="R3446" s="57">
        <v>0</v>
      </c>
      <c r="S3446" s="57">
        <v>0</v>
      </c>
      <c r="T3446" s="57">
        <v>0</v>
      </c>
      <c r="U3446" s="57">
        <v>0</v>
      </c>
      <c r="V3446" s="57">
        <v>0</v>
      </c>
      <c r="W3446" s="57">
        <v>0</v>
      </c>
      <c r="X3446" s="57">
        <v>0</v>
      </c>
    </row>
    <row r="3447" spans="1:24" hidden="1" x14ac:dyDescent="0.35">
      <c r="A3447">
        <v>3443</v>
      </c>
      <c r="B3447">
        <v>3444</v>
      </c>
      <c r="C3447">
        <v>146.08960474899899</v>
      </c>
      <c r="D3447">
        <v>-17.637261658</v>
      </c>
      <c r="F3447" t="str">
        <f>HYPERLINK("D:\Data From Lucan\2024\Moresby\Frames_for_Analysis/3444_20240611_0010_R_0380.jpg","3444_20240611_0010_R_0380.jpg")</f>
        <v>3444_20240611_0010_R_0380.jpg</v>
      </c>
      <c r="G3447" s="92" t="s">
        <v>5021</v>
      </c>
      <c r="I3447">
        <v>3</v>
      </c>
      <c r="K3447" s="57">
        <v>1</v>
      </c>
      <c r="L3447" t="s">
        <v>3959</v>
      </c>
      <c r="M3447" t="s">
        <v>3959</v>
      </c>
      <c r="N3447" t="s">
        <v>3959</v>
      </c>
      <c r="O3447" t="s">
        <v>3959</v>
      </c>
      <c r="P3447" s="57">
        <v>1</v>
      </c>
      <c r="Q3447" s="57">
        <v>0</v>
      </c>
      <c r="R3447" s="57">
        <v>0</v>
      </c>
      <c r="S3447" s="57">
        <v>0</v>
      </c>
      <c r="T3447" s="57">
        <v>0</v>
      </c>
      <c r="U3447" s="57">
        <v>0</v>
      </c>
      <c r="V3447" s="57">
        <v>0</v>
      </c>
      <c r="W3447" s="57">
        <v>0</v>
      </c>
      <c r="X3447" s="57">
        <v>0</v>
      </c>
    </row>
    <row r="3448" spans="1:24" hidden="1" x14ac:dyDescent="0.35">
      <c r="A3448">
        <v>3444</v>
      </c>
      <c r="B3448">
        <v>3445</v>
      </c>
      <c r="C3448">
        <v>146.08964025200001</v>
      </c>
      <c r="D3448">
        <v>-17.637340297600002</v>
      </c>
      <c r="F3448" t="str">
        <f>HYPERLINK("D:\Data From Lucan\2024\Moresby\Frames_for_Analysis/3445_20240611_0010_R_0377.jpg","3445_20240611_0010_R_0377.jpg")</f>
        <v>3445_20240611_0010_R_0377.jpg</v>
      </c>
      <c r="G3448" s="92" t="s">
        <v>5022</v>
      </c>
      <c r="I3448">
        <v>3</v>
      </c>
      <c r="K3448" s="57">
        <v>1</v>
      </c>
      <c r="L3448" t="s">
        <v>3959</v>
      </c>
      <c r="M3448" t="s">
        <v>3959</v>
      </c>
      <c r="N3448" t="s">
        <v>3959</v>
      </c>
      <c r="O3448" t="s">
        <v>3959</v>
      </c>
      <c r="P3448" s="57">
        <v>1</v>
      </c>
      <c r="Q3448" s="57">
        <v>0</v>
      </c>
      <c r="R3448" s="57">
        <v>0</v>
      </c>
      <c r="S3448" s="57">
        <v>0</v>
      </c>
      <c r="T3448" s="57">
        <v>0</v>
      </c>
      <c r="U3448" s="57">
        <v>0</v>
      </c>
      <c r="V3448" s="57">
        <v>0</v>
      </c>
      <c r="W3448" s="57">
        <v>0</v>
      </c>
      <c r="X3448" s="57">
        <v>0</v>
      </c>
    </row>
    <row r="3449" spans="1:24" hidden="1" x14ac:dyDescent="0.35">
      <c r="A3449">
        <v>3445</v>
      </c>
      <c r="B3449">
        <v>3446</v>
      </c>
      <c r="C3449">
        <v>146.08967575400001</v>
      </c>
      <c r="D3449">
        <v>-17.6374189372</v>
      </c>
      <c r="F3449" t="str">
        <f>HYPERLINK("D:\Data From Lucan\2024\Moresby\Frames_for_Analysis/3446_20240611_0010_R_0375.jpg","3446_20240611_0010_R_0375.jpg")</f>
        <v>3446_20240611_0010_R_0375.jpg</v>
      </c>
      <c r="G3449" s="92" t="s">
        <v>5023</v>
      </c>
      <c r="I3449">
        <v>3</v>
      </c>
      <c r="K3449" s="57">
        <v>1</v>
      </c>
      <c r="L3449" t="s">
        <v>3959</v>
      </c>
      <c r="M3449" t="s">
        <v>3959</v>
      </c>
      <c r="N3449" t="s">
        <v>3959</v>
      </c>
      <c r="O3449" t="s">
        <v>3959</v>
      </c>
      <c r="P3449" s="57">
        <v>1</v>
      </c>
      <c r="Q3449" s="57">
        <v>0</v>
      </c>
      <c r="R3449" s="57">
        <v>0</v>
      </c>
      <c r="S3449" s="57">
        <v>0</v>
      </c>
      <c r="T3449" s="57">
        <v>0</v>
      </c>
      <c r="U3449" s="57">
        <v>0</v>
      </c>
      <c r="V3449" s="57">
        <v>0</v>
      </c>
      <c r="W3449" s="57">
        <v>0</v>
      </c>
      <c r="X3449" s="57">
        <v>0</v>
      </c>
    </row>
    <row r="3450" spans="1:24" hidden="1" x14ac:dyDescent="0.35">
      <c r="A3450">
        <v>3446</v>
      </c>
      <c r="B3450">
        <v>3447</v>
      </c>
      <c r="C3450">
        <v>146.08971125599899</v>
      </c>
      <c r="D3450">
        <v>-17.6374975767</v>
      </c>
      <c r="F3450" t="str">
        <f>HYPERLINK("D:\Data From Lucan\2024\Moresby\Frames_for_Analysis/3447_20240611_0010_R_0372.jpg","3447_20240611_0010_R_0372.jpg")</f>
        <v>3447_20240611_0010_R_0372.jpg</v>
      </c>
      <c r="G3450" s="92" t="s">
        <v>5024</v>
      </c>
      <c r="I3450">
        <v>3</v>
      </c>
      <c r="K3450" s="57">
        <v>1</v>
      </c>
      <c r="L3450" t="s">
        <v>3959</v>
      </c>
      <c r="M3450" t="s">
        <v>3959</v>
      </c>
      <c r="N3450" t="s">
        <v>3959</v>
      </c>
      <c r="O3450" t="s">
        <v>3959</v>
      </c>
      <c r="P3450" s="57">
        <v>1</v>
      </c>
      <c r="Q3450" s="57">
        <v>0</v>
      </c>
      <c r="R3450" s="57">
        <v>0</v>
      </c>
      <c r="S3450" s="57">
        <v>0</v>
      </c>
      <c r="T3450" s="57">
        <v>0</v>
      </c>
      <c r="U3450" s="57">
        <v>0</v>
      </c>
      <c r="V3450" s="57">
        <v>0</v>
      </c>
      <c r="W3450" s="57">
        <v>0</v>
      </c>
      <c r="X3450" s="57">
        <v>0</v>
      </c>
    </row>
    <row r="3451" spans="1:24" hidden="1" x14ac:dyDescent="0.35">
      <c r="A3451">
        <v>3447</v>
      </c>
      <c r="B3451">
        <v>3448</v>
      </c>
      <c r="C3451">
        <v>146.08974525299899</v>
      </c>
      <c r="D3451">
        <v>-17.637576674599899</v>
      </c>
      <c r="F3451" t="str">
        <f>HYPERLINK("D:\Data From Lucan\2024\Moresby\Frames_for_Analysis/3448_20240611_0010_R_0370.jpg","3448_20240611_0010_R_0370.jpg")</f>
        <v>3448_20240611_0010_R_0370.jpg</v>
      </c>
      <c r="G3451" s="92" t="s">
        <v>5025</v>
      </c>
      <c r="I3451">
        <v>3</v>
      </c>
      <c r="K3451" s="57">
        <v>1</v>
      </c>
      <c r="L3451" t="s">
        <v>3959</v>
      </c>
      <c r="M3451" t="s">
        <v>3959</v>
      </c>
      <c r="N3451" t="s">
        <v>3959</v>
      </c>
      <c r="O3451" t="s">
        <v>3959</v>
      </c>
      <c r="P3451" s="57">
        <v>1</v>
      </c>
      <c r="Q3451" s="57">
        <v>0</v>
      </c>
      <c r="R3451" s="57">
        <v>0</v>
      </c>
      <c r="S3451" s="57">
        <v>0</v>
      </c>
      <c r="T3451" s="57">
        <v>0</v>
      </c>
      <c r="U3451" s="57">
        <v>0</v>
      </c>
      <c r="V3451" s="57">
        <v>0</v>
      </c>
      <c r="W3451" s="57">
        <v>0</v>
      </c>
      <c r="X3451" s="57">
        <v>0</v>
      </c>
    </row>
    <row r="3452" spans="1:24" hidden="1" x14ac:dyDescent="0.35">
      <c r="A3452">
        <v>3448</v>
      </c>
      <c r="B3452">
        <v>3449</v>
      </c>
      <c r="C3452">
        <v>146.089764207</v>
      </c>
      <c r="D3452">
        <v>-17.637660356000001</v>
      </c>
      <c r="F3452" t="str">
        <f>HYPERLINK("D:\Data From Lucan\2024\Moresby\Frames_for_Analysis/3449_20240611_0010_R_0367.jpg","3449_20240611_0010_R_0367.jpg")</f>
        <v>3449_20240611_0010_R_0367.jpg</v>
      </c>
      <c r="G3452" s="92" t="s">
        <v>5026</v>
      </c>
      <c r="I3452">
        <v>3</v>
      </c>
      <c r="K3452" s="57">
        <v>1</v>
      </c>
      <c r="L3452" t="s">
        <v>3959</v>
      </c>
      <c r="M3452" t="s">
        <v>3959</v>
      </c>
      <c r="N3452" t="s">
        <v>3959</v>
      </c>
      <c r="O3452" t="s">
        <v>3959</v>
      </c>
      <c r="P3452" s="57">
        <v>1</v>
      </c>
      <c r="Q3452" s="57">
        <v>0</v>
      </c>
      <c r="R3452" s="57">
        <v>0</v>
      </c>
      <c r="S3452" s="57">
        <v>0</v>
      </c>
      <c r="T3452" s="57">
        <v>0</v>
      </c>
      <c r="U3452" s="57">
        <v>0</v>
      </c>
      <c r="V3452" s="57">
        <v>0</v>
      </c>
      <c r="W3452" s="57">
        <v>0</v>
      </c>
      <c r="X3452" s="57">
        <v>0</v>
      </c>
    </row>
    <row r="3453" spans="1:24" hidden="1" x14ac:dyDescent="0.35">
      <c r="A3453">
        <v>3449</v>
      </c>
      <c r="B3453">
        <v>3450</v>
      </c>
      <c r="C3453">
        <v>146.08978316100001</v>
      </c>
      <c r="D3453">
        <v>-17.637744037400001</v>
      </c>
      <c r="F3453" t="str">
        <f>HYPERLINK("D:\Data From Lucan\2024\Moresby\Frames_for_Analysis/3450_20240611_0010_R_0365.jpg","3450_20240611_0010_R_0365.jpg")</f>
        <v>3450_20240611_0010_R_0365.jpg</v>
      </c>
      <c r="G3453" s="92" t="s">
        <v>5027</v>
      </c>
      <c r="I3453">
        <v>3</v>
      </c>
      <c r="K3453" s="57">
        <v>1</v>
      </c>
      <c r="L3453" t="s">
        <v>3959</v>
      </c>
      <c r="M3453" t="s">
        <v>3959</v>
      </c>
      <c r="N3453" t="s">
        <v>3959</v>
      </c>
      <c r="O3453" t="s">
        <v>3959</v>
      </c>
      <c r="P3453" s="57">
        <v>1</v>
      </c>
      <c r="Q3453" s="57">
        <v>0</v>
      </c>
      <c r="R3453" s="57">
        <v>0</v>
      </c>
      <c r="S3453" s="57">
        <v>0</v>
      </c>
      <c r="T3453" s="57">
        <v>0</v>
      </c>
      <c r="U3453" s="57">
        <v>0</v>
      </c>
      <c r="V3453" s="57">
        <v>0</v>
      </c>
      <c r="W3453" s="57">
        <v>0</v>
      </c>
      <c r="X3453" s="57">
        <v>0</v>
      </c>
    </row>
    <row r="3454" spans="1:24" hidden="1" x14ac:dyDescent="0.35">
      <c r="A3454">
        <v>3450</v>
      </c>
      <c r="B3454">
        <v>3451</v>
      </c>
      <c r="C3454">
        <v>146.08980211599899</v>
      </c>
      <c r="D3454">
        <v>-17.637827718699899</v>
      </c>
      <c r="F3454" t="str">
        <f>HYPERLINK("D:\Data From Lucan\2024\Moresby\Frames_for_Analysis/3451_20240611_0010_R_0362.jpg","3451_20240611_0010_R_0362.jpg")</f>
        <v>3451_20240611_0010_R_0362.jpg</v>
      </c>
      <c r="G3454" s="92" t="s">
        <v>5028</v>
      </c>
      <c r="I3454">
        <v>3</v>
      </c>
      <c r="K3454" s="57">
        <v>1</v>
      </c>
      <c r="L3454" t="s">
        <v>3959</v>
      </c>
      <c r="M3454" t="s">
        <v>3959</v>
      </c>
      <c r="N3454" t="s">
        <v>3959</v>
      </c>
      <c r="O3454" t="s">
        <v>3959</v>
      </c>
      <c r="P3454" s="57">
        <v>1</v>
      </c>
      <c r="Q3454" s="57">
        <v>0</v>
      </c>
      <c r="R3454" s="57">
        <v>0</v>
      </c>
      <c r="S3454" s="57">
        <v>0</v>
      </c>
      <c r="T3454" s="57">
        <v>0</v>
      </c>
      <c r="U3454" s="57">
        <v>0</v>
      </c>
      <c r="V3454" s="57">
        <v>0</v>
      </c>
      <c r="W3454" s="57">
        <v>0</v>
      </c>
      <c r="X3454" s="57">
        <v>0</v>
      </c>
    </row>
    <row r="3455" spans="1:24" hidden="1" x14ac:dyDescent="0.35">
      <c r="A3455">
        <v>3451</v>
      </c>
      <c r="B3455">
        <v>3452</v>
      </c>
      <c r="C3455">
        <v>146.089821069999</v>
      </c>
      <c r="D3455">
        <v>-17.6379114</v>
      </c>
      <c r="F3455" t="str">
        <f>HYPERLINK("D:\Data From Lucan\2024\Moresby\Frames_for_Analysis/3452_20240611_0010_R_0360.jpg","3452_20240611_0010_R_0360.jpg")</f>
        <v>3452_20240611_0010_R_0360.jpg</v>
      </c>
      <c r="G3455" s="92" t="s">
        <v>5029</v>
      </c>
      <c r="I3455">
        <v>3</v>
      </c>
      <c r="K3455" s="57">
        <v>1</v>
      </c>
      <c r="L3455" t="s">
        <v>3959</v>
      </c>
      <c r="M3455" t="s">
        <v>3959</v>
      </c>
      <c r="N3455" t="s">
        <v>3959</v>
      </c>
      <c r="O3455" t="s">
        <v>3959</v>
      </c>
      <c r="P3455" s="57">
        <v>1</v>
      </c>
      <c r="Q3455" s="57">
        <v>0</v>
      </c>
      <c r="R3455" s="57">
        <v>0</v>
      </c>
      <c r="S3455" s="57">
        <v>0</v>
      </c>
      <c r="T3455" s="57">
        <v>0</v>
      </c>
      <c r="U3455" s="57">
        <v>0</v>
      </c>
      <c r="V3455" s="57">
        <v>0</v>
      </c>
      <c r="W3455" s="57">
        <v>0</v>
      </c>
      <c r="X3455" s="57">
        <v>0</v>
      </c>
    </row>
    <row r="3456" spans="1:24" hidden="1" x14ac:dyDescent="0.35">
      <c r="A3456">
        <v>3452</v>
      </c>
      <c r="B3456">
        <v>3453</v>
      </c>
      <c r="C3456">
        <v>146.08983287000001</v>
      </c>
      <c r="D3456">
        <v>-17.637995976100001</v>
      </c>
      <c r="F3456" t="str">
        <f>HYPERLINK("D:\Data From Lucan\2024\Moresby\Frames_for_Analysis/3453_20240611_0010_R_0357.jpg","3453_20240611_0010_R_0357.jpg")</f>
        <v>3453_20240611_0010_R_0357.jpg</v>
      </c>
      <c r="G3456" s="92" t="s">
        <v>5030</v>
      </c>
      <c r="I3456">
        <v>3</v>
      </c>
      <c r="K3456" s="57">
        <v>1</v>
      </c>
      <c r="L3456" t="s">
        <v>3959</v>
      </c>
      <c r="M3456" t="s">
        <v>3959</v>
      </c>
      <c r="N3456" t="s">
        <v>3959</v>
      </c>
      <c r="O3456" t="s">
        <v>3959</v>
      </c>
      <c r="P3456" s="57">
        <v>1</v>
      </c>
      <c r="Q3456" s="57">
        <v>0</v>
      </c>
      <c r="R3456" s="57">
        <v>0</v>
      </c>
      <c r="S3456" s="57">
        <v>0</v>
      </c>
      <c r="T3456" s="57">
        <v>0</v>
      </c>
      <c r="U3456" s="57">
        <v>0</v>
      </c>
      <c r="V3456" s="57">
        <v>0</v>
      </c>
      <c r="W3456" s="57">
        <v>0</v>
      </c>
      <c r="X3456" s="57">
        <v>0</v>
      </c>
    </row>
    <row r="3457" spans="1:24" hidden="1" x14ac:dyDescent="0.35">
      <c r="A3457">
        <v>3453</v>
      </c>
      <c r="B3457">
        <v>3454</v>
      </c>
      <c r="C3457">
        <v>146.089837216999</v>
      </c>
      <c r="D3457">
        <v>-17.638081484299899</v>
      </c>
      <c r="F3457" t="str">
        <f>HYPERLINK("D:\Data From Lucan\2024\Moresby\Frames_for_Analysis/3454_20240611_0010_R_0355.jpg","3454_20240611_0010_R_0355.jpg")</f>
        <v>3454_20240611_0010_R_0355.jpg</v>
      </c>
      <c r="G3457" s="92" t="s">
        <v>5031</v>
      </c>
      <c r="I3457">
        <v>3</v>
      </c>
      <c r="K3457" s="57">
        <v>1</v>
      </c>
      <c r="L3457" t="s">
        <v>3959</v>
      </c>
      <c r="M3457" t="s">
        <v>3959</v>
      </c>
      <c r="N3457" t="s">
        <v>3959</v>
      </c>
      <c r="O3457" t="s">
        <v>3959</v>
      </c>
      <c r="P3457" s="57">
        <v>1</v>
      </c>
      <c r="Q3457" s="57">
        <v>0</v>
      </c>
      <c r="R3457" s="57">
        <v>0</v>
      </c>
      <c r="S3457" s="57">
        <v>0</v>
      </c>
      <c r="T3457" s="57">
        <v>0</v>
      </c>
      <c r="U3457" s="57">
        <v>0</v>
      </c>
      <c r="V3457" s="57">
        <v>0</v>
      </c>
      <c r="W3457" s="57">
        <v>0</v>
      </c>
      <c r="X3457" s="57">
        <v>0</v>
      </c>
    </row>
    <row r="3458" spans="1:24" hidden="1" x14ac:dyDescent="0.35">
      <c r="A3458">
        <v>3454</v>
      </c>
      <c r="B3458">
        <v>3455</v>
      </c>
      <c r="C3458">
        <v>146.08984156400001</v>
      </c>
      <c r="D3458">
        <v>-17.6381669925</v>
      </c>
      <c r="F3458" t="str">
        <f>HYPERLINK("D:\Data From Lucan\2024\Moresby\Frames_for_Analysis/3455_20240611_0010_R_0352.jpg","3455_20240611_0010_R_0352.jpg")</f>
        <v>3455_20240611_0010_R_0352.jpg</v>
      </c>
      <c r="G3458" s="92" t="s">
        <v>5032</v>
      </c>
      <c r="I3458">
        <v>3</v>
      </c>
      <c r="K3458" s="57">
        <v>1</v>
      </c>
      <c r="L3458" t="s">
        <v>3959</v>
      </c>
      <c r="M3458" t="s">
        <v>3959</v>
      </c>
      <c r="N3458" t="s">
        <v>3959</v>
      </c>
      <c r="O3458" t="s">
        <v>3959</v>
      </c>
      <c r="P3458" s="57">
        <v>1</v>
      </c>
      <c r="Q3458" s="57">
        <v>0</v>
      </c>
      <c r="R3458" s="57">
        <v>0</v>
      </c>
      <c r="S3458" s="57">
        <v>0</v>
      </c>
      <c r="T3458" s="57">
        <v>0</v>
      </c>
      <c r="U3458" s="57">
        <v>0</v>
      </c>
      <c r="V3458" s="57">
        <v>0</v>
      </c>
      <c r="W3458" s="57">
        <v>0</v>
      </c>
      <c r="X3458" s="57">
        <v>0</v>
      </c>
    </row>
    <row r="3459" spans="1:24" hidden="1" x14ac:dyDescent="0.35">
      <c r="A3459">
        <v>3455</v>
      </c>
      <c r="B3459">
        <v>3456</v>
      </c>
      <c r="C3459">
        <v>146.089845910999</v>
      </c>
      <c r="D3459">
        <v>-17.638252500699899</v>
      </c>
      <c r="F3459" t="str">
        <f>HYPERLINK("D:\Data From Lucan\2024\Moresby\Frames_for_Analysis/3456_20240611_0010_R_0349.jpg","3456_20240611_0010_R_0349.jpg")</f>
        <v>3456_20240611_0010_R_0349.jpg</v>
      </c>
      <c r="G3459" s="92" t="s">
        <v>5033</v>
      </c>
      <c r="I3459">
        <v>3</v>
      </c>
      <c r="K3459" s="57">
        <v>1</v>
      </c>
      <c r="L3459" t="s">
        <v>3959</v>
      </c>
      <c r="M3459" t="s">
        <v>3959</v>
      </c>
      <c r="N3459" t="s">
        <v>3959</v>
      </c>
      <c r="O3459" t="s">
        <v>3959</v>
      </c>
      <c r="P3459" s="57">
        <v>1</v>
      </c>
      <c r="Q3459" s="57">
        <v>0</v>
      </c>
      <c r="R3459" s="57">
        <v>0</v>
      </c>
      <c r="S3459" s="57">
        <v>0</v>
      </c>
      <c r="T3459" s="57">
        <v>0</v>
      </c>
      <c r="U3459" s="57">
        <v>0</v>
      </c>
      <c r="V3459" s="57">
        <v>0</v>
      </c>
      <c r="W3459" s="57">
        <v>0</v>
      </c>
      <c r="X3459" s="57">
        <v>0</v>
      </c>
    </row>
    <row r="3460" spans="1:24" hidden="1" x14ac:dyDescent="0.35">
      <c r="A3460">
        <v>3456</v>
      </c>
      <c r="B3460">
        <v>3457</v>
      </c>
      <c r="C3460">
        <v>146.08985025800001</v>
      </c>
      <c r="D3460">
        <v>-17.638338008800002</v>
      </c>
      <c r="F3460" t="str">
        <f>HYPERLINK("D:\Data From Lucan\2024\Moresby\Frames_for_Analysis/3457_20240611_0010_R_0347.jpg","3457_20240611_0010_R_0347.jpg")</f>
        <v>3457_20240611_0010_R_0347.jpg</v>
      </c>
      <c r="G3460" s="92" t="s">
        <v>5034</v>
      </c>
      <c r="I3460">
        <v>3</v>
      </c>
      <c r="K3460" s="57">
        <v>1</v>
      </c>
      <c r="L3460" t="s">
        <v>3959</v>
      </c>
      <c r="M3460" t="s">
        <v>3959</v>
      </c>
      <c r="N3460" t="s">
        <v>3959</v>
      </c>
      <c r="O3460" t="s">
        <v>3959</v>
      </c>
      <c r="P3460" s="57">
        <v>1</v>
      </c>
      <c r="Q3460" s="57">
        <v>0</v>
      </c>
      <c r="R3460" s="57">
        <v>0</v>
      </c>
      <c r="S3460" s="57">
        <v>0</v>
      </c>
      <c r="T3460" s="57">
        <v>0</v>
      </c>
      <c r="U3460" s="57">
        <v>0</v>
      </c>
      <c r="V3460" s="57">
        <v>0</v>
      </c>
      <c r="W3460" s="57">
        <v>0</v>
      </c>
      <c r="X3460" s="57">
        <v>0</v>
      </c>
    </row>
    <row r="3461" spans="1:24" hidden="1" x14ac:dyDescent="0.35">
      <c r="A3461">
        <v>3457</v>
      </c>
      <c r="B3461">
        <v>3458</v>
      </c>
      <c r="C3461">
        <v>146.089854604999</v>
      </c>
      <c r="D3461">
        <v>-17.6384235168</v>
      </c>
      <c r="F3461" t="str">
        <f>HYPERLINK("D:\Data From Lucan\2024\Moresby\Frames_for_Analysis/3458_20240611_0010_R_0344.jpg","3458_20240611_0010_R_0344.jpg")</f>
        <v>3458_20240611_0010_R_0344.jpg</v>
      </c>
      <c r="G3461" s="92" t="s">
        <v>5035</v>
      </c>
      <c r="I3461">
        <v>3</v>
      </c>
      <c r="K3461" s="57">
        <v>1</v>
      </c>
      <c r="L3461" t="s">
        <v>3959</v>
      </c>
      <c r="M3461" t="s">
        <v>3959</v>
      </c>
      <c r="N3461" t="s">
        <v>3959</v>
      </c>
      <c r="O3461" t="s">
        <v>3959</v>
      </c>
      <c r="P3461" s="57">
        <v>1</v>
      </c>
      <c r="Q3461" s="57">
        <v>0</v>
      </c>
      <c r="R3461" s="57">
        <v>0</v>
      </c>
      <c r="S3461" s="57">
        <v>0</v>
      </c>
      <c r="T3461" s="57">
        <v>0</v>
      </c>
      <c r="U3461" s="57">
        <v>0</v>
      </c>
      <c r="V3461" s="57">
        <v>0</v>
      </c>
      <c r="W3461" s="57">
        <v>0</v>
      </c>
      <c r="X3461" s="57">
        <v>0</v>
      </c>
    </row>
    <row r="3462" spans="1:24" hidden="1" x14ac:dyDescent="0.35">
      <c r="A3462">
        <v>3458</v>
      </c>
      <c r="B3462">
        <v>3459</v>
      </c>
      <c r="C3462">
        <v>146.08985895199899</v>
      </c>
      <c r="D3462">
        <v>-17.6385090248999</v>
      </c>
      <c r="F3462" t="str">
        <f>HYPERLINK("D:\Data From Lucan\2024\Moresby\Frames_for_Analysis/3459_20240611_0010_R_0341.jpg","3459_20240611_0010_R_0341.jpg")</f>
        <v>3459_20240611_0010_R_0341.jpg</v>
      </c>
      <c r="G3462" s="92" t="s">
        <v>5036</v>
      </c>
      <c r="I3462">
        <v>3</v>
      </c>
      <c r="K3462" s="57">
        <v>1</v>
      </c>
      <c r="L3462" t="s">
        <v>3959</v>
      </c>
      <c r="M3462" t="s">
        <v>3959</v>
      </c>
      <c r="N3462" t="s">
        <v>3959</v>
      </c>
      <c r="O3462" t="s">
        <v>3959</v>
      </c>
      <c r="P3462" s="57">
        <v>1</v>
      </c>
      <c r="Q3462" s="57">
        <v>0</v>
      </c>
      <c r="R3462" s="57">
        <v>0</v>
      </c>
      <c r="S3462" s="57">
        <v>0</v>
      </c>
      <c r="T3462" s="57">
        <v>0</v>
      </c>
      <c r="U3462" s="57">
        <v>0</v>
      </c>
      <c r="V3462" s="57">
        <v>0</v>
      </c>
      <c r="W3462" s="57">
        <v>0</v>
      </c>
      <c r="X3462" s="57">
        <v>0</v>
      </c>
    </row>
    <row r="3463" spans="1:24" hidden="1" x14ac:dyDescent="0.35">
      <c r="A3463">
        <v>3459</v>
      </c>
      <c r="B3463">
        <v>3460</v>
      </c>
      <c r="C3463">
        <v>146.08986325800001</v>
      </c>
      <c r="D3463">
        <v>-17.638594534700001</v>
      </c>
      <c r="F3463" t="str">
        <f>HYPERLINK("D:\Data From Lucan\2024\Moresby\Frames_for_Analysis/3460_20240611_0010_R_0338.jpg","3460_20240611_0010_R_0338.jpg")</f>
        <v>3460_20240611_0010_R_0338.jpg</v>
      </c>
      <c r="G3463" s="92" t="s">
        <v>5037</v>
      </c>
      <c r="I3463">
        <v>3</v>
      </c>
      <c r="K3463" s="57">
        <v>1</v>
      </c>
      <c r="L3463" t="s">
        <v>3959</v>
      </c>
      <c r="M3463" t="s">
        <v>3959</v>
      </c>
      <c r="N3463" t="s">
        <v>3959</v>
      </c>
      <c r="O3463" t="s">
        <v>3959</v>
      </c>
      <c r="P3463" s="57">
        <v>1</v>
      </c>
      <c r="Q3463" s="57">
        <v>0</v>
      </c>
      <c r="R3463" s="57">
        <v>0</v>
      </c>
      <c r="S3463" s="57">
        <v>0</v>
      </c>
      <c r="T3463" s="57">
        <v>0</v>
      </c>
      <c r="U3463" s="57">
        <v>0</v>
      </c>
      <c r="V3463" s="57">
        <v>0</v>
      </c>
      <c r="W3463" s="57">
        <v>0</v>
      </c>
      <c r="X3463" s="57">
        <v>0</v>
      </c>
    </row>
    <row r="3464" spans="1:24" hidden="1" x14ac:dyDescent="0.35">
      <c r="A3464">
        <v>3460</v>
      </c>
      <c r="B3464">
        <v>3461</v>
      </c>
      <c r="C3464">
        <v>146.089867521999</v>
      </c>
      <c r="D3464">
        <v>-17.6386800464999</v>
      </c>
      <c r="F3464" t="str">
        <f>HYPERLINK("D:\Data From Lucan\2024\Moresby\Frames_for_Analysis/3461_20240611_0010_R_0335.jpg","3461_20240611_0010_R_0335.jpg")</f>
        <v>3461_20240611_0010_R_0335.jpg</v>
      </c>
      <c r="G3464" s="92" t="s">
        <v>5038</v>
      </c>
      <c r="I3464">
        <v>3</v>
      </c>
      <c r="K3464" s="57">
        <v>1</v>
      </c>
      <c r="L3464" t="s">
        <v>3959</v>
      </c>
      <c r="M3464" t="s">
        <v>3959</v>
      </c>
      <c r="N3464" t="s">
        <v>3959</v>
      </c>
      <c r="O3464" t="s">
        <v>3959</v>
      </c>
      <c r="P3464" s="57">
        <v>1</v>
      </c>
      <c r="Q3464" s="57">
        <v>0</v>
      </c>
      <c r="R3464" s="57">
        <v>0</v>
      </c>
      <c r="S3464" s="57">
        <v>0</v>
      </c>
      <c r="T3464" s="57">
        <v>0</v>
      </c>
      <c r="U3464" s="57">
        <v>0</v>
      </c>
      <c r="V3464" s="57">
        <v>0</v>
      </c>
      <c r="W3464" s="57">
        <v>0</v>
      </c>
      <c r="X3464" s="57">
        <v>0</v>
      </c>
    </row>
    <row r="3465" spans="1:24" hidden="1" x14ac:dyDescent="0.35">
      <c r="A3465">
        <v>3461</v>
      </c>
      <c r="B3465">
        <v>3462</v>
      </c>
      <c r="C3465">
        <v>146.089871786</v>
      </c>
      <c r="D3465">
        <v>-17.6387655581999</v>
      </c>
      <c r="F3465" t="str">
        <f>HYPERLINK("D:\Data From Lucan\2024\Moresby\Frames_for_Analysis/3462_20240611_0010_R_0332.jpg","3462_20240611_0010_R_0332.jpg")</f>
        <v>3462_20240611_0010_R_0332.jpg</v>
      </c>
      <c r="G3465" s="92" t="s">
        <v>5039</v>
      </c>
      <c r="I3465">
        <v>3</v>
      </c>
      <c r="K3465" s="57">
        <v>1</v>
      </c>
      <c r="L3465" t="s">
        <v>3959</v>
      </c>
      <c r="M3465" t="s">
        <v>3959</v>
      </c>
      <c r="N3465" t="s">
        <v>3959</v>
      </c>
      <c r="O3465" t="s">
        <v>3959</v>
      </c>
      <c r="P3465" s="57">
        <v>1</v>
      </c>
      <c r="Q3465" s="57">
        <v>0</v>
      </c>
      <c r="R3465" s="57">
        <v>0</v>
      </c>
      <c r="S3465" s="57">
        <v>0</v>
      </c>
      <c r="T3465" s="57">
        <v>0</v>
      </c>
      <c r="U3465" s="57">
        <v>0</v>
      </c>
      <c r="V3465" s="57">
        <v>0</v>
      </c>
      <c r="W3465" s="57">
        <v>0</v>
      </c>
      <c r="X3465" s="57">
        <v>0</v>
      </c>
    </row>
    <row r="3466" spans="1:24" hidden="1" x14ac:dyDescent="0.35">
      <c r="A3466">
        <v>3462</v>
      </c>
      <c r="B3466">
        <v>3463</v>
      </c>
      <c r="C3466">
        <v>146.089876048999</v>
      </c>
      <c r="D3466">
        <v>-17.6388510698999</v>
      </c>
      <c r="F3466" t="str">
        <f>HYPERLINK("D:\Data From Lucan\2024\Moresby\Frames_for_Analysis/3463_20240611_0010_R_0330.jpg","3463_20240611_0010_R_0330.jpg")</f>
        <v>3463_20240611_0010_R_0330.jpg</v>
      </c>
      <c r="G3466" s="92" t="s">
        <v>5040</v>
      </c>
      <c r="I3466">
        <v>3</v>
      </c>
      <c r="K3466" s="57">
        <v>1</v>
      </c>
      <c r="L3466" t="s">
        <v>3959</v>
      </c>
      <c r="M3466" t="s">
        <v>3959</v>
      </c>
      <c r="N3466" t="s">
        <v>3959</v>
      </c>
      <c r="O3466" t="s">
        <v>3959</v>
      </c>
      <c r="P3466" s="57">
        <v>1</v>
      </c>
      <c r="Q3466" s="57">
        <v>0</v>
      </c>
      <c r="R3466" s="57">
        <v>0</v>
      </c>
      <c r="S3466" s="57">
        <v>0</v>
      </c>
      <c r="T3466" s="57">
        <v>0</v>
      </c>
      <c r="U3466" s="57">
        <v>0</v>
      </c>
      <c r="V3466" s="57">
        <v>0</v>
      </c>
      <c r="W3466" s="57">
        <v>0</v>
      </c>
      <c r="X3466" s="57">
        <v>0</v>
      </c>
    </row>
    <row r="3467" spans="1:24" hidden="1" x14ac:dyDescent="0.35">
      <c r="A3467">
        <v>3463</v>
      </c>
      <c r="B3467">
        <v>3464</v>
      </c>
      <c r="C3467">
        <v>146.08988031300001</v>
      </c>
      <c r="D3467">
        <v>-17.638936581500001</v>
      </c>
      <c r="F3467" t="str">
        <f>HYPERLINK("D:\Data From Lucan\2024\Moresby\Frames_for_Analysis/3464_20240611_0010_R_0327.jpg","3464_20240611_0010_R_0327.jpg")</f>
        <v>3464_20240611_0010_R_0327.jpg</v>
      </c>
      <c r="G3467" s="92" t="s">
        <v>5041</v>
      </c>
      <c r="I3467">
        <v>3</v>
      </c>
      <c r="K3467" s="57">
        <v>1</v>
      </c>
      <c r="L3467" t="s">
        <v>3959</v>
      </c>
      <c r="M3467" t="s">
        <v>3959</v>
      </c>
      <c r="N3467" t="s">
        <v>3959</v>
      </c>
      <c r="O3467" t="s">
        <v>3959</v>
      </c>
      <c r="P3467" s="57">
        <v>1</v>
      </c>
      <c r="Q3467" s="57">
        <v>0</v>
      </c>
      <c r="R3467" s="57">
        <v>0</v>
      </c>
      <c r="S3467" s="57">
        <v>0</v>
      </c>
      <c r="T3467" s="57">
        <v>0</v>
      </c>
      <c r="U3467" s="57">
        <v>0</v>
      </c>
      <c r="V3467" s="57">
        <v>0</v>
      </c>
      <c r="W3467" s="57">
        <v>0</v>
      </c>
      <c r="X3467" s="57">
        <v>0</v>
      </c>
    </row>
    <row r="3468" spans="1:24" hidden="1" x14ac:dyDescent="0.35">
      <c r="A3468">
        <v>3464</v>
      </c>
      <c r="B3468">
        <v>3465</v>
      </c>
      <c r="C3468">
        <v>146.089871727999</v>
      </c>
      <c r="D3468">
        <v>-17.639021490400001</v>
      </c>
      <c r="F3468" t="str">
        <f>HYPERLINK("D:\Data From Lucan\2024\Moresby\Frames_for_Analysis/3465_20240611_0010_R_0324.jpg","3465_20240611_0010_R_0324.jpg")</f>
        <v>3465_20240611_0010_R_0324.jpg</v>
      </c>
      <c r="G3468" s="92" t="s">
        <v>5042</v>
      </c>
      <c r="I3468">
        <v>3</v>
      </c>
      <c r="K3468" s="57">
        <v>1</v>
      </c>
      <c r="L3468" t="s">
        <v>3959</v>
      </c>
      <c r="M3468" t="s">
        <v>3959</v>
      </c>
      <c r="N3468" t="s">
        <v>3959</v>
      </c>
      <c r="O3468" t="s">
        <v>3959</v>
      </c>
      <c r="P3468" s="57">
        <v>1</v>
      </c>
      <c r="Q3468" s="57">
        <v>0</v>
      </c>
      <c r="R3468" s="57">
        <v>0</v>
      </c>
      <c r="S3468" s="57">
        <v>0</v>
      </c>
      <c r="T3468" s="57">
        <v>0</v>
      </c>
      <c r="U3468" s="57">
        <v>0</v>
      </c>
      <c r="V3468" s="57">
        <v>0</v>
      </c>
      <c r="W3468" s="57">
        <v>0</v>
      </c>
      <c r="X3468" s="57">
        <v>0</v>
      </c>
    </row>
    <row r="3469" spans="1:24" hidden="1" x14ac:dyDescent="0.35">
      <c r="A3469">
        <v>3465</v>
      </c>
      <c r="B3469">
        <v>3466</v>
      </c>
      <c r="C3469">
        <v>146.089858673999</v>
      </c>
      <c r="D3469">
        <v>-17.6391061898</v>
      </c>
      <c r="F3469" t="str">
        <f>HYPERLINK("D:\Data From Lucan\2024\Moresby\Frames_for_Analysis/3466_20240611_0010_R_0321.jpg","3466_20240611_0010_R_0321.jpg")</f>
        <v>3466_20240611_0010_R_0321.jpg</v>
      </c>
      <c r="G3469" s="92" t="s">
        <v>5043</v>
      </c>
      <c r="I3469">
        <v>3</v>
      </c>
      <c r="K3469" s="57">
        <v>1</v>
      </c>
      <c r="L3469" t="s">
        <v>3959</v>
      </c>
      <c r="M3469" t="s">
        <v>3959</v>
      </c>
      <c r="N3469" t="s">
        <v>3959</v>
      </c>
      <c r="O3469" t="s">
        <v>3959</v>
      </c>
      <c r="P3469" s="57">
        <v>1</v>
      </c>
      <c r="Q3469" s="57">
        <v>0</v>
      </c>
      <c r="R3469" s="57">
        <v>0</v>
      </c>
      <c r="S3469" s="57">
        <v>0</v>
      </c>
      <c r="T3469" s="57">
        <v>0</v>
      </c>
      <c r="U3469" s="57">
        <v>0</v>
      </c>
      <c r="V3469" s="57">
        <v>0</v>
      </c>
      <c r="W3469" s="57">
        <v>0</v>
      </c>
      <c r="X3469" s="57">
        <v>0</v>
      </c>
    </row>
    <row r="3470" spans="1:24" hidden="1" x14ac:dyDescent="0.35">
      <c r="A3470">
        <v>3466</v>
      </c>
      <c r="B3470">
        <v>3467</v>
      </c>
      <c r="C3470">
        <v>146.08984562000001</v>
      </c>
      <c r="D3470">
        <v>-17.6391908891</v>
      </c>
      <c r="F3470" t="str">
        <f>HYPERLINK("D:\Data From Lucan\2024\Moresby\Frames_for_Analysis/3467_20240611_0010_R_0318.jpg","3467_20240611_0010_R_0318.jpg")</f>
        <v>3467_20240611_0010_R_0318.jpg</v>
      </c>
      <c r="G3470" s="92" t="s">
        <v>5044</v>
      </c>
      <c r="I3470">
        <v>3</v>
      </c>
      <c r="K3470" s="57">
        <v>1</v>
      </c>
      <c r="L3470" t="s">
        <v>3959</v>
      </c>
      <c r="M3470" t="s">
        <v>3959</v>
      </c>
      <c r="N3470" t="s">
        <v>3959</v>
      </c>
      <c r="O3470" t="s">
        <v>3959</v>
      </c>
      <c r="P3470" s="57">
        <v>1</v>
      </c>
      <c r="Q3470" s="57">
        <v>0</v>
      </c>
      <c r="R3470" s="57">
        <v>0</v>
      </c>
      <c r="S3470" s="57">
        <v>0</v>
      </c>
      <c r="T3470" s="57">
        <v>0</v>
      </c>
      <c r="U3470" s="57">
        <v>0</v>
      </c>
      <c r="V3470" s="57">
        <v>0</v>
      </c>
      <c r="W3470" s="57">
        <v>0</v>
      </c>
      <c r="X3470" s="57">
        <v>0</v>
      </c>
    </row>
    <row r="3471" spans="1:24" hidden="1" x14ac:dyDescent="0.35">
      <c r="A3471">
        <v>3467</v>
      </c>
      <c r="B3471">
        <v>3468</v>
      </c>
      <c r="C3471">
        <v>146.08983256600001</v>
      </c>
      <c r="D3471">
        <v>-17.6392755884</v>
      </c>
      <c r="F3471" t="str">
        <f>HYPERLINK("D:\Data From Lucan\2024\Moresby\Frames_for_Analysis/3468_20240611_0010_R_0315.jpg","3468_20240611_0010_R_0315.jpg")</f>
        <v>3468_20240611_0010_R_0315.jpg</v>
      </c>
      <c r="G3471" s="92" t="s">
        <v>5045</v>
      </c>
      <c r="I3471">
        <v>3</v>
      </c>
      <c r="K3471" s="57">
        <v>1</v>
      </c>
      <c r="L3471" t="s">
        <v>3959</v>
      </c>
      <c r="M3471" t="s">
        <v>3959</v>
      </c>
      <c r="N3471" t="s">
        <v>3959</v>
      </c>
      <c r="O3471" t="s">
        <v>3959</v>
      </c>
      <c r="P3471" s="57">
        <v>1</v>
      </c>
      <c r="Q3471" s="57">
        <v>0</v>
      </c>
      <c r="R3471" s="57">
        <v>0</v>
      </c>
      <c r="S3471" s="57">
        <v>0</v>
      </c>
      <c r="T3471" s="57">
        <v>0</v>
      </c>
      <c r="U3471" s="57">
        <v>0</v>
      </c>
      <c r="V3471" s="57">
        <v>0</v>
      </c>
      <c r="W3471" s="57">
        <v>0</v>
      </c>
      <c r="X3471" s="57">
        <v>0</v>
      </c>
    </row>
    <row r="3472" spans="1:24" hidden="1" x14ac:dyDescent="0.35">
      <c r="A3472">
        <v>3468</v>
      </c>
      <c r="B3472">
        <v>3469</v>
      </c>
      <c r="C3472">
        <v>146.089819511999</v>
      </c>
      <c r="D3472">
        <v>-17.639360287599899</v>
      </c>
      <c r="F3472" t="str">
        <f>HYPERLINK("D:\Data From Lucan\2024\Moresby\Frames_for_Analysis/3469_20240611_0010_R_0311.jpg","3469_20240611_0010_R_0311.jpg")</f>
        <v>3469_20240611_0010_R_0311.jpg</v>
      </c>
      <c r="G3472" s="92" t="s">
        <v>5046</v>
      </c>
      <c r="I3472">
        <v>3</v>
      </c>
      <c r="K3472" s="57">
        <v>1</v>
      </c>
      <c r="L3472" t="s">
        <v>3959</v>
      </c>
      <c r="M3472" t="s">
        <v>3959</v>
      </c>
      <c r="N3472" t="s">
        <v>3959</v>
      </c>
      <c r="O3472" t="s">
        <v>3959</v>
      </c>
      <c r="P3472" s="57">
        <v>1</v>
      </c>
      <c r="Q3472" s="57">
        <v>0</v>
      </c>
      <c r="R3472" s="57">
        <v>0</v>
      </c>
      <c r="S3472" s="57">
        <v>0</v>
      </c>
      <c r="T3472" s="57">
        <v>0</v>
      </c>
      <c r="U3472" s="57">
        <v>0</v>
      </c>
      <c r="V3472" s="57">
        <v>0</v>
      </c>
      <c r="W3472" s="57">
        <v>0</v>
      </c>
      <c r="X3472" s="57">
        <v>0</v>
      </c>
    </row>
    <row r="3473" spans="1:24" hidden="1" x14ac:dyDescent="0.35">
      <c r="A3473">
        <v>3469</v>
      </c>
      <c r="B3473">
        <v>3470</v>
      </c>
      <c r="C3473">
        <v>146.089806457999</v>
      </c>
      <c r="D3473">
        <v>-17.639444986800001</v>
      </c>
      <c r="F3473" t="str">
        <f>HYPERLINK("D:\Data From Lucan\2024\Moresby\Frames_for_Analysis/3470_20240611_0010_R_0308.jpg","3470_20240611_0010_R_0308.jpg")</f>
        <v>3470_20240611_0010_R_0308.jpg</v>
      </c>
      <c r="G3473" s="92" t="s">
        <v>5047</v>
      </c>
      <c r="I3473">
        <v>3</v>
      </c>
      <c r="K3473" s="57">
        <v>1</v>
      </c>
      <c r="L3473" t="s">
        <v>3959</v>
      </c>
      <c r="M3473" t="s">
        <v>3959</v>
      </c>
      <c r="N3473" t="s">
        <v>3959</v>
      </c>
      <c r="O3473" t="s">
        <v>3959</v>
      </c>
      <c r="P3473" s="57">
        <v>1</v>
      </c>
      <c r="Q3473" s="57">
        <v>0</v>
      </c>
      <c r="R3473" s="57">
        <v>0</v>
      </c>
      <c r="S3473" s="57">
        <v>0</v>
      </c>
      <c r="T3473" s="57">
        <v>0</v>
      </c>
      <c r="U3473" s="57">
        <v>0</v>
      </c>
      <c r="V3473" s="57">
        <v>0</v>
      </c>
      <c r="W3473" s="57">
        <v>0</v>
      </c>
      <c r="X3473" s="57">
        <v>0</v>
      </c>
    </row>
    <row r="3474" spans="1:24" hidden="1" x14ac:dyDescent="0.35">
      <c r="A3474">
        <v>3470</v>
      </c>
      <c r="B3474">
        <v>3471</v>
      </c>
      <c r="C3474">
        <v>146.089789193</v>
      </c>
      <c r="D3474">
        <v>-17.639528922299899</v>
      </c>
      <c r="F3474" t="str">
        <f>HYPERLINK("D:\Data From Lucan\2024\Moresby\Frames_for_Analysis/3471_20240611_0010_R_0304.jpg","3471_20240611_0010_R_0304.jpg")</f>
        <v>3471_20240611_0010_R_0304.jpg</v>
      </c>
      <c r="G3474" s="92" t="s">
        <v>5048</v>
      </c>
      <c r="I3474">
        <v>3</v>
      </c>
      <c r="K3474" s="57">
        <v>1</v>
      </c>
      <c r="L3474" t="s">
        <v>3959</v>
      </c>
      <c r="M3474" t="s">
        <v>3959</v>
      </c>
      <c r="N3474" t="s">
        <v>3959</v>
      </c>
      <c r="O3474" t="s">
        <v>3959</v>
      </c>
      <c r="P3474" s="57">
        <v>1</v>
      </c>
      <c r="Q3474" s="57">
        <v>0</v>
      </c>
      <c r="R3474" s="57">
        <v>0</v>
      </c>
      <c r="S3474" s="57">
        <v>0</v>
      </c>
      <c r="T3474" s="57">
        <v>0</v>
      </c>
      <c r="U3474" s="57">
        <v>0</v>
      </c>
      <c r="V3474" s="57">
        <v>0</v>
      </c>
      <c r="W3474" s="57">
        <v>0</v>
      </c>
      <c r="X3474" s="57">
        <v>0</v>
      </c>
    </row>
    <row r="3475" spans="1:24" hidden="1" x14ac:dyDescent="0.35">
      <c r="A3475">
        <v>3471</v>
      </c>
      <c r="B3475">
        <v>3472</v>
      </c>
      <c r="C3475">
        <v>146.08976869099899</v>
      </c>
      <c r="D3475">
        <v>-17.639612270699899</v>
      </c>
      <c r="F3475" t="str">
        <f>HYPERLINK("D:\Data From Lucan\2024\Moresby\Frames_for_Analysis/3472_20240611_0010_R_0301.jpg","3472_20240611_0010_R_0301.jpg")</f>
        <v>3472_20240611_0010_R_0301.jpg</v>
      </c>
      <c r="G3475" s="92" t="s">
        <v>5049</v>
      </c>
      <c r="I3475">
        <v>3</v>
      </c>
      <c r="K3475" s="57">
        <v>1</v>
      </c>
      <c r="L3475" t="s">
        <v>3959</v>
      </c>
      <c r="M3475" t="s">
        <v>3959</v>
      </c>
      <c r="N3475" t="s">
        <v>3959</v>
      </c>
      <c r="O3475" t="s">
        <v>3959</v>
      </c>
      <c r="P3475" s="57">
        <v>1</v>
      </c>
      <c r="Q3475" s="57">
        <v>0</v>
      </c>
      <c r="R3475" s="57">
        <v>0</v>
      </c>
      <c r="S3475" s="57">
        <v>0</v>
      </c>
      <c r="T3475" s="57">
        <v>0</v>
      </c>
      <c r="U3475" s="57">
        <v>0</v>
      </c>
      <c r="V3475" s="57">
        <v>0</v>
      </c>
      <c r="W3475" s="57">
        <v>0</v>
      </c>
      <c r="X3475" s="57">
        <v>0</v>
      </c>
    </row>
    <row r="3476" spans="1:24" hidden="1" x14ac:dyDescent="0.35">
      <c r="A3476">
        <v>3472</v>
      </c>
      <c r="B3476">
        <v>3473</v>
      </c>
      <c r="C3476">
        <v>146.08974818900001</v>
      </c>
      <c r="D3476">
        <v>-17.6396956190999</v>
      </c>
      <c r="F3476" t="str">
        <f>HYPERLINK("D:\Data From Lucan\2024\Moresby\Frames_for_Analysis/3473_20240611_0010_R_0298.jpg","3473_20240611_0010_R_0298.jpg")</f>
        <v>3473_20240611_0010_R_0298.jpg</v>
      </c>
      <c r="G3476" s="92" t="s">
        <v>5050</v>
      </c>
      <c r="I3476">
        <v>3</v>
      </c>
      <c r="K3476" s="57">
        <v>1</v>
      </c>
      <c r="L3476" t="s">
        <v>3959</v>
      </c>
      <c r="M3476" t="s">
        <v>3959</v>
      </c>
      <c r="N3476" t="s">
        <v>3959</v>
      </c>
      <c r="O3476" t="s">
        <v>3959</v>
      </c>
      <c r="P3476" s="57">
        <v>1</v>
      </c>
      <c r="Q3476" s="57">
        <v>0</v>
      </c>
      <c r="R3476" s="57">
        <v>0</v>
      </c>
      <c r="S3476" s="57">
        <v>0</v>
      </c>
      <c r="T3476" s="57">
        <v>0</v>
      </c>
      <c r="U3476" s="57">
        <v>0</v>
      </c>
      <c r="V3476" s="57">
        <v>0</v>
      </c>
      <c r="W3476" s="57">
        <v>0</v>
      </c>
      <c r="X3476" s="57">
        <v>0</v>
      </c>
    </row>
    <row r="3477" spans="1:24" hidden="1" x14ac:dyDescent="0.35">
      <c r="A3477">
        <v>3473</v>
      </c>
      <c r="B3477">
        <v>3474</v>
      </c>
      <c r="C3477">
        <v>146.089727686999</v>
      </c>
      <c r="D3477">
        <v>-17.6397789675</v>
      </c>
      <c r="F3477" t="str">
        <f>HYPERLINK("D:\Data From Lucan\2024\Moresby\Frames_for_Analysis/3474_20240611_0010_R_0295.jpg","3474_20240611_0010_R_0295.jpg")</f>
        <v>3474_20240611_0010_R_0295.jpg</v>
      </c>
      <c r="G3477" s="92" t="s">
        <v>5051</v>
      </c>
      <c r="I3477">
        <v>3</v>
      </c>
      <c r="K3477" s="57">
        <v>1</v>
      </c>
      <c r="L3477" t="s">
        <v>3959</v>
      </c>
      <c r="M3477" t="s">
        <v>3959</v>
      </c>
      <c r="N3477" t="s">
        <v>3959</v>
      </c>
      <c r="O3477" t="s">
        <v>3959</v>
      </c>
      <c r="P3477" s="57">
        <v>1</v>
      </c>
      <c r="Q3477" s="57">
        <v>0</v>
      </c>
      <c r="R3477" s="57">
        <v>0</v>
      </c>
      <c r="S3477" s="57">
        <v>0</v>
      </c>
      <c r="T3477" s="57">
        <v>0</v>
      </c>
      <c r="U3477" s="57">
        <v>0</v>
      </c>
      <c r="V3477" s="57">
        <v>0</v>
      </c>
      <c r="W3477" s="57">
        <v>0</v>
      </c>
      <c r="X3477" s="57">
        <v>0</v>
      </c>
    </row>
    <row r="3478" spans="1:24" hidden="1" x14ac:dyDescent="0.35">
      <c r="A3478">
        <v>3474</v>
      </c>
      <c r="B3478">
        <v>3475</v>
      </c>
      <c r="C3478">
        <v>146.089707185999</v>
      </c>
      <c r="D3478">
        <v>-17.639862315799899</v>
      </c>
      <c r="F3478" t="str">
        <f>HYPERLINK("D:\Data From Lucan\2024\Moresby\Frames_for_Analysis/3475_20240611_0010_R_0293.jpg","3475_20240611_0010_R_0293.jpg")</f>
        <v>3475_20240611_0010_R_0293.jpg</v>
      </c>
      <c r="G3478" s="92" t="s">
        <v>5052</v>
      </c>
      <c r="I3478">
        <v>3</v>
      </c>
      <c r="K3478" s="57">
        <v>1</v>
      </c>
      <c r="L3478" t="s">
        <v>3959</v>
      </c>
      <c r="M3478" t="s">
        <v>3959</v>
      </c>
      <c r="N3478" t="s">
        <v>3959</v>
      </c>
      <c r="O3478" t="s">
        <v>3959</v>
      </c>
      <c r="P3478" s="57">
        <v>1</v>
      </c>
      <c r="Q3478" s="57">
        <v>0</v>
      </c>
      <c r="R3478" s="57">
        <v>0</v>
      </c>
      <c r="S3478" s="57">
        <v>0</v>
      </c>
      <c r="T3478" s="57">
        <v>0</v>
      </c>
      <c r="U3478" s="57">
        <v>0</v>
      </c>
      <c r="V3478" s="57">
        <v>0</v>
      </c>
      <c r="W3478" s="57">
        <v>0</v>
      </c>
      <c r="X3478" s="57">
        <v>0</v>
      </c>
    </row>
    <row r="3479" spans="1:24" hidden="1" x14ac:dyDescent="0.35">
      <c r="A3479">
        <v>3475</v>
      </c>
      <c r="B3479">
        <v>3476</v>
      </c>
      <c r="C3479">
        <v>146.089679007999</v>
      </c>
      <c r="D3479">
        <v>-17.6399433309</v>
      </c>
      <c r="F3479" t="str">
        <f>HYPERLINK("D:\Data From Lucan\2024\Moresby\Frames_for_Analysis/3476_20240611_0010_R_0290.jpg","3476_20240611_0010_R_0290.jpg")</f>
        <v>3476_20240611_0010_R_0290.jpg</v>
      </c>
      <c r="G3479" s="92" t="s">
        <v>5053</v>
      </c>
      <c r="I3479">
        <v>3</v>
      </c>
      <c r="K3479" s="57">
        <v>1</v>
      </c>
      <c r="L3479" t="s">
        <v>3959</v>
      </c>
      <c r="M3479" t="s">
        <v>3959</v>
      </c>
      <c r="N3479" t="s">
        <v>3959</v>
      </c>
      <c r="O3479" t="s">
        <v>3959</v>
      </c>
      <c r="P3479" s="57">
        <v>1</v>
      </c>
      <c r="Q3479" s="57">
        <v>0</v>
      </c>
      <c r="R3479" s="57">
        <v>0</v>
      </c>
      <c r="S3479" s="57">
        <v>0</v>
      </c>
      <c r="T3479" s="57">
        <v>0</v>
      </c>
      <c r="U3479" s="57">
        <v>0</v>
      </c>
      <c r="V3479" s="57">
        <v>0</v>
      </c>
      <c r="W3479" s="57">
        <v>0</v>
      </c>
      <c r="X3479" s="57">
        <v>0</v>
      </c>
    </row>
    <row r="3480" spans="1:24" hidden="1" x14ac:dyDescent="0.35">
      <c r="A3480">
        <v>3476</v>
      </c>
      <c r="B3480">
        <v>3477</v>
      </c>
      <c r="C3480">
        <v>146.08964508099899</v>
      </c>
      <c r="D3480">
        <v>-17.640022598400002</v>
      </c>
      <c r="F3480" t="str">
        <f>HYPERLINK("D:\Data From Lucan\2024\Moresby\Frames_for_Analysis/3477_20240611_0010_R_0287.jpg","3477_20240611_0010_R_0287.jpg")</f>
        <v>3477_20240611_0010_R_0287.jpg</v>
      </c>
      <c r="G3480" s="92" t="s">
        <v>5054</v>
      </c>
      <c r="I3480">
        <v>3</v>
      </c>
      <c r="K3480" s="57">
        <v>1</v>
      </c>
      <c r="L3480" t="s">
        <v>3959</v>
      </c>
      <c r="M3480" t="s">
        <v>3959</v>
      </c>
      <c r="N3480" t="s">
        <v>3959</v>
      </c>
      <c r="O3480" t="s">
        <v>3959</v>
      </c>
      <c r="P3480" s="57">
        <v>1</v>
      </c>
      <c r="Q3480" s="57">
        <v>0</v>
      </c>
      <c r="R3480" s="57">
        <v>0</v>
      </c>
      <c r="S3480" s="57">
        <v>0</v>
      </c>
      <c r="T3480" s="57">
        <v>0</v>
      </c>
      <c r="U3480" s="57">
        <v>0</v>
      </c>
      <c r="V3480" s="57">
        <v>0</v>
      </c>
      <c r="W3480" s="57">
        <v>0</v>
      </c>
      <c r="X3480" s="57">
        <v>0</v>
      </c>
    </row>
    <row r="3481" spans="1:24" hidden="1" x14ac:dyDescent="0.35">
      <c r="A3481">
        <v>3477</v>
      </c>
      <c r="B3481">
        <v>3478</v>
      </c>
      <c r="C3481">
        <v>146.08961115400001</v>
      </c>
      <c r="D3481">
        <v>-17.640101865799899</v>
      </c>
      <c r="F3481" t="str">
        <f>HYPERLINK("D:\Data From Lucan\2024\Moresby\Frames_for_Analysis/3478_20240611_0010_R_0284.jpg","3478_20240611_0010_R_0284.jpg")</f>
        <v>3478_20240611_0010_R_0284.jpg</v>
      </c>
      <c r="G3481" s="92" t="s">
        <v>5055</v>
      </c>
      <c r="I3481">
        <v>3</v>
      </c>
      <c r="K3481" s="57">
        <v>1</v>
      </c>
      <c r="L3481" t="s">
        <v>3959</v>
      </c>
      <c r="M3481" t="s">
        <v>3959</v>
      </c>
      <c r="N3481" t="s">
        <v>3959</v>
      </c>
      <c r="O3481" t="s">
        <v>3959</v>
      </c>
      <c r="P3481" s="57">
        <v>1</v>
      </c>
      <c r="Q3481" s="57">
        <v>0</v>
      </c>
      <c r="R3481" s="57">
        <v>0</v>
      </c>
      <c r="S3481" s="57">
        <v>0</v>
      </c>
      <c r="T3481" s="57">
        <v>0</v>
      </c>
      <c r="U3481" s="57">
        <v>0</v>
      </c>
      <c r="V3481" s="57">
        <v>0</v>
      </c>
      <c r="W3481" s="57">
        <v>0</v>
      </c>
      <c r="X3481" s="57">
        <v>0</v>
      </c>
    </row>
    <row r="3482" spans="1:24" hidden="1" x14ac:dyDescent="0.35">
      <c r="A3482">
        <v>3478</v>
      </c>
      <c r="B3482">
        <v>3479</v>
      </c>
      <c r="C3482">
        <v>146.089577227999</v>
      </c>
      <c r="D3482">
        <v>-17.640181133199899</v>
      </c>
      <c r="F3482" t="str">
        <f>HYPERLINK("D:\Data From Lucan\2024\Moresby\Frames_for_Analysis/3479_20240611_0010_R_0282.jpg","3479_20240611_0010_R_0282.jpg")</f>
        <v>3479_20240611_0010_R_0282.jpg</v>
      </c>
      <c r="G3482" s="92" t="s">
        <v>5056</v>
      </c>
      <c r="I3482">
        <v>3</v>
      </c>
      <c r="K3482" s="57">
        <v>1</v>
      </c>
      <c r="L3482" t="s">
        <v>3959</v>
      </c>
      <c r="M3482" t="s">
        <v>3959</v>
      </c>
      <c r="N3482" t="s">
        <v>3959</v>
      </c>
      <c r="O3482" t="s">
        <v>3959</v>
      </c>
      <c r="P3482" s="57">
        <v>1</v>
      </c>
      <c r="Q3482" s="57">
        <v>0</v>
      </c>
      <c r="R3482" s="57">
        <v>0</v>
      </c>
      <c r="S3482" s="57">
        <v>0</v>
      </c>
      <c r="T3482" s="57">
        <v>0</v>
      </c>
      <c r="U3482" s="57">
        <v>0</v>
      </c>
      <c r="V3482" s="57">
        <v>0</v>
      </c>
      <c r="W3482" s="57">
        <v>0</v>
      </c>
      <c r="X3482" s="57">
        <v>0</v>
      </c>
    </row>
    <row r="3483" spans="1:24" hidden="1" x14ac:dyDescent="0.35">
      <c r="A3483">
        <v>3479</v>
      </c>
      <c r="B3483">
        <v>3480</v>
      </c>
      <c r="C3483">
        <v>146.089543300999</v>
      </c>
      <c r="D3483">
        <v>-17.6402604005999</v>
      </c>
      <c r="F3483" t="str">
        <f>HYPERLINK("D:\Data From Lucan\2024\Moresby\Frames_for_Analysis/3480_20240611_0010_R_0279.jpg","3480_20240611_0010_R_0279.jpg")</f>
        <v>3480_20240611_0010_R_0279.jpg</v>
      </c>
      <c r="G3483" s="92" t="s">
        <v>5057</v>
      </c>
      <c r="I3483">
        <v>3</v>
      </c>
      <c r="K3483" s="57">
        <v>1</v>
      </c>
      <c r="L3483" t="s">
        <v>3959</v>
      </c>
      <c r="M3483" t="s">
        <v>3959</v>
      </c>
      <c r="N3483" t="s">
        <v>3959</v>
      </c>
      <c r="O3483" t="s">
        <v>3959</v>
      </c>
      <c r="P3483" s="57">
        <v>1</v>
      </c>
      <c r="Q3483" s="57">
        <v>0</v>
      </c>
      <c r="R3483" s="57">
        <v>0</v>
      </c>
      <c r="S3483" s="57">
        <v>0</v>
      </c>
      <c r="T3483" s="57">
        <v>0</v>
      </c>
      <c r="U3483" s="57">
        <v>0</v>
      </c>
      <c r="V3483" s="57">
        <v>0</v>
      </c>
      <c r="W3483" s="57">
        <v>0</v>
      </c>
      <c r="X3483" s="57">
        <v>0</v>
      </c>
    </row>
    <row r="3484" spans="1:24" hidden="1" x14ac:dyDescent="0.35">
      <c r="A3484">
        <v>3480</v>
      </c>
      <c r="B3484">
        <v>3481</v>
      </c>
      <c r="C3484">
        <v>146.08950937399899</v>
      </c>
      <c r="D3484">
        <v>-17.640339667900001</v>
      </c>
      <c r="F3484" t="str">
        <f>HYPERLINK("D:\Data From Lucan\2024\Moresby\Frames_for_Analysis/3481_20240611_0010_R_0277.jpg","3481_20240611_0010_R_0277.jpg")</f>
        <v>3481_20240611_0010_R_0277.jpg</v>
      </c>
      <c r="G3484" s="92" t="s">
        <v>5058</v>
      </c>
      <c r="I3484">
        <v>3</v>
      </c>
      <c r="K3484" s="57">
        <v>1</v>
      </c>
      <c r="L3484" t="s">
        <v>3959</v>
      </c>
      <c r="M3484" t="s">
        <v>3959</v>
      </c>
      <c r="N3484" t="s">
        <v>3959</v>
      </c>
      <c r="O3484" t="s">
        <v>3959</v>
      </c>
      <c r="P3484" s="57">
        <v>1</v>
      </c>
      <c r="Q3484" s="57">
        <v>0</v>
      </c>
      <c r="R3484" s="57">
        <v>0</v>
      </c>
      <c r="S3484" s="57">
        <v>0</v>
      </c>
      <c r="T3484" s="57">
        <v>0</v>
      </c>
      <c r="U3484" s="57">
        <v>0</v>
      </c>
      <c r="V3484" s="57">
        <v>0</v>
      </c>
      <c r="W3484" s="57">
        <v>0</v>
      </c>
      <c r="X3484" s="57">
        <v>0</v>
      </c>
    </row>
    <row r="3485" spans="1:24" hidden="1" x14ac:dyDescent="0.35">
      <c r="A3485">
        <v>3481</v>
      </c>
      <c r="B3485">
        <v>3482</v>
      </c>
      <c r="C3485">
        <v>146.089462064</v>
      </c>
      <c r="D3485">
        <v>-17.640412320900001</v>
      </c>
      <c r="F3485" t="str">
        <f>HYPERLINK("D:\Data From Lucan\2024\Moresby\Frames_for_Analysis/3482_20240611_0010_R_0274.jpg","3482_20240611_0010_R_0274.jpg")</f>
        <v>3482_20240611_0010_R_0274.jpg</v>
      </c>
      <c r="G3485" s="92" t="s">
        <v>5059</v>
      </c>
      <c r="I3485">
        <v>3</v>
      </c>
      <c r="K3485" s="57">
        <v>1</v>
      </c>
      <c r="L3485" t="s">
        <v>3959</v>
      </c>
      <c r="M3485" t="s">
        <v>3959</v>
      </c>
      <c r="N3485" t="s">
        <v>3959</v>
      </c>
      <c r="O3485" t="s">
        <v>3959</v>
      </c>
      <c r="P3485" s="57">
        <v>1</v>
      </c>
      <c r="Q3485" s="57">
        <v>0</v>
      </c>
      <c r="R3485" s="57">
        <v>0</v>
      </c>
      <c r="S3485" s="57">
        <v>0</v>
      </c>
      <c r="T3485" s="57">
        <v>0</v>
      </c>
      <c r="U3485" s="57">
        <v>0</v>
      </c>
      <c r="V3485" s="57">
        <v>0</v>
      </c>
      <c r="W3485" s="57">
        <v>0</v>
      </c>
      <c r="X3485" s="57">
        <v>0</v>
      </c>
    </row>
    <row r="3486" spans="1:24" hidden="1" x14ac:dyDescent="0.35">
      <c r="A3486">
        <v>3482</v>
      </c>
      <c r="B3486">
        <v>3483</v>
      </c>
      <c r="C3486">
        <v>146.08941361999899</v>
      </c>
      <c r="D3486">
        <v>-17.6404844131999</v>
      </c>
      <c r="F3486" t="str">
        <f>HYPERLINK("D:\Data From Lucan\2024\Moresby\Frames_for_Analysis/3483_20240611_0010_R_0271.jpg","3483_20240611_0010_R_0271.jpg")</f>
        <v>3483_20240611_0010_R_0271.jpg</v>
      </c>
      <c r="G3486" s="92" t="s">
        <v>5060</v>
      </c>
      <c r="I3486">
        <v>3</v>
      </c>
      <c r="K3486" s="57">
        <v>1</v>
      </c>
      <c r="L3486" t="s">
        <v>3959</v>
      </c>
      <c r="M3486" t="s">
        <v>3959</v>
      </c>
      <c r="N3486" t="s">
        <v>3959</v>
      </c>
      <c r="O3486" t="s">
        <v>3959</v>
      </c>
      <c r="P3486" s="57">
        <v>1</v>
      </c>
      <c r="Q3486" s="57">
        <v>0</v>
      </c>
      <c r="R3486" s="57">
        <v>0</v>
      </c>
      <c r="S3486" s="57">
        <v>0</v>
      </c>
      <c r="T3486" s="57">
        <v>0</v>
      </c>
      <c r="U3486" s="57">
        <v>0</v>
      </c>
      <c r="V3486" s="57">
        <v>0</v>
      </c>
      <c r="W3486" s="57">
        <v>0</v>
      </c>
      <c r="X3486" s="57">
        <v>0</v>
      </c>
    </row>
    <row r="3487" spans="1:24" hidden="1" x14ac:dyDescent="0.35">
      <c r="A3487">
        <v>3483</v>
      </c>
      <c r="B3487">
        <v>3484</v>
      </c>
      <c r="C3487">
        <v>146.08936517500001</v>
      </c>
      <c r="D3487">
        <v>-17.6405565053999</v>
      </c>
      <c r="F3487" t="str">
        <f>HYPERLINK("D:\Data From Lucan\2024\Moresby\Frames_for_Analysis/3484_20240611_0010_R_0268.jpg","3484_20240611_0010_R_0268.jpg")</f>
        <v>3484_20240611_0010_R_0268.jpg</v>
      </c>
      <c r="G3487" s="92" t="s">
        <v>5061</v>
      </c>
      <c r="I3487">
        <v>3</v>
      </c>
      <c r="K3487" s="57">
        <v>1</v>
      </c>
      <c r="L3487" t="s">
        <v>3959</v>
      </c>
      <c r="M3487" t="s">
        <v>3959</v>
      </c>
      <c r="N3487" t="s">
        <v>3959</v>
      </c>
      <c r="O3487" t="s">
        <v>3959</v>
      </c>
      <c r="P3487" s="57">
        <v>1</v>
      </c>
      <c r="Q3487" s="57">
        <v>0</v>
      </c>
      <c r="R3487" s="57">
        <v>0</v>
      </c>
      <c r="S3487" s="57">
        <v>0</v>
      </c>
      <c r="T3487" s="57">
        <v>0</v>
      </c>
      <c r="U3487" s="57">
        <v>0</v>
      </c>
      <c r="V3487" s="57">
        <v>0</v>
      </c>
      <c r="W3487" s="57">
        <v>0</v>
      </c>
      <c r="X3487" s="57">
        <v>0</v>
      </c>
    </row>
    <row r="3488" spans="1:24" hidden="1" x14ac:dyDescent="0.35">
      <c r="A3488">
        <v>3484</v>
      </c>
      <c r="B3488">
        <v>3485</v>
      </c>
      <c r="C3488">
        <v>146.089316730999</v>
      </c>
      <c r="D3488">
        <v>-17.6406285975999</v>
      </c>
      <c r="F3488" t="str">
        <f>HYPERLINK("D:\Data From Lucan\2024\Moresby\Frames_for_Analysis/3485_20240611_0010_R_0266.jpg","3485_20240611_0010_R_0266.jpg")</f>
        <v>3485_20240611_0010_R_0266.jpg</v>
      </c>
      <c r="G3488" s="92" t="s">
        <v>5062</v>
      </c>
      <c r="I3488">
        <v>3</v>
      </c>
      <c r="K3488" s="57">
        <v>1</v>
      </c>
      <c r="L3488" t="s">
        <v>3959</v>
      </c>
      <c r="M3488" t="s">
        <v>3959</v>
      </c>
      <c r="N3488" t="s">
        <v>3959</v>
      </c>
      <c r="O3488" t="s">
        <v>3959</v>
      </c>
      <c r="P3488" s="57">
        <v>1</v>
      </c>
      <c r="Q3488" s="57">
        <v>0</v>
      </c>
      <c r="R3488" s="57">
        <v>0</v>
      </c>
      <c r="S3488" s="57">
        <v>0</v>
      </c>
      <c r="T3488" s="57">
        <v>0</v>
      </c>
      <c r="U3488" s="57">
        <v>0</v>
      </c>
      <c r="V3488" s="57">
        <v>0</v>
      </c>
      <c r="W3488" s="57">
        <v>0</v>
      </c>
      <c r="X3488" s="57">
        <v>0</v>
      </c>
    </row>
    <row r="3489" spans="1:24" hidden="1" x14ac:dyDescent="0.35">
      <c r="A3489">
        <v>3485</v>
      </c>
      <c r="B3489">
        <v>3486</v>
      </c>
      <c r="C3489">
        <v>146.08926828700001</v>
      </c>
      <c r="D3489">
        <v>-17.6407006897999</v>
      </c>
      <c r="F3489" t="str">
        <f>HYPERLINK("D:\Data From Lucan\2024\Moresby\Frames_for_Analysis/3486_20240611_0010_R_0263.jpg","3486_20240611_0010_R_0263.jpg")</f>
        <v>3486_20240611_0010_R_0263.jpg</v>
      </c>
      <c r="G3489" s="92" t="s">
        <v>5063</v>
      </c>
      <c r="I3489">
        <v>3</v>
      </c>
      <c r="K3489" s="57">
        <v>1</v>
      </c>
      <c r="L3489" t="s">
        <v>3959</v>
      </c>
      <c r="M3489" t="s">
        <v>3959</v>
      </c>
      <c r="N3489" t="s">
        <v>3959</v>
      </c>
      <c r="O3489" t="s">
        <v>3959</v>
      </c>
      <c r="P3489" s="57">
        <v>1</v>
      </c>
      <c r="Q3489" s="57">
        <v>0</v>
      </c>
      <c r="R3489" s="57">
        <v>0</v>
      </c>
      <c r="S3489" s="57">
        <v>0</v>
      </c>
      <c r="T3489" s="57">
        <v>0</v>
      </c>
      <c r="U3489" s="57">
        <v>0</v>
      </c>
      <c r="V3489" s="57">
        <v>0</v>
      </c>
      <c r="W3489" s="57">
        <v>0</v>
      </c>
      <c r="X3489" s="57">
        <v>0</v>
      </c>
    </row>
    <row r="3490" spans="1:24" hidden="1" x14ac:dyDescent="0.35">
      <c r="A3490">
        <v>3486</v>
      </c>
      <c r="B3490">
        <v>3487</v>
      </c>
      <c r="C3490">
        <v>146.089219842999</v>
      </c>
      <c r="D3490">
        <v>-17.6407727819999</v>
      </c>
      <c r="F3490" t="str">
        <f>HYPERLINK("D:\Data From Lucan\2024\Moresby\Frames_for_Analysis/3487_20240611_0010_R_0260.jpg","3487_20240611_0010_R_0260.jpg")</f>
        <v>3487_20240611_0010_R_0260.jpg</v>
      </c>
      <c r="G3490" s="92" t="s">
        <v>5064</v>
      </c>
      <c r="I3490">
        <v>3</v>
      </c>
      <c r="K3490" s="57">
        <v>1</v>
      </c>
      <c r="L3490" t="s">
        <v>3959</v>
      </c>
      <c r="M3490" t="s">
        <v>3959</v>
      </c>
      <c r="N3490" t="s">
        <v>3959</v>
      </c>
      <c r="O3490" t="s">
        <v>3959</v>
      </c>
      <c r="P3490" s="57">
        <v>1</v>
      </c>
      <c r="Q3490" s="57">
        <v>0</v>
      </c>
      <c r="R3490" s="57">
        <v>0</v>
      </c>
      <c r="S3490" s="57">
        <v>0</v>
      </c>
      <c r="T3490" s="57">
        <v>0</v>
      </c>
      <c r="U3490" s="57">
        <v>0</v>
      </c>
      <c r="V3490" s="57">
        <v>0</v>
      </c>
      <c r="W3490" s="57">
        <v>0</v>
      </c>
      <c r="X3490" s="57">
        <v>0</v>
      </c>
    </row>
    <row r="3491" spans="1:24" hidden="1" x14ac:dyDescent="0.35">
      <c r="A3491">
        <v>3487</v>
      </c>
      <c r="B3491">
        <v>3488</v>
      </c>
      <c r="C3491">
        <v>146.089171397999</v>
      </c>
      <c r="D3491">
        <v>-17.640844874100001</v>
      </c>
      <c r="F3491" t="str">
        <f>HYPERLINK("D:\Data From Lucan\2024\Moresby\Frames_for_Analysis/3488_20240611_0010_R_0257.jpg","3488_20240611_0010_R_0257.jpg")</f>
        <v>3488_20240611_0010_R_0257.jpg</v>
      </c>
      <c r="G3491" s="92" t="s">
        <v>5065</v>
      </c>
      <c r="I3491">
        <v>3</v>
      </c>
      <c r="K3491" s="57">
        <v>1</v>
      </c>
      <c r="L3491" t="s">
        <v>3959</v>
      </c>
      <c r="M3491" t="s">
        <v>3959</v>
      </c>
      <c r="N3491" t="s">
        <v>3959</v>
      </c>
      <c r="O3491" t="s">
        <v>3959</v>
      </c>
      <c r="P3491" s="57">
        <v>1</v>
      </c>
      <c r="Q3491" s="57">
        <v>0</v>
      </c>
      <c r="R3491" s="57">
        <v>0</v>
      </c>
      <c r="S3491" s="57">
        <v>0</v>
      </c>
      <c r="T3491" s="57">
        <v>0</v>
      </c>
      <c r="U3491" s="57">
        <v>0</v>
      </c>
      <c r="V3491" s="57">
        <v>0</v>
      </c>
      <c r="W3491" s="57">
        <v>0</v>
      </c>
      <c r="X3491" s="57">
        <v>0</v>
      </c>
    </row>
    <row r="3492" spans="1:24" hidden="1" x14ac:dyDescent="0.35">
      <c r="A3492">
        <v>3488</v>
      </c>
      <c r="B3492">
        <v>3489</v>
      </c>
      <c r="C3492">
        <v>146.089122954</v>
      </c>
      <c r="D3492">
        <v>-17.640916966199899</v>
      </c>
      <c r="F3492" t="str">
        <f>HYPERLINK("D:\Data From Lucan\2024\Moresby\Frames_for_Analysis/3489_20240611_0010_R_0253.jpg","3489_20240611_0010_R_0253.jpg")</f>
        <v>3489_20240611_0010_R_0253.jpg</v>
      </c>
      <c r="G3492" s="92" t="s">
        <v>5066</v>
      </c>
      <c r="I3492">
        <v>3</v>
      </c>
      <c r="K3492" s="57">
        <v>1</v>
      </c>
      <c r="L3492" t="s">
        <v>3959</v>
      </c>
      <c r="M3492" t="s">
        <v>3959</v>
      </c>
      <c r="N3492" t="s">
        <v>3959</v>
      </c>
      <c r="O3492" t="s">
        <v>3959</v>
      </c>
      <c r="P3492" s="57">
        <v>1</v>
      </c>
      <c r="Q3492" s="57">
        <v>0</v>
      </c>
      <c r="R3492" s="57">
        <v>0</v>
      </c>
      <c r="S3492" s="57">
        <v>0</v>
      </c>
      <c r="T3492" s="57">
        <v>0</v>
      </c>
      <c r="U3492" s="57">
        <v>0</v>
      </c>
      <c r="V3492" s="57">
        <v>0</v>
      </c>
      <c r="W3492" s="57">
        <v>0</v>
      </c>
      <c r="X3492" s="57">
        <v>0</v>
      </c>
    </row>
    <row r="3493" spans="1:24" hidden="1" x14ac:dyDescent="0.35">
      <c r="A3493">
        <v>3489</v>
      </c>
      <c r="B3493">
        <v>3490</v>
      </c>
      <c r="C3493">
        <v>146.08907450999899</v>
      </c>
      <c r="D3493">
        <v>-17.640989058300001</v>
      </c>
      <c r="F3493" t="str">
        <f>HYPERLINK("D:\Data From Lucan\2024\Moresby\Frames_for_Analysis/3490_20240611_0010_R_0250.jpg","3490_20240611_0010_R_0250.jpg")</f>
        <v>3490_20240611_0010_R_0250.jpg</v>
      </c>
      <c r="G3493" s="92" t="s">
        <v>5067</v>
      </c>
      <c r="I3493">
        <v>3</v>
      </c>
      <c r="K3493" s="57">
        <v>1</v>
      </c>
      <c r="L3493" t="s">
        <v>3959</v>
      </c>
      <c r="M3493" t="s">
        <v>3959</v>
      </c>
      <c r="N3493" t="s">
        <v>3959</v>
      </c>
      <c r="O3493" t="s">
        <v>3959</v>
      </c>
      <c r="P3493" s="57">
        <v>1</v>
      </c>
      <c r="Q3493" s="57">
        <v>0</v>
      </c>
      <c r="R3493" s="57">
        <v>0</v>
      </c>
      <c r="S3493" s="57">
        <v>0</v>
      </c>
      <c r="T3493" s="57">
        <v>0</v>
      </c>
      <c r="U3493" s="57">
        <v>0</v>
      </c>
      <c r="V3493" s="57">
        <v>0</v>
      </c>
      <c r="W3493" s="57">
        <v>0</v>
      </c>
      <c r="X3493" s="57">
        <v>0</v>
      </c>
    </row>
    <row r="3494" spans="1:24" hidden="1" x14ac:dyDescent="0.35">
      <c r="A3494">
        <v>3490</v>
      </c>
      <c r="B3494">
        <v>3491</v>
      </c>
      <c r="C3494">
        <v>146.08902606500001</v>
      </c>
      <c r="D3494">
        <v>-17.641061150300001</v>
      </c>
      <c r="F3494" t="str">
        <f>HYPERLINK("D:\Data From Lucan\2024\Moresby\Frames_for_Analysis/3491_20240611_0010_R_0247.jpg","3491_20240611_0010_R_0247.jpg")</f>
        <v>3491_20240611_0010_R_0247.jpg</v>
      </c>
      <c r="G3494" s="92" t="s">
        <v>5068</v>
      </c>
      <c r="I3494">
        <v>3</v>
      </c>
      <c r="K3494" s="57">
        <v>1</v>
      </c>
      <c r="L3494" t="s">
        <v>3959</v>
      </c>
      <c r="M3494" t="s">
        <v>3959</v>
      </c>
      <c r="N3494" t="s">
        <v>3959</v>
      </c>
      <c r="O3494" t="s">
        <v>3959</v>
      </c>
      <c r="P3494" s="57">
        <v>1</v>
      </c>
      <c r="Q3494" s="57">
        <v>0</v>
      </c>
      <c r="R3494" s="57">
        <v>0</v>
      </c>
      <c r="S3494" s="57">
        <v>0</v>
      </c>
      <c r="T3494" s="57">
        <v>0</v>
      </c>
      <c r="U3494" s="57">
        <v>0</v>
      </c>
      <c r="V3494" s="57">
        <v>0</v>
      </c>
      <c r="W3494" s="57">
        <v>0</v>
      </c>
      <c r="X3494" s="57">
        <v>0</v>
      </c>
    </row>
    <row r="3495" spans="1:24" hidden="1" x14ac:dyDescent="0.35">
      <c r="A3495">
        <v>3491</v>
      </c>
      <c r="B3495">
        <v>3492</v>
      </c>
      <c r="C3495">
        <v>146.088977620999</v>
      </c>
      <c r="D3495">
        <v>-17.6411332423</v>
      </c>
      <c r="F3495" t="str">
        <f>HYPERLINK("D:\Data From Lucan\2024\Moresby\Frames_for_Analysis/3492_20240611_0010_R_0244.jpg","3492_20240611_0010_R_0244.jpg")</f>
        <v>3492_20240611_0010_R_0244.jpg</v>
      </c>
      <c r="G3495" s="92" t="s">
        <v>5069</v>
      </c>
      <c r="I3495">
        <v>3</v>
      </c>
      <c r="K3495" s="57">
        <v>1</v>
      </c>
      <c r="L3495" t="s">
        <v>3959</v>
      </c>
      <c r="M3495" t="s">
        <v>3959</v>
      </c>
      <c r="N3495" t="s">
        <v>3959</v>
      </c>
      <c r="O3495" t="s">
        <v>3959</v>
      </c>
      <c r="P3495" s="57">
        <v>1</v>
      </c>
      <c r="Q3495" s="57">
        <v>0</v>
      </c>
      <c r="R3495" s="57">
        <v>0</v>
      </c>
      <c r="S3495" s="57">
        <v>0</v>
      </c>
      <c r="T3495" s="57">
        <v>0</v>
      </c>
      <c r="U3495" s="57">
        <v>0</v>
      </c>
      <c r="V3495" s="57">
        <v>0</v>
      </c>
      <c r="W3495" s="57">
        <v>0</v>
      </c>
      <c r="X3495" s="57">
        <v>0</v>
      </c>
    </row>
    <row r="3496" spans="1:24" hidden="1" x14ac:dyDescent="0.35">
      <c r="A3496">
        <v>3492</v>
      </c>
      <c r="B3496">
        <v>3493</v>
      </c>
      <c r="C3496">
        <v>146.08892951799899</v>
      </c>
      <c r="D3496">
        <v>-17.6412055328999</v>
      </c>
      <c r="F3496" t="str">
        <f>HYPERLINK("D:\Data From Lucan\2024\Moresby\Frames_for_Analysis/3493_20240611_0010_R_0242.jpg","3493_20240611_0010_R_0242.jpg")</f>
        <v>3493_20240611_0010_R_0242.jpg</v>
      </c>
      <c r="G3496" s="92" t="s">
        <v>5070</v>
      </c>
      <c r="I3496">
        <v>3</v>
      </c>
      <c r="K3496" s="57">
        <v>1</v>
      </c>
      <c r="L3496" t="s">
        <v>3959</v>
      </c>
      <c r="M3496" t="s">
        <v>3959</v>
      </c>
      <c r="N3496" t="s">
        <v>3959</v>
      </c>
      <c r="O3496" t="s">
        <v>3959</v>
      </c>
      <c r="P3496" s="57">
        <v>1</v>
      </c>
      <c r="Q3496" s="57">
        <v>0</v>
      </c>
      <c r="R3496" s="57">
        <v>0</v>
      </c>
      <c r="S3496" s="57">
        <v>0</v>
      </c>
      <c r="T3496" s="57">
        <v>0</v>
      </c>
      <c r="U3496" s="57">
        <v>0</v>
      </c>
      <c r="V3496" s="57">
        <v>0</v>
      </c>
      <c r="W3496" s="57">
        <v>0</v>
      </c>
      <c r="X3496" s="57">
        <v>0</v>
      </c>
    </row>
    <row r="3497" spans="1:24" hidden="1" x14ac:dyDescent="0.35">
      <c r="A3497">
        <v>3493</v>
      </c>
      <c r="B3497">
        <v>3494</v>
      </c>
      <c r="C3497">
        <v>146.088884409</v>
      </c>
      <c r="D3497">
        <v>-17.641279564200001</v>
      </c>
      <c r="F3497" t="str">
        <f>HYPERLINK("D:\Data From Lucan\2024\Moresby\Frames_for_Analysis/3494_20240611_0010_R_0239.jpg","3494_20240611_0010_R_0239.jpg")</f>
        <v>3494_20240611_0010_R_0239.jpg</v>
      </c>
      <c r="G3497" s="92" t="s">
        <v>5071</v>
      </c>
      <c r="I3497">
        <v>3</v>
      </c>
      <c r="K3497" s="57">
        <v>1</v>
      </c>
      <c r="L3497" t="s">
        <v>3959</v>
      </c>
      <c r="M3497" t="s">
        <v>3959</v>
      </c>
      <c r="N3497" t="s">
        <v>3959</v>
      </c>
      <c r="O3497" t="s">
        <v>3959</v>
      </c>
      <c r="P3497" s="57">
        <v>1</v>
      </c>
      <c r="Q3497" s="57">
        <v>0</v>
      </c>
      <c r="R3497" s="57">
        <v>0</v>
      </c>
      <c r="S3497" s="57">
        <v>0</v>
      </c>
      <c r="T3497" s="57">
        <v>0</v>
      </c>
      <c r="U3497" s="57">
        <v>0</v>
      </c>
      <c r="V3497" s="57">
        <v>0</v>
      </c>
      <c r="W3497" s="57">
        <v>0</v>
      </c>
      <c r="X3497" s="57">
        <v>0</v>
      </c>
    </row>
    <row r="3498" spans="1:24" hidden="1" x14ac:dyDescent="0.35">
      <c r="A3498">
        <v>3494</v>
      </c>
      <c r="B3498">
        <v>3495</v>
      </c>
      <c r="C3498">
        <v>146.08883930100001</v>
      </c>
      <c r="D3498">
        <v>-17.641353595399899</v>
      </c>
      <c r="F3498" t="str">
        <f>HYPERLINK("D:\Data From Lucan\2024\Moresby\Frames_for_Analysis/3495_20240611_0010_R_0236.jpg","3495_20240611_0010_R_0236.jpg")</f>
        <v>3495_20240611_0010_R_0236.jpg</v>
      </c>
      <c r="G3498" s="92" t="s">
        <v>5072</v>
      </c>
      <c r="I3498">
        <v>3</v>
      </c>
      <c r="K3498" s="57">
        <v>1</v>
      </c>
      <c r="L3498" t="s">
        <v>3959</v>
      </c>
      <c r="M3498" t="s">
        <v>3959</v>
      </c>
      <c r="N3498" t="s">
        <v>3959</v>
      </c>
      <c r="O3498" t="s">
        <v>3959</v>
      </c>
      <c r="P3498" s="57">
        <v>1</v>
      </c>
      <c r="Q3498" s="57">
        <v>0</v>
      </c>
      <c r="R3498" s="57">
        <v>0</v>
      </c>
      <c r="S3498" s="57">
        <v>0</v>
      </c>
      <c r="T3498" s="57">
        <v>0</v>
      </c>
      <c r="U3498" s="57">
        <v>0</v>
      </c>
      <c r="V3498" s="57">
        <v>0</v>
      </c>
      <c r="W3498" s="57">
        <v>0</v>
      </c>
      <c r="X3498" s="57">
        <v>0</v>
      </c>
    </row>
    <row r="3499" spans="1:24" hidden="1" x14ac:dyDescent="0.35">
      <c r="A3499">
        <v>3495</v>
      </c>
      <c r="B3499">
        <v>3496</v>
      </c>
      <c r="C3499">
        <v>146.088794191999</v>
      </c>
      <c r="D3499">
        <v>-17.641427626599899</v>
      </c>
      <c r="F3499" t="str">
        <f>HYPERLINK("D:\Data From Lucan\2024\Moresby\Frames_for_Analysis/3496_20240611_0010_R_0233.jpg","3496_20240611_0010_R_0233.jpg")</f>
        <v>3496_20240611_0010_R_0233.jpg</v>
      </c>
      <c r="G3499" s="92" t="s">
        <v>5073</v>
      </c>
      <c r="I3499">
        <v>3</v>
      </c>
      <c r="K3499" s="57">
        <v>1</v>
      </c>
      <c r="L3499" t="s">
        <v>3959</v>
      </c>
      <c r="M3499" t="s">
        <v>3959</v>
      </c>
      <c r="N3499" t="s">
        <v>3959</v>
      </c>
      <c r="O3499" t="s">
        <v>3959</v>
      </c>
      <c r="P3499" s="57">
        <v>1</v>
      </c>
      <c r="Q3499" s="57">
        <v>0</v>
      </c>
      <c r="R3499" s="57">
        <v>0</v>
      </c>
      <c r="S3499" s="57">
        <v>0</v>
      </c>
      <c r="T3499" s="57">
        <v>0</v>
      </c>
      <c r="U3499" s="57">
        <v>0</v>
      </c>
      <c r="V3499" s="57">
        <v>0</v>
      </c>
      <c r="W3499" s="57">
        <v>0</v>
      </c>
      <c r="X3499" s="57">
        <v>0</v>
      </c>
    </row>
    <row r="3500" spans="1:24" hidden="1" x14ac:dyDescent="0.35">
      <c r="A3500">
        <v>3496</v>
      </c>
      <c r="B3500">
        <v>3497</v>
      </c>
      <c r="C3500">
        <v>146.08874908300001</v>
      </c>
      <c r="D3500">
        <v>-17.6415016577999</v>
      </c>
      <c r="F3500" t="str">
        <f>HYPERLINK("D:\Data From Lucan\2024\Moresby\Frames_for_Analysis/3497_20240611_0010_R_0230.jpg","3497_20240611_0010_R_0230.jpg")</f>
        <v>3497_20240611_0010_R_0230.jpg</v>
      </c>
      <c r="G3500" s="92" t="s">
        <v>5074</v>
      </c>
      <c r="I3500">
        <v>3</v>
      </c>
      <c r="K3500" s="57">
        <v>1</v>
      </c>
      <c r="L3500" t="s">
        <v>3959</v>
      </c>
      <c r="M3500" t="s">
        <v>3959</v>
      </c>
      <c r="N3500" t="s">
        <v>3959</v>
      </c>
      <c r="O3500" t="s">
        <v>3959</v>
      </c>
      <c r="P3500" s="57">
        <v>1</v>
      </c>
      <c r="Q3500" s="57">
        <v>0</v>
      </c>
      <c r="R3500" s="57">
        <v>0</v>
      </c>
      <c r="S3500" s="57">
        <v>0</v>
      </c>
      <c r="T3500" s="57">
        <v>0</v>
      </c>
      <c r="U3500" s="57">
        <v>0</v>
      </c>
      <c r="V3500" s="57">
        <v>0</v>
      </c>
      <c r="W3500" s="57">
        <v>0</v>
      </c>
      <c r="X3500" s="57">
        <v>0</v>
      </c>
    </row>
    <row r="3501" spans="1:24" hidden="1" x14ac:dyDescent="0.35">
      <c r="A3501">
        <v>3497</v>
      </c>
      <c r="B3501">
        <v>3498</v>
      </c>
      <c r="C3501">
        <v>146.088703973999</v>
      </c>
      <c r="D3501">
        <v>-17.641575688900001</v>
      </c>
      <c r="F3501" t="str">
        <f>HYPERLINK("D:\Data From Lucan\2024\Moresby\Frames_for_Analysis/3498_20240611_0010_R_0227.jpg","3498_20240611_0010_R_0227.jpg")</f>
        <v>3498_20240611_0010_R_0227.jpg</v>
      </c>
      <c r="G3501" s="92" t="s">
        <v>5075</v>
      </c>
      <c r="I3501">
        <v>3</v>
      </c>
      <c r="K3501" s="57">
        <v>1</v>
      </c>
      <c r="L3501" t="s">
        <v>3959</v>
      </c>
      <c r="M3501" t="s">
        <v>3959</v>
      </c>
      <c r="N3501" t="s">
        <v>3959</v>
      </c>
      <c r="O3501" t="s">
        <v>3959</v>
      </c>
      <c r="P3501" s="57">
        <v>1</v>
      </c>
      <c r="Q3501" s="57">
        <v>0</v>
      </c>
      <c r="R3501" s="57">
        <v>0</v>
      </c>
      <c r="S3501" s="57">
        <v>0</v>
      </c>
      <c r="T3501" s="57">
        <v>0</v>
      </c>
      <c r="U3501" s="57">
        <v>0</v>
      </c>
      <c r="V3501" s="57">
        <v>0</v>
      </c>
      <c r="W3501" s="57">
        <v>0</v>
      </c>
      <c r="X3501" s="57">
        <v>0</v>
      </c>
    </row>
    <row r="3502" spans="1:24" hidden="1" x14ac:dyDescent="0.35">
      <c r="A3502">
        <v>3498</v>
      </c>
      <c r="B3502">
        <v>3499</v>
      </c>
      <c r="C3502">
        <v>146.08865886500001</v>
      </c>
      <c r="D3502">
        <v>-17.64164972</v>
      </c>
      <c r="F3502" t="str">
        <f>HYPERLINK("D:\Data From Lucan\2024\Moresby\Frames_for_Analysis/3499_20240611_0010_R_0224.jpg","3499_20240611_0010_R_0224.jpg")</f>
        <v>3499_20240611_0010_R_0224.jpg</v>
      </c>
      <c r="G3502" s="92" t="s">
        <v>5076</v>
      </c>
      <c r="I3502">
        <v>3</v>
      </c>
      <c r="K3502" s="57">
        <v>1</v>
      </c>
      <c r="L3502" t="s">
        <v>3959</v>
      </c>
      <c r="M3502" t="s">
        <v>3959</v>
      </c>
      <c r="N3502" t="s">
        <v>3959</v>
      </c>
      <c r="O3502" t="s">
        <v>3959</v>
      </c>
      <c r="P3502" s="57">
        <v>1</v>
      </c>
      <c r="Q3502" s="57">
        <v>0</v>
      </c>
      <c r="R3502" s="57">
        <v>0</v>
      </c>
      <c r="S3502" s="57">
        <v>0</v>
      </c>
      <c r="T3502" s="57">
        <v>0</v>
      </c>
      <c r="U3502" s="57">
        <v>0</v>
      </c>
      <c r="V3502" s="57">
        <v>0</v>
      </c>
      <c r="W3502" s="57">
        <v>0</v>
      </c>
      <c r="X3502" s="57">
        <v>0</v>
      </c>
    </row>
    <row r="3503" spans="1:24" hidden="1" x14ac:dyDescent="0.35">
      <c r="A3503">
        <v>3499</v>
      </c>
      <c r="B3503">
        <v>3500</v>
      </c>
      <c r="C3503">
        <v>146.088612089999</v>
      </c>
      <c r="D3503">
        <v>-17.6417227924</v>
      </c>
      <c r="F3503" t="str">
        <f>HYPERLINK("D:\Data From Lucan\2024\Moresby\Frames_for_Analysis/3500_20240611_0010_R_0221.jpg","3500_20240611_0010_R_0221.jpg")</f>
        <v>3500_20240611_0010_R_0221.jpg</v>
      </c>
      <c r="G3503" s="92" t="s">
        <v>5077</v>
      </c>
      <c r="I3503">
        <v>3</v>
      </c>
      <c r="K3503" s="57">
        <v>1</v>
      </c>
      <c r="L3503" t="s">
        <v>3959</v>
      </c>
      <c r="M3503" t="s">
        <v>3959</v>
      </c>
      <c r="N3503" t="s">
        <v>3959</v>
      </c>
      <c r="O3503" t="s">
        <v>3959</v>
      </c>
      <c r="P3503" s="57">
        <v>1</v>
      </c>
      <c r="Q3503" s="57">
        <v>0</v>
      </c>
      <c r="R3503" s="57">
        <v>0</v>
      </c>
      <c r="S3503" s="57">
        <v>0</v>
      </c>
      <c r="T3503" s="57">
        <v>0</v>
      </c>
      <c r="U3503" s="57">
        <v>0</v>
      </c>
      <c r="V3503" s="57">
        <v>0</v>
      </c>
      <c r="W3503" s="57">
        <v>0</v>
      </c>
      <c r="X3503" s="57">
        <v>0</v>
      </c>
    </row>
    <row r="3504" spans="1:24" hidden="1" x14ac:dyDescent="0.35">
      <c r="A3504">
        <v>3500</v>
      </c>
      <c r="B3504">
        <v>3501</v>
      </c>
      <c r="C3504">
        <v>146.088564321999</v>
      </c>
      <c r="D3504">
        <v>-17.641795292600001</v>
      </c>
      <c r="F3504" t="str">
        <f>HYPERLINK("D:\Data From Lucan\2024\Moresby\Frames_for_Analysis/3501_20240611_0010_R_0218.jpg","3501_20240611_0010_R_0218.jpg")</f>
        <v>3501_20240611_0010_R_0218.jpg</v>
      </c>
      <c r="G3504" s="92" t="s">
        <v>5078</v>
      </c>
      <c r="I3504">
        <v>3</v>
      </c>
      <c r="K3504" s="57">
        <v>1</v>
      </c>
      <c r="L3504" t="s">
        <v>3959</v>
      </c>
      <c r="M3504" t="s">
        <v>3959</v>
      </c>
      <c r="N3504" t="s">
        <v>3959</v>
      </c>
      <c r="O3504" t="s">
        <v>3959</v>
      </c>
      <c r="P3504" s="57">
        <v>1</v>
      </c>
      <c r="Q3504" s="57">
        <v>0</v>
      </c>
      <c r="R3504" s="57">
        <v>0</v>
      </c>
      <c r="S3504" s="57">
        <v>0</v>
      </c>
      <c r="T3504" s="57">
        <v>0</v>
      </c>
      <c r="U3504" s="57">
        <v>0</v>
      </c>
      <c r="V3504" s="57">
        <v>0</v>
      </c>
      <c r="W3504" s="57">
        <v>0</v>
      </c>
      <c r="X3504" s="57">
        <v>0</v>
      </c>
    </row>
    <row r="3505" spans="1:24" hidden="1" x14ac:dyDescent="0.35">
      <c r="A3505">
        <v>3501</v>
      </c>
      <c r="B3505">
        <v>3502</v>
      </c>
      <c r="C3505">
        <v>146.088516553999</v>
      </c>
      <c r="D3505">
        <v>-17.6418677927999</v>
      </c>
      <c r="F3505" t="str">
        <f>HYPERLINK("D:\Data From Lucan\2024\Moresby\Frames_for_Analysis/3502_20240611_0010_R_0215.jpg","3502_20240611_0010_R_0215.jpg")</f>
        <v>3502_20240611_0010_R_0215.jpg</v>
      </c>
      <c r="G3505" s="92" t="s">
        <v>5079</v>
      </c>
      <c r="I3505">
        <v>3</v>
      </c>
      <c r="K3505" s="57">
        <v>1</v>
      </c>
      <c r="L3505" t="s">
        <v>3959</v>
      </c>
      <c r="M3505" t="s">
        <v>3959</v>
      </c>
      <c r="N3505" t="s">
        <v>3959</v>
      </c>
      <c r="O3505" t="s">
        <v>3959</v>
      </c>
      <c r="P3505" s="57">
        <v>1</v>
      </c>
      <c r="Q3505" s="57">
        <v>0</v>
      </c>
      <c r="R3505" s="57">
        <v>0</v>
      </c>
      <c r="S3505" s="57">
        <v>0</v>
      </c>
      <c r="T3505" s="57">
        <v>0</v>
      </c>
      <c r="U3505" s="57">
        <v>0</v>
      </c>
      <c r="V3505" s="57">
        <v>0</v>
      </c>
      <c r="W3505" s="57">
        <v>0</v>
      </c>
      <c r="X3505" s="57">
        <v>0</v>
      </c>
    </row>
    <row r="3506" spans="1:24" hidden="1" x14ac:dyDescent="0.35">
      <c r="A3506">
        <v>3502</v>
      </c>
      <c r="B3506">
        <v>3503</v>
      </c>
      <c r="C3506">
        <v>146.088468785</v>
      </c>
      <c r="D3506">
        <v>-17.641940293000001</v>
      </c>
      <c r="F3506" t="str">
        <f>HYPERLINK("D:\Data From Lucan\2024\Moresby\Frames_for_Analysis/3503_20240611_0010_R_0212.jpg","3503_20240611_0010_R_0212.jpg")</f>
        <v>3503_20240611_0010_R_0212.jpg</v>
      </c>
      <c r="G3506" s="92" t="s">
        <v>5080</v>
      </c>
      <c r="I3506">
        <v>3</v>
      </c>
      <c r="K3506" s="57">
        <v>1</v>
      </c>
      <c r="L3506" t="s">
        <v>3959</v>
      </c>
      <c r="M3506" t="s">
        <v>3959</v>
      </c>
      <c r="N3506" t="s">
        <v>3959</v>
      </c>
      <c r="O3506" t="s">
        <v>3959</v>
      </c>
      <c r="P3506" s="57">
        <v>1</v>
      </c>
      <c r="Q3506" s="57">
        <v>0</v>
      </c>
      <c r="R3506" s="57">
        <v>0</v>
      </c>
      <c r="S3506" s="57">
        <v>0</v>
      </c>
      <c r="T3506" s="57">
        <v>0</v>
      </c>
      <c r="U3506" s="57">
        <v>0</v>
      </c>
      <c r="V3506" s="57">
        <v>0</v>
      </c>
      <c r="W3506" s="57">
        <v>0</v>
      </c>
      <c r="X3506" s="57">
        <v>0</v>
      </c>
    </row>
    <row r="3507" spans="1:24" hidden="1" x14ac:dyDescent="0.35">
      <c r="A3507">
        <v>3503</v>
      </c>
      <c r="B3507">
        <v>3504</v>
      </c>
      <c r="C3507">
        <v>146.088421017</v>
      </c>
      <c r="D3507">
        <v>-17.6420127931999</v>
      </c>
      <c r="F3507" t="str">
        <f>HYPERLINK("D:\Data From Lucan\2024\Moresby\Frames_for_Analysis/3504_20240611_0010_R_0209.jpg","3504_20240611_0010_R_0209.jpg")</f>
        <v>3504_20240611_0010_R_0209.jpg</v>
      </c>
      <c r="G3507" s="92" t="s">
        <v>5081</v>
      </c>
      <c r="I3507">
        <v>3</v>
      </c>
      <c r="K3507" s="57">
        <v>1</v>
      </c>
      <c r="L3507" t="s">
        <v>3959</v>
      </c>
      <c r="M3507" t="s">
        <v>3959</v>
      </c>
      <c r="N3507" t="s">
        <v>3959</v>
      </c>
      <c r="O3507" t="s">
        <v>3959</v>
      </c>
      <c r="P3507" s="57">
        <v>1</v>
      </c>
      <c r="Q3507" s="57">
        <v>0</v>
      </c>
      <c r="R3507" s="57">
        <v>0</v>
      </c>
      <c r="S3507" s="57">
        <v>0</v>
      </c>
      <c r="T3507" s="57">
        <v>0</v>
      </c>
      <c r="U3507" s="57">
        <v>0</v>
      </c>
      <c r="V3507" s="57">
        <v>0</v>
      </c>
      <c r="W3507" s="57">
        <v>0</v>
      </c>
      <c r="X3507" s="57">
        <v>0</v>
      </c>
    </row>
    <row r="3508" spans="1:24" hidden="1" x14ac:dyDescent="0.35">
      <c r="A3508">
        <v>3504</v>
      </c>
      <c r="B3508">
        <v>3505</v>
      </c>
      <c r="C3508">
        <v>146.088373249</v>
      </c>
      <c r="D3508">
        <v>-17.6420852932999</v>
      </c>
      <c r="F3508" t="str">
        <f>HYPERLINK("D:\Data From Lucan\2024\Moresby\Frames_for_Analysis/3505_20240611_0010_R_0206.jpg","3505_20240611_0010_R_0206.jpg")</f>
        <v>3505_20240611_0010_R_0206.jpg</v>
      </c>
      <c r="G3508" s="92" t="s">
        <v>5082</v>
      </c>
      <c r="I3508">
        <v>3</v>
      </c>
      <c r="K3508" s="57">
        <v>1</v>
      </c>
      <c r="L3508" t="s">
        <v>3959</v>
      </c>
      <c r="M3508" t="s">
        <v>3959</v>
      </c>
      <c r="N3508" t="s">
        <v>3959</v>
      </c>
      <c r="O3508" t="s">
        <v>3959</v>
      </c>
      <c r="P3508" s="57">
        <v>1</v>
      </c>
      <c r="Q3508" s="57">
        <v>0</v>
      </c>
      <c r="R3508" s="57">
        <v>0</v>
      </c>
      <c r="S3508" s="57">
        <v>0</v>
      </c>
      <c r="T3508" s="57">
        <v>0</v>
      </c>
      <c r="U3508" s="57">
        <v>0</v>
      </c>
      <c r="V3508" s="57">
        <v>0</v>
      </c>
      <c r="W3508" s="57">
        <v>0</v>
      </c>
      <c r="X3508" s="57">
        <v>0</v>
      </c>
    </row>
    <row r="3509" spans="1:24" hidden="1" x14ac:dyDescent="0.35">
      <c r="A3509">
        <v>3505</v>
      </c>
      <c r="B3509">
        <v>3506</v>
      </c>
      <c r="C3509">
        <v>146.08832548000001</v>
      </c>
      <c r="D3509">
        <v>-17.642157793300001</v>
      </c>
      <c r="F3509" t="str">
        <f>HYPERLINK("D:\Data From Lucan\2024\Moresby\Frames_for_Analysis/3506_20240611_0010_R_0203.jpg","3506_20240611_0010_R_0203.jpg")</f>
        <v>3506_20240611_0010_R_0203.jpg</v>
      </c>
      <c r="G3509" s="92" t="s">
        <v>5083</v>
      </c>
      <c r="I3509">
        <v>3</v>
      </c>
      <c r="K3509" s="57">
        <v>1</v>
      </c>
      <c r="L3509" t="s">
        <v>3959</v>
      </c>
      <c r="M3509" t="s">
        <v>3959</v>
      </c>
      <c r="N3509" t="s">
        <v>3959</v>
      </c>
      <c r="O3509" t="s">
        <v>3959</v>
      </c>
      <c r="P3509" s="57">
        <v>1</v>
      </c>
      <c r="Q3509" s="57">
        <v>0</v>
      </c>
      <c r="R3509" s="57">
        <v>0</v>
      </c>
      <c r="S3509" s="57">
        <v>0</v>
      </c>
      <c r="T3509" s="57">
        <v>0</v>
      </c>
      <c r="U3509" s="57">
        <v>0</v>
      </c>
      <c r="V3509" s="57">
        <v>0</v>
      </c>
      <c r="W3509" s="57">
        <v>0</v>
      </c>
      <c r="X3509" s="57">
        <v>0</v>
      </c>
    </row>
    <row r="3510" spans="1:24" hidden="1" x14ac:dyDescent="0.35">
      <c r="A3510">
        <v>3506</v>
      </c>
      <c r="B3510">
        <v>3507</v>
      </c>
      <c r="C3510">
        <v>146.08827345500001</v>
      </c>
      <c r="D3510">
        <v>-17.6422274516</v>
      </c>
      <c r="F3510" t="str">
        <f>HYPERLINK("D:\Data From Lucan\2024\Moresby\Frames_for_Analysis/3507_20240611_0010_R_0200.jpg","3507_20240611_0010_R_0200.jpg")</f>
        <v>3507_20240611_0010_R_0200.jpg</v>
      </c>
      <c r="G3510" s="92" t="s">
        <v>5084</v>
      </c>
      <c r="I3510">
        <v>3</v>
      </c>
      <c r="K3510" s="57">
        <v>1</v>
      </c>
      <c r="L3510" t="s">
        <v>3959</v>
      </c>
      <c r="M3510" t="s">
        <v>3959</v>
      </c>
      <c r="N3510" t="s">
        <v>3959</v>
      </c>
      <c r="O3510" t="s">
        <v>3959</v>
      </c>
      <c r="P3510" s="57">
        <v>1</v>
      </c>
      <c r="Q3510" s="57">
        <v>0</v>
      </c>
      <c r="R3510" s="57">
        <v>0</v>
      </c>
      <c r="S3510" s="57">
        <v>0</v>
      </c>
      <c r="T3510" s="57">
        <v>0</v>
      </c>
      <c r="U3510" s="57">
        <v>0</v>
      </c>
      <c r="V3510" s="57">
        <v>0</v>
      </c>
      <c r="W3510" s="57">
        <v>0</v>
      </c>
      <c r="X3510" s="57">
        <v>0</v>
      </c>
    </row>
    <row r="3511" spans="1:24" hidden="1" x14ac:dyDescent="0.35">
      <c r="A3511">
        <v>3507</v>
      </c>
      <c r="B3511">
        <v>3508</v>
      </c>
      <c r="C3511">
        <v>146.08821827200001</v>
      </c>
      <c r="D3511">
        <v>-17.642295001600001</v>
      </c>
      <c r="F3511" t="str">
        <f>HYPERLINK("D:\Data From Lucan\2024\Moresby\Frames_for_Analysis/3508_20240611_0010_R_0197.jpg","3508_20240611_0010_R_0197.jpg")</f>
        <v>3508_20240611_0010_R_0197.jpg</v>
      </c>
      <c r="G3511" s="92" t="s">
        <v>5085</v>
      </c>
      <c r="I3511">
        <v>3</v>
      </c>
      <c r="K3511" s="57">
        <v>1</v>
      </c>
      <c r="L3511" t="s">
        <v>3959</v>
      </c>
      <c r="M3511" t="s">
        <v>3959</v>
      </c>
      <c r="N3511" t="s">
        <v>3959</v>
      </c>
      <c r="O3511" t="s">
        <v>3959</v>
      </c>
      <c r="P3511" s="57">
        <v>1</v>
      </c>
      <c r="Q3511" s="57">
        <v>0</v>
      </c>
      <c r="R3511" s="57">
        <v>0</v>
      </c>
      <c r="S3511" s="57">
        <v>0</v>
      </c>
      <c r="T3511" s="57">
        <v>0</v>
      </c>
      <c r="U3511" s="57">
        <v>0</v>
      </c>
      <c r="V3511" s="57">
        <v>0</v>
      </c>
      <c r="W3511" s="57">
        <v>0</v>
      </c>
      <c r="X3511" s="57">
        <v>0</v>
      </c>
    </row>
    <row r="3512" spans="1:24" hidden="1" x14ac:dyDescent="0.35">
      <c r="A3512">
        <v>3508</v>
      </c>
      <c r="B3512">
        <v>3509</v>
      </c>
      <c r="C3512">
        <v>146.08816308900001</v>
      </c>
      <c r="D3512">
        <v>-17.642362551600002</v>
      </c>
      <c r="F3512" t="str">
        <f>HYPERLINK("D:\Data From Lucan\2024\Moresby\Frames_for_Analysis/3509_20240611_0010_R_0194.jpg","3509_20240611_0010_R_0194.jpg")</f>
        <v>3509_20240611_0010_R_0194.jpg</v>
      </c>
      <c r="G3512" s="92" t="s">
        <v>5086</v>
      </c>
      <c r="I3512">
        <v>3</v>
      </c>
      <c r="K3512" s="57">
        <v>1</v>
      </c>
      <c r="L3512" t="s">
        <v>3959</v>
      </c>
      <c r="M3512" t="s">
        <v>3959</v>
      </c>
      <c r="N3512" t="s">
        <v>3959</v>
      </c>
      <c r="O3512" t="s">
        <v>3959</v>
      </c>
      <c r="P3512" s="57">
        <v>1</v>
      </c>
      <c r="Q3512" s="57">
        <v>0</v>
      </c>
      <c r="R3512" s="57">
        <v>0</v>
      </c>
      <c r="S3512" s="57">
        <v>0</v>
      </c>
      <c r="T3512" s="57">
        <v>0</v>
      </c>
      <c r="U3512" s="57">
        <v>0</v>
      </c>
      <c r="V3512" s="57">
        <v>0</v>
      </c>
      <c r="W3512" s="57">
        <v>0</v>
      </c>
      <c r="X3512" s="57">
        <v>0</v>
      </c>
    </row>
    <row r="3513" spans="1:24" hidden="1" x14ac:dyDescent="0.35">
      <c r="A3513">
        <v>3509</v>
      </c>
      <c r="B3513">
        <v>3510</v>
      </c>
      <c r="C3513">
        <v>146.088107906</v>
      </c>
      <c r="D3513">
        <v>-17.642430101599899</v>
      </c>
      <c r="F3513" t="str">
        <f>HYPERLINK("D:\Data From Lucan\2024\Moresby\Frames_for_Analysis/3510_20240611_0010_R_0191.jpg","3510_20240611_0010_R_0191.jpg")</f>
        <v>3510_20240611_0010_R_0191.jpg</v>
      </c>
      <c r="G3513" s="92" t="s">
        <v>5087</v>
      </c>
      <c r="I3513">
        <v>3</v>
      </c>
      <c r="K3513" s="57">
        <v>1</v>
      </c>
      <c r="L3513" t="s">
        <v>3959</v>
      </c>
      <c r="M3513" t="s">
        <v>3959</v>
      </c>
      <c r="N3513" t="s">
        <v>3959</v>
      </c>
      <c r="O3513" t="s">
        <v>3959</v>
      </c>
      <c r="P3513" s="57">
        <v>1</v>
      </c>
      <c r="Q3513" s="57">
        <v>0</v>
      </c>
      <c r="R3513" s="57">
        <v>0</v>
      </c>
      <c r="S3513" s="57">
        <v>0</v>
      </c>
      <c r="T3513" s="57">
        <v>0</v>
      </c>
      <c r="U3513" s="57">
        <v>0</v>
      </c>
      <c r="V3513" s="57">
        <v>0</v>
      </c>
      <c r="W3513" s="57">
        <v>0</v>
      </c>
      <c r="X3513" s="57">
        <v>0</v>
      </c>
    </row>
    <row r="3514" spans="1:24" hidden="1" x14ac:dyDescent="0.35">
      <c r="A3514">
        <v>3510</v>
      </c>
      <c r="B3514">
        <v>3511</v>
      </c>
      <c r="C3514">
        <v>146.088052723</v>
      </c>
      <c r="D3514">
        <v>-17.642497651500001</v>
      </c>
      <c r="F3514" t="str">
        <f>HYPERLINK("D:\Data From Lucan\2024\Moresby\Frames_for_Analysis/3511_20240611_0010_R_0188.jpg","3511_20240611_0010_R_0188.jpg")</f>
        <v>3511_20240611_0010_R_0188.jpg</v>
      </c>
      <c r="G3514" s="92" t="s">
        <v>5088</v>
      </c>
      <c r="I3514">
        <v>3</v>
      </c>
      <c r="K3514" s="57">
        <v>1</v>
      </c>
      <c r="L3514" t="s">
        <v>3959</v>
      </c>
      <c r="M3514" t="s">
        <v>3959</v>
      </c>
      <c r="N3514" t="s">
        <v>3959</v>
      </c>
      <c r="O3514" t="s">
        <v>3959</v>
      </c>
      <c r="P3514" s="57">
        <v>1</v>
      </c>
      <c r="Q3514" s="57">
        <v>0</v>
      </c>
      <c r="R3514" s="57">
        <v>0</v>
      </c>
      <c r="S3514" s="57">
        <v>0</v>
      </c>
      <c r="T3514" s="57">
        <v>0</v>
      </c>
      <c r="U3514" s="57">
        <v>0</v>
      </c>
      <c r="V3514" s="57">
        <v>0</v>
      </c>
      <c r="W3514" s="57">
        <v>0</v>
      </c>
      <c r="X3514" s="57">
        <v>0</v>
      </c>
    </row>
    <row r="3515" spans="1:24" hidden="1" x14ac:dyDescent="0.35">
      <c r="A3515">
        <v>3511</v>
      </c>
      <c r="B3515">
        <v>3512</v>
      </c>
      <c r="C3515">
        <v>146.08799753900001</v>
      </c>
      <c r="D3515">
        <v>-17.6425652014</v>
      </c>
      <c r="F3515" t="str">
        <f>HYPERLINK("D:\Data From Lucan\2024\Moresby\Frames_for_Analysis/3512_20240611_0010_R_0185.jpg","3512_20240611_0010_R_0185.jpg")</f>
        <v>3512_20240611_0010_R_0185.jpg</v>
      </c>
      <c r="G3515" s="92" t="s">
        <v>5089</v>
      </c>
      <c r="I3515">
        <v>3</v>
      </c>
      <c r="K3515" s="57">
        <v>1</v>
      </c>
      <c r="L3515" t="s">
        <v>3959</v>
      </c>
      <c r="M3515" t="s">
        <v>3959</v>
      </c>
      <c r="N3515" t="s">
        <v>3959</v>
      </c>
      <c r="O3515" t="s">
        <v>3959</v>
      </c>
      <c r="P3515" s="57">
        <v>1</v>
      </c>
      <c r="Q3515" s="57">
        <v>0</v>
      </c>
      <c r="R3515" s="57">
        <v>0</v>
      </c>
      <c r="S3515" s="57">
        <v>0</v>
      </c>
      <c r="T3515" s="57">
        <v>0</v>
      </c>
      <c r="U3515" s="57">
        <v>0</v>
      </c>
      <c r="V3515" s="57">
        <v>0</v>
      </c>
      <c r="W3515" s="57">
        <v>0</v>
      </c>
      <c r="X3515" s="57">
        <v>0</v>
      </c>
    </row>
    <row r="3516" spans="1:24" hidden="1" x14ac:dyDescent="0.35">
      <c r="A3516">
        <v>3512</v>
      </c>
      <c r="B3516">
        <v>3513</v>
      </c>
      <c r="C3516">
        <v>146.08794235600001</v>
      </c>
      <c r="D3516">
        <v>-17.642632751299899</v>
      </c>
      <c r="F3516" t="str">
        <f>HYPERLINK("D:\Data From Lucan\2024\Moresby\Frames_for_Analysis/3513_20240611_0010_R_0182.jpg","3513_20240611_0010_R_0182.jpg")</f>
        <v>3513_20240611_0010_R_0182.jpg</v>
      </c>
      <c r="G3516" s="92" t="s">
        <v>5090</v>
      </c>
      <c r="I3516">
        <v>3</v>
      </c>
      <c r="K3516" s="57">
        <v>1</v>
      </c>
      <c r="L3516" t="s">
        <v>3959</v>
      </c>
      <c r="M3516" t="s">
        <v>3959</v>
      </c>
      <c r="N3516" t="s">
        <v>3959</v>
      </c>
      <c r="O3516" t="s">
        <v>3959</v>
      </c>
      <c r="P3516" s="57">
        <v>1</v>
      </c>
      <c r="Q3516" s="57">
        <v>0</v>
      </c>
      <c r="R3516" s="57">
        <v>0</v>
      </c>
      <c r="S3516" s="57">
        <v>0</v>
      </c>
      <c r="T3516" s="57">
        <v>0</v>
      </c>
      <c r="U3516" s="57">
        <v>0</v>
      </c>
      <c r="V3516" s="57">
        <v>0</v>
      </c>
      <c r="W3516" s="57">
        <v>0</v>
      </c>
      <c r="X3516" s="57">
        <v>0</v>
      </c>
    </row>
    <row r="3517" spans="1:24" hidden="1" x14ac:dyDescent="0.35">
      <c r="A3517">
        <v>3513</v>
      </c>
      <c r="B3517">
        <v>3514</v>
      </c>
      <c r="C3517">
        <v>146.08788717300001</v>
      </c>
      <c r="D3517">
        <v>-17.6427003011</v>
      </c>
      <c r="F3517" t="str">
        <f>HYPERLINK("D:\Data From Lucan\2024\Moresby\Frames_for_Analysis/3514_20240611_0010_R_0179.jpg","3514_20240611_0010_R_0179.jpg")</f>
        <v>3514_20240611_0010_R_0179.jpg</v>
      </c>
      <c r="G3517" s="92" t="s">
        <v>5091</v>
      </c>
      <c r="I3517">
        <v>3</v>
      </c>
      <c r="K3517" s="57">
        <v>1</v>
      </c>
      <c r="L3517" t="s">
        <v>3959</v>
      </c>
      <c r="M3517" t="s">
        <v>3959</v>
      </c>
      <c r="N3517" t="s">
        <v>3959</v>
      </c>
      <c r="O3517" t="s">
        <v>3959</v>
      </c>
      <c r="P3517" s="57">
        <v>1</v>
      </c>
      <c r="Q3517" s="57">
        <v>0</v>
      </c>
      <c r="R3517" s="57">
        <v>0</v>
      </c>
      <c r="S3517" s="57">
        <v>0</v>
      </c>
      <c r="T3517" s="57">
        <v>0</v>
      </c>
      <c r="U3517" s="57">
        <v>0</v>
      </c>
      <c r="V3517" s="57">
        <v>0</v>
      </c>
      <c r="W3517" s="57">
        <v>0</v>
      </c>
      <c r="X3517" s="57">
        <v>0</v>
      </c>
    </row>
    <row r="3518" spans="1:24" hidden="1" x14ac:dyDescent="0.35">
      <c r="A3518">
        <v>3514</v>
      </c>
      <c r="B3518">
        <v>3515</v>
      </c>
      <c r="C3518">
        <v>146.08782413399899</v>
      </c>
      <c r="D3518">
        <v>-17.642761146000002</v>
      </c>
      <c r="F3518" t="str">
        <f>HYPERLINK("D:\Data From Lucan\2024\Moresby\Frames_for_Analysis/3515_20240611_0010_R_0176.jpg","3515_20240611_0010_R_0176.jpg")</f>
        <v>3515_20240611_0010_R_0176.jpg</v>
      </c>
      <c r="G3518" s="92" t="s">
        <v>5092</v>
      </c>
      <c r="I3518">
        <v>3</v>
      </c>
      <c r="K3518" s="57">
        <v>1</v>
      </c>
      <c r="L3518" t="s">
        <v>3959</v>
      </c>
      <c r="M3518" t="s">
        <v>3959</v>
      </c>
      <c r="N3518" t="s">
        <v>3959</v>
      </c>
      <c r="O3518" t="s">
        <v>3959</v>
      </c>
      <c r="P3518" s="57">
        <v>1</v>
      </c>
      <c r="Q3518" s="57">
        <v>0</v>
      </c>
      <c r="R3518" s="57">
        <v>0</v>
      </c>
      <c r="S3518" s="57">
        <v>0</v>
      </c>
      <c r="T3518" s="57">
        <v>0</v>
      </c>
      <c r="U3518" s="57">
        <v>0</v>
      </c>
      <c r="V3518" s="57">
        <v>0</v>
      </c>
      <c r="W3518" s="57">
        <v>0</v>
      </c>
      <c r="X3518" s="57">
        <v>0</v>
      </c>
    </row>
    <row r="3519" spans="1:24" hidden="1" x14ac:dyDescent="0.35">
      <c r="A3519">
        <v>3515</v>
      </c>
      <c r="B3519">
        <v>3516</v>
      </c>
      <c r="C3519">
        <v>146.08775974100001</v>
      </c>
      <c r="D3519">
        <v>-17.6428208363</v>
      </c>
      <c r="F3519" t="str">
        <f>HYPERLINK("D:\Data From Lucan\2024\Moresby\Frames_for_Analysis/3516_20240611_0010_R_0173.jpg","3516_20240611_0010_R_0173.jpg")</f>
        <v>3516_20240611_0010_R_0173.jpg</v>
      </c>
      <c r="G3519" s="92" t="s">
        <v>5093</v>
      </c>
      <c r="I3519">
        <v>3</v>
      </c>
      <c r="K3519" s="57">
        <v>1</v>
      </c>
      <c r="L3519" t="s">
        <v>3959</v>
      </c>
      <c r="M3519" t="s">
        <v>3959</v>
      </c>
      <c r="N3519" t="s">
        <v>3959</v>
      </c>
      <c r="O3519" t="s">
        <v>3959</v>
      </c>
      <c r="P3519" s="57">
        <v>1</v>
      </c>
      <c r="Q3519" s="57">
        <v>0</v>
      </c>
      <c r="R3519" s="57">
        <v>0</v>
      </c>
      <c r="S3519" s="57">
        <v>0</v>
      </c>
      <c r="T3519" s="57">
        <v>0</v>
      </c>
      <c r="U3519" s="57">
        <v>0</v>
      </c>
      <c r="V3519" s="57">
        <v>0</v>
      </c>
      <c r="W3519" s="57">
        <v>0</v>
      </c>
      <c r="X3519" s="57">
        <v>0</v>
      </c>
    </row>
    <row r="3520" spans="1:24" hidden="1" x14ac:dyDescent="0.35">
      <c r="A3520">
        <v>3516</v>
      </c>
      <c r="B3520">
        <v>3517</v>
      </c>
      <c r="C3520">
        <v>146.087695349</v>
      </c>
      <c r="D3520">
        <v>-17.642880526500001</v>
      </c>
      <c r="F3520" t="str">
        <f>HYPERLINK("D:\Data From Lucan\2024\Moresby\Frames_for_Analysis/3517_20240611_0010_R_0171.jpg","3517_20240611_0010_R_0171.jpg")</f>
        <v>3517_20240611_0010_R_0171.jpg</v>
      </c>
      <c r="G3520" s="92" t="s">
        <v>5094</v>
      </c>
      <c r="I3520">
        <v>3</v>
      </c>
      <c r="K3520" s="57">
        <v>1</v>
      </c>
      <c r="L3520" t="s">
        <v>3959</v>
      </c>
      <c r="M3520" t="s">
        <v>3959</v>
      </c>
      <c r="N3520" t="s">
        <v>3959</v>
      </c>
      <c r="O3520" t="s">
        <v>3959</v>
      </c>
      <c r="P3520" s="57">
        <v>1</v>
      </c>
      <c r="Q3520" s="57">
        <v>0</v>
      </c>
      <c r="R3520" s="57">
        <v>0</v>
      </c>
      <c r="S3520" s="57">
        <v>0</v>
      </c>
      <c r="T3520" s="57">
        <v>0</v>
      </c>
      <c r="U3520" s="57">
        <v>0</v>
      </c>
      <c r="V3520" s="57">
        <v>0</v>
      </c>
      <c r="W3520" s="57">
        <v>0</v>
      </c>
      <c r="X3520" s="57">
        <v>0</v>
      </c>
    </row>
    <row r="3521" spans="1:24" hidden="1" x14ac:dyDescent="0.35">
      <c r="A3521">
        <v>3517</v>
      </c>
      <c r="B3521">
        <v>3518</v>
      </c>
      <c r="C3521">
        <v>146.087630955999</v>
      </c>
      <c r="D3521">
        <v>-17.6429402168</v>
      </c>
      <c r="F3521" t="str">
        <f>HYPERLINK("D:\Data From Lucan\2024\Moresby\Frames_for_Analysis/3518_20240611_0010_R_0168.jpg","3518_20240611_0010_R_0168.jpg")</f>
        <v>3518_20240611_0010_R_0168.jpg</v>
      </c>
      <c r="G3521" s="92" t="s">
        <v>5095</v>
      </c>
      <c r="I3521">
        <v>3</v>
      </c>
      <c r="K3521" s="57">
        <v>1</v>
      </c>
      <c r="L3521" t="s">
        <v>3959</v>
      </c>
      <c r="M3521" t="s">
        <v>3959</v>
      </c>
      <c r="N3521" t="s">
        <v>3959</v>
      </c>
      <c r="O3521" t="s">
        <v>3959</v>
      </c>
      <c r="P3521" s="57">
        <v>1</v>
      </c>
      <c r="Q3521" s="57">
        <v>0</v>
      </c>
      <c r="R3521" s="57">
        <v>0</v>
      </c>
      <c r="S3521" s="57">
        <v>0</v>
      </c>
      <c r="T3521" s="57">
        <v>0</v>
      </c>
      <c r="U3521" s="57">
        <v>0</v>
      </c>
      <c r="V3521" s="57">
        <v>0</v>
      </c>
      <c r="W3521" s="57">
        <v>0</v>
      </c>
      <c r="X3521" s="57">
        <v>0</v>
      </c>
    </row>
    <row r="3522" spans="1:24" hidden="1" x14ac:dyDescent="0.35">
      <c r="A3522">
        <v>3518</v>
      </c>
      <c r="B3522">
        <v>3519</v>
      </c>
      <c r="C3522">
        <v>146.08756656400001</v>
      </c>
      <c r="D3522">
        <v>-17.642999907</v>
      </c>
      <c r="F3522" t="str">
        <f>HYPERLINK("D:\Data From Lucan\2024\Moresby\Frames_for_Analysis/3519_20240611_0010_R_0165.jpg","3519_20240611_0010_R_0165.jpg")</f>
        <v>3519_20240611_0010_R_0165.jpg</v>
      </c>
      <c r="G3522" s="92" t="s">
        <v>5096</v>
      </c>
      <c r="I3522">
        <v>3</v>
      </c>
      <c r="K3522" s="57">
        <v>1</v>
      </c>
      <c r="L3522" t="s">
        <v>3959</v>
      </c>
      <c r="M3522" t="s">
        <v>3959</v>
      </c>
      <c r="N3522" t="s">
        <v>3959</v>
      </c>
      <c r="O3522" t="s">
        <v>3959</v>
      </c>
      <c r="P3522" s="57">
        <v>1</v>
      </c>
      <c r="Q3522" s="57">
        <v>0</v>
      </c>
      <c r="R3522" s="57">
        <v>0</v>
      </c>
      <c r="S3522" s="57">
        <v>0</v>
      </c>
      <c r="T3522" s="57">
        <v>0</v>
      </c>
      <c r="U3522" s="57">
        <v>0</v>
      </c>
      <c r="V3522" s="57">
        <v>0</v>
      </c>
      <c r="W3522" s="57">
        <v>0</v>
      </c>
      <c r="X3522" s="57">
        <v>0</v>
      </c>
    </row>
    <row r="3523" spans="1:24" hidden="1" x14ac:dyDescent="0.35">
      <c r="A3523">
        <v>3519</v>
      </c>
      <c r="B3523">
        <v>3520</v>
      </c>
      <c r="C3523">
        <v>146.08750217100001</v>
      </c>
      <c r="D3523">
        <v>-17.643059597200001</v>
      </c>
      <c r="F3523" t="str">
        <f>HYPERLINK("D:\Data From Lucan\2024\Moresby\Frames_for_Analysis/3520_20240611_0010_R_0162.jpg","3520_20240611_0010_R_0162.jpg")</f>
        <v>3520_20240611_0010_R_0162.jpg</v>
      </c>
      <c r="G3523" s="92" t="s">
        <v>5097</v>
      </c>
      <c r="I3523">
        <v>3</v>
      </c>
      <c r="K3523" s="57">
        <v>1</v>
      </c>
      <c r="L3523" t="s">
        <v>3959</v>
      </c>
      <c r="M3523" t="s">
        <v>3959</v>
      </c>
      <c r="N3523" t="s">
        <v>3959</v>
      </c>
      <c r="O3523" t="s">
        <v>3959</v>
      </c>
      <c r="P3523" s="57">
        <v>1</v>
      </c>
      <c r="Q3523" s="57">
        <v>0</v>
      </c>
      <c r="R3523" s="57">
        <v>0</v>
      </c>
      <c r="S3523" s="57">
        <v>0</v>
      </c>
      <c r="T3523" s="57">
        <v>0</v>
      </c>
      <c r="U3523" s="57">
        <v>0</v>
      </c>
      <c r="V3523" s="57">
        <v>0</v>
      </c>
      <c r="W3523" s="57">
        <v>0</v>
      </c>
      <c r="X3523" s="57">
        <v>0</v>
      </c>
    </row>
    <row r="3524" spans="1:24" hidden="1" x14ac:dyDescent="0.35">
      <c r="A3524">
        <v>3520</v>
      </c>
      <c r="B3524">
        <v>3521</v>
      </c>
      <c r="C3524">
        <v>146.087437778999</v>
      </c>
      <c r="D3524">
        <v>-17.6431192872999</v>
      </c>
      <c r="F3524" t="str">
        <f>HYPERLINK("D:\Data From Lucan\2024\Moresby\Frames_for_Analysis/3521_20240611_0010_R_0159.jpg","3521_20240611_0010_R_0159.jpg")</f>
        <v>3521_20240611_0010_R_0159.jpg</v>
      </c>
      <c r="G3524" s="92" t="s">
        <v>5098</v>
      </c>
      <c r="I3524">
        <v>3</v>
      </c>
      <c r="K3524" s="57">
        <v>1</v>
      </c>
      <c r="L3524" t="s">
        <v>3959</v>
      </c>
      <c r="M3524" t="s">
        <v>3959</v>
      </c>
      <c r="N3524" t="s">
        <v>3959</v>
      </c>
      <c r="O3524" t="s">
        <v>3959</v>
      </c>
      <c r="P3524" s="57">
        <v>1</v>
      </c>
      <c r="Q3524" s="57">
        <v>0</v>
      </c>
      <c r="R3524" s="57">
        <v>0</v>
      </c>
      <c r="S3524" s="57">
        <v>0</v>
      </c>
      <c r="T3524" s="57">
        <v>0</v>
      </c>
      <c r="U3524" s="57">
        <v>0</v>
      </c>
      <c r="V3524" s="57">
        <v>0</v>
      </c>
      <c r="W3524" s="57">
        <v>0</v>
      </c>
      <c r="X3524" s="57">
        <v>0</v>
      </c>
    </row>
    <row r="3525" spans="1:24" hidden="1" x14ac:dyDescent="0.35">
      <c r="A3525">
        <v>3521</v>
      </c>
      <c r="B3525">
        <v>3522</v>
      </c>
      <c r="C3525">
        <v>146.087373396</v>
      </c>
      <c r="D3525">
        <v>-17.643178986900001</v>
      </c>
      <c r="F3525" t="str">
        <f>HYPERLINK("D:\Data From Lucan\2024\Moresby\Frames_for_Analysis/3522_20240611_0010_R_0156.jpg","3522_20240611_0010_R_0156.jpg")</f>
        <v>3522_20240611_0010_R_0156.jpg</v>
      </c>
      <c r="G3525" s="92" t="s">
        <v>5099</v>
      </c>
      <c r="I3525">
        <v>3</v>
      </c>
      <c r="K3525" s="57">
        <v>1</v>
      </c>
      <c r="L3525" t="s">
        <v>3959</v>
      </c>
      <c r="M3525" t="s">
        <v>3959</v>
      </c>
      <c r="N3525" t="s">
        <v>3959</v>
      </c>
      <c r="O3525" t="s">
        <v>3959</v>
      </c>
      <c r="P3525" s="57">
        <v>1</v>
      </c>
      <c r="Q3525" s="57">
        <v>0</v>
      </c>
      <c r="R3525" s="57">
        <v>0</v>
      </c>
      <c r="S3525" s="57">
        <v>0</v>
      </c>
      <c r="T3525" s="57">
        <v>0</v>
      </c>
      <c r="U3525" s="57">
        <v>0</v>
      </c>
      <c r="V3525" s="57">
        <v>0</v>
      </c>
      <c r="W3525" s="57">
        <v>0</v>
      </c>
      <c r="X3525" s="57">
        <v>0</v>
      </c>
    </row>
    <row r="3526" spans="1:24" hidden="1" x14ac:dyDescent="0.35">
      <c r="A3526">
        <v>3522</v>
      </c>
      <c r="B3526">
        <v>3523</v>
      </c>
      <c r="C3526">
        <v>146.08730902100001</v>
      </c>
      <c r="D3526">
        <v>-17.6432386940999</v>
      </c>
      <c r="F3526" t="str">
        <f>HYPERLINK("D:\Data From Lucan\2024\Moresby\Frames_for_Analysis/3523_20240611_0010_R_0153.jpg","3523_20240611_0010_R_0153.jpg")</f>
        <v>3523_20240611_0010_R_0153.jpg</v>
      </c>
      <c r="G3526" s="92" t="s">
        <v>5100</v>
      </c>
      <c r="I3526">
        <v>3</v>
      </c>
      <c r="K3526" s="57">
        <v>1</v>
      </c>
      <c r="L3526" t="s">
        <v>3959</v>
      </c>
      <c r="M3526" t="s">
        <v>3959</v>
      </c>
      <c r="N3526" t="s">
        <v>3959</v>
      </c>
      <c r="O3526" t="s">
        <v>3959</v>
      </c>
      <c r="P3526" s="57">
        <v>1</v>
      </c>
      <c r="Q3526" s="57">
        <v>0</v>
      </c>
      <c r="R3526" s="57">
        <v>0</v>
      </c>
      <c r="S3526" s="57">
        <v>0</v>
      </c>
      <c r="T3526" s="57">
        <v>0</v>
      </c>
      <c r="U3526" s="57">
        <v>0</v>
      </c>
      <c r="V3526" s="57">
        <v>0</v>
      </c>
      <c r="W3526" s="57">
        <v>0</v>
      </c>
      <c r="X3526" s="57">
        <v>0</v>
      </c>
    </row>
    <row r="3527" spans="1:24" hidden="1" x14ac:dyDescent="0.35">
      <c r="A3527">
        <v>3523</v>
      </c>
      <c r="B3527">
        <v>3524</v>
      </c>
      <c r="C3527">
        <v>146.08724464599899</v>
      </c>
      <c r="D3527">
        <v>-17.643298401300001</v>
      </c>
      <c r="F3527" t="str">
        <f>HYPERLINK("D:\Data From Lucan\2024\Moresby\Frames_for_Analysis/3524_20240611_0010_R_0149.jpg","3524_20240611_0010_R_0149.jpg")</f>
        <v>3524_20240611_0010_R_0149.jpg</v>
      </c>
      <c r="G3527" s="92" t="s">
        <v>5101</v>
      </c>
      <c r="I3527">
        <v>3</v>
      </c>
      <c r="K3527" s="57">
        <v>1</v>
      </c>
      <c r="L3527" t="s">
        <v>3959</v>
      </c>
      <c r="M3527" t="s">
        <v>3959</v>
      </c>
      <c r="N3527" t="s">
        <v>3959</v>
      </c>
      <c r="O3527" t="s">
        <v>3959</v>
      </c>
      <c r="P3527" s="57">
        <v>1</v>
      </c>
      <c r="Q3527" s="57">
        <v>0</v>
      </c>
      <c r="R3527" s="57">
        <v>0</v>
      </c>
      <c r="S3527" s="57">
        <v>0</v>
      </c>
      <c r="T3527" s="57">
        <v>0</v>
      </c>
      <c r="U3527" s="57">
        <v>0</v>
      </c>
      <c r="V3527" s="57">
        <v>0</v>
      </c>
      <c r="W3527" s="57">
        <v>0</v>
      </c>
      <c r="X3527" s="57">
        <v>0</v>
      </c>
    </row>
    <row r="3528" spans="1:24" hidden="1" x14ac:dyDescent="0.35">
      <c r="A3528">
        <v>3524</v>
      </c>
      <c r="B3528">
        <v>3525</v>
      </c>
      <c r="C3528">
        <v>146.087180270999</v>
      </c>
      <c r="D3528">
        <v>-17.6433581084999</v>
      </c>
      <c r="F3528" t="str">
        <f>HYPERLINK("D:\Data From Lucan\2024\Moresby\Frames_for_Analysis/3525_20240611_0010_R_0146.jpg","3525_20240611_0010_R_0146.jpg")</f>
        <v>3525_20240611_0010_R_0146.jpg</v>
      </c>
      <c r="G3528" s="92" t="s">
        <v>5102</v>
      </c>
      <c r="I3528">
        <v>3</v>
      </c>
      <c r="K3528" s="57">
        <v>1</v>
      </c>
      <c r="L3528" t="s">
        <v>3959</v>
      </c>
      <c r="M3528" t="s">
        <v>3959</v>
      </c>
      <c r="N3528" t="s">
        <v>3959</v>
      </c>
      <c r="O3528" t="s">
        <v>3959</v>
      </c>
      <c r="P3528" s="57">
        <v>1</v>
      </c>
      <c r="Q3528" s="57">
        <v>0</v>
      </c>
      <c r="R3528" s="57">
        <v>0</v>
      </c>
      <c r="S3528" s="57">
        <v>0</v>
      </c>
      <c r="T3528" s="57">
        <v>0</v>
      </c>
      <c r="U3528" s="57">
        <v>0</v>
      </c>
      <c r="V3528" s="57">
        <v>0</v>
      </c>
      <c r="W3528" s="57">
        <v>0</v>
      </c>
      <c r="X3528" s="57">
        <v>0</v>
      </c>
    </row>
    <row r="3529" spans="1:24" hidden="1" x14ac:dyDescent="0.35">
      <c r="A3529">
        <v>3525</v>
      </c>
      <c r="B3529">
        <v>3526</v>
      </c>
      <c r="C3529">
        <v>146.087115896</v>
      </c>
      <c r="D3529">
        <v>-17.6434178155999</v>
      </c>
      <c r="F3529" t="str">
        <f>HYPERLINK("D:\Data From Lucan\2024\Moresby\Frames_for_Analysis/3526_20240611_0010_R_0143.jpg","3526_20240611_0010_R_0143.jpg")</f>
        <v>3526_20240611_0010_R_0143.jpg</v>
      </c>
      <c r="G3529" s="92" t="s">
        <v>5103</v>
      </c>
      <c r="I3529">
        <v>3</v>
      </c>
      <c r="K3529" s="57">
        <v>1</v>
      </c>
      <c r="L3529" t="s">
        <v>3959</v>
      </c>
      <c r="M3529" t="s">
        <v>3959</v>
      </c>
      <c r="N3529" t="s">
        <v>3959</v>
      </c>
      <c r="O3529" t="s">
        <v>3959</v>
      </c>
      <c r="P3529" s="57">
        <v>1</v>
      </c>
      <c r="Q3529" s="57">
        <v>0</v>
      </c>
      <c r="R3529" s="57">
        <v>0</v>
      </c>
      <c r="S3529" s="57">
        <v>0</v>
      </c>
      <c r="T3529" s="57">
        <v>0</v>
      </c>
      <c r="U3529" s="57">
        <v>0</v>
      </c>
      <c r="V3529" s="57">
        <v>0</v>
      </c>
      <c r="W3529" s="57">
        <v>0</v>
      </c>
      <c r="X3529" s="57">
        <v>0</v>
      </c>
    </row>
    <row r="3530" spans="1:24" hidden="1" x14ac:dyDescent="0.35">
      <c r="A3530">
        <v>3526</v>
      </c>
      <c r="B3530">
        <v>3527</v>
      </c>
      <c r="C3530">
        <v>146.08705152100001</v>
      </c>
      <c r="D3530">
        <v>-17.643477522800001</v>
      </c>
      <c r="F3530" t="str">
        <f>HYPERLINK("D:\Data From Lucan\2024\Moresby\Frames_for_Analysis/3527_20240611_0005_L_0003.jpg","3527_20240611_0005_L_0003.jpg")</f>
        <v>3527_20240611_0005_L_0003.jpg</v>
      </c>
      <c r="G3530" s="92" t="s">
        <v>5104</v>
      </c>
      <c r="I3530">
        <v>3</v>
      </c>
      <c r="K3530" s="57">
        <v>1</v>
      </c>
      <c r="L3530" t="s">
        <v>3959</v>
      </c>
      <c r="M3530" t="s">
        <v>3959</v>
      </c>
      <c r="N3530" t="s">
        <v>3959</v>
      </c>
      <c r="O3530" t="s">
        <v>3959</v>
      </c>
      <c r="P3530" s="57">
        <v>1</v>
      </c>
      <c r="Q3530" s="57">
        <v>0</v>
      </c>
      <c r="R3530" s="57">
        <v>0</v>
      </c>
      <c r="S3530" s="57">
        <v>0</v>
      </c>
      <c r="T3530" s="57">
        <v>0</v>
      </c>
      <c r="U3530" s="57">
        <v>0</v>
      </c>
      <c r="V3530" s="57">
        <v>0</v>
      </c>
      <c r="W3530" s="57">
        <v>0</v>
      </c>
      <c r="X3530" s="57">
        <v>0</v>
      </c>
    </row>
    <row r="3531" spans="1:24" hidden="1" x14ac:dyDescent="0.35">
      <c r="A3531">
        <v>3527</v>
      </c>
      <c r="B3531">
        <v>3528</v>
      </c>
      <c r="C3531">
        <v>146.08698714600001</v>
      </c>
      <c r="D3531">
        <v>-17.643537229900002</v>
      </c>
      <c r="F3531" t="str">
        <f>HYPERLINK("D:\Data From Lucan\2024\Moresby\Frames_for_Analysis/3528_20240611_0010_R_0137.jpg","3528_20240611_0010_R_0137.jpg")</f>
        <v>3528_20240611_0010_R_0137.jpg</v>
      </c>
      <c r="G3531" s="92" t="s">
        <v>5105</v>
      </c>
      <c r="I3531">
        <v>3</v>
      </c>
      <c r="K3531" s="57">
        <v>1</v>
      </c>
      <c r="L3531" t="s">
        <v>3959</v>
      </c>
      <c r="M3531" t="s">
        <v>3959</v>
      </c>
      <c r="N3531" t="s">
        <v>3959</v>
      </c>
      <c r="O3531" t="s">
        <v>3959</v>
      </c>
      <c r="P3531" s="57">
        <v>1</v>
      </c>
      <c r="Q3531" s="57">
        <v>0</v>
      </c>
      <c r="R3531" s="57">
        <v>0</v>
      </c>
      <c r="S3531" s="57">
        <v>0</v>
      </c>
      <c r="T3531" s="57">
        <v>0</v>
      </c>
      <c r="U3531" s="57">
        <v>0</v>
      </c>
      <c r="V3531" s="57">
        <v>0</v>
      </c>
      <c r="W3531" s="57">
        <v>0</v>
      </c>
      <c r="X3531" s="57">
        <v>0</v>
      </c>
    </row>
    <row r="3532" spans="1:24" hidden="1" x14ac:dyDescent="0.35">
      <c r="A3532">
        <v>3528</v>
      </c>
      <c r="B3532">
        <v>3529</v>
      </c>
      <c r="C3532">
        <v>146.086921528999</v>
      </c>
      <c r="D3532">
        <v>-17.6435952183</v>
      </c>
      <c r="F3532" t="str">
        <f>HYPERLINK("D:\Data From Lucan\2024\Moresby\Frames_for_Analysis/3529_20240611_0010_R_0134.jpg","3529_20240611_0010_R_0134.jpg")</f>
        <v>3529_20240611_0010_R_0134.jpg</v>
      </c>
      <c r="G3532" s="92" t="s">
        <v>5106</v>
      </c>
      <c r="I3532">
        <v>3</v>
      </c>
      <c r="K3532" s="57">
        <v>1</v>
      </c>
      <c r="L3532" t="s">
        <v>3959</v>
      </c>
      <c r="M3532" t="s">
        <v>3959</v>
      </c>
      <c r="N3532" t="s">
        <v>3959</v>
      </c>
      <c r="O3532" t="s">
        <v>3959</v>
      </c>
      <c r="P3532" s="57">
        <v>1</v>
      </c>
      <c r="Q3532" s="57">
        <v>0</v>
      </c>
      <c r="R3532" s="57">
        <v>0</v>
      </c>
      <c r="S3532" s="57">
        <v>0</v>
      </c>
      <c r="T3532" s="57">
        <v>0</v>
      </c>
      <c r="U3532" s="57">
        <v>0</v>
      </c>
      <c r="V3532" s="57">
        <v>0</v>
      </c>
      <c r="W3532" s="57">
        <v>0</v>
      </c>
      <c r="X3532" s="57">
        <v>0</v>
      </c>
    </row>
    <row r="3533" spans="1:24" hidden="1" x14ac:dyDescent="0.35">
      <c r="A3533">
        <v>3529</v>
      </c>
      <c r="B3533">
        <v>3530</v>
      </c>
      <c r="C3533">
        <v>146.08684003100001</v>
      </c>
      <c r="D3533">
        <v>-17.643631225</v>
      </c>
      <c r="F3533" t="str">
        <f>HYPERLINK("D:\Data From Lucan\2024\Moresby\Frames_for_Analysis/3530_20240611_0010_R_0131.jpg","3530_20240611_0010_R_0131.jpg")</f>
        <v>3530_20240611_0010_R_0131.jpg</v>
      </c>
      <c r="G3533" s="92" t="s">
        <v>5107</v>
      </c>
      <c r="I3533">
        <v>3</v>
      </c>
      <c r="K3533" s="57">
        <v>1</v>
      </c>
      <c r="L3533" t="s">
        <v>3959</v>
      </c>
      <c r="M3533" t="s">
        <v>3959</v>
      </c>
      <c r="N3533" t="s">
        <v>3959</v>
      </c>
      <c r="O3533" t="s">
        <v>3959</v>
      </c>
      <c r="P3533" s="57">
        <v>1</v>
      </c>
      <c r="Q3533" s="57">
        <v>0</v>
      </c>
      <c r="R3533" s="57">
        <v>0</v>
      </c>
      <c r="S3533" s="57">
        <v>0</v>
      </c>
      <c r="T3533" s="57">
        <v>0</v>
      </c>
      <c r="U3533" s="57">
        <v>0</v>
      </c>
      <c r="V3533" s="57">
        <v>0</v>
      </c>
      <c r="W3533" s="57">
        <v>0</v>
      </c>
      <c r="X3533" s="57">
        <v>0</v>
      </c>
    </row>
    <row r="3534" spans="1:24" hidden="1" x14ac:dyDescent="0.35">
      <c r="A3534">
        <v>3530</v>
      </c>
      <c r="B3534">
        <v>3531</v>
      </c>
      <c r="C3534">
        <v>146.086758532</v>
      </c>
      <c r="D3534">
        <v>-17.643667231799899</v>
      </c>
      <c r="F3534" t="str">
        <f>HYPERLINK("D:\Data From Lucan\2024\Moresby\Frames_for_Analysis/3531_20240611_0010_R_0128.jpg","3531_20240611_0010_R_0128.jpg")</f>
        <v>3531_20240611_0010_R_0128.jpg</v>
      </c>
      <c r="G3534" s="92" t="s">
        <v>5108</v>
      </c>
      <c r="I3534">
        <v>3</v>
      </c>
      <c r="K3534" s="57">
        <v>1</v>
      </c>
      <c r="L3534" t="s">
        <v>3959</v>
      </c>
      <c r="M3534" t="s">
        <v>3959</v>
      </c>
      <c r="N3534" t="s">
        <v>3959</v>
      </c>
      <c r="O3534" t="s">
        <v>3959</v>
      </c>
      <c r="P3534" s="57">
        <v>1</v>
      </c>
      <c r="Q3534" s="57">
        <v>0</v>
      </c>
      <c r="R3534" s="57">
        <v>0</v>
      </c>
      <c r="S3534" s="57">
        <v>0</v>
      </c>
      <c r="T3534" s="57">
        <v>0</v>
      </c>
      <c r="U3534" s="57">
        <v>0</v>
      </c>
      <c r="V3534" s="57">
        <v>0</v>
      </c>
      <c r="W3534" s="57">
        <v>0</v>
      </c>
      <c r="X3534" s="57">
        <v>0</v>
      </c>
    </row>
    <row r="3535" spans="1:24" hidden="1" x14ac:dyDescent="0.35">
      <c r="A3535">
        <v>3531</v>
      </c>
      <c r="B3535">
        <v>3532</v>
      </c>
      <c r="C3535">
        <v>146.086677033</v>
      </c>
      <c r="D3535">
        <v>-17.643703238499899</v>
      </c>
      <c r="F3535" t="str">
        <f>HYPERLINK("D:\Data From Lucan\2024\Moresby\Frames_for_Analysis/3532_20240611_0005_L_0020.jpg","3532_20240611_0005_L_0020.jpg")</f>
        <v>3532_20240611_0005_L_0020.jpg</v>
      </c>
      <c r="G3535" s="92" t="s">
        <v>5109</v>
      </c>
      <c r="I3535">
        <v>3</v>
      </c>
      <c r="K3535" s="57">
        <v>1</v>
      </c>
      <c r="L3535" t="s">
        <v>3959</v>
      </c>
      <c r="M3535" t="s">
        <v>3959</v>
      </c>
      <c r="N3535" t="s">
        <v>3959</v>
      </c>
      <c r="O3535" t="s">
        <v>3959</v>
      </c>
      <c r="P3535" s="57">
        <v>1</v>
      </c>
      <c r="Q3535" s="57">
        <v>0</v>
      </c>
      <c r="R3535" s="57">
        <v>0</v>
      </c>
      <c r="S3535" s="57">
        <v>0</v>
      </c>
      <c r="T3535" s="57">
        <v>0</v>
      </c>
      <c r="U3535" s="57">
        <v>0</v>
      </c>
      <c r="V3535" s="57">
        <v>0</v>
      </c>
      <c r="W3535" s="57">
        <v>0</v>
      </c>
      <c r="X3535" s="57">
        <v>0</v>
      </c>
    </row>
    <row r="3536" spans="1:24" hidden="1" x14ac:dyDescent="0.35">
      <c r="A3536">
        <v>3532</v>
      </c>
      <c r="B3536">
        <v>3533</v>
      </c>
      <c r="C3536">
        <v>146.086595533999</v>
      </c>
      <c r="D3536">
        <v>-17.6437392451999</v>
      </c>
      <c r="F3536" t="str">
        <f>HYPERLINK("D:\Data From Lucan\2024\Moresby\Frames_for_Analysis/3533_20240611_0010_R_0122.jpg","3533_20240611_0010_R_0122.jpg")</f>
        <v>3533_20240611_0010_R_0122.jpg</v>
      </c>
      <c r="G3536" s="92" t="s">
        <v>5110</v>
      </c>
      <c r="I3536">
        <v>3</v>
      </c>
      <c r="K3536" s="57">
        <v>1</v>
      </c>
      <c r="L3536" t="s">
        <v>3959</v>
      </c>
      <c r="M3536" t="s">
        <v>3959</v>
      </c>
      <c r="N3536" t="s">
        <v>3959</v>
      </c>
      <c r="O3536" t="s">
        <v>3959</v>
      </c>
      <c r="P3536" s="57">
        <v>1</v>
      </c>
      <c r="Q3536" s="57">
        <v>0</v>
      </c>
      <c r="R3536" s="57">
        <v>0</v>
      </c>
      <c r="S3536" s="57">
        <v>0</v>
      </c>
      <c r="T3536" s="57">
        <v>0</v>
      </c>
      <c r="U3536" s="57">
        <v>0</v>
      </c>
      <c r="V3536" s="57">
        <v>0</v>
      </c>
      <c r="W3536" s="57">
        <v>0</v>
      </c>
      <c r="X3536" s="57">
        <v>0</v>
      </c>
    </row>
    <row r="3537" spans="1:24" hidden="1" x14ac:dyDescent="0.35">
      <c r="A3537">
        <v>3533</v>
      </c>
      <c r="B3537">
        <v>3534</v>
      </c>
      <c r="C3537">
        <v>146.086514034999</v>
      </c>
      <c r="D3537">
        <v>-17.6437752518999</v>
      </c>
      <c r="F3537" t="str">
        <f>HYPERLINK("D:\Data From Lucan\2024\Moresby\Frames_for_Analysis/3534_20240611_0010_R_0119.jpg","3534_20240611_0010_R_0119.jpg")</f>
        <v>3534_20240611_0010_R_0119.jpg</v>
      </c>
      <c r="G3537" s="92" t="s">
        <v>5111</v>
      </c>
      <c r="I3537">
        <v>3</v>
      </c>
      <c r="K3537" s="57">
        <v>1</v>
      </c>
      <c r="L3537" t="s">
        <v>3959</v>
      </c>
      <c r="M3537" t="s">
        <v>3959</v>
      </c>
      <c r="N3537" t="s">
        <v>3959</v>
      </c>
      <c r="O3537" t="s">
        <v>3959</v>
      </c>
      <c r="P3537" s="57">
        <v>1</v>
      </c>
      <c r="Q3537" s="57">
        <v>0</v>
      </c>
      <c r="R3537" s="57">
        <v>0</v>
      </c>
      <c r="S3537" s="57">
        <v>0</v>
      </c>
      <c r="T3537" s="57">
        <v>0</v>
      </c>
      <c r="U3537" s="57">
        <v>0</v>
      </c>
      <c r="V3537" s="57">
        <v>0</v>
      </c>
      <c r="W3537" s="57">
        <v>0</v>
      </c>
      <c r="X3537" s="57">
        <v>0</v>
      </c>
    </row>
    <row r="3538" spans="1:24" hidden="1" x14ac:dyDescent="0.35">
      <c r="A3538">
        <v>3534</v>
      </c>
      <c r="B3538">
        <v>3535</v>
      </c>
      <c r="C3538">
        <v>146.08643253599899</v>
      </c>
      <c r="D3538">
        <v>-17.6438112586</v>
      </c>
      <c r="F3538" t="str">
        <f>HYPERLINK("D:\Data From Lucan\2024\Moresby\Frames_for_Analysis/3535_20240611_0010_R_0116.jpg","3535_20240611_0010_R_0116.jpg")</f>
        <v>3535_20240611_0010_R_0116.jpg</v>
      </c>
      <c r="G3538" s="92" t="s">
        <v>5112</v>
      </c>
      <c r="I3538">
        <v>3</v>
      </c>
      <c r="K3538" s="57">
        <v>1</v>
      </c>
      <c r="L3538" t="s">
        <v>3959</v>
      </c>
      <c r="M3538" t="s">
        <v>3959</v>
      </c>
      <c r="N3538" t="s">
        <v>3959</v>
      </c>
      <c r="O3538" t="s">
        <v>3959</v>
      </c>
      <c r="P3538" s="57">
        <v>1</v>
      </c>
      <c r="Q3538" s="57">
        <v>0</v>
      </c>
      <c r="R3538" s="57">
        <v>0</v>
      </c>
      <c r="S3538" s="57">
        <v>0</v>
      </c>
      <c r="T3538" s="57">
        <v>0</v>
      </c>
      <c r="U3538" s="57">
        <v>0</v>
      </c>
      <c r="V3538" s="57">
        <v>0</v>
      </c>
      <c r="W3538" s="57">
        <v>0</v>
      </c>
      <c r="X3538" s="57">
        <v>0</v>
      </c>
    </row>
    <row r="3539" spans="1:24" hidden="1" x14ac:dyDescent="0.35">
      <c r="A3539">
        <v>3535</v>
      </c>
      <c r="B3539">
        <v>3536</v>
      </c>
      <c r="C3539">
        <v>146.08634734200001</v>
      </c>
      <c r="D3539">
        <v>-17.6438382282</v>
      </c>
      <c r="F3539" t="str">
        <f>HYPERLINK("D:\Data From Lucan\2024\Moresby\Frames_for_Analysis/3536_20240611_0010_R_0113.jpg","3536_20240611_0010_R_0113.jpg")</f>
        <v>3536_20240611_0010_R_0113.jpg</v>
      </c>
      <c r="G3539" s="92" t="s">
        <v>5113</v>
      </c>
      <c r="I3539">
        <v>3</v>
      </c>
      <c r="K3539" s="57">
        <v>1</v>
      </c>
      <c r="L3539" t="s">
        <v>3959</v>
      </c>
      <c r="M3539" t="s">
        <v>3959</v>
      </c>
      <c r="N3539" t="s">
        <v>3959</v>
      </c>
      <c r="O3539" t="s">
        <v>3959</v>
      </c>
      <c r="P3539" s="57">
        <v>1</v>
      </c>
      <c r="Q3539" s="57">
        <v>0</v>
      </c>
      <c r="R3539" s="57">
        <v>0</v>
      </c>
      <c r="S3539" s="57">
        <v>0</v>
      </c>
      <c r="T3539" s="57">
        <v>0</v>
      </c>
      <c r="U3539" s="57">
        <v>0</v>
      </c>
      <c r="V3539" s="57">
        <v>0</v>
      </c>
      <c r="W3539" s="57">
        <v>0</v>
      </c>
      <c r="X3539" s="57">
        <v>0</v>
      </c>
    </row>
    <row r="3540" spans="1:24" hidden="1" x14ac:dyDescent="0.35">
      <c r="A3540">
        <v>3536</v>
      </c>
      <c r="B3540">
        <v>3537</v>
      </c>
      <c r="C3540">
        <v>146.08626176499899</v>
      </c>
      <c r="D3540">
        <v>-17.643864259200001</v>
      </c>
      <c r="F3540" t="str">
        <f>HYPERLINK("D:\Data From Lucan\2024\Moresby\Frames_for_Analysis/3537_20240611_0010_R_0110.jpg","3537_20240611_0010_R_0110.jpg")</f>
        <v>3537_20240611_0010_R_0110.jpg</v>
      </c>
      <c r="G3540" s="92" t="s">
        <v>5114</v>
      </c>
      <c r="I3540">
        <v>3</v>
      </c>
      <c r="K3540" s="57">
        <v>1</v>
      </c>
      <c r="L3540" t="s">
        <v>3959</v>
      </c>
      <c r="M3540" t="s">
        <v>3959</v>
      </c>
      <c r="N3540" t="s">
        <v>3959</v>
      </c>
      <c r="O3540" t="s">
        <v>3959</v>
      </c>
      <c r="P3540" s="57">
        <v>1</v>
      </c>
      <c r="Q3540" s="57">
        <v>0</v>
      </c>
      <c r="R3540" s="57">
        <v>0</v>
      </c>
      <c r="S3540" s="57">
        <v>0</v>
      </c>
      <c r="T3540" s="57">
        <v>0</v>
      </c>
      <c r="U3540" s="57">
        <v>0</v>
      </c>
      <c r="V3540" s="57">
        <v>0</v>
      </c>
      <c r="W3540" s="57">
        <v>0</v>
      </c>
      <c r="X3540" s="57">
        <v>0</v>
      </c>
    </row>
    <row r="3541" spans="1:24" hidden="1" x14ac:dyDescent="0.35">
      <c r="A3541">
        <v>3537</v>
      </c>
      <c r="B3541">
        <v>3538</v>
      </c>
      <c r="C3541">
        <v>146.08617618700001</v>
      </c>
      <c r="D3541">
        <v>-17.6438902903</v>
      </c>
      <c r="F3541" t="str">
        <f>HYPERLINK("D:\Data From Lucan\2024\Moresby\Frames_for_Analysis/3538_20240611_0010_R_0107.jpg","3538_20240611_0010_R_0107.jpg")</f>
        <v>3538_20240611_0010_R_0107.jpg</v>
      </c>
      <c r="G3541" s="92" t="s">
        <v>5115</v>
      </c>
      <c r="I3541">
        <v>3</v>
      </c>
      <c r="K3541" s="57">
        <v>1</v>
      </c>
      <c r="L3541" t="s">
        <v>3959</v>
      </c>
      <c r="M3541" t="s">
        <v>3959</v>
      </c>
      <c r="N3541" t="s">
        <v>3959</v>
      </c>
      <c r="O3541" t="s">
        <v>3959</v>
      </c>
      <c r="P3541" s="57">
        <v>1</v>
      </c>
      <c r="Q3541" s="57">
        <v>0</v>
      </c>
      <c r="R3541" s="57">
        <v>0</v>
      </c>
      <c r="S3541" s="57">
        <v>0</v>
      </c>
      <c r="T3541" s="57">
        <v>0</v>
      </c>
      <c r="U3541" s="57">
        <v>0</v>
      </c>
      <c r="V3541" s="57">
        <v>0</v>
      </c>
      <c r="W3541" s="57">
        <v>0</v>
      </c>
      <c r="X3541" s="57">
        <v>0</v>
      </c>
    </row>
    <row r="3542" spans="1:24" hidden="1" x14ac:dyDescent="0.35">
      <c r="A3542">
        <v>3538</v>
      </c>
      <c r="B3542">
        <v>3539</v>
      </c>
      <c r="C3542">
        <v>146.086090608999</v>
      </c>
      <c r="D3542">
        <v>-17.643916321300001</v>
      </c>
      <c r="F3542" t="str">
        <f>HYPERLINK("D:\Data From Lucan\2024\Moresby\Frames_for_Analysis/3539_20240611_0010_R_0104.jpg","3539_20240611_0010_R_0104.jpg")</f>
        <v>3539_20240611_0010_R_0104.jpg</v>
      </c>
      <c r="G3542" s="92" t="s">
        <v>5116</v>
      </c>
      <c r="I3542">
        <v>3</v>
      </c>
      <c r="K3542" s="57">
        <v>1</v>
      </c>
      <c r="L3542" t="s">
        <v>3959</v>
      </c>
      <c r="M3542" t="s">
        <v>3959</v>
      </c>
      <c r="N3542" t="s">
        <v>3959</v>
      </c>
      <c r="O3542" t="s">
        <v>3959</v>
      </c>
      <c r="P3542" s="57">
        <v>1</v>
      </c>
      <c r="Q3542" s="57">
        <v>0</v>
      </c>
      <c r="R3542" s="57">
        <v>0</v>
      </c>
      <c r="S3542" s="57">
        <v>0</v>
      </c>
      <c r="T3542" s="57">
        <v>0</v>
      </c>
      <c r="U3542" s="57">
        <v>0</v>
      </c>
      <c r="V3542" s="57">
        <v>0</v>
      </c>
      <c r="W3542" s="57">
        <v>0</v>
      </c>
      <c r="X3542" s="57">
        <v>0</v>
      </c>
    </row>
    <row r="3543" spans="1:24" hidden="1" x14ac:dyDescent="0.35">
      <c r="A3543">
        <v>3539</v>
      </c>
      <c r="B3543">
        <v>3540</v>
      </c>
      <c r="C3543">
        <v>146.086001361</v>
      </c>
      <c r="D3543">
        <v>-17.6439195254999</v>
      </c>
      <c r="F3543" t="str">
        <f>HYPERLINK("D:\Data From Lucan\2024\Moresby\Frames_for_Analysis/3540_20240611_0005_L_0054.jpg","3540_20240611_0005_L_0054.jpg")</f>
        <v>3540_20240611_0005_L_0054.jpg</v>
      </c>
      <c r="G3543" s="92" t="s">
        <v>5117</v>
      </c>
      <c r="I3543">
        <v>3</v>
      </c>
      <c r="K3543" s="57">
        <v>1</v>
      </c>
      <c r="L3543" t="s">
        <v>3959</v>
      </c>
      <c r="M3543" t="s">
        <v>3959</v>
      </c>
      <c r="N3543" t="s">
        <v>3959</v>
      </c>
      <c r="O3543" t="s">
        <v>3959</v>
      </c>
      <c r="P3543" s="57">
        <v>1</v>
      </c>
      <c r="Q3543" s="57">
        <v>0</v>
      </c>
      <c r="R3543" s="57">
        <v>0</v>
      </c>
      <c r="S3543" s="57">
        <v>0</v>
      </c>
      <c r="T3543" s="57">
        <v>0</v>
      </c>
      <c r="U3543" s="57">
        <v>0</v>
      </c>
      <c r="V3543" s="57">
        <v>0</v>
      </c>
      <c r="W3543" s="57">
        <v>0</v>
      </c>
      <c r="X3543" s="57">
        <v>0</v>
      </c>
    </row>
    <row r="3544" spans="1:24" hidden="1" x14ac:dyDescent="0.35">
      <c r="A3544">
        <v>3540</v>
      </c>
      <c r="B3544">
        <v>3541</v>
      </c>
      <c r="C3544">
        <v>146.085911530999</v>
      </c>
      <c r="D3544">
        <v>-17.643919109199899</v>
      </c>
      <c r="F3544" t="str">
        <f>HYPERLINK("D:\Data From Lucan\2024\Moresby\Frames_for_Analysis/3541_20240611_0005_L_0057.jpg","3541_20240611_0005_L_0057.jpg")</f>
        <v>3541_20240611_0005_L_0057.jpg</v>
      </c>
      <c r="G3544" s="92" t="s">
        <v>5118</v>
      </c>
      <c r="I3544">
        <v>3</v>
      </c>
      <c r="K3544" s="57">
        <v>1</v>
      </c>
      <c r="L3544" t="s">
        <v>3959</v>
      </c>
      <c r="M3544" t="s">
        <v>3959</v>
      </c>
      <c r="N3544" t="s">
        <v>3959</v>
      </c>
      <c r="O3544" t="s">
        <v>3959</v>
      </c>
      <c r="P3544" s="57">
        <v>1</v>
      </c>
      <c r="Q3544" s="57">
        <v>0</v>
      </c>
      <c r="R3544" s="57">
        <v>0</v>
      </c>
      <c r="S3544" s="57">
        <v>0</v>
      </c>
      <c r="T3544" s="57">
        <v>0</v>
      </c>
      <c r="U3544" s="57">
        <v>0</v>
      </c>
      <c r="V3544" s="57">
        <v>0</v>
      </c>
      <c r="W3544" s="57">
        <v>0</v>
      </c>
      <c r="X3544" s="57">
        <v>0</v>
      </c>
    </row>
    <row r="3545" spans="1:24" hidden="1" x14ac:dyDescent="0.35">
      <c r="A3545">
        <v>3541</v>
      </c>
      <c r="B3545">
        <v>3542</v>
      </c>
      <c r="C3545">
        <v>146.085821699999</v>
      </c>
      <c r="D3545">
        <v>-17.6439186928</v>
      </c>
      <c r="F3545" t="str">
        <f>HYPERLINK("D:\Data From Lucan\2024\Moresby\Frames_for_Analysis/3542_20240611_0010_R_0094.jpg","3542_20240611_0010_R_0094.jpg")</f>
        <v>3542_20240611_0010_R_0094.jpg</v>
      </c>
      <c r="G3545" s="92" t="s">
        <v>5119</v>
      </c>
      <c r="I3545">
        <v>3</v>
      </c>
      <c r="K3545" s="57">
        <v>1</v>
      </c>
      <c r="L3545" t="s">
        <v>3959</v>
      </c>
      <c r="M3545" t="s">
        <v>3959</v>
      </c>
      <c r="N3545" t="s">
        <v>3959</v>
      </c>
      <c r="O3545" t="s">
        <v>3959</v>
      </c>
      <c r="P3545" s="57">
        <v>1</v>
      </c>
      <c r="Q3545" s="57">
        <v>0</v>
      </c>
      <c r="R3545" s="57">
        <v>0</v>
      </c>
      <c r="S3545" s="57">
        <v>0</v>
      </c>
      <c r="T3545" s="57">
        <v>0</v>
      </c>
      <c r="U3545" s="57">
        <v>0</v>
      </c>
      <c r="V3545" s="57">
        <v>0</v>
      </c>
      <c r="W3545" s="57">
        <v>0</v>
      </c>
      <c r="X3545" s="57">
        <v>0</v>
      </c>
    </row>
    <row r="3546" spans="1:24" hidden="1" x14ac:dyDescent="0.35">
      <c r="A3546">
        <v>3542</v>
      </c>
      <c r="B3546">
        <v>3543</v>
      </c>
      <c r="C3546">
        <v>146.085732307</v>
      </c>
      <c r="D3546">
        <v>-17.6439118055</v>
      </c>
      <c r="F3546" t="str">
        <f>HYPERLINK("D:\Data From Lucan\2024\Moresby\Frames_for_Analysis/3543_20240611_0005_L_0062.jpg","3543_20240611_0005_L_0062.jpg")</f>
        <v>3543_20240611_0005_L_0062.jpg</v>
      </c>
      <c r="G3546" s="92" t="s">
        <v>5120</v>
      </c>
      <c r="I3546">
        <v>3</v>
      </c>
      <c r="K3546" s="57">
        <v>1</v>
      </c>
      <c r="L3546" t="s">
        <v>3959</v>
      </c>
      <c r="M3546" t="s">
        <v>3959</v>
      </c>
      <c r="N3546" t="s">
        <v>3959</v>
      </c>
      <c r="O3546" t="s">
        <v>3959</v>
      </c>
      <c r="P3546" s="57">
        <v>1</v>
      </c>
      <c r="Q3546" s="57">
        <v>0</v>
      </c>
      <c r="R3546" s="57">
        <v>0</v>
      </c>
      <c r="S3546" s="57">
        <v>0</v>
      </c>
      <c r="T3546" s="57">
        <v>0</v>
      </c>
      <c r="U3546" s="57">
        <v>0</v>
      </c>
      <c r="V3546" s="57">
        <v>0</v>
      </c>
      <c r="W3546" s="57">
        <v>0</v>
      </c>
      <c r="X3546" s="57">
        <v>0</v>
      </c>
    </row>
    <row r="3547" spans="1:24" hidden="1" x14ac:dyDescent="0.35">
      <c r="A3547">
        <v>3543</v>
      </c>
      <c r="B3547">
        <v>3544</v>
      </c>
      <c r="C3547">
        <v>146.08564316100001</v>
      </c>
      <c r="D3547">
        <v>-17.6439012451</v>
      </c>
      <c r="F3547" t="str">
        <f>HYPERLINK("D:\Data From Lucan\2024\Moresby\Frames_for_Analysis/3544_20240611_0010_R_0085.jpg","3544_20240611_0010_R_0085.jpg")</f>
        <v>3544_20240611_0010_R_0085.jpg</v>
      </c>
      <c r="G3547" s="92" t="s">
        <v>5121</v>
      </c>
      <c r="I3547">
        <v>3</v>
      </c>
      <c r="K3547" s="57">
        <v>1</v>
      </c>
      <c r="L3547" t="s">
        <v>3959</v>
      </c>
      <c r="M3547" t="s">
        <v>3959</v>
      </c>
      <c r="N3547" t="s">
        <v>3959</v>
      </c>
      <c r="O3547" t="s">
        <v>3959</v>
      </c>
      <c r="P3547" s="57">
        <v>1</v>
      </c>
      <c r="Q3547" s="57">
        <v>0</v>
      </c>
      <c r="R3547" s="57">
        <v>0</v>
      </c>
      <c r="S3547" s="57">
        <v>0</v>
      </c>
      <c r="T3547" s="57">
        <v>0</v>
      </c>
      <c r="U3547" s="57">
        <v>0</v>
      </c>
      <c r="V3547" s="57">
        <v>0</v>
      </c>
      <c r="W3547" s="57">
        <v>0</v>
      </c>
      <c r="X3547" s="57">
        <v>0</v>
      </c>
    </row>
    <row r="3548" spans="1:24" hidden="1" x14ac:dyDescent="0.35">
      <c r="A3548">
        <v>3544</v>
      </c>
      <c r="B3548">
        <v>3545</v>
      </c>
      <c r="C3548">
        <v>146.085554016</v>
      </c>
      <c r="D3548">
        <v>-17.643890684599899</v>
      </c>
      <c r="F3548" t="str">
        <f>HYPERLINK("D:\Data From Lucan\2024\Moresby\Frames_for_Analysis/3545_20240611_0010_R_0082.jpg","3545_20240611_0010_R_0082.jpg")</f>
        <v>3545_20240611_0010_R_0082.jpg</v>
      </c>
      <c r="G3548" s="92" t="s">
        <v>5122</v>
      </c>
      <c r="I3548">
        <v>3</v>
      </c>
      <c r="K3548" s="57">
        <v>1</v>
      </c>
      <c r="P3548" s="57">
        <v>1</v>
      </c>
      <c r="Q3548" s="57">
        <v>0</v>
      </c>
      <c r="R3548" s="57">
        <v>0</v>
      </c>
      <c r="S3548" s="57">
        <v>0</v>
      </c>
      <c r="T3548" s="57">
        <v>0</v>
      </c>
      <c r="U3548" s="57">
        <v>0</v>
      </c>
      <c r="V3548" s="57">
        <v>0</v>
      </c>
      <c r="W3548" s="57">
        <v>0</v>
      </c>
      <c r="X3548" s="57">
        <v>0</v>
      </c>
    </row>
    <row r="3549" spans="1:24" hidden="1" x14ac:dyDescent="0.35">
      <c r="A3549">
        <v>3545</v>
      </c>
      <c r="B3549">
        <v>3546</v>
      </c>
      <c r="C3549">
        <v>146.08546487000001</v>
      </c>
      <c r="D3549">
        <v>-17.643880124199899</v>
      </c>
      <c r="F3549" t="str">
        <f>HYPERLINK("D:\Data From Lucan\2024\Moresby\Frames_for_Analysis/3546_20240611_0010_R_0079.jpg","3546_20240611_0010_R_0079.jpg")</f>
        <v>3546_20240611_0010_R_0079.jpg</v>
      </c>
      <c r="G3549" s="92" t="s">
        <v>5123</v>
      </c>
      <c r="I3549">
        <v>3</v>
      </c>
      <c r="K3549" s="57">
        <v>1</v>
      </c>
      <c r="P3549" s="57">
        <v>1</v>
      </c>
      <c r="Q3549" s="57">
        <v>0</v>
      </c>
      <c r="R3549" s="57">
        <v>0</v>
      </c>
      <c r="S3549" s="57">
        <v>0</v>
      </c>
      <c r="T3549" s="57">
        <v>0</v>
      </c>
      <c r="U3549" s="57">
        <v>0</v>
      </c>
      <c r="V3549" s="57">
        <v>0</v>
      </c>
      <c r="W3549" s="57">
        <v>0</v>
      </c>
      <c r="X3549" s="57">
        <v>0</v>
      </c>
    </row>
    <row r="3550" spans="1:24" hidden="1" x14ac:dyDescent="0.35">
      <c r="A3550">
        <v>3546</v>
      </c>
      <c r="B3550">
        <v>3547</v>
      </c>
      <c r="C3550">
        <v>146.08537572500001</v>
      </c>
      <c r="D3550">
        <v>-17.6438695637999</v>
      </c>
      <c r="F3550" t="str">
        <f>HYPERLINK("D:\Data From Lucan\2024\Moresby\Frames_for_Analysis/3547_20240611_0005_L_0073.jpg","3547_20240611_0005_L_0073.jpg")</f>
        <v>3547_20240611_0005_L_0073.jpg</v>
      </c>
      <c r="G3550" s="92" t="s">
        <v>5124</v>
      </c>
      <c r="I3550">
        <v>3</v>
      </c>
      <c r="K3550" s="57">
        <v>1</v>
      </c>
      <c r="P3550" s="57">
        <v>1</v>
      </c>
      <c r="Q3550" s="57">
        <v>0</v>
      </c>
      <c r="R3550" s="57">
        <v>0</v>
      </c>
      <c r="S3550" s="57">
        <v>0</v>
      </c>
      <c r="T3550" s="57">
        <v>0</v>
      </c>
      <c r="U3550" s="57">
        <v>0</v>
      </c>
      <c r="V3550" s="57">
        <v>0</v>
      </c>
      <c r="W3550" s="57">
        <v>0</v>
      </c>
      <c r="X3550" s="57">
        <v>0</v>
      </c>
    </row>
    <row r="3551" spans="1:24" hidden="1" x14ac:dyDescent="0.35">
      <c r="A3551">
        <v>3547</v>
      </c>
      <c r="B3551">
        <v>3548</v>
      </c>
      <c r="C3551">
        <v>146.08528658</v>
      </c>
      <c r="D3551">
        <v>-17.643859003300001</v>
      </c>
      <c r="F3551" t="str">
        <f>HYPERLINK("D:\Data From Lucan\2024\Moresby\Frames_for_Analysis/3548_20240611_0010_R_0073.jpg","3548_20240611_0010_R_0073.jpg")</f>
        <v>3548_20240611_0010_R_0073.jpg</v>
      </c>
      <c r="G3551" s="92" t="s">
        <v>5125</v>
      </c>
      <c r="I3551">
        <v>3</v>
      </c>
      <c r="K3551" s="57">
        <v>1</v>
      </c>
      <c r="P3551" s="57">
        <v>1</v>
      </c>
      <c r="Q3551" s="57">
        <v>0</v>
      </c>
      <c r="R3551" s="57">
        <v>0</v>
      </c>
      <c r="S3551" s="57">
        <v>0</v>
      </c>
      <c r="T3551" s="57">
        <v>0</v>
      </c>
      <c r="U3551" s="57">
        <v>0</v>
      </c>
      <c r="V3551" s="57">
        <v>0</v>
      </c>
      <c r="W3551" s="57">
        <v>0</v>
      </c>
      <c r="X3551" s="57">
        <v>0</v>
      </c>
    </row>
    <row r="3552" spans="1:24" hidden="1" x14ac:dyDescent="0.35">
      <c r="A3552">
        <v>3548</v>
      </c>
      <c r="B3552">
        <v>3549</v>
      </c>
      <c r="C3552">
        <v>146.08519743400001</v>
      </c>
      <c r="D3552">
        <v>-17.643848442900001</v>
      </c>
      <c r="F3552" t="str">
        <f>HYPERLINK("D:\Data From Lucan\2024\Moresby\Frames_for_Analysis/3549_20240611_0005_L_0078.jpg","3549_20240611_0005_L_0078.jpg")</f>
        <v>3549_20240611_0005_L_0078.jpg</v>
      </c>
      <c r="G3552" s="92" t="s">
        <v>5126</v>
      </c>
      <c r="I3552">
        <v>3</v>
      </c>
      <c r="K3552" s="57">
        <v>1</v>
      </c>
      <c r="P3552" s="57">
        <v>1</v>
      </c>
      <c r="Q3552" s="57">
        <v>0</v>
      </c>
      <c r="R3552" s="57">
        <v>0</v>
      </c>
      <c r="S3552" s="57">
        <v>0</v>
      </c>
      <c r="T3552" s="57">
        <v>0</v>
      </c>
      <c r="U3552" s="57">
        <v>0</v>
      </c>
      <c r="V3552" s="57">
        <v>0</v>
      </c>
      <c r="W3552" s="57">
        <v>0</v>
      </c>
      <c r="X3552" s="57">
        <v>0</v>
      </c>
    </row>
    <row r="3553" spans="1:24" hidden="1" x14ac:dyDescent="0.35">
      <c r="A3553">
        <v>3549</v>
      </c>
      <c r="B3553">
        <v>3550</v>
      </c>
      <c r="C3553">
        <v>146.08510832900001</v>
      </c>
      <c r="D3553">
        <v>-17.643837591899899</v>
      </c>
      <c r="F3553" t="str">
        <f>HYPERLINK("D:\Data From Lucan\2024\Moresby\Frames_for_Analysis/3550_20240611_0010_R_0067.jpg","3550_20240611_0010_R_0067.jpg")</f>
        <v>3550_20240611_0010_R_0067.jpg</v>
      </c>
      <c r="G3553" s="92" t="s">
        <v>5127</v>
      </c>
      <c r="I3553">
        <v>3</v>
      </c>
      <c r="K3553" s="57">
        <v>1</v>
      </c>
      <c r="P3553" s="57">
        <v>1</v>
      </c>
      <c r="Q3553" s="57">
        <v>0</v>
      </c>
      <c r="R3553" s="57">
        <v>0</v>
      </c>
      <c r="S3553" s="57">
        <v>0</v>
      </c>
      <c r="T3553" s="57">
        <v>0</v>
      </c>
      <c r="U3553" s="57">
        <v>0</v>
      </c>
      <c r="V3553" s="57">
        <v>0</v>
      </c>
      <c r="W3553" s="57">
        <v>0</v>
      </c>
      <c r="X3553" s="57">
        <v>0</v>
      </c>
    </row>
    <row r="3554" spans="1:24" hidden="1" x14ac:dyDescent="0.35">
      <c r="A3554">
        <v>3550</v>
      </c>
      <c r="B3554">
        <v>3551</v>
      </c>
      <c r="C3554">
        <v>146.085019332999</v>
      </c>
      <c r="D3554">
        <v>-17.643825944</v>
      </c>
      <c r="F3554" t="str">
        <f>HYPERLINK("D:\Data From Lucan\2024\Moresby\Frames_for_Analysis/3551_20240611_0005_L_0083.jpg","3551_20240611_0005_L_0083.jpg")</f>
        <v>3551_20240611_0005_L_0083.jpg</v>
      </c>
      <c r="G3554" s="92" t="s">
        <v>5128</v>
      </c>
      <c r="I3554">
        <v>3</v>
      </c>
      <c r="K3554" s="57" t="s">
        <v>3959</v>
      </c>
      <c r="S3554" s="57"/>
      <c r="X3554" s="57"/>
    </row>
    <row r="3555" spans="1:24" hidden="1" x14ac:dyDescent="0.35">
      <c r="A3555">
        <v>3551</v>
      </c>
      <c r="B3555">
        <v>3552</v>
      </c>
      <c r="C3555">
        <v>146.084930337</v>
      </c>
      <c r="D3555">
        <v>-17.643814295999899</v>
      </c>
      <c r="F3555" t="str">
        <f>HYPERLINK("D:\Data From Lucan\2024\Moresby\Frames_for_Analysis/3552_20240611_0005_L_0086.jpg","3552_20240611_0005_L_0086.jpg")</f>
        <v>3552_20240611_0005_L_0086.jpg</v>
      </c>
      <c r="G3555" s="92" t="s">
        <v>5129</v>
      </c>
      <c r="I3555">
        <v>3</v>
      </c>
      <c r="K3555" s="57">
        <v>1</v>
      </c>
      <c r="P3555" s="57">
        <v>1</v>
      </c>
      <c r="Q3555" s="57">
        <v>0</v>
      </c>
      <c r="R3555" s="57">
        <v>0</v>
      </c>
      <c r="S3555" s="57">
        <v>0</v>
      </c>
      <c r="T3555" s="57">
        <v>0</v>
      </c>
      <c r="U3555" s="57">
        <v>0</v>
      </c>
      <c r="V3555" s="57">
        <v>0</v>
      </c>
      <c r="W3555" s="57">
        <v>0</v>
      </c>
      <c r="X3555" s="57">
        <v>0</v>
      </c>
    </row>
    <row r="3556" spans="1:24" hidden="1" x14ac:dyDescent="0.35">
      <c r="A3556">
        <v>3552</v>
      </c>
      <c r="B3556">
        <v>3553</v>
      </c>
      <c r="C3556">
        <v>146.08484134099899</v>
      </c>
      <c r="D3556">
        <v>-17.6438026480999</v>
      </c>
      <c r="F3556" t="str">
        <f>HYPERLINK("D:\Data From Lucan\2024\Moresby\Frames_for_Analysis/3553_20240611_0010_R_0058.jpg","3553_20240611_0010_R_0058.jpg")</f>
        <v>3553_20240611_0010_R_0058.jpg</v>
      </c>
      <c r="G3556" s="92" t="s">
        <v>5130</v>
      </c>
      <c r="I3556">
        <v>3</v>
      </c>
      <c r="K3556" s="57">
        <v>1</v>
      </c>
      <c r="P3556" s="57">
        <v>1</v>
      </c>
      <c r="Q3556" s="57">
        <v>0</v>
      </c>
      <c r="R3556" s="57">
        <v>0</v>
      </c>
      <c r="S3556" s="57">
        <v>0</v>
      </c>
      <c r="T3556" s="57">
        <v>0</v>
      </c>
      <c r="U3556" s="57">
        <v>0</v>
      </c>
      <c r="V3556" s="57">
        <v>0</v>
      </c>
      <c r="W3556" s="57">
        <v>0</v>
      </c>
      <c r="X3556" s="57">
        <v>0</v>
      </c>
    </row>
    <row r="3557" spans="1:24" hidden="1" x14ac:dyDescent="0.35">
      <c r="A3557">
        <v>3553</v>
      </c>
      <c r="B3557">
        <v>3554</v>
      </c>
      <c r="C3557">
        <v>146.084752344999</v>
      </c>
      <c r="D3557">
        <v>-17.6437910002</v>
      </c>
      <c r="F3557" t="str">
        <f>HYPERLINK("D:\Data From Lucan\2024\Moresby\Frames_for_Analysis/3554_20240611_0010_R_0055.jpg","3554_20240611_0010_R_0055.jpg")</f>
        <v>3554_20240611_0010_R_0055.jpg</v>
      </c>
      <c r="G3557" s="92" t="s">
        <v>5131</v>
      </c>
      <c r="I3557">
        <v>3</v>
      </c>
      <c r="K3557" s="57">
        <v>1</v>
      </c>
      <c r="P3557" s="57">
        <v>1</v>
      </c>
      <c r="Q3557" s="57">
        <v>0</v>
      </c>
      <c r="R3557" s="57">
        <v>0</v>
      </c>
      <c r="S3557" s="57">
        <v>0</v>
      </c>
      <c r="T3557" s="57">
        <v>0</v>
      </c>
      <c r="U3557" s="57">
        <v>0</v>
      </c>
      <c r="V3557" s="57">
        <v>0</v>
      </c>
      <c r="W3557" s="57">
        <v>0</v>
      </c>
      <c r="X3557" s="57">
        <v>0</v>
      </c>
    </row>
    <row r="3558" spans="1:24" hidden="1" x14ac:dyDescent="0.35">
      <c r="A3558">
        <v>3554</v>
      </c>
      <c r="B3558">
        <v>3555</v>
      </c>
      <c r="C3558">
        <v>146.08466904700001</v>
      </c>
      <c r="D3558">
        <v>-17.6437634559</v>
      </c>
      <c r="F3558" t="str">
        <f>HYPERLINK("D:\Data From Lucan\2024\Moresby\Frames_for_Analysis/3555_20240611_0005_L_0093.jpg","3555_20240611_0005_L_0093.jpg")</f>
        <v>3555_20240611_0005_L_0093.jpg</v>
      </c>
      <c r="G3558" s="92" t="s">
        <v>5132</v>
      </c>
      <c r="I3558">
        <v>3</v>
      </c>
      <c r="K3558" s="57" t="s">
        <v>3959</v>
      </c>
      <c r="S3558" s="57"/>
      <c r="X3558" s="57"/>
    </row>
    <row r="3559" spans="1:24" hidden="1" x14ac:dyDescent="0.35">
      <c r="A3559">
        <v>3555</v>
      </c>
      <c r="B3559">
        <v>3556</v>
      </c>
      <c r="C3559">
        <v>146.084591176</v>
      </c>
      <c r="D3559">
        <v>-17.6437207771</v>
      </c>
      <c r="F3559" t="str">
        <f>HYPERLINK("D:\Data From Lucan\2024\Moresby\Frames_for_Analysis/3556_20240611_0005_L_0096.jpg","3556_20240611_0005_L_0096.jpg")</f>
        <v>3556_20240611_0005_L_0096.jpg</v>
      </c>
      <c r="G3559" s="92" t="s">
        <v>5133</v>
      </c>
      <c r="I3559">
        <v>3</v>
      </c>
      <c r="K3559" s="57">
        <v>1</v>
      </c>
      <c r="P3559" s="57">
        <v>1</v>
      </c>
      <c r="Q3559" s="57">
        <v>0</v>
      </c>
      <c r="R3559" s="57">
        <v>0</v>
      </c>
      <c r="S3559" s="57">
        <v>0</v>
      </c>
      <c r="T3559" s="57">
        <v>0</v>
      </c>
      <c r="U3559" s="57">
        <v>0</v>
      </c>
      <c r="V3559" s="57">
        <v>0</v>
      </c>
      <c r="W3559" s="57">
        <v>0</v>
      </c>
      <c r="X3559" s="57">
        <v>0</v>
      </c>
    </row>
    <row r="3560" spans="1:24" hidden="1" x14ac:dyDescent="0.35">
      <c r="A3560">
        <v>3556</v>
      </c>
      <c r="B3560">
        <v>3557</v>
      </c>
      <c r="C3560">
        <v>146.08451330400001</v>
      </c>
      <c r="D3560">
        <v>-17.643678098300001</v>
      </c>
      <c r="F3560" t="str">
        <f>HYPERLINK("D:\Data From Lucan\2024\Moresby\Frames_for_Analysis/3557_20240611_0010_R_0047.jpg","3557_20240611_0010_R_0047.jpg")</f>
        <v>3557_20240611_0010_R_0047.jpg</v>
      </c>
      <c r="G3560" s="92" t="s">
        <v>5134</v>
      </c>
      <c r="I3560">
        <v>3</v>
      </c>
      <c r="K3560" s="57">
        <v>1</v>
      </c>
      <c r="P3560" s="57">
        <v>1</v>
      </c>
      <c r="Q3560" s="57">
        <v>0</v>
      </c>
      <c r="R3560" s="57">
        <v>0</v>
      </c>
      <c r="S3560" s="57">
        <v>0</v>
      </c>
      <c r="T3560" s="57">
        <v>0</v>
      </c>
      <c r="U3560" s="57">
        <v>0</v>
      </c>
      <c r="V3560" s="57">
        <v>0</v>
      </c>
      <c r="W3560" s="57">
        <v>0</v>
      </c>
      <c r="X3560" s="57">
        <v>0</v>
      </c>
    </row>
    <row r="3561" spans="1:24" hidden="1" x14ac:dyDescent="0.35">
      <c r="A3561">
        <v>3557</v>
      </c>
      <c r="B3561">
        <v>3558</v>
      </c>
      <c r="C3561">
        <v>146.08443447400001</v>
      </c>
      <c r="D3561">
        <v>-17.6436372161</v>
      </c>
      <c r="F3561" t="str">
        <f>HYPERLINK("D:\Data From Lucan\2024\Moresby\Frames_for_Analysis/3558_20240611_0010_R_0044.jpg","3558_20240611_0010_R_0044.jpg")</f>
        <v>3558_20240611_0010_R_0044.jpg</v>
      </c>
      <c r="G3561" s="92" t="s">
        <v>5135</v>
      </c>
      <c r="I3561">
        <v>3</v>
      </c>
      <c r="K3561" s="57">
        <v>1</v>
      </c>
      <c r="P3561" s="57">
        <v>1</v>
      </c>
      <c r="Q3561" s="57">
        <v>0</v>
      </c>
      <c r="R3561" s="57">
        <v>0</v>
      </c>
      <c r="S3561" s="57">
        <v>0</v>
      </c>
      <c r="T3561" s="57">
        <v>0</v>
      </c>
      <c r="U3561" s="57">
        <v>0</v>
      </c>
      <c r="V3561" s="57">
        <v>0</v>
      </c>
      <c r="W3561" s="57">
        <v>0</v>
      </c>
      <c r="X3561" s="57">
        <v>0</v>
      </c>
    </row>
    <row r="3562" spans="1:24" hidden="1" x14ac:dyDescent="0.35">
      <c r="A3562">
        <v>3558</v>
      </c>
      <c r="B3562">
        <v>3559</v>
      </c>
      <c r="C3562">
        <v>146.084352432</v>
      </c>
      <c r="D3562">
        <v>-17.643602346800002</v>
      </c>
      <c r="F3562" t="str">
        <f>HYPERLINK("D:\Data From Lucan\2024\Moresby\Frames_for_Analysis/3559_20240611_0010_R_0040.jpg","3559_20240611_0010_R_0040.jpg")</f>
        <v>3559_20240611_0010_R_0040.jpg</v>
      </c>
      <c r="G3562" s="92" t="s">
        <v>5136</v>
      </c>
      <c r="I3562">
        <v>3</v>
      </c>
      <c r="K3562" s="57">
        <v>1</v>
      </c>
      <c r="P3562" s="57">
        <v>1</v>
      </c>
      <c r="Q3562" s="57">
        <v>0</v>
      </c>
      <c r="R3562" s="57">
        <v>0</v>
      </c>
      <c r="S3562" s="57">
        <v>0</v>
      </c>
      <c r="T3562" s="57">
        <v>0</v>
      </c>
      <c r="U3562" s="57">
        <v>0</v>
      </c>
      <c r="V3562" s="57">
        <v>0</v>
      </c>
      <c r="W3562" s="57">
        <v>0</v>
      </c>
      <c r="X3562" s="57">
        <v>0</v>
      </c>
    </row>
    <row r="3563" spans="1:24" hidden="1" x14ac:dyDescent="0.35">
      <c r="A3563">
        <v>3559</v>
      </c>
      <c r="B3563">
        <v>3560</v>
      </c>
      <c r="C3563">
        <v>146.08427039</v>
      </c>
      <c r="D3563">
        <v>-17.6435674775</v>
      </c>
      <c r="F3563" t="str">
        <f>HYPERLINK("D:\Data From Lucan\2024\Moresby\Frames_for_Analysis/3560_20240611_0005_L_0107.jpg","3560_20240611_0005_L_0107.jpg")</f>
        <v>3560_20240611_0005_L_0107.jpg</v>
      </c>
      <c r="G3563" s="92" t="s">
        <v>5137</v>
      </c>
      <c r="I3563">
        <v>3</v>
      </c>
      <c r="K3563" s="57">
        <v>1</v>
      </c>
      <c r="P3563" s="57">
        <v>1</v>
      </c>
      <c r="Q3563" s="57">
        <v>0</v>
      </c>
      <c r="R3563" s="57">
        <v>0</v>
      </c>
      <c r="S3563" s="57">
        <v>0</v>
      </c>
      <c r="T3563" s="57">
        <v>0</v>
      </c>
      <c r="U3563" s="57">
        <v>0</v>
      </c>
      <c r="V3563" s="57">
        <v>0</v>
      </c>
      <c r="W3563" s="57">
        <v>0</v>
      </c>
      <c r="X3563" s="57">
        <v>0</v>
      </c>
    </row>
    <row r="3564" spans="1:24" hidden="1" x14ac:dyDescent="0.35">
      <c r="A3564">
        <v>3560</v>
      </c>
      <c r="B3564">
        <v>3561</v>
      </c>
      <c r="C3564">
        <v>146.08418834899899</v>
      </c>
      <c r="D3564">
        <v>-17.643532608200001</v>
      </c>
      <c r="F3564" t="str">
        <f>HYPERLINK("D:\Data From Lucan\2024\Moresby\Frames_for_Analysis/3561_20240611_0010_R_0034.jpg","3561_20240611_0010_R_0034.jpg")</f>
        <v>3561_20240611_0010_R_0034.jpg</v>
      </c>
      <c r="G3564" s="92" t="s">
        <v>5138</v>
      </c>
      <c r="I3564">
        <v>3</v>
      </c>
      <c r="K3564" s="57">
        <v>1</v>
      </c>
      <c r="P3564" s="57">
        <v>1</v>
      </c>
      <c r="Q3564" s="57">
        <v>0</v>
      </c>
      <c r="R3564" s="57">
        <v>0</v>
      </c>
      <c r="S3564" s="57">
        <v>0</v>
      </c>
      <c r="T3564" s="57">
        <v>0</v>
      </c>
      <c r="U3564" s="57">
        <v>0</v>
      </c>
      <c r="V3564" s="57">
        <v>0</v>
      </c>
      <c r="W3564" s="57">
        <v>0</v>
      </c>
      <c r="X3564" s="57">
        <v>0</v>
      </c>
    </row>
    <row r="3565" spans="1:24" hidden="1" x14ac:dyDescent="0.35">
      <c r="A3565">
        <v>3561</v>
      </c>
      <c r="B3565">
        <v>3562</v>
      </c>
      <c r="C3565">
        <v>146.08410630700001</v>
      </c>
      <c r="D3565">
        <v>-17.643497738800001</v>
      </c>
      <c r="F3565" t="str">
        <f>HYPERLINK("D:\Data From Lucan\2024\Moresby\Frames_for_Analysis/3562_20240611_0010_R_0031.jpg","3562_20240611_0010_R_0031.jpg")</f>
        <v>3562_20240611_0010_R_0031.jpg</v>
      </c>
      <c r="G3565" s="92" t="s">
        <v>5139</v>
      </c>
      <c r="I3565">
        <v>3</v>
      </c>
      <c r="K3565" s="57">
        <v>1</v>
      </c>
      <c r="P3565" s="57">
        <v>1</v>
      </c>
      <c r="Q3565" s="57">
        <v>0</v>
      </c>
      <c r="R3565" s="57">
        <v>0</v>
      </c>
      <c r="S3565" s="57">
        <v>0</v>
      </c>
      <c r="T3565" s="57">
        <v>0</v>
      </c>
      <c r="U3565" s="57">
        <v>0</v>
      </c>
      <c r="V3565" s="57">
        <v>0</v>
      </c>
      <c r="W3565" s="57">
        <v>0</v>
      </c>
      <c r="X3565" s="57">
        <v>0</v>
      </c>
    </row>
    <row r="3566" spans="1:24" hidden="1" x14ac:dyDescent="0.35">
      <c r="A3566">
        <v>3562</v>
      </c>
      <c r="B3566">
        <v>3563</v>
      </c>
      <c r="C3566">
        <v>146.084023698999</v>
      </c>
      <c r="D3566">
        <v>-17.643464109500002</v>
      </c>
      <c r="F3566" t="str">
        <f>HYPERLINK("D:\Data From Lucan\2024\Moresby\Frames_for_Analysis/3563_20240611_0010_R_0027.jpg","3563_20240611_0010_R_0027.jpg")</f>
        <v>3563_20240611_0010_R_0027.jpg</v>
      </c>
      <c r="G3566" s="92" t="s">
        <v>5140</v>
      </c>
      <c r="I3566">
        <v>3</v>
      </c>
      <c r="K3566" s="57">
        <v>1</v>
      </c>
      <c r="P3566" s="57">
        <v>1</v>
      </c>
      <c r="Q3566" s="57">
        <v>0</v>
      </c>
      <c r="R3566" s="57">
        <v>0</v>
      </c>
      <c r="S3566" s="57">
        <v>0</v>
      </c>
      <c r="T3566" s="57">
        <v>0</v>
      </c>
      <c r="U3566" s="57">
        <v>0</v>
      </c>
      <c r="V3566" s="57">
        <v>0</v>
      </c>
      <c r="W3566" s="57">
        <v>0</v>
      </c>
      <c r="X3566" s="57">
        <v>0</v>
      </c>
    </row>
    <row r="3567" spans="1:24" hidden="1" x14ac:dyDescent="0.35">
      <c r="A3567">
        <v>3563</v>
      </c>
      <c r="B3567">
        <v>3564</v>
      </c>
      <c r="C3567">
        <v>146.083941022</v>
      </c>
      <c r="D3567">
        <v>-17.643430628800001</v>
      </c>
      <c r="F3567" t="str">
        <f>HYPERLINK("D:\Data From Lucan\2024\Moresby\Frames_for_Analysis/3564_20240611_0010_R_0023.jpg","3564_20240611_0010_R_0023.jpg")</f>
        <v>3564_20240611_0010_R_0023.jpg</v>
      </c>
      <c r="G3567" s="92" t="s">
        <v>5141</v>
      </c>
      <c r="I3567">
        <v>3</v>
      </c>
      <c r="K3567" s="57">
        <v>1</v>
      </c>
      <c r="P3567" s="57">
        <v>1</v>
      </c>
      <c r="Q3567" s="57">
        <v>0</v>
      </c>
      <c r="R3567" s="57">
        <v>0</v>
      </c>
      <c r="S3567" s="57">
        <v>0</v>
      </c>
      <c r="T3567" s="57">
        <v>0</v>
      </c>
      <c r="U3567" s="57">
        <v>0</v>
      </c>
      <c r="V3567" s="57">
        <v>0</v>
      </c>
      <c r="W3567" s="57">
        <v>0</v>
      </c>
      <c r="X3567" s="57">
        <v>0</v>
      </c>
    </row>
    <row r="3568" spans="1:24" hidden="1" x14ac:dyDescent="0.35">
      <c r="A3568">
        <v>3564</v>
      </c>
      <c r="B3568">
        <v>3565</v>
      </c>
      <c r="C3568">
        <v>146.083858346</v>
      </c>
      <c r="D3568">
        <v>-17.643397147999899</v>
      </c>
      <c r="F3568" t="str">
        <f>HYPERLINK("D:\Data From Lucan\2024\Moresby\Frames_for_Analysis/3565_20240611_0010_R_0019.jpg","3565_20240611_0010_R_0019.jpg")</f>
        <v>3565_20240611_0010_R_0019.jpg</v>
      </c>
      <c r="G3568" s="92" t="s">
        <v>5142</v>
      </c>
      <c r="I3568">
        <v>3</v>
      </c>
      <c r="K3568" s="57">
        <v>1</v>
      </c>
      <c r="P3568" s="57">
        <v>1</v>
      </c>
      <c r="Q3568" s="57">
        <v>0</v>
      </c>
      <c r="R3568" s="57">
        <v>0</v>
      </c>
      <c r="S3568" s="57">
        <v>0</v>
      </c>
      <c r="T3568" s="57">
        <v>0</v>
      </c>
      <c r="U3568" s="57">
        <v>0</v>
      </c>
      <c r="V3568" s="57">
        <v>0</v>
      </c>
      <c r="W3568" s="57">
        <v>0</v>
      </c>
      <c r="X3568" s="57">
        <v>0</v>
      </c>
    </row>
    <row r="3569" spans="1:24" hidden="1" x14ac:dyDescent="0.35">
      <c r="A3569">
        <v>3565</v>
      </c>
      <c r="B3569">
        <v>3566</v>
      </c>
      <c r="C3569">
        <v>146.08378358300001</v>
      </c>
      <c r="D3569">
        <v>-17.643350875300001</v>
      </c>
      <c r="F3569" t="str">
        <f>HYPERLINK("D:\Data From Lucan\2024\Moresby\Frames_for_Analysis/3566_20240611_0005_L_0124.jpg","3566_20240611_0005_L_0124.jpg")</f>
        <v>3566_20240611_0005_L_0124.jpg</v>
      </c>
      <c r="G3569" s="92" t="s">
        <v>5143</v>
      </c>
      <c r="I3569">
        <v>3</v>
      </c>
      <c r="K3569" s="57">
        <v>1</v>
      </c>
      <c r="L3569" t="s">
        <v>3959</v>
      </c>
      <c r="M3569" t="s">
        <v>3959</v>
      </c>
      <c r="N3569" t="s">
        <v>3959</v>
      </c>
      <c r="O3569" t="s">
        <v>3959</v>
      </c>
      <c r="P3569" s="57">
        <v>1</v>
      </c>
      <c r="Q3569" s="57">
        <v>0</v>
      </c>
      <c r="R3569" s="57">
        <v>0</v>
      </c>
      <c r="S3569" s="57">
        <v>0</v>
      </c>
      <c r="T3569" s="57">
        <v>0</v>
      </c>
      <c r="U3569" s="57">
        <v>0</v>
      </c>
      <c r="V3569" s="57">
        <v>0</v>
      </c>
      <c r="W3569" s="57">
        <v>0</v>
      </c>
      <c r="X3569" s="57">
        <v>0</v>
      </c>
    </row>
    <row r="3570" spans="1:24" hidden="1" x14ac:dyDescent="0.35">
      <c r="A3570">
        <v>3566</v>
      </c>
      <c r="B3570">
        <v>3567</v>
      </c>
      <c r="C3570">
        <v>146.08371281000001</v>
      </c>
      <c r="D3570">
        <v>-17.643298152300002</v>
      </c>
      <c r="F3570" t="str">
        <f>HYPERLINK("D:\Data From Lucan\2024\Moresby\Frames_for_Analysis/3567_20240611_0005_L_0127.jpg","3567_20240611_0005_L_0127.jpg")</f>
        <v>3567_20240611_0005_L_0127.jpg</v>
      </c>
      <c r="G3570" s="92" t="s">
        <v>5144</v>
      </c>
      <c r="I3570">
        <v>3</v>
      </c>
      <c r="K3570" s="57">
        <v>1</v>
      </c>
      <c r="L3570" t="s">
        <v>3959</v>
      </c>
      <c r="M3570" t="s">
        <v>3959</v>
      </c>
      <c r="N3570" t="s">
        <v>3959</v>
      </c>
      <c r="O3570" t="s">
        <v>3959</v>
      </c>
      <c r="P3570" s="57">
        <v>1</v>
      </c>
      <c r="Q3570" s="57">
        <v>0</v>
      </c>
      <c r="R3570" s="57">
        <v>0</v>
      </c>
      <c r="S3570" s="57">
        <v>0</v>
      </c>
      <c r="T3570" s="57">
        <v>0</v>
      </c>
      <c r="U3570" s="57">
        <v>0</v>
      </c>
      <c r="V3570" s="57">
        <v>0</v>
      </c>
      <c r="W3570" s="57">
        <v>0</v>
      </c>
      <c r="X3570" s="57">
        <v>0</v>
      </c>
    </row>
    <row r="3571" spans="1:24" hidden="1" x14ac:dyDescent="0.35">
      <c r="A3571">
        <v>3567</v>
      </c>
      <c r="B3571">
        <v>3568</v>
      </c>
      <c r="C3571">
        <v>146.083642037</v>
      </c>
      <c r="D3571">
        <v>-17.6432454294</v>
      </c>
      <c r="F3571" t="str">
        <f>HYPERLINK("D:\Data From Lucan\2024\Moresby\Frames_for_Analysis/3568_20240611_0010_R_0006.jpg","3568_20240611_0010_R_0006.jpg")</f>
        <v>3568_20240611_0010_R_0006.jpg</v>
      </c>
      <c r="G3571" s="92" t="s">
        <v>5145</v>
      </c>
      <c r="I3571">
        <v>3</v>
      </c>
      <c r="K3571" s="57">
        <v>1</v>
      </c>
      <c r="L3571" t="s">
        <v>3959</v>
      </c>
      <c r="M3571" t="s">
        <v>3959</v>
      </c>
      <c r="N3571" t="s">
        <v>3959</v>
      </c>
      <c r="O3571" t="s">
        <v>3959</v>
      </c>
      <c r="P3571" s="57">
        <v>1</v>
      </c>
      <c r="Q3571" s="57">
        <v>0</v>
      </c>
      <c r="R3571" s="57">
        <v>0</v>
      </c>
      <c r="S3571" s="57">
        <v>0</v>
      </c>
      <c r="T3571" s="57">
        <v>0</v>
      </c>
      <c r="U3571" s="57">
        <v>0</v>
      </c>
      <c r="V3571" s="57">
        <v>0</v>
      </c>
      <c r="W3571" s="57">
        <v>0</v>
      </c>
      <c r="X3571" s="57">
        <v>0</v>
      </c>
    </row>
    <row r="3572" spans="1:24" hidden="1" x14ac:dyDescent="0.35">
      <c r="A3572">
        <v>3568</v>
      </c>
      <c r="B3572">
        <v>3569</v>
      </c>
      <c r="C3572">
        <v>146.083571264</v>
      </c>
      <c r="D3572">
        <v>-17.643192706400001</v>
      </c>
      <c r="F3572" t="str">
        <f>HYPERLINK("D:\Data From Lucan\2024\Moresby\Frames_for_Analysis/3569_20240611_0005_L_0132.jpg","3569_20240611_0005_L_0132.jpg")</f>
        <v>3569_20240611_0005_L_0132.jpg</v>
      </c>
      <c r="G3572" s="92" t="s">
        <v>5146</v>
      </c>
      <c r="I3572">
        <v>3</v>
      </c>
      <c r="K3572" s="57">
        <v>1</v>
      </c>
      <c r="L3572" t="s">
        <v>3959</v>
      </c>
      <c r="M3572" t="s">
        <v>3959</v>
      </c>
      <c r="N3572" t="s">
        <v>3959</v>
      </c>
      <c r="O3572" t="s">
        <v>3959</v>
      </c>
      <c r="P3572" s="57">
        <v>1</v>
      </c>
      <c r="Q3572" s="57">
        <v>0</v>
      </c>
      <c r="R3572" s="57">
        <v>0</v>
      </c>
      <c r="S3572" s="57">
        <v>0</v>
      </c>
      <c r="T3572" s="57">
        <v>0</v>
      </c>
      <c r="U3572" s="57">
        <v>0</v>
      </c>
      <c r="V3572" s="57">
        <v>0</v>
      </c>
      <c r="W3572" s="57">
        <v>0</v>
      </c>
      <c r="X3572" s="57">
        <v>0</v>
      </c>
    </row>
    <row r="3573" spans="1:24" hidden="1" x14ac:dyDescent="0.35">
      <c r="A3573">
        <v>3569</v>
      </c>
      <c r="B3573">
        <v>3570</v>
      </c>
      <c r="C3573">
        <v>146.08350049200001</v>
      </c>
      <c r="D3573">
        <v>-17.643139983400001</v>
      </c>
      <c r="F3573" t="str">
        <f>HYPERLINK("D:\Data From Lucan\2024\Moresby\Frames_for_Analysis/3570_20240611_0005_L_0134.jpg","3570_20240611_0005_L_0134.jpg")</f>
        <v>3570_20240611_0005_L_0134.jpg</v>
      </c>
      <c r="G3573" s="92" t="s">
        <v>5147</v>
      </c>
      <c r="I3573">
        <v>3</v>
      </c>
      <c r="K3573" s="57">
        <v>1</v>
      </c>
      <c r="L3573" t="s">
        <v>3959</v>
      </c>
      <c r="M3573" t="s">
        <v>3959</v>
      </c>
      <c r="N3573" t="s">
        <v>3959</v>
      </c>
      <c r="O3573" t="s">
        <v>3959</v>
      </c>
      <c r="P3573" s="57">
        <v>1</v>
      </c>
      <c r="Q3573" s="57">
        <v>0</v>
      </c>
      <c r="R3573" s="57">
        <v>0</v>
      </c>
      <c r="S3573" s="57">
        <v>0</v>
      </c>
      <c r="T3573" s="57">
        <v>0</v>
      </c>
      <c r="U3573" s="57">
        <v>0</v>
      </c>
      <c r="V3573" s="57">
        <v>0</v>
      </c>
      <c r="W3573" s="57">
        <v>0</v>
      </c>
      <c r="X3573" s="57">
        <v>0</v>
      </c>
    </row>
    <row r="3574" spans="1:24" hidden="1" x14ac:dyDescent="0.35">
      <c r="A3574">
        <v>3570</v>
      </c>
      <c r="B3574">
        <v>3571</v>
      </c>
      <c r="C3574">
        <v>146.08342971900001</v>
      </c>
      <c r="D3574">
        <v>-17.6430872603</v>
      </c>
      <c r="F3574" t="str">
        <f>HYPERLINK("D:\Data From Lucan\2024\Moresby\Frames_for_Analysis/3571_20240611_0005_L_0137.jpg","3571_20240611_0005_L_0137.jpg")</f>
        <v>3571_20240611_0005_L_0137.jpg</v>
      </c>
      <c r="G3574" s="92" t="s">
        <v>5148</v>
      </c>
      <c r="I3574">
        <v>3</v>
      </c>
      <c r="K3574" s="57">
        <v>1</v>
      </c>
      <c r="L3574" t="s">
        <v>3959</v>
      </c>
      <c r="M3574" t="s">
        <v>3959</v>
      </c>
      <c r="N3574" t="s">
        <v>3959</v>
      </c>
      <c r="O3574" t="s">
        <v>3959</v>
      </c>
      <c r="P3574" s="57">
        <v>1</v>
      </c>
      <c r="Q3574" s="57">
        <v>0</v>
      </c>
      <c r="R3574" s="57">
        <v>0</v>
      </c>
      <c r="S3574" s="57">
        <v>0</v>
      </c>
      <c r="T3574" s="57">
        <v>0</v>
      </c>
      <c r="U3574" s="57">
        <v>0</v>
      </c>
      <c r="V3574" s="57">
        <v>0</v>
      </c>
      <c r="W3574" s="57">
        <v>0</v>
      </c>
      <c r="X3574" s="57">
        <v>0</v>
      </c>
    </row>
    <row r="3575" spans="1:24" hidden="1" x14ac:dyDescent="0.35">
      <c r="A3575">
        <v>3571</v>
      </c>
      <c r="B3575">
        <v>3572</v>
      </c>
      <c r="C3575">
        <v>146.083360051</v>
      </c>
      <c r="D3575">
        <v>-17.6430332388999</v>
      </c>
      <c r="F3575" t="str">
        <f>HYPERLINK("D:\Data From Lucan\2024\Moresby\Frames_for_Analysis/3572_20240611_0005_L_0139.jpg","3572_20240611_0005_L_0139.jpg")</f>
        <v>3572_20240611_0005_L_0139.jpg</v>
      </c>
      <c r="G3575" s="92" t="s">
        <v>5149</v>
      </c>
      <c r="I3575">
        <v>3</v>
      </c>
      <c r="K3575" s="57">
        <v>1</v>
      </c>
      <c r="L3575" t="s">
        <v>3959</v>
      </c>
      <c r="M3575" t="s">
        <v>3959</v>
      </c>
      <c r="N3575" t="s">
        <v>3959</v>
      </c>
      <c r="O3575" t="s">
        <v>3959</v>
      </c>
      <c r="P3575" s="57">
        <v>1</v>
      </c>
      <c r="Q3575" s="57">
        <v>0</v>
      </c>
      <c r="R3575" s="57">
        <v>0</v>
      </c>
      <c r="S3575" s="57">
        <v>0</v>
      </c>
      <c r="T3575" s="57">
        <v>0</v>
      </c>
      <c r="U3575" s="57">
        <v>0</v>
      </c>
      <c r="V3575" s="57">
        <v>0</v>
      </c>
      <c r="W3575" s="57">
        <v>0</v>
      </c>
      <c r="X3575" s="57">
        <v>0</v>
      </c>
    </row>
    <row r="3576" spans="1:24" hidden="1" x14ac:dyDescent="0.35">
      <c r="A3576">
        <v>3572</v>
      </c>
      <c r="B3576">
        <v>3573</v>
      </c>
      <c r="C3576">
        <v>146.08329129699899</v>
      </c>
      <c r="D3576">
        <v>-17.642978142899899</v>
      </c>
      <c r="F3576" t="str">
        <f>HYPERLINK("D:\Data From Lucan\2024\Moresby\Frames_for_Analysis/3573_20240611_0005_L_0141.jpg","3573_20240611_0005_L_0141.jpg")</f>
        <v>3573_20240611_0005_L_0141.jpg</v>
      </c>
      <c r="G3576" s="92" t="s">
        <v>5150</v>
      </c>
      <c r="I3576">
        <v>3</v>
      </c>
      <c r="K3576" s="57">
        <v>1</v>
      </c>
      <c r="L3576" t="s">
        <v>3959</v>
      </c>
      <c r="M3576" t="s">
        <v>3959</v>
      </c>
      <c r="N3576" t="s">
        <v>3959</v>
      </c>
      <c r="O3576" t="s">
        <v>3959</v>
      </c>
      <c r="P3576" s="57">
        <v>1</v>
      </c>
      <c r="Q3576" s="57">
        <v>0</v>
      </c>
      <c r="R3576" s="57">
        <v>0</v>
      </c>
      <c r="S3576" s="57">
        <v>0</v>
      </c>
      <c r="T3576" s="57">
        <v>0</v>
      </c>
      <c r="U3576" s="57">
        <v>0</v>
      </c>
      <c r="V3576" s="57">
        <v>0</v>
      </c>
      <c r="W3576" s="57">
        <v>0</v>
      </c>
      <c r="X3576" s="57">
        <v>0</v>
      </c>
    </row>
    <row r="3577" spans="1:24" hidden="1" x14ac:dyDescent="0.35">
      <c r="A3577">
        <v>3573</v>
      </c>
      <c r="B3577">
        <v>3574</v>
      </c>
      <c r="C3577">
        <v>146.08322254300001</v>
      </c>
      <c r="D3577">
        <v>-17.642923047</v>
      </c>
      <c r="F3577" t="str">
        <f>HYPERLINK("D:\Data From Lucan\2024\Moresby\Frames_for_Analysis/3574_20240611_0005_L_0144.jpg","3574_20240611_0005_L_0144.jpg")</f>
        <v>3574_20240611_0005_L_0144.jpg</v>
      </c>
      <c r="G3577" s="92" t="s">
        <v>5151</v>
      </c>
      <c r="I3577">
        <v>3</v>
      </c>
      <c r="K3577" s="57">
        <v>1</v>
      </c>
      <c r="L3577" t="s">
        <v>3959</v>
      </c>
      <c r="M3577" t="s">
        <v>3959</v>
      </c>
      <c r="N3577" t="s">
        <v>3959</v>
      </c>
      <c r="O3577" t="s">
        <v>3959</v>
      </c>
      <c r="P3577" s="57">
        <v>1</v>
      </c>
      <c r="Q3577" s="57">
        <v>0</v>
      </c>
      <c r="R3577" s="57">
        <v>0</v>
      </c>
      <c r="S3577" s="57">
        <v>0</v>
      </c>
      <c r="T3577" s="57">
        <v>0</v>
      </c>
      <c r="U3577" s="57">
        <v>0</v>
      </c>
      <c r="V3577" s="57">
        <v>0</v>
      </c>
      <c r="W3577" s="57">
        <v>0</v>
      </c>
      <c r="X3577" s="57">
        <v>0</v>
      </c>
    </row>
    <row r="3578" spans="1:24" hidden="1" x14ac:dyDescent="0.35">
      <c r="A3578">
        <v>3574</v>
      </c>
      <c r="B3578">
        <v>3575</v>
      </c>
      <c r="C3578">
        <v>146.083153788999</v>
      </c>
      <c r="D3578">
        <v>-17.6428679509999</v>
      </c>
      <c r="F3578" t="str">
        <f>HYPERLINK("D:\Data From Lucan\2024\Moresby\Frames_for_Analysis/3575_20240611_0005_L_0147.jpg","3575_20240611_0005_L_0147.jpg")</f>
        <v>3575_20240611_0005_L_0147.jpg</v>
      </c>
      <c r="G3578" s="92" t="s">
        <v>5152</v>
      </c>
      <c r="I3578">
        <v>3</v>
      </c>
      <c r="K3578" s="57">
        <v>1</v>
      </c>
      <c r="L3578" t="s">
        <v>3959</v>
      </c>
      <c r="M3578" t="s">
        <v>3959</v>
      </c>
      <c r="N3578" t="s">
        <v>3959</v>
      </c>
      <c r="O3578" t="s">
        <v>3959</v>
      </c>
      <c r="P3578" s="57">
        <v>1</v>
      </c>
      <c r="Q3578" s="57">
        <v>0</v>
      </c>
      <c r="R3578" s="57">
        <v>0</v>
      </c>
      <c r="S3578" s="57">
        <v>0</v>
      </c>
      <c r="T3578" s="57">
        <v>0</v>
      </c>
      <c r="U3578" s="57">
        <v>0</v>
      </c>
      <c r="V3578" s="57">
        <v>0</v>
      </c>
      <c r="W3578" s="57">
        <v>0</v>
      </c>
      <c r="X3578" s="57">
        <v>0</v>
      </c>
    </row>
    <row r="3579" spans="1:24" hidden="1" x14ac:dyDescent="0.35">
      <c r="A3579">
        <v>3575</v>
      </c>
      <c r="B3579">
        <v>3576</v>
      </c>
      <c r="C3579">
        <v>146.08308503500001</v>
      </c>
      <c r="D3579">
        <v>-17.642812854999899</v>
      </c>
      <c r="F3579" t="str">
        <f>HYPERLINK("D:\Data From Lucan\2024\Moresby\Frames_for_Analysis/3576_20240611_0005_L_0149.jpg","3576_20240611_0005_L_0149.jpg")</f>
        <v>3576_20240611_0005_L_0149.jpg</v>
      </c>
      <c r="G3579" s="92" t="s">
        <v>5153</v>
      </c>
      <c r="I3579">
        <v>3</v>
      </c>
      <c r="K3579" s="57">
        <v>1</v>
      </c>
      <c r="L3579" t="s">
        <v>3959</v>
      </c>
      <c r="M3579" t="s">
        <v>3959</v>
      </c>
      <c r="N3579" t="s">
        <v>3959</v>
      </c>
      <c r="O3579" t="s">
        <v>3959</v>
      </c>
      <c r="P3579" s="57">
        <v>1</v>
      </c>
      <c r="Q3579" s="57">
        <v>0</v>
      </c>
      <c r="R3579" s="57">
        <v>0</v>
      </c>
      <c r="S3579" s="57">
        <v>0</v>
      </c>
      <c r="T3579" s="57">
        <v>0</v>
      </c>
      <c r="U3579" s="57">
        <v>0</v>
      </c>
      <c r="V3579" s="57">
        <v>0</v>
      </c>
      <c r="W3579" s="57">
        <v>0</v>
      </c>
      <c r="X3579" s="57">
        <v>0</v>
      </c>
    </row>
    <row r="3580" spans="1:24" hidden="1" x14ac:dyDescent="0.35">
      <c r="A3580">
        <v>3576</v>
      </c>
      <c r="B3580">
        <v>3577</v>
      </c>
      <c r="C3580">
        <v>146.08301628199899</v>
      </c>
      <c r="D3580">
        <v>-17.642757758999899</v>
      </c>
      <c r="F3580" t="str">
        <f>HYPERLINK("D:\Data From Lucan\2024\Moresby\Frames_for_Analysis/3577_20240611_0005_L_0151.jpg","3577_20240611_0005_L_0151.jpg")</f>
        <v>3577_20240611_0005_L_0151.jpg</v>
      </c>
      <c r="G3580" s="92" t="s">
        <v>5154</v>
      </c>
      <c r="I3580">
        <v>3</v>
      </c>
      <c r="K3580" s="57">
        <v>1</v>
      </c>
      <c r="L3580" t="s">
        <v>3959</v>
      </c>
      <c r="M3580" t="s">
        <v>3959</v>
      </c>
      <c r="N3580" t="s">
        <v>3959</v>
      </c>
      <c r="O3580" t="s">
        <v>3959</v>
      </c>
      <c r="P3580" s="57">
        <v>1</v>
      </c>
      <c r="Q3580" s="57">
        <v>0</v>
      </c>
      <c r="R3580" s="57">
        <v>0</v>
      </c>
      <c r="S3580" s="57">
        <v>0</v>
      </c>
      <c r="T3580" s="57">
        <v>0</v>
      </c>
      <c r="U3580" s="57">
        <v>0</v>
      </c>
      <c r="V3580" s="57">
        <v>0</v>
      </c>
      <c r="W3580" s="57">
        <v>0</v>
      </c>
      <c r="X3580" s="57">
        <v>0</v>
      </c>
    </row>
    <row r="3581" spans="1:24" hidden="1" x14ac:dyDescent="0.35">
      <c r="A3581">
        <v>3577</v>
      </c>
      <c r="B3581">
        <v>3578</v>
      </c>
      <c r="C3581">
        <v>146.08294752800001</v>
      </c>
      <c r="D3581">
        <v>-17.642702663000001</v>
      </c>
      <c r="F3581" t="str">
        <f>HYPERLINK("D:\Data From Lucan\2024\Moresby\Frames_for_Analysis/3578_20240611_0005_L_0154.jpg","3578_20240611_0005_L_0154.jpg")</f>
        <v>3578_20240611_0005_L_0154.jpg</v>
      </c>
      <c r="G3581" s="92" t="s">
        <v>5155</v>
      </c>
      <c r="I3581">
        <v>3</v>
      </c>
      <c r="K3581" s="57">
        <v>1</v>
      </c>
      <c r="L3581" t="s">
        <v>3959</v>
      </c>
      <c r="M3581" t="s">
        <v>3959</v>
      </c>
      <c r="N3581" t="s">
        <v>3959</v>
      </c>
      <c r="O3581" t="s">
        <v>3959</v>
      </c>
      <c r="P3581" s="57">
        <v>1</v>
      </c>
      <c r="Q3581" s="57">
        <v>0</v>
      </c>
      <c r="R3581" s="57">
        <v>0</v>
      </c>
      <c r="S3581" s="57">
        <v>0</v>
      </c>
      <c r="T3581" s="57">
        <v>0</v>
      </c>
      <c r="U3581" s="57">
        <v>0</v>
      </c>
      <c r="V3581" s="57">
        <v>0</v>
      </c>
      <c r="W3581" s="57">
        <v>0</v>
      </c>
      <c r="X3581" s="57">
        <v>0</v>
      </c>
    </row>
    <row r="3582" spans="1:24" hidden="1" x14ac:dyDescent="0.35">
      <c r="A3582">
        <v>3578</v>
      </c>
      <c r="B3582">
        <v>3579</v>
      </c>
      <c r="C3582">
        <v>146.082878773999</v>
      </c>
      <c r="D3582">
        <v>-17.6426475668999</v>
      </c>
      <c r="F3582" t="str">
        <f>HYPERLINK("D:\Data From Lucan\2024\Moresby\Frames_for_Analysis/3579_20240611_0005_L_0158.jpg","3579_20240611_0005_L_0158.jpg")</f>
        <v>3579_20240611_0005_L_0158.jpg</v>
      </c>
      <c r="G3582" s="92" t="s">
        <v>5156</v>
      </c>
      <c r="I3582">
        <v>3</v>
      </c>
      <c r="K3582" s="57">
        <v>1</v>
      </c>
      <c r="L3582" t="s">
        <v>3959</v>
      </c>
      <c r="M3582" t="s">
        <v>3959</v>
      </c>
      <c r="N3582" t="s">
        <v>3959</v>
      </c>
      <c r="O3582" t="s">
        <v>3959</v>
      </c>
      <c r="P3582" s="57">
        <v>1</v>
      </c>
      <c r="Q3582" s="57">
        <v>0</v>
      </c>
      <c r="R3582" s="57">
        <v>0</v>
      </c>
      <c r="S3582" s="57">
        <v>0</v>
      </c>
      <c r="T3582" s="57">
        <v>0</v>
      </c>
      <c r="U3582" s="57">
        <v>0</v>
      </c>
      <c r="V3582" s="57">
        <v>0</v>
      </c>
      <c r="W3582" s="57">
        <v>0</v>
      </c>
      <c r="X3582" s="57">
        <v>0</v>
      </c>
    </row>
    <row r="3583" spans="1:24" hidden="1" x14ac:dyDescent="0.35">
      <c r="A3583">
        <v>3579</v>
      </c>
      <c r="B3583">
        <v>3580</v>
      </c>
      <c r="C3583">
        <v>146.08281002000001</v>
      </c>
      <c r="D3583">
        <v>-17.642592470899899</v>
      </c>
      <c r="F3583" t="str">
        <f>HYPERLINK("D:\Data From Lucan\2024\Moresby\Frames_for_Analysis/3580_20240611_0005_L_0161.jpg","3580_20240611_0005_L_0161.jpg")</f>
        <v>3580_20240611_0005_L_0161.jpg</v>
      </c>
      <c r="G3583" s="92" t="s">
        <v>5157</v>
      </c>
      <c r="I3583">
        <v>3</v>
      </c>
      <c r="K3583" s="57">
        <v>1</v>
      </c>
      <c r="P3583" s="57">
        <v>1</v>
      </c>
      <c r="Q3583" s="57">
        <v>0</v>
      </c>
      <c r="R3583" s="57">
        <v>0</v>
      </c>
      <c r="S3583" s="57">
        <v>0</v>
      </c>
      <c r="T3583" s="57">
        <v>0</v>
      </c>
      <c r="U3583" s="57">
        <v>0</v>
      </c>
      <c r="V3583" s="57">
        <v>0</v>
      </c>
      <c r="W3583" s="57">
        <v>0</v>
      </c>
      <c r="X3583" s="57">
        <v>0</v>
      </c>
    </row>
    <row r="3584" spans="1:24" hidden="1" x14ac:dyDescent="0.35">
      <c r="A3584">
        <v>3580</v>
      </c>
      <c r="B3584">
        <v>3581</v>
      </c>
      <c r="C3584">
        <v>146.08274197</v>
      </c>
      <c r="D3584">
        <v>-17.642536626999899</v>
      </c>
      <c r="F3584" t="str">
        <f>HYPERLINK("D:\Data From Lucan\2024\Moresby\Frames_for_Analysis/3581_20240611_0005_L_0164.jpg","3581_20240611_0005_L_0164.jpg")</f>
        <v>3581_20240611_0005_L_0164.jpg</v>
      </c>
      <c r="G3584" s="92" t="s">
        <v>5158</v>
      </c>
      <c r="I3584">
        <v>3</v>
      </c>
      <c r="K3584" s="57">
        <v>1</v>
      </c>
      <c r="P3584" s="57">
        <v>1</v>
      </c>
      <c r="Q3584" s="57">
        <v>0</v>
      </c>
      <c r="R3584" s="57">
        <v>0</v>
      </c>
      <c r="S3584" s="57">
        <v>0</v>
      </c>
      <c r="T3584" s="57">
        <v>0</v>
      </c>
      <c r="U3584" s="57">
        <v>0</v>
      </c>
      <c r="V3584" s="57">
        <v>0</v>
      </c>
      <c r="W3584" s="57">
        <v>0</v>
      </c>
      <c r="X3584" s="57">
        <v>0</v>
      </c>
    </row>
    <row r="3585" spans="1:24" hidden="1" x14ac:dyDescent="0.35">
      <c r="A3585">
        <v>3581</v>
      </c>
      <c r="B3585">
        <v>3582</v>
      </c>
      <c r="C3585">
        <v>146.082677023999</v>
      </c>
      <c r="D3585">
        <v>-17.642477483899899</v>
      </c>
      <c r="F3585" t="str">
        <f>HYPERLINK("D:\Data From Lucan\2024\Moresby\Frames_for_Analysis/3582_20240611_0005_L_0167.jpg","3582_20240611_0005_L_0167.jpg")</f>
        <v>3582_20240611_0005_L_0167.jpg</v>
      </c>
      <c r="G3585" s="92" t="s">
        <v>5159</v>
      </c>
      <c r="I3585">
        <v>3</v>
      </c>
      <c r="K3585" s="57">
        <v>1</v>
      </c>
      <c r="L3585" t="s">
        <v>3959</v>
      </c>
      <c r="M3585" t="s">
        <v>3959</v>
      </c>
      <c r="N3585" t="s">
        <v>3959</v>
      </c>
      <c r="O3585" t="s">
        <v>3959</v>
      </c>
      <c r="P3585" s="57">
        <v>1</v>
      </c>
      <c r="Q3585" s="57">
        <v>0</v>
      </c>
      <c r="R3585" s="57">
        <v>0</v>
      </c>
      <c r="S3585" s="57">
        <v>0</v>
      </c>
      <c r="T3585" s="57">
        <v>0</v>
      </c>
      <c r="U3585" s="57">
        <v>0</v>
      </c>
      <c r="V3585" s="57">
        <v>0</v>
      </c>
      <c r="W3585" s="57">
        <v>0</v>
      </c>
      <c r="X3585" s="57">
        <v>0</v>
      </c>
    </row>
    <row r="3586" spans="1:24" hidden="1" x14ac:dyDescent="0.35">
      <c r="A3586">
        <v>3582</v>
      </c>
      <c r="B3586">
        <v>3583</v>
      </c>
      <c r="C3586">
        <v>146.08261207800001</v>
      </c>
      <c r="D3586">
        <v>-17.6424183405999</v>
      </c>
      <c r="F3586" t="str">
        <f>HYPERLINK("D:\Data From Lucan\2024\Moresby\Frames_for_Analysis/3583_20240611_0005_L_0170.jpg","3583_20240611_0005_L_0170.jpg")</f>
        <v>3583_20240611_0005_L_0170.jpg</v>
      </c>
      <c r="G3586" s="92" t="s">
        <v>5160</v>
      </c>
      <c r="I3586">
        <v>3</v>
      </c>
      <c r="K3586" s="57">
        <v>1</v>
      </c>
      <c r="L3586" t="s">
        <v>3959</v>
      </c>
      <c r="M3586" t="s">
        <v>3959</v>
      </c>
      <c r="N3586" t="s">
        <v>3959</v>
      </c>
      <c r="O3586" t="s">
        <v>3959</v>
      </c>
      <c r="P3586" s="57">
        <v>1</v>
      </c>
      <c r="Q3586" s="57">
        <v>0</v>
      </c>
      <c r="R3586" s="57">
        <v>0</v>
      </c>
      <c r="S3586" s="57">
        <v>0</v>
      </c>
      <c r="T3586" s="57">
        <v>0</v>
      </c>
      <c r="U3586" s="57">
        <v>0</v>
      </c>
      <c r="V3586" s="57">
        <v>0</v>
      </c>
      <c r="W3586" s="57">
        <v>0</v>
      </c>
      <c r="X3586" s="57">
        <v>0</v>
      </c>
    </row>
    <row r="3587" spans="1:24" hidden="1" x14ac:dyDescent="0.35">
      <c r="A3587">
        <v>3583</v>
      </c>
      <c r="B3587">
        <v>3584</v>
      </c>
      <c r="C3587">
        <v>146.082547132</v>
      </c>
      <c r="D3587">
        <v>-17.642359197400001</v>
      </c>
      <c r="F3587" t="str">
        <f>HYPERLINK("D:\Data From Lucan\2024\Moresby\Frames_for_Analysis/3584_20240611_0005_L_0172.jpg","3584_20240611_0005_L_0172.jpg")</f>
        <v>3584_20240611_0005_L_0172.jpg</v>
      </c>
      <c r="G3587" s="92" t="s">
        <v>5161</v>
      </c>
      <c r="I3587">
        <v>3</v>
      </c>
      <c r="K3587" s="57">
        <v>1</v>
      </c>
      <c r="L3587" t="s">
        <v>3959</v>
      </c>
      <c r="M3587" t="s">
        <v>3959</v>
      </c>
      <c r="N3587" t="s">
        <v>3959</v>
      </c>
      <c r="O3587" t="s">
        <v>3959</v>
      </c>
      <c r="P3587" s="57">
        <v>1</v>
      </c>
      <c r="Q3587" s="57">
        <v>0</v>
      </c>
      <c r="R3587" s="57">
        <v>0</v>
      </c>
      <c r="S3587" s="57">
        <v>0</v>
      </c>
      <c r="T3587" s="57">
        <v>0</v>
      </c>
      <c r="U3587" s="57">
        <v>0</v>
      </c>
      <c r="V3587" s="57">
        <v>0</v>
      </c>
      <c r="W3587" s="57">
        <v>0</v>
      </c>
      <c r="X3587" s="57">
        <v>0</v>
      </c>
    </row>
    <row r="3588" spans="1:24" hidden="1" x14ac:dyDescent="0.35">
      <c r="A3588">
        <v>3584</v>
      </c>
      <c r="B3588">
        <v>3585</v>
      </c>
      <c r="C3588">
        <v>146.082482185999</v>
      </c>
      <c r="D3588">
        <v>-17.6423000542</v>
      </c>
      <c r="F3588" t="str">
        <f>HYPERLINK("D:\Data From Lucan\2024\Moresby\Frames_for_Analysis/3585_20240611_0005_L_0175.jpg","3585_20240611_0005_L_0175.jpg")</f>
        <v>3585_20240611_0005_L_0175.jpg</v>
      </c>
      <c r="G3588" s="92" t="s">
        <v>5162</v>
      </c>
      <c r="I3588">
        <v>3</v>
      </c>
      <c r="K3588" s="57">
        <v>1</v>
      </c>
      <c r="L3588" t="s">
        <v>3959</v>
      </c>
      <c r="M3588" t="s">
        <v>3959</v>
      </c>
      <c r="N3588" t="s">
        <v>3959</v>
      </c>
      <c r="O3588" t="s">
        <v>3959</v>
      </c>
      <c r="P3588" s="57">
        <v>1</v>
      </c>
      <c r="Q3588" s="57">
        <v>0</v>
      </c>
      <c r="R3588" s="57">
        <v>0</v>
      </c>
      <c r="S3588" s="57">
        <v>0</v>
      </c>
      <c r="T3588" s="57">
        <v>0</v>
      </c>
      <c r="U3588" s="57">
        <v>0</v>
      </c>
      <c r="V3588" s="57">
        <v>0</v>
      </c>
      <c r="W3588" s="57">
        <v>0</v>
      </c>
      <c r="X3588" s="57">
        <v>0</v>
      </c>
    </row>
    <row r="3589" spans="1:24" hidden="1" x14ac:dyDescent="0.35">
      <c r="A3589">
        <v>3585</v>
      </c>
      <c r="B3589">
        <v>3586</v>
      </c>
      <c r="C3589">
        <v>146.08241724000001</v>
      </c>
      <c r="D3589">
        <v>-17.6422409109</v>
      </c>
      <c r="F3589" t="str">
        <f>HYPERLINK("D:\Data From Lucan\2024\Moresby\Frames_for_Analysis/3586_20240611_0005_L_0178.jpg","3586_20240611_0005_L_0178.jpg")</f>
        <v>3586_20240611_0005_L_0178.jpg</v>
      </c>
      <c r="G3589" s="92" t="s">
        <v>5163</v>
      </c>
      <c r="I3589">
        <v>3</v>
      </c>
      <c r="K3589" s="57">
        <v>1</v>
      </c>
      <c r="L3589" t="s">
        <v>3959</v>
      </c>
      <c r="M3589" t="s">
        <v>3959</v>
      </c>
      <c r="N3589" t="s">
        <v>3959</v>
      </c>
      <c r="O3589" t="s">
        <v>3959</v>
      </c>
      <c r="P3589" s="57">
        <v>1</v>
      </c>
      <c r="Q3589" s="57">
        <v>0</v>
      </c>
      <c r="R3589" s="57">
        <v>0</v>
      </c>
      <c r="S3589" s="57">
        <v>0</v>
      </c>
      <c r="T3589" s="57">
        <v>0</v>
      </c>
      <c r="U3589" s="57">
        <v>0</v>
      </c>
      <c r="V3589" s="57">
        <v>0</v>
      </c>
      <c r="W3589" s="57">
        <v>0</v>
      </c>
      <c r="X3589" s="57">
        <v>0</v>
      </c>
    </row>
    <row r="3590" spans="1:24" hidden="1" x14ac:dyDescent="0.35">
      <c r="A3590">
        <v>3586</v>
      </c>
      <c r="B3590">
        <v>3587</v>
      </c>
      <c r="C3590">
        <v>146.082352294</v>
      </c>
      <c r="D3590">
        <v>-17.6421817676</v>
      </c>
      <c r="F3590" t="str">
        <f>HYPERLINK("D:\Data From Lucan\2024\Moresby\Frames_for_Analysis/3587_20240611_0005_L_0181.jpg","3587_20240611_0005_L_0181.jpg")</f>
        <v>3587_20240611_0005_L_0181.jpg</v>
      </c>
      <c r="G3590" s="92" t="s">
        <v>5164</v>
      </c>
      <c r="I3590">
        <v>3</v>
      </c>
      <c r="K3590" s="57">
        <v>1</v>
      </c>
      <c r="L3590" t="s">
        <v>3959</v>
      </c>
      <c r="M3590" t="s">
        <v>3959</v>
      </c>
      <c r="N3590" t="s">
        <v>3959</v>
      </c>
      <c r="O3590" t="s">
        <v>3959</v>
      </c>
      <c r="P3590" s="57">
        <v>1</v>
      </c>
      <c r="Q3590" s="57">
        <v>0</v>
      </c>
      <c r="R3590" s="57">
        <v>0</v>
      </c>
      <c r="S3590" s="57">
        <v>0</v>
      </c>
      <c r="T3590" s="57">
        <v>0</v>
      </c>
      <c r="U3590" s="57">
        <v>0</v>
      </c>
      <c r="V3590" s="57">
        <v>0</v>
      </c>
      <c r="W3590" s="57">
        <v>0</v>
      </c>
      <c r="X3590" s="57">
        <v>0</v>
      </c>
    </row>
    <row r="3591" spans="1:24" hidden="1" x14ac:dyDescent="0.35">
      <c r="A3591">
        <v>3587</v>
      </c>
      <c r="B3591">
        <v>3588</v>
      </c>
      <c r="C3591">
        <v>146.082287347999</v>
      </c>
      <c r="D3591">
        <v>-17.642122624300001</v>
      </c>
      <c r="F3591" t="str">
        <f>HYPERLINK("D:\Data From Lucan\2024\Moresby\Frames_for_Analysis/3588_20240611_0005_L_0184.jpg","3588_20240611_0005_L_0184.jpg")</f>
        <v>3588_20240611_0005_L_0184.jpg</v>
      </c>
      <c r="G3591" s="92" t="s">
        <v>5165</v>
      </c>
      <c r="I3591">
        <v>3</v>
      </c>
      <c r="K3591" s="57">
        <v>1</v>
      </c>
      <c r="P3591" s="57">
        <v>1</v>
      </c>
      <c r="Q3591" s="57">
        <v>0</v>
      </c>
      <c r="R3591" s="57">
        <v>0</v>
      </c>
      <c r="S3591" s="57">
        <v>0</v>
      </c>
      <c r="T3591" s="57">
        <v>0</v>
      </c>
      <c r="U3591" s="57">
        <v>0</v>
      </c>
      <c r="V3591" s="57">
        <v>0</v>
      </c>
      <c r="W3591" s="57">
        <v>0</v>
      </c>
      <c r="X3591" s="57">
        <v>0</v>
      </c>
    </row>
    <row r="3592" spans="1:24" hidden="1" x14ac:dyDescent="0.35">
      <c r="A3592">
        <v>3588</v>
      </c>
      <c r="B3592">
        <v>3589</v>
      </c>
      <c r="C3592">
        <v>146.08222240200001</v>
      </c>
      <c r="D3592">
        <v>-17.642063481000001</v>
      </c>
      <c r="F3592" t="str">
        <f>HYPERLINK("D:\Data From Lucan\2024\Moresby\Frames_for_Analysis/3589_20240611_0005_L_0187.jpg","3589_20240611_0005_L_0187.jpg")</f>
        <v>3589_20240611_0005_L_0187.jpg</v>
      </c>
      <c r="G3592" s="92" t="s">
        <v>5166</v>
      </c>
      <c r="I3592">
        <v>3</v>
      </c>
      <c r="K3592" s="57">
        <v>1</v>
      </c>
      <c r="P3592" s="57">
        <v>1</v>
      </c>
      <c r="Q3592" s="57">
        <v>0</v>
      </c>
      <c r="R3592" s="57">
        <v>0</v>
      </c>
      <c r="S3592" s="57">
        <v>0</v>
      </c>
      <c r="T3592" s="57">
        <v>0</v>
      </c>
      <c r="U3592" s="57">
        <v>0</v>
      </c>
      <c r="V3592" s="57">
        <v>0</v>
      </c>
      <c r="W3592" s="57">
        <v>0</v>
      </c>
      <c r="X3592" s="57">
        <v>0</v>
      </c>
    </row>
    <row r="3593" spans="1:24" hidden="1" x14ac:dyDescent="0.35">
      <c r="A3593">
        <v>3589</v>
      </c>
      <c r="B3593">
        <v>3590</v>
      </c>
      <c r="C3593">
        <v>146.08215987200001</v>
      </c>
      <c r="D3593">
        <v>-17.642002084600001</v>
      </c>
      <c r="F3593" t="str">
        <f>HYPERLINK("D:\Data From Lucan\2024\Moresby\Frames_for_Analysis/3590_20240611_0005_L_0191.jpg","3590_20240611_0005_L_0191.jpg")</f>
        <v>3590_20240611_0005_L_0191.jpg</v>
      </c>
      <c r="G3593" s="92" t="s">
        <v>5167</v>
      </c>
      <c r="I3593">
        <v>3</v>
      </c>
      <c r="K3593" s="57">
        <v>1</v>
      </c>
      <c r="P3593" s="57">
        <v>1</v>
      </c>
      <c r="Q3593" s="57">
        <v>0</v>
      </c>
      <c r="R3593" s="57">
        <v>0</v>
      </c>
      <c r="S3593" s="57">
        <v>0</v>
      </c>
      <c r="T3593" s="57">
        <v>0</v>
      </c>
      <c r="U3593" s="57">
        <v>0</v>
      </c>
      <c r="V3593" s="57">
        <v>0</v>
      </c>
      <c r="W3593" s="57">
        <v>0</v>
      </c>
      <c r="X3593" s="57">
        <v>0</v>
      </c>
    </row>
    <row r="3594" spans="1:24" hidden="1" x14ac:dyDescent="0.35">
      <c r="A3594">
        <v>3590</v>
      </c>
      <c r="B3594">
        <v>3591</v>
      </c>
      <c r="C3594">
        <v>146.082099241999</v>
      </c>
      <c r="D3594">
        <v>-17.641938916800001</v>
      </c>
      <c r="F3594" t="str">
        <f>HYPERLINK("D:\Data From Lucan\2024\Moresby\Frames_for_Analysis/3591_20240611_0005_L_0193.jpg","3591_20240611_0005_L_0193.jpg")</f>
        <v>3591_20240611_0005_L_0193.jpg</v>
      </c>
      <c r="G3594" s="92" t="s">
        <v>5168</v>
      </c>
      <c r="I3594">
        <v>3</v>
      </c>
      <c r="K3594" s="57">
        <v>1</v>
      </c>
      <c r="P3594" s="57">
        <v>1</v>
      </c>
      <c r="Q3594" s="57">
        <v>0</v>
      </c>
      <c r="R3594" s="57">
        <v>0</v>
      </c>
      <c r="S3594" s="57">
        <v>0</v>
      </c>
      <c r="T3594" s="57">
        <v>0</v>
      </c>
      <c r="U3594" s="57">
        <v>0</v>
      </c>
      <c r="V3594" s="57">
        <v>0</v>
      </c>
      <c r="W3594" s="57">
        <v>0</v>
      </c>
      <c r="X3594" s="57">
        <v>0</v>
      </c>
    </row>
    <row r="3595" spans="1:24" hidden="1" x14ac:dyDescent="0.35">
      <c r="A3595">
        <v>3591</v>
      </c>
      <c r="B3595">
        <v>3592</v>
      </c>
      <c r="C3595">
        <v>146.08203861300001</v>
      </c>
      <c r="D3595">
        <v>-17.641875749099899</v>
      </c>
      <c r="F3595" t="str">
        <f>HYPERLINK("D:\Data From Lucan\2024\Moresby\Frames_for_Analysis/3592_20240611_0005_L_0195.jpg","3592_20240611_0005_L_0195.jpg")</f>
        <v>3592_20240611_0005_L_0195.jpg</v>
      </c>
      <c r="G3595" s="92" t="s">
        <v>5169</v>
      </c>
      <c r="I3595">
        <v>3</v>
      </c>
      <c r="K3595" s="57">
        <v>1</v>
      </c>
      <c r="P3595" s="57">
        <v>1</v>
      </c>
      <c r="Q3595" s="57">
        <v>0</v>
      </c>
      <c r="R3595" s="57">
        <v>0</v>
      </c>
      <c r="S3595" s="57">
        <v>0</v>
      </c>
      <c r="T3595" s="57">
        <v>0</v>
      </c>
      <c r="U3595" s="57">
        <v>0</v>
      </c>
      <c r="V3595" s="57">
        <v>0</v>
      </c>
      <c r="W3595" s="57">
        <v>0</v>
      </c>
      <c r="X3595" s="57">
        <v>0</v>
      </c>
    </row>
    <row r="3596" spans="1:24" hidden="1" x14ac:dyDescent="0.35">
      <c r="A3596">
        <v>3592</v>
      </c>
      <c r="B3596">
        <v>3593</v>
      </c>
      <c r="C3596">
        <v>146.081977983</v>
      </c>
      <c r="D3596">
        <v>-17.641812581300002</v>
      </c>
      <c r="F3596" t="str">
        <f>HYPERLINK("D:\Data From Lucan\2024\Moresby\Frames_for_Analysis/3593_20240611_0005_L_0198.jpg","3593_20240611_0005_L_0198.jpg")</f>
        <v>3593_20240611_0005_L_0198.jpg</v>
      </c>
      <c r="G3596" s="92" t="s">
        <v>5170</v>
      </c>
      <c r="I3596">
        <v>3</v>
      </c>
      <c r="K3596" s="57">
        <v>1</v>
      </c>
      <c r="P3596" s="57">
        <v>1</v>
      </c>
      <c r="Q3596" s="57">
        <v>0</v>
      </c>
      <c r="R3596" s="57">
        <v>0</v>
      </c>
      <c r="S3596" s="57">
        <v>0</v>
      </c>
      <c r="T3596" s="57">
        <v>0</v>
      </c>
      <c r="U3596" s="57">
        <v>0</v>
      </c>
      <c r="V3596" s="57">
        <v>0</v>
      </c>
      <c r="W3596" s="57">
        <v>0</v>
      </c>
      <c r="X3596" s="57">
        <v>0</v>
      </c>
    </row>
    <row r="3597" spans="1:24" hidden="1" x14ac:dyDescent="0.35">
      <c r="A3597">
        <v>3593</v>
      </c>
      <c r="B3597">
        <v>3594</v>
      </c>
      <c r="C3597">
        <v>146.081917352999</v>
      </c>
      <c r="D3597">
        <v>-17.641749413500001</v>
      </c>
      <c r="F3597" t="str">
        <f>HYPERLINK("D:\Data From Lucan\2024\Moresby\Frames_for_Analysis/3594_20240611_0005_L_0201.jpg","3594_20240611_0005_L_0201.jpg")</f>
        <v>3594_20240611_0005_L_0201.jpg</v>
      </c>
      <c r="G3597" s="92" t="s">
        <v>5171</v>
      </c>
      <c r="I3597">
        <v>3</v>
      </c>
      <c r="K3597" s="57">
        <v>1</v>
      </c>
      <c r="P3597" s="57">
        <v>1</v>
      </c>
      <c r="Q3597" s="57">
        <v>0</v>
      </c>
      <c r="R3597" s="57">
        <v>0</v>
      </c>
      <c r="S3597" s="57">
        <v>0</v>
      </c>
      <c r="T3597" s="57">
        <v>0</v>
      </c>
      <c r="U3597" s="57">
        <v>0</v>
      </c>
      <c r="V3597" s="57">
        <v>0</v>
      </c>
      <c r="W3597" s="57">
        <v>0</v>
      </c>
      <c r="X3597" s="57">
        <v>0</v>
      </c>
    </row>
    <row r="3598" spans="1:24" hidden="1" x14ac:dyDescent="0.35">
      <c r="A3598">
        <v>3594</v>
      </c>
      <c r="B3598">
        <v>3595</v>
      </c>
      <c r="C3598">
        <v>146.08185672299899</v>
      </c>
      <c r="D3598">
        <v>-17.6416862455999</v>
      </c>
      <c r="F3598" t="str">
        <f>HYPERLINK("D:\Data From Lucan\2024\Moresby\Frames_for_Analysis/3595_20240611_0005_L_0203.jpg","3595_20240611_0005_L_0203.jpg")</f>
        <v>3595_20240611_0005_L_0203.jpg</v>
      </c>
      <c r="G3598" s="92" t="s">
        <v>5172</v>
      </c>
      <c r="I3598">
        <v>3</v>
      </c>
      <c r="K3598" s="57">
        <v>1</v>
      </c>
      <c r="P3598" s="57">
        <v>1</v>
      </c>
      <c r="Q3598" s="57">
        <v>0</v>
      </c>
      <c r="R3598" s="57">
        <v>0</v>
      </c>
      <c r="S3598" s="57">
        <v>0</v>
      </c>
      <c r="T3598" s="57">
        <v>0</v>
      </c>
      <c r="U3598" s="57">
        <v>0</v>
      </c>
      <c r="V3598" s="57">
        <v>0</v>
      </c>
      <c r="W3598" s="57">
        <v>0</v>
      </c>
      <c r="X3598" s="57">
        <v>0</v>
      </c>
    </row>
    <row r="3599" spans="1:24" hidden="1" x14ac:dyDescent="0.35">
      <c r="A3599">
        <v>3595</v>
      </c>
      <c r="B3599">
        <v>3596</v>
      </c>
      <c r="C3599">
        <v>146.08179609300001</v>
      </c>
      <c r="D3599">
        <v>-17.641623077799899</v>
      </c>
      <c r="F3599" t="str">
        <f>HYPERLINK("D:\Data From Lucan\2024\Moresby\Frames_for_Analysis/3596_20240611_0005_L_0206.jpg","3596_20240611_0005_L_0206.jpg")</f>
        <v>3596_20240611_0005_L_0206.jpg</v>
      </c>
      <c r="G3599" s="92" t="s">
        <v>5173</v>
      </c>
      <c r="I3599">
        <v>3</v>
      </c>
      <c r="K3599" s="57">
        <v>1</v>
      </c>
      <c r="P3599" s="57">
        <v>1</v>
      </c>
      <c r="Q3599" s="57">
        <v>0</v>
      </c>
      <c r="R3599" s="57">
        <v>0</v>
      </c>
      <c r="S3599" s="57">
        <v>0</v>
      </c>
      <c r="T3599" s="57">
        <v>0</v>
      </c>
      <c r="U3599" s="57">
        <v>0</v>
      </c>
      <c r="V3599" s="57">
        <v>0</v>
      </c>
      <c r="W3599" s="57">
        <v>0</v>
      </c>
      <c r="X3599" s="57">
        <v>0</v>
      </c>
    </row>
    <row r="3600" spans="1:24" hidden="1" x14ac:dyDescent="0.35">
      <c r="A3600">
        <v>3596</v>
      </c>
      <c r="B3600">
        <v>3597</v>
      </c>
      <c r="C3600">
        <v>146.081735463</v>
      </c>
      <c r="D3600">
        <v>-17.6415599099</v>
      </c>
      <c r="F3600" t="str">
        <f>HYPERLINK("D:\Data From Lucan\2024\Moresby\Frames_for_Analysis/3597_20240611_0005_L_0209.jpg","3597_20240611_0005_L_0209.jpg")</f>
        <v>3597_20240611_0005_L_0209.jpg</v>
      </c>
      <c r="G3600" s="92" t="s">
        <v>5174</v>
      </c>
      <c r="I3600">
        <v>3</v>
      </c>
      <c r="K3600" s="57">
        <v>1</v>
      </c>
      <c r="P3600" s="57">
        <v>1</v>
      </c>
      <c r="Q3600" s="57">
        <v>0</v>
      </c>
      <c r="R3600" s="57">
        <v>0</v>
      </c>
      <c r="S3600" s="57">
        <v>0</v>
      </c>
      <c r="T3600" s="57">
        <v>0</v>
      </c>
      <c r="U3600" s="57">
        <v>0</v>
      </c>
      <c r="V3600" s="57">
        <v>0</v>
      </c>
      <c r="W3600" s="57">
        <v>0</v>
      </c>
      <c r="X3600" s="57">
        <v>0</v>
      </c>
    </row>
    <row r="3601" spans="1:24" hidden="1" x14ac:dyDescent="0.35">
      <c r="A3601">
        <v>3597</v>
      </c>
      <c r="B3601">
        <v>3598</v>
      </c>
      <c r="C3601">
        <v>146.08167613500001</v>
      </c>
      <c r="D3601">
        <v>-17.641495741899899</v>
      </c>
      <c r="F3601" t="str">
        <f>HYPERLINK("D:\Data From Lucan\2024\Moresby\Frames_for_Analysis/3598_20240611_0005_L_0211.jpg","3598_20240611_0005_L_0211.jpg")</f>
        <v>3598_20240611_0005_L_0211.jpg</v>
      </c>
      <c r="G3601" s="92" t="s">
        <v>5175</v>
      </c>
      <c r="I3601">
        <v>3</v>
      </c>
      <c r="K3601" s="57">
        <v>1</v>
      </c>
      <c r="P3601" s="57">
        <v>1</v>
      </c>
      <c r="Q3601" s="57">
        <v>0</v>
      </c>
      <c r="R3601" s="57">
        <v>0</v>
      </c>
      <c r="S3601" s="57">
        <v>0</v>
      </c>
      <c r="T3601" s="57">
        <v>0</v>
      </c>
      <c r="U3601" s="57">
        <v>0</v>
      </c>
      <c r="V3601" s="57">
        <v>0</v>
      </c>
      <c r="W3601" s="57">
        <v>0</v>
      </c>
      <c r="X3601" s="57">
        <v>0</v>
      </c>
    </row>
    <row r="3602" spans="1:24" hidden="1" x14ac:dyDescent="0.35">
      <c r="A3602">
        <v>3598</v>
      </c>
      <c r="B3602">
        <v>3599</v>
      </c>
      <c r="C3602">
        <v>146.08162418800001</v>
      </c>
      <c r="D3602">
        <v>-17.6414259001</v>
      </c>
      <c r="F3602" t="str">
        <f>HYPERLINK("D:\Data From Lucan\2024\Moresby\Frames_for_Analysis/3599_20240611_0005_L_0215.jpg","3599_20240611_0005_L_0215.jpg")</f>
        <v>3599_20240611_0005_L_0215.jpg</v>
      </c>
      <c r="G3602" s="92" t="s">
        <v>5176</v>
      </c>
      <c r="I3602">
        <v>3</v>
      </c>
      <c r="K3602" s="57">
        <v>1</v>
      </c>
      <c r="P3602" s="57">
        <v>1</v>
      </c>
      <c r="Q3602" s="57">
        <v>0</v>
      </c>
      <c r="R3602" s="57">
        <v>0</v>
      </c>
      <c r="S3602" s="57">
        <v>0</v>
      </c>
      <c r="T3602" s="57">
        <v>0</v>
      </c>
      <c r="U3602" s="57">
        <v>0</v>
      </c>
      <c r="V3602" s="57">
        <v>0</v>
      </c>
      <c r="W3602" s="57">
        <v>0</v>
      </c>
      <c r="X3602" s="57">
        <v>0</v>
      </c>
    </row>
    <row r="3603" spans="1:24" hidden="1" x14ac:dyDescent="0.35">
      <c r="A3603">
        <v>3599</v>
      </c>
      <c r="B3603">
        <v>3600</v>
      </c>
      <c r="C3603">
        <v>146.08157224000001</v>
      </c>
      <c r="D3603">
        <v>-17.641356058300001</v>
      </c>
      <c r="F3603" t="str">
        <f>HYPERLINK("D:\Data From Lucan\2024\Moresby\Frames_for_Analysis/3600_20240611_0005_L_0222.jpg","3600_20240611_0005_L_0222.jpg")</f>
        <v>3600_20240611_0005_L_0222.jpg</v>
      </c>
      <c r="G3603" s="92" t="s">
        <v>5177</v>
      </c>
      <c r="I3603">
        <v>3</v>
      </c>
      <c r="K3603" s="57">
        <v>1</v>
      </c>
      <c r="P3603" s="57">
        <v>1</v>
      </c>
      <c r="Q3603" s="57">
        <v>0</v>
      </c>
      <c r="R3603" s="57">
        <v>0</v>
      </c>
      <c r="S3603" s="57">
        <v>0</v>
      </c>
      <c r="T3603" s="57">
        <v>0</v>
      </c>
      <c r="U3603" s="57">
        <v>0</v>
      </c>
      <c r="V3603" s="57">
        <v>0</v>
      </c>
      <c r="W3603" s="57">
        <v>0</v>
      </c>
      <c r="X3603" s="57">
        <v>0</v>
      </c>
    </row>
    <row r="3604" spans="1:24" hidden="1" x14ac:dyDescent="0.35">
      <c r="A3604">
        <v>3600</v>
      </c>
      <c r="B3604">
        <v>3601</v>
      </c>
      <c r="C3604">
        <v>146.08152029300001</v>
      </c>
      <c r="D3604">
        <v>-17.6412862164999</v>
      </c>
      <c r="F3604" t="str">
        <f>HYPERLINK("D:\Data From Lucan\2024\Moresby\Frames_for_Analysis/3601_20240611_0005_L_0225.jpg","3601_20240611_0005_L_0225.jpg")</f>
        <v>3601_20240611_0005_L_0225.jpg</v>
      </c>
      <c r="G3604" s="92" t="s">
        <v>5178</v>
      </c>
      <c r="I3604">
        <v>3</v>
      </c>
      <c r="K3604" s="57">
        <v>1</v>
      </c>
      <c r="P3604" s="57">
        <v>1</v>
      </c>
      <c r="Q3604" s="57">
        <v>0</v>
      </c>
      <c r="R3604" s="57">
        <v>0</v>
      </c>
      <c r="S3604" s="57">
        <v>0</v>
      </c>
      <c r="T3604" s="57">
        <v>0</v>
      </c>
      <c r="U3604" s="57">
        <v>0</v>
      </c>
      <c r="V3604" s="57">
        <v>0</v>
      </c>
      <c r="W3604" s="57">
        <v>0</v>
      </c>
      <c r="X3604" s="57">
        <v>0</v>
      </c>
    </row>
    <row r="3605" spans="1:24" hidden="1" x14ac:dyDescent="0.35">
      <c r="A3605">
        <v>3601</v>
      </c>
      <c r="B3605">
        <v>3602</v>
      </c>
      <c r="C3605">
        <v>146.08146834600001</v>
      </c>
      <c r="D3605">
        <v>-17.6412163745999</v>
      </c>
      <c r="F3605" t="str">
        <f>HYPERLINK("D:\Data From Lucan\2024\Moresby\Frames_for_Analysis/3602_20240611_0005_L_0229.jpg","3602_20240611_0005_L_0229.jpg")</f>
        <v>3602_20240611_0005_L_0229.jpg</v>
      </c>
      <c r="G3605" s="92" t="s">
        <v>5179</v>
      </c>
      <c r="I3605">
        <v>3</v>
      </c>
      <c r="K3605" s="57">
        <v>1</v>
      </c>
      <c r="P3605" s="57">
        <v>1</v>
      </c>
      <c r="Q3605" s="57">
        <v>0</v>
      </c>
      <c r="R3605" s="57">
        <v>0</v>
      </c>
      <c r="S3605" s="57">
        <v>0</v>
      </c>
      <c r="T3605" s="57">
        <v>0</v>
      </c>
      <c r="U3605" s="57">
        <v>0</v>
      </c>
      <c r="V3605" s="57">
        <v>0</v>
      </c>
      <c r="W3605" s="57">
        <v>0</v>
      </c>
      <c r="X3605" s="57">
        <v>0</v>
      </c>
    </row>
    <row r="3606" spans="1:24" hidden="1" x14ac:dyDescent="0.35">
      <c r="A3606">
        <v>3602</v>
      </c>
      <c r="B3606">
        <v>3603</v>
      </c>
      <c r="C3606">
        <v>146.08141639900001</v>
      </c>
      <c r="D3606">
        <v>-17.641146532699899</v>
      </c>
      <c r="F3606" t="str">
        <f>HYPERLINK("D:\Data From Lucan\2024\Moresby\Frames_for_Analysis/3603_20240611_0005_L_0232.jpg","3603_20240611_0005_L_0232.jpg")</f>
        <v>3603_20240611_0005_L_0232.jpg</v>
      </c>
      <c r="G3606" s="92" t="s">
        <v>5180</v>
      </c>
      <c r="I3606">
        <v>3</v>
      </c>
      <c r="K3606" s="57">
        <v>1</v>
      </c>
      <c r="P3606" s="57">
        <v>1</v>
      </c>
      <c r="Q3606" s="57">
        <v>0</v>
      </c>
      <c r="R3606" s="57">
        <v>0</v>
      </c>
      <c r="S3606" s="57">
        <v>0</v>
      </c>
      <c r="T3606" s="57">
        <v>0</v>
      </c>
      <c r="U3606" s="57">
        <v>0</v>
      </c>
      <c r="V3606" s="57">
        <v>0</v>
      </c>
      <c r="W3606" s="57">
        <v>0</v>
      </c>
      <c r="X3606" s="57">
        <v>0</v>
      </c>
    </row>
    <row r="3607" spans="1:24" hidden="1" x14ac:dyDescent="0.35">
      <c r="A3607">
        <v>3603</v>
      </c>
      <c r="B3607">
        <v>3604</v>
      </c>
      <c r="C3607">
        <v>146.081364452</v>
      </c>
      <c r="D3607">
        <v>-17.641076690799899</v>
      </c>
      <c r="F3607" t="str">
        <f>HYPERLINK("D:\Data From Lucan\2024\Moresby\Frames_for_Analysis/3604_20240611_0005_L_0237.jpg","3604_20240611_0005_L_0237.jpg")</f>
        <v>3604_20240611_0005_L_0237.jpg</v>
      </c>
      <c r="G3607" s="92" t="s">
        <v>5181</v>
      </c>
      <c r="I3607">
        <v>3</v>
      </c>
      <c r="K3607" s="57">
        <v>1</v>
      </c>
      <c r="P3607" s="57">
        <v>1</v>
      </c>
      <c r="Q3607" s="57">
        <v>0</v>
      </c>
      <c r="R3607" s="57">
        <v>0</v>
      </c>
      <c r="S3607" s="57">
        <v>0</v>
      </c>
      <c r="T3607" s="57">
        <v>0</v>
      </c>
      <c r="U3607" s="57">
        <v>0</v>
      </c>
      <c r="V3607" s="57">
        <v>0</v>
      </c>
      <c r="W3607" s="57">
        <v>0</v>
      </c>
      <c r="X3607" s="57">
        <v>0</v>
      </c>
    </row>
    <row r="3608" spans="1:24" hidden="1" x14ac:dyDescent="0.35">
      <c r="A3608">
        <v>3604</v>
      </c>
      <c r="B3608">
        <v>3605</v>
      </c>
      <c r="C3608">
        <v>146.08131250400001</v>
      </c>
      <c r="D3608">
        <v>-17.641006848899899</v>
      </c>
      <c r="F3608" t="str">
        <f>HYPERLINK("D:\Data From Lucan\2024\Moresby\Frames_for_Analysis/3605_20240611_0005_L_0241.jpg","3605_20240611_0005_L_0241.jpg")</f>
        <v>3605_20240611_0005_L_0241.jpg</v>
      </c>
      <c r="G3608" s="92" t="s">
        <v>5182</v>
      </c>
      <c r="I3608">
        <v>3</v>
      </c>
      <c r="K3608" s="57">
        <v>1</v>
      </c>
      <c r="P3608" s="57">
        <v>1</v>
      </c>
      <c r="Q3608" s="57">
        <v>0</v>
      </c>
      <c r="R3608" s="57">
        <v>0</v>
      </c>
      <c r="S3608" s="57">
        <v>0</v>
      </c>
      <c r="T3608" s="57">
        <v>0</v>
      </c>
      <c r="U3608" s="57">
        <v>0</v>
      </c>
      <c r="V3608" s="57">
        <v>0</v>
      </c>
      <c r="W3608" s="57">
        <v>0</v>
      </c>
      <c r="X3608" s="57">
        <v>0</v>
      </c>
    </row>
    <row r="3609" spans="1:24" hidden="1" x14ac:dyDescent="0.35">
      <c r="A3609">
        <v>3605</v>
      </c>
      <c r="B3609">
        <v>3606</v>
      </c>
      <c r="C3609">
        <v>146.08126055700001</v>
      </c>
      <c r="D3609">
        <v>-17.6409370069</v>
      </c>
      <c r="F3609" t="str">
        <f>HYPERLINK("D:\Data From Lucan\2024\Moresby\Frames_for_Analysis/3606_20240611_0005_L_0247.jpg","3606_20240611_0005_L_0247.jpg")</f>
        <v>3606_20240611_0005_L_0247.jpg</v>
      </c>
      <c r="G3609" s="92" t="s">
        <v>5183</v>
      </c>
      <c r="I3609">
        <v>3</v>
      </c>
      <c r="K3609" s="57">
        <v>1</v>
      </c>
      <c r="P3609" s="57">
        <v>1</v>
      </c>
      <c r="Q3609" s="57">
        <v>0</v>
      </c>
      <c r="R3609" s="57">
        <v>0</v>
      </c>
      <c r="S3609" s="57">
        <v>0</v>
      </c>
      <c r="T3609" s="57">
        <v>0</v>
      </c>
      <c r="U3609" s="57">
        <v>0</v>
      </c>
      <c r="V3609" s="57">
        <v>0</v>
      </c>
      <c r="W3609" s="57">
        <v>0</v>
      </c>
      <c r="X3609" s="57">
        <v>0</v>
      </c>
    </row>
    <row r="3610" spans="1:24" hidden="1" x14ac:dyDescent="0.35">
      <c r="A3610">
        <v>3606</v>
      </c>
      <c r="B3610">
        <v>3607</v>
      </c>
      <c r="C3610">
        <v>146.08120861</v>
      </c>
      <c r="D3610">
        <v>-17.640867164900001</v>
      </c>
      <c r="F3610" t="str">
        <f>HYPERLINK("D:\Data From Lucan\2024\Moresby\Frames_for_Analysis/3607_20240611_0005_L_0251.jpg","3607_20240611_0005_L_0251.jpg")</f>
        <v>3607_20240611_0005_L_0251.jpg</v>
      </c>
      <c r="G3610" s="92" t="s">
        <v>5184</v>
      </c>
      <c r="I3610">
        <v>3</v>
      </c>
      <c r="K3610" s="57">
        <v>1</v>
      </c>
      <c r="P3610" s="57">
        <v>1</v>
      </c>
      <c r="Q3610" s="57">
        <v>0</v>
      </c>
      <c r="R3610" s="57">
        <v>0</v>
      </c>
      <c r="S3610" s="57">
        <v>0</v>
      </c>
      <c r="T3610" s="57">
        <v>0</v>
      </c>
      <c r="U3610" s="57">
        <v>0</v>
      </c>
      <c r="V3610" s="57">
        <v>0</v>
      </c>
      <c r="W3610" s="57">
        <v>0</v>
      </c>
      <c r="X3610" s="57">
        <v>0</v>
      </c>
    </row>
    <row r="3611" spans="1:24" hidden="1" x14ac:dyDescent="0.35">
      <c r="A3611">
        <v>3607</v>
      </c>
      <c r="B3611">
        <v>3608</v>
      </c>
      <c r="C3611">
        <v>146.081156663</v>
      </c>
      <c r="D3611">
        <v>-17.6407973228999</v>
      </c>
      <c r="F3611" t="str">
        <f>HYPERLINK("D:\Data From Lucan\2024\Moresby\Frames_for_Analysis/3608_20240611_0005_L_0255.jpg","3608_20240611_0005_L_0255.jpg")</f>
        <v>3608_20240611_0005_L_0255.jpg</v>
      </c>
      <c r="G3611" s="92" t="s">
        <v>5185</v>
      </c>
      <c r="I3611">
        <v>3</v>
      </c>
      <c r="K3611" s="57">
        <v>1</v>
      </c>
      <c r="P3611" s="57">
        <v>1</v>
      </c>
      <c r="Q3611" s="57">
        <v>0</v>
      </c>
      <c r="R3611" s="57">
        <v>0</v>
      </c>
      <c r="S3611" s="57">
        <v>0</v>
      </c>
      <c r="T3611" s="57">
        <v>0</v>
      </c>
      <c r="U3611" s="57">
        <v>0</v>
      </c>
      <c r="V3611" s="57">
        <v>0</v>
      </c>
      <c r="W3611" s="57">
        <v>0</v>
      </c>
      <c r="X3611" s="57">
        <v>0</v>
      </c>
    </row>
    <row r="3612" spans="1:24" hidden="1" x14ac:dyDescent="0.35">
      <c r="A3612">
        <v>3608</v>
      </c>
      <c r="B3612">
        <v>3609</v>
      </c>
      <c r="C3612">
        <v>146.081104715999</v>
      </c>
      <c r="D3612">
        <v>-17.640727480799899</v>
      </c>
      <c r="F3612" t="str">
        <f>HYPERLINK("D:\Data From Lucan\2024\Moresby\Frames_for_Analysis/3609_20240611_0005_L_0258.jpg","3609_20240611_0005_L_0258.jpg")</f>
        <v>3609_20240611_0005_L_0258.jpg</v>
      </c>
      <c r="G3612" s="92" t="s">
        <v>5186</v>
      </c>
      <c r="I3612">
        <v>3</v>
      </c>
      <c r="K3612" s="57">
        <v>1</v>
      </c>
      <c r="P3612" s="57">
        <v>1</v>
      </c>
      <c r="Q3612" s="57">
        <v>0</v>
      </c>
      <c r="R3612" s="57">
        <v>0</v>
      </c>
      <c r="S3612" s="57">
        <v>0</v>
      </c>
      <c r="T3612" s="57">
        <v>0</v>
      </c>
      <c r="U3612" s="57">
        <v>0</v>
      </c>
      <c r="V3612" s="57">
        <v>0</v>
      </c>
      <c r="W3612" s="57">
        <v>0</v>
      </c>
      <c r="X3612" s="57">
        <v>0</v>
      </c>
    </row>
    <row r="3613" spans="1:24" hidden="1" x14ac:dyDescent="0.35">
      <c r="A3613">
        <v>3609</v>
      </c>
      <c r="B3613">
        <v>3610</v>
      </c>
      <c r="C3613">
        <v>146.08105276800001</v>
      </c>
      <c r="D3613">
        <v>-17.640657638699899</v>
      </c>
      <c r="F3613" t="str">
        <f>HYPERLINK("D:\Data From Lucan\2024\Moresby\Frames_for_Analysis/3610_20240611_0005_L_0261.jpg","3610_20240611_0005_L_0261.jpg")</f>
        <v>3610_20240611_0005_L_0261.jpg</v>
      </c>
      <c r="G3613" s="92" t="s">
        <v>5187</v>
      </c>
      <c r="I3613">
        <v>3</v>
      </c>
      <c r="K3613" s="57">
        <v>1</v>
      </c>
      <c r="P3613" s="57">
        <v>1</v>
      </c>
      <c r="Q3613" s="57">
        <v>0</v>
      </c>
      <c r="R3613" s="57">
        <v>0</v>
      </c>
      <c r="S3613" s="57">
        <v>0</v>
      </c>
      <c r="T3613" s="57">
        <v>0</v>
      </c>
      <c r="U3613" s="57">
        <v>0</v>
      </c>
      <c r="V3613" s="57">
        <v>0</v>
      </c>
      <c r="W3613" s="57">
        <v>0</v>
      </c>
      <c r="X3613" s="57">
        <v>0</v>
      </c>
    </row>
    <row r="3614" spans="1:24" hidden="1" x14ac:dyDescent="0.35">
      <c r="A3614">
        <v>3610</v>
      </c>
      <c r="B3614">
        <v>3611</v>
      </c>
      <c r="C3614">
        <v>146.08101137099899</v>
      </c>
      <c r="D3614">
        <v>-17.640581898000001</v>
      </c>
      <c r="F3614" t="str">
        <f>HYPERLINK("D:\Data From Lucan\2024\Moresby\Frames_for_Analysis/3611_20240611_0005_L_0263.jpg","3611_20240611_0005_L_0263.jpg")</f>
        <v>3611_20240611_0005_L_0263.jpg</v>
      </c>
      <c r="G3614" s="92" t="s">
        <v>5188</v>
      </c>
      <c r="I3614">
        <v>3</v>
      </c>
      <c r="K3614" s="57">
        <v>1</v>
      </c>
      <c r="P3614" s="57">
        <v>1</v>
      </c>
      <c r="Q3614" s="57">
        <v>0</v>
      </c>
      <c r="R3614" s="57">
        <v>0</v>
      </c>
      <c r="S3614" s="57">
        <v>0</v>
      </c>
      <c r="T3614" s="57">
        <v>0</v>
      </c>
      <c r="U3614" s="57">
        <v>0</v>
      </c>
      <c r="V3614" s="57">
        <v>0</v>
      </c>
      <c r="W3614" s="57">
        <v>0</v>
      </c>
      <c r="X3614" s="57">
        <v>0</v>
      </c>
    </row>
    <row r="3615" spans="1:24" hidden="1" x14ac:dyDescent="0.35">
      <c r="A3615">
        <v>3611</v>
      </c>
      <c r="B3615">
        <v>3612</v>
      </c>
      <c r="C3615">
        <v>146.08097273600001</v>
      </c>
      <c r="D3615">
        <v>-17.640504612400001</v>
      </c>
      <c r="F3615" t="str">
        <f>HYPERLINK("D:\Data From Lucan\2024\Moresby\Frames_for_Analysis/3612_20240611_0005_L_0266.jpg","3612_20240611_0005_L_0266.jpg")</f>
        <v>3612_20240611_0005_L_0266.jpg</v>
      </c>
      <c r="G3615" s="92" t="s">
        <v>5189</v>
      </c>
      <c r="I3615">
        <v>3</v>
      </c>
      <c r="K3615" s="57">
        <v>1</v>
      </c>
      <c r="P3615" s="57">
        <v>1</v>
      </c>
      <c r="Q3615" s="57">
        <v>0</v>
      </c>
      <c r="R3615" s="57">
        <v>0</v>
      </c>
      <c r="S3615" s="57">
        <v>0</v>
      </c>
      <c r="T3615" s="57">
        <v>0</v>
      </c>
      <c r="U3615" s="57">
        <v>0</v>
      </c>
      <c r="V3615" s="57">
        <v>0</v>
      </c>
      <c r="W3615" s="57">
        <v>0</v>
      </c>
      <c r="X3615" s="57">
        <v>0</v>
      </c>
    </row>
    <row r="3616" spans="1:24" hidden="1" x14ac:dyDescent="0.35">
      <c r="A3616">
        <v>3612</v>
      </c>
      <c r="B3616">
        <v>3613</v>
      </c>
      <c r="C3616">
        <v>146.08093410199899</v>
      </c>
      <c r="D3616">
        <v>-17.6404273266999</v>
      </c>
      <c r="F3616" t="str">
        <f>HYPERLINK("D:\Data From Lucan\2024\Moresby\Frames_for_Analysis/3613_20240611_0005_L_0269.jpg","3613_20240611_0005_L_0269.jpg")</f>
        <v>3613_20240611_0005_L_0269.jpg</v>
      </c>
      <c r="G3616" s="92" t="s">
        <v>5190</v>
      </c>
      <c r="I3616">
        <v>3</v>
      </c>
      <c r="K3616" s="57">
        <v>1</v>
      </c>
      <c r="P3616" s="57">
        <v>1</v>
      </c>
      <c r="Q3616" s="57">
        <v>0</v>
      </c>
      <c r="R3616" s="57">
        <v>0</v>
      </c>
      <c r="S3616" s="57">
        <v>0</v>
      </c>
      <c r="T3616" s="57">
        <v>0</v>
      </c>
      <c r="U3616" s="57">
        <v>0</v>
      </c>
      <c r="V3616" s="57">
        <v>0</v>
      </c>
      <c r="W3616" s="57">
        <v>0</v>
      </c>
      <c r="X3616" s="57">
        <v>0</v>
      </c>
    </row>
    <row r="3617" spans="1:24" hidden="1" x14ac:dyDescent="0.35">
      <c r="A3617">
        <v>3613</v>
      </c>
      <c r="B3617">
        <v>3614</v>
      </c>
      <c r="C3617">
        <v>146.080895467999</v>
      </c>
      <c r="D3617">
        <v>-17.640350041000001</v>
      </c>
      <c r="F3617" t="str">
        <f>HYPERLINK("D:\Data From Lucan\2024\Moresby\Frames_for_Analysis/3614_20240611_0005_L_0272.jpg","3614_20240611_0005_L_0272.jpg")</f>
        <v>3614_20240611_0005_L_0272.jpg</v>
      </c>
      <c r="G3617" s="92" t="s">
        <v>5191</v>
      </c>
      <c r="I3617">
        <v>3</v>
      </c>
      <c r="K3617" s="57">
        <v>1</v>
      </c>
      <c r="P3617" s="57">
        <v>1</v>
      </c>
      <c r="Q3617" s="57">
        <v>0</v>
      </c>
      <c r="R3617" s="57">
        <v>0</v>
      </c>
      <c r="S3617" s="57">
        <v>0</v>
      </c>
      <c r="T3617" s="57">
        <v>0</v>
      </c>
      <c r="U3617" s="57">
        <v>0</v>
      </c>
      <c r="V3617" s="57">
        <v>0</v>
      </c>
      <c r="W3617" s="57">
        <v>0</v>
      </c>
      <c r="X3617" s="57">
        <v>0</v>
      </c>
    </row>
    <row r="3618" spans="1:24" hidden="1" x14ac:dyDescent="0.35">
      <c r="A3618">
        <v>3614</v>
      </c>
      <c r="B3618">
        <v>3615</v>
      </c>
      <c r="C3618">
        <v>146.08085683300001</v>
      </c>
      <c r="D3618">
        <v>-17.640272755200002</v>
      </c>
      <c r="F3618" t="str">
        <f>HYPERLINK("D:\Data From Lucan\2024\Moresby\Frames_for_Analysis/3615_20240611_0005_L_0275.jpg","3615_20240611_0005_L_0275.jpg")</f>
        <v>3615_20240611_0005_L_0275.jpg</v>
      </c>
      <c r="G3618" s="92" t="s">
        <v>5192</v>
      </c>
      <c r="I3618">
        <v>3</v>
      </c>
      <c r="K3618" s="57">
        <v>1</v>
      </c>
      <c r="P3618" s="57">
        <v>1</v>
      </c>
      <c r="Q3618" s="57">
        <v>0</v>
      </c>
      <c r="R3618" s="57">
        <v>0</v>
      </c>
      <c r="S3618" s="57">
        <v>0</v>
      </c>
      <c r="T3618" s="57">
        <v>0</v>
      </c>
      <c r="U3618" s="57">
        <v>0</v>
      </c>
      <c r="V3618" s="57">
        <v>0</v>
      </c>
      <c r="W3618" s="57">
        <v>0</v>
      </c>
      <c r="X3618" s="57">
        <v>0</v>
      </c>
    </row>
    <row r="3619" spans="1:24" hidden="1" x14ac:dyDescent="0.35">
      <c r="A3619">
        <v>3615</v>
      </c>
      <c r="B3619">
        <v>3616</v>
      </c>
      <c r="C3619">
        <v>146.080818198999</v>
      </c>
      <c r="D3619">
        <v>-17.6401954695</v>
      </c>
      <c r="F3619" t="str">
        <f>HYPERLINK("D:\Data From Lucan\2024\Moresby\Frames_for_Analysis/3616_20240611_0005_L_0278.jpg","3616_20240611_0005_L_0278.jpg")</f>
        <v>3616_20240611_0005_L_0278.jpg</v>
      </c>
      <c r="G3619" s="92" t="s">
        <v>5193</v>
      </c>
      <c r="I3619">
        <v>3</v>
      </c>
      <c r="K3619" s="57">
        <v>1</v>
      </c>
      <c r="P3619" s="57">
        <v>1</v>
      </c>
      <c r="Q3619" s="57">
        <v>0</v>
      </c>
      <c r="R3619" s="57">
        <v>0</v>
      </c>
      <c r="S3619" s="57">
        <v>0</v>
      </c>
      <c r="T3619" s="57">
        <v>0</v>
      </c>
      <c r="U3619" s="57">
        <v>0</v>
      </c>
      <c r="V3619" s="57">
        <v>0</v>
      </c>
      <c r="W3619" s="57">
        <v>0</v>
      </c>
      <c r="X3619" s="57">
        <v>0</v>
      </c>
    </row>
    <row r="3620" spans="1:24" hidden="1" x14ac:dyDescent="0.35">
      <c r="A3620">
        <v>3616</v>
      </c>
      <c r="B3620">
        <v>3617</v>
      </c>
      <c r="C3620">
        <v>146.08077956400001</v>
      </c>
      <c r="D3620">
        <v>-17.640118183599899</v>
      </c>
      <c r="F3620" t="str">
        <f>HYPERLINK("D:\Data From Lucan\2024\Moresby\Frames_for_Analysis/3617_20240611_0005_L_0281.jpg","3617_20240611_0005_L_0281.jpg")</f>
        <v>3617_20240611_0005_L_0281.jpg</v>
      </c>
      <c r="G3620" s="92" t="s">
        <v>5194</v>
      </c>
      <c r="I3620">
        <v>3</v>
      </c>
      <c r="K3620" s="57">
        <v>1</v>
      </c>
      <c r="P3620" s="57">
        <v>1</v>
      </c>
      <c r="Q3620" s="57">
        <v>0</v>
      </c>
      <c r="R3620" s="57">
        <v>0</v>
      </c>
      <c r="S3620" s="57">
        <v>0</v>
      </c>
      <c r="T3620" s="57">
        <v>0</v>
      </c>
      <c r="U3620" s="57">
        <v>0</v>
      </c>
      <c r="V3620" s="57">
        <v>0</v>
      </c>
      <c r="W3620" s="57">
        <v>0</v>
      </c>
      <c r="X3620" s="57">
        <v>0</v>
      </c>
    </row>
    <row r="3621" spans="1:24" hidden="1" x14ac:dyDescent="0.35">
      <c r="A3621">
        <v>3617</v>
      </c>
      <c r="B3621">
        <v>3618</v>
      </c>
      <c r="C3621">
        <v>146.080740929999</v>
      </c>
      <c r="D3621">
        <v>-17.640040897799899</v>
      </c>
      <c r="F3621" t="str">
        <f>HYPERLINK("D:\Data From Lucan\2024\Moresby\Frames_for_Analysis/3618_20240611_0005_L_0284.jpg","3618_20240611_0005_L_0284.jpg")</f>
        <v>3618_20240611_0005_L_0284.jpg</v>
      </c>
      <c r="G3621" s="92" t="s">
        <v>5195</v>
      </c>
      <c r="I3621">
        <v>3</v>
      </c>
      <c r="K3621" s="57">
        <v>1</v>
      </c>
      <c r="P3621" s="57">
        <v>1</v>
      </c>
      <c r="Q3621" s="57">
        <v>0</v>
      </c>
      <c r="R3621" s="57">
        <v>0</v>
      </c>
      <c r="S3621" s="57">
        <v>0</v>
      </c>
      <c r="T3621" s="57">
        <v>0</v>
      </c>
      <c r="U3621" s="57">
        <v>0</v>
      </c>
      <c r="V3621" s="57">
        <v>0</v>
      </c>
      <c r="W3621" s="57">
        <v>0</v>
      </c>
      <c r="X3621" s="57">
        <v>0</v>
      </c>
    </row>
    <row r="3622" spans="1:24" hidden="1" x14ac:dyDescent="0.35">
      <c r="A3622">
        <v>3618</v>
      </c>
      <c r="B3622">
        <v>3619</v>
      </c>
      <c r="C3622">
        <v>146.08070229500001</v>
      </c>
      <c r="D3622">
        <v>-17.639963611900001</v>
      </c>
      <c r="F3622" t="str">
        <f>HYPERLINK("D:\Data From Lucan\2024\Moresby\Frames_for_Analysis/3619_20240611_0005_L_0287.jpg","3619_20240611_0005_L_0287.jpg")</f>
        <v>3619_20240611_0005_L_0287.jpg</v>
      </c>
      <c r="G3622" s="92" t="s">
        <v>5196</v>
      </c>
      <c r="I3622">
        <v>3</v>
      </c>
      <c r="K3622" s="57">
        <v>1</v>
      </c>
      <c r="P3622" s="57">
        <v>1</v>
      </c>
      <c r="Q3622" s="57">
        <v>0</v>
      </c>
      <c r="R3622" s="57">
        <v>0</v>
      </c>
      <c r="S3622" s="57">
        <v>0</v>
      </c>
      <c r="T3622" s="57">
        <v>0</v>
      </c>
      <c r="U3622" s="57">
        <v>0</v>
      </c>
      <c r="V3622" s="57">
        <v>0</v>
      </c>
      <c r="W3622" s="57">
        <v>0</v>
      </c>
      <c r="X3622" s="57">
        <v>0</v>
      </c>
    </row>
    <row r="3623" spans="1:24" hidden="1" x14ac:dyDescent="0.35">
      <c r="A3623">
        <v>3619</v>
      </c>
      <c r="B3623">
        <v>3620</v>
      </c>
      <c r="C3623">
        <v>146.080661703</v>
      </c>
      <c r="D3623">
        <v>-17.639887292000001</v>
      </c>
      <c r="F3623" t="str">
        <f>HYPERLINK("D:\Data From Lucan\2024\Moresby\Frames_for_Analysis/3620_20240611_0005_L_0290.jpg","3620_20240611_0005_L_0290.jpg")</f>
        <v>3620_20240611_0005_L_0290.jpg</v>
      </c>
      <c r="G3623" s="92" t="s">
        <v>5197</v>
      </c>
      <c r="I3623">
        <v>3</v>
      </c>
      <c r="K3623" s="57">
        <v>1</v>
      </c>
      <c r="P3623" s="57">
        <v>1</v>
      </c>
      <c r="Q3623" s="57">
        <v>0</v>
      </c>
      <c r="R3623" s="57">
        <v>0</v>
      </c>
      <c r="S3623" s="57">
        <v>0</v>
      </c>
      <c r="T3623" s="57">
        <v>0</v>
      </c>
      <c r="U3623" s="57">
        <v>0</v>
      </c>
      <c r="V3623" s="57">
        <v>0</v>
      </c>
      <c r="W3623" s="57">
        <v>0</v>
      </c>
      <c r="X3623" s="57">
        <v>0</v>
      </c>
    </row>
    <row r="3624" spans="1:24" hidden="1" x14ac:dyDescent="0.35">
      <c r="A3624">
        <v>3620</v>
      </c>
      <c r="B3624">
        <v>3621</v>
      </c>
      <c r="C3624">
        <v>146.080617778</v>
      </c>
      <c r="D3624">
        <v>-17.639812616699899</v>
      </c>
      <c r="F3624" t="str">
        <f>HYPERLINK("D:\Data From Lucan\2024\Moresby\Frames_for_Analysis/3621_20240611_0005_L_0294.jpg","3621_20240611_0005_L_0294.jpg")</f>
        <v>3621_20240611_0005_L_0294.jpg</v>
      </c>
      <c r="G3624" s="92" t="s">
        <v>5198</v>
      </c>
      <c r="I3624">
        <v>3</v>
      </c>
      <c r="K3624" s="57">
        <v>1</v>
      </c>
      <c r="P3624" s="57">
        <v>1</v>
      </c>
      <c r="Q3624" s="57">
        <v>0</v>
      </c>
      <c r="R3624" s="57">
        <v>0</v>
      </c>
      <c r="S3624" s="57">
        <v>0</v>
      </c>
      <c r="T3624" s="57">
        <v>0</v>
      </c>
      <c r="U3624" s="57">
        <v>0</v>
      </c>
      <c r="V3624" s="57">
        <v>0</v>
      </c>
      <c r="W3624" s="57">
        <v>0</v>
      </c>
      <c r="X3624" s="57">
        <v>0</v>
      </c>
    </row>
    <row r="3625" spans="1:24" hidden="1" x14ac:dyDescent="0.35">
      <c r="A3625">
        <v>3621</v>
      </c>
      <c r="B3625">
        <v>3622</v>
      </c>
      <c r="C3625">
        <v>146.08057385199899</v>
      </c>
      <c r="D3625">
        <v>-17.6397379414</v>
      </c>
      <c r="F3625" t="str">
        <f>HYPERLINK("D:\Data From Lucan\2024\Moresby\Frames_for_Analysis/3622_20240611_0005_L_0297.jpg","3622_20240611_0005_L_0297.jpg")</f>
        <v>3622_20240611_0005_L_0297.jpg</v>
      </c>
      <c r="G3625" s="92" t="s">
        <v>5199</v>
      </c>
      <c r="I3625">
        <v>3</v>
      </c>
      <c r="K3625" s="57">
        <v>1</v>
      </c>
      <c r="P3625" s="57">
        <v>1</v>
      </c>
      <c r="Q3625" s="57">
        <v>0</v>
      </c>
      <c r="R3625" s="57">
        <v>0</v>
      </c>
      <c r="S3625" s="57">
        <v>0</v>
      </c>
      <c r="T3625" s="57">
        <v>0</v>
      </c>
      <c r="U3625" s="57">
        <v>0</v>
      </c>
      <c r="V3625" s="57">
        <v>0</v>
      </c>
      <c r="W3625" s="57">
        <v>0</v>
      </c>
      <c r="X3625" s="57">
        <v>0</v>
      </c>
    </row>
    <row r="3626" spans="1:24" hidden="1" x14ac:dyDescent="0.35">
      <c r="A3626">
        <v>3622</v>
      </c>
      <c r="B3626">
        <v>3623</v>
      </c>
      <c r="C3626">
        <v>146.080529925999</v>
      </c>
      <c r="D3626">
        <v>-17.639663266100001</v>
      </c>
      <c r="F3626" t="str">
        <f>HYPERLINK("D:\Data From Lucan\2024\Moresby\Frames_for_Analysis/3623_20240611_0005_L_0299.jpg","3623_20240611_0005_L_0299.jpg")</f>
        <v>3623_20240611_0005_L_0299.jpg</v>
      </c>
      <c r="G3626" s="92" t="s">
        <v>5200</v>
      </c>
      <c r="I3626">
        <v>3</v>
      </c>
      <c r="K3626" s="57">
        <v>1</v>
      </c>
      <c r="P3626" s="57">
        <v>1</v>
      </c>
      <c r="Q3626" s="57">
        <v>0</v>
      </c>
      <c r="R3626" s="57">
        <v>0</v>
      </c>
      <c r="S3626" s="57">
        <v>0</v>
      </c>
      <c r="T3626" s="57">
        <v>0</v>
      </c>
      <c r="U3626" s="57">
        <v>0</v>
      </c>
      <c r="V3626" s="57">
        <v>0</v>
      </c>
      <c r="W3626" s="57">
        <v>0</v>
      </c>
      <c r="X3626" s="57">
        <v>0</v>
      </c>
    </row>
    <row r="3627" spans="1:24" hidden="1" x14ac:dyDescent="0.35">
      <c r="A3627">
        <v>3623</v>
      </c>
      <c r="B3627">
        <v>3624</v>
      </c>
      <c r="C3627">
        <v>146.080486000999</v>
      </c>
      <c r="D3627">
        <v>-17.639588590700001</v>
      </c>
      <c r="F3627" t="str">
        <f>HYPERLINK("D:\Data From Lucan\2024\Moresby\Frames_for_Analysis/3624_20240611_0005_L_0303.jpg","3624_20240611_0005_L_0303.jpg")</f>
        <v>3624_20240611_0005_L_0303.jpg</v>
      </c>
      <c r="G3627" s="92" t="s">
        <v>5201</v>
      </c>
      <c r="I3627">
        <v>3</v>
      </c>
      <c r="K3627" s="57">
        <v>1</v>
      </c>
      <c r="P3627" s="57">
        <v>1</v>
      </c>
      <c r="Q3627" s="57">
        <v>0</v>
      </c>
      <c r="R3627" s="57">
        <v>0</v>
      </c>
      <c r="S3627" s="57">
        <v>0</v>
      </c>
      <c r="T3627" s="57">
        <v>0</v>
      </c>
      <c r="U3627" s="57">
        <v>0</v>
      </c>
      <c r="V3627" s="57">
        <v>0</v>
      </c>
      <c r="W3627" s="57">
        <v>0</v>
      </c>
      <c r="X3627" s="57">
        <v>0</v>
      </c>
    </row>
    <row r="3628" spans="1:24" hidden="1" x14ac:dyDescent="0.35">
      <c r="A3628">
        <v>3624</v>
      </c>
      <c r="B3628">
        <v>3625</v>
      </c>
      <c r="C3628">
        <v>146.08044207500001</v>
      </c>
      <c r="D3628">
        <v>-17.6395139153</v>
      </c>
      <c r="F3628" t="str">
        <f>HYPERLINK("D:\Data From Lucan\2024\Moresby\Frames_for_Analysis/3625_20240611_0005_L_0308.jpg","3625_20240611_0005_L_0308.jpg")</f>
        <v>3625_20240611_0005_L_0308.jpg</v>
      </c>
      <c r="G3628" s="92" t="s">
        <v>5202</v>
      </c>
      <c r="I3628">
        <v>3</v>
      </c>
      <c r="K3628" s="57">
        <v>1</v>
      </c>
      <c r="P3628" s="57">
        <v>1</v>
      </c>
      <c r="Q3628" s="57">
        <v>0</v>
      </c>
      <c r="R3628" s="57">
        <v>0</v>
      </c>
      <c r="S3628" s="57">
        <v>0</v>
      </c>
      <c r="T3628" s="57">
        <v>0</v>
      </c>
      <c r="U3628" s="57">
        <v>0</v>
      </c>
      <c r="V3628" s="57">
        <v>0</v>
      </c>
      <c r="W3628" s="57">
        <v>0</v>
      </c>
      <c r="X3628" s="57">
        <v>0</v>
      </c>
    </row>
    <row r="3629" spans="1:24" hidden="1" x14ac:dyDescent="0.35">
      <c r="A3629">
        <v>3625</v>
      </c>
      <c r="B3629">
        <v>3626</v>
      </c>
      <c r="C3629">
        <v>146.08039815000001</v>
      </c>
      <c r="D3629">
        <v>-17.6394392399</v>
      </c>
      <c r="F3629" t="str">
        <f>HYPERLINK("D:\Data From Lucan\2024\Moresby\Frames_for_Analysis/3626_20240611_0005_L_0312.jpg","3626_20240611_0005_L_0312.jpg")</f>
        <v>3626_20240611_0005_L_0312.jpg</v>
      </c>
      <c r="G3629" s="92" t="s">
        <v>5203</v>
      </c>
      <c r="I3629">
        <v>3</v>
      </c>
      <c r="K3629" s="57">
        <v>1</v>
      </c>
      <c r="P3629" s="57">
        <v>1</v>
      </c>
      <c r="Q3629" s="57">
        <v>0</v>
      </c>
      <c r="R3629" s="57">
        <v>0</v>
      </c>
      <c r="S3629" s="57">
        <v>0</v>
      </c>
      <c r="T3629" s="57">
        <v>0</v>
      </c>
      <c r="U3629" s="57">
        <v>0</v>
      </c>
      <c r="V3629" s="57">
        <v>0</v>
      </c>
      <c r="W3629" s="57">
        <v>0</v>
      </c>
      <c r="X3629" s="57">
        <v>0</v>
      </c>
    </row>
    <row r="3630" spans="1:24" hidden="1" x14ac:dyDescent="0.35">
      <c r="A3630">
        <v>3626</v>
      </c>
      <c r="B3630">
        <v>3627</v>
      </c>
      <c r="C3630">
        <v>146.080354223999</v>
      </c>
      <c r="D3630">
        <v>-17.639364564400001</v>
      </c>
      <c r="F3630" t="str">
        <f>HYPERLINK("D:\Data From Lucan\2024\Moresby\Frames_for_Analysis/3627_20240611_0005_L_0316.jpg","3627_20240611_0005_L_0316.jpg")</f>
        <v>3627_20240611_0005_L_0316.jpg</v>
      </c>
      <c r="G3630" s="92" t="s">
        <v>5204</v>
      </c>
      <c r="I3630">
        <v>3</v>
      </c>
      <c r="K3630" s="57">
        <v>1</v>
      </c>
      <c r="P3630" s="57">
        <v>1</v>
      </c>
      <c r="Q3630" s="57">
        <v>0</v>
      </c>
      <c r="R3630" s="57">
        <v>0</v>
      </c>
      <c r="S3630" s="57">
        <v>0</v>
      </c>
      <c r="T3630" s="57">
        <v>0</v>
      </c>
      <c r="U3630" s="57">
        <v>0</v>
      </c>
      <c r="V3630" s="57">
        <v>0</v>
      </c>
      <c r="W3630" s="57">
        <v>0</v>
      </c>
      <c r="X3630" s="57">
        <v>0</v>
      </c>
    </row>
    <row r="3631" spans="1:24" hidden="1" x14ac:dyDescent="0.35">
      <c r="A3631">
        <v>3627</v>
      </c>
      <c r="B3631">
        <v>3628</v>
      </c>
      <c r="C3631">
        <v>146.080310298999</v>
      </c>
      <c r="D3631">
        <v>-17.639289888899899</v>
      </c>
      <c r="F3631" t="str">
        <f>HYPERLINK("D:\Data From Lucan\2024\Moresby\Frames_for_Analysis/3628_20240611_0005_L_0321.jpg","3628_20240611_0005_L_0321.jpg")</f>
        <v>3628_20240611_0005_L_0321.jpg</v>
      </c>
      <c r="G3631" s="92" t="s">
        <v>5205</v>
      </c>
      <c r="I3631">
        <v>3</v>
      </c>
      <c r="K3631" s="57">
        <v>1</v>
      </c>
      <c r="P3631" s="57">
        <v>1</v>
      </c>
      <c r="Q3631" s="57">
        <v>0</v>
      </c>
      <c r="R3631" s="57">
        <v>0</v>
      </c>
      <c r="S3631" s="57">
        <v>0</v>
      </c>
      <c r="T3631" s="57">
        <v>0</v>
      </c>
      <c r="U3631" s="57">
        <v>0</v>
      </c>
      <c r="V3631" s="57">
        <v>0</v>
      </c>
      <c r="W3631" s="57">
        <v>0</v>
      </c>
      <c r="X3631" s="57">
        <v>0</v>
      </c>
    </row>
    <row r="3632" spans="1:24" hidden="1" x14ac:dyDescent="0.35">
      <c r="A3632">
        <v>3628</v>
      </c>
      <c r="B3632">
        <v>3629</v>
      </c>
      <c r="C3632">
        <v>146.080266373</v>
      </c>
      <c r="D3632">
        <v>-17.6392152134</v>
      </c>
      <c r="F3632" t="str">
        <f>HYPERLINK("D:\Data From Lucan\2024\Moresby\Frames_for_Analysis/3629_20240611_0005_L_0325.jpg","3629_20240611_0005_L_0325.jpg")</f>
        <v>3629_20240611_0005_L_0325.jpg</v>
      </c>
      <c r="G3632" s="92" t="s">
        <v>5206</v>
      </c>
      <c r="I3632">
        <v>3</v>
      </c>
      <c r="K3632" s="57">
        <v>1</v>
      </c>
      <c r="P3632" s="57">
        <v>1</v>
      </c>
      <c r="Q3632" s="57">
        <v>0</v>
      </c>
      <c r="R3632" s="57">
        <v>0</v>
      </c>
      <c r="S3632" s="57">
        <v>0</v>
      </c>
      <c r="T3632" s="57">
        <v>0</v>
      </c>
      <c r="U3632" s="57">
        <v>0</v>
      </c>
      <c r="V3632" s="57">
        <v>0</v>
      </c>
      <c r="W3632" s="57">
        <v>0</v>
      </c>
      <c r="X3632" s="57">
        <v>0</v>
      </c>
    </row>
    <row r="3633" spans="1:24" hidden="1" x14ac:dyDescent="0.35">
      <c r="A3633">
        <v>3629</v>
      </c>
      <c r="B3633">
        <v>3630</v>
      </c>
      <c r="C3633">
        <v>146.08022315700001</v>
      </c>
      <c r="D3633">
        <v>-17.639140180199899</v>
      </c>
      <c r="F3633" t="str">
        <f>HYPERLINK("D:\Data From Lucan\2024\Moresby\Frames_for_Analysis/3630_20240611_0005_L_0329.jpg","3630_20240611_0005_L_0329.jpg")</f>
        <v>3630_20240611_0005_L_0329.jpg</v>
      </c>
      <c r="G3633" s="92" t="s">
        <v>5207</v>
      </c>
      <c r="I3633">
        <v>3</v>
      </c>
      <c r="K3633" s="57">
        <v>1</v>
      </c>
      <c r="P3633" s="57">
        <v>1</v>
      </c>
      <c r="Q3633" s="57">
        <v>0</v>
      </c>
      <c r="R3633" s="57">
        <v>0</v>
      </c>
      <c r="S3633" s="57">
        <v>0</v>
      </c>
      <c r="T3633" s="57">
        <v>0</v>
      </c>
      <c r="U3633" s="57">
        <v>0</v>
      </c>
      <c r="V3633" s="57">
        <v>0</v>
      </c>
      <c r="W3633" s="57">
        <v>0</v>
      </c>
      <c r="X3633" s="57">
        <v>0</v>
      </c>
    </row>
    <row r="3634" spans="1:24" hidden="1" x14ac:dyDescent="0.35">
      <c r="A3634">
        <v>3630</v>
      </c>
      <c r="B3634">
        <v>3631</v>
      </c>
      <c r="C3634">
        <v>146.080183091999</v>
      </c>
      <c r="D3634">
        <v>-17.639063558299899</v>
      </c>
      <c r="F3634" t="str">
        <f>HYPERLINK("D:\Data From Lucan\2024\Moresby\Frames_for_Analysis/3631_20240611_0005_L_0332.jpg","3631_20240611_0005_L_0332.jpg")</f>
        <v>3631_20240611_0005_L_0332.jpg</v>
      </c>
      <c r="G3634" s="92" t="s">
        <v>5208</v>
      </c>
      <c r="I3634">
        <v>3</v>
      </c>
      <c r="K3634" s="57">
        <v>1</v>
      </c>
      <c r="P3634" s="57">
        <v>1</v>
      </c>
      <c r="Q3634" s="57">
        <v>0</v>
      </c>
      <c r="R3634" s="57">
        <v>0</v>
      </c>
      <c r="S3634" s="57">
        <v>0</v>
      </c>
      <c r="T3634" s="57">
        <v>0</v>
      </c>
      <c r="U3634" s="57">
        <v>0</v>
      </c>
      <c r="V3634" s="57">
        <v>0</v>
      </c>
      <c r="W3634" s="57">
        <v>0</v>
      </c>
      <c r="X3634" s="57">
        <v>0</v>
      </c>
    </row>
    <row r="3635" spans="1:24" hidden="1" x14ac:dyDescent="0.35">
      <c r="A3635">
        <v>3631</v>
      </c>
      <c r="B3635">
        <v>3632</v>
      </c>
      <c r="C3635">
        <v>146.080143026999</v>
      </c>
      <c r="D3635">
        <v>-17.6389869363</v>
      </c>
      <c r="F3635" t="str">
        <f>HYPERLINK("D:\Data From Lucan\2024\Moresby\Frames_for_Analysis/3632_20240611_0005_L_0336.jpg","3632_20240611_0005_L_0336.jpg")</f>
        <v>3632_20240611_0005_L_0336.jpg</v>
      </c>
      <c r="G3635" s="92" t="s">
        <v>5209</v>
      </c>
      <c r="I3635">
        <v>3</v>
      </c>
      <c r="K3635" s="57">
        <v>1</v>
      </c>
      <c r="P3635" s="57">
        <v>1</v>
      </c>
      <c r="Q3635" s="57">
        <v>0</v>
      </c>
      <c r="R3635" s="57">
        <v>0</v>
      </c>
      <c r="S3635" s="57">
        <v>0</v>
      </c>
      <c r="T3635" s="57">
        <v>0</v>
      </c>
      <c r="U3635" s="57">
        <v>0</v>
      </c>
      <c r="V3635" s="57">
        <v>0</v>
      </c>
      <c r="W3635" s="57">
        <v>0</v>
      </c>
      <c r="X3635" s="57">
        <v>0</v>
      </c>
    </row>
    <row r="3636" spans="1:24" hidden="1" x14ac:dyDescent="0.35">
      <c r="A3636">
        <v>3632</v>
      </c>
      <c r="B3636">
        <v>3633</v>
      </c>
      <c r="C3636">
        <v>146.08010296200001</v>
      </c>
      <c r="D3636">
        <v>-17.638910314299899</v>
      </c>
      <c r="F3636" t="str">
        <f>HYPERLINK("D:\Data From Lucan\2024\Moresby\Frames_for_Analysis/3633_20240611_0005_L_0340.jpg","3633_20240611_0005_L_0340.jpg")</f>
        <v>3633_20240611_0005_L_0340.jpg</v>
      </c>
      <c r="G3636" s="92" t="s">
        <v>5210</v>
      </c>
      <c r="I3636">
        <v>3</v>
      </c>
      <c r="K3636" s="57">
        <v>1</v>
      </c>
      <c r="P3636" s="57">
        <v>1</v>
      </c>
      <c r="Q3636" s="57">
        <v>0</v>
      </c>
      <c r="R3636" s="57">
        <v>0</v>
      </c>
      <c r="S3636" s="57">
        <v>0</v>
      </c>
      <c r="T3636" s="57">
        <v>0</v>
      </c>
      <c r="U3636" s="57">
        <v>0</v>
      </c>
      <c r="V3636" s="57">
        <v>0</v>
      </c>
      <c r="W3636" s="57">
        <v>0</v>
      </c>
      <c r="X3636" s="57">
        <v>0</v>
      </c>
    </row>
    <row r="3637" spans="1:24" hidden="1" x14ac:dyDescent="0.35">
      <c r="A3637">
        <v>3633</v>
      </c>
      <c r="B3637">
        <v>3634</v>
      </c>
      <c r="C3637">
        <v>146.080062897</v>
      </c>
      <c r="D3637">
        <v>-17.6388336923</v>
      </c>
      <c r="F3637" t="str">
        <f>HYPERLINK("D:\Data From Lucan\2024\Moresby\Frames_for_Analysis/3634_20240611_0005_L_0343.jpg","3634_20240611_0005_L_0343.jpg")</f>
        <v>3634_20240611_0005_L_0343.jpg</v>
      </c>
      <c r="G3637" s="92" t="s">
        <v>5211</v>
      </c>
      <c r="I3637">
        <v>3</v>
      </c>
      <c r="K3637" s="57">
        <v>1</v>
      </c>
      <c r="P3637" s="57">
        <v>1</v>
      </c>
      <c r="Q3637" s="57">
        <v>0</v>
      </c>
      <c r="R3637" s="57">
        <v>0</v>
      </c>
      <c r="S3637" s="57">
        <v>0</v>
      </c>
      <c r="T3637" s="57">
        <v>0</v>
      </c>
      <c r="U3637" s="57">
        <v>0</v>
      </c>
      <c r="V3637" s="57">
        <v>0</v>
      </c>
      <c r="W3637" s="57">
        <v>0</v>
      </c>
      <c r="X3637" s="57">
        <v>0</v>
      </c>
    </row>
    <row r="3638" spans="1:24" hidden="1" x14ac:dyDescent="0.35">
      <c r="A3638">
        <v>3634</v>
      </c>
      <c r="B3638">
        <v>3635</v>
      </c>
      <c r="C3638">
        <v>146.080016631999</v>
      </c>
      <c r="D3638">
        <v>-17.638760634699899</v>
      </c>
      <c r="F3638" t="str">
        <f>HYPERLINK("D:\Data From Lucan\2024\Moresby\Frames_for_Analysis/3635_20240611_0005_L_0346.jpg","3635_20240611_0005_L_0346.jpg")</f>
        <v>3635_20240611_0005_L_0346.jpg</v>
      </c>
      <c r="G3638" s="92" t="s">
        <v>5212</v>
      </c>
      <c r="I3638">
        <v>3</v>
      </c>
      <c r="K3638" s="57">
        <v>1</v>
      </c>
      <c r="P3638" s="57">
        <v>1</v>
      </c>
      <c r="Q3638" s="57">
        <v>0</v>
      </c>
      <c r="R3638" s="57">
        <v>0</v>
      </c>
      <c r="S3638" s="57">
        <v>0</v>
      </c>
      <c r="T3638" s="57">
        <v>0</v>
      </c>
      <c r="U3638" s="57">
        <v>0</v>
      </c>
      <c r="V3638" s="57">
        <v>0</v>
      </c>
      <c r="W3638" s="57">
        <v>0</v>
      </c>
      <c r="X3638" s="57">
        <v>0</v>
      </c>
    </row>
    <row r="3639" spans="1:24" hidden="1" x14ac:dyDescent="0.35">
      <c r="A3639">
        <v>3635</v>
      </c>
      <c r="B3639">
        <v>3636</v>
      </c>
      <c r="C3639">
        <v>146.07996419400001</v>
      </c>
      <c r="D3639">
        <v>-17.638691125600001</v>
      </c>
      <c r="F3639" t="str">
        <f>HYPERLINK("D:\Data From Lucan\2024\Moresby\Frames_for_Analysis/3636_20240611_0005_L_0350.jpg","3636_20240611_0005_L_0350.jpg")</f>
        <v>3636_20240611_0005_L_0350.jpg</v>
      </c>
      <c r="G3639" s="92" t="s">
        <v>5213</v>
      </c>
      <c r="I3639">
        <v>3</v>
      </c>
      <c r="K3639" s="57">
        <v>1</v>
      </c>
      <c r="P3639" s="57">
        <v>1</v>
      </c>
      <c r="Q3639" s="57">
        <v>0</v>
      </c>
      <c r="R3639" s="57">
        <v>0</v>
      </c>
      <c r="S3639" s="57">
        <v>0</v>
      </c>
      <c r="T3639" s="57">
        <v>0</v>
      </c>
      <c r="U3639" s="57">
        <v>0</v>
      </c>
      <c r="V3639" s="57">
        <v>0</v>
      </c>
      <c r="W3639" s="57">
        <v>0</v>
      </c>
      <c r="X3639" s="57">
        <v>0</v>
      </c>
    </row>
    <row r="3640" spans="1:24" hidden="1" x14ac:dyDescent="0.35">
      <c r="A3640">
        <v>3636</v>
      </c>
      <c r="B3640">
        <v>3637</v>
      </c>
      <c r="C3640">
        <v>146.079898546999</v>
      </c>
      <c r="D3640">
        <v>-17.638635943499899</v>
      </c>
      <c r="F3640" t="str">
        <f>HYPERLINK("D:\Data From Lucan\2024\Moresby\Frames_for_Analysis/3637_20240611_0005_L_0353.jpg","3637_20240611_0005_L_0353.jpg")</f>
        <v>3637_20240611_0005_L_0353.jpg</v>
      </c>
      <c r="G3640" s="92" t="s">
        <v>5214</v>
      </c>
      <c r="I3640">
        <v>3</v>
      </c>
      <c r="K3640" s="57">
        <v>1</v>
      </c>
      <c r="P3640" s="57">
        <v>1</v>
      </c>
      <c r="Q3640" s="57">
        <v>0</v>
      </c>
      <c r="R3640" s="57">
        <v>0</v>
      </c>
      <c r="S3640" s="57">
        <v>0</v>
      </c>
      <c r="T3640" s="57">
        <v>0</v>
      </c>
      <c r="U3640" s="57">
        <v>0</v>
      </c>
      <c r="V3640" s="57">
        <v>0</v>
      </c>
      <c r="W3640" s="57">
        <v>0</v>
      </c>
      <c r="X3640" s="57">
        <v>0</v>
      </c>
    </row>
    <row r="3641" spans="1:24" hidden="1" x14ac:dyDescent="0.35">
      <c r="A3641">
        <v>3637</v>
      </c>
      <c r="B3641">
        <v>3638</v>
      </c>
      <c r="C3641">
        <v>146.07981946800001</v>
      </c>
      <c r="D3641">
        <v>-17.6385953288999</v>
      </c>
      <c r="F3641" t="str">
        <f>HYPERLINK("D:\Data From Lucan\2024\Moresby\Frames_for_Analysis/3638_20240611_0005_L_0356.jpg","3638_20240611_0005_L_0356.jpg")</f>
        <v>3638_20240611_0005_L_0356.jpg</v>
      </c>
      <c r="G3641" s="92" t="s">
        <v>5215</v>
      </c>
      <c r="I3641">
        <v>3</v>
      </c>
      <c r="K3641" s="57">
        <v>1</v>
      </c>
      <c r="P3641" s="57">
        <v>1</v>
      </c>
      <c r="Q3641" s="57">
        <v>0</v>
      </c>
      <c r="R3641" s="57">
        <v>0</v>
      </c>
      <c r="S3641" s="57">
        <v>0</v>
      </c>
      <c r="T3641" s="57">
        <v>0</v>
      </c>
      <c r="U3641" s="57">
        <v>0</v>
      </c>
      <c r="V3641" s="57">
        <v>0</v>
      </c>
      <c r="W3641" s="57">
        <v>0</v>
      </c>
      <c r="X3641" s="57">
        <v>0</v>
      </c>
    </row>
    <row r="3642" spans="1:24" hidden="1" x14ac:dyDescent="0.35">
      <c r="A3642">
        <v>3638</v>
      </c>
      <c r="B3642">
        <v>3639</v>
      </c>
      <c r="C3642">
        <v>146.079739348</v>
      </c>
      <c r="D3642">
        <v>-17.6385577008</v>
      </c>
      <c r="F3642" t="str">
        <f>HYPERLINK("D:\Data From Lucan\2024\Moresby\Frames_for_Analysis/3639_20240611_0005_L_0360.jpg","3639_20240611_0005_L_0360.jpg")</f>
        <v>3639_20240611_0005_L_0360.jpg</v>
      </c>
      <c r="G3642" s="92" t="s">
        <v>5216</v>
      </c>
      <c r="I3642">
        <v>3</v>
      </c>
      <c r="K3642" s="57">
        <v>1</v>
      </c>
      <c r="P3642" s="57">
        <v>1</v>
      </c>
      <c r="Q3642" s="57">
        <v>0</v>
      </c>
      <c r="R3642" s="57">
        <v>0</v>
      </c>
      <c r="S3642" s="57">
        <v>0</v>
      </c>
      <c r="T3642" s="57">
        <v>0</v>
      </c>
      <c r="U3642" s="57">
        <v>0</v>
      </c>
      <c r="V3642" s="57">
        <v>0</v>
      </c>
      <c r="W3642" s="57">
        <v>0</v>
      </c>
      <c r="X3642" s="57">
        <v>0</v>
      </c>
    </row>
    <row r="3643" spans="1:24" hidden="1" x14ac:dyDescent="0.35">
      <c r="A3643">
        <v>3639</v>
      </c>
      <c r="B3643">
        <v>3640</v>
      </c>
      <c r="C3643">
        <v>146.079650493999</v>
      </c>
      <c r="D3643">
        <v>-17.638545106500001</v>
      </c>
      <c r="F3643" t="str">
        <f>HYPERLINK("D:\Data From Lucan\2024\Moresby\Frames_for_Analysis/3640_20240611_0005_L_0368.jpg","3640_20240611_0005_L_0368.jpg")</f>
        <v>3640_20240611_0005_L_0368.jpg</v>
      </c>
      <c r="G3643" s="92" t="s">
        <v>5217</v>
      </c>
      <c r="I3643">
        <v>3</v>
      </c>
      <c r="K3643" s="57">
        <v>1</v>
      </c>
      <c r="P3643" s="57">
        <v>1</v>
      </c>
      <c r="Q3643" s="57">
        <v>0</v>
      </c>
      <c r="R3643" s="57">
        <v>0</v>
      </c>
      <c r="S3643" s="57">
        <v>0</v>
      </c>
      <c r="T3643" s="57">
        <v>0</v>
      </c>
      <c r="U3643" s="57">
        <v>0</v>
      </c>
      <c r="V3643" s="57">
        <v>0</v>
      </c>
      <c r="W3643" s="57">
        <v>0</v>
      </c>
      <c r="X3643" s="57">
        <v>0</v>
      </c>
    </row>
    <row r="3644" spans="1:24" hidden="1" x14ac:dyDescent="0.35">
      <c r="A3644">
        <v>3640</v>
      </c>
      <c r="B3644">
        <v>3641</v>
      </c>
      <c r="C3644">
        <v>146.079563277999</v>
      </c>
      <c r="D3644">
        <v>-17.638547449800001</v>
      </c>
      <c r="F3644" t="str">
        <f>HYPERLINK("D:\Data From Lucan\2024\Moresby\Frames_for_Analysis/3641_20240611_0005_L_0374.jpg","3641_20240611_0005_L_0374.jpg")</f>
        <v>3641_20240611_0005_L_0374.jpg</v>
      </c>
      <c r="G3644" s="92" t="s">
        <v>5218</v>
      </c>
      <c r="I3644">
        <v>9</v>
      </c>
      <c r="K3644" s="57">
        <v>1</v>
      </c>
      <c r="P3644" s="57">
        <v>1</v>
      </c>
      <c r="Q3644" s="57">
        <v>0</v>
      </c>
      <c r="R3644" s="57">
        <v>0</v>
      </c>
      <c r="S3644" s="57">
        <v>0</v>
      </c>
      <c r="T3644" s="57">
        <v>0</v>
      </c>
      <c r="U3644" s="57">
        <v>0</v>
      </c>
      <c r="V3644" s="57">
        <v>0</v>
      </c>
      <c r="W3644" s="57">
        <v>0</v>
      </c>
      <c r="X3644" s="57">
        <v>0</v>
      </c>
    </row>
    <row r="3645" spans="1:24" hidden="1" x14ac:dyDescent="0.35">
      <c r="A3645">
        <v>3641</v>
      </c>
      <c r="B3645">
        <v>3642</v>
      </c>
      <c r="C3645">
        <v>146.079479074999</v>
      </c>
      <c r="D3645">
        <v>-17.6385772776</v>
      </c>
      <c r="F3645" t="str">
        <f>HYPERLINK("D:\Data From Lucan\2024\Moresby\Frames_for_Analysis/3642_20240611_0005_L_0377.jpg","3642_20240611_0005_L_0377.jpg")</f>
        <v>3642_20240611_0005_L_0377.jpg</v>
      </c>
      <c r="G3645" s="92" t="s">
        <v>5219</v>
      </c>
      <c r="I3645">
        <v>9</v>
      </c>
      <c r="K3645" s="57">
        <v>1</v>
      </c>
      <c r="P3645" s="57">
        <v>1</v>
      </c>
      <c r="Q3645" s="57">
        <v>0</v>
      </c>
      <c r="R3645" s="57">
        <v>0</v>
      </c>
      <c r="S3645" s="57">
        <v>0</v>
      </c>
      <c r="T3645" s="57">
        <v>0</v>
      </c>
      <c r="U3645" s="57">
        <v>0</v>
      </c>
      <c r="V3645" s="57">
        <v>0</v>
      </c>
      <c r="W3645" s="57">
        <v>0</v>
      </c>
      <c r="X3645" s="57">
        <v>0</v>
      </c>
    </row>
    <row r="3646" spans="1:24" hidden="1" x14ac:dyDescent="0.35">
      <c r="A3646">
        <v>3642</v>
      </c>
      <c r="B3646">
        <v>3643</v>
      </c>
      <c r="C3646">
        <v>146.079399741</v>
      </c>
      <c r="D3646">
        <v>-17.638616969600001</v>
      </c>
      <c r="F3646" t="str">
        <f>HYPERLINK("D:\Data From Lucan\2024\Moresby\Frames_for_Analysis/3643_20240611_0005_L_0381.jpg","3643_20240611_0005_L_0381.jpg")</f>
        <v>3643_20240611_0005_L_0381.jpg</v>
      </c>
      <c r="G3646" s="92" t="s">
        <v>5220</v>
      </c>
      <c r="I3646">
        <v>9</v>
      </c>
      <c r="K3646" s="57">
        <v>1</v>
      </c>
      <c r="P3646" s="57">
        <v>1</v>
      </c>
      <c r="Q3646" s="57">
        <v>0</v>
      </c>
      <c r="R3646" s="57">
        <v>0</v>
      </c>
      <c r="S3646" s="57">
        <v>0</v>
      </c>
      <c r="T3646" s="57">
        <v>0</v>
      </c>
      <c r="U3646" s="57">
        <v>0</v>
      </c>
      <c r="V3646" s="57">
        <v>0</v>
      </c>
      <c r="W3646" s="57">
        <v>0</v>
      </c>
      <c r="X3646" s="57">
        <v>0</v>
      </c>
    </row>
    <row r="3647" spans="1:24" hidden="1" x14ac:dyDescent="0.35">
      <c r="A3647">
        <v>3643</v>
      </c>
      <c r="B3647">
        <v>3644</v>
      </c>
      <c r="C3647">
        <v>146.07932193400001</v>
      </c>
      <c r="D3647">
        <v>-17.638659755700001</v>
      </c>
      <c r="F3647" t="str">
        <f>HYPERLINK("D:\Data From Lucan\2024\Moresby\Frames_for_Analysis/3644_20240611_0005_L_0383.jpg","3644_20240611_0005_L_0383.jpg")</f>
        <v>3644_20240611_0005_L_0383.jpg</v>
      </c>
      <c r="G3647" s="92" t="s">
        <v>5221</v>
      </c>
      <c r="I3647">
        <v>9</v>
      </c>
      <c r="K3647" s="57">
        <v>1</v>
      </c>
      <c r="P3647" s="57">
        <v>1</v>
      </c>
      <c r="Q3647" s="57">
        <v>0</v>
      </c>
      <c r="R3647" s="57">
        <v>0</v>
      </c>
      <c r="S3647" s="57">
        <v>0</v>
      </c>
      <c r="T3647" s="57">
        <v>0</v>
      </c>
      <c r="U3647" s="57">
        <v>0</v>
      </c>
      <c r="V3647" s="57">
        <v>0</v>
      </c>
      <c r="W3647" s="57">
        <v>0</v>
      </c>
      <c r="X3647" s="57">
        <v>0</v>
      </c>
    </row>
    <row r="3648" spans="1:24" hidden="1" x14ac:dyDescent="0.35">
      <c r="A3648">
        <v>3644</v>
      </c>
      <c r="B3648">
        <v>3645</v>
      </c>
      <c r="C3648">
        <v>146.079244125999</v>
      </c>
      <c r="D3648">
        <v>-17.638702541699899</v>
      </c>
      <c r="F3648" t="str">
        <f>HYPERLINK("D:\Data From Lucan\2024\Moresby\Frames_for_Analysis/3645_20240611_0005_L_0385.jpg","3645_20240611_0005_L_0385.jpg")</f>
        <v>3645_20240611_0005_L_0385.jpg</v>
      </c>
      <c r="G3648" s="92" t="s">
        <v>5222</v>
      </c>
      <c r="I3648">
        <v>9</v>
      </c>
      <c r="K3648" s="57">
        <v>1</v>
      </c>
      <c r="P3648" s="57">
        <v>1</v>
      </c>
      <c r="Q3648" s="57">
        <v>0</v>
      </c>
      <c r="R3648" s="57">
        <v>0</v>
      </c>
      <c r="S3648" s="57">
        <v>0</v>
      </c>
      <c r="T3648" s="57">
        <v>0</v>
      </c>
      <c r="U3648" s="57">
        <v>0</v>
      </c>
      <c r="V3648" s="57">
        <v>0</v>
      </c>
      <c r="W3648" s="57">
        <v>0</v>
      </c>
      <c r="X3648" s="57">
        <v>0</v>
      </c>
    </row>
    <row r="3649" spans="1:24" hidden="1" x14ac:dyDescent="0.35">
      <c r="A3649">
        <v>3645</v>
      </c>
      <c r="B3649">
        <v>3646</v>
      </c>
      <c r="C3649">
        <v>146.07916684899899</v>
      </c>
      <c r="D3649">
        <v>-17.6387461413</v>
      </c>
      <c r="F3649" t="str">
        <f>HYPERLINK("D:\Data From Lucan\2024\Moresby\Frames_for_Analysis/3646_20240611_0005_L_0389.jpg","3646_20240611_0005_L_0389.jpg")</f>
        <v>3646_20240611_0005_L_0389.jpg</v>
      </c>
      <c r="G3649" s="92" t="s">
        <v>5223</v>
      </c>
      <c r="I3649">
        <v>9</v>
      </c>
      <c r="K3649" s="57">
        <v>1</v>
      </c>
      <c r="P3649" s="57">
        <v>1</v>
      </c>
      <c r="Q3649" s="57">
        <v>0</v>
      </c>
      <c r="R3649" s="57">
        <v>0</v>
      </c>
      <c r="S3649" s="57">
        <v>0</v>
      </c>
      <c r="T3649" s="57">
        <v>0</v>
      </c>
      <c r="U3649" s="57">
        <v>0</v>
      </c>
      <c r="V3649" s="57">
        <v>0</v>
      </c>
      <c r="W3649" s="57">
        <v>0</v>
      </c>
      <c r="X3649" s="57">
        <v>0</v>
      </c>
    </row>
    <row r="3650" spans="1:24" hidden="1" x14ac:dyDescent="0.35">
      <c r="A3650">
        <v>3646</v>
      </c>
      <c r="B3650">
        <v>3647</v>
      </c>
      <c r="C3650">
        <v>146.079092148</v>
      </c>
      <c r="D3650">
        <v>-17.638793689300002</v>
      </c>
      <c r="F3650" t="str">
        <f>HYPERLINK("D:\Data From Lucan\2024\Moresby\Frames_for_Analysis/3647_20240611_0005_L_0391.jpg","3647_20240611_0005_L_0391.jpg")</f>
        <v>3647_20240611_0005_L_0391.jpg</v>
      </c>
      <c r="G3650" s="92" t="s">
        <v>5224</v>
      </c>
      <c r="I3650">
        <v>9</v>
      </c>
      <c r="K3650" s="57">
        <v>1</v>
      </c>
      <c r="P3650" s="57">
        <v>1</v>
      </c>
      <c r="Q3650" s="57">
        <v>0</v>
      </c>
      <c r="R3650" s="57">
        <v>0</v>
      </c>
      <c r="S3650" s="57">
        <v>0</v>
      </c>
      <c r="T3650" s="57">
        <v>0</v>
      </c>
      <c r="U3650" s="57">
        <v>0</v>
      </c>
      <c r="V3650" s="57">
        <v>0</v>
      </c>
      <c r="W3650" s="57">
        <v>0</v>
      </c>
      <c r="X3650" s="57">
        <v>0</v>
      </c>
    </row>
    <row r="3651" spans="1:24" hidden="1" x14ac:dyDescent="0.35">
      <c r="A3651">
        <v>3647</v>
      </c>
      <c r="B3651">
        <v>3648</v>
      </c>
      <c r="C3651">
        <v>146.079017445999</v>
      </c>
      <c r="D3651">
        <v>-17.6388412372999</v>
      </c>
      <c r="F3651" t="str">
        <f>HYPERLINK("D:\Data From Lucan\2024\Moresby\Frames_for_Analysis/3648_20240611_0005_L_0392.jpg","3648_20240611_0005_L_0392.jpg")</f>
        <v>3648_20240611_0005_L_0392.jpg</v>
      </c>
      <c r="G3651" s="92" t="s">
        <v>5225</v>
      </c>
      <c r="I3651">
        <v>9</v>
      </c>
      <c r="K3651" s="57">
        <v>1</v>
      </c>
      <c r="P3651" s="57">
        <v>1</v>
      </c>
      <c r="Q3651" s="57">
        <v>0</v>
      </c>
      <c r="R3651" s="57">
        <v>0</v>
      </c>
      <c r="S3651" s="57">
        <v>0</v>
      </c>
      <c r="T3651" s="57">
        <v>0</v>
      </c>
      <c r="U3651" s="57">
        <v>0</v>
      </c>
      <c r="V3651" s="57">
        <v>0</v>
      </c>
      <c r="W3651" s="57">
        <v>0</v>
      </c>
      <c r="X3651" s="57">
        <v>0</v>
      </c>
    </row>
    <row r="3652" spans="1:24" hidden="1" x14ac:dyDescent="0.35">
      <c r="A3652">
        <v>3648</v>
      </c>
      <c r="B3652">
        <v>3649</v>
      </c>
      <c r="C3652">
        <v>146.07894274500001</v>
      </c>
      <c r="D3652">
        <v>-17.638888785300001</v>
      </c>
      <c r="F3652" t="str">
        <f>HYPERLINK("D:\Data From Lucan\2024\Moresby\Frames_for_Analysis/3649_20240611_0005_L_0394.jpg","3649_20240611_0005_L_0394.jpg")</f>
        <v>3649_20240611_0005_L_0394.jpg</v>
      </c>
      <c r="G3652" s="92" t="s">
        <v>5226</v>
      </c>
      <c r="I3652">
        <v>9</v>
      </c>
      <c r="K3652" s="57">
        <v>1</v>
      </c>
      <c r="P3652" s="57">
        <v>1</v>
      </c>
      <c r="Q3652" s="57">
        <v>0</v>
      </c>
      <c r="R3652" s="57">
        <v>0</v>
      </c>
      <c r="S3652" s="57">
        <v>0</v>
      </c>
      <c r="T3652" s="57">
        <v>0</v>
      </c>
      <c r="U3652" s="57">
        <v>0</v>
      </c>
      <c r="V3652" s="57">
        <v>0</v>
      </c>
      <c r="W3652" s="57">
        <v>0</v>
      </c>
      <c r="X3652" s="57">
        <v>0</v>
      </c>
    </row>
    <row r="3653" spans="1:24" hidden="1" x14ac:dyDescent="0.35">
      <c r="A3653">
        <v>3649</v>
      </c>
      <c r="B3653">
        <v>3650</v>
      </c>
      <c r="C3653">
        <v>146.078868043</v>
      </c>
      <c r="D3653">
        <v>-17.6389363332</v>
      </c>
      <c r="F3653" t="str">
        <f>HYPERLINK("D:\Data From Lucan\2024\Moresby\Frames_for_Analysis/3650_20240611_0005_L_0398.jpg","3650_20240611_0005_L_0398.jpg")</f>
        <v>3650_20240611_0005_L_0398.jpg</v>
      </c>
      <c r="G3653" s="92" t="s">
        <v>5227</v>
      </c>
      <c r="I3653">
        <v>9</v>
      </c>
      <c r="K3653" s="57">
        <v>1</v>
      </c>
      <c r="P3653" s="57">
        <v>1</v>
      </c>
      <c r="Q3653" s="57">
        <v>0</v>
      </c>
      <c r="R3653" s="57">
        <v>0</v>
      </c>
      <c r="S3653" s="57">
        <v>0</v>
      </c>
      <c r="T3653" s="57">
        <v>0</v>
      </c>
      <c r="U3653" s="57">
        <v>0</v>
      </c>
      <c r="V3653" s="57">
        <v>0</v>
      </c>
      <c r="W3653" s="57">
        <v>0</v>
      </c>
      <c r="X3653" s="57">
        <v>0</v>
      </c>
    </row>
    <row r="3654" spans="1:24" hidden="1" x14ac:dyDescent="0.35">
      <c r="A3654">
        <v>3650</v>
      </c>
      <c r="B3654">
        <v>3651</v>
      </c>
      <c r="C3654">
        <v>146.07879334200001</v>
      </c>
      <c r="D3654">
        <v>-17.638983881200001</v>
      </c>
      <c r="F3654" t="str">
        <f>HYPERLINK("D:\Data From Lucan\2024\Moresby\Frames_for_Analysis/3651_20240611_0005_L_0401.jpg","3651_20240611_0005_L_0401.jpg")</f>
        <v>3651_20240611_0005_L_0401.jpg</v>
      </c>
      <c r="G3654" s="92" t="s">
        <v>5228</v>
      </c>
      <c r="I3654">
        <v>9</v>
      </c>
      <c r="K3654" s="57">
        <v>1</v>
      </c>
      <c r="P3654" s="57">
        <v>1</v>
      </c>
      <c r="Q3654" s="57">
        <v>0</v>
      </c>
      <c r="R3654" s="57">
        <v>0</v>
      </c>
      <c r="S3654" s="57">
        <v>0</v>
      </c>
      <c r="T3654" s="57">
        <v>0</v>
      </c>
      <c r="U3654" s="57">
        <v>0</v>
      </c>
      <c r="V3654" s="57">
        <v>0</v>
      </c>
      <c r="W3654" s="57">
        <v>0</v>
      </c>
      <c r="X3654" s="57">
        <v>0</v>
      </c>
    </row>
    <row r="3655" spans="1:24" hidden="1" x14ac:dyDescent="0.35">
      <c r="A3655">
        <v>3651</v>
      </c>
      <c r="B3655">
        <v>3652</v>
      </c>
      <c r="C3655">
        <v>146.078721040999</v>
      </c>
      <c r="D3655">
        <v>-17.639034306900001</v>
      </c>
      <c r="F3655" t="str">
        <f>HYPERLINK("D:\Data From Lucan\2024\Moresby\Frames_for_Analysis/3652_20240611_0005_L_0407.jpg","3652_20240611_0005_L_0407.jpg")</f>
        <v>3652_20240611_0005_L_0407.jpg</v>
      </c>
      <c r="G3655" s="92" t="s">
        <v>5229</v>
      </c>
      <c r="I3655">
        <v>9</v>
      </c>
      <c r="K3655" s="57">
        <v>1</v>
      </c>
      <c r="P3655" s="57">
        <v>1</v>
      </c>
      <c r="Q3655" s="57">
        <v>0</v>
      </c>
      <c r="R3655" s="57">
        <v>0</v>
      </c>
      <c r="S3655" s="57">
        <v>0</v>
      </c>
      <c r="T3655" s="57">
        <v>0</v>
      </c>
      <c r="U3655" s="57">
        <v>0</v>
      </c>
      <c r="V3655" s="57">
        <v>0</v>
      </c>
      <c r="W3655" s="57">
        <v>0</v>
      </c>
      <c r="X3655" s="57">
        <v>0</v>
      </c>
    </row>
    <row r="3656" spans="1:24" hidden="1" x14ac:dyDescent="0.35">
      <c r="A3656">
        <v>3652</v>
      </c>
      <c r="B3656">
        <v>3653</v>
      </c>
      <c r="C3656">
        <v>146.07865558500001</v>
      </c>
      <c r="D3656">
        <v>-17.6390929388999</v>
      </c>
      <c r="F3656" t="str">
        <f>HYPERLINK("D:\Data From Lucan\2024\Moresby\Frames_for_Analysis/3653_20240611_0005_L_0408.jpg","3653_20240611_0005_L_0408.jpg")</f>
        <v>3653_20240611_0005_L_0408.jpg</v>
      </c>
      <c r="G3656" s="92" t="s">
        <v>5230</v>
      </c>
      <c r="I3656">
        <v>9</v>
      </c>
      <c r="K3656" s="57"/>
      <c r="P3656" s="57">
        <v>1</v>
      </c>
      <c r="Q3656" s="57">
        <v>0</v>
      </c>
      <c r="R3656" s="57">
        <v>0</v>
      </c>
      <c r="S3656" s="57">
        <v>0</v>
      </c>
      <c r="T3656" s="57">
        <v>0</v>
      </c>
      <c r="U3656" s="57">
        <v>0</v>
      </c>
      <c r="V3656" s="57">
        <v>0</v>
      </c>
      <c r="W3656" s="57">
        <v>0</v>
      </c>
      <c r="X3656" s="57">
        <v>0</v>
      </c>
    </row>
    <row r="3657" spans="1:24" hidden="1" x14ac:dyDescent="0.35">
      <c r="A3657">
        <v>3653</v>
      </c>
      <c r="B3657">
        <v>3654</v>
      </c>
      <c r="C3657">
        <v>146.07859013000001</v>
      </c>
      <c r="D3657">
        <v>-17.639151570900001</v>
      </c>
      <c r="G3657" s="92"/>
      <c r="I3657">
        <v>9</v>
      </c>
      <c r="J3657" t="s">
        <v>26</v>
      </c>
      <c r="K3657" s="57"/>
      <c r="S3657" s="57"/>
      <c r="X3657" s="57"/>
    </row>
    <row r="3658" spans="1:24" hidden="1" x14ac:dyDescent="0.35">
      <c r="A3658">
        <v>3654</v>
      </c>
      <c r="B3658">
        <v>3655</v>
      </c>
      <c r="C3658">
        <v>146.078524673999</v>
      </c>
      <c r="D3658">
        <v>-17.639210202800001</v>
      </c>
      <c r="G3658" s="92"/>
      <c r="I3658">
        <v>9</v>
      </c>
      <c r="J3658" t="s">
        <v>26</v>
      </c>
      <c r="K3658" s="57"/>
      <c r="S3658" s="57"/>
      <c r="X3658" s="57"/>
    </row>
    <row r="3659" spans="1:24" hidden="1" x14ac:dyDescent="0.35">
      <c r="A3659">
        <v>3655</v>
      </c>
      <c r="B3659">
        <v>3656</v>
      </c>
      <c r="C3659">
        <v>146.078459218999</v>
      </c>
      <c r="D3659">
        <v>-17.6392688347999</v>
      </c>
      <c r="G3659" s="92"/>
      <c r="I3659">
        <v>9</v>
      </c>
      <c r="J3659" t="s">
        <v>26</v>
      </c>
      <c r="K3659" s="57"/>
      <c r="S3659" s="57"/>
      <c r="X3659" s="57"/>
    </row>
    <row r="3660" spans="1:24" hidden="1" x14ac:dyDescent="0.35">
      <c r="A3660">
        <v>3656</v>
      </c>
      <c r="B3660">
        <v>3657</v>
      </c>
      <c r="C3660">
        <v>146.07840653400001</v>
      </c>
      <c r="D3660">
        <v>-17.639337499100002</v>
      </c>
      <c r="G3660" s="92"/>
      <c r="I3660">
        <v>9</v>
      </c>
      <c r="J3660" t="s">
        <v>26</v>
      </c>
      <c r="K3660" s="57"/>
      <c r="S3660" s="57"/>
      <c r="X3660" s="57"/>
    </row>
    <row r="3661" spans="1:24" hidden="1" x14ac:dyDescent="0.35">
      <c r="A3661">
        <v>3657</v>
      </c>
      <c r="B3661">
        <v>3658</v>
      </c>
      <c r="C3661">
        <v>146.07835862799899</v>
      </c>
      <c r="D3661">
        <v>-17.6394099181</v>
      </c>
      <c r="G3661" s="92"/>
      <c r="I3661">
        <v>9</v>
      </c>
      <c r="J3661" t="s">
        <v>26</v>
      </c>
      <c r="K3661" s="57"/>
      <c r="S3661" s="57"/>
      <c r="X3661" s="57"/>
    </row>
    <row r="3662" spans="1:24" hidden="1" x14ac:dyDescent="0.35">
      <c r="A3662">
        <v>3658</v>
      </c>
      <c r="B3662">
        <v>3659</v>
      </c>
      <c r="C3662">
        <v>146.07831072299899</v>
      </c>
      <c r="D3662">
        <v>-17.639482337</v>
      </c>
      <c r="G3662" s="92"/>
      <c r="I3662">
        <v>9</v>
      </c>
      <c r="J3662" t="s">
        <v>26</v>
      </c>
      <c r="K3662" s="57"/>
      <c r="S3662" s="57"/>
      <c r="X3662" s="57"/>
    </row>
    <row r="3663" spans="1:24" hidden="1" x14ac:dyDescent="0.35">
      <c r="A3663">
        <v>3659</v>
      </c>
      <c r="B3663">
        <v>3660</v>
      </c>
      <c r="C3663">
        <v>146.07826281800001</v>
      </c>
      <c r="D3663">
        <v>-17.6395547559999</v>
      </c>
      <c r="G3663" s="92"/>
      <c r="I3663">
        <v>9</v>
      </c>
      <c r="J3663" t="s">
        <v>26</v>
      </c>
      <c r="K3663" s="57"/>
      <c r="S3663" s="57"/>
      <c r="X3663" s="57"/>
    </row>
    <row r="3664" spans="1:24" hidden="1" x14ac:dyDescent="0.35">
      <c r="A3664">
        <v>3660</v>
      </c>
      <c r="B3664">
        <v>3661</v>
      </c>
      <c r="C3664">
        <v>146.078228265999</v>
      </c>
      <c r="D3664">
        <v>-17.639633747800001</v>
      </c>
      <c r="G3664" s="92"/>
      <c r="I3664">
        <v>9</v>
      </c>
      <c r="J3664" t="s">
        <v>26</v>
      </c>
      <c r="K3664" s="57"/>
      <c r="S3664" s="57"/>
      <c r="X3664" s="57"/>
    </row>
    <row r="3665" spans="1:24" hidden="1" x14ac:dyDescent="0.35">
      <c r="A3665">
        <v>3661</v>
      </c>
      <c r="B3665">
        <v>3662</v>
      </c>
      <c r="C3665">
        <v>146.07819402600001</v>
      </c>
      <c r="D3665">
        <v>-17.639712893199899</v>
      </c>
      <c r="G3665" s="92"/>
      <c r="I3665">
        <v>9</v>
      </c>
      <c r="J3665" t="s">
        <v>26</v>
      </c>
      <c r="K3665" s="57"/>
      <c r="S3665" s="57"/>
      <c r="X3665" s="57"/>
    </row>
    <row r="3666" spans="1:24" hidden="1" x14ac:dyDescent="0.35">
      <c r="A3666">
        <v>3662</v>
      </c>
      <c r="B3666">
        <v>3663</v>
      </c>
      <c r="C3666">
        <v>146.078160271</v>
      </c>
      <c r="D3666">
        <v>-17.639792124100001</v>
      </c>
      <c r="G3666" s="92"/>
      <c r="I3666">
        <v>9</v>
      </c>
      <c r="J3666" t="s">
        <v>26</v>
      </c>
      <c r="K3666" s="57"/>
      <c r="S3666" s="57"/>
      <c r="X3666" s="57"/>
    </row>
    <row r="3667" spans="1:24" hidden="1" x14ac:dyDescent="0.35">
      <c r="A3667">
        <v>3663</v>
      </c>
      <c r="B3667">
        <v>3664</v>
      </c>
      <c r="C3667">
        <v>146.07816246100001</v>
      </c>
      <c r="D3667">
        <v>-17.639877706299899</v>
      </c>
      <c r="G3667" s="92"/>
      <c r="I3667">
        <v>9</v>
      </c>
      <c r="J3667" t="s">
        <v>26</v>
      </c>
      <c r="K3667" s="57"/>
      <c r="S3667" s="57"/>
      <c r="X3667" s="57"/>
    </row>
    <row r="3668" spans="1:24" hidden="1" x14ac:dyDescent="0.35">
      <c r="A3668">
        <v>3664</v>
      </c>
      <c r="B3668">
        <v>3665</v>
      </c>
      <c r="C3668">
        <v>146.07816465100001</v>
      </c>
      <c r="D3668">
        <v>-17.639963288499899</v>
      </c>
      <c r="G3668" s="92"/>
      <c r="I3668">
        <v>9</v>
      </c>
      <c r="J3668" t="s">
        <v>26</v>
      </c>
      <c r="K3668" s="57"/>
      <c r="S3668" s="57"/>
      <c r="X3668" s="57"/>
    </row>
    <row r="3669" spans="1:24" hidden="1" x14ac:dyDescent="0.35">
      <c r="A3669">
        <v>3665</v>
      </c>
      <c r="B3669">
        <v>3666</v>
      </c>
      <c r="C3669">
        <v>146.078186969</v>
      </c>
      <c r="D3669">
        <v>-17.640045933</v>
      </c>
      <c r="G3669" s="92"/>
      <c r="I3669">
        <v>9</v>
      </c>
      <c r="J3669" t="s">
        <v>26</v>
      </c>
      <c r="K3669" s="57"/>
      <c r="S3669" s="57"/>
      <c r="X3669" s="57"/>
    </row>
    <row r="3670" spans="1:24" hidden="1" x14ac:dyDescent="0.35">
      <c r="A3670">
        <v>3666</v>
      </c>
      <c r="B3670">
        <v>3667</v>
      </c>
      <c r="C3670">
        <v>146.078246331999</v>
      </c>
      <c r="D3670">
        <v>-17.6401068163999</v>
      </c>
      <c r="G3670" s="92"/>
      <c r="I3670">
        <v>9</v>
      </c>
      <c r="J3670" t="s">
        <v>26</v>
      </c>
      <c r="K3670" s="57"/>
      <c r="S3670" s="57"/>
      <c r="X3670" s="57"/>
    </row>
    <row r="3671" spans="1:24" hidden="1" x14ac:dyDescent="0.35">
      <c r="A3671">
        <v>3667</v>
      </c>
      <c r="B3671">
        <v>3668</v>
      </c>
      <c r="C3671">
        <v>146.07831513599899</v>
      </c>
      <c r="D3671">
        <v>-17.640161856300001</v>
      </c>
      <c r="G3671" s="92"/>
      <c r="I3671">
        <v>9</v>
      </c>
      <c r="J3671" t="s">
        <v>26</v>
      </c>
      <c r="K3671" s="57"/>
      <c r="S3671" s="57"/>
      <c r="X3671" s="57"/>
    </row>
    <row r="3672" spans="1:24" hidden="1" x14ac:dyDescent="0.35">
      <c r="A3672">
        <v>3668</v>
      </c>
      <c r="B3672">
        <v>3669</v>
      </c>
      <c r="C3672">
        <v>146.07839155900001</v>
      </c>
      <c r="D3672">
        <v>-17.640206722399899</v>
      </c>
      <c r="G3672" s="92"/>
      <c r="I3672">
        <v>9</v>
      </c>
      <c r="J3672" t="s">
        <v>26</v>
      </c>
      <c r="K3672" s="57"/>
      <c r="S3672" s="57"/>
      <c r="X3672" s="57"/>
    </row>
    <row r="3673" spans="1:24" hidden="1" x14ac:dyDescent="0.35">
      <c r="A3673">
        <v>3669</v>
      </c>
      <c r="B3673">
        <v>3670</v>
      </c>
      <c r="C3673">
        <v>146.07846854900001</v>
      </c>
      <c r="D3673">
        <v>-17.640250829700001</v>
      </c>
      <c r="G3673" s="92"/>
      <c r="I3673">
        <v>9</v>
      </c>
      <c r="J3673" t="s">
        <v>26</v>
      </c>
      <c r="K3673" s="57"/>
      <c r="S3673" s="57"/>
      <c r="X3673" s="57"/>
    </row>
    <row r="3674" spans="1:24" hidden="1" x14ac:dyDescent="0.35">
      <c r="A3674">
        <v>3670</v>
      </c>
      <c r="B3674">
        <v>3671</v>
      </c>
      <c r="C3674">
        <v>146.078545539999</v>
      </c>
      <c r="D3674">
        <v>-17.640294937</v>
      </c>
      <c r="G3674" s="92"/>
      <c r="I3674">
        <v>9</v>
      </c>
      <c r="J3674" t="s">
        <v>26</v>
      </c>
      <c r="K3674" s="57"/>
      <c r="S3674" s="57"/>
      <c r="X3674" s="57"/>
    </row>
    <row r="3675" spans="1:24" hidden="1" x14ac:dyDescent="0.35">
      <c r="A3675">
        <v>3671</v>
      </c>
      <c r="B3675">
        <v>3672</v>
      </c>
      <c r="C3675">
        <v>146.07863115000001</v>
      </c>
      <c r="D3675">
        <v>-17.640317227800001</v>
      </c>
      <c r="G3675" s="92"/>
      <c r="I3675">
        <v>9</v>
      </c>
      <c r="J3675" t="s">
        <v>26</v>
      </c>
      <c r="K3675" s="57"/>
      <c r="S3675" s="57"/>
      <c r="X3675" s="57"/>
    </row>
    <row r="3676" spans="1:24" hidden="1" x14ac:dyDescent="0.35">
      <c r="A3676">
        <v>3672</v>
      </c>
      <c r="B3676">
        <v>3673</v>
      </c>
      <c r="C3676">
        <v>146.078719546999</v>
      </c>
      <c r="D3676">
        <v>-17.640332465499899</v>
      </c>
      <c r="G3676" s="92"/>
      <c r="I3676">
        <v>9</v>
      </c>
      <c r="J3676" t="s">
        <v>26</v>
      </c>
      <c r="K3676" s="57"/>
      <c r="S3676" s="57"/>
      <c r="X3676" s="57"/>
    </row>
    <row r="3677" spans="1:24" hidden="1" x14ac:dyDescent="0.35">
      <c r="A3677">
        <v>3673</v>
      </c>
      <c r="B3677">
        <v>3674</v>
      </c>
      <c r="C3677">
        <v>146.078807944</v>
      </c>
      <c r="D3677">
        <v>-17.6403477032</v>
      </c>
      <c r="G3677" s="92"/>
      <c r="I3677">
        <v>9</v>
      </c>
      <c r="J3677" t="s">
        <v>26</v>
      </c>
      <c r="K3677" s="57"/>
      <c r="S3677" s="57"/>
      <c r="X3677" s="57"/>
    </row>
    <row r="3678" spans="1:24" hidden="1" x14ac:dyDescent="0.35">
      <c r="A3678">
        <v>3674</v>
      </c>
      <c r="B3678">
        <v>3675</v>
      </c>
      <c r="C3678">
        <v>146.07889634099899</v>
      </c>
      <c r="D3678">
        <v>-17.640362940900001</v>
      </c>
      <c r="G3678" s="92"/>
      <c r="I3678">
        <v>9</v>
      </c>
      <c r="J3678" t="s">
        <v>26</v>
      </c>
      <c r="K3678" s="57"/>
      <c r="S3678" s="57"/>
      <c r="X3678" s="57"/>
    </row>
    <row r="3679" spans="1:24" hidden="1" x14ac:dyDescent="0.35">
      <c r="A3679">
        <v>3675</v>
      </c>
      <c r="B3679">
        <v>3676</v>
      </c>
      <c r="C3679">
        <v>146.078984738</v>
      </c>
      <c r="D3679">
        <v>-17.640378178599899</v>
      </c>
      <c r="G3679" s="92"/>
      <c r="I3679">
        <v>9</v>
      </c>
      <c r="J3679" t="s">
        <v>26</v>
      </c>
      <c r="K3679" s="57"/>
      <c r="S3679" s="57"/>
      <c r="X3679" s="57"/>
    </row>
    <row r="3680" spans="1:24" hidden="1" x14ac:dyDescent="0.35">
      <c r="A3680">
        <v>3676</v>
      </c>
      <c r="B3680">
        <v>3677</v>
      </c>
      <c r="C3680">
        <v>146.07907313499899</v>
      </c>
      <c r="D3680">
        <v>-17.6403934163</v>
      </c>
      <c r="G3680" s="92"/>
      <c r="I3680">
        <v>9</v>
      </c>
      <c r="J3680" t="s">
        <v>26</v>
      </c>
      <c r="K3680" s="57"/>
      <c r="S3680" s="57"/>
      <c r="X3680" s="57"/>
    </row>
    <row r="3681" spans="1:24" hidden="1" x14ac:dyDescent="0.35">
      <c r="A3681">
        <v>3677</v>
      </c>
      <c r="B3681">
        <v>3678</v>
      </c>
      <c r="C3681">
        <v>146.07916098000001</v>
      </c>
      <c r="D3681">
        <v>-17.640410911099899</v>
      </c>
      <c r="G3681" s="92"/>
      <c r="I3681">
        <v>9</v>
      </c>
      <c r="J3681" t="s">
        <v>26</v>
      </c>
      <c r="K3681" s="57"/>
      <c r="S3681" s="57"/>
      <c r="X3681" s="57"/>
    </row>
    <row r="3682" spans="1:24" hidden="1" x14ac:dyDescent="0.35">
      <c r="A3682">
        <v>3678</v>
      </c>
      <c r="B3682">
        <v>3679</v>
      </c>
      <c r="C3682">
        <v>146.07924732500001</v>
      </c>
      <c r="D3682">
        <v>-17.6404345276</v>
      </c>
      <c r="G3682" s="92"/>
      <c r="I3682">
        <v>9</v>
      </c>
      <c r="J3682" t="s">
        <v>26</v>
      </c>
      <c r="K3682" s="57"/>
      <c r="S3682" s="57"/>
      <c r="X3682" s="57"/>
    </row>
    <row r="3683" spans="1:24" hidden="1" x14ac:dyDescent="0.35">
      <c r="A3683">
        <v>3679</v>
      </c>
      <c r="B3683">
        <v>3680</v>
      </c>
      <c r="C3683">
        <v>146.079333671</v>
      </c>
      <c r="D3683">
        <v>-17.640458144</v>
      </c>
      <c r="G3683" s="92"/>
      <c r="I3683">
        <v>9</v>
      </c>
      <c r="J3683" t="s">
        <v>26</v>
      </c>
      <c r="K3683" s="57"/>
      <c r="S3683" s="57"/>
      <c r="X3683" s="57"/>
    </row>
    <row r="3684" spans="1:24" hidden="1" x14ac:dyDescent="0.35">
      <c r="A3684">
        <v>3680</v>
      </c>
      <c r="B3684">
        <v>3681</v>
      </c>
      <c r="C3684">
        <v>146.07941938100001</v>
      </c>
      <c r="D3684">
        <v>-17.640483010899899</v>
      </c>
      <c r="G3684" s="92"/>
      <c r="I3684">
        <v>9</v>
      </c>
      <c r="J3684" t="s">
        <v>26</v>
      </c>
      <c r="K3684" s="57"/>
      <c r="S3684" s="57"/>
      <c r="X3684" s="57"/>
    </row>
    <row r="3685" spans="1:24" hidden="1" x14ac:dyDescent="0.35">
      <c r="A3685">
        <v>3681</v>
      </c>
      <c r="B3685">
        <v>3682</v>
      </c>
      <c r="C3685">
        <v>146.07949236600001</v>
      </c>
      <c r="D3685">
        <v>-17.640532920399899</v>
      </c>
      <c r="G3685" s="92"/>
      <c r="I3685">
        <v>9</v>
      </c>
      <c r="J3685" t="s">
        <v>26</v>
      </c>
      <c r="K3685" s="57"/>
      <c r="S3685" s="57"/>
      <c r="X3685" s="57"/>
    </row>
    <row r="3686" spans="1:24" hidden="1" x14ac:dyDescent="0.35">
      <c r="A3686">
        <v>3682</v>
      </c>
      <c r="B3686">
        <v>3683</v>
      </c>
      <c r="C3686">
        <v>146.079551868999</v>
      </c>
      <c r="D3686">
        <v>-17.640596177300001</v>
      </c>
      <c r="G3686" s="92"/>
      <c r="I3686">
        <v>9</v>
      </c>
      <c r="J3686" t="s">
        <v>26</v>
      </c>
      <c r="K3686" s="57"/>
      <c r="S3686" s="57"/>
      <c r="X3686" s="57"/>
    </row>
    <row r="3687" spans="1:24" hidden="1" x14ac:dyDescent="0.35">
      <c r="A3687">
        <v>3683</v>
      </c>
      <c r="B3687">
        <v>3684</v>
      </c>
      <c r="C3687">
        <v>146.079606979</v>
      </c>
      <c r="D3687">
        <v>-17.640663782099899</v>
      </c>
      <c r="G3687" s="92"/>
      <c r="I3687">
        <v>9</v>
      </c>
      <c r="J3687" t="s">
        <v>26</v>
      </c>
      <c r="K3687" s="57"/>
      <c r="S3687" s="57"/>
      <c r="X3687" s="57"/>
    </row>
    <row r="3688" spans="1:24" hidden="1" x14ac:dyDescent="0.35">
      <c r="A3688">
        <v>3684</v>
      </c>
      <c r="B3688">
        <v>3685</v>
      </c>
      <c r="C3688">
        <v>146.07966208900001</v>
      </c>
      <c r="D3688">
        <v>-17.640731386700001</v>
      </c>
      <c r="G3688" s="92"/>
      <c r="I3688">
        <v>9</v>
      </c>
      <c r="J3688" t="s">
        <v>26</v>
      </c>
      <c r="K3688" s="57"/>
      <c r="S3688" s="57"/>
      <c r="X3688" s="57"/>
    </row>
    <row r="3689" spans="1:24" hidden="1" x14ac:dyDescent="0.35">
      <c r="A3689">
        <v>3685</v>
      </c>
      <c r="B3689">
        <v>3686</v>
      </c>
      <c r="C3689">
        <v>146.07970384000001</v>
      </c>
      <c r="D3689">
        <v>-17.640806672299899</v>
      </c>
      <c r="G3689" s="92"/>
      <c r="I3689">
        <v>9</v>
      </c>
      <c r="J3689" t="s">
        <v>26</v>
      </c>
      <c r="K3689" s="57"/>
      <c r="S3689" s="57"/>
      <c r="X3689" s="57"/>
    </row>
    <row r="3690" spans="1:24" hidden="1" x14ac:dyDescent="0.35">
      <c r="A3690">
        <v>3686</v>
      </c>
      <c r="B3690">
        <v>3687</v>
      </c>
      <c r="C3690">
        <v>146.079740899</v>
      </c>
      <c r="D3690">
        <v>-17.640884655099899</v>
      </c>
      <c r="G3690" s="92"/>
      <c r="I3690">
        <v>9</v>
      </c>
      <c r="J3690" t="s">
        <v>26</v>
      </c>
      <c r="K3690" s="57"/>
      <c r="S3690" s="57"/>
      <c r="X3690" s="57"/>
    </row>
    <row r="3691" spans="1:24" hidden="1" x14ac:dyDescent="0.35">
      <c r="A3691">
        <v>3687</v>
      </c>
      <c r="B3691">
        <v>3688</v>
      </c>
      <c r="C3691">
        <v>146.07977677700001</v>
      </c>
      <c r="D3691">
        <v>-17.640963004100001</v>
      </c>
      <c r="G3691" s="92"/>
      <c r="I3691">
        <v>9</v>
      </c>
      <c r="J3691" t="s">
        <v>26</v>
      </c>
      <c r="K3691" s="57"/>
      <c r="S3691" s="57"/>
      <c r="X3691" s="57"/>
    </row>
    <row r="3692" spans="1:24" hidden="1" x14ac:dyDescent="0.35">
      <c r="A3692">
        <v>3688</v>
      </c>
      <c r="B3692">
        <v>3689</v>
      </c>
      <c r="C3692">
        <v>146.079794937</v>
      </c>
      <c r="D3692">
        <v>-17.641046843800002</v>
      </c>
      <c r="G3692" s="92"/>
      <c r="I3692">
        <v>9</v>
      </c>
      <c r="J3692" t="s">
        <v>26</v>
      </c>
      <c r="K3692" s="57"/>
      <c r="S3692" s="57"/>
      <c r="X3692" s="57"/>
    </row>
    <row r="3693" spans="1:24" hidden="1" x14ac:dyDescent="0.35">
      <c r="A3693">
        <v>3689</v>
      </c>
      <c r="B3693">
        <v>3690</v>
      </c>
      <c r="C3693">
        <v>146.07981309600001</v>
      </c>
      <c r="D3693">
        <v>-17.6411306834</v>
      </c>
      <c r="G3693" s="92"/>
      <c r="I3693">
        <v>9</v>
      </c>
      <c r="J3693" t="s">
        <v>26</v>
      </c>
      <c r="K3693" s="57"/>
      <c r="S3693" s="57"/>
      <c r="X3693" s="57"/>
    </row>
    <row r="3694" spans="1:24" hidden="1" x14ac:dyDescent="0.35">
      <c r="A3694">
        <v>3690</v>
      </c>
      <c r="B3694">
        <v>3691</v>
      </c>
      <c r="C3694">
        <v>146.07982930399899</v>
      </c>
      <c r="D3694">
        <v>-17.641214587899899</v>
      </c>
      <c r="G3694" s="92"/>
      <c r="I3694">
        <v>9</v>
      </c>
      <c r="J3694" t="s">
        <v>26</v>
      </c>
      <c r="K3694" s="57"/>
      <c r="S3694" s="57"/>
      <c r="X3694" s="57"/>
    </row>
    <row r="3695" spans="1:24" hidden="1" x14ac:dyDescent="0.35">
      <c r="A3695">
        <v>3691</v>
      </c>
      <c r="B3695">
        <v>3692</v>
      </c>
      <c r="C3695">
        <v>146.079817324</v>
      </c>
      <c r="D3695">
        <v>-17.641299430299899</v>
      </c>
      <c r="G3695" s="92"/>
      <c r="I3695">
        <v>9</v>
      </c>
      <c r="J3695" t="s">
        <v>26</v>
      </c>
      <c r="K3695" s="57"/>
      <c r="S3695" s="57"/>
      <c r="X3695" s="57"/>
    </row>
    <row r="3696" spans="1:24" hidden="1" x14ac:dyDescent="0.35">
      <c r="A3696">
        <v>3692</v>
      </c>
      <c r="B3696">
        <v>3693</v>
      </c>
      <c r="C3696">
        <v>146.07980534500001</v>
      </c>
      <c r="D3696">
        <v>-17.6413842726</v>
      </c>
      <c r="G3696" s="92"/>
      <c r="I3696">
        <v>9</v>
      </c>
      <c r="J3696" t="s">
        <v>26</v>
      </c>
      <c r="K3696" s="57"/>
      <c r="S3696" s="57"/>
      <c r="X3696" s="57"/>
    </row>
    <row r="3697" spans="1:24" hidden="1" x14ac:dyDescent="0.35">
      <c r="A3697">
        <v>3693</v>
      </c>
      <c r="B3697">
        <v>3694</v>
      </c>
      <c r="C3697">
        <v>146.079789417</v>
      </c>
      <c r="D3697">
        <v>-17.6414680817999</v>
      </c>
      <c r="G3697" s="92"/>
      <c r="I3697">
        <v>9</v>
      </c>
      <c r="J3697" t="s">
        <v>26</v>
      </c>
      <c r="K3697" s="57"/>
      <c r="S3697" s="57"/>
      <c r="X3697" s="57"/>
    </row>
    <row r="3698" spans="1:24" hidden="1" x14ac:dyDescent="0.35">
      <c r="A3698">
        <v>3694</v>
      </c>
      <c r="B3698">
        <v>3695</v>
      </c>
      <c r="C3698">
        <v>146.079754253999</v>
      </c>
      <c r="D3698">
        <v>-17.641546858000002</v>
      </c>
      <c r="G3698" s="92"/>
      <c r="I3698">
        <v>9</v>
      </c>
      <c r="J3698" t="s">
        <v>26</v>
      </c>
      <c r="K3698" s="57"/>
      <c r="S3698" s="57"/>
      <c r="X3698" s="57"/>
    </row>
    <row r="3699" spans="1:24" hidden="1" x14ac:dyDescent="0.35">
      <c r="A3699">
        <v>3695</v>
      </c>
      <c r="B3699">
        <v>3696</v>
      </c>
      <c r="C3699">
        <v>146.079719092</v>
      </c>
      <c r="D3699">
        <v>-17.641625634099899</v>
      </c>
      <c r="G3699" s="92"/>
      <c r="I3699">
        <v>9</v>
      </c>
      <c r="J3699" t="s">
        <v>26</v>
      </c>
      <c r="K3699" s="57"/>
      <c r="S3699" s="57"/>
      <c r="X3699" s="57"/>
    </row>
    <row r="3700" spans="1:24" hidden="1" x14ac:dyDescent="0.35">
      <c r="A3700">
        <v>3696</v>
      </c>
      <c r="B3700">
        <v>3697</v>
      </c>
      <c r="C3700">
        <v>146.079685420999</v>
      </c>
      <c r="D3700">
        <v>-17.641704900099899</v>
      </c>
      <c r="G3700" s="92"/>
      <c r="I3700">
        <v>9</v>
      </c>
      <c r="J3700" t="s">
        <v>26</v>
      </c>
      <c r="K3700" s="57"/>
      <c r="S3700" s="57"/>
      <c r="X3700" s="57"/>
    </row>
    <row r="3701" spans="1:24" hidden="1" x14ac:dyDescent="0.35">
      <c r="A3701">
        <v>3697</v>
      </c>
      <c r="B3701">
        <v>3698</v>
      </c>
      <c r="C3701">
        <v>146.079662189</v>
      </c>
      <c r="D3701">
        <v>-17.6417875946</v>
      </c>
      <c r="G3701" s="92"/>
      <c r="I3701">
        <v>9</v>
      </c>
      <c r="J3701" t="s">
        <v>26</v>
      </c>
      <c r="K3701" s="57"/>
      <c r="S3701" s="57"/>
      <c r="X3701" s="57"/>
    </row>
    <row r="3702" spans="1:24" hidden="1" x14ac:dyDescent="0.35">
      <c r="A3702">
        <v>3698</v>
      </c>
      <c r="B3702">
        <v>3699</v>
      </c>
      <c r="C3702">
        <v>146.07963895699899</v>
      </c>
      <c r="D3702">
        <v>-17.641870289</v>
      </c>
      <c r="G3702" s="92"/>
      <c r="I3702">
        <v>9</v>
      </c>
      <c r="J3702" t="s">
        <v>26</v>
      </c>
      <c r="K3702" s="57"/>
      <c r="S3702" s="57"/>
      <c r="X3702" s="57"/>
    </row>
    <row r="3703" spans="1:24" hidden="1" x14ac:dyDescent="0.35">
      <c r="A3703">
        <v>3699</v>
      </c>
      <c r="B3703">
        <v>3700</v>
      </c>
      <c r="C3703">
        <v>146.07961572599899</v>
      </c>
      <c r="D3703">
        <v>-17.6419529834</v>
      </c>
      <c r="G3703" s="92"/>
      <c r="I3703">
        <v>9</v>
      </c>
      <c r="J3703" t="s">
        <v>26</v>
      </c>
      <c r="K3703" s="57"/>
      <c r="S3703" s="57"/>
      <c r="X3703" s="57"/>
    </row>
    <row r="3704" spans="1:24" hidden="1" x14ac:dyDescent="0.35">
      <c r="A3704">
        <v>3700</v>
      </c>
      <c r="B3704">
        <v>3701</v>
      </c>
      <c r="C3704">
        <v>146.079603961</v>
      </c>
      <c r="D3704">
        <v>-17.642037550200001</v>
      </c>
      <c r="G3704" s="92"/>
      <c r="I3704">
        <v>9</v>
      </c>
      <c r="J3704" t="s">
        <v>26</v>
      </c>
      <c r="K3704" s="57"/>
      <c r="S3704" s="57"/>
      <c r="X3704" s="57"/>
    </row>
    <row r="3705" spans="1:24" hidden="1" x14ac:dyDescent="0.35">
      <c r="A3705">
        <v>3701</v>
      </c>
      <c r="B3705">
        <v>3702</v>
      </c>
      <c r="C3705">
        <v>146.079596979</v>
      </c>
      <c r="D3705">
        <v>-17.642122897899899</v>
      </c>
      <c r="G3705" s="92"/>
      <c r="I3705">
        <v>9</v>
      </c>
      <c r="J3705" t="s">
        <v>26</v>
      </c>
      <c r="K3705" s="57"/>
      <c r="S3705" s="57"/>
      <c r="X3705" s="57"/>
    </row>
    <row r="3706" spans="1:24" hidden="1" x14ac:dyDescent="0.35">
      <c r="A3706">
        <v>3702</v>
      </c>
      <c r="B3706">
        <v>3703</v>
      </c>
      <c r="C3706">
        <v>146.07958999799899</v>
      </c>
      <c r="D3706">
        <v>-17.642208245500001</v>
      </c>
      <c r="G3706" s="92"/>
      <c r="I3706">
        <v>9</v>
      </c>
      <c r="J3706" t="s">
        <v>26</v>
      </c>
      <c r="K3706" s="57"/>
      <c r="S3706" s="57"/>
      <c r="X3706" s="57"/>
    </row>
    <row r="3707" spans="1:24" hidden="1" x14ac:dyDescent="0.35">
      <c r="A3707">
        <v>3703</v>
      </c>
      <c r="B3707">
        <v>3704</v>
      </c>
      <c r="C3707">
        <v>146.07958301599899</v>
      </c>
      <c r="D3707">
        <v>-17.6422935931</v>
      </c>
      <c r="G3707" s="92"/>
      <c r="I3707">
        <v>9</v>
      </c>
      <c r="J3707" t="s">
        <v>26</v>
      </c>
      <c r="K3707" s="57"/>
      <c r="S3707" s="57"/>
      <c r="X3707" s="57"/>
    </row>
    <row r="3708" spans="1:24" hidden="1" x14ac:dyDescent="0.35">
      <c r="A3708">
        <v>3704</v>
      </c>
      <c r="B3708">
        <v>3705</v>
      </c>
      <c r="C3708">
        <v>146.07958425199899</v>
      </c>
      <c r="D3708">
        <v>-17.6423787541999</v>
      </c>
      <c r="G3708" s="92"/>
      <c r="I3708">
        <v>9</v>
      </c>
      <c r="J3708" t="s">
        <v>26</v>
      </c>
      <c r="K3708" s="57"/>
      <c r="S3708" s="57"/>
      <c r="X3708" s="57"/>
    </row>
    <row r="3709" spans="1:24" hidden="1" x14ac:dyDescent="0.35">
      <c r="A3709">
        <v>3705</v>
      </c>
      <c r="B3709">
        <v>3706</v>
      </c>
      <c r="C3709">
        <v>146.07959548700001</v>
      </c>
      <c r="D3709">
        <v>-17.6424636883999</v>
      </c>
      <c r="G3709" s="92"/>
      <c r="I3709">
        <v>9</v>
      </c>
      <c r="J3709" t="s">
        <v>26</v>
      </c>
      <c r="K3709" s="57"/>
      <c r="S3709" s="57"/>
      <c r="X3709" s="57"/>
    </row>
    <row r="3710" spans="1:24" hidden="1" x14ac:dyDescent="0.35">
      <c r="A3710">
        <v>3706</v>
      </c>
      <c r="B3710">
        <v>3707</v>
      </c>
      <c r="C3710">
        <v>146.07960672300001</v>
      </c>
      <c r="D3710">
        <v>-17.6425486226</v>
      </c>
      <c r="G3710" s="92"/>
      <c r="I3710">
        <v>9</v>
      </c>
      <c r="J3710" t="s">
        <v>26</v>
      </c>
      <c r="K3710" s="57"/>
      <c r="S3710" s="57"/>
      <c r="X3710" s="57"/>
    </row>
    <row r="3711" spans="1:24" hidden="1" x14ac:dyDescent="0.35">
      <c r="A3711">
        <v>3707</v>
      </c>
      <c r="B3711">
        <v>3708</v>
      </c>
      <c r="C3711">
        <v>146.079617958</v>
      </c>
      <c r="D3711">
        <v>-17.6426335568</v>
      </c>
      <c r="G3711" s="92"/>
      <c r="I3711">
        <v>9</v>
      </c>
      <c r="J3711" t="s">
        <v>26</v>
      </c>
      <c r="K3711" s="57"/>
      <c r="S3711" s="57"/>
      <c r="X3711" s="57"/>
    </row>
    <row r="3712" spans="1:24" hidden="1" x14ac:dyDescent="0.35">
      <c r="A3712">
        <v>3708</v>
      </c>
      <c r="B3712">
        <v>3709</v>
      </c>
      <c r="C3712">
        <v>146.07962919299899</v>
      </c>
      <c r="D3712">
        <v>-17.642718490899899</v>
      </c>
      <c r="G3712" s="92"/>
      <c r="I3712">
        <v>9</v>
      </c>
      <c r="J3712" t="s">
        <v>26</v>
      </c>
      <c r="K3712" s="57"/>
      <c r="S3712" s="57"/>
      <c r="X3712" s="57"/>
    </row>
    <row r="3713" spans="1:24" hidden="1" x14ac:dyDescent="0.35">
      <c r="A3713">
        <v>3709</v>
      </c>
      <c r="B3713">
        <v>3710</v>
      </c>
      <c r="C3713">
        <v>146.079640428999</v>
      </c>
      <c r="D3713">
        <v>-17.642803424899899</v>
      </c>
      <c r="G3713" s="92"/>
      <c r="I3713">
        <v>9</v>
      </c>
      <c r="J3713" t="s">
        <v>26</v>
      </c>
      <c r="K3713" s="57"/>
      <c r="S3713" s="57"/>
      <c r="X3713" s="57"/>
    </row>
    <row r="3714" spans="1:24" hidden="1" x14ac:dyDescent="0.35">
      <c r="A3714">
        <v>3710</v>
      </c>
      <c r="B3714">
        <v>3711</v>
      </c>
      <c r="C3714">
        <v>146.07965166400001</v>
      </c>
      <c r="D3714">
        <v>-17.642888358899899</v>
      </c>
      <c r="G3714" s="92"/>
      <c r="I3714">
        <v>9</v>
      </c>
      <c r="J3714" t="s">
        <v>26</v>
      </c>
      <c r="K3714" s="57"/>
      <c r="S3714" s="57"/>
      <c r="X3714" s="57"/>
    </row>
    <row r="3715" spans="1:24" hidden="1" x14ac:dyDescent="0.35">
      <c r="A3715">
        <v>3711</v>
      </c>
      <c r="B3715">
        <v>3712</v>
      </c>
      <c r="C3715">
        <v>146.07966289999899</v>
      </c>
      <c r="D3715">
        <v>-17.642973292899899</v>
      </c>
      <c r="G3715" s="92"/>
      <c r="I3715">
        <v>9</v>
      </c>
      <c r="J3715" t="s">
        <v>26</v>
      </c>
      <c r="K3715" s="57"/>
      <c r="S3715" s="57"/>
      <c r="X3715" s="57"/>
    </row>
    <row r="3716" spans="1:24" hidden="1" x14ac:dyDescent="0.35">
      <c r="A3716">
        <v>3712</v>
      </c>
      <c r="B3716">
        <v>3713</v>
      </c>
      <c r="C3716">
        <v>146.079672654999</v>
      </c>
      <c r="D3716">
        <v>-17.6430583691</v>
      </c>
      <c r="G3716" s="92"/>
      <c r="I3716">
        <v>9</v>
      </c>
      <c r="J3716" t="s">
        <v>26</v>
      </c>
      <c r="K3716" s="57"/>
      <c r="S3716" s="57"/>
      <c r="X3716" s="57"/>
    </row>
    <row r="3717" spans="1:24" hidden="1" x14ac:dyDescent="0.35">
      <c r="A3717">
        <v>3713</v>
      </c>
      <c r="B3717">
        <v>3714</v>
      </c>
      <c r="C3717">
        <v>146.079679437999</v>
      </c>
      <c r="D3717">
        <v>-17.643143730799899</v>
      </c>
      <c r="G3717" s="92"/>
      <c r="I3717">
        <v>9</v>
      </c>
      <c r="J3717" t="s">
        <v>26</v>
      </c>
      <c r="K3717" s="57"/>
      <c r="S3717" s="57"/>
      <c r="X3717" s="57"/>
    </row>
    <row r="3718" spans="1:24" hidden="1" x14ac:dyDescent="0.35">
      <c r="A3718">
        <v>3714</v>
      </c>
      <c r="B3718">
        <v>3715</v>
      </c>
      <c r="C3718">
        <v>146.07968618000001</v>
      </c>
      <c r="D3718">
        <v>-17.643229094900001</v>
      </c>
      <c r="G3718" s="92"/>
      <c r="I3718">
        <v>9</v>
      </c>
      <c r="J3718" t="s">
        <v>26</v>
      </c>
      <c r="K3718" s="57"/>
      <c r="S3718" s="57"/>
      <c r="X3718" s="57"/>
    </row>
    <row r="3719" spans="1:24" hidden="1" x14ac:dyDescent="0.35">
      <c r="A3719">
        <v>3715</v>
      </c>
      <c r="B3719">
        <v>3716</v>
      </c>
      <c r="C3719">
        <v>146.07969043899899</v>
      </c>
      <c r="D3719">
        <v>-17.643314604699899</v>
      </c>
      <c r="G3719" s="92"/>
      <c r="I3719">
        <v>9</v>
      </c>
      <c r="J3719" t="s">
        <v>26</v>
      </c>
      <c r="K3719" s="57"/>
      <c r="S3719" s="57"/>
      <c r="X3719" s="57"/>
    </row>
    <row r="3720" spans="1:24" hidden="1" x14ac:dyDescent="0.35">
      <c r="A3720">
        <v>3716</v>
      </c>
      <c r="B3720">
        <v>3717</v>
      </c>
      <c r="C3720">
        <v>146.07969469700001</v>
      </c>
      <c r="D3720">
        <v>-17.6434001145</v>
      </c>
      <c r="G3720" s="92"/>
      <c r="I3720">
        <v>9</v>
      </c>
      <c r="J3720" t="s">
        <v>26</v>
      </c>
      <c r="K3720" s="57"/>
      <c r="S3720" s="57"/>
      <c r="X3720" s="57"/>
    </row>
    <row r="3721" spans="1:24" hidden="1" x14ac:dyDescent="0.35">
      <c r="A3721">
        <v>3717</v>
      </c>
      <c r="B3721">
        <v>3718</v>
      </c>
      <c r="C3721">
        <v>146.079695944999</v>
      </c>
      <c r="D3721">
        <v>-17.6434856853</v>
      </c>
      <c r="G3721" s="92"/>
      <c r="I3721">
        <v>9</v>
      </c>
      <c r="J3721" t="s">
        <v>26</v>
      </c>
      <c r="K3721" s="57"/>
      <c r="S3721" s="57"/>
      <c r="X3721" s="57"/>
    </row>
    <row r="3722" spans="1:24" hidden="1" x14ac:dyDescent="0.35">
      <c r="A3722">
        <v>3718</v>
      </c>
      <c r="B3722">
        <v>3719</v>
      </c>
      <c r="C3722">
        <v>146.079695509999</v>
      </c>
      <c r="D3722">
        <v>-17.643571290200001</v>
      </c>
      <c r="G3722" s="92"/>
      <c r="I3722">
        <v>9</v>
      </c>
      <c r="J3722" t="s">
        <v>26</v>
      </c>
      <c r="K3722" s="57"/>
      <c r="S3722" s="57"/>
      <c r="X3722" s="57"/>
    </row>
    <row r="3723" spans="1:24" hidden="1" x14ac:dyDescent="0.35">
      <c r="A3723">
        <v>3719</v>
      </c>
      <c r="B3723">
        <v>3720</v>
      </c>
      <c r="C3723">
        <v>146.079694547999</v>
      </c>
      <c r="D3723">
        <v>-17.643656874800001</v>
      </c>
      <c r="G3723" s="92"/>
      <c r="I3723">
        <v>9</v>
      </c>
      <c r="J3723" t="s">
        <v>26</v>
      </c>
      <c r="K3723" s="57"/>
      <c r="S3723" s="57"/>
      <c r="X3723" s="57"/>
    </row>
    <row r="3724" spans="1:24" hidden="1" x14ac:dyDescent="0.35">
      <c r="A3724">
        <v>3720</v>
      </c>
      <c r="B3724">
        <v>3721</v>
      </c>
      <c r="C3724">
        <v>146.079687753</v>
      </c>
      <c r="D3724">
        <v>-17.6437422353</v>
      </c>
      <c r="G3724" s="92"/>
      <c r="I3724">
        <v>9</v>
      </c>
      <c r="J3724" t="s">
        <v>26</v>
      </c>
      <c r="K3724" s="57"/>
      <c r="S3724" s="57"/>
      <c r="X3724" s="57"/>
    </row>
    <row r="3725" spans="1:24" hidden="1" x14ac:dyDescent="0.35">
      <c r="A3725">
        <v>3721</v>
      </c>
      <c r="B3725">
        <v>3722</v>
      </c>
      <c r="C3725">
        <v>146.07968095800001</v>
      </c>
      <c r="D3725">
        <v>-17.6438275958999</v>
      </c>
      <c r="G3725" s="92"/>
      <c r="I3725">
        <v>9</v>
      </c>
      <c r="J3725" t="s">
        <v>26</v>
      </c>
      <c r="K3725" s="57"/>
      <c r="S3725" s="57"/>
      <c r="X3725" s="57"/>
    </row>
    <row r="3726" spans="1:24" hidden="1" x14ac:dyDescent="0.35">
      <c r="A3726">
        <v>3722</v>
      </c>
      <c r="B3726">
        <v>3723</v>
      </c>
      <c r="C3726">
        <v>146.07966246300001</v>
      </c>
      <c r="D3726">
        <v>-17.643910429799899</v>
      </c>
      <c r="G3726" s="92"/>
      <c r="I3726">
        <v>9</v>
      </c>
      <c r="J3726" t="s">
        <v>26</v>
      </c>
      <c r="K3726" s="57"/>
      <c r="S3726" s="57"/>
      <c r="X3726" s="57"/>
    </row>
    <row r="3727" spans="1:24" hidden="1" x14ac:dyDescent="0.35">
      <c r="A3727">
        <v>3723</v>
      </c>
      <c r="B3727">
        <v>3724</v>
      </c>
      <c r="C3727">
        <v>146.079629979999</v>
      </c>
      <c r="D3727">
        <v>-17.643990242800001</v>
      </c>
      <c r="G3727" s="92"/>
      <c r="I3727">
        <v>9</v>
      </c>
      <c r="J3727" t="s">
        <v>26</v>
      </c>
      <c r="K3727" s="57"/>
      <c r="S3727" s="57"/>
      <c r="X3727" s="57"/>
    </row>
    <row r="3728" spans="1:24" hidden="1" x14ac:dyDescent="0.35">
      <c r="A3728">
        <v>3724</v>
      </c>
      <c r="B3728">
        <v>3725</v>
      </c>
      <c r="C3728">
        <v>146.07959749700001</v>
      </c>
      <c r="D3728">
        <v>-17.644070055899899</v>
      </c>
      <c r="G3728" s="92"/>
      <c r="I3728">
        <v>9</v>
      </c>
      <c r="J3728" t="s">
        <v>26</v>
      </c>
      <c r="K3728" s="57"/>
      <c r="S3728" s="57"/>
      <c r="X3728" s="57"/>
    </row>
    <row r="3729" spans="1:24" hidden="1" x14ac:dyDescent="0.35">
      <c r="A3729">
        <v>3725</v>
      </c>
      <c r="B3729">
        <v>3726</v>
      </c>
      <c r="C3729">
        <v>146.079565013999</v>
      </c>
      <c r="D3729">
        <v>-17.6441498688</v>
      </c>
      <c r="G3729" s="92"/>
      <c r="I3729">
        <v>9</v>
      </c>
      <c r="J3729" t="s">
        <v>26</v>
      </c>
      <c r="K3729" s="57"/>
      <c r="S3729" s="57"/>
      <c r="X3729" s="57"/>
    </row>
    <row r="3730" spans="1:24" hidden="1" x14ac:dyDescent="0.35">
      <c r="A3730">
        <v>3726</v>
      </c>
      <c r="B3730">
        <v>3727</v>
      </c>
      <c r="C3730">
        <v>146.079549584999</v>
      </c>
      <c r="D3730">
        <v>-17.6442341706999</v>
      </c>
      <c r="G3730" s="92"/>
      <c r="I3730">
        <v>9</v>
      </c>
      <c r="J3730" t="s">
        <v>26</v>
      </c>
      <c r="K3730" s="57"/>
      <c r="S3730" s="57"/>
      <c r="X3730" s="57"/>
    </row>
    <row r="3731" spans="1:24" hidden="1" x14ac:dyDescent="0.35">
      <c r="A3731">
        <v>3727</v>
      </c>
      <c r="B3731">
        <v>3728</v>
      </c>
      <c r="C3731">
        <v>146.079534475</v>
      </c>
      <c r="D3731">
        <v>-17.644318556599899</v>
      </c>
      <c r="G3731" s="92"/>
      <c r="I3731">
        <v>9</v>
      </c>
      <c r="J3731" t="s">
        <v>26</v>
      </c>
      <c r="K3731" s="57"/>
      <c r="S3731" s="57"/>
      <c r="X3731" s="57"/>
    </row>
    <row r="3732" spans="1:24" hidden="1" x14ac:dyDescent="0.35">
      <c r="A3732">
        <v>3728</v>
      </c>
      <c r="B3732">
        <v>3729</v>
      </c>
      <c r="C3732">
        <v>146.079526912999</v>
      </c>
      <c r="D3732">
        <v>-17.644403225200001</v>
      </c>
      <c r="G3732" s="92"/>
      <c r="I3732">
        <v>9</v>
      </c>
      <c r="J3732" t="s">
        <v>26</v>
      </c>
      <c r="K3732" s="57"/>
      <c r="S3732" s="57"/>
      <c r="X3732" s="57"/>
    </row>
    <row r="3733" spans="1:24" hidden="1" x14ac:dyDescent="0.35">
      <c r="A3733">
        <v>3729</v>
      </c>
      <c r="B3733">
        <v>3730</v>
      </c>
      <c r="C3733">
        <v>146.079535026</v>
      </c>
      <c r="D3733">
        <v>-17.644488480900002</v>
      </c>
      <c r="G3733" s="92"/>
      <c r="I3733">
        <v>9</v>
      </c>
      <c r="J3733" t="s">
        <v>26</v>
      </c>
      <c r="K3733" s="57"/>
      <c r="S3733" s="57"/>
      <c r="X3733" s="57"/>
    </row>
    <row r="3734" spans="1:24" hidden="1" x14ac:dyDescent="0.35">
      <c r="A3734">
        <v>3730</v>
      </c>
      <c r="B3734">
        <v>3731</v>
      </c>
      <c r="C3734">
        <v>146.07954313900001</v>
      </c>
      <c r="D3734">
        <v>-17.6445737365</v>
      </c>
      <c r="G3734" s="92"/>
      <c r="I3734">
        <v>9</v>
      </c>
      <c r="J3734" t="s">
        <v>26</v>
      </c>
      <c r="K3734" s="57"/>
      <c r="S3734" s="57"/>
      <c r="X3734" s="57"/>
    </row>
    <row r="3735" spans="1:24" hidden="1" x14ac:dyDescent="0.35">
      <c r="A3735">
        <v>3731</v>
      </c>
      <c r="B3735">
        <v>3732</v>
      </c>
      <c r="C3735">
        <v>146.079553073</v>
      </c>
      <c r="D3735">
        <v>-17.644658545799899</v>
      </c>
      <c r="G3735" s="92"/>
      <c r="I3735">
        <v>9</v>
      </c>
      <c r="J3735" t="s">
        <v>26</v>
      </c>
      <c r="K3735" s="57"/>
      <c r="S3735" s="57"/>
      <c r="X3735" s="57"/>
    </row>
    <row r="3736" spans="1:24" hidden="1" x14ac:dyDescent="0.35">
      <c r="A3736">
        <v>3732</v>
      </c>
      <c r="B3736">
        <v>3733</v>
      </c>
      <c r="C3736">
        <v>146.079589107999</v>
      </c>
      <c r="D3736">
        <v>-17.6447369618</v>
      </c>
      <c r="G3736" s="92"/>
      <c r="I3736">
        <v>9</v>
      </c>
      <c r="J3736" t="s">
        <v>26</v>
      </c>
      <c r="K3736" s="57"/>
      <c r="S3736" s="57"/>
      <c r="X3736" s="57"/>
    </row>
    <row r="3737" spans="1:24" hidden="1" x14ac:dyDescent="0.35">
      <c r="A3737">
        <v>3733</v>
      </c>
      <c r="B3737">
        <v>3734</v>
      </c>
      <c r="C3737">
        <v>146.07962514299899</v>
      </c>
      <c r="D3737">
        <v>-17.644815377699899</v>
      </c>
      <c r="G3737" s="92"/>
      <c r="I3737">
        <v>9</v>
      </c>
      <c r="J3737" t="s">
        <v>26</v>
      </c>
      <c r="K3737" s="57"/>
      <c r="S3737" s="57"/>
      <c r="X3737" s="57"/>
    </row>
    <row r="3738" spans="1:24" hidden="1" x14ac:dyDescent="0.35">
      <c r="A3738">
        <v>3734</v>
      </c>
      <c r="B3738">
        <v>3735</v>
      </c>
      <c r="C3738">
        <v>146.079661178999</v>
      </c>
      <c r="D3738">
        <v>-17.644893793400001</v>
      </c>
      <c r="G3738" s="92"/>
      <c r="I3738">
        <v>9</v>
      </c>
      <c r="J3738" t="s">
        <v>26</v>
      </c>
      <c r="K3738" s="57"/>
      <c r="S3738" s="57"/>
      <c r="X3738" s="57"/>
    </row>
    <row r="3739" spans="1:24" hidden="1" x14ac:dyDescent="0.35">
      <c r="A3739">
        <v>3735</v>
      </c>
      <c r="B3739">
        <v>3736</v>
      </c>
      <c r="C3739">
        <v>146.079700943999</v>
      </c>
      <c r="D3739">
        <v>-17.6449702152999</v>
      </c>
      <c r="G3739" s="92"/>
      <c r="I3739">
        <v>9</v>
      </c>
      <c r="J3739" t="s">
        <v>26</v>
      </c>
      <c r="K3739" s="57"/>
      <c r="S3739" s="57"/>
      <c r="X3739" s="57"/>
    </row>
    <row r="3740" spans="1:24" hidden="1" x14ac:dyDescent="0.35">
      <c r="A3740">
        <v>3736</v>
      </c>
      <c r="B3740">
        <v>3737</v>
      </c>
      <c r="C3740">
        <v>146.079752388</v>
      </c>
      <c r="D3740">
        <v>-17.6450403929</v>
      </c>
      <c r="G3740" s="92"/>
      <c r="I3740">
        <v>9</v>
      </c>
      <c r="J3740" t="s">
        <v>26</v>
      </c>
      <c r="K3740" s="57"/>
      <c r="S3740" s="57"/>
      <c r="X3740" s="57"/>
    </row>
    <row r="3741" spans="1:24" hidden="1" x14ac:dyDescent="0.35">
      <c r="A3741">
        <v>3737</v>
      </c>
      <c r="B3741">
        <v>3738</v>
      </c>
      <c r="C3741">
        <v>146.07980383200001</v>
      </c>
      <c r="D3741">
        <v>-17.6451105704</v>
      </c>
      <c r="G3741" s="92"/>
      <c r="I3741">
        <v>9</v>
      </c>
      <c r="J3741" t="s">
        <v>26</v>
      </c>
      <c r="K3741" s="57"/>
      <c r="S3741" s="57"/>
      <c r="X3741" s="57"/>
    </row>
    <row r="3742" spans="1:24" hidden="1" x14ac:dyDescent="0.35">
      <c r="A3742">
        <v>3738</v>
      </c>
      <c r="B3742">
        <v>3739</v>
      </c>
      <c r="C3742">
        <v>146.07985527700001</v>
      </c>
      <c r="D3742">
        <v>-17.645180748000001</v>
      </c>
      <c r="G3742" s="92"/>
      <c r="I3742">
        <v>9</v>
      </c>
      <c r="J3742" t="s">
        <v>26</v>
      </c>
      <c r="K3742" s="57"/>
      <c r="S3742" s="57"/>
      <c r="X3742" s="57"/>
    </row>
    <row r="3743" spans="1:24" hidden="1" x14ac:dyDescent="0.35">
      <c r="A3743">
        <v>3739</v>
      </c>
      <c r="B3743">
        <v>3740</v>
      </c>
      <c r="C3743">
        <v>146.07990672099899</v>
      </c>
      <c r="D3743">
        <v>-17.645250925500001</v>
      </c>
      <c r="G3743" s="92"/>
      <c r="I3743">
        <v>9</v>
      </c>
      <c r="J3743" t="s">
        <v>26</v>
      </c>
      <c r="K3743" s="57"/>
      <c r="S3743" s="57"/>
      <c r="X3743" s="57"/>
    </row>
    <row r="3744" spans="1:24" hidden="1" x14ac:dyDescent="0.35">
      <c r="A3744">
        <v>3740</v>
      </c>
      <c r="B3744">
        <v>3741</v>
      </c>
      <c r="C3744">
        <v>146.079958164999</v>
      </c>
      <c r="D3744">
        <v>-17.645321103000001</v>
      </c>
      <c r="G3744" s="92"/>
      <c r="I3744">
        <v>9</v>
      </c>
      <c r="J3744" t="s">
        <v>26</v>
      </c>
      <c r="K3744" s="57"/>
      <c r="S3744" s="57"/>
      <c r="X3744" s="57"/>
    </row>
    <row r="3745" spans="1:24" hidden="1" x14ac:dyDescent="0.35">
      <c r="A3745">
        <v>3741</v>
      </c>
      <c r="B3745">
        <v>3742</v>
      </c>
      <c r="C3745">
        <v>146.08001923800001</v>
      </c>
      <c r="D3745">
        <v>-17.6453838487</v>
      </c>
      <c r="G3745" s="92"/>
      <c r="I3745">
        <v>9</v>
      </c>
      <c r="J3745" t="s">
        <v>26</v>
      </c>
      <c r="K3745" s="57"/>
      <c r="S3745" s="57"/>
      <c r="X3745" s="57"/>
    </row>
    <row r="3746" spans="1:24" hidden="1" x14ac:dyDescent="0.35">
      <c r="A3746">
        <v>3742</v>
      </c>
      <c r="B3746">
        <v>3743</v>
      </c>
      <c r="C3746">
        <v>146.080080592</v>
      </c>
      <c r="D3746">
        <v>-17.645446376799899</v>
      </c>
      <c r="G3746" s="92"/>
      <c r="I3746">
        <v>9</v>
      </c>
      <c r="J3746" t="s">
        <v>26</v>
      </c>
      <c r="K3746" s="57"/>
      <c r="S3746" s="57"/>
      <c r="X3746" s="57"/>
    </row>
    <row r="3747" spans="1:24" hidden="1" x14ac:dyDescent="0.35">
      <c r="A3747">
        <v>3743</v>
      </c>
      <c r="B3747">
        <v>3744</v>
      </c>
      <c r="C3747">
        <v>146.080141945999</v>
      </c>
      <c r="D3747">
        <v>-17.645508904900002</v>
      </c>
      <c r="G3747" s="92"/>
      <c r="I3747">
        <v>9</v>
      </c>
      <c r="J3747" t="s">
        <v>26</v>
      </c>
      <c r="K3747" s="57"/>
      <c r="S3747" s="57"/>
      <c r="X3747" s="57"/>
    </row>
    <row r="3748" spans="1:24" hidden="1" x14ac:dyDescent="0.35">
      <c r="A3748">
        <v>3744</v>
      </c>
      <c r="B3748">
        <v>3745</v>
      </c>
      <c r="C3748">
        <v>146.08020377700001</v>
      </c>
      <c r="D3748">
        <v>-17.645571002099899</v>
      </c>
      <c r="G3748" s="92"/>
      <c r="I3748">
        <v>9</v>
      </c>
      <c r="J3748" t="s">
        <v>26</v>
      </c>
      <c r="K3748" s="57"/>
      <c r="S3748" s="57"/>
      <c r="X3748" s="57"/>
    </row>
    <row r="3749" spans="1:24" hidden="1" x14ac:dyDescent="0.35">
      <c r="A3749">
        <v>3745</v>
      </c>
      <c r="B3749">
        <v>3746</v>
      </c>
      <c r="C3749">
        <v>146.08026601700001</v>
      </c>
      <c r="D3749">
        <v>-17.645632730100001</v>
      </c>
      <c r="G3749" s="92"/>
      <c r="I3749">
        <v>9</v>
      </c>
      <c r="J3749" t="s">
        <v>26</v>
      </c>
      <c r="K3749" s="57"/>
      <c r="S3749" s="57"/>
      <c r="X3749" s="57"/>
    </row>
    <row r="3750" spans="1:24" hidden="1" x14ac:dyDescent="0.35">
      <c r="A3750">
        <v>3746</v>
      </c>
      <c r="B3750">
        <v>3747</v>
      </c>
      <c r="C3750">
        <v>146.080328256999</v>
      </c>
      <c r="D3750">
        <v>-17.6456944580999</v>
      </c>
      <c r="G3750" s="92"/>
      <c r="I3750">
        <v>9</v>
      </c>
      <c r="J3750" t="s">
        <v>26</v>
      </c>
      <c r="K3750" s="57"/>
      <c r="S3750" s="57"/>
      <c r="X3750" s="57"/>
    </row>
    <row r="3751" spans="1:24" hidden="1" x14ac:dyDescent="0.35">
      <c r="A3751">
        <v>3747</v>
      </c>
      <c r="B3751">
        <v>3748</v>
      </c>
      <c r="C3751">
        <v>146.080390496999</v>
      </c>
      <c r="D3751">
        <v>-17.645756186100002</v>
      </c>
      <c r="G3751" s="92"/>
      <c r="I3751">
        <v>9</v>
      </c>
      <c r="J3751" t="s">
        <v>26</v>
      </c>
      <c r="K3751" s="57"/>
      <c r="S3751" s="57"/>
      <c r="X3751" s="57"/>
    </row>
    <row r="3752" spans="1:24" hidden="1" x14ac:dyDescent="0.35">
      <c r="A3752">
        <v>3748</v>
      </c>
      <c r="B3752">
        <v>3749</v>
      </c>
      <c r="C3752">
        <v>146.08045227900001</v>
      </c>
      <c r="D3752">
        <v>-17.645818330200001</v>
      </c>
      <c r="G3752" s="92"/>
      <c r="I3752">
        <v>9</v>
      </c>
      <c r="J3752" t="s">
        <v>26</v>
      </c>
      <c r="K3752" s="57"/>
      <c r="S3752" s="57"/>
      <c r="X3752" s="57"/>
    </row>
    <row r="3753" spans="1:24" hidden="1" x14ac:dyDescent="0.35">
      <c r="A3753">
        <v>3749</v>
      </c>
      <c r="B3753">
        <v>3750</v>
      </c>
      <c r="C3753">
        <v>146.080514002</v>
      </c>
      <c r="D3753">
        <v>-17.6458805275999</v>
      </c>
      <c r="G3753" s="92"/>
      <c r="I3753">
        <v>9</v>
      </c>
      <c r="J3753" t="s">
        <v>26</v>
      </c>
      <c r="K3753" s="57"/>
      <c r="S3753" s="57"/>
      <c r="X3753" s="57"/>
    </row>
    <row r="3754" spans="1:24" hidden="1" x14ac:dyDescent="0.35">
      <c r="A3754">
        <v>3750</v>
      </c>
      <c r="B3754">
        <v>3751</v>
      </c>
      <c r="C3754">
        <v>146.08057572499899</v>
      </c>
      <c r="D3754">
        <v>-17.645942725000001</v>
      </c>
      <c r="G3754" s="92"/>
      <c r="I3754">
        <v>9</v>
      </c>
      <c r="J3754" t="s">
        <v>26</v>
      </c>
      <c r="K3754" s="57"/>
      <c r="S3754" s="57"/>
      <c r="X3754" s="57"/>
    </row>
    <row r="3755" spans="1:24" hidden="1" x14ac:dyDescent="0.35">
      <c r="A3755">
        <v>3751</v>
      </c>
      <c r="B3755">
        <v>3752</v>
      </c>
      <c r="C3755">
        <v>146.080637448</v>
      </c>
      <c r="D3755">
        <v>-17.6460049224</v>
      </c>
      <c r="G3755" s="92"/>
      <c r="I3755">
        <v>9</v>
      </c>
      <c r="J3755" t="s">
        <v>26</v>
      </c>
      <c r="K3755" s="57"/>
      <c r="S3755" s="57"/>
      <c r="X3755" s="57"/>
    </row>
    <row r="3756" spans="1:24" hidden="1" x14ac:dyDescent="0.35">
      <c r="A3756">
        <v>3752</v>
      </c>
      <c r="B3756">
        <v>3753</v>
      </c>
      <c r="C3756">
        <v>146.08068951000001</v>
      </c>
      <c r="D3756">
        <v>-17.6460737055999</v>
      </c>
      <c r="G3756" s="92"/>
      <c r="I3756">
        <v>9</v>
      </c>
      <c r="J3756" t="s">
        <v>26</v>
      </c>
      <c r="K3756" s="57"/>
      <c r="S3756" s="57"/>
      <c r="X3756" s="57"/>
    </row>
    <row r="3757" spans="1:24" hidden="1" x14ac:dyDescent="0.35">
      <c r="A3757">
        <v>3753</v>
      </c>
      <c r="B3757">
        <v>3754</v>
      </c>
      <c r="C3757">
        <v>146.080731345999</v>
      </c>
      <c r="D3757">
        <v>-17.646149460499899</v>
      </c>
      <c r="G3757" s="92"/>
      <c r="I3757">
        <v>9</v>
      </c>
      <c r="J3757" t="s">
        <v>26</v>
      </c>
      <c r="K3757" s="57"/>
      <c r="S3757" s="57"/>
      <c r="X3757" s="57"/>
    </row>
    <row r="3758" spans="1:24" hidden="1" x14ac:dyDescent="0.35">
      <c r="A3758">
        <v>3754</v>
      </c>
      <c r="B3758">
        <v>3755</v>
      </c>
      <c r="C3758">
        <v>146.080760247</v>
      </c>
      <c r="D3758">
        <v>-17.6462294833999</v>
      </c>
      <c r="G3758" s="92"/>
      <c r="I3758">
        <v>9</v>
      </c>
      <c r="J3758" t="s">
        <v>26</v>
      </c>
      <c r="K3758" s="57"/>
      <c r="S3758" s="57"/>
      <c r="X3758" s="57"/>
    </row>
    <row r="3759" spans="1:24" hidden="1" x14ac:dyDescent="0.35">
      <c r="A3759">
        <v>3755</v>
      </c>
      <c r="B3759">
        <v>3756</v>
      </c>
      <c r="C3759">
        <v>146.080776528999</v>
      </c>
      <c r="D3759">
        <v>-17.6463136701</v>
      </c>
      <c r="G3759" s="92"/>
      <c r="I3759">
        <v>9</v>
      </c>
      <c r="J3759" t="s">
        <v>26</v>
      </c>
      <c r="K3759" s="57"/>
      <c r="S3759" s="57"/>
      <c r="X3759" s="57"/>
    </row>
    <row r="3760" spans="1:24" hidden="1" x14ac:dyDescent="0.35">
      <c r="A3760">
        <v>3756</v>
      </c>
      <c r="B3760">
        <v>3757</v>
      </c>
      <c r="C3760">
        <v>146.08079281100001</v>
      </c>
      <c r="D3760">
        <v>-17.646397856699899</v>
      </c>
      <c r="G3760" s="92"/>
      <c r="I3760">
        <v>9</v>
      </c>
      <c r="J3760" t="s">
        <v>26</v>
      </c>
      <c r="K3760" s="57"/>
      <c r="S3760" s="57"/>
      <c r="X3760" s="57"/>
    </row>
    <row r="3761" spans="1:24" hidden="1" x14ac:dyDescent="0.35">
      <c r="A3761">
        <v>3757</v>
      </c>
      <c r="B3761">
        <v>3758</v>
      </c>
      <c r="C3761">
        <v>146.08078829600001</v>
      </c>
      <c r="D3761">
        <v>-17.646482909100001</v>
      </c>
      <c r="G3761" s="92"/>
      <c r="I3761">
        <v>9</v>
      </c>
      <c r="J3761" t="s">
        <v>26</v>
      </c>
      <c r="K3761" s="57"/>
      <c r="S3761" s="57"/>
      <c r="X3761" s="57"/>
    </row>
    <row r="3762" spans="1:24" hidden="1" x14ac:dyDescent="0.35">
      <c r="A3762">
        <v>3758</v>
      </c>
      <c r="B3762">
        <v>3759</v>
      </c>
      <c r="C3762">
        <v>146.08077978</v>
      </c>
      <c r="D3762">
        <v>-17.6465681281</v>
      </c>
      <c r="G3762" s="92"/>
      <c r="I3762">
        <v>9</v>
      </c>
      <c r="J3762" t="s">
        <v>26</v>
      </c>
      <c r="K3762" s="57"/>
      <c r="S3762" s="57"/>
      <c r="X3762" s="57"/>
    </row>
    <row r="3763" spans="1:24" hidden="1" x14ac:dyDescent="0.35">
      <c r="A3763">
        <v>3759</v>
      </c>
      <c r="B3763">
        <v>3760</v>
      </c>
      <c r="C3763">
        <v>146.080756793999</v>
      </c>
      <c r="D3763">
        <v>-17.6466505263</v>
      </c>
      <c r="G3763" s="92"/>
      <c r="I3763">
        <v>9</v>
      </c>
      <c r="J3763" t="s">
        <v>26</v>
      </c>
      <c r="K3763" s="57"/>
      <c r="S3763" s="57"/>
      <c r="X3763" s="57"/>
    </row>
    <row r="3764" spans="1:24" hidden="1" x14ac:dyDescent="0.35">
      <c r="A3764">
        <v>3760</v>
      </c>
      <c r="B3764">
        <v>3761</v>
      </c>
      <c r="C3764">
        <v>146.080712900999</v>
      </c>
      <c r="D3764">
        <v>-17.646722172400001</v>
      </c>
      <c r="G3764" s="92"/>
      <c r="I3764">
        <v>9</v>
      </c>
      <c r="J3764" t="s">
        <v>26</v>
      </c>
      <c r="K3764" s="57"/>
      <c r="S3764" s="57"/>
      <c r="X3764" s="57"/>
    </row>
    <row r="3765" spans="1:24" hidden="1" x14ac:dyDescent="0.35">
      <c r="A3765">
        <v>3761</v>
      </c>
      <c r="B3765">
        <v>3762</v>
      </c>
      <c r="C3765">
        <v>146.08064779700001</v>
      </c>
      <c r="D3765">
        <v>-17.6467811561999</v>
      </c>
      <c r="G3765" s="92"/>
      <c r="I3765">
        <v>9</v>
      </c>
      <c r="J3765" t="s">
        <v>26</v>
      </c>
      <c r="K3765" s="57"/>
      <c r="S3765" s="57"/>
      <c r="X3765" s="57"/>
    </row>
    <row r="3766" spans="1:24" hidden="1" x14ac:dyDescent="0.35">
      <c r="A3766">
        <v>3762</v>
      </c>
      <c r="B3766">
        <v>3763</v>
      </c>
      <c r="C3766">
        <v>146.08057276400001</v>
      </c>
      <c r="D3766">
        <v>-17.6468268052</v>
      </c>
      <c r="G3766" s="92"/>
      <c r="I3766">
        <v>9</v>
      </c>
      <c r="J3766" t="s">
        <v>26</v>
      </c>
      <c r="K3766" s="57"/>
      <c r="S3766" s="57"/>
      <c r="X3766" s="57"/>
    </row>
    <row r="3767" spans="1:24" hidden="1" x14ac:dyDescent="0.35">
      <c r="A3767">
        <v>3763</v>
      </c>
      <c r="B3767">
        <v>3764</v>
      </c>
      <c r="C3767">
        <v>146.08049284000001</v>
      </c>
      <c r="D3767">
        <v>-17.6468658852</v>
      </c>
      <c r="G3767" s="92"/>
      <c r="I3767">
        <v>9</v>
      </c>
      <c r="J3767" t="s">
        <v>26</v>
      </c>
      <c r="K3767" s="57"/>
      <c r="S3767" s="57"/>
      <c r="X3767" s="57"/>
    </row>
    <row r="3768" spans="1:24" hidden="1" x14ac:dyDescent="0.35">
      <c r="A3768">
        <v>3764</v>
      </c>
      <c r="B3768">
        <v>3765</v>
      </c>
      <c r="C3768">
        <v>146.08040975</v>
      </c>
      <c r="D3768">
        <v>-17.6468973998</v>
      </c>
      <c r="G3768" s="92"/>
      <c r="I3768">
        <v>9</v>
      </c>
      <c r="J3768" t="s">
        <v>26</v>
      </c>
      <c r="K3768" s="57"/>
      <c r="S3768" s="57"/>
      <c r="X3768" s="57"/>
    </row>
    <row r="3769" spans="1:24" hidden="1" x14ac:dyDescent="0.35">
      <c r="A3769">
        <v>3765</v>
      </c>
      <c r="B3769">
        <v>3766</v>
      </c>
      <c r="C3769">
        <v>146.08032353799899</v>
      </c>
      <c r="D3769">
        <v>-17.6469214538999</v>
      </c>
      <c r="G3769" s="92"/>
      <c r="I3769">
        <v>9</v>
      </c>
      <c r="J3769" t="s">
        <v>26</v>
      </c>
      <c r="K3769" s="57"/>
      <c r="S3769" s="57"/>
      <c r="X3769" s="57"/>
    </row>
    <row r="3770" spans="1:24" hidden="1" x14ac:dyDescent="0.35">
      <c r="A3770">
        <v>3766</v>
      </c>
      <c r="B3770">
        <v>3767</v>
      </c>
      <c r="C3770">
        <v>146.08023459</v>
      </c>
      <c r="D3770">
        <v>-17.646927005199899</v>
      </c>
      <c r="G3770" s="92"/>
      <c r="I3770">
        <v>9</v>
      </c>
      <c r="J3770" t="s">
        <v>26</v>
      </c>
      <c r="K3770" s="57"/>
      <c r="S3770" s="57"/>
      <c r="X3770" s="57"/>
    </row>
    <row r="3771" spans="1:24" hidden="1" x14ac:dyDescent="0.35">
      <c r="A3771">
        <v>3767</v>
      </c>
      <c r="B3771">
        <v>3768</v>
      </c>
      <c r="C3771">
        <v>146.08014475900001</v>
      </c>
      <c r="D3771">
        <v>-17.646926586100001</v>
      </c>
      <c r="G3771" s="92"/>
      <c r="I3771">
        <v>9</v>
      </c>
      <c r="J3771" t="s">
        <v>26</v>
      </c>
      <c r="K3771" s="57"/>
      <c r="S3771" s="57"/>
      <c r="X3771" s="57"/>
    </row>
    <row r="3772" spans="1:24" hidden="1" x14ac:dyDescent="0.35">
      <c r="A3772">
        <v>3768</v>
      </c>
      <c r="B3772">
        <v>3769</v>
      </c>
      <c r="C3772">
        <v>146.080054928999</v>
      </c>
      <c r="D3772">
        <v>-17.646926167</v>
      </c>
      <c r="G3772" s="92"/>
      <c r="I3772">
        <v>9</v>
      </c>
      <c r="J3772" t="s">
        <v>26</v>
      </c>
      <c r="K3772" s="57"/>
      <c r="S3772" s="57"/>
      <c r="X3772" s="57"/>
    </row>
    <row r="3773" spans="1:24" hidden="1" x14ac:dyDescent="0.35">
      <c r="A3773">
        <v>3769</v>
      </c>
      <c r="B3773">
        <v>3770</v>
      </c>
      <c r="C3773">
        <v>146.079965160999</v>
      </c>
      <c r="D3773">
        <v>-17.646923640299899</v>
      </c>
      <c r="G3773" s="92"/>
      <c r="I3773">
        <v>9</v>
      </c>
      <c r="J3773" t="s">
        <v>26</v>
      </c>
      <c r="K3773" s="57"/>
      <c r="S3773" s="57"/>
      <c r="X3773" s="57"/>
    </row>
    <row r="3774" spans="1:24" hidden="1" x14ac:dyDescent="0.35">
      <c r="A3774">
        <v>3770</v>
      </c>
      <c r="B3774">
        <v>3771</v>
      </c>
      <c r="C3774">
        <v>146.07987544700001</v>
      </c>
      <c r="D3774">
        <v>-17.646919250500002</v>
      </c>
      <c r="G3774" s="92"/>
      <c r="I3774">
        <v>9</v>
      </c>
      <c r="J3774" t="s">
        <v>26</v>
      </c>
      <c r="K3774" s="57"/>
      <c r="S3774" s="57"/>
      <c r="X3774" s="57"/>
    </row>
    <row r="3775" spans="1:24" hidden="1" x14ac:dyDescent="0.35">
      <c r="A3775">
        <v>3771</v>
      </c>
      <c r="B3775">
        <v>3772</v>
      </c>
      <c r="C3775">
        <v>146.07978573400001</v>
      </c>
      <c r="D3775">
        <v>-17.6469148607999</v>
      </c>
      <c r="G3775" s="92"/>
      <c r="I3775">
        <v>9</v>
      </c>
      <c r="J3775" t="s">
        <v>26</v>
      </c>
      <c r="K3775" s="57"/>
      <c r="S3775" s="57"/>
      <c r="X3775" s="57"/>
    </row>
    <row r="3776" spans="1:24" hidden="1" x14ac:dyDescent="0.35">
      <c r="A3776">
        <v>3772</v>
      </c>
      <c r="B3776">
        <v>3773</v>
      </c>
      <c r="C3776">
        <v>146.07969602099899</v>
      </c>
      <c r="D3776">
        <v>-17.646910471000002</v>
      </c>
      <c r="G3776" s="92"/>
      <c r="I3776">
        <v>9</v>
      </c>
      <c r="J3776" t="s">
        <v>26</v>
      </c>
      <c r="K3776" s="57"/>
      <c r="S3776" s="57"/>
      <c r="X3776" s="57"/>
    </row>
    <row r="3777" spans="1:24" hidden="1" x14ac:dyDescent="0.35">
      <c r="A3777">
        <v>3773</v>
      </c>
      <c r="B3777">
        <v>3774</v>
      </c>
      <c r="C3777">
        <v>146.079606334</v>
      </c>
      <c r="D3777">
        <v>-17.6469056285999</v>
      </c>
      <c r="G3777" s="92"/>
      <c r="I3777">
        <v>9</v>
      </c>
      <c r="J3777" t="s">
        <v>26</v>
      </c>
      <c r="K3777" s="57"/>
      <c r="S3777" s="57"/>
      <c r="X3777" s="57"/>
    </row>
    <row r="3778" spans="1:24" hidden="1" x14ac:dyDescent="0.35">
      <c r="A3778">
        <v>3774</v>
      </c>
      <c r="B3778">
        <v>3775</v>
      </c>
      <c r="C3778">
        <v>146.07951667500001</v>
      </c>
      <c r="D3778">
        <v>-17.646900324200001</v>
      </c>
      <c r="G3778" s="92"/>
      <c r="I3778">
        <v>9</v>
      </c>
      <c r="J3778" t="s">
        <v>26</v>
      </c>
      <c r="K3778" s="57"/>
      <c r="S3778" s="57"/>
      <c r="X3778" s="57"/>
    </row>
    <row r="3779" spans="1:24" hidden="1" x14ac:dyDescent="0.35">
      <c r="A3779">
        <v>3775</v>
      </c>
      <c r="B3779">
        <v>3776</v>
      </c>
      <c r="C3779">
        <v>146.07942701600001</v>
      </c>
      <c r="D3779">
        <v>-17.646895019799899</v>
      </c>
      <c r="G3779" s="92"/>
      <c r="I3779">
        <v>9</v>
      </c>
      <c r="J3779" t="s">
        <v>26</v>
      </c>
      <c r="K3779" s="57"/>
      <c r="S3779" s="57"/>
      <c r="X3779" s="57"/>
    </row>
    <row r="3780" spans="1:24" hidden="1" x14ac:dyDescent="0.35">
      <c r="A3780">
        <v>3776</v>
      </c>
      <c r="B3780">
        <v>3777</v>
      </c>
      <c r="C3780">
        <v>146.07933735699999</v>
      </c>
      <c r="D3780">
        <v>-17.6468897154</v>
      </c>
      <c r="G3780" s="92"/>
      <c r="I3780">
        <v>9</v>
      </c>
      <c r="J3780" t="s">
        <v>26</v>
      </c>
      <c r="K3780" s="57"/>
      <c r="S3780" s="57"/>
      <c r="X3780" s="57"/>
    </row>
    <row r="3781" spans="1:24" hidden="1" x14ac:dyDescent="0.35">
      <c r="A3781">
        <v>3777</v>
      </c>
      <c r="B3781">
        <v>3778</v>
      </c>
      <c r="C3781">
        <v>146.07924769900001</v>
      </c>
      <c r="D3781">
        <v>-17.6468844109</v>
      </c>
      <c r="G3781" s="92"/>
      <c r="I3781">
        <v>9</v>
      </c>
      <c r="J3781" t="s">
        <v>26</v>
      </c>
      <c r="K3781" s="57"/>
      <c r="S3781" s="57"/>
      <c r="X3781" s="57"/>
    </row>
    <row r="3782" spans="1:24" hidden="1" x14ac:dyDescent="0.35">
      <c r="A3782">
        <v>3778</v>
      </c>
      <c r="B3782">
        <v>3779</v>
      </c>
      <c r="C3782">
        <v>146.07915808600001</v>
      </c>
      <c r="D3782">
        <v>-17.646878772600001</v>
      </c>
      <c r="G3782" s="92"/>
      <c r="I3782">
        <v>9</v>
      </c>
      <c r="J3782" t="s">
        <v>26</v>
      </c>
      <c r="K3782" s="57"/>
      <c r="S3782" s="57"/>
      <c r="X3782" s="57"/>
    </row>
    <row r="3783" spans="1:24" hidden="1" x14ac:dyDescent="0.35">
      <c r="A3783">
        <v>3779</v>
      </c>
      <c r="B3783">
        <v>3780</v>
      </c>
      <c r="C3783">
        <v>146.079070107999</v>
      </c>
      <c r="D3783">
        <v>-17.6468614745</v>
      </c>
      <c r="G3783" s="92"/>
      <c r="I3783">
        <v>9</v>
      </c>
      <c r="J3783" t="s">
        <v>26</v>
      </c>
      <c r="K3783" s="57"/>
      <c r="S3783" s="57"/>
      <c r="X3783" s="57"/>
    </row>
    <row r="3784" spans="1:24" hidden="1" x14ac:dyDescent="0.35">
      <c r="A3784">
        <v>3780</v>
      </c>
      <c r="B3784">
        <v>3781</v>
      </c>
      <c r="C3784">
        <v>146.07898213000001</v>
      </c>
      <c r="D3784">
        <v>-17.6468441763</v>
      </c>
      <c r="G3784" s="92"/>
      <c r="I3784">
        <v>9</v>
      </c>
      <c r="J3784" t="s">
        <v>26</v>
      </c>
      <c r="K3784" s="57"/>
      <c r="S3784" s="57"/>
      <c r="X3784" s="57"/>
    </row>
    <row r="3785" spans="1:24" hidden="1" x14ac:dyDescent="0.35">
      <c r="A3785">
        <v>3781</v>
      </c>
      <c r="B3785">
        <v>3782</v>
      </c>
      <c r="C3785">
        <v>146.07889415099899</v>
      </c>
      <c r="D3785">
        <v>-17.646826878100001</v>
      </c>
      <c r="G3785" s="92"/>
      <c r="I3785">
        <v>9</v>
      </c>
      <c r="J3785" t="s">
        <v>26</v>
      </c>
      <c r="K3785" s="57"/>
      <c r="S3785" s="57"/>
      <c r="X3785" s="57"/>
    </row>
    <row r="3786" spans="1:24" hidden="1" x14ac:dyDescent="0.35">
      <c r="A3786">
        <v>3782</v>
      </c>
      <c r="B3786">
        <v>3783</v>
      </c>
      <c r="C3786">
        <v>146.078806173</v>
      </c>
      <c r="D3786">
        <v>-17.6468095799999</v>
      </c>
      <c r="G3786" s="92"/>
      <c r="I3786">
        <v>9</v>
      </c>
      <c r="J3786" t="s">
        <v>26</v>
      </c>
      <c r="K3786" s="57"/>
      <c r="S3786" s="57"/>
      <c r="X3786" s="57"/>
    </row>
    <row r="3787" spans="1:24" hidden="1" x14ac:dyDescent="0.35">
      <c r="A3787">
        <v>3783</v>
      </c>
      <c r="B3787">
        <v>3784</v>
      </c>
      <c r="C3787">
        <v>146.078718398999</v>
      </c>
      <c r="D3787">
        <v>-17.6467914187999</v>
      </c>
      <c r="G3787" s="92"/>
      <c r="I3787">
        <v>9</v>
      </c>
      <c r="J3787" t="s">
        <v>26</v>
      </c>
      <c r="K3787" s="57"/>
      <c r="S3787" s="57"/>
      <c r="X3787" s="57"/>
    </row>
    <row r="3788" spans="1:24" hidden="1" x14ac:dyDescent="0.35">
      <c r="A3788">
        <v>3784</v>
      </c>
      <c r="B3788">
        <v>3785</v>
      </c>
      <c r="C3788">
        <v>146.07863114200001</v>
      </c>
      <c r="D3788">
        <v>-17.646771068500001</v>
      </c>
      <c r="G3788" s="92"/>
      <c r="I3788">
        <v>9</v>
      </c>
      <c r="J3788" t="s">
        <v>26</v>
      </c>
      <c r="K3788" s="57"/>
      <c r="S3788" s="57"/>
      <c r="X3788" s="57"/>
    </row>
    <row r="3789" spans="1:24" hidden="1" x14ac:dyDescent="0.35">
      <c r="A3789">
        <v>3785</v>
      </c>
      <c r="B3789">
        <v>3786</v>
      </c>
      <c r="C3789">
        <v>146.07854388600001</v>
      </c>
      <c r="D3789">
        <v>-17.6467507182</v>
      </c>
      <c r="G3789" s="92"/>
      <c r="I3789">
        <v>9</v>
      </c>
      <c r="J3789" t="s">
        <v>26</v>
      </c>
      <c r="K3789" s="57"/>
      <c r="S3789" s="57"/>
      <c r="X3789" s="57"/>
    </row>
    <row r="3790" spans="1:24" hidden="1" x14ac:dyDescent="0.35">
      <c r="A3790">
        <v>3786</v>
      </c>
      <c r="B3790">
        <v>3787</v>
      </c>
      <c r="C3790">
        <v>146.07845663000001</v>
      </c>
      <c r="D3790">
        <v>-17.646730367899899</v>
      </c>
      <c r="G3790" s="92"/>
      <c r="I3790">
        <v>9</v>
      </c>
      <c r="J3790" t="s">
        <v>26</v>
      </c>
      <c r="K3790" s="57"/>
      <c r="S3790" s="57"/>
      <c r="X3790" s="57"/>
    </row>
    <row r="3791" spans="1:24" hidden="1" x14ac:dyDescent="0.35">
      <c r="A3791">
        <v>3787</v>
      </c>
      <c r="B3791">
        <v>3788</v>
      </c>
      <c r="C3791">
        <v>146.078369527999</v>
      </c>
      <c r="D3791">
        <v>-17.6467094465999</v>
      </c>
      <c r="G3791" s="92"/>
      <c r="I3791">
        <v>9</v>
      </c>
      <c r="J3791" t="s">
        <v>26</v>
      </c>
      <c r="K3791" s="57"/>
      <c r="S3791" s="57"/>
      <c r="X3791" s="57"/>
    </row>
    <row r="3792" spans="1:24" hidden="1" x14ac:dyDescent="0.35">
      <c r="A3792">
        <v>3788</v>
      </c>
      <c r="B3792">
        <v>3789</v>
      </c>
      <c r="C3792">
        <v>146.078282857999</v>
      </c>
      <c r="D3792">
        <v>-17.646686938999899</v>
      </c>
      <c r="G3792" s="92"/>
      <c r="I3792">
        <v>9</v>
      </c>
      <c r="J3792" t="s">
        <v>26</v>
      </c>
      <c r="K3792" s="57"/>
      <c r="S3792" s="57"/>
      <c r="X3792" s="57"/>
    </row>
    <row r="3793" spans="1:24" hidden="1" x14ac:dyDescent="0.35">
      <c r="A3793">
        <v>3789</v>
      </c>
      <c r="B3793">
        <v>3790</v>
      </c>
      <c r="C3793">
        <v>146.078196187</v>
      </c>
      <c r="D3793">
        <v>-17.646664431400001</v>
      </c>
      <c r="G3793" s="92"/>
      <c r="I3793">
        <v>9</v>
      </c>
      <c r="J3793" t="s">
        <v>26</v>
      </c>
      <c r="K3793" s="57"/>
      <c r="S3793" s="57"/>
      <c r="X3793" s="57"/>
    </row>
    <row r="3794" spans="1:24" hidden="1" x14ac:dyDescent="0.35">
      <c r="A3794">
        <v>3790</v>
      </c>
      <c r="B3794">
        <v>3791</v>
      </c>
      <c r="C3794">
        <v>146.07810951600001</v>
      </c>
      <c r="D3794">
        <v>-17.646641923699899</v>
      </c>
      <c r="G3794" s="92"/>
      <c r="I3794">
        <v>9</v>
      </c>
      <c r="J3794" t="s">
        <v>26</v>
      </c>
      <c r="K3794" s="57"/>
      <c r="S3794" s="57"/>
      <c r="X3794" s="57"/>
    </row>
    <row r="3795" spans="1:24" hidden="1" x14ac:dyDescent="0.35">
      <c r="A3795">
        <v>3791</v>
      </c>
      <c r="B3795">
        <v>3792</v>
      </c>
      <c r="C3795">
        <v>146.07802288299899</v>
      </c>
      <c r="D3795">
        <v>-17.6466192842</v>
      </c>
      <c r="G3795" s="92"/>
      <c r="I3795">
        <v>9</v>
      </c>
      <c r="J3795" t="s">
        <v>26</v>
      </c>
      <c r="K3795" s="57"/>
      <c r="S3795" s="57"/>
      <c r="X3795" s="57"/>
    </row>
    <row r="3796" spans="1:24" hidden="1" x14ac:dyDescent="0.35">
      <c r="A3796">
        <v>3792</v>
      </c>
      <c r="B3796">
        <v>3793</v>
      </c>
      <c r="C3796">
        <v>146.07793645999899</v>
      </c>
      <c r="D3796">
        <v>-17.6465959296</v>
      </c>
      <c r="G3796" s="92"/>
      <c r="I3796">
        <v>9</v>
      </c>
      <c r="J3796" t="s">
        <v>26</v>
      </c>
      <c r="K3796" s="57"/>
      <c r="S3796" s="57"/>
      <c r="X3796" s="57"/>
    </row>
    <row r="3797" spans="1:24" hidden="1" x14ac:dyDescent="0.35">
      <c r="A3797">
        <v>3793</v>
      </c>
      <c r="B3797">
        <v>3794</v>
      </c>
      <c r="C3797">
        <v>146.077850036</v>
      </c>
      <c r="D3797">
        <v>-17.646572575099899</v>
      </c>
      <c r="G3797" s="92"/>
      <c r="I3797">
        <v>9</v>
      </c>
      <c r="J3797" t="s">
        <v>26</v>
      </c>
      <c r="K3797" s="57"/>
      <c r="S3797" s="57"/>
      <c r="X3797" s="57"/>
    </row>
    <row r="3798" spans="1:24" hidden="1" x14ac:dyDescent="0.35">
      <c r="A3798">
        <v>3794</v>
      </c>
      <c r="B3798">
        <v>3795</v>
      </c>
      <c r="C3798">
        <v>146.07776317400001</v>
      </c>
      <c r="D3798">
        <v>-17.646552557500002</v>
      </c>
      <c r="G3798" s="92"/>
      <c r="I3798">
        <v>9</v>
      </c>
      <c r="J3798" t="s">
        <v>26</v>
      </c>
      <c r="K3798" s="57"/>
      <c r="S3798" s="57"/>
      <c r="X3798" s="57"/>
    </row>
    <row r="3799" spans="1:24" hidden="1" x14ac:dyDescent="0.35">
      <c r="A3799">
        <v>3795</v>
      </c>
      <c r="B3799">
        <v>3796</v>
      </c>
      <c r="C3799">
        <v>146.077673376999</v>
      </c>
      <c r="D3799">
        <v>-17.646554914100001</v>
      </c>
      <c r="G3799" s="92"/>
      <c r="I3799">
        <v>9</v>
      </c>
      <c r="J3799" t="s">
        <v>26</v>
      </c>
      <c r="K3799" s="57"/>
      <c r="S3799" s="57"/>
      <c r="X3799" s="57"/>
    </row>
    <row r="3800" spans="1:24" hidden="1" x14ac:dyDescent="0.35">
      <c r="A3800">
        <v>3796</v>
      </c>
      <c r="B3800">
        <v>3797</v>
      </c>
      <c r="C3800">
        <v>146.077584876999</v>
      </c>
      <c r="D3800">
        <v>-17.6465632902</v>
      </c>
      <c r="G3800" s="92"/>
      <c r="I3800">
        <v>9</v>
      </c>
      <c r="J3800" t="s">
        <v>26</v>
      </c>
      <c r="K3800" s="57"/>
      <c r="S3800" s="57"/>
      <c r="X3800" s="57"/>
    </row>
    <row r="3801" spans="1:24" hidden="1" x14ac:dyDescent="0.35">
      <c r="A3801">
        <v>3797</v>
      </c>
      <c r="B3801">
        <v>3798</v>
      </c>
      <c r="C3801">
        <v>146.077501377999</v>
      </c>
      <c r="D3801">
        <v>-17.646594860699899</v>
      </c>
      <c r="G3801" s="92"/>
      <c r="I3801">
        <v>9</v>
      </c>
      <c r="J3801" t="s">
        <v>26</v>
      </c>
      <c r="K3801" s="57"/>
      <c r="S3801" s="57"/>
      <c r="X3801" s="57"/>
    </row>
    <row r="3802" spans="1:24" hidden="1" x14ac:dyDescent="0.35">
      <c r="A3802">
        <v>3798</v>
      </c>
      <c r="B3802">
        <v>3799</v>
      </c>
      <c r="C3802">
        <v>146.077423336999</v>
      </c>
      <c r="D3802">
        <v>-17.646633477799899</v>
      </c>
      <c r="G3802" s="92"/>
      <c r="I3802">
        <v>9</v>
      </c>
      <c r="J3802" t="s">
        <v>26</v>
      </c>
      <c r="K3802" s="57"/>
      <c r="S3802" s="57"/>
      <c r="X3802" s="57"/>
    </row>
    <row r="3803" spans="1:24" hidden="1" x14ac:dyDescent="0.35">
      <c r="A3803">
        <v>3799</v>
      </c>
      <c r="B3803">
        <v>3800</v>
      </c>
      <c r="C3803">
        <v>146.07736728500001</v>
      </c>
      <c r="D3803">
        <v>-17.646700303100001</v>
      </c>
      <c r="G3803" s="92"/>
      <c r="I3803">
        <v>9</v>
      </c>
      <c r="J3803" t="s">
        <v>26</v>
      </c>
      <c r="K3803" s="57"/>
      <c r="S3803" s="57"/>
      <c r="X3803" s="57"/>
    </row>
    <row r="3804" spans="1:24" hidden="1" x14ac:dyDescent="0.35">
      <c r="A3804">
        <v>3800</v>
      </c>
      <c r="B3804">
        <v>3801</v>
      </c>
      <c r="C3804">
        <v>146.07735530400001</v>
      </c>
      <c r="D3804">
        <v>-17.646785142700001</v>
      </c>
      <c r="G3804" s="92"/>
      <c r="I3804">
        <v>9</v>
      </c>
      <c r="J3804" t="s">
        <v>26</v>
      </c>
      <c r="K3804" s="57"/>
      <c r="S3804" s="57"/>
      <c r="X3804" s="57"/>
    </row>
    <row r="3805" spans="1:24" hidden="1" x14ac:dyDescent="0.35">
      <c r="A3805">
        <v>3801</v>
      </c>
      <c r="B3805">
        <v>3802</v>
      </c>
      <c r="C3805">
        <v>146.07736651299899</v>
      </c>
      <c r="D3805">
        <v>-17.6468677374999</v>
      </c>
      <c r="G3805" s="92"/>
      <c r="I3805">
        <v>9</v>
      </c>
      <c r="J3805" t="s">
        <v>26</v>
      </c>
      <c r="K3805" s="57"/>
      <c r="S3805" s="57"/>
      <c r="X3805" s="57"/>
    </row>
    <row r="3806" spans="1:24" hidden="1" x14ac:dyDescent="0.35">
      <c r="A3806">
        <v>3802</v>
      </c>
      <c r="B3806">
        <v>3803</v>
      </c>
      <c r="C3806">
        <v>146.077418464</v>
      </c>
      <c r="D3806">
        <v>-17.6469348305999</v>
      </c>
      <c r="G3806" s="92"/>
      <c r="I3806">
        <v>9</v>
      </c>
      <c r="J3806" t="s">
        <v>26</v>
      </c>
      <c r="K3806" s="57"/>
      <c r="S3806" s="57"/>
      <c r="X3806" s="57"/>
    </row>
    <row r="3807" spans="1:24" hidden="1" x14ac:dyDescent="0.35">
      <c r="A3807">
        <v>3803</v>
      </c>
      <c r="B3807">
        <v>3804</v>
      </c>
      <c r="C3807">
        <v>146.07748963500001</v>
      </c>
      <c r="D3807">
        <v>-17.646982640800001</v>
      </c>
      <c r="G3807" s="92"/>
      <c r="I3807">
        <v>9</v>
      </c>
      <c r="J3807" t="s">
        <v>26</v>
      </c>
      <c r="K3807" s="57"/>
      <c r="S3807" s="57"/>
      <c r="X3807" s="57"/>
    </row>
    <row r="3808" spans="1:24" hidden="1" x14ac:dyDescent="0.35">
      <c r="A3808">
        <v>3804</v>
      </c>
      <c r="B3808">
        <v>3805</v>
      </c>
      <c r="C3808">
        <v>146.077577719999</v>
      </c>
      <c r="D3808">
        <v>-17.646999442399899</v>
      </c>
      <c r="G3808" s="92"/>
      <c r="I3808">
        <v>9</v>
      </c>
      <c r="J3808" t="s">
        <v>26</v>
      </c>
      <c r="K3808" s="57"/>
      <c r="S3808" s="57"/>
      <c r="X3808" s="57"/>
    </row>
    <row r="3809" spans="1:24" hidden="1" x14ac:dyDescent="0.35">
      <c r="A3809">
        <v>3805</v>
      </c>
      <c r="B3809">
        <v>3806</v>
      </c>
      <c r="C3809">
        <v>146.077665803999</v>
      </c>
      <c r="D3809">
        <v>-17.647016243900001</v>
      </c>
      <c r="G3809" s="92"/>
      <c r="I3809">
        <v>9</v>
      </c>
      <c r="J3809" t="s">
        <v>26</v>
      </c>
      <c r="K3809" s="57"/>
      <c r="S3809" s="57"/>
      <c r="X3809" s="57"/>
    </row>
    <row r="3810" spans="1:24" hidden="1" x14ac:dyDescent="0.35">
      <c r="A3810">
        <v>3806</v>
      </c>
      <c r="B3810">
        <v>3807</v>
      </c>
      <c r="C3810">
        <v>146.07775388799899</v>
      </c>
      <c r="D3810">
        <v>-17.647033045400001</v>
      </c>
      <c r="G3810" s="92"/>
      <c r="I3810">
        <v>9</v>
      </c>
      <c r="J3810" t="s">
        <v>26</v>
      </c>
      <c r="K3810" s="57"/>
      <c r="S3810" s="57"/>
      <c r="X3810" s="57"/>
    </row>
    <row r="3811" spans="1:24" hidden="1" x14ac:dyDescent="0.35">
      <c r="A3811">
        <v>3807</v>
      </c>
      <c r="B3811">
        <v>3808</v>
      </c>
      <c r="C3811">
        <v>146.07784197300001</v>
      </c>
      <c r="D3811">
        <v>-17.6470498469</v>
      </c>
      <c r="G3811" s="92"/>
      <c r="I3811">
        <v>9</v>
      </c>
      <c r="J3811" t="s">
        <v>26</v>
      </c>
      <c r="K3811" s="57"/>
      <c r="S3811" s="57"/>
      <c r="X3811" s="57"/>
    </row>
    <row r="3812" spans="1:24" hidden="1" x14ac:dyDescent="0.35">
      <c r="A3812">
        <v>3808</v>
      </c>
      <c r="B3812">
        <v>3809</v>
      </c>
      <c r="C3812">
        <v>146.077930057</v>
      </c>
      <c r="D3812">
        <v>-17.647066648500001</v>
      </c>
      <c r="G3812" s="92"/>
      <c r="I3812">
        <v>9</v>
      </c>
      <c r="J3812" t="s">
        <v>26</v>
      </c>
      <c r="K3812" s="57"/>
      <c r="S3812" s="57"/>
      <c r="X3812" s="57"/>
    </row>
    <row r="3813" spans="1:24" hidden="1" x14ac:dyDescent="0.35">
      <c r="A3813">
        <v>3809</v>
      </c>
      <c r="B3813">
        <v>3810</v>
      </c>
      <c r="C3813">
        <v>146.078018202999</v>
      </c>
      <c r="D3813">
        <v>-17.647081341500002</v>
      </c>
      <c r="G3813" s="92"/>
      <c r="I3813">
        <v>9</v>
      </c>
      <c r="J3813" t="s">
        <v>26</v>
      </c>
      <c r="K3813" s="57"/>
      <c r="S3813" s="57"/>
      <c r="X3813" s="57"/>
    </row>
    <row r="3814" spans="1:24" hidden="1" x14ac:dyDescent="0.35">
      <c r="A3814">
        <v>3810</v>
      </c>
      <c r="B3814">
        <v>3811</v>
      </c>
      <c r="C3814">
        <v>146.07810713000001</v>
      </c>
      <c r="D3814">
        <v>-17.6470692275999</v>
      </c>
      <c r="G3814" s="92"/>
      <c r="I3814">
        <v>9</v>
      </c>
      <c r="J3814" t="s">
        <v>26</v>
      </c>
      <c r="K3814" s="57"/>
      <c r="S3814" s="57"/>
      <c r="X3814" s="57"/>
    </row>
    <row r="3815" spans="1:24" hidden="1" x14ac:dyDescent="0.35">
      <c r="A3815">
        <v>3811</v>
      </c>
      <c r="B3815">
        <v>3812</v>
      </c>
      <c r="C3815">
        <v>146.078196058</v>
      </c>
      <c r="D3815">
        <v>-17.647057113599899</v>
      </c>
      <c r="G3815" s="92"/>
      <c r="I3815">
        <v>9</v>
      </c>
      <c r="J3815" t="s">
        <v>26</v>
      </c>
      <c r="K3815" s="57"/>
      <c r="S3815" s="57"/>
      <c r="X3815" s="57"/>
    </row>
    <row r="3816" spans="1:24" hidden="1" x14ac:dyDescent="0.35">
      <c r="A3816">
        <v>3812</v>
      </c>
      <c r="B3816">
        <v>3813</v>
      </c>
      <c r="C3816">
        <v>146.07828498500001</v>
      </c>
      <c r="D3816">
        <v>-17.647044999599899</v>
      </c>
      <c r="G3816" s="92"/>
      <c r="I3816">
        <v>9</v>
      </c>
      <c r="J3816" t="s">
        <v>26</v>
      </c>
      <c r="K3816" s="57"/>
      <c r="S3816" s="57"/>
      <c r="X3816" s="57"/>
    </row>
    <row r="3817" spans="1:24" hidden="1" x14ac:dyDescent="0.35">
      <c r="A3817">
        <v>3813</v>
      </c>
      <c r="B3817">
        <v>3814</v>
      </c>
      <c r="C3817">
        <v>146.07837391300001</v>
      </c>
      <c r="D3817">
        <v>-17.647032885600002</v>
      </c>
      <c r="G3817" s="92"/>
      <c r="I3817">
        <v>9</v>
      </c>
      <c r="J3817" t="s">
        <v>26</v>
      </c>
      <c r="K3817" s="57"/>
      <c r="S3817" s="57"/>
      <c r="X3817" s="57"/>
    </row>
    <row r="3818" spans="1:24" hidden="1" x14ac:dyDescent="0.35">
      <c r="A3818">
        <v>3814</v>
      </c>
      <c r="B3818">
        <v>3815</v>
      </c>
      <c r="C3818">
        <v>146.07846345799899</v>
      </c>
      <c r="D3818">
        <v>-17.6470344564</v>
      </c>
      <c r="G3818" s="92"/>
      <c r="I3818">
        <v>9</v>
      </c>
      <c r="J3818" t="s">
        <v>26</v>
      </c>
      <c r="K3818" s="57"/>
      <c r="S3818" s="57"/>
      <c r="X3818" s="57"/>
    </row>
    <row r="3819" spans="1:24" hidden="1" x14ac:dyDescent="0.35">
      <c r="A3819">
        <v>3815</v>
      </c>
      <c r="B3819">
        <v>3816</v>
      </c>
      <c r="C3819">
        <v>146.07855314899899</v>
      </c>
      <c r="D3819">
        <v>-17.647039249399899</v>
      </c>
      <c r="G3819" s="92"/>
      <c r="I3819">
        <v>9</v>
      </c>
      <c r="J3819" t="s">
        <v>26</v>
      </c>
      <c r="K3819" s="57"/>
      <c r="S3819" s="57"/>
      <c r="X3819" s="57"/>
    </row>
    <row r="3820" spans="1:24" hidden="1" x14ac:dyDescent="0.35">
      <c r="A3820">
        <v>3816</v>
      </c>
      <c r="B3820">
        <v>3817</v>
      </c>
      <c r="C3820">
        <v>146.078642838999</v>
      </c>
      <c r="D3820">
        <v>-17.6470440424999</v>
      </c>
      <c r="G3820" s="92"/>
      <c r="I3820">
        <v>9</v>
      </c>
      <c r="J3820" t="s">
        <v>26</v>
      </c>
      <c r="K3820" s="57"/>
      <c r="S3820" s="57"/>
      <c r="X3820" s="57"/>
    </row>
    <row r="3821" spans="1:24" hidden="1" x14ac:dyDescent="0.35">
      <c r="A3821">
        <v>3817</v>
      </c>
      <c r="B3821">
        <v>3818</v>
      </c>
      <c r="C3821">
        <v>146.07873208300001</v>
      </c>
      <c r="D3821">
        <v>-17.6470514375</v>
      </c>
      <c r="G3821" s="92"/>
      <c r="I3821">
        <v>9</v>
      </c>
      <c r="J3821" t="s">
        <v>26</v>
      </c>
      <c r="K3821" s="57"/>
      <c r="S3821" s="57"/>
      <c r="X3821" s="57"/>
    </row>
    <row r="3822" spans="1:24" hidden="1" x14ac:dyDescent="0.35">
      <c r="A3822">
        <v>3818</v>
      </c>
      <c r="B3822">
        <v>3819</v>
      </c>
      <c r="C3822">
        <v>146.07881869400001</v>
      </c>
      <c r="D3822">
        <v>-17.647074151000002</v>
      </c>
      <c r="G3822" s="92"/>
      <c r="I3822">
        <v>9</v>
      </c>
      <c r="J3822" t="s">
        <v>26</v>
      </c>
      <c r="K3822" s="57"/>
      <c r="S3822" s="57"/>
      <c r="X3822" s="57"/>
    </row>
    <row r="3823" spans="1:24" hidden="1" x14ac:dyDescent="0.35">
      <c r="A3823">
        <v>3819</v>
      </c>
      <c r="B3823">
        <v>3820</v>
      </c>
      <c r="C3823">
        <v>146.078905305999</v>
      </c>
      <c r="D3823">
        <v>-17.6470968645</v>
      </c>
      <c r="G3823" s="92"/>
      <c r="I3823">
        <v>9</v>
      </c>
      <c r="J3823" t="s">
        <v>26</v>
      </c>
      <c r="K3823" s="57"/>
      <c r="S3823" s="57"/>
      <c r="X3823" s="57"/>
    </row>
    <row r="3824" spans="1:24" hidden="1" x14ac:dyDescent="0.35">
      <c r="A3824">
        <v>3820</v>
      </c>
      <c r="B3824">
        <v>3821</v>
      </c>
      <c r="C3824">
        <v>146.078988721999</v>
      </c>
      <c r="D3824">
        <v>-17.6471275261</v>
      </c>
      <c r="G3824" s="92"/>
      <c r="I3824">
        <v>9</v>
      </c>
      <c r="J3824" t="s">
        <v>26</v>
      </c>
      <c r="K3824" s="57"/>
      <c r="S3824" s="57"/>
      <c r="X3824" s="57"/>
    </row>
    <row r="3825" spans="1:24" hidden="1" x14ac:dyDescent="0.35">
      <c r="A3825">
        <v>3821</v>
      </c>
      <c r="B3825">
        <v>3822</v>
      </c>
      <c r="C3825">
        <v>146.07906908000001</v>
      </c>
      <c r="D3825">
        <v>-17.647165789199899</v>
      </c>
      <c r="G3825" s="92"/>
      <c r="I3825">
        <v>9</v>
      </c>
      <c r="J3825" t="s">
        <v>26</v>
      </c>
      <c r="K3825" s="57"/>
      <c r="S3825" s="57"/>
      <c r="X3825" s="57"/>
    </row>
    <row r="3826" spans="1:24" hidden="1" x14ac:dyDescent="0.35">
      <c r="A3826">
        <v>3822</v>
      </c>
      <c r="B3826">
        <v>3823</v>
      </c>
      <c r="C3826">
        <v>146.079149438</v>
      </c>
      <c r="D3826">
        <v>-17.6472040521999</v>
      </c>
      <c r="G3826" s="92"/>
      <c r="I3826">
        <v>9</v>
      </c>
      <c r="J3826" t="s">
        <v>26</v>
      </c>
      <c r="K3826" s="57"/>
      <c r="S3826" s="57"/>
      <c r="X3826" s="57"/>
    </row>
    <row r="3827" spans="1:24" hidden="1" x14ac:dyDescent="0.35">
      <c r="A3827">
        <v>3823</v>
      </c>
      <c r="B3827">
        <v>3824</v>
      </c>
      <c r="C3827">
        <v>146.07922979700001</v>
      </c>
      <c r="D3827">
        <v>-17.6472423152</v>
      </c>
      <c r="G3827" s="92"/>
      <c r="I3827">
        <v>9</v>
      </c>
      <c r="J3827" t="s">
        <v>26</v>
      </c>
      <c r="K3827" s="57"/>
      <c r="S3827" s="57"/>
      <c r="X3827" s="57"/>
    </row>
    <row r="3828" spans="1:24" hidden="1" x14ac:dyDescent="0.35">
      <c r="A3828">
        <v>3824</v>
      </c>
      <c r="B3828">
        <v>3825</v>
      </c>
      <c r="C3828">
        <v>146.079307309</v>
      </c>
      <c r="D3828">
        <v>-17.6472855164</v>
      </c>
      <c r="G3828" s="92"/>
      <c r="I3828">
        <v>9</v>
      </c>
      <c r="J3828" t="s">
        <v>26</v>
      </c>
      <c r="K3828" s="57"/>
      <c r="S3828" s="57"/>
      <c r="X3828" s="57"/>
    </row>
    <row r="3829" spans="1:24" hidden="1" x14ac:dyDescent="0.35">
      <c r="A3829">
        <v>3825</v>
      </c>
      <c r="B3829">
        <v>3826</v>
      </c>
      <c r="C3829">
        <v>146.079384298999</v>
      </c>
      <c r="D3829">
        <v>-17.647329622000001</v>
      </c>
      <c r="G3829" s="92"/>
      <c r="I3829">
        <v>9</v>
      </c>
      <c r="J3829" t="s">
        <v>26</v>
      </c>
      <c r="K3829" s="57"/>
      <c r="S3829" s="57"/>
      <c r="X3829" s="57"/>
    </row>
    <row r="3830" spans="1:24" hidden="1" x14ac:dyDescent="0.35">
      <c r="A3830">
        <v>3826</v>
      </c>
      <c r="B3830">
        <v>3827</v>
      </c>
      <c r="C3830">
        <v>146.079461288999</v>
      </c>
      <c r="D3830">
        <v>-17.6473737277</v>
      </c>
      <c r="G3830" s="92"/>
      <c r="I3830">
        <v>9</v>
      </c>
      <c r="J3830" t="s">
        <v>26</v>
      </c>
      <c r="K3830" s="57"/>
      <c r="S3830" s="57"/>
      <c r="X3830" s="57"/>
    </row>
    <row r="3831" spans="1:24" hidden="1" x14ac:dyDescent="0.35">
      <c r="A3831">
        <v>3827</v>
      </c>
      <c r="B3831">
        <v>3828</v>
      </c>
      <c r="C3831">
        <v>146.07953743300001</v>
      </c>
      <c r="D3831">
        <v>-17.647419136300002</v>
      </c>
      <c r="G3831" s="92"/>
      <c r="I3831">
        <v>9</v>
      </c>
      <c r="J3831" t="s">
        <v>26</v>
      </c>
      <c r="K3831" s="57"/>
      <c r="S3831" s="57"/>
      <c r="X3831" s="57"/>
    </row>
    <row r="3832" spans="1:24" hidden="1" x14ac:dyDescent="0.35">
      <c r="A3832">
        <v>3828</v>
      </c>
      <c r="B3832">
        <v>3829</v>
      </c>
      <c r="C3832">
        <v>146.079613158999</v>
      </c>
      <c r="D3832">
        <v>-17.6474651863</v>
      </c>
      <c r="G3832" s="92"/>
      <c r="I3832">
        <v>9</v>
      </c>
      <c r="J3832" t="s">
        <v>26</v>
      </c>
      <c r="K3832" s="57"/>
      <c r="S3832" s="57"/>
      <c r="X3832" s="57"/>
    </row>
    <row r="3833" spans="1:24" hidden="1" x14ac:dyDescent="0.35">
      <c r="A3833">
        <v>3829</v>
      </c>
      <c r="B3833">
        <v>3830</v>
      </c>
      <c r="C3833">
        <v>146.079688884999</v>
      </c>
      <c r="D3833">
        <v>-17.6475112362</v>
      </c>
      <c r="G3833" s="92"/>
      <c r="I3833">
        <v>9</v>
      </c>
      <c r="J3833" t="s">
        <v>26</v>
      </c>
      <c r="K3833" s="57"/>
      <c r="S3833" s="57"/>
      <c r="X3833" s="57"/>
    </row>
    <row r="3834" spans="1:24" hidden="1" x14ac:dyDescent="0.35">
      <c r="A3834">
        <v>3830</v>
      </c>
      <c r="B3834">
        <v>3831</v>
      </c>
      <c r="C3834">
        <v>146.079764611999</v>
      </c>
      <c r="D3834">
        <v>-17.6475572861</v>
      </c>
      <c r="G3834" s="92"/>
      <c r="I3834">
        <v>9</v>
      </c>
      <c r="J3834" t="s">
        <v>26</v>
      </c>
      <c r="K3834" s="57"/>
      <c r="S3834" s="57"/>
      <c r="X3834" s="57"/>
    </row>
    <row r="3835" spans="1:24" hidden="1" x14ac:dyDescent="0.35">
      <c r="A3835">
        <v>3831</v>
      </c>
      <c r="B3835">
        <v>3832</v>
      </c>
      <c r="C3835">
        <v>146.079832689</v>
      </c>
      <c r="D3835">
        <v>-17.6476130375999</v>
      </c>
      <c r="G3835" s="92"/>
      <c r="I3835">
        <v>9</v>
      </c>
      <c r="J3835" t="s">
        <v>26</v>
      </c>
      <c r="K3835" s="57"/>
      <c r="S3835" s="57"/>
      <c r="X3835" s="57"/>
    </row>
    <row r="3836" spans="1:24" hidden="1" x14ac:dyDescent="0.35">
      <c r="A3836">
        <v>3832</v>
      </c>
      <c r="B3836">
        <v>3833</v>
      </c>
      <c r="C3836">
        <v>146.079900183999</v>
      </c>
      <c r="D3836">
        <v>-17.6476695279</v>
      </c>
      <c r="G3836" s="92"/>
      <c r="I3836">
        <v>9</v>
      </c>
      <c r="J3836" t="s">
        <v>26</v>
      </c>
      <c r="K3836" s="57"/>
      <c r="S3836" s="57"/>
      <c r="X3836" s="57"/>
    </row>
    <row r="3837" spans="1:24" hidden="1" x14ac:dyDescent="0.35">
      <c r="A3837">
        <v>3833</v>
      </c>
      <c r="B3837">
        <v>3834</v>
      </c>
      <c r="C3837">
        <v>146.079967678999</v>
      </c>
      <c r="D3837">
        <v>-17.6477260182</v>
      </c>
      <c r="G3837" s="92"/>
      <c r="I3837">
        <v>9</v>
      </c>
      <c r="J3837" t="s">
        <v>26</v>
      </c>
      <c r="K3837" s="57"/>
      <c r="S3837" s="57"/>
      <c r="X3837" s="57"/>
    </row>
    <row r="3838" spans="1:24" hidden="1" x14ac:dyDescent="0.35">
      <c r="A3838">
        <v>3834</v>
      </c>
      <c r="B3838">
        <v>3835</v>
      </c>
      <c r="C3838">
        <v>146.08003517399899</v>
      </c>
      <c r="D3838">
        <v>-17.647782508500001</v>
      </c>
      <c r="G3838" s="92"/>
      <c r="I3838">
        <v>9</v>
      </c>
      <c r="J3838" t="s">
        <v>26</v>
      </c>
      <c r="K3838" s="57"/>
      <c r="S3838" s="57"/>
      <c r="X3838" s="57"/>
    </row>
    <row r="3839" spans="1:24" hidden="1" x14ac:dyDescent="0.35">
      <c r="A3839">
        <v>3835</v>
      </c>
      <c r="B3839">
        <v>3836</v>
      </c>
      <c r="C3839">
        <v>146.08010085999899</v>
      </c>
      <c r="D3839">
        <v>-17.6478404086</v>
      </c>
      <c r="G3839" s="92"/>
      <c r="I3839">
        <v>9</v>
      </c>
      <c r="J3839" t="s">
        <v>26</v>
      </c>
      <c r="K3839" s="57"/>
      <c r="S3839" s="57"/>
      <c r="X3839" s="57"/>
    </row>
    <row r="3840" spans="1:24" hidden="1" x14ac:dyDescent="0.35">
      <c r="A3840">
        <v>3836</v>
      </c>
      <c r="B3840">
        <v>3837</v>
      </c>
      <c r="C3840">
        <v>146.080145539</v>
      </c>
      <c r="D3840">
        <v>-17.647914673199899</v>
      </c>
      <c r="G3840" s="92"/>
      <c r="I3840">
        <v>9</v>
      </c>
      <c r="J3840" t="s">
        <v>26</v>
      </c>
      <c r="K3840" s="57"/>
      <c r="S3840" s="57"/>
      <c r="X3840" s="57"/>
    </row>
    <row r="3841" spans="1:24" hidden="1" x14ac:dyDescent="0.35">
      <c r="A3841">
        <v>3837</v>
      </c>
      <c r="B3841">
        <v>3838</v>
      </c>
      <c r="C3841">
        <v>146.080190219</v>
      </c>
      <c r="D3841">
        <v>-17.6479889376999</v>
      </c>
      <c r="G3841" s="92"/>
      <c r="I3841">
        <v>9</v>
      </c>
      <c r="J3841" t="s">
        <v>26</v>
      </c>
      <c r="K3841" s="57"/>
      <c r="S3841" s="57"/>
      <c r="X3841" s="57"/>
    </row>
    <row r="3842" spans="1:24" hidden="1" x14ac:dyDescent="0.35">
      <c r="A3842">
        <v>3838</v>
      </c>
      <c r="B3842">
        <v>3839</v>
      </c>
      <c r="C3842">
        <v>146.080234899</v>
      </c>
      <c r="D3842">
        <v>-17.648063202100001</v>
      </c>
      <c r="G3842" s="92"/>
      <c r="I3842">
        <v>9</v>
      </c>
      <c r="J3842" t="s">
        <v>26</v>
      </c>
      <c r="K3842" s="57"/>
      <c r="S3842" s="57"/>
      <c r="X3842" s="57"/>
    </row>
    <row r="3843" spans="1:24" hidden="1" x14ac:dyDescent="0.35">
      <c r="A3843">
        <v>3839</v>
      </c>
      <c r="B3843">
        <v>3840</v>
      </c>
      <c r="C3843">
        <v>146.08027957799899</v>
      </c>
      <c r="D3843">
        <v>-17.648137466600001</v>
      </c>
      <c r="G3843" s="92"/>
      <c r="I3843">
        <v>9</v>
      </c>
      <c r="J3843" t="s">
        <v>26</v>
      </c>
      <c r="K3843" s="57"/>
      <c r="S3843" s="57"/>
      <c r="X3843" s="57"/>
    </row>
    <row r="3844" spans="1:24" hidden="1" x14ac:dyDescent="0.35">
      <c r="A3844">
        <v>3840</v>
      </c>
      <c r="B3844">
        <v>3841</v>
      </c>
      <c r="C3844">
        <v>146.08031083700001</v>
      </c>
      <c r="D3844">
        <v>-17.6482173176</v>
      </c>
      <c r="G3844" s="92"/>
      <c r="I3844">
        <v>9</v>
      </c>
      <c r="J3844" t="s">
        <v>26</v>
      </c>
      <c r="K3844" s="57"/>
      <c r="S3844" s="57"/>
      <c r="X3844" s="57"/>
    </row>
    <row r="3845" spans="1:24" hidden="1" x14ac:dyDescent="0.35">
      <c r="A3845">
        <v>3841</v>
      </c>
      <c r="B3845">
        <v>3842</v>
      </c>
      <c r="C3845">
        <v>146.080337649999</v>
      </c>
      <c r="D3845">
        <v>-17.648299019</v>
      </c>
      <c r="G3845" s="92"/>
      <c r="I3845">
        <v>9</v>
      </c>
      <c r="J3845" t="s">
        <v>26</v>
      </c>
      <c r="K3845" s="57"/>
      <c r="S3845" s="57"/>
      <c r="X3845" s="57"/>
    </row>
    <row r="3846" spans="1:24" hidden="1" x14ac:dyDescent="0.35">
      <c r="A3846">
        <v>3842</v>
      </c>
      <c r="B3846">
        <v>3843</v>
      </c>
      <c r="C3846">
        <v>146.080364462999</v>
      </c>
      <c r="D3846">
        <v>-17.648380720500001</v>
      </c>
      <c r="G3846" s="92"/>
      <c r="I3846">
        <v>9</v>
      </c>
      <c r="J3846" t="s">
        <v>26</v>
      </c>
      <c r="K3846" s="57"/>
      <c r="S3846" s="57"/>
      <c r="X3846" s="57"/>
    </row>
    <row r="3847" spans="1:24" hidden="1" x14ac:dyDescent="0.35">
      <c r="A3847">
        <v>3843</v>
      </c>
      <c r="B3847">
        <v>3844</v>
      </c>
      <c r="C3847">
        <v>146.08037828100001</v>
      </c>
      <c r="D3847">
        <v>-17.6484642823999</v>
      </c>
      <c r="G3847" s="92"/>
      <c r="I3847">
        <v>9</v>
      </c>
      <c r="J3847" t="s">
        <v>26</v>
      </c>
      <c r="K3847" s="57"/>
      <c r="S3847" s="57"/>
      <c r="X3847" s="57"/>
    </row>
    <row r="3848" spans="1:24" hidden="1" x14ac:dyDescent="0.35">
      <c r="A3848">
        <v>3844</v>
      </c>
      <c r="B3848">
        <v>3845</v>
      </c>
      <c r="C3848">
        <v>146.080377846</v>
      </c>
      <c r="D3848">
        <v>-17.648549885000001</v>
      </c>
      <c r="G3848" s="92"/>
      <c r="I3848">
        <v>9</v>
      </c>
      <c r="J3848" t="s">
        <v>26</v>
      </c>
      <c r="K3848" s="57"/>
      <c r="S3848" s="57"/>
      <c r="X3848" s="57"/>
    </row>
    <row r="3849" spans="1:24" hidden="1" x14ac:dyDescent="0.35">
      <c r="A3849">
        <v>3845</v>
      </c>
      <c r="B3849">
        <v>3846</v>
      </c>
      <c r="C3849">
        <v>146.080377411999</v>
      </c>
      <c r="D3849">
        <v>-17.648635487500002</v>
      </c>
      <c r="G3849" s="92"/>
      <c r="I3849">
        <v>9</v>
      </c>
      <c r="J3849" t="s">
        <v>26</v>
      </c>
      <c r="K3849" s="57"/>
      <c r="S3849" s="57"/>
      <c r="X3849" s="57"/>
    </row>
    <row r="3850" spans="1:24" hidden="1" x14ac:dyDescent="0.35">
      <c r="A3850">
        <v>3846</v>
      </c>
      <c r="B3850">
        <v>3847</v>
      </c>
      <c r="C3850">
        <v>146.08035410599899</v>
      </c>
      <c r="D3850">
        <v>-17.6487176627999</v>
      </c>
      <c r="G3850" s="92"/>
      <c r="I3850">
        <v>9</v>
      </c>
      <c r="J3850" t="s">
        <v>26</v>
      </c>
      <c r="K3850" s="57"/>
      <c r="S3850" s="57"/>
      <c r="X3850" s="57"/>
    </row>
    <row r="3851" spans="1:24" hidden="1" x14ac:dyDescent="0.35">
      <c r="A3851">
        <v>3847</v>
      </c>
      <c r="B3851">
        <v>3848</v>
      </c>
      <c r="C3851">
        <v>146.08032695</v>
      </c>
      <c r="D3851">
        <v>-17.648799261000001</v>
      </c>
      <c r="G3851" s="92"/>
      <c r="I3851">
        <v>9</v>
      </c>
      <c r="J3851" t="s">
        <v>26</v>
      </c>
      <c r="K3851" s="57"/>
      <c r="S3851" s="57"/>
      <c r="X3851" s="57"/>
    </row>
    <row r="3852" spans="1:24" hidden="1" x14ac:dyDescent="0.35">
      <c r="A3852">
        <v>3848</v>
      </c>
      <c r="B3852">
        <v>3849</v>
      </c>
      <c r="C3852">
        <v>146.080299792999</v>
      </c>
      <c r="D3852">
        <v>-17.648880859199899</v>
      </c>
      <c r="G3852" s="92"/>
      <c r="I3852">
        <v>9</v>
      </c>
      <c r="J3852" t="s">
        <v>26</v>
      </c>
      <c r="K3852" s="57"/>
      <c r="S3852" s="57"/>
      <c r="X3852" s="57"/>
    </row>
    <row r="3853" spans="1:24" hidden="1" x14ac:dyDescent="0.35">
      <c r="A3853">
        <v>3849</v>
      </c>
      <c r="B3853">
        <v>3850</v>
      </c>
      <c r="C3853">
        <v>146.08025766</v>
      </c>
      <c r="D3853">
        <v>-17.648954864899899</v>
      </c>
      <c r="G3853" s="92"/>
      <c r="I3853">
        <v>9</v>
      </c>
      <c r="J3853" t="s">
        <v>26</v>
      </c>
      <c r="K3853" s="57"/>
      <c r="S3853" s="57"/>
      <c r="X3853" s="57"/>
    </row>
    <row r="3854" spans="1:24" hidden="1" x14ac:dyDescent="0.35">
      <c r="A3854">
        <v>3850</v>
      </c>
      <c r="B3854">
        <v>3851</v>
      </c>
      <c r="C3854">
        <v>146.08020182600001</v>
      </c>
      <c r="D3854">
        <v>-17.649021925</v>
      </c>
      <c r="G3854" s="92"/>
      <c r="I3854">
        <v>9</v>
      </c>
      <c r="J3854" t="s">
        <v>26</v>
      </c>
      <c r="K3854" s="57"/>
      <c r="S3854" s="57"/>
      <c r="X3854" s="57"/>
    </row>
    <row r="3855" spans="1:24" hidden="1" x14ac:dyDescent="0.35">
      <c r="A3855">
        <v>3851</v>
      </c>
      <c r="B3855">
        <v>3852</v>
      </c>
      <c r="C3855">
        <v>146.08014599200001</v>
      </c>
      <c r="D3855">
        <v>-17.649088984900001</v>
      </c>
      <c r="G3855" s="92"/>
      <c r="I3855">
        <v>9</v>
      </c>
      <c r="J3855" t="s">
        <v>26</v>
      </c>
      <c r="K3855" s="57"/>
      <c r="S3855" s="57"/>
      <c r="X3855" s="57"/>
    </row>
    <row r="3856" spans="1:24" hidden="1" x14ac:dyDescent="0.35">
      <c r="A3856">
        <v>3852</v>
      </c>
      <c r="B3856">
        <v>3853</v>
      </c>
      <c r="C3856">
        <v>146.080090157999</v>
      </c>
      <c r="D3856">
        <v>-17.6491560449</v>
      </c>
      <c r="G3856" s="92"/>
      <c r="I3856">
        <v>9</v>
      </c>
      <c r="J3856" t="s">
        <v>26</v>
      </c>
      <c r="K3856" s="57"/>
      <c r="S3856" s="57"/>
      <c r="X3856" s="57"/>
    </row>
    <row r="3857" spans="1:24" hidden="1" x14ac:dyDescent="0.35">
      <c r="A3857">
        <v>3853</v>
      </c>
      <c r="B3857">
        <v>3854</v>
      </c>
      <c r="C3857">
        <v>146.080034323999</v>
      </c>
      <c r="D3857">
        <v>-17.649223104800001</v>
      </c>
      <c r="G3857" s="92"/>
      <c r="I3857">
        <v>9</v>
      </c>
      <c r="J3857" t="s">
        <v>26</v>
      </c>
      <c r="K3857" s="57"/>
      <c r="S3857" s="57"/>
      <c r="X3857" s="57"/>
    </row>
    <row r="3858" spans="1:24" hidden="1" x14ac:dyDescent="0.35">
      <c r="A3858">
        <v>3854</v>
      </c>
      <c r="B3858">
        <v>3855</v>
      </c>
      <c r="C3858">
        <v>146.07996717</v>
      </c>
      <c r="D3858">
        <v>-17.6492784747999</v>
      </c>
      <c r="G3858" s="92"/>
      <c r="I3858">
        <v>9</v>
      </c>
      <c r="J3858" t="s">
        <v>26</v>
      </c>
      <c r="K3858" s="57"/>
      <c r="S3858" s="57"/>
      <c r="X3858" s="57"/>
    </row>
    <row r="3859" spans="1:24" hidden="1" x14ac:dyDescent="0.35">
      <c r="A3859">
        <v>3855</v>
      </c>
      <c r="B3859">
        <v>3856</v>
      </c>
      <c r="C3859">
        <v>146.07989254500001</v>
      </c>
      <c r="D3859">
        <v>-17.6493261281</v>
      </c>
      <c r="G3859" s="92"/>
      <c r="I3859">
        <v>9</v>
      </c>
      <c r="J3859" t="s">
        <v>26</v>
      </c>
      <c r="K3859" s="57"/>
      <c r="S3859" s="57"/>
      <c r="X3859" s="57"/>
    </row>
    <row r="3860" spans="1:24" hidden="1" x14ac:dyDescent="0.35">
      <c r="A3860">
        <v>3856</v>
      </c>
      <c r="B3860">
        <v>3857</v>
      </c>
      <c r="C3860">
        <v>146.079817918999</v>
      </c>
      <c r="D3860">
        <v>-17.649373781400001</v>
      </c>
      <c r="G3860" s="92"/>
      <c r="I3860">
        <v>9</v>
      </c>
      <c r="J3860" t="s">
        <v>26</v>
      </c>
      <c r="K3860" s="57"/>
      <c r="S3860" s="57"/>
      <c r="X3860" s="57"/>
    </row>
    <row r="3861" spans="1:24" hidden="1" x14ac:dyDescent="0.35">
      <c r="A3861">
        <v>3857</v>
      </c>
      <c r="B3861">
        <v>3858</v>
      </c>
      <c r="C3861">
        <v>146.07974329300001</v>
      </c>
      <c r="D3861">
        <v>-17.649421434600001</v>
      </c>
      <c r="G3861" s="92"/>
      <c r="I3861">
        <v>9</v>
      </c>
      <c r="J3861" t="s">
        <v>26</v>
      </c>
      <c r="K3861" s="57"/>
      <c r="S3861" s="57"/>
      <c r="X3861" s="57"/>
    </row>
    <row r="3862" spans="1:24" hidden="1" x14ac:dyDescent="0.35">
      <c r="A3862">
        <v>3858</v>
      </c>
      <c r="B3862">
        <v>3859</v>
      </c>
      <c r="C3862">
        <v>146.079659429</v>
      </c>
      <c r="D3862">
        <v>-17.649448531000001</v>
      </c>
      <c r="G3862" s="92"/>
      <c r="I3862">
        <v>9</v>
      </c>
      <c r="J3862" t="s">
        <v>26</v>
      </c>
      <c r="K3862" s="57"/>
      <c r="S3862" s="57"/>
      <c r="X3862" s="57"/>
    </row>
    <row r="3863" spans="1:24" hidden="1" x14ac:dyDescent="0.35">
      <c r="A3863">
        <v>3859</v>
      </c>
      <c r="B3863">
        <v>3860</v>
      </c>
      <c r="C3863">
        <v>146.079571740999</v>
      </c>
      <c r="D3863">
        <v>-17.6494671172</v>
      </c>
      <c r="G3863" s="92"/>
      <c r="I3863">
        <v>9</v>
      </c>
      <c r="J3863" t="s">
        <v>26</v>
      </c>
      <c r="K3863" s="57"/>
      <c r="S3863" s="57"/>
      <c r="X3863" s="57"/>
    </row>
    <row r="3864" spans="1:24" hidden="1" x14ac:dyDescent="0.35">
      <c r="A3864">
        <v>3860</v>
      </c>
      <c r="B3864">
        <v>3861</v>
      </c>
      <c r="C3864">
        <v>146.079484051999</v>
      </c>
      <c r="D3864">
        <v>-17.6494857034</v>
      </c>
      <c r="G3864" s="92"/>
      <c r="I3864">
        <v>9</v>
      </c>
      <c r="J3864" t="s">
        <v>26</v>
      </c>
      <c r="K3864" s="57"/>
      <c r="S3864" s="57"/>
      <c r="X3864" s="57"/>
    </row>
    <row r="3865" spans="1:24" hidden="1" x14ac:dyDescent="0.35">
      <c r="A3865">
        <v>3861</v>
      </c>
      <c r="B3865">
        <v>3862</v>
      </c>
      <c r="C3865">
        <v>146.079396363999</v>
      </c>
      <c r="D3865">
        <v>-17.6495042895999</v>
      </c>
      <c r="G3865" s="92"/>
      <c r="I3865">
        <v>9</v>
      </c>
      <c r="J3865" t="s">
        <v>26</v>
      </c>
      <c r="K3865" s="57"/>
      <c r="S3865" s="57"/>
      <c r="X3865" s="57"/>
    </row>
    <row r="3866" spans="1:24" hidden="1" x14ac:dyDescent="0.35">
      <c r="A3866">
        <v>3862</v>
      </c>
      <c r="B3866">
        <v>3863</v>
      </c>
      <c r="C3866">
        <v>146.079308674999</v>
      </c>
      <c r="D3866">
        <v>-17.649522875799899</v>
      </c>
      <c r="G3866" s="92"/>
      <c r="I3866">
        <v>9</v>
      </c>
      <c r="J3866" t="s">
        <v>26</v>
      </c>
      <c r="K3866" s="57"/>
      <c r="S3866" s="57"/>
      <c r="X3866" s="57"/>
    </row>
    <row r="3867" spans="1:24" hidden="1" x14ac:dyDescent="0.35">
      <c r="A3867">
        <v>3863</v>
      </c>
      <c r="B3867">
        <v>3864</v>
      </c>
      <c r="C3867">
        <v>146.079220257999</v>
      </c>
      <c r="D3867">
        <v>-17.6495329523</v>
      </c>
      <c r="G3867" s="92"/>
      <c r="I3867">
        <v>9</v>
      </c>
      <c r="J3867" t="s">
        <v>26</v>
      </c>
      <c r="K3867" s="57"/>
      <c r="S3867" s="57"/>
      <c r="X3867" s="57"/>
    </row>
    <row r="3868" spans="1:24" hidden="1" x14ac:dyDescent="0.35">
      <c r="A3868">
        <v>3864</v>
      </c>
      <c r="B3868">
        <v>3865</v>
      </c>
      <c r="C3868">
        <v>146.079130566999</v>
      </c>
      <c r="D3868">
        <v>-17.649528159500001</v>
      </c>
      <c r="G3868" s="92"/>
      <c r="I3868">
        <v>9</v>
      </c>
      <c r="J3868" t="s">
        <v>26</v>
      </c>
      <c r="K3868" s="57"/>
      <c r="S3868" s="57"/>
      <c r="X3868" s="57"/>
    </row>
    <row r="3869" spans="1:24" hidden="1" x14ac:dyDescent="0.35">
      <c r="A3869">
        <v>3865</v>
      </c>
      <c r="B3869">
        <v>3866</v>
      </c>
      <c r="C3869">
        <v>146.079040875999</v>
      </c>
      <c r="D3869">
        <v>-17.649523366699899</v>
      </c>
      <c r="G3869" s="92"/>
      <c r="I3869">
        <v>9</v>
      </c>
      <c r="J3869" t="s">
        <v>26</v>
      </c>
      <c r="K3869" s="57"/>
      <c r="S3869" s="57"/>
      <c r="X3869" s="57"/>
    </row>
    <row r="3870" spans="1:24" hidden="1" x14ac:dyDescent="0.35">
      <c r="A3870">
        <v>3866</v>
      </c>
      <c r="B3870">
        <v>3867</v>
      </c>
      <c r="C3870">
        <v>146.07895118600001</v>
      </c>
      <c r="D3870">
        <v>-17.6495185739</v>
      </c>
      <c r="G3870" s="92"/>
      <c r="I3870">
        <v>9</v>
      </c>
      <c r="J3870" t="s">
        <v>26</v>
      </c>
      <c r="K3870" s="57"/>
      <c r="S3870" s="57"/>
      <c r="X3870" s="57"/>
    </row>
    <row r="3871" spans="1:24" hidden="1" x14ac:dyDescent="0.35">
      <c r="A3871">
        <v>3867</v>
      </c>
      <c r="B3871">
        <v>3868</v>
      </c>
      <c r="C3871">
        <v>146.07886297900001</v>
      </c>
      <c r="D3871">
        <v>-17.6495037788</v>
      </c>
      <c r="G3871" s="92"/>
      <c r="I3871">
        <v>9</v>
      </c>
      <c r="J3871" t="s">
        <v>26</v>
      </c>
      <c r="K3871" s="57"/>
      <c r="S3871" s="57"/>
      <c r="X3871" s="57"/>
    </row>
    <row r="3872" spans="1:24" hidden="1" x14ac:dyDescent="0.35">
      <c r="A3872">
        <v>3868</v>
      </c>
      <c r="B3872">
        <v>3869</v>
      </c>
      <c r="C3872">
        <v>146.078775409</v>
      </c>
      <c r="D3872">
        <v>-17.6494846913</v>
      </c>
      <c r="G3872" s="92"/>
      <c r="I3872">
        <v>9</v>
      </c>
      <c r="J3872" t="s">
        <v>26</v>
      </c>
      <c r="K3872" s="57"/>
      <c r="S3872" s="57"/>
      <c r="X3872" s="57"/>
    </row>
    <row r="3873" spans="1:24" hidden="1" x14ac:dyDescent="0.35">
      <c r="A3873">
        <v>3869</v>
      </c>
      <c r="B3873">
        <v>3870</v>
      </c>
      <c r="C3873">
        <v>146.078687838999</v>
      </c>
      <c r="D3873">
        <v>-17.6494656038</v>
      </c>
      <c r="G3873" s="92"/>
      <c r="I3873">
        <v>9</v>
      </c>
      <c r="J3873" t="s">
        <v>26</v>
      </c>
      <c r="K3873" s="57"/>
      <c r="S3873" s="57"/>
      <c r="X3873" s="57"/>
    </row>
    <row r="3874" spans="1:24" hidden="1" x14ac:dyDescent="0.35">
      <c r="A3874">
        <v>3870</v>
      </c>
      <c r="B3874">
        <v>3871</v>
      </c>
      <c r="C3874">
        <v>146.078600268999</v>
      </c>
      <c r="D3874">
        <v>-17.6494465162999</v>
      </c>
      <c r="G3874" s="92"/>
      <c r="I3874">
        <v>9</v>
      </c>
      <c r="J3874" t="s">
        <v>26</v>
      </c>
      <c r="K3874" s="57"/>
      <c r="S3874" s="57"/>
      <c r="X3874" s="57"/>
    </row>
    <row r="3875" spans="1:24" hidden="1" x14ac:dyDescent="0.35">
      <c r="A3875">
        <v>3871</v>
      </c>
      <c r="B3875">
        <v>3872</v>
      </c>
      <c r="C3875">
        <v>146.07851269899899</v>
      </c>
      <c r="D3875">
        <v>-17.6494274287999</v>
      </c>
      <c r="G3875" s="92"/>
      <c r="I3875">
        <v>9</v>
      </c>
      <c r="J3875" t="s">
        <v>26</v>
      </c>
      <c r="K3875" s="57"/>
      <c r="S3875" s="57"/>
      <c r="X3875" s="57"/>
    </row>
    <row r="3876" spans="1:24" hidden="1" x14ac:dyDescent="0.35">
      <c r="A3876">
        <v>3872</v>
      </c>
      <c r="B3876">
        <v>3873</v>
      </c>
      <c r="C3876">
        <v>146.078425129999</v>
      </c>
      <c r="D3876">
        <v>-17.6494083412999</v>
      </c>
      <c r="G3876" s="92"/>
      <c r="I3876">
        <v>9</v>
      </c>
      <c r="J3876" t="s">
        <v>26</v>
      </c>
      <c r="K3876" s="57"/>
      <c r="S3876" s="57"/>
      <c r="X3876" s="57"/>
    </row>
    <row r="3877" spans="1:24" hidden="1" x14ac:dyDescent="0.35">
      <c r="A3877">
        <v>3873</v>
      </c>
      <c r="B3877">
        <v>3874</v>
      </c>
      <c r="C3877">
        <v>146.078337559999</v>
      </c>
      <c r="D3877">
        <v>-17.6493892537999</v>
      </c>
      <c r="G3877" s="92"/>
      <c r="I3877">
        <v>9</v>
      </c>
      <c r="J3877" t="s">
        <v>26</v>
      </c>
      <c r="K3877" s="57"/>
      <c r="S3877" s="57"/>
      <c r="X3877" s="57"/>
    </row>
    <row r="3878" spans="1:24" hidden="1" x14ac:dyDescent="0.35">
      <c r="A3878">
        <v>3874</v>
      </c>
      <c r="B3878">
        <v>3875</v>
      </c>
      <c r="C3878">
        <v>146.078248204999</v>
      </c>
      <c r="D3878">
        <v>-17.649382341700001</v>
      </c>
      <c r="G3878" s="92"/>
      <c r="I3878">
        <v>9</v>
      </c>
      <c r="J3878" t="s">
        <v>26</v>
      </c>
      <c r="K3878" s="57"/>
      <c r="S3878" s="57"/>
      <c r="X3878" s="57"/>
    </row>
    <row r="3879" spans="1:24" hidden="1" x14ac:dyDescent="0.35">
      <c r="A3879">
        <v>3875</v>
      </c>
      <c r="B3879">
        <v>3876</v>
      </c>
      <c r="C3879">
        <v>146.078158497999</v>
      </c>
      <c r="D3879">
        <v>-17.6493778255</v>
      </c>
      <c r="G3879" s="92"/>
      <c r="I3879">
        <v>9</v>
      </c>
      <c r="J3879" t="s">
        <v>26</v>
      </c>
      <c r="K3879" s="57"/>
      <c r="S3879" s="57"/>
      <c r="X3879" s="57"/>
    </row>
    <row r="3880" spans="1:24" hidden="1" x14ac:dyDescent="0.35">
      <c r="A3880">
        <v>3876</v>
      </c>
      <c r="B3880">
        <v>3877</v>
      </c>
      <c r="C3880">
        <v>146.078069185</v>
      </c>
      <c r="D3880">
        <v>-17.649370400799899</v>
      </c>
      <c r="G3880" s="92"/>
      <c r="I3880">
        <v>9</v>
      </c>
      <c r="J3880" t="s">
        <v>26</v>
      </c>
      <c r="K3880" s="57"/>
      <c r="S3880" s="57"/>
      <c r="X3880" s="57"/>
    </row>
    <row r="3881" spans="1:24" hidden="1" x14ac:dyDescent="0.35">
      <c r="A3881">
        <v>3877</v>
      </c>
      <c r="B3881">
        <v>3878</v>
      </c>
      <c r="C3881">
        <v>146.077997084999</v>
      </c>
      <c r="D3881">
        <v>-17.649335540100001</v>
      </c>
      <c r="G3881" s="92"/>
      <c r="I3881">
        <v>9</v>
      </c>
      <c r="J3881" t="s">
        <v>26</v>
      </c>
      <c r="K3881" s="57"/>
      <c r="S3881" s="57"/>
      <c r="X3881" s="57"/>
    </row>
    <row r="3882" spans="1:24" hidden="1" x14ac:dyDescent="0.35">
      <c r="A3882">
        <v>3878</v>
      </c>
      <c r="B3882">
        <v>3879</v>
      </c>
      <c r="C3882">
        <v>146.07801435100001</v>
      </c>
      <c r="D3882">
        <v>-17.649259341200001</v>
      </c>
      <c r="G3882" s="92"/>
      <c r="I3882">
        <v>9</v>
      </c>
      <c r="J3882" t="s">
        <v>26</v>
      </c>
      <c r="K3882" s="57"/>
      <c r="S3882" s="57"/>
      <c r="X3882" s="57"/>
    </row>
    <row r="3883" spans="1:24" hidden="1" x14ac:dyDescent="0.35">
      <c r="A3883">
        <v>3879</v>
      </c>
      <c r="B3883">
        <v>3880</v>
      </c>
      <c r="C3883">
        <v>146.07801284499899</v>
      </c>
      <c r="D3883">
        <v>-17.6491852401</v>
      </c>
      <c r="G3883" s="92"/>
      <c r="I3883">
        <v>9</v>
      </c>
      <c r="J3883" t="s">
        <v>26</v>
      </c>
      <c r="K3883" s="57"/>
      <c r="S3883" s="57"/>
      <c r="X3883" s="57"/>
    </row>
    <row r="3884" spans="1:24" hidden="1" x14ac:dyDescent="0.35">
      <c r="A3884">
        <v>3880</v>
      </c>
      <c r="B3884">
        <v>3881</v>
      </c>
      <c r="C3884">
        <v>146.077944922</v>
      </c>
      <c r="D3884">
        <v>-17.6491329611999</v>
      </c>
      <c r="G3884" s="92"/>
      <c r="I3884">
        <v>9</v>
      </c>
      <c r="J3884" t="s">
        <v>26</v>
      </c>
      <c r="K3884" s="57"/>
      <c r="S3884" s="57"/>
      <c r="X3884" s="57"/>
    </row>
    <row r="3885" spans="1:24" hidden="1" x14ac:dyDescent="0.35">
      <c r="A3885">
        <v>3881</v>
      </c>
      <c r="B3885">
        <v>3882</v>
      </c>
      <c r="C3885">
        <v>146.07786344900001</v>
      </c>
      <c r="D3885">
        <v>-17.649097258600001</v>
      </c>
      <c r="G3885" s="92"/>
      <c r="I3885">
        <v>9</v>
      </c>
      <c r="J3885" t="s">
        <v>26</v>
      </c>
      <c r="K3885" s="57"/>
      <c r="S3885" s="57"/>
      <c r="X3885" s="57"/>
    </row>
    <row r="3886" spans="1:24" hidden="1" x14ac:dyDescent="0.35">
      <c r="A3886">
        <v>3882</v>
      </c>
      <c r="B3886">
        <v>3883</v>
      </c>
      <c r="C3886">
        <v>146.077778864999</v>
      </c>
      <c r="D3886">
        <v>-17.649068430300002</v>
      </c>
      <c r="G3886" s="92"/>
      <c r="I3886">
        <v>9</v>
      </c>
      <c r="J3886" t="s">
        <v>26</v>
      </c>
      <c r="K3886" s="57"/>
      <c r="S3886" s="57"/>
      <c r="X3886" s="57"/>
    </row>
    <row r="3887" spans="1:24" hidden="1" x14ac:dyDescent="0.35">
      <c r="A3887">
        <v>3883</v>
      </c>
      <c r="B3887">
        <v>3884</v>
      </c>
      <c r="C3887">
        <v>146.077694280999</v>
      </c>
      <c r="D3887">
        <v>-17.649039601999899</v>
      </c>
      <c r="G3887" s="92"/>
      <c r="I3887">
        <v>9</v>
      </c>
      <c r="J3887" t="s">
        <v>26</v>
      </c>
      <c r="K3887" s="57"/>
      <c r="S3887" s="57"/>
      <c r="X3887" s="57"/>
    </row>
    <row r="3888" spans="1:24" hidden="1" x14ac:dyDescent="0.35">
      <c r="A3888">
        <v>3884</v>
      </c>
      <c r="B3888">
        <v>3885</v>
      </c>
      <c r="C3888">
        <v>146.07760921900001</v>
      </c>
      <c r="D3888">
        <v>-17.649012094100001</v>
      </c>
      <c r="G3888" s="92"/>
      <c r="I3888">
        <v>9</v>
      </c>
      <c r="J3888" t="s">
        <v>26</v>
      </c>
      <c r="K3888" s="57"/>
      <c r="S3888" s="57"/>
      <c r="X3888" s="57"/>
    </row>
    <row r="3889" spans="1:24" hidden="1" x14ac:dyDescent="0.35">
      <c r="A3889">
        <v>3885</v>
      </c>
      <c r="B3889">
        <v>3886</v>
      </c>
      <c r="C3889">
        <v>146.077523936999</v>
      </c>
      <c r="D3889">
        <v>-17.648985198199899</v>
      </c>
      <c r="G3889" s="92"/>
      <c r="I3889">
        <v>9</v>
      </c>
      <c r="J3889" t="s">
        <v>26</v>
      </c>
      <c r="K3889" s="57"/>
      <c r="S3889" s="57"/>
      <c r="X3889" s="57"/>
    </row>
    <row r="3890" spans="1:24" hidden="1" x14ac:dyDescent="0.35">
      <c r="A3890">
        <v>3886</v>
      </c>
      <c r="B3890">
        <v>3887</v>
      </c>
      <c r="C3890">
        <v>146.07743658800001</v>
      </c>
      <c r="D3890">
        <v>-17.6489688471999</v>
      </c>
      <c r="G3890" s="92"/>
      <c r="I3890">
        <v>9</v>
      </c>
      <c r="J3890" t="s">
        <v>26</v>
      </c>
      <c r="K3890" s="57"/>
      <c r="S3890" s="57"/>
      <c r="X3890" s="57"/>
    </row>
    <row r="3891" spans="1:24" hidden="1" x14ac:dyDescent="0.35">
      <c r="A3891">
        <v>3887</v>
      </c>
      <c r="B3891">
        <v>3888</v>
      </c>
      <c r="C3891">
        <v>146.07734686699899</v>
      </c>
      <c r="D3891">
        <v>-17.6489646034</v>
      </c>
      <c r="G3891" s="92"/>
      <c r="I3891">
        <v>9</v>
      </c>
      <c r="J3891" t="s">
        <v>26</v>
      </c>
      <c r="K3891" s="57"/>
      <c r="S3891" s="57"/>
      <c r="X3891" s="57"/>
    </row>
    <row r="3892" spans="1:24" hidden="1" x14ac:dyDescent="0.35">
      <c r="A3892">
        <v>3888</v>
      </c>
      <c r="B3892">
        <v>3889</v>
      </c>
      <c r="C3892">
        <v>146.077257145999</v>
      </c>
      <c r="D3892">
        <v>-17.648960359699899</v>
      </c>
      <c r="G3892" s="92"/>
      <c r="I3892">
        <v>9</v>
      </c>
      <c r="J3892" t="s">
        <v>26</v>
      </c>
      <c r="K3892" s="57"/>
      <c r="S3892" s="57"/>
      <c r="X3892" s="57"/>
    </row>
    <row r="3893" spans="1:24" hidden="1" x14ac:dyDescent="0.35">
      <c r="A3893">
        <v>3889</v>
      </c>
      <c r="B3893">
        <v>3890</v>
      </c>
      <c r="C3893">
        <v>146.077168943</v>
      </c>
      <c r="D3893">
        <v>-17.648972085</v>
      </c>
      <c r="G3893" s="92"/>
      <c r="I3893">
        <v>9</v>
      </c>
      <c r="J3893" t="s">
        <v>26</v>
      </c>
      <c r="K3893" s="57"/>
      <c r="S3893" s="57"/>
      <c r="X3893" s="57"/>
    </row>
    <row r="3894" spans="1:24" hidden="1" x14ac:dyDescent="0.35">
      <c r="A3894">
        <v>3890</v>
      </c>
      <c r="B3894">
        <v>3891</v>
      </c>
      <c r="C3894">
        <v>146.07708819600001</v>
      </c>
      <c r="D3894">
        <v>-17.649003985299899</v>
      </c>
      <c r="G3894" s="92"/>
      <c r="I3894">
        <v>9</v>
      </c>
      <c r="J3894" t="s">
        <v>26</v>
      </c>
      <c r="K3894" s="57"/>
      <c r="S3894" s="57"/>
      <c r="X3894" s="57"/>
    </row>
    <row r="3895" spans="1:24" hidden="1" x14ac:dyDescent="0.35">
      <c r="A3895">
        <v>3891</v>
      </c>
      <c r="B3895">
        <v>3892</v>
      </c>
      <c r="C3895">
        <v>146.077028651999</v>
      </c>
      <c r="D3895">
        <v>-17.6490675219999</v>
      </c>
      <c r="G3895" s="92"/>
      <c r="I3895">
        <v>9</v>
      </c>
      <c r="J3895" t="s">
        <v>26</v>
      </c>
      <c r="K3895" s="57"/>
      <c r="S3895" s="57"/>
      <c r="X3895" s="57"/>
    </row>
    <row r="3896" spans="1:24" hidden="1" x14ac:dyDescent="0.35">
      <c r="A3896">
        <v>3892</v>
      </c>
      <c r="B3896">
        <v>3893</v>
      </c>
      <c r="C3896">
        <v>146.076943008999</v>
      </c>
      <c r="D3896">
        <v>-17.649061192400001</v>
      </c>
      <c r="G3896" s="92"/>
      <c r="I3896">
        <v>9</v>
      </c>
      <c r="J3896" t="s">
        <v>26</v>
      </c>
      <c r="K3896" s="57"/>
      <c r="S3896" s="57"/>
      <c r="X3896" s="57"/>
    </row>
    <row r="3897" spans="1:24" hidden="1" x14ac:dyDescent="0.35">
      <c r="A3897">
        <v>3893</v>
      </c>
      <c r="B3897">
        <v>3894</v>
      </c>
      <c r="C3897">
        <v>146.076867931999</v>
      </c>
      <c r="D3897">
        <v>-17.649014405500001</v>
      </c>
      <c r="G3897" s="92"/>
      <c r="I3897">
        <v>9</v>
      </c>
      <c r="J3897" t="s">
        <v>26</v>
      </c>
      <c r="K3897" s="57"/>
      <c r="S3897" s="57"/>
      <c r="X3897" s="57"/>
    </row>
    <row r="3898" spans="1:24" hidden="1" x14ac:dyDescent="0.35">
      <c r="A3898">
        <v>3894</v>
      </c>
      <c r="B3898">
        <v>3895</v>
      </c>
      <c r="C3898">
        <v>146.07680036900001</v>
      </c>
      <c r="D3898">
        <v>-17.648957989300001</v>
      </c>
      <c r="G3898" s="92"/>
      <c r="I3898">
        <v>9</v>
      </c>
      <c r="J3898" t="s">
        <v>26</v>
      </c>
      <c r="K3898" s="57"/>
      <c r="S3898" s="57"/>
      <c r="X3898" s="57"/>
    </row>
    <row r="3899" spans="1:24" hidden="1" x14ac:dyDescent="0.35">
      <c r="A3899">
        <v>3895</v>
      </c>
      <c r="B3899">
        <v>3896</v>
      </c>
      <c r="C3899">
        <v>146.076740526999</v>
      </c>
      <c r="D3899">
        <v>-17.6488942499</v>
      </c>
      <c r="G3899" s="92"/>
      <c r="I3899">
        <v>9</v>
      </c>
      <c r="J3899" t="s">
        <v>26</v>
      </c>
      <c r="K3899" s="57"/>
      <c r="S3899" s="57"/>
      <c r="X3899" s="57"/>
    </row>
    <row r="3900" spans="1:24" hidden="1" x14ac:dyDescent="0.35">
      <c r="A3900">
        <v>3896</v>
      </c>
      <c r="B3900">
        <v>3897</v>
      </c>
      <c r="C3900">
        <v>146.076681632</v>
      </c>
      <c r="D3900">
        <v>-17.6488296106</v>
      </c>
      <c r="G3900" s="92"/>
      <c r="I3900">
        <v>9</v>
      </c>
      <c r="J3900" t="s">
        <v>26</v>
      </c>
      <c r="K3900" s="57"/>
      <c r="S3900" s="57"/>
      <c r="X3900" s="57"/>
    </row>
    <row r="3901" spans="1:24" hidden="1" x14ac:dyDescent="0.35">
      <c r="A3901">
        <v>3897</v>
      </c>
      <c r="B3901">
        <v>3898</v>
      </c>
      <c r="C3901">
        <v>146.076615051999</v>
      </c>
      <c r="D3901">
        <v>-17.6487725014</v>
      </c>
      <c r="G3901" s="92"/>
      <c r="I3901">
        <v>9</v>
      </c>
      <c r="J3901" t="s">
        <v>26</v>
      </c>
      <c r="K3901" s="57"/>
      <c r="S3901" s="57"/>
      <c r="X3901" s="57"/>
    </row>
    <row r="3902" spans="1:24" hidden="1" x14ac:dyDescent="0.35">
      <c r="A3902">
        <v>3898</v>
      </c>
      <c r="B3902">
        <v>3899</v>
      </c>
      <c r="C3902">
        <v>146.07654561499899</v>
      </c>
      <c r="D3902">
        <v>-17.6487181904</v>
      </c>
      <c r="G3902" s="92"/>
      <c r="I3902">
        <v>9</v>
      </c>
      <c r="J3902" t="s">
        <v>26</v>
      </c>
      <c r="K3902" s="57"/>
      <c r="S3902" s="57"/>
      <c r="X3902" s="57"/>
    </row>
    <row r="3903" spans="1:24" hidden="1" x14ac:dyDescent="0.35">
      <c r="A3903">
        <v>3899</v>
      </c>
      <c r="B3903">
        <v>3900</v>
      </c>
      <c r="C3903">
        <v>146.07646846200001</v>
      </c>
      <c r="D3903">
        <v>-17.648675518000001</v>
      </c>
      <c r="G3903" s="92"/>
      <c r="I3903">
        <v>9</v>
      </c>
      <c r="J3903" t="s">
        <v>26</v>
      </c>
      <c r="K3903" s="57"/>
      <c r="S3903" s="57"/>
      <c r="X3903" s="57"/>
    </row>
    <row r="3904" spans="1:24" hidden="1" x14ac:dyDescent="0.35">
      <c r="A3904">
        <v>3900</v>
      </c>
      <c r="B3904">
        <v>3901</v>
      </c>
      <c r="C3904">
        <v>146.076387173</v>
      </c>
      <c r="D3904">
        <v>-17.648639083900001</v>
      </c>
      <c r="G3904" s="92"/>
      <c r="I3904">
        <v>9</v>
      </c>
      <c r="J3904" t="s">
        <v>26</v>
      </c>
      <c r="K3904" s="57"/>
      <c r="S3904" s="57"/>
      <c r="X3904" s="57"/>
    </row>
    <row r="3905" spans="1:24" hidden="1" x14ac:dyDescent="0.35">
      <c r="A3905">
        <v>3901</v>
      </c>
      <c r="B3905">
        <v>3902</v>
      </c>
      <c r="C3905">
        <v>146.076302822999</v>
      </c>
      <c r="D3905">
        <v>-17.648609787600002</v>
      </c>
      <c r="G3905" s="92"/>
      <c r="I3905">
        <v>9</v>
      </c>
      <c r="J3905" t="s">
        <v>26</v>
      </c>
      <c r="K3905" s="57"/>
      <c r="S3905" s="57"/>
      <c r="X3905" s="57"/>
    </row>
    <row r="3906" spans="1:24" hidden="1" x14ac:dyDescent="0.35">
      <c r="A3906">
        <v>3902</v>
      </c>
      <c r="B3906">
        <v>3903</v>
      </c>
      <c r="C3906">
        <v>146.07621802700001</v>
      </c>
      <c r="D3906">
        <v>-17.6485815299</v>
      </c>
      <c r="G3906" s="92"/>
      <c r="I3906">
        <v>9</v>
      </c>
      <c r="J3906" t="s">
        <v>26</v>
      </c>
      <c r="K3906" s="57"/>
      <c r="S3906" s="57"/>
      <c r="X3906" s="57"/>
    </row>
    <row r="3907" spans="1:24" hidden="1" x14ac:dyDescent="0.35">
      <c r="A3907">
        <v>3903</v>
      </c>
      <c r="B3907">
        <v>3904</v>
      </c>
      <c r="C3907">
        <v>146.07613131599899</v>
      </c>
      <c r="D3907">
        <v>-17.6485638577999</v>
      </c>
      <c r="G3907" s="92"/>
      <c r="I3907">
        <v>9</v>
      </c>
      <c r="J3907" t="s">
        <v>26</v>
      </c>
      <c r="K3907" s="57"/>
      <c r="S3907" s="57"/>
      <c r="X3907" s="57"/>
    </row>
    <row r="3908" spans="1:24" hidden="1" x14ac:dyDescent="0.35">
      <c r="A3908">
        <v>3904</v>
      </c>
      <c r="B3908">
        <v>3905</v>
      </c>
      <c r="C3908">
        <v>146.07604148600001</v>
      </c>
      <c r="D3908">
        <v>-17.648563436300002</v>
      </c>
      <c r="G3908" s="92"/>
      <c r="I3908">
        <v>9</v>
      </c>
      <c r="J3908" t="s">
        <v>26</v>
      </c>
      <c r="K3908" s="57"/>
      <c r="S3908" s="57"/>
      <c r="X3908" s="57"/>
    </row>
    <row r="3909" spans="1:24" hidden="1" x14ac:dyDescent="0.35">
      <c r="A3909">
        <v>3905</v>
      </c>
      <c r="B3909">
        <v>3906</v>
      </c>
      <c r="C3909">
        <v>146.07595231400001</v>
      </c>
      <c r="D3909">
        <v>-17.648570192000001</v>
      </c>
      <c r="G3909" s="92"/>
      <c r="I3909">
        <v>9</v>
      </c>
      <c r="J3909" t="s">
        <v>26</v>
      </c>
      <c r="K3909" s="57"/>
      <c r="S3909" s="57"/>
      <c r="X3909" s="57"/>
    </row>
    <row r="3910" spans="1:24" hidden="1" x14ac:dyDescent="0.35">
      <c r="A3910">
        <v>3906</v>
      </c>
      <c r="B3910">
        <v>3907</v>
      </c>
      <c r="C3910">
        <v>146.075863921999</v>
      </c>
      <c r="D3910">
        <v>-17.648585457700001</v>
      </c>
      <c r="G3910" s="92"/>
      <c r="I3910">
        <v>9</v>
      </c>
      <c r="J3910" t="s">
        <v>26</v>
      </c>
      <c r="K3910" s="57"/>
      <c r="S3910" s="57"/>
      <c r="X3910" s="57"/>
    </row>
    <row r="3911" spans="1:24" hidden="1" x14ac:dyDescent="0.35">
      <c r="A3911">
        <v>3907</v>
      </c>
      <c r="B3911">
        <v>3908</v>
      </c>
      <c r="C3911">
        <v>146.07577552999899</v>
      </c>
      <c r="D3911">
        <v>-17.648600723400001</v>
      </c>
      <c r="G3911" s="92"/>
      <c r="I3911">
        <v>9</v>
      </c>
      <c r="J3911" t="s">
        <v>26</v>
      </c>
      <c r="K3911" s="57"/>
      <c r="S3911" s="57"/>
      <c r="X3911" s="57"/>
    </row>
    <row r="3912" spans="1:24" hidden="1" x14ac:dyDescent="0.35">
      <c r="A3912">
        <v>3908</v>
      </c>
      <c r="B3912">
        <v>3909</v>
      </c>
      <c r="C3912">
        <v>146.075687283999</v>
      </c>
      <c r="D3912">
        <v>-17.648616541500001</v>
      </c>
      <c r="G3912" s="92"/>
      <c r="I3912">
        <v>9</v>
      </c>
      <c r="J3912" t="s">
        <v>26</v>
      </c>
      <c r="K3912" s="57"/>
      <c r="S3912" s="57"/>
      <c r="X3912" s="57"/>
    </row>
    <row r="3913" spans="1:24" hidden="1" x14ac:dyDescent="0.35">
      <c r="A3913">
        <v>3909</v>
      </c>
      <c r="B3913">
        <v>3910</v>
      </c>
      <c r="C3913">
        <v>146.075601747999</v>
      </c>
      <c r="D3913">
        <v>-17.648642696</v>
      </c>
      <c r="G3913" s="92"/>
      <c r="I3913">
        <v>9</v>
      </c>
      <c r="J3913" t="s">
        <v>26</v>
      </c>
      <c r="K3913" s="57"/>
      <c r="S3913" s="57"/>
      <c r="X3913" s="57"/>
    </row>
    <row r="3914" spans="1:24" hidden="1" x14ac:dyDescent="0.35">
      <c r="A3914">
        <v>3910</v>
      </c>
      <c r="B3914">
        <v>3911</v>
      </c>
      <c r="C3914">
        <v>146.075516211999</v>
      </c>
      <c r="D3914">
        <v>-17.648668850899899</v>
      </c>
      <c r="G3914" s="92"/>
      <c r="I3914">
        <v>9</v>
      </c>
      <c r="J3914" t="s">
        <v>26</v>
      </c>
      <c r="K3914" s="57"/>
      <c r="S3914" s="57"/>
      <c r="X3914" s="57"/>
    </row>
    <row r="3915" spans="1:24" hidden="1" x14ac:dyDescent="0.35">
      <c r="A3915">
        <v>3911</v>
      </c>
      <c r="B3915">
        <v>3912</v>
      </c>
      <c r="C3915">
        <v>146.075443035999</v>
      </c>
      <c r="D3915">
        <v>-17.648715245599899</v>
      </c>
      <c r="G3915" s="92"/>
      <c r="I3915">
        <v>9</v>
      </c>
      <c r="J3915" t="s">
        <v>26</v>
      </c>
      <c r="K3915" s="57"/>
      <c r="S3915" s="57"/>
      <c r="X3915" s="57"/>
    </row>
    <row r="3916" spans="1:24" hidden="1" x14ac:dyDescent="0.35">
      <c r="A3916">
        <v>3912</v>
      </c>
      <c r="B3916">
        <v>3913</v>
      </c>
      <c r="C3916">
        <v>146.075381991</v>
      </c>
      <c r="D3916">
        <v>-17.648777742299899</v>
      </c>
      <c r="G3916" s="92"/>
      <c r="I3916">
        <v>9</v>
      </c>
      <c r="J3916" t="s">
        <v>26</v>
      </c>
      <c r="K3916" s="57"/>
      <c r="S3916" s="57"/>
      <c r="X3916" s="57"/>
    </row>
    <row r="3917" spans="1:24" hidden="1" x14ac:dyDescent="0.35">
      <c r="A3917">
        <v>3913</v>
      </c>
      <c r="B3917">
        <v>3914</v>
      </c>
      <c r="C3917">
        <v>146.075325335999</v>
      </c>
      <c r="D3917">
        <v>-17.648844174600001</v>
      </c>
      <c r="G3917" s="92"/>
      <c r="I3917">
        <v>9</v>
      </c>
      <c r="J3917" t="s">
        <v>26</v>
      </c>
      <c r="K3917" s="57"/>
      <c r="S3917" s="57"/>
      <c r="X3917" s="57"/>
    </row>
    <row r="3918" spans="1:24" hidden="1" x14ac:dyDescent="0.35">
      <c r="A3918">
        <v>3914</v>
      </c>
      <c r="B3918">
        <v>3915</v>
      </c>
      <c r="C3918">
        <v>146.07530911999899</v>
      </c>
      <c r="D3918">
        <v>-17.648926589999899</v>
      </c>
      <c r="G3918" s="92"/>
      <c r="I3918">
        <v>9</v>
      </c>
      <c r="J3918" t="s">
        <v>26</v>
      </c>
      <c r="K3918" s="57"/>
      <c r="S3918" s="57"/>
      <c r="X3918" s="57"/>
    </row>
    <row r="3919" spans="1:24" hidden="1" x14ac:dyDescent="0.35">
      <c r="A3919">
        <v>3915</v>
      </c>
      <c r="B3919">
        <v>3916</v>
      </c>
      <c r="C3919">
        <v>146.07532792000001</v>
      </c>
      <c r="D3919">
        <v>-17.649007308400002</v>
      </c>
      <c r="G3919" s="92"/>
      <c r="I3919">
        <v>9</v>
      </c>
      <c r="J3919" t="s">
        <v>26</v>
      </c>
      <c r="K3919" s="57"/>
      <c r="S3919" s="57"/>
      <c r="X3919" s="57"/>
    </row>
    <row r="3920" spans="1:24" hidden="1" x14ac:dyDescent="0.35">
      <c r="A3920">
        <v>3916</v>
      </c>
      <c r="B3920">
        <v>3917</v>
      </c>
      <c r="C3920">
        <v>146.07536545900001</v>
      </c>
      <c r="D3920">
        <v>-17.649085078999899</v>
      </c>
      <c r="G3920" s="92"/>
      <c r="I3920">
        <v>9</v>
      </c>
      <c r="J3920" t="s">
        <v>26</v>
      </c>
      <c r="K3920" s="57"/>
      <c r="S3920" s="57"/>
      <c r="X3920" s="57"/>
    </row>
    <row r="3921" spans="1:24" hidden="1" x14ac:dyDescent="0.35">
      <c r="A3921">
        <v>3917</v>
      </c>
      <c r="B3921">
        <v>3918</v>
      </c>
      <c r="C3921">
        <v>146.075419785999</v>
      </c>
      <c r="D3921">
        <v>-17.649147561700001</v>
      </c>
      <c r="G3921" s="92"/>
      <c r="I3921">
        <v>9</v>
      </c>
      <c r="J3921" t="s">
        <v>26</v>
      </c>
      <c r="K3921" s="57"/>
      <c r="S3921" s="57"/>
      <c r="X3921" s="57"/>
    </row>
    <row r="3922" spans="1:24" hidden="1" x14ac:dyDescent="0.35">
      <c r="A3922">
        <v>3918</v>
      </c>
      <c r="B3922">
        <v>3919</v>
      </c>
      <c r="C3922">
        <v>146.075499610999</v>
      </c>
      <c r="D3922">
        <v>-17.649186824600001</v>
      </c>
      <c r="G3922" s="92"/>
      <c r="I3922">
        <v>9</v>
      </c>
      <c r="J3922" t="s">
        <v>26</v>
      </c>
      <c r="K3922" s="57"/>
      <c r="S3922" s="57"/>
      <c r="X3922" s="57"/>
    </row>
    <row r="3923" spans="1:24" hidden="1" x14ac:dyDescent="0.35">
      <c r="A3923">
        <v>3919</v>
      </c>
      <c r="B3923">
        <v>3920</v>
      </c>
      <c r="C3923">
        <v>146.075579435999</v>
      </c>
      <c r="D3923">
        <v>-17.649226087500001</v>
      </c>
      <c r="G3923" s="92"/>
      <c r="I3923">
        <v>9</v>
      </c>
      <c r="J3923" t="s">
        <v>26</v>
      </c>
      <c r="K3923" s="57"/>
      <c r="S3923" s="57"/>
      <c r="X3923" s="57"/>
    </row>
    <row r="3924" spans="1:24" hidden="1" x14ac:dyDescent="0.35">
      <c r="A3924">
        <v>3920</v>
      </c>
      <c r="B3924">
        <v>3921</v>
      </c>
      <c r="C3924">
        <v>146.07565926199899</v>
      </c>
      <c r="D3924">
        <v>-17.649265350299899</v>
      </c>
      <c r="G3924" s="92"/>
      <c r="I3924">
        <v>9</v>
      </c>
      <c r="J3924" t="s">
        <v>26</v>
      </c>
      <c r="K3924" s="57"/>
      <c r="S3924" s="57"/>
      <c r="X3924" s="57"/>
    </row>
    <row r="3925" spans="1:24" hidden="1" x14ac:dyDescent="0.35">
      <c r="A3925">
        <v>3921</v>
      </c>
      <c r="B3925">
        <v>3922</v>
      </c>
      <c r="C3925">
        <v>146.07573908699899</v>
      </c>
      <c r="D3925">
        <v>-17.6493046129</v>
      </c>
      <c r="G3925" s="92"/>
      <c r="I3925">
        <v>9</v>
      </c>
      <c r="J3925" t="s">
        <v>26</v>
      </c>
      <c r="K3925" s="57"/>
      <c r="S3925" s="57"/>
      <c r="X3925" s="57"/>
    </row>
    <row r="3926" spans="1:24" hidden="1" x14ac:dyDescent="0.35">
      <c r="A3926">
        <v>3922</v>
      </c>
      <c r="B3926">
        <v>3923</v>
      </c>
      <c r="C3926">
        <v>146.075819666</v>
      </c>
      <c r="D3926">
        <v>-17.649342371900001</v>
      </c>
      <c r="G3926" s="92"/>
      <c r="I3926">
        <v>9</v>
      </c>
      <c r="J3926" t="s">
        <v>26</v>
      </c>
      <c r="K3926" s="57"/>
      <c r="S3926" s="57"/>
      <c r="X3926" s="57"/>
    </row>
    <row r="3927" spans="1:24" hidden="1" x14ac:dyDescent="0.35">
      <c r="A3927">
        <v>3923</v>
      </c>
      <c r="B3927">
        <v>3924</v>
      </c>
      <c r="C3927">
        <v>146.075901888</v>
      </c>
      <c r="D3927">
        <v>-17.6493768522</v>
      </c>
      <c r="G3927" s="92"/>
      <c r="I3927">
        <v>9</v>
      </c>
      <c r="J3927" t="s">
        <v>26</v>
      </c>
      <c r="K3927" s="57"/>
      <c r="S3927" s="57"/>
      <c r="X3927" s="57"/>
    </row>
    <row r="3928" spans="1:24" hidden="1" x14ac:dyDescent="0.35">
      <c r="A3928">
        <v>3924</v>
      </c>
      <c r="B3928">
        <v>3925</v>
      </c>
      <c r="C3928">
        <v>146.07598411000001</v>
      </c>
      <c r="D3928">
        <v>-17.6494113324</v>
      </c>
      <c r="G3928" s="92"/>
      <c r="I3928">
        <v>9</v>
      </c>
      <c r="J3928" t="s">
        <v>26</v>
      </c>
      <c r="K3928" s="57"/>
      <c r="S3928" s="57"/>
      <c r="X3928" s="57"/>
    </row>
    <row r="3929" spans="1:24" hidden="1" x14ac:dyDescent="0.35">
      <c r="A3929">
        <v>3925</v>
      </c>
      <c r="B3929">
        <v>3926</v>
      </c>
      <c r="C3929">
        <v>146.07606633200001</v>
      </c>
      <c r="D3929">
        <v>-17.6494458126</v>
      </c>
      <c r="G3929" s="92"/>
      <c r="I3929">
        <v>9</v>
      </c>
      <c r="J3929" t="s">
        <v>26</v>
      </c>
      <c r="K3929" s="57"/>
      <c r="S3929" s="57"/>
      <c r="X3929" s="57"/>
    </row>
    <row r="3930" spans="1:24" hidden="1" x14ac:dyDescent="0.35">
      <c r="A3930">
        <v>3926</v>
      </c>
      <c r="B3930">
        <v>3927</v>
      </c>
      <c r="C3930">
        <v>146.07614855400001</v>
      </c>
      <c r="D3930">
        <v>-17.649480292900002</v>
      </c>
      <c r="G3930" s="92"/>
      <c r="I3930">
        <v>9</v>
      </c>
      <c r="J3930" t="s">
        <v>26</v>
      </c>
      <c r="K3930" s="57"/>
      <c r="S3930" s="57"/>
      <c r="X3930" s="57"/>
    </row>
    <row r="3931" spans="1:24" hidden="1" x14ac:dyDescent="0.35">
      <c r="A3931">
        <v>3927</v>
      </c>
      <c r="B3931">
        <v>3928</v>
      </c>
      <c r="C3931">
        <v>146.07623077599899</v>
      </c>
      <c r="D3931">
        <v>-17.649514773100002</v>
      </c>
      <c r="G3931" s="92"/>
      <c r="I3931">
        <v>9</v>
      </c>
      <c r="J3931" t="s">
        <v>26</v>
      </c>
      <c r="K3931" s="57"/>
      <c r="S3931" s="57"/>
      <c r="X3931" s="57"/>
    </row>
    <row r="3932" spans="1:24" hidden="1" x14ac:dyDescent="0.35">
      <c r="A3932">
        <v>3928</v>
      </c>
      <c r="B3932">
        <v>3929</v>
      </c>
      <c r="C3932">
        <v>146.076312997999</v>
      </c>
      <c r="D3932">
        <v>-17.649549253299899</v>
      </c>
      <c r="G3932" s="92"/>
      <c r="I3932">
        <v>9</v>
      </c>
      <c r="J3932" t="s">
        <v>26</v>
      </c>
      <c r="K3932" s="57"/>
      <c r="S3932" s="57"/>
      <c r="X3932" s="57"/>
    </row>
    <row r="3933" spans="1:24" hidden="1" x14ac:dyDescent="0.35">
      <c r="A3933">
        <v>3929</v>
      </c>
      <c r="B3933">
        <v>3930</v>
      </c>
      <c r="C3933">
        <v>146.076392018999</v>
      </c>
      <c r="D3933">
        <v>-17.6495898953</v>
      </c>
      <c r="G3933" s="92"/>
      <c r="I3933">
        <v>9</v>
      </c>
      <c r="J3933" t="s">
        <v>26</v>
      </c>
      <c r="K3933" s="57"/>
      <c r="S3933" s="57"/>
      <c r="X3933" s="57"/>
    </row>
    <row r="3934" spans="1:24" hidden="1" x14ac:dyDescent="0.35">
      <c r="A3934">
        <v>3930</v>
      </c>
      <c r="B3934">
        <v>3931</v>
      </c>
      <c r="C3934">
        <v>146.076470645999</v>
      </c>
      <c r="D3934">
        <v>-17.649631296500001</v>
      </c>
      <c r="G3934" s="92"/>
      <c r="I3934">
        <v>9</v>
      </c>
      <c r="J3934" t="s">
        <v>26</v>
      </c>
      <c r="K3934" s="57"/>
      <c r="S3934" s="57"/>
      <c r="X3934" s="57"/>
    </row>
    <row r="3935" spans="1:24" hidden="1" x14ac:dyDescent="0.35">
      <c r="A3935">
        <v>3931</v>
      </c>
      <c r="B3935">
        <v>3932</v>
      </c>
      <c r="C3935">
        <v>146.076549271999</v>
      </c>
      <c r="D3935">
        <v>-17.649672697700002</v>
      </c>
      <c r="G3935" s="92"/>
      <c r="I3935">
        <v>9</v>
      </c>
      <c r="J3935" t="s">
        <v>26</v>
      </c>
      <c r="K3935" s="57"/>
      <c r="S3935" s="57"/>
      <c r="X3935" s="57"/>
    </row>
    <row r="3936" spans="1:24" hidden="1" x14ac:dyDescent="0.35">
      <c r="A3936">
        <v>3932</v>
      </c>
      <c r="B3936">
        <v>3933</v>
      </c>
      <c r="C3936">
        <v>146.07662789899899</v>
      </c>
      <c r="D3936">
        <v>-17.649714098899899</v>
      </c>
      <c r="G3936" s="92"/>
      <c r="I3936">
        <v>9</v>
      </c>
      <c r="J3936" t="s">
        <v>26</v>
      </c>
      <c r="K3936" s="57"/>
      <c r="S3936" s="57"/>
      <c r="X3936" s="57"/>
    </row>
    <row r="3937" spans="1:24" hidden="1" x14ac:dyDescent="0.35">
      <c r="A3937">
        <v>3933</v>
      </c>
      <c r="B3937">
        <v>3934</v>
      </c>
      <c r="C3937">
        <v>146.076706524999</v>
      </c>
      <c r="D3937">
        <v>-17.6497555000999</v>
      </c>
      <c r="G3937" s="92"/>
      <c r="I3937">
        <v>9</v>
      </c>
      <c r="J3937" t="s">
        <v>26</v>
      </c>
      <c r="K3937" s="57"/>
      <c r="S3937" s="57"/>
      <c r="X3937" s="57"/>
    </row>
    <row r="3938" spans="1:24" hidden="1" x14ac:dyDescent="0.35">
      <c r="A3938">
        <v>3934</v>
      </c>
      <c r="B3938">
        <v>3935</v>
      </c>
      <c r="C3938">
        <v>146.076778109999</v>
      </c>
      <c r="D3938">
        <v>-17.649807128500001</v>
      </c>
      <c r="G3938" s="92"/>
      <c r="I3938">
        <v>9</v>
      </c>
      <c r="J3938" t="s">
        <v>26</v>
      </c>
      <c r="K3938" s="57"/>
      <c r="S3938" s="57"/>
      <c r="X3938" s="57"/>
    </row>
    <row r="3939" spans="1:24" hidden="1" x14ac:dyDescent="0.35">
      <c r="A3939">
        <v>3935</v>
      </c>
      <c r="B3939">
        <v>3936</v>
      </c>
      <c r="C3939">
        <v>146.076849269999</v>
      </c>
      <c r="D3939">
        <v>-17.6498593743</v>
      </c>
      <c r="G3939" s="92"/>
      <c r="I3939">
        <v>9</v>
      </c>
      <c r="J3939" t="s">
        <v>26</v>
      </c>
      <c r="K3939" s="57"/>
      <c r="S3939" s="57"/>
      <c r="X3939" s="57"/>
    </row>
    <row r="3940" spans="1:24" hidden="1" x14ac:dyDescent="0.35">
      <c r="A3940">
        <v>3936</v>
      </c>
      <c r="B3940">
        <v>3937</v>
      </c>
      <c r="C3940">
        <v>146.07692043</v>
      </c>
      <c r="D3940">
        <v>-17.6499116200999</v>
      </c>
      <c r="G3940" s="92"/>
      <c r="I3940">
        <v>9</v>
      </c>
      <c r="J3940" t="s">
        <v>26</v>
      </c>
      <c r="K3940" s="57"/>
      <c r="S3940" s="57"/>
      <c r="X3940" s="57"/>
    </row>
    <row r="3941" spans="1:24" hidden="1" x14ac:dyDescent="0.35">
      <c r="A3941">
        <v>3937</v>
      </c>
      <c r="B3941">
        <v>3938</v>
      </c>
      <c r="C3941">
        <v>146.07699159000001</v>
      </c>
      <c r="D3941">
        <v>-17.649963865899899</v>
      </c>
      <c r="G3941" s="92"/>
      <c r="I3941">
        <v>9</v>
      </c>
      <c r="J3941" t="s">
        <v>26</v>
      </c>
      <c r="K3941" s="57"/>
      <c r="S3941" s="57"/>
      <c r="X3941" s="57"/>
    </row>
    <row r="3942" spans="1:24" hidden="1" x14ac:dyDescent="0.35">
      <c r="A3942">
        <v>3938</v>
      </c>
      <c r="B3942">
        <v>3939</v>
      </c>
      <c r="C3942">
        <v>146.07705943900001</v>
      </c>
      <c r="D3942">
        <v>-17.650018707200001</v>
      </c>
      <c r="G3942" s="92"/>
      <c r="I3942">
        <v>9</v>
      </c>
      <c r="J3942" t="s">
        <v>26</v>
      </c>
      <c r="K3942" s="57"/>
      <c r="S3942" s="57"/>
      <c r="X3942" s="57"/>
    </row>
    <row r="3943" spans="1:24" hidden="1" x14ac:dyDescent="0.35">
      <c r="A3943">
        <v>3939</v>
      </c>
      <c r="B3943">
        <v>3940</v>
      </c>
      <c r="C3943">
        <v>146.077099516999</v>
      </c>
      <c r="D3943">
        <v>-17.650095318200002</v>
      </c>
      <c r="G3943" s="92"/>
      <c r="I3943">
        <v>9</v>
      </c>
      <c r="J3943" t="s">
        <v>26</v>
      </c>
      <c r="K3943" s="57"/>
      <c r="S3943" s="57"/>
      <c r="X3943" s="57"/>
    </row>
    <row r="3944" spans="1:24" hidden="1" x14ac:dyDescent="0.35">
      <c r="A3944">
        <v>3940</v>
      </c>
      <c r="B3944">
        <v>3941</v>
      </c>
      <c r="C3944">
        <v>146.077139595999</v>
      </c>
      <c r="D3944">
        <v>-17.650171929100001</v>
      </c>
      <c r="G3944" s="92"/>
      <c r="I3944">
        <v>9</v>
      </c>
      <c r="J3944" t="s">
        <v>26</v>
      </c>
      <c r="K3944" s="57"/>
      <c r="S3944" s="57"/>
      <c r="X3944" s="57"/>
    </row>
    <row r="3945" spans="1:24" hidden="1" x14ac:dyDescent="0.35">
      <c r="A3945">
        <v>3941</v>
      </c>
      <c r="B3945">
        <v>3942</v>
      </c>
      <c r="C3945">
        <v>146.07717967400001</v>
      </c>
      <c r="D3945">
        <v>-17.65024854</v>
      </c>
      <c r="G3945" s="92"/>
      <c r="I3945">
        <v>9</v>
      </c>
      <c r="J3945" t="s">
        <v>26</v>
      </c>
      <c r="K3945" s="57"/>
      <c r="S3945" s="57"/>
      <c r="X3945" s="57"/>
    </row>
    <row r="3946" spans="1:24" hidden="1" x14ac:dyDescent="0.35">
      <c r="A3946">
        <v>3942</v>
      </c>
      <c r="B3946">
        <v>3943</v>
      </c>
      <c r="C3946">
        <v>146.077219751999</v>
      </c>
      <c r="D3946">
        <v>-17.650325150800001</v>
      </c>
      <c r="G3946" s="92"/>
      <c r="I3946">
        <v>9</v>
      </c>
      <c r="J3946" t="s">
        <v>26</v>
      </c>
      <c r="K3946" s="57"/>
      <c r="S3946" s="57"/>
      <c r="X3946" s="57"/>
    </row>
    <row r="3947" spans="1:24" hidden="1" x14ac:dyDescent="0.35">
      <c r="A3947">
        <v>3943</v>
      </c>
      <c r="B3947">
        <v>3944</v>
      </c>
      <c r="C3947">
        <v>146.077251617</v>
      </c>
      <c r="D3947">
        <v>-17.6504048432</v>
      </c>
      <c r="G3947" s="92"/>
      <c r="I3947">
        <v>9</v>
      </c>
      <c r="J3947" t="s">
        <v>26</v>
      </c>
      <c r="K3947" s="57"/>
      <c r="S3947" s="57"/>
      <c r="X3947" s="57"/>
    </row>
    <row r="3948" spans="1:24" hidden="1" x14ac:dyDescent="0.35">
      <c r="A3948">
        <v>3944</v>
      </c>
      <c r="B3948">
        <v>3945</v>
      </c>
      <c r="C3948">
        <v>146.07727710500001</v>
      </c>
      <c r="D3948">
        <v>-17.6504869277999</v>
      </c>
      <c r="G3948" s="92"/>
      <c r="I3948">
        <v>9</v>
      </c>
      <c r="J3948" t="s">
        <v>26</v>
      </c>
      <c r="K3948" s="57"/>
      <c r="S3948" s="57"/>
      <c r="X3948" s="57"/>
    </row>
    <row r="3949" spans="1:24" hidden="1" x14ac:dyDescent="0.35">
      <c r="A3949">
        <v>3945</v>
      </c>
      <c r="B3949">
        <v>3946</v>
      </c>
      <c r="C3949">
        <v>146.07729379099899</v>
      </c>
      <c r="D3949">
        <v>-17.6505704251</v>
      </c>
      <c r="G3949" s="92"/>
      <c r="I3949">
        <v>9</v>
      </c>
      <c r="J3949" t="s">
        <v>26</v>
      </c>
      <c r="K3949" s="57"/>
      <c r="S3949" s="57"/>
      <c r="X3949" s="57"/>
    </row>
    <row r="3950" spans="1:24" hidden="1" x14ac:dyDescent="0.35">
      <c r="A3950">
        <v>3946</v>
      </c>
      <c r="B3950">
        <v>3947</v>
      </c>
      <c r="C3950">
        <v>146.077297923</v>
      </c>
      <c r="D3950">
        <v>-17.650655937</v>
      </c>
      <c r="G3950" s="92"/>
      <c r="I3950">
        <v>9</v>
      </c>
      <c r="J3950" t="s">
        <v>26</v>
      </c>
      <c r="K3950" s="57"/>
      <c r="S3950" s="57"/>
      <c r="X3950" s="57"/>
    </row>
    <row r="3951" spans="1:24" hidden="1" x14ac:dyDescent="0.35">
      <c r="A3951">
        <v>3947</v>
      </c>
      <c r="B3951">
        <v>3948</v>
      </c>
      <c r="C3951">
        <v>146.077302054999</v>
      </c>
      <c r="D3951">
        <v>-17.6507414489</v>
      </c>
      <c r="G3951" s="92"/>
      <c r="I3951">
        <v>9</v>
      </c>
      <c r="J3951" t="s">
        <v>26</v>
      </c>
      <c r="K3951" s="57"/>
      <c r="S3951" s="57"/>
      <c r="X3951" s="57"/>
    </row>
    <row r="3952" spans="1:24" hidden="1" x14ac:dyDescent="0.35">
      <c r="A3952">
        <v>3948</v>
      </c>
      <c r="B3952">
        <v>3949</v>
      </c>
      <c r="C3952">
        <v>146.077306187</v>
      </c>
      <c r="D3952">
        <v>-17.6508269608</v>
      </c>
      <c r="G3952" s="92"/>
      <c r="I3952">
        <v>9</v>
      </c>
      <c r="J3952" t="s">
        <v>26</v>
      </c>
      <c r="K3952" s="57"/>
      <c r="S3952" s="57"/>
      <c r="X3952" s="57"/>
    </row>
    <row r="3953" spans="1:24" hidden="1" x14ac:dyDescent="0.35">
      <c r="A3953">
        <v>3949</v>
      </c>
      <c r="B3953">
        <v>3950</v>
      </c>
      <c r="C3953">
        <v>146.077310318999</v>
      </c>
      <c r="D3953">
        <v>-17.650912472600002</v>
      </c>
      <c r="G3953" s="92"/>
      <c r="I3953">
        <v>9</v>
      </c>
      <c r="J3953" t="s">
        <v>26</v>
      </c>
      <c r="K3953" s="57"/>
      <c r="S3953" s="57"/>
      <c r="X3953" s="57"/>
    </row>
    <row r="3954" spans="1:24" hidden="1" x14ac:dyDescent="0.35">
      <c r="A3954">
        <v>3950</v>
      </c>
      <c r="B3954">
        <v>3951</v>
      </c>
      <c r="C3954">
        <v>146.077303881999</v>
      </c>
      <c r="D3954">
        <v>-17.6509972546</v>
      </c>
      <c r="G3954" s="92"/>
      <c r="I3954">
        <v>9</v>
      </c>
      <c r="J3954" t="s">
        <v>26</v>
      </c>
      <c r="K3954" s="57"/>
      <c r="S3954" s="57"/>
      <c r="X3954" s="57"/>
    </row>
    <row r="3955" spans="1:24" hidden="1" x14ac:dyDescent="0.35">
      <c r="A3955">
        <v>3951</v>
      </c>
      <c r="B3955">
        <v>3952</v>
      </c>
      <c r="C3955">
        <v>146.077286350999</v>
      </c>
      <c r="D3955">
        <v>-17.6510812110999</v>
      </c>
      <c r="G3955" s="92"/>
      <c r="I3955">
        <v>9</v>
      </c>
      <c r="J3955" t="s">
        <v>26</v>
      </c>
      <c r="K3955" s="57"/>
      <c r="S3955" s="57"/>
      <c r="X3955" s="57"/>
    </row>
    <row r="3956" spans="1:24" hidden="1" x14ac:dyDescent="0.35">
      <c r="A3956">
        <v>3952</v>
      </c>
      <c r="B3956">
        <v>3953</v>
      </c>
      <c r="C3956">
        <v>146.077268820999</v>
      </c>
      <c r="D3956">
        <v>-17.651165167599899</v>
      </c>
      <c r="G3956" s="92"/>
      <c r="I3956">
        <v>9</v>
      </c>
      <c r="J3956" t="s">
        <v>26</v>
      </c>
      <c r="K3956" s="57"/>
      <c r="S3956" s="57"/>
      <c r="X3956" s="57"/>
    </row>
    <row r="3957" spans="1:24" hidden="1" x14ac:dyDescent="0.35">
      <c r="A3957">
        <v>3953</v>
      </c>
      <c r="B3957">
        <v>3954</v>
      </c>
      <c r="C3957">
        <v>146.077216665999</v>
      </c>
      <c r="D3957">
        <v>-17.6512334144</v>
      </c>
      <c r="G3957" s="92"/>
      <c r="I3957">
        <v>9</v>
      </c>
      <c r="J3957" t="s">
        <v>26</v>
      </c>
      <c r="K3957" s="57"/>
      <c r="S3957" s="57"/>
      <c r="X3957" s="57"/>
    </row>
    <row r="3958" spans="1:24" hidden="1" x14ac:dyDescent="0.35">
      <c r="A3958">
        <v>3954</v>
      </c>
      <c r="B3958">
        <v>3955</v>
      </c>
      <c r="C3958">
        <v>146.07715934800001</v>
      </c>
      <c r="D3958">
        <v>-17.651299327</v>
      </c>
      <c r="G3958" s="92"/>
      <c r="I3958">
        <v>9</v>
      </c>
      <c r="J3958" t="s">
        <v>26</v>
      </c>
      <c r="K3958" s="57"/>
      <c r="S3958" s="57"/>
      <c r="X3958" s="57"/>
    </row>
    <row r="3959" spans="1:24" hidden="1" x14ac:dyDescent="0.35">
      <c r="A3959">
        <v>3955</v>
      </c>
      <c r="B3959">
        <v>3956</v>
      </c>
      <c r="C3959">
        <v>146.077104061</v>
      </c>
      <c r="D3959">
        <v>-17.6513667963</v>
      </c>
      <c r="G3959" s="92"/>
      <c r="I3959">
        <v>9</v>
      </c>
      <c r="J3959" t="s">
        <v>26</v>
      </c>
      <c r="K3959" s="57"/>
      <c r="S3959" s="57"/>
      <c r="X3959" s="57"/>
    </row>
    <row r="3960" spans="1:24" hidden="1" x14ac:dyDescent="0.35">
      <c r="A3960">
        <v>3956</v>
      </c>
      <c r="B3960">
        <v>3957</v>
      </c>
      <c r="C3960">
        <v>146.07703945</v>
      </c>
      <c r="D3960">
        <v>-17.651425346100002</v>
      </c>
      <c r="G3960" s="92"/>
      <c r="I3960">
        <v>9</v>
      </c>
      <c r="J3960" t="s">
        <v>26</v>
      </c>
      <c r="K3960" s="57"/>
      <c r="S3960" s="57"/>
      <c r="X3960" s="57"/>
    </row>
    <row r="3961" spans="1:24" hidden="1" x14ac:dyDescent="0.35">
      <c r="A3961">
        <v>3957</v>
      </c>
      <c r="B3961">
        <v>3958</v>
      </c>
      <c r="C3961">
        <v>146.076971270999</v>
      </c>
      <c r="D3961">
        <v>-17.651480466100001</v>
      </c>
      <c r="G3961" s="92"/>
      <c r="I3961">
        <v>9</v>
      </c>
      <c r="J3961" t="s">
        <v>26</v>
      </c>
      <c r="K3961" s="57"/>
      <c r="S3961" s="57"/>
      <c r="X3961" s="57"/>
    </row>
    <row r="3962" spans="1:24" hidden="1" x14ac:dyDescent="0.35">
      <c r="A3962">
        <v>3958</v>
      </c>
      <c r="B3962">
        <v>3959</v>
      </c>
      <c r="C3962">
        <v>146.07691644299899</v>
      </c>
      <c r="D3962">
        <v>-17.6515482742</v>
      </c>
      <c r="G3962" s="92"/>
      <c r="I3962">
        <v>9</v>
      </c>
      <c r="J3962" t="s">
        <v>26</v>
      </c>
      <c r="K3962" s="57"/>
      <c r="S3962" s="57"/>
      <c r="X3962" s="57"/>
    </row>
    <row r="3963" spans="1:24" hidden="1" x14ac:dyDescent="0.35">
      <c r="A3963">
        <v>3959</v>
      </c>
      <c r="B3963">
        <v>3960</v>
      </c>
      <c r="C3963">
        <v>146.076861613999</v>
      </c>
      <c r="D3963">
        <v>-17.651616082299899</v>
      </c>
      <c r="G3963" s="92"/>
      <c r="I3963">
        <v>9</v>
      </c>
      <c r="J3963" t="s">
        <v>26</v>
      </c>
      <c r="K3963" s="57"/>
      <c r="S3963" s="57"/>
      <c r="X3963" s="57"/>
    </row>
    <row r="3964" spans="1:24" hidden="1" x14ac:dyDescent="0.35">
      <c r="A3964">
        <v>3960</v>
      </c>
      <c r="B3964">
        <v>3961</v>
      </c>
      <c r="C3964">
        <v>146.076806785</v>
      </c>
      <c r="D3964">
        <v>-17.6516838902999</v>
      </c>
      <c r="G3964" s="92"/>
      <c r="I3964">
        <v>9</v>
      </c>
      <c r="J3964" t="s">
        <v>26</v>
      </c>
      <c r="K3964" s="57"/>
      <c r="S3964" s="57"/>
      <c r="X3964" s="57"/>
    </row>
    <row r="3965" spans="1:24" hidden="1" x14ac:dyDescent="0.35">
      <c r="A3965">
        <v>3961</v>
      </c>
      <c r="B3965">
        <v>3962</v>
      </c>
      <c r="C3965">
        <v>146.07675583400001</v>
      </c>
      <c r="D3965">
        <v>-17.651754354800001</v>
      </c>
      <c r="G3965" s="92"/>
      <c r="I3965">
        <v>9</v>
      </c>
      <c r="J3965" t="s">
        <v>26</v>
      </c>
      <c r="K3965" s="57"/>
      <c r="S3965" s="57"/>
      <c r="X3965" s="57"/>
    </row>
    <row r="3966" spans="1:24" hidden="1" x14ac:dyDescent="0.35">
      <c r="A3966">
        <v>3962</v>
      </c>
      <c r="B3966">
        <v>3963</v>
      </c>
      <c r="C3966">
        <v>146.076705849999</v>
      </c>
      <c r="D3966">
        <v>-17.6518254818</v>
      </c>
      <c r="G3966" s="92"/>
      <c r="I3966">
        <v>9</v>
      </c>
      <c r="J3966" t="s">
        <v>26</v>
      </c>
      <c r="K3966" s="57"/>
      <c r="S3966" s="57"/>
      <c r="X3966" s="57"/>
    </row>
    <row r="3967" spans="1:24" hidden="1" x14ac:dyDescent="0.35">
      <c r="A3967">
        <v>3963</v>
      </c>
      <c r="B3967">
        <v>3964</v>
      </c>
      <c r="C3967">
        <v>146.076657312999</v>
      </c>
      <c r="D3967">
        <v>-17.651897475199899</v>
      </c>
      <c r="G3967" s="92"/>
      <c r="I3967">
        <v>9</v>
      </c>
      <c r="J3967" t="s">
        <v>26</v>
      </c>
      <c r="K3967" s="57"/>
      <c r="S3967" s="57"/>
      <c r="X3967" s="57"/>
    </row>
    <row r="3968" spans="1:24" hidden="1" x14ac:dyDescent="0.35">
      <c r="A3968">
        <v>3964</v>
      </c>
      <c r="B3968">
        <v>3965</v>
      </c>
      <c r="C3968">
        <v>146.07661171199899</v>
      </c>
      <c r="D3968">
        <v>-17.651971227699899</v>
      </c>
      <c r="G3968" s="92"/>
      <c r="I3968">
        <v>9</v>
      </c>
      <c r="J3968" t="s">
        <v>26</v>
      </c>
      <c r="K3968" s="57"/>
      <c r="S3968" s="57"/>
      <c r="X3968" s="57"/>
    </row>
    <row r="3969" spans="1:24" hidden="1" x14ac:dyDescent="0.35">
      <c r="A3969">
        <v>3965</v>
      </c>
      <c r="B3969">
        <v>3966</v>
      </c>
      <c r="C3969">
        <v>146.07656825999899</v>
      </c>
      <c r="D3969">
        <v>-17.652046034200001</v>
      </c>
      <c r="G3969" s="92"/>
      <c r="I3969">
        <v>9</v>
      </c>
      <c r="J3969" t="s">
        <v>26</v>
      </c>
      <c r="K3969" s="57"/>
      <c r="S3969" s="57"/>
      <c r="X3969" s="57"/>
    </row>
    <row r="3970" spans="1:24" hidden="1" x14ac:dyDescent="0.35">
      <c r="A3970">
        <v>3966</v>
      </c>
      <c r="B3970">
        <v>3967</v>
      </c>
      <c r="C3970">
        <v>146.07653178499899</v>
      </c>
      <c r="D3970">
        <v>-17.652124262000001</v>
      </c>
      <c r="G3970" s="92"/>
      <c r="I3970">
        <v>9</v>
      </c>
      <c r="J3970" t="s">
        <v>26</v>
      </c>
      <c r="K3970" s="57"/>
      <c r="S3970" s="57"/>
      <c r="X3970" s="57"/>
    </row>
    <row r="3971" spans="1:24" hidden="1" x14ac:dyDescent="0.35">
      <c r="A3971">
        <v>3967</v>
      </c>
      <c r="B3971">
        <v>3968</v>
      </c>
      <c r="C3971">
        <v>146.07649531000001</v>
      </c>
      <c r="D3971">
        <v>-17.652202489800001</v>
      </c>
      <c r="G3971" s="92"/>
      <c r="I3971">
        <v>9</v>
      </c>
      <c r="J3971" t="s">
        <v>26</v>
      </c>
      <c r="K3971" s="57"/>
      <c r="S3971" s="57"/>
      <c r="X3971" s="57"/>
    </row>
    <row r="3972" spans="1:24" hidden="1" x14ac:dyDescent="0.35">
      <c r="A3972">
        <v>3968</v>
      </c>
      <c r="B3972">
        <v>3969</v>
      </c>
      <c r="C3972">
        <v>146.076456057999</v>
      </c>
      <c r="D3972">
        <v>-17.652279482400001</v>
      </c>
      <c r="G3972" s="92"/>
      <c r="I3972">
        <v>9</v>
      </c>
      <c r="J3972" t="s">
        <v>26</v>
      </c>
      <c r="K3972" s="57"/>
      <c r="S3972" s="57"/>
      <c r="X3972" s="57"/>
    </row>
    <row r="3973" spans="1:24" hidden="1" x14ac:dyDescent="0.35">
      <c r="A3973">
        <v>3969</v>
      </c>
      <c r="B3973">
        <v>3970</v>
      </c>
      <c r="C3973">
        <v>146.07641656000001</v>
      </c>
      <c r="D3973">
        <v>-17.6523563657999</v>
      </c>
      <c r="G3973" s="92"/>
      <c r="I3973">
        <v>9</v>
      </c>
      <c r="J3973" t="s">
        <v>26</v>
      </c>
      <c r="K3973" s="57"/>
      <c r="S3973" s="57"/>
      <c r="X3973" s="57"/>
    </row>
    <row r="3974" spans="1:24" hidden="1" x14ac:dyDescent="0.35">
      <c r="A3974">
        <v>3970</v>
      </c>
      <c r="B3974">
        <v>3971</v>
      </c>
      <c r="C3974">
        <v>146.076367005999</v>
      </c>
      <c r="D3974">
        <v>-17.6524258715</v>
      </c>
      <c r="G3974" s="92"/>
      <c r="I3974">
        <v>9</v>
      </c>
      <c r="J3974" t="s">
        <v>26</v>
      </c>
      <c r="K3974" s="57"/>
      <c r="S3974" s="57"/>
      <c r="X3974" s="57"/>
    </row>
    <row r="3975" spans="1:24" hidden="1" x14ac:dyDescent="0.35">
      <c r="A3975">
        <v>3971</v>
      </c>
      <c r="B3975">
        <v>3972</v>
      </c>
      <c r="C3975">
        <v>146.076299108999</v>
      </c>
      <c r="D3975">
        <v>-17.652481920500001</v>
      </c>
      <c r="G3975" s="92"/>
      <c r="I3975">
        <v>9</v>
      </c>
      <c r="J3975" t="s">
        <v>26</v>
      </c>
      <c r="K3975" s="57"/>
      <c r="S3975" s="57"/>
      <c r="X3975" s="57"/>
    </row>
    <row r="3976" spans="1:24" hidden="1" x14ac:dyDescent="0.35">
      <c r="A3976">
        <v>3972</v>
      </c>
      <c r="B3976">
        <v>3973</v>
      </c>
      <c r="C3976">
        <v>146.07622362800001</v>
      </c>
      <c r="D3976">
        <v>-17.652525670100001</v>
      </c>
      <c r="G3976" s="92"/>
      <c r="I3976">
        <v>9</v>
      </c>
      <c r="J3976" t="s">
        <v>26</v>
      </c>
      <c r="K3976" s="57"/>
      <c r="S3976" s="57"/>
      <c r="X3976" s="57"/>
    </row>
    <row r="3977" spans="1:24" hidden="1" x14ac:dyDescent="0.35">
      <c r="A3977">
        <v>3973</v>
      </c>
      <c r="B3977">
        <v>3974</v>
      </c>
      <c r="C3977">
        <v>146.076139197</v>
      </c>
      <c r="D3977">
        <v>-17.6525549023</v>
      </c>
      <c r="G3977" s="92"/>
      <c r="I3977">
        <v>9</v>
      </c>
      <c r="J3977" t="s">
        <v>26</v>
      </c>
      <c r="K3977" s="57"/>
      <c r="S3977" s="57"/>
      <c r="X3977" s="57"/>
    </row>
    <row r="3978" spans="1:24" hidden="1" x14ac:dyDescent="0.35">
      <c r="A3978">
        <v>3974</v>
      </c>
      <c r="B3978">
        <v>3975</v>
      </c>
      <c r="C3978">
        <v>146.076053712</v>
      </c>
      <c r="D3978">
        <v>-17.652559503100001</v>
      </c>
      <c r="G3978" s="92"/>
      <c r="I3978">
        <v>9</v>
      </c>
      <c r="J3978" t="s">
        <v>26</v>
      </c>
      <c r="K3978" s="57"/>
      <c r="S3978" s="57"/>
      <c r="X3978" s="57"/>
    </row>
    <row r="3979" spans="1:24" hidden="1" x14ac:dyDescent="0.35">
      <c r="A3979">
        <v>3975</v>
      </c>
      <c r="B3979">
        <v>3976</v>
      </c>
      <c r="C3979">
        <v>146.075967063999</v>
      </c>
      <c r="D3979">
        <v>-17.652536915500001</v>
      </c>
      <c r="G3979" s="92"/>
      <c r="I3979">
        <v>9</v>
      </c>
      <c r="J3979" t="s">
        <v>26</v>
      </c>
      <c r="K3979" s="57"/>
      <c r="S3979" s="57"/>
      <c r="X3979" s="57"/>
    </row>
    <row r="3980" spans="1:24" hidden="1" x14ac:dyDescent="0.35">
      <c r="A3980">
        <v>3976</v>
      </c>
      <c r="B3980">
        <v>3977</v>
      </c>
      <c r="C3980">
        <v>146.075889555999</v>
      </c>
      <c r="D3980">
        <v>-17.6524972777</v>
      </c>
      <c r="G3980" s="92"/>
      <c r="I3980">
        <v>9</v>
      </c>
      <c r="J3980" t="s">
        <v>26</v>
      </c>
      <c r="K3980" s="57"/>
      <c r="S3980" s="57"/>
      <c r="X3980" s="57"/>
    </row>
    <row r="3981" spans="1:24" hidden="1" x14ac:dyDescent="0.35">
      <c r="A3981">
        <v>3977</v>
      </c>
      <c r="B3981">
        <v>3978</v>
      </c>
      <c r="C3981">
        <v>146.07581956600001</v>
      </c>
      <c r="D3981">
        <v>-17.6524436175999</v>
      </c>
      <c r="G3981" s="92"/>
      <c r="I3981">
        <v>9</v>
      </c>
      <c r="J3981" t="s">
        <v>26</v>
      </c>
      <c r="K3981" s="57"/>
      <c r="S3981" s="57"/>
      <c r="X3981" s="57"/>
    </row>
    <row r="3982" spans="1:24" hidden="1" x14ac:dyDescent="0.35">
      <c r="A3982">
        <v>3978</v>
      </c>
      <c r="B3982">
        <v>3979</v>
      </c>
      <c r="C3982">
        <v>146.075769202</v>
      </c>
      <c r="D3982">
        <v>-17.6523749927</v>
      </c>
      <c r="G3982" s="92"/>
      <c r="I3982">
        <v>9</v>
      </c>
      <c r="J3982" t="s">
        <v>26</v>
      </c>
      <c r="K3982" s="57"/>
      <c r="S3982" s="57"/>
      <c r="X3982" s="57"/>
    </row>
    <row r="3983" spans="1:24" hidden="1" x14ac:dyDescent="0.35">
      <c r="A3983">
        <v>3979</v>
      </c>
      <c r="B3983">
        <v>3980</v>
      </c>
      <c r="C3983">
        <v>146.075734535999</v>
      </c>
      <c r="D3983">
        <v>-17.652296273600001</v>
      </c>
      <c r="G3983" s="92"/>
      <c r="I3983">
        <v>9</v>
      </c>
      <c r="J3983" t="s">
        <v>26</v>
      </c>
      <c r="K3983" s="57"/>
      <c r="S3983" s="57"/>
      <c r="X3983" s="57"/>
    </row>
    <row r="3984" spans="1:24" hidden="1" x14ac:dyDescent="0.35">
      <c r="A3984">
        <v>3980</v>
      </c>
      <c r="B3984">
        <v>3981</v>
      </c>
      <c r="C3984">
        <v>146.075707526</v>
      </c>
      <c r="D3984">
        <v>-17.6522146328</v>
      </c>
      <c r="G3984" s="92"/>
      <c r="I3984">
        <v>9</v>
      </c>
      <c r="J3984" t="s">
        <v>26</v>
      </c>
      <c r="K3984" s="57"/>
      <c r="S3984" s="57"/>
      <c r="X3984" s="57"/>
    </row>
    <row r="3985" spans="1:24" hidden="1" x14ac:dyDescent="0.35">
      <c r="A3985">
        <v>3981</v>
      </c>
      <c r="B3985">
        <v>3982</v>
      </c>
      <c r="C3985">
        <v>146.075679522</v>
      </c>
      <c r="D3985">
        <v>-17.6521333076</v>
      </c>
      <c r="G3985" s="92"/>
      <c r="I3985">
        <v>9</v>
      </c>
      <c r="J3985" t="s">
        <v>26</v>
      </c>
      <c r="K3985" s="57"/>
      <c r="S3985" s="57"/>
      <c r="X3985" s="57"/>
    </row>
    <row r="3986" spans="1:24" hidden="1" x14ac:dyDescent="0.35">
      <c r="A3986">
        <v>3982</v>
      </c>
      <c r="B3986">
        <v>3983</v>
      </c>
      <c r="C3986">
        <v>146.075649747</v>
      </c>
      <c r="D3986">
        <v>-17.652052544699899</v>
      </c>
      <c r="G3986" s="92"/>
      <c r="I3986">
        <v>9</v>
      </c>
      <c r="J3986" t="s">
        <v>26</v>
      </c>
      <c r="K3986" s="57"/>
      <c r="S3986" s="57"/>
      <c r="X3986" s="57"/>
    </row>
    <row r="3987" spans="1:24" hidden="1" x14ac:dyDescent="0.35">
      <c r="A3987">
        <v>3983</v>
      </c>
      <c r="B3987">
        <v>3984</v>
      </c>
      <c r="C3987">
        <v>146.075619971999</v>
      </c>
      <c r="D3987">
        <v>-17.6519717818</v>
      </c>
      <c r="G3987" s="92"/>
      <c r="I3987">
        <v>9</v>
      </c>
      <c r="J3987" t="s">
        <v>26</v>
      </c>
      <c r="K3987" s="57"/>
      <c r="S3987" s="57"/>
      <c r="X3987" s="57"/>
    </row>
    <row r="3988" spans="1:24" hidden="1" x14ac:dyDescent="0.35">
      <c r="A3988">
        <v>3984</v>
      </c>
      <c r="B3988">
        <v>3985</v>
      </c>
      <c r="C3988">
        <v>146.07557597100001</v>
      </c>
      <c r="D3988">
        <v>-17.6518975932999</v>
      </c>
      <c r="G3988" s="92"/>
      <c r="I3988">
        <v>9</v>
      </c>
      <c r="J3988" t="s">
        <v>26</v>
      </c>
      <c r="K3988" s="57"/>
      <c r="S3988" s="57"/>
      <c r="X3988" s="57"/>
    </row>
    <row r="3989" spans="1:24" hidden="1" x14ac:dyDescent="0.35">
      <c r="A3989">
        <v>3985</v>
      </c>
      <c r="B3989">
        <v>3986</v>
      </c>
      <c r="C3989">
        <v>146.075527851</v>
      </c>
      <c r="D3989">
        <v>-17.651825308900001</v>
      </c>
      <c r="G3989" s="92"/>
      <c r="I3989">
        <v>9</v>
      </c>
      <c r="J3989" t="s">
        <v>26</v>
      </c>
      <c r="K3989" s="57"/>
      <c r="S3989" s="57"/>
      <c r="X3989" s="57"/>
    </row>
    <row r="3990" spans="1:24" hidden="1" x14ac:dyDescent="0.35">
      <c r="A3990">
        <v>3986</v>
      </c>
      <c r="B3990">
        <v>3987</v>
      </c>
      <c r="C3990">
        <v>146.075478048999</v>
      </c>
      <c r="D3990">
        <v>-17.6517540948999</v>
      </c>
      <c r="G3990" s="92"/>
      <c r="I3990">
        <v>9</v>
      </c>
      <c r="J3990" t="s">
        <v>26</v>
      </c>
      <c r="K3990" s="57"/>
      <c r="S3990" s="57"/>
      <c r="X3990" s="57"/>
    </row>
    <row r="3991" spans="1:24" hidden="1" x14ac:dyDescent="0.35">
      <c r="A3991">
        <v>3987</v>
      </c>
      <c r="B3991">
        <v>3988</v>
      </c>
      <c r="C3991">
        <v>146.075426405</v>
      </c>
      <c r="D3991">
        <v>-17.6516840534</v>
      </c>
      <c r="G3991" s="92"/>
      <c r="I3991">
        <v>9</v>
      </c>
      <c r="J3991" t="s">
        <v>26</v>
      </c>
      <c r="K3991" s="57"/>
      <c r="S3991" s="57"/>
      <c r="X3991" s="57"/>
    </row>
    <row r="3992" spans="1:24" hidden="1" x14ac:dyDescent="0.35">
      <c r="A3992">
        <v>3988</v>
      </c>
      <c r="B3992">
        <v>3989</v>
      </c>
      <c r="C3992">
        <v>146.07537475999899</v>
      </c>
      <c r="D3992">
        <v>-17.651614011900001</v>
      </c>
      <c r="G3992" s="92"/>
      <c r="I3992">
        <v>9</v>
      </c>
      <c r="J3992" t="s">
        <v>26</v>
      </c>
      <c r="K3992" s="57"/>
      <c r="S3992" s="57"/>
      <c r="X3992" s="57"/>
    </row>
    <row r="3993" spans="1:24" hidden="1" x14ac:dyDescent="0.35">
      <c r="A3993">
        <v>3989</v>
      </c>
      <c r="B3993">
        <v>3990</v>
      </c>
      <c r="C3993">
        <v>146.075309820999</v>
      </c>
      <c r="D3993">
        <v>-17.6515554944</v>
      </c>
      <c r="G3993" s="92"/>
      <c r="I3993">
        <v>9</v>
      </c>
      <c r="J3993" t="s">
        <v>26</v>
      </c>
      <c r="K3993" s="57"/>
      <c r="S3993" s="57"/>
      <c r="X3993" s="57"/>
    </row>
    <row r="3994" spans="1:24" hidden="1" x14ac:dyDescent="0.35">
      <c r="A3994">
        <v>3990</v>
      </c>
      <c r="B3994">
        <v>3991</v>
      </c>
      <c r="C3994">
        <v>146.07524152600001</v>
      </c>
      <c r="D3994">
        <v>-17.6514998848</v>
      </c>
      <c r="G3994" s="92"/>
      <c r="I3994">
        <v>9</v>
      </c>
      <c r="J3994" t="s">
        <v>26</v>
      </c>
      <c r="K3994" s="57"/>
      <c r="S3994" s="57"/>
      <c r="X3994" s="57"/>
    </row>
    <row r="3995" spans="1:24" hidden="1" x14ac:dyDescent="0.35">
      <c r="A3995">
        <v>3991</v>
      </c>
      <c r="B3995">
        <v>3992</v>
      </c>
      <c r="C3995">
        <v>146.07517323100001</v>
      </c>
      <c r="D3995">
        <v>-17.6514442751999</v>
      </c>
      <c r="G3995" s="92"/>
      <c r="I3995">
        <v>9</v>
      </c>
      <c r="J3995" t="s">
        <v>26</v>
      </c>
      <c r="K3995" s="57"/>
      <c r="S3995" s="57"/>
      <c r="X3995" s="57"/>
    </row>
    <row r="3996" spans="1:24" hidden="1" x14ac:dyDescent="0.35">
      <c r="A3996">
        <v>3992</v>
      </c>
      <c r="B3996">
        <v>3993</v>
      </c>
      <c r="C3996">
        <v>146.07510418300001</v>
      </c>
      <c r="D3996">
        <v>-17.651389558599899</v>
      </c>
      <c r="G3996" s="92"/>
      <c r="I3996">
        <v>9</v>
      </c>
      <c r="J3996" t="s">
        <v>26</v>
      </c>
      <c r="K3996" s="57"/>
      <c r="S3996" s="57"/>
      <c r="X3996" s="57"/>
    </row>
    <row r="3997" spans="1:24" hidden="1" x14ac:dyDescent="0.35">
      <c r="A3997">
        <v>3993</v>
      </c>
      <c r="B3997">
        <v>3994</v>
      </c>
      <c r="C3997">
        <v>146.075032518999</v>
      </c>
      <c r="D3997">
        <v>-17.6513379433</v>
      </c>
      <c r="G3997" s="92"/>
      <c r="I3997">
        <v>9</v>
      </c>
      <c r="J3997" t="s">
        <v>26</v>
      </c>
      <c r="K3997" s="57"/>
      <c r="S3997" s="57"/>
      <c r="X3997" s="57"/>
    </row>
    <row r="3998" spans="1:24" hidden="1" x14ac:dyDescent="0.35">
      <c r="A3998">
        <v>3994</v>
      </c>
      <c r="B3998">
        <v>3995</v>
      </c>
      <c r="C3998">
        <v>146.07496085400001</v>
      </c>
      <c r="D3998">
        <v>-17.651286328000001</v>
      </c>
      <c r="G3998" s="92"/>
      <c r="I3998">
        <v>9</v>
      </c>
      <c r="J3998" t="s">
        <v>26</v>
      </c>
      <c r="K3998" s="57"/>
      <c r="S3998" s="57"/>
      <c r="X3998" s="57"/>
    </row>
    <row r="3999" spans="1:24" hidden="1" x14ac:dyDescent="0.35">
      <c r="A3999">
        <v>3995</v>
      </c>
      <c r="B3999">
        <v>3996</v>
      </c>
      <c r="C3999">
        <v>146.07489023400001</v>
      </c>
      <c r="D3999">
        <v>-17.6512335124999</v>
      </c>
      <c r="G3999" s="92"/>
      <c r="I3999">
        <v>9</v>
      </c>
      <c r="J3999" t="s">
        <v>26</v>
      </c>
      <c r="K3999" s="57"/>
      <c r="S3999" s="57"/>
      <c r="X3999" s="57"/>
    </row>
    <row r="4000" spans="1:24" hidden="1" x14ac:dyDescent="0.35">
      <c r="A4000">
        <v>3996</v>
      </c>
      <c r="B4000">
        <v>3997</v>
      </c>
      <c r="C4000">
        <v>146.07482372800001</v>
      </c>
      <c r="D4000">
        <v>-17.651175968499899</v>
      </c>
      <c r="G4000" s="92"/>
      <c r="I4000">
        <v>9</v>
      </c>
      <c r="J4000" t="s">
        <v>26</v>
      </c>
      <c r="K4000" s="57"/>
      <c r="S4000" s="57"/>
      <c r="X4000" s="57"/>
    </row>
    <row r="4001" spans="1:24" hidden="1" x14ac:dyDescent="0.35">
      <c r="A4001">
        <v>3997</v>
      </c>
      <c r="B4001">
        <v>3998</v>
      </c>
      <c r="C4001">
        <v>146.074757220999</v>
      </c>
      <c r="D4001">
        <v>-17.651118424500002</v>
      </c>
      <c r="G4001" s="92"/>
      <c r="I4001">
        <v>9</v>
      </c>
      <c r="J4001" t="s">
        <v>26</v>
      </c>
      <c r="K4001" s="57"/>
      <c r="S4001" s="57"/>
      <c r="X4001" s="57"/>
    </row>
    <row r="4002" spans="1:24" hidden="1" x14ac:dyDescent="0.35">
      <c r="A4002">
        <v>3998</v>
      </c>
      <c r="B4002">
        <v>3999</v>
      </c>
      <c r="C4002">
        <v>146.074690715</v>
      </c>
      <c r="D4002">
        <v>-17.6510608803999</v>
      </c>
      <c r="G4002" s="92"/>
      <c r="I4002">
        <v>9</v>
      </c>
      <c r="J4002" t="s">
        <v>26</v>
      </c>
      <c r="K4002" s="57"/>
      <c r="S4002" s="57"/>
      <c r="X4002" s="57"/>
    </row>
    <row r="4003" spans="1:24" hidden="1" x14ac:dyDescent="0.35">
      <c r="A4003">
        <v>3999</v>
      </c>
      <c r="B4003">
        <v>4000</v>
      </c>
      <c r="C4003">
        <v>146.07462403100001</v>
      </c>
      <c r="D4003">
        <v>-17.651003524099899</v>
      </c>
      <c r="G4003" s="92"/>
      <c r="I4003">
        <v>9</v>
      </c>
      <c r="J4003" t="s">
        <v>26</v>
      </c>
      <c r="K4003" s="57"/>
      <c r="S4003" s="57"/>
      <c r="X4003" s="57"/>
    </row>
    <row r="4004" spans="1:24" hidden="1" x14ac:dyDescent="0.35">
      <c r="A4004">
        <v>4000</v>
      </c>
      <c r="B4004">
        <v>4001</v>
      </c>
      <c r="C4004">
        <v>146.07455689700001</v>
      </c>
      <c r="D4004">
        <v>-17.650946645400001</v>
      </c>
      <c r="G4004" s="92"/>
      <c r="I4004">
        <v>9</v>
      </c>
      <c r="J4004" t="s">
        <v>26</v>
      </c>
      <c r="K4004" s="57"/>
      <c r="S4004" s="57"/>
      <c r="X4004" s="57"/>
    </row>
    <row r="4005" spans="1:24" hidden="1" x14ac:dyDescent="0.35">
      <c r="A4005">
        <v>4001</v>
      </c>
      <c r="B4005">
        <v>4002</v>
      </c>
      <c r="C4005">
        <v>146.074489763</v>
      </c>
      <c r="D4005">
        <v>-17.650889766700001</v>
      </c>
      <c r="G4005" s="92"/>
      <c r="I4005">
        <v>9</v>
      </c>
      <c r="J4005" t="s">
        <v>26</v>
      </c>
      <c r="K4005" s="57"/>
      <c r="S4005" s="57"/>
      <c r="X4005" s="57"/>
    </row>
    <row r="4006" spans="1:24" hidden="1" x14ac:dyDescent="0.35">
      <c r="A4006">
        <v>4002</v>
      </c>
      <c r="B4006">
        <v>4003</v>
      </c>
      <c r="C4006">
        <v>146.074422628999</v>
      </c>
      <c r="D4006">
        <v>-17.650832888</v>
      </c>
      <c r="G4006" s="92"/>
      <c r="I4006">
        <v>9</v>
      </c>
      <c r="J4006" t="s">
        <v>26</v>
      </c>
      <c r="K4006" s="57"/>
      <c r="S4006" s="57"/>
      <c r="X4006" s="57"/>
    </row>
    <row r="4007" spans="1:24" hidden="1" x14ac:dyDescent="0.35">
      <c r="A4007">
        <v>4003</v>
      </c>
      <c r="B4007">
        <v>4004</v>
      </c>
      <c r="C4007">
        <v>146.07437130599899</v>
      </c>
      <c r="D4007">
        <v>-17.6507627011</v>
      </c>
      <c r="G4007" s="92"/>
      <c r="I4007">
        <v>9</v>
      </c>
      <c r="J4007" t="s">
        <v>26</v>
      </c>
      <c r="K4007" s="57"/>
      <c r="S4007" s="57"/>
      <c r="X4007" s="57"/>
    </row>
    <row r="4008" spans="1:24" hidden="1" x14ac:dyDescent="0.35">
      <c r="A4008">
        <v>4004</v>
      </c>
      <c r="B4008">
        <v>4005</v>
      </c>
      <c r="C4008">
        <v>146.074320362999</v>
      </c>
      <c r="D4008">
        <v>-17.6506921949</v>
      </c>
      <c r="G4008" s="92"/>
      <c r="I4008">
        <v>9</v>
      </c>
      <c r="J4008" t="s">
        <v>26</v>
      </c>
      <c r="K4008" s="57"/>
      <c r="S4008" s="57"/>
      <c r="X4008" s="57"/>
    </row>
    <row r="4009" spans="1:24" hidden="1" x14ac:dyDescent="0.35">
      <c r="A4009">
        <v>4005</v>
      </c>
      <c r="B4009">
        <v>4006</v>
      </c>
      <c r="C4009">
        <v>146.074283559999</v>
      </c>
      <c r="D4009">
        <v>-17.650614751500001</v>
      </c>
      <c r="G4009" s="92"/>
      <c r="I4009">
        <v>9</v>
      </c>
      <c r="J4009" t="s">
        <v>26</v>
      </c>
      <c r="K4009" s="57"/>
      <c r="S4009" s="57"/>
      <c r="X4009" s="57"/>
    </row>
    <row r="4010" spans="1:24" hidden="1" x14ac:dyDescent="0.35">
      <c r="A4010">
        <v>4006</v>
      </c>
      <c r="B4010">
        <v>4007</v>
      </c>
      <c r="C4010">
        <v>146.07425294000001</v>
      </c>
      <c r="D4010">
        <v>-17.650534275599899</v>
      </c>
      <c r="G4010" s="92"/>
      <c r="I4010">
        <v>9</v>
      </c>
      <c r="J4010" t="s">
        <v>26</v>
      </c>
      <c r="K4010" s="57"/>
      <c r="S4010" s="57"/>
      <c r="X4010" s="57"/>
    </row>
    <row r="4011" spans="1:24" hidden="1" x14ac:dyDescent="0.35">
      <c r="A4011">
        <v>4007</v>
      </c>
      <c r="B4011">
        <v>4008</v>
      </c>
      <c r="C4011">
        <v>146.074250280999</v>
      </c>
      <c r="D4011">
        <v>-17.650449184900001</v>
      </c>
      <c r="G4011" s="92"/>
      <c r="I4011">
        <v>9</v>
      </c>
      <c r="J4011" t="s">
        <v>26</v>
      </c>
      <c r="K4011" s="57"/>
      <c r="S4011" s="57"/>
      <c r="X4011" s="57"/>
    </row>
    <row r="4012" spans="1:24" hidden="1" x14ac:dyDescent="0.35">
      <c r="A4012">
        <v>4008</v>
      </c>
      <c r="B4012">
        <v>4009</v>
      </c>
      <c r="C4012">
        <v>146.07425043999899</v>
      </c>
      <c r="D4012">
        <v>-17.6503635864999</v>
      </c>
      <c r="G4012" s="92"/>
      <c r="I4012">
        <v>9</v>
      </c>
      <c r="J4012" t="s">
        <v>26</v>
      </c>
      <c r="K4012" s="57"/>
      <c r="S4012" s="57"/>
      <c r="X4012" s="57"/>
    </row>
    <row r="4013" spans="1:24" hidden="1" x14ac:dyDescent="0.35">
      <c r="A4013">
        <v>4009</v>
      </c>
      <c r="B4013">
        <v>4010</v>
      </c>
      <c r="C4013">
        <v>146.07424780100001</v>
      </c>
      <c r="D4013">
        <v>-17.6502780207</v>
      </c>
      <c r="G4013" s="92"/>
      <c r="I4013">
        <v>9</v>
      </c>
      <c r="J4013" t="s">
        <v>26</v>
      </c>
      <c r="K4013" s="57"/>
      <c r="S4013" s="57"/>
      <c r="X4013" s="57"/>
    </row>
    <row r="4014" spans="1:24" hidden="1" x14ac:dyDescent="0.35">
      <c r="A4014">
        <v>4010</v>
      </c>
      <c r="B4014">
        <v>4011</v>
      </c>
      <c r="C4014">
        <v>146.074234824</v>
      </c>
      <c r="D4014">
        <v>-17.650194895399899</v>
      </c>
      <c r="G4014" s="92"/>
      <c r="I4014">
        <v>9</v>
      </c>
      <c r="J4014" t="s">
        <v>26</v>
      </c>
      <c r="K4014" s="57"/>
      <c r="S4014" s="57"/>
      <c r="X4014" s="57"/>
    </row>
    <row r="4015" spans="1:24" hidden="1" x14ac:dyDescent="0.35">
      <c r="A4015">
        <v>4011</v>
      </c>
      <c r="B4015">
        <v>4012</v>
      </c>
      <c r="C4015">
        <v>146.074188055999</v>
      </c>
      <c r="D4015">
        <v>-17.650125383700001</v>
      </c>
      <c r="G4015" s="92"/>
      <c r="I4015">
        <v>9</v>
      </c>
      <c r="J4015" t="s">
        <v>26</v>
      </c>
      <c r="K4015" s="57"/>
      <c r="S4015" s="57"/>
      <c r="X4015" s="57"/>
    </row>
    <row r="4016" spans="1:24" hidden="1" x14ac:dyDescent="0.35">
      <c r="A4016">
        <v>4012</v>
      </c>
      <c r="B4016">
        <v>4013</v>
      </c>
      <c r="C4016">
        <v>146.074104887</v>
      </c>
      <c r="D4016">
        <v>-17.650093033600001</v>
      </c>
      <c r="G4016" s="92"/>
      <c r="I4016">
        <v>9</v>
      </c>
      <c r="J4016" t="s">
        <v>26</v>
      </c>
      <c r="K4016" s="57"/>
      <c r="S4016" s="57"/>
      <c r="X4016" s="57"/>
    </row>
    <row r="4017" spans="1:24" hidden="1" x14ac:dyDescent="0.35">
      <c r="A4017">
        <v>4013</v>
      </c>
      <c r="B4017">
        <v>4014</v>
      </c>
      <c r="C4017">
        <v>146.07401925900001</v>
      </c>
      <c r="D4017">
        <v>-17.650084767100001</v>
      </c>
      <c r="G4017" s="92"/>
      <c r="I4017">
        <v>9</v>
      </c>
      <c r="J4017" t="s">
        <v>26</v>
      </c>
      <c r="K4017" s="57"/>
      <c r="S4017" s="57"/>
      <c r="X4017" s="57"/>
    </row>
    <row r="4018" spans="1:24" hidden="1" x14ac:dyDescent="0.35">
      <c r="A4018">
        <v>4014</v>
      </c>
      <c r="B4018">
        <v>4015</v>
      </c>
      <c r="C4018">
        <v>146.073957366</v>
      </c>
      <c r="D4018">
        <v>-17.650143568099899</v>
      </c>
      <c r="G4018" s="92"/>
      <c r="I4018">
        <v>9</v>
      </c>
      <c r="J4018" t="s">
        <v>26</v>
      </c>
      <c r="K4018" s="57"/>
      <c r="S4018" s="57"/>
      <c r="X4018" s="57"/>
    </row>
    <row r="4019" spans="1:24" hidden="1" x14ac:dyDescent="0.35">
      <c r="A4019">
        <v>4015</v>
      </c>
      <c r="B4019">
        <v>4016</v>
      </c>
      <c r="C4019">
        <v>146.07389200399899</v>
      </c>
      <c r="D4019">
        <v>-17.650202180400001</v>
      </c>
      <c r="G4019" s="92"/>
      <c r="I4019">
        <v>9</v>
      </c>
      <c r="J4019" t="s">
        <v>26</v>
      </c>
      <c r="K4019" s="57"/>
      <c r="S4019" s="57"/>
      <c r="X4019" s="57"/>
    </row>
    <row r="4020" spans="1:24" hidden="1" x14ac:dyDescent="0.35">
      <c r="A4020">
        <v>4016</v>
      </c>
      <c r="B4020">
        <v>4017</v>
      </c>
      <c r="C4020">
        <v>146.07382477900001</v>
      </c>
      <c r="D4020">
        <v>-17.650183268900001</v>
      </c>
      <c r="G4020" s="92"/>
      <c r="I4020">
        <v>9</v>
      </c>
      <c r="J4020" t="s">
        <v>26</v>
      </c>
      <c r="K4020" s="57"/>
      <c r="S4020" s="57"/>
      <c r="X4020" s="57"/>
    </row>
    <row r="4021" spans="1:24" hidden="1" x14ac:dyDescent="0.35">
      <c r="A4021">
        <v>4017</v>
      </c>
      <c r="B4021">
        <v>4018</v>
      </c>
      <c r="C4021">
        <v>146.07383986900001</v>
      </c>
      <c r="D4021">
        <v>-17.6501027153999</v>
      </c>
      <c r="G4021" s="92"/>
      <c r="I4021">
        <v>9</v>
      </c>
      <c r="J4021" t="s">
        <v>26</v>
      </c>
      <c r="K4021" s="57"/>
      <c r="S4021" s="57"/>
      <c r="X4021" s="57"/>
    </row>
    <row r="4022" spans="1:24" hidden="1" x14ac:dyDescent="0.35">
      <c r="A4022">
        <v>4018</v>
      </c>
      <c r="B4022">
        <v>4019</v>
      </c>
      <c r="C4022">
        <v>146.073886149999</v>
      </c>
      <c r="D4022">
        <v>-17.650031658500001</v>
      </c>
      <c r="G4022" s="92"/>
      <c r="I4022">
        <v>9</v>
      </c>
      <c r="J4022" t="s">
        <v>26</v>
      </c>
      <c r="K4022" s="57"/>
      <c r="S4022" s="57"/>
      <c r="X4022" s="57"/>
    </row>
    <row r="4023" spans="1:24" hidden="1" x14ac:dyDescent="0.35">
      <c r="A4023">
        <v>4019</v>
      </c>
      <c r="B4023">
        <v>4020</v>
      </c>
      <c r="C4023">
        <v>146.073949787</v>
      </c>
      <c r="D4023">
        <v>-17.649971240100001</v>
      </c>
      <c r="G4023" s="92"/>
      <c r="I4023">
        <v>9</v>
      </c>
      <c r="J4023" t="s">
        <v>26</v>
      </c>
      <c r="K4023" s="57"/>
      <c r="S4023" s="57"/>
      <c r="X4023" s="57"/>
    </row>
    <row r="4024" spans="1:24" hidden="1" x14ac:dyDescent="0.35">
      <c r="A4024">
        <v>4020</v>
      </c>
      <c r="B4024">
        <v>4021</v>
      </c>
      <c r="C4024">
        <v>146.074022681</v>
      </c>
      <c r="D4024">
        <v>-17.649921274699899</v>
      </c>
      <c r="G4024" s="92"/>
      <c r="I4024">
        <v>9</v>
      </c>
      <c r="J4024" t="s">
        <v>26</v>
      </c>
      <c r="K4024" s="57"/>
      <c r="S4024" s="57"/>
      <c r="X4024" s="57"/>
    </row>
    <row r="4025" spans="1:24" hidden="1" x14ac:dyDescent="0.35">
      <c r="A4025">
        <v>4021</v>
      </c>
      <c r="B4025">
        <v>4022</v>
      </c>
      <c r="C4025">
        <v>146.07410847899899</v>
      </c>
      <c r="D4025">
        <v>-17.6498978372999</v>
      </c>
      <c r="G4025" s="92"/>
      <c r="I4025">
        <v>9</v>
      </c>
      <c r="J4025" t="s">
        <v>26</v>
      </c>
      <c r="K4025" s="57"/>
      <c r="S4025" s="57"/>
      <c r="X4025" s="57"/>
    </row>
    <row r="4026" spans="1:24" hidden="1" x14ac:dyDescent="0.35">
      <c r="A4026">
        <v>4022</v>
      </c>
      <c r="B4026">
        <v>4023</v>
      </c>
      <c r="C4026">
        <v>146.07419780500001</v>
      </c>
      <c r="D4026">
        <v>-17.6499003455999</v>
      </c>
      <c r="G4026" s="92"/>
      <c r="I4026">
        <v>9</v>
      </c>
      <c r="J4026" t="s">
        <v>26</v>
      </c>
      <c r="K4026" s="57"/>
      <c r="S4026" s="57"/>
      <c r="X4026" s="57"/>
    </row>
    <row r="4027" spans="1:24" hidden="1" x14ac:dyDescent="0.35">
      <c r="A4027">
        <v>4023</v>
      </c>
      <c r="B4027">
        <v>4024</v>
      </c>
      <c r="C4027">
        <v>146.07425110899899</v>
      </c>
      <c r="D4027">
        <v>-17.6499645526</v>
      </c>
      <c r="G4027" s="92"/>
      <c r="I4027">
        <v>9</v>
      </c>
      <c r="J4027" t="s">
        <v>26</v>
      </c>
      <c r="K4027" s="57"/>
      <c r="S4027" s="57"/>
      <c r="X4027" s="57"/>
    </row>
    <row r="4028" spans="1:24" hidden="1" x14ac:dyDescent="0.35">
      <c r="A4028">
        <v>4024</v>
      </c>
      <c r="B4028">
        <v>4025</v>
      </c>
      <c r="C4028">
        <v>146.074287712</v>
      </c>
      <c r="D4028">
        <v>-17.650041271300001</v>
      </c>
      <c r="G4028" s="92"/>
      <c r="I4028">
        <v>9</v>
      </c>
      <c r="J4028" t="s">
        <v>26</v>
      </c>
      <c r="K4028" s="57"/>
      <c r="S4028" s="57"/>
      <c r="X4028" s="57"/>
    </row>
    <row r="4029" spans="1:24" hidden="1" x14ac:dyDescent="0.35">
      <c r="A4029">
        <v>4025</v>
      </c>
      <c r="B4029">
        <v>4026</v>
      </c>
      <c r="C4029">
        <v>146.074306256</v>
      </c>
      <c r="D4029">
        <v>-17.6501250305</v>
      </c>
      <c r="G4029" s="92"/>
      <c r="I4029">
        <v>9</v>
      </c>
      <c r="J4029" t="s">
        <v>26</v>
      </c>
      <c r="K4029" s="57"/>
      <c r="S4029" s="57"/>
      <c r="X4029" s="57"/>
    </row>
    <row r="4030" spans="1:24" hidden="1" x14ac:dyDescent="0.35">
      <c r="A4030">
        <v>4026</v>
      </c>
      <c r="B4030">
        <v>4027</v>
      </c>
      <c r="C4030">
        <v>146.074329962999</v>
      </c>
      <c r="D4030">
        <v>-17.650207586000001</v>
      </c>
      <c r="G4030" s="92"/>
      <c r="I4030">
        <v>9</v>
      </c>
      <c r="J4030" t="s">
        <v>26</v>
      </c>
      <c r="K4030" s="57"/>
      <c r="S4030" s="57"/>
      <c r="X4030" s="57"/>
    </row>
    <row r="4031" spans="1:24" hidden="1" x14ac:dyDescent="0.35">
      <c r="A4031">
        <v>4027</v>
      </c>
      <c r="B4031">
        <v>4028</v>
      </c>
      <c r="C4031">
        <v>146.07435408200001</v>
      </c>
      <c r="D4031">
        <v>-17.650290045599899</v>
      </c>
      <c r="G4031" s="92"/>
      <c r="I4031">
        <v>9</v>
      </c>
      <c r="J4031" t="s">
        <v>26</v>
      </c>
      <c r="K4031" s="57"/>
      <c r="S4031" s="57"/>
      <c r="X4031" s="57"/>
    </row>
    <row r="4032" spans="1:24" hidden="1" x14ac:dyDescent="0.35">
      <c r="A4032">
        <v>4028</v>
      </c>
      <c r="B4032">
        <v>4029</v>
      </c>
      <c r="C4032">
        <v>146.074386094999</v>
      </c>
      <c r="D4032">
        <v>-17.650369818400002</v>
      </c>
      <c r="G4032" s="92"/>
      <c r="I4032">
        <v>9</v>
      </c>
      <c r="J4032" t="s">
        <v>26</v>
      </c>
      <c r="K4032" s="57"/>
      <c r="S4032" s="57"/>
      <c r="X4032" s="57"/>
    </row>
    <row r="4033" spans="1:24" hidden="1" x14ac:dyDescent="0.35">
      <c r="A4033">
        <v>4029</v>
      </c>
      <c r="B4033">
        <v>4030</v>
      </c>
      <c r="C4033">
        <v>146.07442225400001</v>
      </c>
      <c r="D4033">
        <v>-17.6504481801</v>
      </c>
      <c r="G4033" s="92"/>
      <c r="I4033">
        <v>9</v>
      </c>
      <c r="J4033" t="s">
        <v>26</v>
      </c>
      <c r="K4033" s="57"/>
      <c r="S4033" s="57"/>
      <c r="X4033" s="57"/>
    </row>
    <row r="4034" spans="1:24" hidden="1" x14ac:dyDescent="0.35">
      <c r="A4034">
        <v>4030</v>
      </c>
      <c r="B4034">
        <v>4031</v>
      </c>
      <c r="C4034">
        <v>146.074459141999</v>
      </c>
      <c r="D4034">
        <v>-17.650526230499899</v>
      </c>
      <c r="G4034" s="92"/>
      <c r="I4034">
        <v>9</v>
      </c>
      <c r="J4034" t="s">
        <v>26</v>
      </c>
      <c r="K4034" s="57"/>
      <c r="S4034" s="57"/>
      <c r="X4034" s="57"/>
    </row>
    <row r="4035" spans="1:24" hidden="1" x14ac:dyDescent="0.35">
      <c r="A4035">
        <v>4031</v>
      </c>
      <c r="B4035">
        <v>4032</v>
      </c>
      <c r="C4035">
        <v>146.074496382999</v>
      </c>
      <c r="D4035">
        <v>-17.650604130600001</v>
      </c>
      <c r="G4035" s="92"/>
      <c r="I4035">
        <v>9</v>
      </c>
      <c r="J4035" t="s">
        <v>26</v>
      </c>
      <c r="K4035" s="57"/>
      <c r="S4035" s="57"/>
      <c r="X4035" s="57"/>
    </row>
    <row r="4036" spans="1:24" hidden="1" x14ac:dyDescent="0.35">
      <c r="A4036">
        <v>4032</v>
      </c>
      <c r="B4036">
        <v>4033</v>
      </c>
      <c r="C4036">
        <v>146.074532387</v>
      </c>
      <c r="D4036">
        <v>-17.650682553300001</v>
      </c>
      <c r="G4036" s="92"/>
      <c r="I4036">
        <v>9</v>
      </c>
      <c r="J4036" t="s">
        <v>26</v>
      </c>
      <c r="K4036" s="57"/>
      <c r="S4036" s="57"/>
      <c r="X4036" s="57"/>
    </row>
    <row r="4037" spans="1:24" hidden="1" x14ac:dyDescent="0.35">
      <c r="A4037">
        <v>4033</v>
      </c>
      <c r="B4037">
        <v>4034</v>
      </c>
      <c r="C4037">
        <v>146.07456906300001</v>
      </c>
      <c r="D4037">
        <v>-17.6507605038999</v>
      </c>
      <c r="G4037" s="92"/>
      <c r="I4037">
        <v>9</v>
      </c>
      <c r="J4037" t="s">
        <v>26</v>
      </c>
      <c r="K4037" s="57"/>
      <c r="S4037" s="57"/>
      <c r="X4037" s="57"/>
    </row>
    <row r="4038" spans="1:24" hidden="1" x14ac:dyDescent="0.35">
      <c r="A4038">
        <v>4034</v>
      </c>
      <c r="B4038">
        <v>4035</v>
      </c>
      <c r="C4038">
        <v>146.074627679999</v>
      </c>
      <c r="D4038">
        <v>-17.6508253704</v>
      </c>
      <c r="G4038" s="92"/>
      <c r="I4038">
        <v>9</v>
      </c>
      <c r="J4038" t="s">
        <v>26</v>
      </c>
      <c r="K4038" s="57"/>
      <c r="S4038" s="57"/>
      <c r="X4038" s="57"/>
    </row>
    <row r="4039" spans="1:24" hidden="1" x14ac:dyDescent="0.35">
      <c r="A4039">
        <v>4035</v>
      </c>
      <c r="B4039">
        <v>4036</v>
      </c>
      <c r="C4039">
        <v>146.074686654999</v>
      </c>
      <c r="D4039">
        <v>-17.650889916899899</v>
      </c>
      <c r="G4039" s="92"/>
      <c r="I4039">
        <v>9</v>
      </c>
      <c r="J4039" t="s">
        <v>26</v>
      </c>
      <c r="K4039" s="57"/>
      <c r="S4039" s="57"/>
      <c r="X4039" s="57"/>
    </row>
    <row r="4040" spans="1:24" hidden="1" x14ac:dyDescent="0.35">
      <c r="A4040">
        <v>4036</v>
      </c>
      <c r="B4040">
        <v>4037</v>
      </c>
      <c r="C4040">
        <v>146.074751015999</v>
      </c>
      <c r="D4040">
        <v>-17.650949634900002</v>
      </c>
      <c r="G4040" s="92"/>
      <c r="I4040">
        <v>9</v>
      </c>
      <c r="J4040" t="s">
        <v>26</v>
      </c>
      <c r="K4040" s="57"/>
      <c r="S4040" s="57"/>
      <c r="X4040" s="57"/>
    </row>
    <row r="4041" spans="1:24" hidden="1" x14ac:dyDescent="0.35">
      <c r="A4041">
        <v>4037</v>
      </c>
      <c r="B4041">
        <v>4038</v>
      </c>
      <c r="C4041">
        <v>146.07481537800001</v>
      </c>
      <c r="D4041">
        <v>-17.651009352900001</v>
      </c>
      <c r="G4041" s="92"/>
      <c r="I4041">
        <v>9</v>
      </c>
      <c r="J4041" t="s">
        <v>26</v>
      </c>
      <c r="K4041" s="57"/>
      <c r="S4041" s="57"/>
      <c r="X4041" s="57"/>
    </row>
    <row r="4042" spans="1:24" hidden="1" x14ac:dyDescent="0.35">
      <c r="A4042">
        <v>4038</v>
      </c>
      <c r="B4042">
        <v>4039</v>
      </c>
      <c r="C4042">
        <v>146.074893494999</v>
      </c>
      <c r="D4042">
        <v>-17.6510515867</v>
      </c>
      <c r="G4042" s="92"/>
      <c r="I4042">
        <v>9</v>
      </c>
      <c r="J4042" t="s">
        <v>26</v>
      </c>
      <c r="K4042" s="57"/>
      <c r="S4042" s="57"/>
      <c r="X4042" s="57"/>
    </row>
    <row r="4043" spans="1:24" hidden="1" x14ac:dyDescent="0.35">
      <c r="A4043">
        <v>4039</v>
      </c>
      <c r="B4043">
        <v>4040</v>
      </c>
      <c r="C4043">
        <v>146.074971691999</v>
      </c>
      <c r="D4043">
        <v>-17.6510937197</v>
      </c>
      <c r="G4043" s="92"/>
      <c r="I4043">
        <v>9</v>
      </c>
      <c r="J4043" t="s">
        <v>26</v>
      </c>
      <c r="K4043" s="57"/>
      <c r="S4043" s="57"/>
      <c r="X4043" s="57"/>
    </row>
    <row r="4044" spans="1:24" hidden="1" x14ac:dyDescent="0.35">
      <c r="A4044">
        <v>4040</v>
      </c>
      <c r="B4044">
        <v>4041</v>
      </c>
      <c r="C4044">
        <v>146.075050696999</v>
      </c>
      <c r="D4044">
        <v>-17.6511344187</v>
      </c>
      <c r="G4044" s="92"/>
      <c r="I4044">
        <v>9</v>
      </c>
      <c r="J4044" t="s">
        <v>26</v>
      </c>
      <c r="K4044" s="57"/>
      <c r="S4044" s="57"/>
      <c r="X4044" s="57"/>
    </row>
    <row r="4045" spans="1:24" hidden="1" x14ac:dyDescent="0.35">
      <c r="A4045">
        <v>4041</v>
      </c>
      <c r="B4045">
        <v>4042</v>
      </c>
      <c r="C4045">
        <v>146.075130747999</v>
      </c>
      <c r="D4045">
        <v>-17.651173263099899</v>
      </c>
      <c r="G4045" s="92"/>
      <c r="I4045">
        <v>9</v>
      </c>
      <c r="J4045" t="s">
        <v>26</v>
      </c>
      <c r="K4045" s="57"/>
      <c r="S4045" s="57"/>
      <c r="X4045" s="57"/>
    </row>
    <row r="4046" spans="1:24" hidden="1" x14ac:dyDescent="0.35">
      <c r="A4046">
        <v>4042</v>
      </c>
      <c r="B4046">
        <v>4043</v>
      </c>
      <c r="C4046">
        <v>146.075208631999</v>
      </c>
      <c r="D4046">
        <v>-17.6512152942</v>
      </c>
      <c r="G4046" s="92"/>
      <c r="I4046">
        <v>9</v>
      </c>
      <c r="J4046" t="s">
        <v>26</v>
      </c>
      <c r="K4046" s="57"/>
      <c r="S4046" s="57"/>
      <c r="X4046" s="57"/>
    </row>
    <row r="4047" spans="1:24" hidden="1" x14ac:dyDescent="0.35">
      <c r="A4047">
        <v>4043</v>
      </c>
      <c r="B4047">
        <v>4044</v>
      </c>
      <c r="C4047">
        <v>146.075278572999</v>
      </c>
      <c r="D4047">
        <v>-17.651269013299899</v>
      </c>
      <c r="G4047" s="92"/>
      <c r="I4047">
        <v>9</v>
      </c>
      <c r="J4047" t="s">
        <v>26</v>
      </c>
      <c r="K4047" s="57"/>
      <c r="S4047" s="57"/>
      <c r="X4047" s="57"/>
    </row>
    <row r="4048" spans="1:24" hidden="1" x14ac:dyDescent="0.35">
      <c r="A4048">
        <v>4044</v>
      </c>
      <c r="B4048">
        <v>4045</v>
      </c>
      <c r="C4048">
        <v>146.07534851400001</v>
      </c>
      <c r="D4048">
        <v>-17.651322732899899</v>
      </c>
      <c r="G4048" s="92"/>
      <c r="I4048">
        <v>9</v>
      </c>
      <c r="J4048" t="s">
        <v>26</v>
      </c>
      <c r="K4048" s="57"/>
      <c r="S4048" s="57"/>
      <c r="X4048" s="57"/>
    </row>
    <row r="4049" spans="1:24" hidden="1" x14ac:dyDescent="0.35">
      <c r="A4049">
        <v>4045</v>
      </c>
      <c r="B4049">
        <v>4046</v>
      </c>
      <c r="C4049">
        <v>146.075404093999</v>
      </c>
      <c r="D4049">
        <v>-17.6513897251</v>
      </c>
      <c r="G4049" s="92"/>
      <c r="I4049">
        <v>9</v>
      </c>
      <c r="J4049" t="s">
        <v>26</v>
      </c>
      <c r="K4049" s="57"/>
      <c r="S4049" s="57"/>
      <c r="X4049" s="57"/>
    </row>
    <row r="4050" spans="1:24" hidden="1" x14ac:dyDescent="0.35">
      <c r="A4050">
        <v>4046</v>
      </c>
      <c r="B4050">
        <v>4047</v>
      </c>
      <c r="C4050">
        <v>146.075458306999</v>
      </c>
      <c r="D4050">
        <v>-17.651457981299899</v>
      </c>
      <c r="G4050" s="92"/>
      <c r="I4050">
        <v>9</v>
      </c>
      <c r="J4050" t="s">
        <v>26</v>
      </c>
      <c r="K4050" s="57"/>
      <c r="S4050" s="57"/>
      <c r="X4050" s="57"/>
    </row>
    <row r="4051" spans="1:24" hidden="1" x14ac:dyDescent="0.35">
      <c r="A4051">
        <v>4047</v>
      </c>
      <c r="B4051">
        <v>4048</v>
      </c>
      <c r="C4051">
        <v>146.075504784</v>
      </c>
      <c r="D4051">
        <v>-17.6515311560999</v>
      </c>
      <c r="G4051" s="92"/>
      <c r="I4051">
        <v>9</v>
      </c>
      <c r="J4051" t="s">
        <v>26</v>
      </c>
      <c r="K4051" s="57"/>
      <c r="S4051" s="57"/>
      <c r="X4051" s="57"/>
    </row>
    <row r="4052" spans="1:24" hidden="1" x14ac:dyDescent="0.35">
      <c r="A4052">
        <v>4048</v>
      </c>
      <c r="B4052">
        <v>4049</v>
      </c>
      <c r="C4052">
        <v>146.075550109999</v>
      </c>
      <c r="D4052">
        <v>-17.6516050627</v>
      </c>
      <c r="G4052" s="92"/>
      <c r="I4052">
        <v>9</v>
      </c>
      <c r="J4052" t="s">
        <v>26</v>
      </c>
      <c r="K4052" s="57"/>
      <c r="S4052" s="57"/>
      <c r="X4052" s="57"/>
    </row>
    <row r="4053" spans="1:24" hidden="1" x14ac:dyDescent="0.35">
      <c r="A4053">
        <v>4049</v>
      </c>
      <c r="B4053">
        <v>4050</v>
      </c>
      <c r="C4053">
        <v>146.075596359</v>
      </c>
      <c r="D4053">
        <v>-17.6516784161999</v>
      </c>
      <c r="G4053" s="92"/>
      <c r="I4053">
        <v>9</v>
      </c>
      <c r="J4053" t="s">
        <v>26</v>
      </c>
      <c r="K4053" s="57"/>
      <c r="S4053" s="57"/>
      <c r="X4053" s="57"/>
    </row>
    <row r="4054" spans="1:24" hidden="1" x14ac:dyDescent="0.35">
      <c r="A4054">
        <v>4050</v>
      </c>
      <c r="B4054">
        <v>4051</v>
      </c>
      <c r="C4054">
        <v>146.07564658800001</v>
      </c>
      <c r="D4054">
        <v>-17.651749386399899</v>
      </c>
      <c r="G4054" s="92"/>
      <c r="I4054">
        <v>9</v>
      </c>
      <c r="J4054" t="s">
        <v>26</v>
      </c>
      <c r="K4054" s="57"/>
      <c r="S4054" s="57"/>
      <c r="X4054" s="57"/>
    </row>
    <row r="4055" spans="1:24" hidden="1" x14ac:dyDescent="0.35">
      <c r="A4055">
        <v>4051</v>
      </c>
      <c r="B4055">
        <v>4052</v>
      </c>
      <c r="C4055">
        <v>146.075696816999</v>
      </c>
      <c r="D4055">
        <v>-17.651820356599899</v>
      </c>
      <c r="G4055" s="92"/>
      <c r="I4055">
        <v>9</v>
      </c>
      <c r="J4055" t="s">
        <v>26</v>
      </c>
      <c r="K4055" s="57"/>
      <c r="S4055" s="57"/>
      <c r="X4055" s="57"/>
    </row>
    <row r="4056" spans="1:24" hidden="1" x14ac:dyDescent="0.35">
      <c r="A4056">
        <v>4052</v>
      </c>
      <c r="B4056">
        <v>4053</v>
      </c>
      <c r="C4056">
        <v>146.075743880999</v>
      </c>
      <c r="D4056">
        <v>-17.6518931976</v>
      </c>
      <c r="G4056" s="92"/>
      <c r="I4056">
        <v>9</v>
      </c>
      <c r="J4056" t="s">
        <v>26</v>
      </c>
      <c r="K4056" s="57"/>
      <c r="S4056" s="57"/>
      <c r="X4056" s="57"/>
    </row>
    <row r="4057" spans="1:24" hidden="1" x14ac:dyDescent="0.35">
      <c r="A4057">
        <v>4053</v>
      </c>
      <c r="B4057">
        <v>4054</v>
      </c>
      <c r="C4057">
        <v>146.07578830400001</v>
      </c>
      <c r="D4057">
        <v>-17.6519676001999</v>
      </c>
      <c r="G4057" s="92"/>
      <c r="I4057">
        <v>9</v>
      </c>
      <c r="J4057" t="s">
        <v>26</v>
      </c>
      <c r="K4057" s="57"/>
      <c r="S4057" s="57"/>
      <c r="X4057" s="57"/>
    </row>
    <row r="4058" spans="1:24" hidden="1" x14ac:dyDescent="0.35">
      <c r="A4058">
        <v>4054</v>
      </c>
      <c r="B4058">
        <v>4055</v>
      </c>
      <c r="C4058">
        <v>146.07583272700001</v>
      </c>
      <c r="D4058">
        <v>-17.6520420027</v>
      </c>
      <c r="G4058" s="92"/>
      <c r="I4058">
        <v>9</v>
      </c>
      <c r="J4058" t="s">
        <v>26</v>
      </c>
      <c r="K4058" s="57"/>
      <c r="S4058" s="57"/>
      <c r="X4058" s="57"/>
    </row>
    <row r="4059" spans="1:24" hidden="1" x14ac:dyDescent="0.35">
      <c r="A4059">
        <v>4055</v>
      </c>
      <c r="B4059">
        <v>4056</v>
      </c>
      <c r="C4059">
        <v>146.075878369999</v>
      </c>
      <c r="D4059">
        <v>-17.652115728399899</v>
      </c>
      <c r="G4059" s="92"/>
      <c r="I4059">
        <v>9</v>
      </c>
      <c r="J4059" t="s">
        <v>26</v>
      </c>
      <c r="K4059" s="57"/>
      <c r="S4059" s="57"/>
      <c r="X4059" s="57"/>
    </row>
    <row r="4060" spans="1:24" hidden="1" x14ac:dyDescent="0.35">
      <c r="A4060">
        <v>4056</v>
      </c>
      <c r="B4060">
        <v>4057</v>
      </c>
      <c r="C4060">
        <v>146.075924302</v>
      </c>
      <c r="D4060">
        <v>-17.6521892943999</v>
      </c>
      <c r="G4060" s="92"/>
      <c r="I4060">
        <v>9</v>
      </c>
      <c r="J4060" t="s">
        <v>26</v>
      </c>
      <c r="K4060" s="57"/>
      <c r="S4060" s="57"/>
      <c r="X4060" s="57"/>
    </row>
    <row r="4061" spans="1:24" hidden="1" x14ac:dyDescent="0.35">
      <c r="A4061">
        <v>4057</v>
      </c>
      <c r="B4061">
        <v>4058</v>
      </c>
      <c r="C4061">
        <v>146.07597064999899</v>
      </c>
      <c r="D4061">
        <v>-17.6522625859999</v>
      </c>
      <c r="G4061" s="92"/>
      <c r="I4061">
        <v>9</v>
      </c>
      <c r="J4061" t="s">
        <v>26</v>
      </c>
      <c r="K4061" s="57"/>
      <c r="S4061" s="57"/>
      <c r="X4061" s="57"/>
    </row>
    <row r="4062" spans="1:24" hidden="1" x14ac:dyDescent="0.35">
      <c r="A4062">
        <v>4058</v>
      </c>
      <c r="B4062">
        <v>4059</v>
      </c>
      <c r="C4062">
        <v>146.07602662100001</v>
      </c>
      <c r="D4062">
        <v>-17.652329541099899</v>
      </c>
      <c r="G4062" s="92"/>
      <c r="I4062">
        <v>9</v>
      </c>
      <c r="J4062" t="s">
        <v>26</v>
      </c>
      <c r="K4062" s="57"/>
      <c r="S4062" s="57"/>
      <c r="X4062" s="57"/>
    </row>
    <row r="4063" spans="1:24" hidden="1" x14ac:dyDescent="0.35">
      <c r="A4063">
        <v>4059</v>
      </c>
      <c r="B4063">
        <v>4060</v>
      </c>
      <c r="C4063">
        <v>146.076091246</v>
      </c>
      <c r="D4063">
        <v>-17.652386393</v>
      </c>
      <c r="G4063" s="92"/>
      <c r="I4063">
        <v>9</v>
      </c>
      <c r="J4063" t="s">
        <v>26</v>
      </c>
      <c r="K4063" s="57"/>
      <c r="S4063" s="57"/>
      <c r="X4063" s="57"/>
    </row>
    <row r="4064" spans="1:24" hidden="1" x14ac:dyDescent="0.35">
      <c r="A4064">
        <v>4060</v>
      </c>
      <c r="B4064">
        <v>4061</v>
      </c>
      <c r="C4064">
        <v>146.076173213</v>
      </c>
      <c r="D4064">
        <v>-17.652411046400001</v>
      </c>
      <c r="G4064" s="92"/>
      <c r="I4064">
        <v>9</v>
      </c>
      <c r="J4064" t="s">
        <v>26</v>
      </c>
      <c r="K4064" s="57"/>
      <c r="S4064" s="57"/>
      <c r="X4064" s="57"/>
    </row>
    <row r="4065" spans="1:24" hidden="1" x14ac:dyDescent="0.35">
      <c r="A4065">
        <v>4061</v>
      </c>
      <c r="B4065">
        <v>4062</v>
      </c>
      <c r="C4065">
        <v>146.07624709999899</v>
      </c>
      <c r="D4065">
        <v>-17.6523667459</v>
      </c>
      <c r="G4065" s="92"/>
      <c r="I4065">
        <v>9</v>
      </c>
      <c r="J4065" t="s">
        <v>26</v>
      </c>
      <c r="K4065" s="57"/>
      <c r="S4065" s="57"/>
      <c r="X4065" s="57"/>
    </row>
    <row r="4066" spans="1:24" hidden="1" x14ac:dyDescent="0.35">
      <c r="A4066">
        <v>4062</v>
      </c>
      <c r="B4066">
        <v>4063</v>
      </c>
      <c r="C4066">
        <v>146.07627707399899</v>
      </c>
      <c r="D4066">
        <v>-17.6522869227</v>
      </c>
      <c r="G4066" s="92"/>
      <c r="I4066">
        <v>9</v>
      </c>
      <c r="J4066" t="s">
        <v>26</v>
      </c>
      <c r="K4066" s="57"/>
      <c r="S4066" s="57"/>
      <c r="X4066" s="57"/>
    </row>
    <row r="4067" spans="1:24" hidden="1" x14ac:dyDescent="0.35">
      <c r="A4067">
        <v>4063</v>
      </c>
      <c r="B4067">
        <v>4064</v>
      </c>
      <c r="C4067">
        <v>146.07628719100001</v>
      </c>
      <c r="D4067">
        <v>-17.6522020789</v>
      </c>
      <c r="G4067" s="92"/>
      <c r="I4067">
        <v>9</v>
      </c>
      <c r="J4067" t="s">
        <v>26</v>
      </c>
      <c r="K4067" s="57"/>
      <c r="S4067" s="57"/>
      <c r="X4067" s="57"/>
    </row>
    <row r="4068" spans="1:24" hidden="1" x14ac:dyDescent="0.35">
      <c r="A4068">
        <v>4064</v>
      </c>
      <c r="B4068">
        <v>4065</v>
      </c>
      <c r="C4068">
        <v>146.076300688</v>
      </c>
      <c r="D4068">
        <v>-17.652117737800001</v>
      </c>
      <c r="G4068" s="92"/>
      <c r="I4068">
        <v>9</v>
      </c>
      <c r="J4068" t="s">
        <v>26</v>
      </c>
      <c r="K4068" s="57"/>
      <c r="S4068" s="57"/>
      <c r="X4068" s="57"/>
    </row>
    <row r="4069" spans="1:24" hidden="1" x14ac:dyDescent="0.35">
      <c r="A4069">
        <v>4065</v>
      </c>
      <c r="B4069">
        <v>4066</v>
      </c>
      <c r="C4069">
        <v>146.07632342900001</v>
      </c>
      <c r="D4069">
        <v>-17.652034924300001</v>
      </c>
      <c r="G4069" s="92"/>
      <c r="I4069">
        <v>9</v>
      </c>
      <c r="J4069" t="s">
        <v>26</v>
      </c>
      <c r="K4069" s="57"/>
      <c r="S4069" s="57"/>
      <c r="X4069" s="57"/>
    </row>
    <row r="4070" spans="1:24" hidden="1" x14ac:dyDescent="0.35">
      <c r="A4070">
        <v>4066</v>
      </c>
      <c r="B4070">
        <v>4067</v>
      </c>
      <c r="C4070">
        <v>146.076349200999</v>
      </c>
      <c r="D4070">
        <v>-17.651953011300002</v>
      </c>
      <c r="G4070" s="92"/>
      <c r="I4070">
        <v>9</v>
      </c>
      <c r="J4070" t="s">
        <v>26</v>
      </c>
      <c r="K4070" s="57"/>
      <c r="S4070" s="57"/>
      <c r="X4070" s="57"/>
    </row>
    <row r="4071" spans="1:24" hidden="1" x14ac:dyDescent="0.35">
      <c r="A4071">
        <v>4067</v>
      </c>
      <c r="B4071">
        <v>4068</v>
      </c>
      <c r="C4071">
        <v>146.076379876</v>
      </c>
      <c r="D4071">
        <v>-17.651872554600001</v>
      </c>
      <c r="G4071" s="92"/>
      <c r="I4071">
        <v>9</v>
      </c>
      <c r="J4071" t="s">
        <v>26</v>
      </c>
      <c r="K4071" s="57"/>
      <c r="S4071" s="57"/>
      <c r="X4071" s="57"/>
    </row>
    <row r="4072" spans="1:24" hidden="1" x14ac:dyDescent="0.35">
      <c r="A4072">
        <v>4068</v>
      </c>
      <c r="B4072">
        <v>4069</v>
      </c>
      <c r="C4072">
        <v>146.076415846</v>
      </c>
      <c r="D4072">
        <v>-17.651794187</v>
      </c>
      <c r="G4072" s="92"/>
      <c r="I4072">
        <v>9</v>
      </c>
      <c r="J4072" t="s">
        <v>26</v>
      </c>
      <c r="K4072" s="57"/>
      <c r="S4072" s="57"/>
      <c r="X4072" s="57"/>
    </row>
    <row r="4073" spans="1:24" hidden="1" x14ac:dyDescent="0.35">
      <c r="A4073">
        <v>4069</v>
      </c>
      <c r="B4073">
        <v>4070</v>
      </c>
      <c r="C4073">
        <v>146.07645382499899</v>
      </c>
      <c r="D4073">
        <v>-17.651716611400001</v>
      </c>
      <c r="G4073" s="92"/>
      <c r="I4073">
        <v>9</v>
      </c>
      <c r="J4073" t="s">
        <v>26</v>
      </c>
      <c r="K4073" s="57"/>
      <c r="S4073" s="57"/>
      <c r="X4073" s="57"/>
    </row>
    <row r="4074" spans="1:24" hidden="1" x14ac:dyDescent="0.35">
      <c r="A4074">
        <v>4070</v>
      </c>
      <c r="B4074">
        <v>4071</v>
      </c>
      <c r="C4074">
        <v>146.07649180300001</v>
      </c>
      <c r="D4074">
        <v>-17.651639035900001</v>
      </c>
      <c r="G4074" s="92"/>
      <c r="I4074">
        <v>9</v>
      </c>
      <c r="J4074" t="s">
        <v>26</v>
      </c>
      <c r="K4074" s="57"/>
      <c r="S4074" s="57"/>
      <c r="X4074" s="57"/>
    </row>
    <row r="4075" spans="1:24" hidden="1" x14ac:dyDescent="0.35">
      <c r="A4075">
        <v>4071</v>
      </c>
      <c r="B4075">
        <v>4072</v>
      </c>
      <c r="C4075">
        <v>146.076540684999</v>
      </c>
      <c r="D4075">
        <v>-17.651567316600001</v>
      </c>
      <c r="G4075" s="92"/>
      <c r="I4075">
        <v>9</v>
      </c>
      <c r="J4075" t="s">
        <v>26</v>
      </c>
      <c r="K4075" s="57"/>
      <c r="S4075" s="57"/>
      <c r="X4075" s="57"/>
    </row>
    <row r="4076" spans="1:24" hidden="1" x14ac:dyDescent="0.35">
      <c r="A4076">
        <v>4072</v>
      </c>
      <c r="B4076">
        <v>4073</v>
      </c>
      <c r="C4076">
        <v>146.076590667999</v>
      </c>
      <c r="D4076">
        <v>-17.651496189300001</v>
      </c>
      <c r="G4076" s="92"/>
      <c r="I4076">
        <v>9</v>
      </c>
      <c r="J4076" t="s">
        <v>26</v>
      </c>
      <c r="K4076" s="57"/>
      <c r="S4076" s="57"/>
      <c r="X4076" s="57"/>
    </row>
    <row r="4077" spans="1:24" hidden="1" x14ac:dyDescent="0.35">
      <c r="A4077">
        <v>4073</v>
      </c>
      <c r="B4077">
        <v>4074</v>
      </c>
      <c r="C4077">
        <v>146.07664065200001</v>
      </c>
      <c r="D4077">
        <v>-17.651425062000001</v>
      </c>
      <c r="G4077" s="92"/>
      <c r="I4077">
        <v>9</v>
      </c>
      <c r="J4077" t="s">
        <v>26</v>
      </c>
      <c r="K4077" s="57"/>
      <c r="S4077" s="57"/>
      <c r="X4077" s="57"/>
    </row>
    <row r="4078" spans="1:24" hidden="1" x14ac:dyDescent="0.35">
      <c r="A4078">
        <v>4074</v>
      </c>
      <c r="B4078">
        <v>4075</v>
      </c>
      <c r="C4078">
        <v>146.076696139999</v>
      </c>
      <c r="D4078">
        <v>-17.6513577461</v>
      </c>
      <c r="G4078" s="92"/>
      <c r="I4078">
        <v>9</v>
      </c>
      <c r="J4078" t="s">
        <v>26</v>
      </c>
      <c r="K4078" s="57"/>
      <c r="S4078" s="57"/>
      <c r="X4078" s="57"/>
    </row>
    <row r="4079" spans="1:24" hidden="1" x14ac:dyDescent="0.35">
      <c r="A4079">
        <v>4075</v>
      </c>
      <c r="B4079">
        <v>4076</v>
      </c>
      <c r="C4079">
        <v>146.076751690999</v>
      </c>
      <c r="D4079">
        <v>-17.6512904738</v>
      </c>
      <c r="G4079" s="92"/>
      <c r="I4079">
        <v>9</v>
      </c>
      <c r="J4079" t="s">
        <v>26</v>
      </c>
      <c r="K4079" s="57"/>
      <c r="S4079" s="57"/>
      <c r="X4079" s="57"/>
    </row>
    <row r="4080" spans="1:24" hidden="1" x14ac:dyDescent="0.35">
      <c r="A4080">
        <v>4076</v>
      </c>
      <c r="B4080">
        <v>4077</v>
      </c>
      <c r="C4080">
        <v>146.07680738400001</v>
      </c>
      <c r="D4080">
        <v>-17.6512233123999</v>
      </c>
      <c r="G4080" s="92"/>
      <c r="I4080">
        <v>9</v>
      </c>
      <c r="J4080" t="s">
        <v>26</v>
      </c>
      <c r="K4080" s="57"/>
      <c r="S4080" s="57"/>
      <c r="X4080" s="57"/>
    </row>
    <row r="4081" spans="1:24" hidden="1" x14ac:dyDescent="0.35">
      <c r="A4081">
        <v>4077</v>
      </c>
      <c r="B4081">
        <v>4078</v>
      </c>
      <c r="C4081">
        <v>146.07686523999899</v>
      </c>
      <c r="D4081">
        <v>-17.651157828100001</v>
      </c>
      <c r="G4081" s="92"/>
      <c r="I4081">
        <v>9</v>
      </c>
      <c r="J4081" t="s">
        <v>26</v>
      </c>
      <c r="K4081" s="57"/>
      <c r="S4081" s="57"/>
      <c r="X4081" s="57"/>
    </row>
    <row r="4082" spans="1:24" hidden="1" x14ac:dyDescent="0.35">
      <c r="A4082">
        <v>4078</v>
      </c>
      <c r="B4082">
        <v>4079</v>
      </c>
      <c r="C4082">
        <v>146.076923096</v>
      </c>
      <c r="D4082">
        <v>-17.6510923437</v>
      </c>
      <c r="G4082" s="92"/>
      <c r="I4082">
        <v>9</v>
      </c>
      <c r="J4082" t="s">
        <v>26</v>
      </c>
      <c r="K4082" s="57"/>
      <c r="S4082" s="57"/>
      <c r="X4082" s="57"/>
    </row>
    <row r="4083" spans="1:24" hidden="1" x14ac:dyDescent="0.35">
      <c r="A4083">
        <v>4079</v>
      </c>
      <c r="B4083">
        <v>4080</v>
      </c>
      <c r="C4083">
        <v>146.07698256500001</v>
      </c>
      <c r="D4083">
        <v>-17.651028211700002</v>
      </c>
      <c r="G4083" s="92"/>
      <c r="I4083">
        <v>9</v>
      </c>
      <c r="J4083" t="s">
        <v>26</v>
      </c>
      <c r="K4083" s="57"/>
      <c r="S4083" s="57"/>
      <c r="X4083" s="57"/>
    </row>
    <row r="4084" spans="1:24" hidden="1" x14ac:dyDescent="0.35">
      <c r="A4084">
        <v>4080</v>
      </c>
      <c r="B4084">
        <v>4081</v>
      </c>
      <c r="C4084">
        <v>146.077043387999</v>
      </c>
      <c r="D4084">
        <v>-17.650965216300001</v>
      </c>
      <c r="G4084" s="92"/>
      <c r="I4084">
        <v>9</v>
      </c>
      <c r="J4084" t="s">
        <v>26</v>
      </c>
      <c r="K4084" s="57"/>
      <c r="S4084" s="57"/>
      <c r="X4084" s="57"/>
    </row>
    <row r="4085" spans="1:24" hidden="1" x14ac:dyDescent="0.35">
      <c r="A4085">
        <v>4081</v>
      </c>
      <c r="B4085">
        <v>4082</v>
      </c>
      <c r="C4085">
        <v>146.077092746999</v>
      </c>
      <c r="D4085">
        <v>-17.6508948371999</v>
      </c>
      <c r="G4085" s="92"/>
      <c r="I4085">
        <v>9</v>
      </c>
      <c r="J4085" t="s">
        <v>26</v>
      </c>
      <c r="K4085" s="57"/>
      <c r="S4085" s="57"/>
      <c r="X4085" s="57"/>
    </row>
    <row r="4086" spans="1:24" hidden="1" x14ac:dyDescent="0.35">
      <c r="A4086">
        <v>4082</v>
      </c>
      <c r="B4086">
        <v>4083</v>
      </c>
      <c r="C4086">
        <v>146.077131000999</v>
      </c>
      <c r="D4086">
        <v>-17.6508173888</v>
      </c>
      <c r="G4086" s="92"/>
      <c r="I4086">
        <v>9</v>
      </c>
      <c r="J4086" t="s">
        <v>26</v>
      </c>
      <c r="K4086" s="57"/>
      <c r="S4086" s="57"/>
      <c r="X4086" s="57"/>
    </row>
    <row r="4087" spans="1:24" hidden="1" x14ac:dyDescent="0.35">
      <c r="A4087">
        <v>4083</v>
      </c>
      <c r="B4087">
        <v>4084</v>
      </c>
      <c r="C4087">
        <v>146.07716769800001</v>
      </c>
      <c r="D4087">
        <v>-17.650739254800001</v>
      </c>
      <c r="G4087" s="92"/>
      <c r="I4087">
        <v>9</v>
      </c>
      <c r="J4087" t="s">
        <v>26</v>
      </c>
      <c r="K4087" s="57"/>
      <c r="S4087" s="57"/>
      <c r="X4087" s="57"/>
    </row>
    <row r="4088" spans="1:24" hidden="1" x14ac:dyDescent="0.35">
      <c r="A4088">
        <v>4084</v>
      </c>
      <c r="B4088">
        <v>4085</v>
      </c>
      <c r="C4088">
        <v>146.077168903</v>
      </c>
      <c r="D4088">
        <v>-17.6506538117</v>
      </c>
      <c r="G4088" s="92"/>
      <c r="I4088">
        <v>9</v>
      </c>
      <c r="J4088" t="s">
        <v>26</v>
      </c>
      <c r="K4088" s="57"/>
      <c r="S4088" s="57"/>
      <c r="X4088" s="57"/>
    </row>
    <row r="4089" spans="1:24" hidden="1" x14ac:dyDescent="0.35">
      <c r="A4089">
        <v>4085</v>
      </c>
      <c r="B4089">
        <v>4086</v>
      </c>
      <c r="C4089">
        <v>146.07716611000001</v>
      </c>
      <c r="D4089">
        <v>-17.650568525699899</v>
      </c>
      <c r="G4089" s="92"/>
      <c r="I4089">
        <v>9</v>
      </c>
      <c r="J4089" t="s">
        <v>26</v>
      </c>
      <c r="K4089" s="57"/>
      <c r="S4089" s="57"/>
      <c r="X4089" s="57"/>
    </row>
    <row r="4090" spans="1:24" hidden="1" x14ac:dyDescent="0.35">
      <c r="A4090">
        <v>4086</v>
      </c>
      <c r="B4090">
        <v>4087</v>
      </c>
      <c r="C4090">
        <v>146.077147451</v>
      </c>
      <c r="D4090">
        <v>-17.65048479</v>
      </c>
      <c r="G4090" s="92"/>
      <c r="I4090">
        <v>9</v>
      </c>
      <c r="J4090" t="s">
        <v>26</v>
      </c>
      <c r="K4090" s="57"/>
      <c r="S4090" s="57"/>
      <c r="X4090" s="57"/>
    </row>
    <row r="4091" spans="1:24" hidden="1" x14ac:dyDescent="0.35">
      <c r="A4091">
        <v>4087</v>
      </c>
      <c r="B4091">
        <v>4088</v>
      </c>
      <c r="C4091">
        <v>146.077125811</v>
      </c>
      <c r="D4091">
        <v>-17.6504020934</v>
      </c>
      <c r="G4091" s="92"/>
      <c r="I4091">
        <v>9</v>
      </c>
      <c r="J4091" t="s">
        <v>26</v>
      </c>
      <c r="K4091" s="57"/>
      <c r="S4091" s="57"/>
      <c r="X4091" s="57"/>
    </row>
    <row r="4092" spans="1:24" hidden="1" x14ac:dyDescent="0.35">
      <c r="A4092">
        <v>4088</v>
      </c>
      <c r="B4092">
        <v>4089</v>
      </c>
      <c r="C4092">
        <v>146.07708338200001</v>
      </c>
      <c r="D4092">
        <v>-17.650326640300001</v>
      </c>
      <c r="G4092" s="92"/>
      <c r="I4092">
        <v>9</v>
      </c>
      <c r="J4092" t="s">
        <v>26</v>
      </c>
      <c r="K4092" s="57"/>
      <c r="S4092" s="57"/>
      <c r="X4092" s="57"/>
    </row>
    <row r="4093" spans="1:24" hidden="1" x14ac:dyDescent="0.35">
      <c r="A4093">
        <v>4089</v>
      </c>
      <c r="B4093">
        <v>4090</v>
      </c>
      <c r="C4093">
        <v>146.07704095400001</v>
      </c>
      <c r="D4093">
        <v>-17.6502511873</v>
      </c>
      <c r="G4093" s="92"/>
      <c r="I4093">
        <v>9</v>
      </c>
      <c r="J4093" t="s">
        <v>26</v>
      </c>
      <c r="K4093" s="57"/>
      <c r="S4093" s="57"/>
      <c r="X4093" s="57"/>
    </row>
    <row r="4094" spans="1:24" hidden="1" x14ac:dyDescent="0.35">
      <c r="A4094">
        <v>4090</v>
      </c>
      <c r="B4094">
        <v>4091</v>
      </c>
      <c r="C4094">
        <v>146.076988524</v>
      </c>
      <c r="D4094">
        <v>-17.650181935900001</v>
      </c>
      <c r="G4094" s="92"/>
      <c r="I4094">
        <v>9</v>
      </c>
      <c r="J4094" t="s">
        <v>26</v>
      </c>
      <c r="K4094" s="57"/>
      <c r="S4094" s="57"/>
      <c r="X4094" s="57"/>
    </row>
    <row r="4095" spans="1:24" hidden="1" x14ac:dyDescent="0.35">
      <c r="A4095">
        <v>4091</v>
      </c>
      <c r="B4095">
        <v>4092</v>
      </c>
      <c r="C4095">
        <v>146.07693331900001</v>
      </c>
      <c r="D4095">
        <v>-17.6501144052</v>
      </c>
      <c r="G4095" s="92"/>
      <c r="I4095">
        <v>9</v>
      </c>
      <c r="J4095" t="s">
        <v>26</v>
      </c>
      <c r="K4095" s="57"/>
      <c r="S4095" s="57"/>
      <c r="X4095" s="57"/>
    </row>
    <row r="4096" spans="1:24" hidden="1" x14ac:dyDescent="0.35">
      <c r="A4096">
        <v>4092</v>
      </c>
      <c r="B4096">
        <v>4093</v>
      </c>
      <c r="C4096">
        <v>146.076860388</v>
      </c>
      <c r="D4096">
        <v>-17.6500653105</v>
      </c>
      <c r="G4096" s="92"/>
      <c r="I4096">
        <v>9</v>
      </c>
      <c r="J4096" t="s">
        <v>26</v>
      </c>
      <c r="K4096" s="57"/>
      <c r="S4096" s="57"/>
      <c r="X4096" s="57"/>
    </row>
    <row r="4097" spans="1:24" hidden="1" x14ac:dyDescent="0.35">
      <c r="A4097">
        <v>4093</v>
      </c>
      <c r="B4097">
        <v>4094</v>
      </c>
      <c r="C4097">
        <v>146.076784715999</v>
      </c>
      <c r="D4097">
        <v>-17.650019186400002</v>
      </c>
      <c r="G4097" s="92"/>
      <c r="I4097">
        <v>9</v>
      </c>
      <c r="J4097" t="s">
        <v>26</v>
      </c>
      <c r="K4097" s="57"/>
      <c r="S4097" s="57"/>
      <c r="X4097" s="57"/>
    </row>
    <row r="4098" spans="1:24" hidden="1" x14ac:dyDescent="0.35">
      <c r="A4098">
        <v>4094</v>
      </c>
      <c r="B4098">
        <v>4095</v>
      </c>
      <c r="C4098">
        <v>146.076708303</v>
      </c>
      <c r="D4098">
        <v>-17.6499741790999</v>
      </c>
      <c r="G4098" s="92"/>
      <c r="I4098">
        <v>9</v>
      </c>
      <c r="J4098" t="s">
        <v>26</v>
      </c>
      <c r="K4098" s="57"/>
      <c r="S4098" s="57"/>
      <c r="X4098" s="57"/>
    </row>
    <row r="4099" spans="1:24" hidden="1" x14ac:dyDescent="0.35">
      <c r="A4099">
        <v>4095</v>
      </c>
      <c r="B4099">
        <v>4096</v>
      </c>
      <c r="C4099">
        <v>146.076631300999</v>
      </c>
      <c r="D4099">
        <v>-17.6499301401</v>
      </c>
      <c r="G4099" s="92"/>
      <c r="I4099">
        <v>9</v>
      </c>
      <c r="J4099" t="s">
        <v>26</v>
      </c>
      <c r="K4099" s="57"/>
      <c r="S4099" s="57"/>
      <c r="X4099" s="57"/>
    </row>
    <row r="4100" spans="1:24" hidden="1" x14ac:dyDescent="0.35">
      <c r="A4100">
        <v>4096</v>
      </c>
      <c r="B4100">
        <v>4097</v>
      </c>
      <c r="C4100">
        <v>146.07655235300001</v>
      </c>
      <c r="D4100">
        <v>-17.6498892975</v>
      </c>
      <c r="G4100" s="92"/>
      <c r="I4100">
        <v>9</v>
      </c>
      <c r="J4100" t="s">
        <v>26</v>
      </c>
      <c r="K4100" s="57"/>
      <c r="S4100" s="57"/>
      <c r="X4100" s="57"/>
    </row>
    <row r="4101" spans="1:24" hidden="1" x14ac:dyDescent="0.35">
      <c r="A4101">
        <v>4097</v>
      </c>
      <c r="B4101">
        <v>4098</v>
      </c>
      <c r="C4101">
        <v>146.076473405999</v>
      </c>
      <c r="D4101">
        <v>-17.649848454800001</v>
      </c>
      <c r="G4101" s="92"/>
      <c r="I4101">
        <v>9</v>
      </c>
      <c r="J4101" t="s">
        <v>26</v>
      </c>
      <c r="K4101" s="57"/>
      <c r="S4101" s="57"/>
      <c r="X4101" s="57"/>
    </row>
    <row r="4102" spans="1:24" hidden="1" x14ac:dyDescent="0.35">
      <c r="A4102">
        <v>4098</v>
      </c>
      <c r="B4102">
        <v>4099</v>
      </c>
      <c r="C4102">
        <v>146.076394257</v>
      </c>
      <c r="D4102">
        <v>-17.649808008800001</v>
      </c>
      <c r="G4102" s="92"/>
      <c r="I4102">
        <v>9</v>
      </c>
      <c r="J4102" t="s">
        <v>26</v>
      </c>
      <c r="K4102" s="57"/>
      <c r="S4102" s="57"/>
      <c r="X4102" s="57"/>
    </row>
    <row r="4103" spans="1:24" hidden="1" x14ac:dyDescent="0.35">
      <c r="A4103">
        <v>4099</v>
      </c>
      <c r="B4103">
        <v>4100</v>
      </c>
      <c r="C4103">
        <v>146.07631158199899</v>
      </c>
      <c r="D4103">
        <v>-17.649774526600002</v>
      </c>
      <c r="G4103" s="92"/>
      <c r="I4103">
        <v>9</v>
      </c>
      <c r="J4103" t="s">
        <v>26</v>
      </c>
      <c r="K4103" s="57"/>
      <c r="S4103" s="57"/>
      <c r="X4103" s="57"/>
    </row>
    <row r="4104" spans="1:24" hidden="1" x14ac:dyDescent="0.35">
      <c r="A4104">
        <v>4100</v>
      </c>
      <c r="B4104">
        <v>4101</v>
      </c>
      <c r="C4104">
        <v>146.076228907</v>
      </c>
      <c r="D4104">
        <v>-17.649741044399899</v>
      </c>
      <c r="G4104" s="92"/>
      <c r="I4104">
        <v>9</v>
      </c>
      <c r="J4104" t="s">
        <v>26</v>
      </c>
      <c r="K4104" s="57"/>
      <c r="S4104" s="57"/>
      <c r="X4104" s="57"/>
    </row>
    <row r="4105" spans="1:24" hidden="1" x14ac:dyDescent="0.35">
      <c r="A4105">
        <v>4101</v>
      </c>
      <c r="B4105">
        <v>4102</v>
      </c>
      <c r="C4105">
        <v>146.07614623200001</v>
      </c>
      <c r="D4105">
        <v>-17.6497075622</v>
      </c>
      <c r="G4105" s="92"/>
      <c r="I4105">
        <v>9</v>
      </c>
      <c r="J4105" t="s">
        <v>26</v>
      </c>
      <c r="K4105" s="57"/>
      <c r="S4105" s="57"/>
      <c r="X4105" s="57"/>
    </row>
    <row r="4106" spans="1:24" hidden="1" x14ac:dyDescent="0.35">
      <c r="A4106">
        <v>4102</v>
      </c>
      <c r="B4106">
        <v>4103</v>
      </c>
      <c r="C4106">
        <v>146.076061842</v>
      </c>
      <c r="D4106">
        <v>-17.6496782946999</v>
      </c>
      <c r="G4106" s="92"/>
      <c r="I4106">
        <v>9</v>
      </c>
      <c r="J4106" t="s">
        <v>26</v>
      </c>
      <c r="K4106" s="57"/>
      <c r="S4106" s="57"/>
      <c r="X4106" s="57"/>
    </row>
    <row r="4107" spans="1:24" hidden="1" x14ac:dyDescent="0.35">
      <c r="A4107">
        <v>4103</v>
      </c>
      <c r="B4107">
        <v>4104</v>
      </c>
      <c r="C4107">
        <v>146.07597709000001</v>
      </c>
      <c r="D4107">
        <v>-17.6496499175</v>
      </c>
      <c r="G4107" s="92"/>
      <c r="I4107">
        <v>9</v>
      </c>
      <c r="J4107" t="s">
        <v>26</v>
      </c>
      <c r="K4107" s="57"/>
      <c r="S4107" s="57"/>
      <c r="X4107" s="57"/>
    </row>
    <row r="4108" spans="1:24" hidden="1" x14ac:dyDescent="0.35">
      <c r="A4108">
        <v>4104</v>
      </c>
      <c r="B4108">
        <v>4105</v>
      </c>
      <c r="C4108">
        <v>146.07589233799899</v>
      </c>
      <c r="D4108">
        <v>-17.649621540199899</v>
      </c>
      <c r="G4108" s="92"/>
      <c r="I4108">
        <v>9</v>
      </c>
      <c r="J4108" t="s">
        <v>26</v>
      </c>
      <c r="K4108" s="57"/>
      <c r="S4108" s="57"/>
      <c r="X4108" s="57"/>
    </row>
    <row r="4109" spans="1:24" hidden="1" x14ac:dyDescent="0.35">
      <c r="A4109">
        <v>4105</v>
      </c>
      <c r="B4109">
        <v>4106</v>
      </c>
      <c r="C4109">
        <v>146.075807585999</v>
      </c>
      <c r="D4109">
        <v>-17.649593162999899</v>
      </c>
      <c r="G4109" s="92"/>
      <c r="I4109">
        <v>9</v>
      </c>
      <c r="J4109" t="s">
        <v>26</v>
      </c>
      <c r="K4109" s="57"/>
      <c r="S4109" s="57"/>
      <c r="X4109" s="57"/>
    </row>
    <row r="4110" spans="1:24" hidden="1" x14ac:dyDescent="0.35">
      <c r="A4110">
        <v>4106</v>
      </c>
      <c r="B4110">
        <v>4107</v>
      </c>
      <c r="C4110">
        <v>146.075722888</v>
      </c>
      <c r="D4110">
        <v>-17.6495646411</v>
      </c>
      <c r="G4110" s="92"/>
      <c r="I4110">
        <v>9</v>
      </c>
      <c r="J4110" t="s">
        <v>26</v>
      </c>
      <c r="K4110" s="57"/>
      <c r="S4110" s="57"/>
      <c r="X4110" s="57"/>
    </row>
    <row r="4111" spans="1:24" hidden="1" x14ac:dyDescent="0.35">
      <c r="A4111">
        <v>4107</v>
      </c>
      <c r="B4111">
        <v>4108</v>
      </c>
      <c r="C4111">
        <v>146.075638220999</v>
      </c>
      <c r="D4111">
        <v>-17.6495360326</v>
      </c>
      <c r="G4111" s="92"/>
      <c r="I4111">
        <v>9</v>
      </c>
      <c r="J4111" t="s">
        <v>26</v>
      </c>
      <c r="K4111" s="57"/>
      <c r="S4111" s="57"/>
      <c r="X4111" s="57"/>
    </row>
    <row r="4112" spans="1:24" hidden="1" x14ac:dyDescent="0.35">
      <c r="A4112">
        <v>4108</v>
      </c>
      <c r="B4112">
        <v>4109</v>
      </c>
      <c r="C4112">
        <v>146.075553554999</v>
      </c>
      <c r="D4112">
        <v>-17.6495074239999</v>
      </c>
      <c r="G4112" s="92"/>
      <c r="I4112">
        <v>9</v>
      </c>
      <c r="J4112" t="s">
        <v>26</v>
      </c>
      <c r="K4112" s="57"/>
      <c r="S4112" s="57"/>
      <c r="X4112" s="57"/>
    </row>
    <row r="4113" spans="1:24" hidden="1" x14ac:dyDescent="0.35">
      <c r="A4113">
        <v>4109</v>
      </c>
      <c r="B4113">
        <v>4110</v>
      </c>
      <c r="C4113">
        <v>146.075469553</v>
      </c>
      <c r="D4113">
        <v>-17.649477163499899</v>
      </c>
      <c r="G4113" s="92"/>
      <c r="I4113">
        <v>9</v>
      </c>
      <c r="J4113" t="s">
        <v>26</v>
      </c>
      <c r="K4113" s="57"/>
      <c r="S4113" s="57"/>
      <c r="X4113" s="57"/>
    </row>
    <row r="4114" spans="1:24" hidden="1" x14ac:dyDescent="0.35">
      <c r="A4114">
        <v>4110</v>
      </c>
      <c r="B4114">
        <v>4111</v>
      </c>
      <c r="C4114">
        <v>146.075386522999</v>
      </c>
      <c r="D4114">
        <v>-17.6494444882</v>
      </c>
      <c r="G4114" s="92"/>
      <c r="I4114">
        <v>9</v>
      </c>
      <c r="J4114" t="s">
        <v>26</v>
      </c>
      <c r="K4114" s="57"/>
      <c r="S4114" s="57"/>
      <c r="X4114" s="57"/>
    </row>
    <row r="4115" spans="1:24" hidden="1" x14ac:dyDescent="0.35">
      <c r="A4115">
        <v>4111</v>
      </c>
      <c r="B4115">
        <v>4112</v>
      </c>
      <c r="C4115">
        <v>146.075303493999</v>
      </c>
      <c r="D4115">
        <v>-17.649411813</v>
      </c>
      <c r="G4115" s="92"/>
      <c r="I4115">
        <v>9</v>
      </c>
      <c r="J4115" t="s">
        <v>26</v>
      </c>
      <c r="K4115" s="57"/>
      <c r="S4115" s="57"/>
      <c r="X4115" s="57"/>
    </row>
    <row r="4116" spans="1:24" hidden="1" x14ac:dyDescent="0.35">
      <c r="A4116">
        <v>4112</v>
      </c>
      <c r="B4116">
        <v>4113</v>
      </c>
      <c r="C4116">
        <v>146.075231094999</v>
      </c>
      <c r="D4116">
        <v>-17.649363533700001</v>
      </c>
      <c r="G4116" s="92"/>
      <c r="I4116">
        <v>9</v>
      </c>
      <c r="J4116" t="s">
        <v>26</v>
      </c>
      <c r="K4116" s="57"/>
      <c r="S4116" s="57"/>
      <c r="X4116" s="57"/>
    </row>
    <row r="4117" spans="1:24" hidden="1" x14ac:dyDescent="0.35">
      <c r="A4117">
        <v>4113</v>
      </c>
      <c r="B4117">
        <v>4114</v>
      </c>
      <c r="C4117">
        <v>146.07516598300001</v>
      </c>
      <c r="D4117">
        <v>-17.649304558400001</v>
      </c>
      <c r="G4117" s="92"/>
      <c r="I4117">
        <v>9</v>
      </c>
      <c r="J4117" t="s">
        <v>26</v>
      </c>
      <c r="K4117" s="57"/>
      <c r="S4117" s="57"/>
      <c r="X4117" s="57"/>
    </row>
    <row r="4118" spans="1:24" hidden="1" x14ac:dyDescent="0.35">
      <c r="A4118">
        <v>4114</v>
      </c>
      <c r="B4118">
        <v>4115</v>
      </c>
      <c r="C4118">
        <v>146.07510087200001</v>
      </c>
      <c r="D4118">
        <v>-17.6492455829999</v>
      </c>
      <c r="G4118" s="92"/>
      <c r="I4118">
        <v>9</v>
      </c>
      <c r="J4118" t="s">
        <v>26</v>
      </c>
      <c r="K4118" s="57"/>
      <c r="S4118" s="57"/>
      <c r="X4118" s="57"/>
    </row>
    <row r="4119" spans="1:24" hidden="1" x14ac:dyDescent="0.35">
      <c r="A4119">
        <v>4115</v>
      </c>
      <c r="B4119">
        <v>4116</v>
      </c>
      <c r="C4119">
        <v>146.07507756000001</v>
      </c>
      <c r="D4119">
        <v>-17.649163550400001</v>
      </c>
      <c r="G4119" s="92"/>
      <c r="I4119">
        <v>9</v>
      </c>
      <c r="J4119" t="s">
        <v>26</v>
      </c>
      <c r="K4119" s="57"/>
      <c r="S4119" s="57"/>
      <c r="X4119" s="57"/>
    </row>
    <row r="4120" spans="1:24" hidden="1" x14ac:dyDescent="0.35">
      <c r="A4120">
        <v>4116</v>
      </c>
      <c r="B4120">
        <v>4117</v>
      </c>
      <c r="C4120">
        <v>146.07506112300001</v>
      </c>
      <c r="D4120">
        <v>-17.649080090399899</v>
      </c>
      <c r="G4120" s="92"/>
      <c r="I4120">
        <v>9</v>
      </c>
      <c r="J4120" t="s">
        <v>26</v>
      </c>
      <c r="K4120" s="57"/>
      <c r="S4120" s="57"/>
      <c r="X4120" s="57"/>
    </row>
    <row r="4121" spans="1:24" hidden="1" x14ac:dyDescent="0.35">
      <c r="A4121">
        <v>4117</v>
      </c>
      <c r="B4121">
        <v>4118</v>
      </c>
      <c r="C4121">
        <v>146.075071417999</v>
      </c>
      <c r="D4121">
        <v>-17.648995051100002</v>
      </c>
      <c r="G4121" s="92"/>
      <c r="I4121">
        <v>9</v>
      </c>
      <c r="J4121" t="s">
        <v>26</v>
      </c>
      <c r="K4121" s="57"/>
      <c r="S4121" s="57"/>
      <c r="X4121" s="57"/>
    </row>
    <row r="4122" spans="1:24" hidden="1" x14ac:dyDescent="0.35">
      <c r="A4122">
        <v>4118</v>
      </c>
      <c r="B4122">
        <v>4119</v>
      </c>
      <c r="C4122">
        <v>146.075081713</v>
      </c>
      <c r="D4122">
        <v>-17.648910011800002</v>
      </c>
      <c r="G4122" s="92"/>
      <c r="I4122">
        <v>9</v>
      </c>
      <c r="J4122" t="s">
        <v>26</v>
      </c>
      <c r="K4122" s="57"/>
      <c r="S4122" s="57"/>
      <c r="X4122" s="57"/>
    </row>
    <row r="4123" spans="1:24" hidden="1" x14ac:dyDescent="0.35">
      <c r="A4123">
        <v>4119</v>
      </c>
      <c r="B4123">
        <v>4120</v>
      </c>
      <c r="C4123">
        <v>146.07511776800001</v>
      </c>
      <c r="D4123">
        <v>-17.648832111800001</v>
      </c>
      <c r="G4123" s="92"/>
      <c r="I4123">
        <v>9</v>
      </c>
      <c r="J4123" t="s">
        <v>26</v>
      </c>
      <c r="K4123" s="57"/>
      <c r="S4123" s="57"/>
      <c r="X4123" s="57"/>
    </row>
    <row r="4124" spans="1:24" hidden="1" x14ac:dyDescent="0.35">
      <c r="A4124">
        <v>4120</v>
      </c>
      <c r="B4124">
        <v>4121</v>
      </c>
      <c r="C4124">
        <v>146.07515761299899</v>
      </c>
      <c r="D4124">
        <v>-17.6487555601</v>
      </c>
      <c r="G4124" s="92"/>
      <c r="I4124">
        <v>9</v>
      </c>
      <c r="J4124" t="s">
        <v>26</v>
      </c>
      <c r="K4124" s="57"/>
      <c r="S4124" s="57"/>
      <c r="X4124" s="57"/>
    </row>
    <row r="4125" spans="1:24" hidden="1" x14ac:dyDescent="0.35">
      <c r="A4125">
        <v>4121</v>
      </c>
      <c r="B4125">
        <v>4122</v>
      </c>
      <c r="C4125">
        <v>146.07522461100001</v>
      </c>
      <c r="D4125">
        <v>-17.6486985348999</v>
      </c>
      <c r="G4125" s="92"/>
      <c r="I4125">
        <v>9</v>
      </c>
      <c r="J4125" t="s">
        <v>26</v>
      </c>
      <c r="K4125" s="57"/>
      <c r="S4125" s="57"/>
      <c r="X4125" s="57"/>
    </row>
    <row r="4126" spans="1:24" hidden="1" x14ac:dyDescent="0.35">
      <c r="A4126">
        <v>4122</v>
      </c>
      <c r="B4126">
        <v>4123</v>
      </c>
      <c r="C4126">
        <v>146.07529160799899</v>
      </c>
      <c r="D4126">
        <v>-17.648641509600001</v>
      </c>
      <c r="G4126" s="92"/>
      <c r="I4126">
        <v>9</v>
      </c>
      <c r="J4126" t="s">
        <v>26</v>
      </c>
      <c r="K4126" s="57"/>
      <c r="S4126" s="57"/>
      <c r="X4126" s="57"/>
    </row>
    <row r="4127" spans="1:24" hidden="1" x14ac:dyDescent="0.35">
      <c r="A4127">
        <v>4123</v>
      </c>
      <c r="B4127">
        <v>4124</v>
      </c>
      <c r="C4127">
        <v>146.07536831100001</v>
      </c>
      <c r="D4127">
        <v>-17.6485992701</v>
      </c>
      <c r="G4127" s="92"/>
      <c r="I4127">
        <v>9</v>
      </c>
      <c r="J4127" t="s">
        <v>26</v>
      </c>
      <c r="K4127" s="57"/>
      <c r="S4127" s="57"/>
      <c r="X4127" s="57"/>
    </row>
    <row r="4128" spans="1:24" hidden="1" x14ac:dyDescent="0.35">
      <c r="A4128">
        <v>4124</v>
      </c>
      <c r="B4128">
        <v>4125</v>
      </c>
      <c r="C4128">
        <v>146.075451434</v>
      </c>
      <c r="D4128">
        <v>-17.6485668087</v>
      </c>
      <c r="G4128" s="92"/>
      <c r="I4128">
        <v>9</v>
      </c>
      <c r="J4128" t="s">
        <v>26</v>
      </c>
      <c r="K4128" s="57"/>
      <c r="S4128" s="57"/>
      <c r="X4128" s="57"/>
    </row>
    <row r="4129" spans="1:24" hidden="1" x14ac:dyDescent="0.35">
      <c r="A4129">
        <v>4125</v>
      </c>
      <c r="B4129">
        <v>4126</v>
      </c>
      <c r="C4129">
        <v>146.07553455600001</v>
      </c>
      <c r="D4129">
        <v>-17.6485343469</v>
      </c>
      <c r="G4129" s="92"/>
      <c r="I4129">
        <v>9</v>
      </c>
      <c r="J4129" t="s">
        <v>26</v>
      </c>
      <c r="K4129" s="57"/>
      <c r="S4129" s="57"/>
      <c r="X4129" s="57"/>
    </row>
    <row r="4130" spans="1:24" hidden="1" x14ac:dyDescent="0.35">
      <c r="A4130">
        <v>4126</v>
      </c>
      <c r="B4130">
        <v>4127</v>
      </c>
      <c r="C4130">
        <v>146.075618284999</v>
      </c>
      <c r="D4130">
        <v>-17.648503374699899</v>
      </c>
      <c r="G4130" s="92"/>
      <c r="I4130">
        <v>9</v>
      </c>
      <c r="J4130" t="s">
        <v>26</v>
      </c>
      <c r="K4130" s="57"/>
      <c r="S4130" s="57"/>
      <c r="X4130" s="57"/>
    </row>
    <row r="4131" spans="1:24" hidden="1" x14ac:dyDescent="0.35">
      <c r="A4131">
        <v>4127</v>
      </c>
      <c r="B4131">
        <v>4128</v>
      </c>
      <c r="C4131">
        <v>146.07570259299899</v>
      </c>
      <c r="D4131">
        <v>-17.6484738206</v>
      </c>
      <c r="G4131" s="92"/>
      <c r="I4131">
        <v>9</v>
      </c>
      <c r="J4131" t="s">
        <v>26</v>
      </c>
      <c r="K4131" s="57"/>
      <c r="S4131" s="57"/>
      <c r="X4131" s="57"/>
    </row>
    <row r="4132" spans="1:24" hidden="1" x14ac:dyDescent="0.35">
      <c r="A4132">
        <v>4128</v>
      </c>
      <c r="B4132">
        <v>4129</v>
      </c>
      <c r="C4132">
        <v>146.07578690099899</v>
      </c>
      <c r="D4132">
        <v>-17.648444266399899</v>
      </c>
      <c r="G4132" s="92"/>
      <c r="I4132">
        <v>9</v>
      </c>
      <c r="J4132" t="s">
        <v>26</v>
      </c>
      <c r="K4132" s="57"/>
      <c r="S4132" s="57"/>
      <c r="X4132" s="57"/>
    </row>
    <row r="4133" spans="1:24" hidden="1" x14ac:dyDescent="0.35">
      <c r="A4133">
        <v>4129</v>
      </c>
      <c r="B4133">
        <v>4130</v>
      </c>
      <c r="C4133">
        <v>146.07587370900001</v>
      </c>
      <c r="D4133">
        <v>-17.648422244199899</v>
      </c>
      <c r="G4133" s="92"/>
      <c r="I4133">
        <v>9</v>
      </c>
      <c r="J4133" t="s">
        <v>26</v>
      </c>
      <c r="K4133" s="57"/>
      <c r="S4133" s="57"/>
      <c r="X4133" s="57"/>
    </row>
    <row r="4134" spans="1:24" hidden="1" x14ac:dyDescent="0.35">
      <c r="A4134">
        <v>4130</v>
      </c>
      <c r="B4134">
        <v>4131</v>
      </c>
      <c r="C4134">
        <v>146.07596052100001</v>
      </c>
      <c r="D4134">
        <v>-17.6484002388999</v>
      </c>
      <c r="G4134" s="92"/>
      <c r="I4134">
        <v>9</v>
      </c>
      <c r="J4134" t="s">
        <v>26</v>
      </c>
      <c r="K4134" s="57"/>
      <c r="S4134" s="57"/>
      <c r="X4134" s="57"/>
    </row>
    <row r="4135" spans="1:24" hidden="1" x14ac:dyDescent="0.35">
      <c r="A4135">
        <v>4131</v>
      </c>
      <c r="B4135">
        <v>4132</v>
      </c>
      <c r="C4135">
        <v>146.07604995400001</v>
      </c>
      <c r="D4135">
        <v>-17.6483956551</v>
      </c>
      <c r="G4135" s="92"/>
      <c r="I4135">
        <v>9</v>
      </c>
      <c r="J4135" t="s">
        <v>26</v>
      </c>
      <c r="K4135" s="57"/>
      <c r="S4135" s="57"/>
      <c r="X4135" s="57"/>
    </row>
    <row r="4136" spans="1:24" hidden="1" x14ac:dyDescent="0.35">
      <c r="A4136">
        <v>4132</v>
      </c>
      <c r="B4136">
        <v>4133</v>
      </c>
      <c r="C4136">
        <v>146.07613975800001</v>
      </c>
      <c r="D4136">
        <v>-17.648393543800001</v>
      </c>
      <c r="G4136" s="92"/>
      <c r="I4136">
        <v>9</v>
      </c>
      <c r="J4136" t="s">
        <v>26</v>
      </c>
      <c r="K4136" s="57"/>
      <c r="S4136" s="57"/>
      <c r="X4136" s="57"/>
    </row>
    <row r="4137" spans="1:24" hidden="1" x14ac:dyDescent="0.35">
      <c r="A4137">
        <v>4133</v>
      </c>
      <c r="B4137">
        <v>4134</v>
      </c>
      <c r="C4137">
        <v>146.07622883400001</v>
      </c>
      <c r="D4137">
        <v>-17.648402697200002</v>
      </c>
      <c r="G4137" s="92"/>
      <c r="I4137">
        <v>9</v>
      </c>
      <c r="J4137" t="s">
        <v>26</v>
      </c>
      <c r="K4137" s="57"/>
      <c r="S4137" s="57"/>
      <c r="X4137" s="57"/>
    </row>
    <row r="4138" spans="1:24" hidden="1" x14ac:dyDescent="0.35">
      <c r="A4138">
        <v>4134</v>
      </c>
      <c r="B4138">
        <v>4135</v>
      </c>
      <c r="C4138">
        <v>146.07631717800001</v>
      </c>
      <c r="D4138">
        <v>-17.648417928600001</v>
      </c>
      <c r="G4138" s="92"/>
      <c r="I4138">
        <v>9</v>
      </c>
      <c r="J4138" t="s">
        <v>26</v>
      </c>
      <c r="K4138" s="57"/>
      <c r="S4138" s="57"/>
      <c r="X4138" s="57"/>
    </row>
    <row r="4139" spans="1:24" hidden="1" x14ac:dyDescent="0.35">
      <c r="A4139">
        <v>4135</v>
      </c>
      <c r="B4139">
        <v>4136</v>
      </c>
      <c r="C4139">
        <v>146.076404897</v>
      </c>
      <c r="D4139">
        <v>-17.648436381100002</v>
      </c>
      <c r="G4139" s="92"/>
      <c r="I4139">
        <v>9</v>
      </c>
      <c r="J4139" t="s">
        <v>26</v>
      </c>
      <c r="K4139" s="57"/>
      <c r="S4139" s="57"/>
      <c r="X4139" s="57"/>
    </row>
    <row r="4140" spans="1:24" hidden="1" x14ac:dyDescent="0.35">
      <c r="A4140">
        <v>4136</v>
      </c>
      <c r="B4140">
        <v>4137</v>
      </c>
      <c r="C4140">
        <v>146.076491371999</v>
      </c>
      <c r="D4140">
        <v>-17.648459335999899</v>
      </c>
      <c r="G4140" s="92"/>
      <c r="I4140">
        <v>9</v>
      </c>
      <c r="J4140" t="s">
        <v>26</v>
      </c>
      <c r="K4140" s="57"/>
      <c r="S4140" s="57"/>
      <c r="X4140" s="57"/>
    </row>
    <row r="4141" spans="1:24" hidden="1" x14ac:dyDescent="0.35">
      <c r="A4141">
        <v>4137</v>
      </c>
      <c r="B4141">
        <v>4138</v>
      </c>
      <c r="C4141">
        <v>146.076576525999</v>
      </c>
      <c r="D4141">
        <v>-17.6484864636999</v>
      </c>
      <c r="G4141" s="92"/>
      <c r="I4141">
        <v>9</v>
      </c>
      <c r="J4141" t="s">
        <v>26</v>
      </c>
      <c r="K4141" s="57"/>
      <c r="S4141" s="57"/>
      <c r="X4141" s="57"/>
    </row>
    <row r="4142" spans="1:24" hidden="1" x14ac:dyDescent="0.35">
      <c r="A4142">
        <v>4138</v>
      </c>
      <c r="B4142">
        <v>4139</v>
      </c>
      <c r="C4142">
        <v>146.0766605</v>
      </c>
      <c r="D4142">
        <v>-17.648516870000002</v>
      </c>
      <c r="G4142" s="92"/>
      <c r="I4142">
        <v>9</v>
      </c>
      <c r="J4142" t="s">
        <v>26</v>
      </c>
      <c r="K4142" s="57"/>
      <c r="S4142" s="57"/>
      <c r="X4142" s="57"/>
    </row>
    <row r="4143" spans="1:24" hidden="1" x14ac:dyDescent="0.35">
      <c r="A4143">
        <v>4139</v>
      </c>
      <c r="B4143">
        <v>4140</v>
      </c>
      <c r="C4143">
        <v>146.07674447400001</v>
      </c>
      <c r="D4143">
        <v>-17.648547276399899</v>
      </c>
      <c r="G4143" s="92"/>
      <c r="I4143">
        <v>9</v>
      </c>
      <c r="J4143" t="s">
        <v>26</v>
      </c>
      <c r="K4143" s="57"/>
      <c r="S4143" s="57"/>
      <c r="X4143" s="57"/>
    </row>
    <row r="4144" spans="1:24" hidden="1" x14ac:dyDescent="0.35">
      <c r="A4144">
        <v>4140</v>
      </c>
      <c r="B4144">
        <v>4141</v>
      </c>
      <c r="C4144">
        <v>146.076829575999</v>
      </c>
      <c r="D4144">
        <v>-17.6485745033999</v>
      </c>
      <c r="G4144" s="92"/>
      <c r="I4144">
        <v>9</v>
      </c>
      <c r="J4144" t="s">
        <v>26</v>
      </c>
      <c r="K4144" s="57"/>
      <c r="S4144" s="57"/>
      <c r="X4144" s="57"/>
    </row>
    <row r="4145" spans="1:24" hidden="1" x14ac:dyDescent="0.35">
      <c r="A4145">
        <v>4141</v>
      </c>
      <c r="B4145">
        <v>4142</v>
      </c>
      <c r="C4145">
        <v>146.076915678999</v>
      </c>
      <c r="D4145">
        <v>-17.648598908299899</v>
      </c>
      <c r="G4145" s="92"/>
      <c r="I4145">
        <v>9</v>
      </c>
      <c r="J4145" t="s">
        <v>26</v>
      </c>
      <c r="K4145" s="57"/>
      <c r="S4145" s="57"/>
      <c r="X4145" s="57"/>
    </row>
    <row r="4146" spans="1:24" hidden="1" x14ac:dyDescent="0.35">
      <c r="A4146">
        <v>4142</v>
      </c>
      <c r="B4146">
        <v>4143</v>
      </c>
      <c r="C4146">
        <v>146.077001432</v>
      </c>
      <c r="D4146">
        <v>-17.6486243881</v>
      </c>
      <c r="G4146" s="92"/>
      <c r="I4146">
        <v>9</v>
      </c>
      <c r="J4146" t="s">
        <v>26</v>
      </c>
      <c r="K4146" s="57"/>
      <c r="S4146" s="57"/>
      <c r="X4146" s="57"/>
    </row>
    <row r="4147" spans="1:24" hidden="1" x14ac:dyDescent="0.35">
      <c r="A4147">
        <v>4143</v>
      </c>
      <c r="B4147">
        <v>4144</v>
      </c>
      <c r="C4147">
        <v>146.077086868999</v>
      </c>
      <c r="D4147">
        <v>-17.6486508339</v>
      </c>
      <c r="G4147" s="92"/>
      <c r="I4147">
        <v>9</v>
      </c>
      <c r="J4147" t="s">
        <v>26</v>
      </c>
      <c r="K4147" s="57"/>
      <c r="S4147" s="57"/>
      <c r="X4147" s="57"/>
    </row>
    <row r="4148" spans="1:24" hidden="1" x14ac:dyDescent="0.35">
      <c r="A4148">
        <v>4144</v>
      </c>
      <c r="B4148">
        <v>4145</v>
      </c>
      <c r="C4148">
        <v>146.077172305999</v>
      </c>
      <c r="D4148">
        <v>-17.6486772796999</v>
      </c>
      <c r="G4148" s="92"/>
      <c r="I4148">
        <v>9</v>
      </c>
      <c r="J4148" t="s">
        <v>26</v>
      </c>
      <c r="K4148" s="57"/>
      <c r="S4148" s="57"/>
      <c r="X4148" s="57"/>
    </row>
    <row r="4149" spans="1:24" hidden="1" x14ac:dyDescent="0.35">
      <c r="A4149">
        <v>4145</v>
      </c>
      <c r="B4149">
        <v>4146</v>
      </c>
      <c r="C4149">
        <v>146.07725774400001</v>
      </c>
      <c r="D4149">
        <v>-17.648703725400001</v>
      </c>
      <c r="G4149" s="92"/>
      <c r="I4149">
        <v>9</v>
      </c>
      <c r="J4149" t="s">
        <v>26</v>
      </c>
      <c r="K4149" s="57"/>
      <c r="S4149" s="57"/>
      <c r="X4149" s="57"/>
    </row>
    <row r="4150" spans="1:24" hidden="1" x14ac:dyDescent="0.35">
      <c r="A4150">
        <v>4146</v>
      </c>
      <c r="B4150">
        <v>4147</v>
      </c>
      <c r="C4150">
        <v>146.077343818</v>
      </c>
      <c r="D4150">
        <v>-17.648728092700001</v>
      </c>
      <c r="G4150" s="92"/>
      <c r="I4150">
        <v>9</v>
      </c>
      <c r="J4150" t="s">
        <v>26</v>
      </c>
      <c r="K4150" s="57"/>
      <c r="S4150" s="57"/>
      <c r="X4150" s="57"/>
    </row>
    <row r="4151" spans="1:24" hidden="1" x14ac:dyDescent="0.35">
      <c r="A4151">
        <v>4147</v>
      </c>
      <c r="B4151">
        <v>4148</v>
      </c>
      <c r="C4151">
        <v>146.077430757</v>
      </c>
      <c r="D4151">
        <v>-17.6487496425</v>
      </c>
      <c r="G4151" s="92"/>
      <c r="I4151">
        <v>9</v>
      </c>
      <c r="J4151" t="s">
        <v>26</v>
      </c>
      <c r="K4151" s="57"/>
      <c r="S4151" s="57"/>
      <c r="X4151" s="57"/>
    </row>
    <row r="4152" spans="1:24" hidden="1" x14ac:dyDescent="0.35">
      <c r="A4152">
        <v>4148</v>
      </c>
      <c r="B4152">
        <v>4149</v>
      </c>
      <c r="C4152">
        <v>146.07751769500001</v>
      </c>
      <c r="D4152">
        <v>-17.6487711923</v>
      </c>
      <c r="G4152" s="92"/>
      <c r="I4152">
        <v>9</v>
      </c>
      <c r="J4152" t="s">
        <v>26</v>
      </c>
      <c r="K4152" s="57"/>
      <c r="S4152" s="57"/>
      <c r="X4152" s="57"/>
    </row>
    <row r="4153" spans="1:24" hidden="1" x14ac:dyDescent="0.35">
      <c r="A4153">
        <v>4149</v>
      </c>
      <c r="B4153">
        <v>4150</v>
      </c>
      <c r="C4153">
        <v>146.07760463400001</v>
      </c>
      <c r="D4153">
        <v>-17.6487927420999</v>
      </c>
      <c r="G4153" s="92"/>
      <c r="I4153">
        <v>9</v>
      </c>
      <c r="J4153" t="s">
        <v>26</v>
      </c>
      <c r="K4153" s="57"/>
      <c r="S4153" s="57"/>
      <c r="X4153" s="57"/>
    </row>
    <row r="4154" spans="1:24" hidden="1" x14ac:dyDescent="0.35">
      <c r="A4154">
        <v>4150</v>
      </c>
      <c r="B4154">
        <v>4151</v>
      </c>
      <c r="C4154">
        <v>146.077691571999</v>
      </c>
      <c r="D4154">
        <v>-17.648814292000001</v>
      </c>
      <c r="G4154" s="92"/>
      <c r="I4154">
        <v>9</v>
      </c>
      <c r="J4154" t="s">
        <v>26</v>
      </c>
      <c r="K4154" s="57"/>
      <c r="S4154" s="57"/>
      <c r="X4154" s="57"/>
    </row>
    <row r="4155" spans="1:24" hidden="1" x14ac:dyDescent="0.35">
      <c r="A4155">
        <v>4151</v>
      </c>
      <c r="B4155">
        <v>4152</v>
      </c>
      <c r="C4155">
        <v>146.07777731900001</v>
      </c>
      <c r="D4155">
        <v>-17.6488396270999</v>
      </c>
      <c r="G4155" s="92"/>
      <c r="I4155">
        <v>9</v>
      </c>
      <c r="J4155" t="s">
        <v>26</v>
      </c>
      <c r="K4155" s="57"/>
      <c r="S4155" s="57"/>
      <c r="X4155" s="57"/>
    </row>
    <row r="4156" spans="1:24" hidden="1" x14ac:dyDescent="0.35">
      <c r="A4156">
        <v>4152</v>
      </c>
      <c r="B4156">
        <v>4153</v>
      </c>
      <c r="C4156">
        <v>146.07786234700001</v>
      </c>
      <c r="D4156">
        <v>-17.6488672439</v>
      </c>
      <c r="G4156" s="92"/>
      <c r="I4156">
        <v>9</v>
      </c>
      <c r="J4156" t="s">
        <v>26</v>
      </c>
      <c r="K4156" s="57"/>
      <c r="S4156" s="57"/>
      <c r="X4156" s="57"/>
    </row>
    <row r="4157" spans="1:24" hidden="1" x14ac:dyDescent="0.35">
      <c r="A4157">
        <v>4153</v>
      </c>
      <c r="B4157">
        <v>4154</v>
      </c>
      <c r="C4157">
        <v>146.077947375999</v>
      </c>
      <c r="D4157">
        <v>-17.648894860199899</v>
      </c>
      <c r="G4157" s="92"/>
      <c r="I4157">
        <v>9</v>
      </c>
      <c r="J4157" t="s">
        <v>26</v>
      </c>
      <c r="K4157" s="57"/>
      <c r="S4157" s="57"/>
      <c r="X4157" s="57"/>
    </row>
    <row r="4158" spans="1:24" hidden="1" x14ac:dyDescent="0.35">
      <c r="A4158">
        <v>4154</v>
      </c>
      <c r="B4158">
        <v>4155</v>
      </c>
      <c r="C4158">
        <v>146.078031723999</v>
      </c>
      <c r="D4158">
        <v>-17.6489238951999</v>
      </c>
      <c r="G4158" s="92"/>
      <c r="I4158">
        <v>9</v>
      </c>
      <c r="J4158" t="s">
        <v>26</v>
      </c>
      <c r="K4158" s="57"/>
      <c r="S4158" s="57"/>
      <c r="X4158" s="57"/>
    </row>
    <row r="4159" spans="1:24" hidden="1" x14ac:dyDescent="0.35">
      <c r="A4159">
        <v>4155</v>
      </c>
      <c r="B4159">
        <v>4156</v>
      </c>
      <c r="C4159">
        <v>146.078109291999</v>
      </c>
      <c r="D4159">
        <v>-17.648967072200001</v>
      </c>
      <c r="G4159" s="92"/>
      <c r="I4159">
        <v>9</v>
      </c>
      <c r="J4159" t="s">
        <v>26</v>
      </c>
      <c r="K4159" s="57"/>
      <c r="S4159" s="57"/>
      <c r="X4159" s="57"/>
    </row>
    <row r="4160" spans="1:24" hidden="1" x14ac:dyDescent="0.35">
      <c r="A4160">
        <v>4156</v>
      </c>
      <c r="B4160">
        <v>4157</v>
      </c>
      <c r="C4160">
        <v>146.078186858999</v>
      </c>
      <c r="D4160">
        <v>-17.6490102492</v>
      </c>
      <c r="G4160" s="92"/>
      <c r="I4160">
        <v>9</v>
      </c>
      <c r="J4160" t="s">
        <v>26</v>
      </c>
      <c r="K4160" s="57"/>
      <c r="S4160" s="57"/>
      <c r="X4160" s="57"/>
    </row>
    <row r="4161" spans="1:24" hidden="1" x14ac:dyDescent="0.35">
      <c r="A4161">
        <v>4157</v>
      </c>
      <c r="B4161">
        <v>4158</v>
      </c>
      <c r="C4161">
        <v>146.078264426999</v>
      </c>
      <c r="D4161">
        <v>-17.649053426199899</v>
      </c>
      <c r="G4161" s="92"/>
      <c r="I4161">
        <v>9</v>
      </c>
      <c r="J4161" t="s">
        <v>26</v>
      </c>
      <c r="K4161" s="57"/>
      <c r="S4161" s="57"/>
      <c r="X4161" s="57"/>
    </row>
    <row r="4162" spans="1:24" hidden="1" x14ac:dyDescent="0.35">
      <c r="A4162">
        <v>4158</v>
      </c>
      <c r="B4162">
        <v>4159</v>
      </c>
      <c r="C4162">
        <v>146.07834241699899</v>
      </c>
      <c r="D4162">
        <v>-17.649095877600001</v>
      </c>
      <c r="G4162" s="92"/>
      <c r="I4162">
        <v>9</v>
      </c>
      <c r="J4162" t="s">
        <v>26</v>
      </c>
      <c r="K4162" s="57"/>
      <c r="S4162" s="57"/>
      <c r="X4162" s="57"/>
    </row>
    <row r="4163" spans="1:24" hidden="1" x14ac:dyDescent="0.35">
      <c r="A4163">
        <v>4159</v>
      </c>
      <c r="B4163">
        <v>4160</v>
      </c>
      <c r="C4163">
        <v>146.07842188000001</v>
      </c>
      <c r="D4163">
        <v>-17.6491358034</v>
      </c>
      <c r="G4163" s="92"/>
      <c r="I4163">
        <v>9</v>
      </c>
      <c r="J4163" t="s">
        <v>26</v>
      </c>
      <c r="K4163" s="57"/>
      <c r="S4163" s="57"/>
      <c r="X4163" s="57"/>
    </row>
    <row r="4164" spans="1:24" hidden="1" x14ac:dyDescent="0.35">
      <c r="A4164">
        <v>4160</v>
      </c>
      <c r="B4164">
        <v>4161</v>
      </c>
      <c r="C4164">
        <v>146.07850134200001</v>
      </c>
      <c r="D4164">
        <v>-17.6491757292</v>
      </c>
      <c r="G4164" s="92"/>
      <c r="I4164">
        <v>9</v>
      </c>
      <c r="J4164" t="s">
        <v>26</v>
      </c>
      <c r="K4164" s="57"/>
      <c r="S4164" s="57"/>
      <c r="X4164" s="57"/>
    </row>
    <row r="4165" spans="1:24" hidden="1" x14ac:dyDescent="0.35">
      <c r="A4165">
        <v>4161</v>
      </c>
      <c r="B4165">
        <v>4162</v>
      </c>
      <c r="C4165">
        <v>146.078580805</v>
      </c>
      <c r="D4165">
        <v>-17.6492156547999</v>
      </c>
      <c r="G4165" s="92"/>
      <c r="I4165">
        <v>9</v>
      </c>
      <c r="J4165" t="s">
        <v>26</v>
      </c>
      <c r="K4165" s="57"/>
      <c r="S4165" s="57"/>
      <c r="X4165" s="57"/>
    </row>
    <row r="4166" spans="1:24" hidden="1" x14ac:dyDescent="0.35">
      <c r="A4166">
        <v>4162</v>
      </c>
      <c r="B4166">
        <v>4163</v>
      </c>
      <c r="C4166">
        <v>146.078661836999</v>
      </c>
      <c r="D4166">
        <v>-17.649252178400001</v>
      </c>
      <c r="G4166" s="92"/>
      <c r="I4166">
        <v>9</v>
      </c>
      <c r="J4166" t="s">
        <v>26</v>
      </c>
      <c r="K4166" s="57"/>
      <c r="S4166" s="57"/>
      <c r="X4166" s="57"/>
    </row>
    <row r="4167" spans="1:24" hidden="1" x14ac:dyDescent="0.35">
      <c r="A4167">
        <v>4163</v>
      </c>
      <c r="B4167">
        <v>4164</v>
      </c>
      <c r="C4167">
        <v>146.078746421999</v>
      </c>
      <c r="D4167">
        <v>-17.6492810069999</v>
      </c>
      <c r="G4167" s="92"/>
      <c r="I4167">
        <v>9</v>
      </c>
      <c r="J4167" t="s">
        <v>26</v>
      </c>
      <c r="K4167" s="57"/>
      <c r="S4167" s="57"/>
      <c r="X4167" s="57"/>
    </row>
    <row r="4168" spans="1:24" hidden="1" x14ac:dyDescent="0.35">
      <c r="A4168">
        <v>4164</v>
      </c>
      <c r="B4168">
        <v>4165</v>
      </c>
      <c r="C4168">
        <v>146.078831006</v>
      </c>
      <c r="D4168">
        <v>-17.649309835499899</v>
      </c>
      <c r="G4168" s="92"/>
      <c r="I4168">
        <v>9</v>
      </c>
      <c r="J4168" t="s">
        <v>26</v>
      </c>
      <c r="K4168" s="57"/>
      <c r="S4168" s="57"/>
      <c r="X4168" s="57"/>
    </row>
    <row r="4169" spans="1:24" hidden="1" x14ac:dyDescent="0.35">
      <c r="A4169">
        <v>4165</v>
      </c>
      <c r="B4169">
        <v>4166</v>
      </c>
      <c r="C4169">
        <v>146.07891559000001</v>
      </c>
      <c r="D4169">
        <v>-17.649338663999899</v>
      </c>
      <c r="G4169" s="92"/>
      <c r="I4169">
        <v>9</v>
      </c>
      <c r="J4169" t="s">
        <v>26</v>
      </c>
      <c r="K4169" s="57"/>
      <c r="S4169" s="57"/>
      <c r="X4169" s="57"/>
    </row>
    <row r="4170" spans="1:24" hidden="1" x14ac:dyDescent="0.35">
      <c r="A4170">
        <v>4166</v>
      </c>
      <c r="B4170">
        <v>4167</v>
      </c>
      <c r="C4170">
        <v>146.07900194600001</v>
      </c>
      <c r="D4170">
        <v>-17.6493597664</v>
      </c>
      <c r="G4170" s="92"/>
      <c r="I4170">
        <v>9</v>
      </c>
      <c r="J4170" t="s">
        <v>26</v>
      </c>
      <c r="K4170" s="57"/>
      <c r="S4170" s="57"/>
      <c r="X4170" s="57"/>
    </row>
    <row r="4171" spans="1:24" hidden="1" x14ac:dyDescent="0.35">
      <c r="A4171">
        <v>4167</v>
      </c>
      <c r="B4171">
        <v>4168</v>
      </c>
      <c r="C4171">
        <v>146.079091438999</v>
      </c>
      <c r="D4171">
        <v>-17.649367191700001</v>
      </c>
      <c r="G4171" s="92"/>
      <c r="I4171">
        <v>9</v>
      </c>
      <c r="J4171" t="s">
        <v>26</v>
      </c>
      <c r="K4171" s="57"/>
      <c r="S4171" s="57"/>
      <c r="X4171" s="57"/>
    </row>
    <row r="4172" spans="1:24" hidden="1" x14ac:dyDescent="0.35">
      <c r="A4172">
        <v>4168</v>
      </c>
      <c r="B4172">
        <v>4169</v>
      </c>
      <c r="C4172">
        <v>146.07918093200001</v>
      </c>
      <c r="D4172">
        <v>-17.6493746169999</v>
      </c>
      <c r="G4172" s="92"/>
      <c r="I4172">
        <v>9</v>
      </c>
      <c r="J4172" t="s">
        <v>26</v>
      </c>
      <c r="K4172" s="57"/>
      <c r="S4172" s="57"/>
      <c r="X4172" s="57"/>
    </row>
    <row r="4173" spans="1:24" hidden="1" x14ac:dyDescent="0.35">
      <c r="A4173">
        <v>4169</v>
      </c>
      <c r="B4173">
        <v>4170</v>
      </c>
      <c r="C4173">
        <v>146.07926982500001</v>
      </c>
      <c r="D4173">
        <v>-17.649373781000001</v>
      </c>
      <c r="G4173" s="92"/>
      <c r="I4173">
        <v>9</v>
      </c>
      <c r="J4173" t="s">
        <v>26</v>
      </c>
      <c r="K4173" s="57"/>
      <c r="S4173" s="57"/>
      <c r="X4173" s="57"/>
    </row>
    <row r="4174" spans="1:24" hidden="1" x14ac:dyDescent="0.35">
      <c r="A4174">
        <v>4170</v>
      </c>
      <c r="B4174">
        <v>4171</v>
      </c>
      <c r="C4174">
        <v>146.079357393999</v>
      </c>
      <c r="D4174">
        <v>-17.649354686599899</v>
      </c>
      <c r="G4174" s="92"/>
      <c r="I4174">
        <v>9</v>
      </c>
      <c r="J4174" t="s">
        <v>26</v>
      </c>
      <c r="K4174" s="57"/>
      <c r="S4174" s="57"/>
      <c r="X4174" s="57"/>
    </row>
    <row r="4175" spans="1:24" hidden="1" x14ac:dyDescent="0.35">
      <c r="A4175">
        <v>4171</v>
      </c>
      <c r="B4175">
        <v>4172</v>
      </c>
      <c r="C4175">
        <v>146.079444961999</v>
      </c>
      <c r="D4175">
        <v>-17.649335592300002</v>
      </c>
      <c r="G4175" s="92"/>
      <c r="I4175">
        <v>9</v>
      </c>
      <c r="J4175" t="s">
        <v>26</v>
      </c>
      <c r="K4175" s="57"/>
      <c r="S4175" s="57"/>
      <c r="X4175" s="57"/>
    </row>
    <row r="4176" spans="1:24" hidden="1" x14ac:dyDescent="0.35">
      <c r="A4176">
        <v>4172</v>
      </c>
      <c r="B4176">
        <v>4173</v>
      </c>
      <c r="C4176">
        <v>146.079529272</v>
      </c>
      <c r="D4176">
        <v>-17.649307266400001</v>
      </c>
      <c r="G4176" s="92"/>
      <c r="I4176">
        <v>9</v>
      </c>
      <c r="J4176" t="s">
        <v>26</v>
      </c>
      <c r="K4176" s="57"/>
      <c r="S4176" s="57"/>
      <c r="X4176" s="57"/>
    </row>
    <row r="4177" spans="1:24" hidden="1" x14ac:dyDescent="0.35">
      <c r="A4177">
        <v>4173</v>
      </c>
      <c r="B4177">
        <v>4174</v>
      </c>
      <c r="C4177">
        <v>146.07961114700001</v>
      </c>
      <c r="D4177">
        <v>-17.6492720454</v>
      </c>
      <c r="G4177" s="92"/>
      <c r="I4177">
        <v>9</v>
      </c>
      <c r="J4177" t="s">
        <v>26</v>
      </c>
      <c r="K4177" s="57"/>
      <c r="S4177" s="57"/>
      <c r="X4177" s="57"/>
    </row>
    <row r="4178" spans="1:24" hidden="1" x14ac:dyDescent="0.35">
      <c r="A4178">
        <v>4174</v>
      </c>
      <c r="B4178">
        <v>4175</v>
      </c>
      <c r="C4178">
        <v>146.079693023</v>
      </c>
      <c r="D4178">
        <v>-17.649236824300001</v>
      </c>
      <c r="G4178" s="92"/>
      <c r="I4178">
        <v>9</v>
      </c>
      <c r="J4178" t="s">
        <v>26</v>
      </c>
      <c r="K4178" s="57"/>
      <c r="S4178" s="57"/>
      <c r="X4178" s="57"/>
    </row>
    <row r="4179" spans="1:24" hidden="1" x14ac:dyDescent="0.35">
      <c r="A4179">
        <v>4175</v>
      </c>
      <c r="B4179">
        <v>4176</v>
      </c>
      <c r="C4179">
        <v>146.07977489800001</v>
      </c>
      <c r="D4179">
        <v>-17.649201603200002</v>
      </c>
      <c r="G4179" s="92"/>
      <c r="I4179">
        <v>9</v>
      </c>
      <c r="J4179" t="s">
        <v>26</v>
      </c>
      <c r="K4179" s="57"/>
      <c r="S4179" s="57"/>
      <c r="X4179" s="57"/>
    </row>
    <row r="4180" spans="1:24" hidden="1" x14ac:dyDescent="0.35">
      <c r="A4180">
        <v>4176</v>
      </c>
      <c r="B4180">
        <v>4177</v>
      </c>
      <c r="C4180">
        <v>146.079849951</v>
      </c>
      <c r="D4180">
        <v>-17.6491549634999</v>
      </c>
      <c r="G4180" s="92"/>
      <c r="I4180">
        <v>9</v>
      </c>
      <c r="J4180" t="s">
        <v>26</v>
      </c>
      <c r="K4180" s="57"/>
      <c r="S4180" s="57"/>
      <c r="X4180" s="57"/>
    </row>
    <row r="4181" spans="1:24" hidden="1" x14ac:dyDescent="0.35">
      <c r="A4181">
        <v>4177</v>
      </c>
      <c r="B4181">
        <v>4178</v>
      </c>
      <c r="C4181">
        <v>146.079923519</v>
      </c>
      <c r="D4181">
        <v>-17.649105839899899</v>
      </c>
      <c r="G4181" s="92"/>
      <c r="I4181">
        <v>9</v>
      </c>
      <c r="J4181" t="s">
        <v>26</v>
      </c>
      <c r="K4181" s="57"/>
      <c r="S4181" s="57"/>
      <c r="X4181" s="57"/>
    </row>
    <row r="4182" spans="1:24" hidden="1" x14ac:dyDescent="0.35">
      <c r="A4182">
        <v>4178</v>
      </c>
      <c r="B4182">
        <v>4179</v>
      </c>
      <c r="C4182">
        <v>146.07998944400001</v>
      </c>
      <c r="D4182">
        <v>-17.649048023300001</v>
      </c>
      <c r="G4182" s="92"/>
      <c r="I4182">
        <v>9</v>
      </c>
      <c r="J4182" t="s">
        <v>26</v>
      </c>
      <c r="K4182" s="57"/>
      <c r="S4182" s="57"/>
      <c r="X4182" s="57"/>
    </row>
    <row r="4183" spans="1:24" hidden="1" x14ac:dyDescent="0.35">
      <c r="A4183">
        <v>4179</v>
      </c>
      <c r="B4183">
        <v>4180</v>
      </c>
      <c r="C4183">
        <v>146.080045261999</v>
      </c>
      <c r="D4183">
        <v>-17.648982568800001</v>
      </c>
      <c r="G4183" s="92"/>
      <c r="I4183">
        <v>9</v>
      </c>
      <c r="J4183" t="s">
        <v>26</v>
      </c>
      <c r="K4183" s="57"/>
      <c r="S4183" s="57"/>
      <c r="X4183" s="57"/>
    </row>
    <row r="4184" spans="1:24" hidden="1" x14ac:dyDescent="0.35">
      <c r="A4184">
        <v>4180</v>
      </c>
      <c r="B4184">
        <v>4181</v>
      </c>
      <c r="C4184">
        <v>146.080080342</v>
      </c>
      <c r="D4184">
        <v>-17.648903762700002</v>
      </c>
      <c r="G4184" s="92"/>
      <c r="I4184">
        <v>9</v>
      </c>
      <c r="J4184" t="s">
        <v>26</v>
      </c>
      <c r="K4184" s="57"/>
      <c r="S4184" s="57"/>
      <c r="X4184" s="57"/>
    </row>
    <row r="4185" spans="1:24" hidden="1" x14ac:dyDescent="0.35">
      <c r="A4185">
        <v>4181</v>
      </c>
      <c r="B4185">
        <v>4182</v>
      </c>
      <c r="C4185">
        <v>146.080115422999</v>
      </c>
      <c r="D4185">
        <v>-17.648824956599899</v>
      </c>
      <c r="G4185" s="92"/>
      <c r="I4185">
        <v>9</v>
      </c>
      <c r="J4185" t="s">
        <v>26</v>
      </c>
      <c r="K4185" s="57"/>
      <c r="S4185" s="57"/>
      <c r="X4185" s="57"/>
    </row>
    <row r="4186" spans="1:24" hidden="1" x14ac:dyDescent="0.35">
      <c r="A4186">
        <v>4182</v>
      </c>
      <c r="B4186">
        <v>4183</v>
      </c>
      <c r="C4186">
        <v>146.08014759400001</v>
      </c>
      <c r="D4186">
        <v>-17.648745054300001</v>
      </c>
      <c r="G4186" s="92"/>
      <c r="I4186">
        <v>9</v>
      </c>
      <c r="J4186" t="s">
        <v>26</v>
      </c>
      <c r="K4186" s="57"/>
      <c r="S4186" s="57"/>
      <c r="X4186" s="57"/>
    </row>
    <row r="4187" spans="1:24" hidden="1" x14ac:dyDescent="0.35">
      <c r="A4187">
        <v>4183</v>
      </c>
      <c r="B4187">
        <v>4184</v>
      </c>
      <c r="C4187">
        <v>146.080178536999</v>
      </c>
      <c r="D4187">
        <v>-17.648664689499899</v>
      </c>
      <c r="G4187" s="92"/>
      <c r="I4187">
        <v>9</v>
      </c>
      <c r="J4187" t="s">
        <v>26</v>
      </c>
      <c r="K4187" s="57"/>
      <c r="S4187" s="57"/>
      <c r="X4187" s="57"/>
    </row>
    <row r="4188" spans="1:24" hidden="1" x14ac:dyDescent="0.35">
      <c r="A4188">
        <v>4184</v>
      </c>
      <c r="B4188">
        <v>4185</v>
      </c>
      <c r="C4188">
        <v>146.08018519800001</v>
      </c>
      <c r="D4188">
        <v>-17.648582368</v>
      </c>
      <c r="G4188" s="92"/>
      <c r="I4188">
        <v>9</v>
      </c>
      <c r="J4188" t="s">
        <v>26</v>
      </c>
      <c r="K4188" s="57"/>
      <c r="S4188" s="57"/>
      <c r="X4188" s="57"/>
    </row>
    <row r="4189" spans="1:24" hidden="1" x14ac:dyDescent="0.35">
      <c r="A4189">
        <v>4185</v>
      </c>
      <c r="B4189">
        <v>4186</v>
      </c>
      <c r="C4189">
        <v>146.080168856</v>
      </c>
      <c r="D4189">
        <v>-17.648498192800002</v>
      </c>
      <c r="G4189" s="92"/>
      <c r="I4189">
        <v>9</v>
      </c>
      <c r="J4189" t="s">
        <v>26</v>
      </c>
      <c r="K4189" s="57"/>
      <c r="S4189" s="57"/>
      <c r="X4189" s="57"/>
    </row>
    <row r="4190" spans="1:24" hidden="1" x14ac:dyDescent="0.35">
      <c r="A4190">
        <v>4186</v>
      </c>
      <c r="B4190">
        <v>4187</v>
      </c>
      <c r="C4190">
        <v>146.080152513999</v>
      </c>
      <c r="D4190">
        <v>-17.6484140176</v>
      </c>
      <c r="G4190" s="92"/>
      <c r="I4190">
        <v>9</v>
      </c>
      <c r="J4190" t="s">
        <v>26</v>
      </c>
      <c r="K4190" s="57"/>
      <c r="S4190" s="57"/>
      <c r="X4190" s="57"/>
    </row>
    <row r="4191" spans="1:24" hidden="1" x14ac:dyDescent="0.35">
      <c r="A4191">
        <v>4187</v>
      </c>
      <c r="B4191">
        <v>4188</v>
      </c>
      <c r="C4191">
        <v>146.080136173</v>
      </c>
      <c r="D4191">
        <v>-17.648329842300001</v>
      </c>
      <c r="G4191" s="92"/>
      <c r="I4191">
        <v>9</v>
      </c>
      <c r="J4191" t="s">
        <v>26</v>
      </c>
      <c r="K4191" s="57"/>
      <c r="S4191" s="57"/>
      <c r="X4191" s="57"/>
    </row>
    <row r="4192" spans="1:24" hidden="1" x14ac:dyDescent="0.35">
      <c r="A4192">
        <v>4188</v>
      </c>
      <c r="B4192">
        <v>4189</v>
      </c>
      <c r="C4192">
        <v>146.08011617400001</v>
      </c>
      <c r="D4192">
        <v>-17.6482467171999</v>
      </c>
      <c r="G4192" s="92"/>
      <c r="I4192">
        <v>9</v>
      </c>
      <c r="J4192" t="s">
        <v>26</v>
      </c>
      <c r="K4192" s="57"/>
      <c r="S4192" s="57"/>
      <c r="X4192" s="57"/>
    </row>
    <row r="4193" spans="1:24" hidden="1" x14ac:dyDescent="0.35">
      <c r="A4193">
        <v>4189</v>
      </c>
      <c r="B4193">
        <v>4190</v>
      </c>
      <c r="C4193">
        <v>146.080080989999</v>
      </c>
      <c r="D4193">
        <v>-17.6481679525</v>
      </c>
      <c r="G4193" s="92"/>
      <c r="I4193">
        <v>9</v>
      </c>
      <c r="J4193" t="s">
        <v>26</v>
      </c>
      <c r="K4193" s="57"/>
      <c r="S4193" s="57"/>
      <c r="X4193" s="57"/>
    </row>
    <row r="4194" spans="1:24" hidden="1" x14ac:dyDescent="0.35">
      <c r="A4194">
        <v>4190</v>
      </c>
      <c r="B4194">
        <v>4191</v>
      </c>
      <c r="C4194">
        <v>146.08004316200001</v>
      </c>
      <c r="D4194">
        <v>-17.648090600300002</v>
      </c>
      <c r="G4194" s="92"/>
      <c r="I4194">
        <v>9</v>
      </c>
      <c r="J4194" t="s">
        <v>26</v>
      </c>
      <c r="K4194" s="57"/>
      <c r="S4194" s="57"/>
      <c r="X4194" s="57"/>
    </row>
    <row r="4195" spans="1:24" hidden="1" x14ac:dyDescent="0.35">
      <c r="A4195">
        <v>4191</v>
      </c>
      <c r="B4195">
        <v>4192</v>
      </c>
      <c r="C4195">
        <v>146.07999103</v>
      </c>
      <c r="D4195">
        <v>-17.648020886200001</v>
      </c>
      <c r="G4195" s="92"/>
      <c r="I4195">
        <v>9</v>
      </c>
      <c r="J4195" t="s">
        <v>26</v>
      </c>
      <c r="K4195" s="57"/>
      <c r="S4195" s="57"/>
      <c r="X4195" s="57"/>
    </row>
    <row r="4196" spans="1:24" hidden="1" x14ac:dyDescent="0.35">
      <c r="A4196">
        <v>4192</v>
      </c>
      <c r="B4196">
        <v>4193</v>
      </c>
      <c r="C4196">
        <v>146.079938897999</v>
      </c>
      <c r="D4196">
        <v>-17.6479511719999</v>
      </c>
      <c r="G4196" s="92"/>
      <c r="I4196">
        <v>9</v>
      </c>
      <c r="J4196" t="s">
        <v>26</v>
      </c>
      <c r="K4196" s="57"/>
      <c r="S4196" s="57"/>
      <c r="X4196" s="57"/>
    </row>
    <row r="4197" spans="1:24" hidden="1" x14ac:dyDescent="0.35">
      <c r="A4197">
        <v>4193</v>
      </c>
      <c r="B4197">
        <v>4194</v>
      </c>
      <c r="C4197">
        <v>146.07988534200001</v>
      </c>
      <c r="D4197">
        <v>-17.647882741</v>
      </c>
      <c r="G4197" s="92"/>
      <c r="I4197">
        <v>9</v>
      </c>
      <c r="J4197" t="s">
        <v>26</v>
      </c>
      <c r="K4197" s="57"/>
      <c r="S4197" s="57"/>
      <c r="X4197" s="57"/>
    </row>
    <row r="4198" spans="1:24" hidden="1" x14ac:dyDescent="0.35">
      <c r="A4198">
        <v>4194</v>
      </c>
      <c r="B4198">
        <v>4195</v>
      </c>
      <c r="C4198">
        <v>146.079815217999</v>
      </c>
      <c r="D4198">
        <v>-17.6478292374</v>
      </c>
      <c r="G4198" s="92"/>
      <c r="I4198">
        <v>9</v>
      </c>
      <c r="J4198" t="s">
        <v>26</v>
      </c>
      <c r="K4198" s="57"/>
      <c r="S4198" s="57"/>
      <c r="X4198" s="57"/>
    </row>
    <row r="4199" spans="1:24" hidden="1" x14ac:dyDescent="0.35">
      <c r="A4199">
        <v>4195</v>
      </c>
      <c r="B4199">
        <v>4196</v>
      </c>
      <c r="C4199">
        <v>146.079745094</v>
      </c>
      <c r="D4199">
        <v>-17.6477757338</v>
      </c>
      <c r="G4199" s="92"/>
      <c r="I4199">
        <v>9</v>
      </c>
      <c r="J4199" t="s">
        <v>26</v>
      </c>
      <c r="K4199" s="57"/>
      <c r="S4199" s="57"/>
      <c r="X4199" s="57"/>
    </row>
    <row r="4200" spans="1:24" hidden="1" x14ac:dyDescent="0.35">
      <c r="A4200">
        <v>4196</v>
      </c>
      <c r="B4200">
        <v>4197</v>
      </c>
      <c r="C4200">
        <v>146.079672023999</v>
      </c>
      <c r="D4200">
        <v>-17.6477262119</v>
      </c>
      <c r="G4200" s="92"/>
      <c r="I4200">
        <v>9</v>
      </c>
      <c r="J4200" t="s">
        <v>26</v>
      </c>
      <c r="K4200" s="57"/>
      <c r="S4200" s="57"/>
      <c r="X4200" s="57"/>
    </row>
    <row r="4201" spans="1:24" hidden="1" x14ac:dyDescent="0.35">
      <c r="A4201">
        <v>4197</v>
      </c>
      <c r="B4201">
        <v>4198</v>
      </c>
      <c r="C4201">
        <v>146.079595592999</v>
      </c>
      <c r="D4201">
        <v>-17.647681230900002</v>
      </c>
      <c r="G4201" s="92"/>
      <c r="I4201">
        <v>9</v>
      </c>
      <c r="J4201" t="s">
        <v>26</v>
      </c>
      <c r="K4201" s="57"/>
      <c r="S4201" s="57"/>
      <c r="X4201" s="57"/>
    </row>
    <row r="4202" spans="1:24" hidden="1" x14ac:dyDescent="0.35">
      <c r="A4202">
        <v>4198</v>
      </c>
      <c r="B4202">
        <v>4199</v>
      </c>
      <c r="C4202">
        <v>146.07951916299899</v>
      </c>
      <c r="D4202">
        <v>-17.6476362499</v>
      </c>
      <c r="G4202" s="92"/>
      <c r="I4202">
        <v>9</v>
      </c>
      <c r="J4202" t="s">
        <v>26</v>
      </c>
      <c r="K4202" s="57"/>
      <c r="S4202" s="57"/>
      <c r="X4202" s="57"/>
    </row>
    <row r="4203" spans="1:24" hidden="1" x14ac:dyDescent="0.35">
      <c r="A4203">
        <v>4199</v>
      </c>
      <c r="B4203">
        <v>4200</v>
      </c>
      <c r="C4203">
        <v>146.07944273199899</v>
      </c>
      <c r="D4203">
        <v>-17.647591268900001</v>
      </c>
      <c r="G4203" s="92"/>
      <c r="I4203">
        <v>9</v>
      </c>
      <c r="J4203" t="s">
        <v>26</v>
      </c>
      <c r="K4203" s="57"/>
      <c r="S4203" s="57"/>
      <c r="X4203" s="57"/>
    </row>
    <row r="4204" spans="1:24" hidden="1" x14ac:dyDescent="0.35">
      <c r="A4204">
        <v>4200</v>
      </c>
      <c r="B4204">
        <v>4201</v>
      </c>
      <c r="C4204">
        <v>146.07936559999899</v>
      </c>
      <c r="D4204">
        <v>-17.6475474189</v>
      </c>
      <c r="G4204" s="92"/>
      <c r="I4204">
        <v>9</v>
      </c>
      <c r="J4204" t="s">
        <v>26</v>
      </c>
      <c r="K4204" s="57"/>
      <c r="S4204" s="57"/>
      <c r="X4204" s="57"/>
    </row>
    <row r="4205" spans="1:24" hidden="1" x14ac:dyDescent="0.35">
      <c r="A4205">
        <v>4201</v>
      </c>
      <c r="B4205">
        <v>4202</v>
      </c>
      <c r="C4205">
        <v>146.07928740200001</v>
      </c>
      <c r="D4205">
        <v>-17.647505287200001</v>
      </c>
      <c r="G4205" s="92"/>
      <c r="I4205">
        <v>9</v>
      </c>
      <c r="J4205" t="s">
        <v>26</v>
      </c>
      <c r="K4205" s="57"/>
      <c r="S4205" s="57"/>
      <c r="X4205" s="57"/>
    </row>
    <row r="4206" spans="1:24" hidden="1" x14ac:dyDescent="0.35">
      <c r="A4206">
        <v>4202</v>
      </c>
      <c r="B4206">
        <v>4203</v>
      </c>
      <c r="C4206">
        <v>146.079209203</v>
      </c>
      <c r="D4206">
        <v>-17.647463155400001</v>
      </c>
      <c r="G4206" s="92"/>
      <c r="I4206">
        <v>9</v>
      </c>
      <c r="J4206" t="s">
        <v>26</v>
      </c>
      <c r="K4206" s="57"/>
      <c r="S4206" s="57"/>
      <c r="X4206" s="57"/>
    </row>
    <row r="4207" spans="1:24" hidden="1" x14ac:dyDescent="0.35">
      <c r="A4207">
        <v>4203</v>
      </c>
      <c r="B4207">
        <v>4204</v>
      </c>
      <c r="C4207">
        <v>146.07912971100001</v>
      </c>
      <c r="D4207">
        <v>-17.6474237314</v>
      </c>
      <c r="G4207" s="92"/>
      <c r="I4207">
        <v>9</v>
      </c>
      <c r="J4207" t="s">
        <v>26</v>
      </c>
      <c r="K4207" s="57"/>
      <c r="S4207" s="57"/>
      <c r="X4207" s="57"/>
    </row>
    <row r="4208" spans="1:24" hidden="1" x14ac:dyDescent="0.35">
      <c r="A4208">
        <v>4204</v>
      </c>
      <c r="B4208">
        <v>4205</v>
      </c>
      <c r="C4208">
        <v>146.079045022999</v>
      </c>
      <c r="D4208">
        <v>-17.6473951812</v>
      </c>
      <c r="G4208" s="92"/>
      <c r="I4208">
        <v>9</v>
      </c>
      <c r="J4208" t="s">
        <v>26</v>
      </c>
      <c r="K4208" s="57"/>
      <c r="S4208" s="57"/>
      <c r="X4208" s="57"/>
    </row>
    <row r="4209" spans="1:24" hidden="1" x14ac:dyDescent="0.35">
      <c r="A4209">
        <v>4205</v>
      </c>
      <c r="B4209">
        <v>4206</v>
      </c>
      <c r="C4209">
        <v>146.078960335</v>
      </c>
      <c r="D4209">
        <v>-17.647366631000001</v>
      </c>
      <c r="G4209" s="92"/>
      <c r="I4209">
        <v>9</v>
      </c>
      <c r="J4209" t="s">
        <v>26</v>
      </c>
      <c r="K4209" s="57"/>
      <c r="S4209" s="57"/>
      <c r="X4209" s="57"/>
    </row>
    <row r="4210" spans="1:24" hidden="1" x14ac:dyDescent="0.35">
      <c r="A4210">
        <v>4206</v>
      </c>
      <c r="B4210">
        <v>4207</v>
      </c>
      <c r="C4210">
        <v>146.078875646</v>
      </c>
      <c r="D4210">
        <v>-17.647338080800001</v>
      </c>
      <c r="G4210" s="92"/>
      <c r="I4210">
        <v>9</v>
      </c>
      <c r="J4210" t="s">
        <v>26</v>
      </c>
      <c r="K4210" s="57"/>
      <c r="S4210" s="57"/>
      <c r="X4210" s="57"/>
    </row>
    <row r="4211" spans="1:24" hidden="1" x14ac:dyDescent="0.35">
      <c r="A4211">
        <v>4207</v>
      </c>
      <c r="B4211">
        <v>4208</v>
      </c>
      <c r="C4211">
        <v>146.07878799100001</v>
      </c>
      <c r="D4211">
        <v>-17.6473202873999</v>
      </c>
      <c r="G4211" s="92"/>
      <c r="I4211">
        <v>9</v>
      </c>
      <c r="J4211" t="s">
        <v>26</v>
      </c>
      <c r="K4211" s="57"/>
      <c r="S4211" s="57"/>
      <c r="X4211" s="57"/>
    </row>
    <row r="4212" spans="1:24" hidden="1" x14ac:dyDescent="0.35">
      <c r="A4212">
        <v>4208</v>
      </c>
      <c r="B4212">
        <v>4209</v>
      </c>
      <c r="C4212">
        <v>146.07869951800001</v>
      </c>
      <c r="D4212">
        <v>-17.6473054569</v>
      </c>
      <c r="G4212" s="92"/>
      <c r="I4212">
        <v>9</v>
      </c>
      <c r="J4212" t="s">
        <v>26</v>
      </c>
      <c r="K4212" s="57"/>
      <c r="S4212" s="57"/>
      <c r="X4212" s="57"/>
    </row>
    <row r="4213" spans="1:24" hidden="1" x14ac:dyDescent="0.35">
      <c r="A4213">
        <v>4209</v>
      </c>
      <c r="B4213">
        <v>4210</v>
      </c>
      <c r="C4213">
        <v>146.07861104400001</v>
      </c>
      <c r="D4213">
        <v>-17.647290626299899</v>
      </c>
      <c r="G4213" s="92"/>
      <c r="I4213">
        <v>9</v>
      </c>
      <c r="J4213" t="s">
        <v>26</v>
      </c>
      <c r="K4213" s="57"/>
      <c r="S4213" s="57"/>
      <c r="X4213" s="57"/>
    </row>
    <row r="4214" spans="1:24" hidden="1" x14ac:dyDescent="0.35">
      <c r="A4214">
        <v>4210</v>
      </c>
      <c r="B4214">
        <v>4211</v>
      </c>
      <c r="C4214">
        <v>146.078522636</v>
      </c>
      <c r="D4214">
        <v>-17.647289459700001</v>
      </c>
      <c r="G4214" s="92"/>
      <c r="I4214">
        <v>9</v>
      </c>
      <c r="J4214" t="s">
        <v>26</v>
      </c>
      <c r="K4214" s="57"/>
      <c r="S4214" s="57"/>
      <c r="X4214" s="57"/>
    </row>
    <row r="4215" spans="1:24" hidden="1" x14ac:dyDescent="0.35">
      <c r="A4215">
        <v>4211</v>
      </c>
      <c r="B4215">
        <v>4212</v>
      </c>
      <c r="C4215">
        <v>146.078434307999</v>
      </c>
      <c r="D4215">
        <v>-17.647305054099899</v>
      </c>
      <c r="G4215" s="92"/>
      <c r="I4215">
        <v>9</v>
      </c>
      <c r="J4215" t="s">
        <v>26</v>
      </c>
      <c r="K4215" s="57"/>
      <c r="S4215" s="57"/>
      <c r="X4215" s="57"/>
    </row>
    <row r="4216" spans="1:24" hidden="1" x14ac:dyDescent="0.35">
      <c r="A4216">
        <v>4212</v>
      </c>
      <c r="B4216">
        <v>4213</v>
      </c>
      <c r="C4216">
        <v>146.078345842999</v>
      </c>
      <c r="D4216">
        <v>-17.647319670000002</v>
      </c>
      <c r="G4216" s="92"/>
      <c r="I4216">
        <v>9</v>
      </c>
      <c r="J4216" t="s">
        <v>26</v>
      </c>
      <c r="K4216" s="57"/>
      <c r="S4216" s="57"/>
      <c r="X4216" s="57"/>
    </row>
    <row r="4217" spans="1:24" hidden="1" x14ac:dyDescent="0.35">
      <c r="A4217">
        <v>4213</v>
      </c>
      <c r="B4217">
        <v>4214</v>
      </c>
      <c r="C4217">
        <v>146.078256307</v>
      </c>
      <c r="D4217">
        <v>-17.647326606499899</v>
      </c>
      <c r="G4217" s="92"/>
      <c r="I4217">
        <v>9</v>
      </c>
      <c r="J4217" t="s">
        <v>26</v>
      </c>
      <c r="K4217" s="57"/>
      <c r="S4217" s="57"/>
      <c r="X4217" s="57"/>
    </row>
    <row r="4218" spans="1:24" hidden="1" x14ac:dyDescent="0.35">
      <c r="A4218">
        <v>4214</v>
      </c>
      <c r="B4218">
        <v>4215</v>
      </c>
      <c r="C4218">
        <v>146.07816677100001</v>
      </c>
      <c r="D4218">
        <v>-17.6473335431</v>
      </c>
      <c r="G4218" s="92"/>
      <c r="I4218">
        <v>9</v>
      </c>
      <c r="J4218" t="s">
        <v>26</v>
      </c>
      <c r="K4218" s="57"/>
      <c r="S4218" s="57"/>
      <c r="X4218" s="57"/>
    </row>
    <row r="4219" spans="1:24" hidden="1" x14ac:dyDescent="0.35">
      <c r="A4219">
        <v>4215</v>
      </c>
      <c r="B4219">
        <v>4216</v>
      </c>
      <c r="C4219">
        <v>146.078077234999</v>
      </c>
      <c r="D4219">
        <v>-17.647340479699899</v>
      </c>
      <c r="G4219" s="92"/>
      <c r="I4219">
        <v>9</v>
      </c>
      <c r="J4219" t="s">
        <v>26</v>
      </c>
      <c r="K4219" s="57"/>
      <c r="S4219" s="57"/>
      <c r="X4219" s="57"/>
    </row>
    <row r="4220" spans="1:24" hidden="1" x14ac:dyDescent="0.35">
      <c r="A4220">
        <v>4216</v>
      </c>
      <c r="B4220">
        <v>4217</v>
      </c>
      <c r="C4220">
        <v>146.07798769799899</v>
      </c>
      <c r="D4220">
        <v>-17.647347416300001</v>
      </c>
      <c r="G4220" s="92"/>
      <c r="I4220">
        <v>9</v>
      </c>
      <c r="J4220" t="s">
        <v>26</v>
      </c>
      <c r="K4220" s="57"/>
      <c r="S4220" s="57"/>
      <c r="X4220" s="57"/>
    </row>
    <row r="4221" spans="1:24" hidden="1" x14ac:dyDescent="0.35">
      <c r="A4221">
        <v>4217</v>
      </c>
      <c r="B4221">
        <v>4218</v>
      </c>
      <c r="C4221">
        <v>146.07789794000001</v>
      </c>
      <c r="D4221">
        <v>-17.6473487965999</v>
      </c>
      <c r="G4221" s="92"/>
      <c r="I4221">
        <v>9</v>
      </c>
      <c r="J4221" t="s">
        <v>26</v>
      </c>
      <c r="K4221" s="57"/>
      <c r="S4221" s="57"/>
      <c r="X4221" s="57"/>
    </row>
    <row r="4222" spans="1:24" hidden="1" x14ac:dyDescent="0.35">
      <c r="A4222">
        <v>4218</v>
      </c>
      <c r="B4222">
        <v>4219</v>
      </c>
      <c r="C4222">
        <v>146.07780811000001</v>
      </c>
      <c r="D4222">
        <v>-17.6473483764</v>
      </c>
      <c r="G4222" s="92"/>
      <c r="I4222">
        <v>9</v>
      </c>
      <c r="J4222" t="s">
        <v>26</v>
      </c>
      <c r="K4222" s="57"/>
      <c r="S4222" s="57"/>
      <c r="X4222" s="57"/>
    </row>
    <row r="4223" spans="1:24" hidden="1" x14ac:dyDescent="0.35">
      <c r="A4223">
        <v>4219</v>
      </c>
      <c r="B4223">
        <v>4220</v>
      </c>
      <c r="C4223">
        <v>146.07771827900001</v>
      </c>
      <c r="D4223">
        <v>-17.647347956200001</v>
      </c>
      <c r="G4223" s="92"/>
      <c r="I4223">
        <v>9</v>
      </c>
      <c r="J4223" t="s">
        <v>26</v>
      </c>
      <c r="K4223" s="57"/>
      <c r="S4223" s="57"/>
      <c r="X4223" s="57"/>
    </row>
    <row r="4224" spans="1:24" hidden="1" x14ac:dyDescent="0.35">
      <c r="A4224">
        <v>4220</v>
      </c>
      <c r="B4224">
        <v>4221</v>
      </c>
      <c r="C4224">
        <v>146.07762873799899</v>
      </c>
      <c r="D4224">
        <v>-17.647342759000001</v>
      </c>
      <c r="G4224" s="92"/>
      <c r="I4224">
        <v>9</v>
      </c>
      <c r="J4224" t="s">
        <v>26</v>
      </c>
      <c r="K4224" s="57"/>
      <c r="S4224" s="57"/>
      <c r="X4224" s="57"/>
    </row>
    <row r="4225" spans="1:24" hidden="1" x14ac:dyDescent="0.35">
      <c r="A4225">
        <v>4221</v>
      </c>
      <c r="B4225">
        <v>4222</v>
      </c>
      <c r="C4225">
        <v>146.077539454</v>
      </c>
      <c r="D4225">
        <v>-17.6473333257</v>
      </c>
      <c r="G4225" s="92"/>
      <c r="I4225">
        <v>9</v>
      </c>
      <c r="J4225" t="s">
        <v>26</v>
      </c>
      <c r="K4225" s="57"/>
      <c r="S4225" s="57"/>
      <c r="X4225" s="57"/>
    </row>
    <row r="4226" spans="1:24" hidden="1" x14ac:dyDescent="0.35">
      <c r="A4226">
        <v>4222</v>
      </c>
      <c r="B4226">
        <v>4223</v>
      </c>
      <c r="C4226">
        <v>146.077453730999</v>
      </c>
      <c r="D4226">
        <v>-17.647316284399899</v>
      </c>
      <c r="G4226" s="92"/>
      <c r="I4226">
        <v>9</v>
      </c>
      <c r="J4226" t="s">
        <v>26</v>
      </c>
      <c r="K4226" s="57"/>
      <c r="S4226" s="57"/>
      <c r="X4226" s="57"/>
    </row>
    <row r="4227" spans="1:24" hidden="1" x14ac:dyDescent="0.35">
      <c r="A4227">
        <v>4223</v>
      </c>
      <c r="B4227">
        <v>4224</v>
      </c>
      <c r="C4227">
        <v>146.07738672400001</v>
      </c>
      <c r="D4227">
        <v>-17.6472592687999</v>
      </c>
      <c r="G4227" s="92"/>
      <c r="I4227">
        <v>9</v>
      </c>
      <c r="J4227" t="s">
        <v>26</v>
      </c>
      <c r="K4227" s="57"/>
      <c r="S4227" s="57"/>
      <c r="X4227" s="57"/>
    </row>
    <row r="4228" spans="1:24" hidden="1" x14ac:dyDescent="0.35">
      <c r="A4228">
        <v>4224</v>
      </c>
      <c r="B4228">
        <v>4225</v>
      </c>
      <c r="C4228">
        <v>146.077319716999</v>
      </c>
      <c r="D4228">
        <v>-17.647202253100001</v>
      </c>
      <c r="G4228" s="92"/>
      <c r="I4228">
        <v>9</v>
      </c>
      <c r="J4228" t="s">
        <v>26</v>
      </c>
      <c r="K4228" s="57"/>
      <c r="S4228" s="57"/>
      <c r="X4228" s="57"/>
    </row>
    <row r="4229" spans="1:24" hidden="1" x14ac:dyDescent="0.35">
      <c r="A4229">
        <v>4225</v>
      </c>
      <c r="B4229">
        <v>4226</v>
      </c>
      <c r="C4229">
        <v>146.077268484999</v>
      </c>
      <c r="D4229">
        <v>-17.647135130100001</v>
      </c>
      <c r="G4229" s="92"/>
      <c r="I4229">
        <v>9</v>
      </c>
      <c r="J4229" t="s">
        <v>26</v>
      </c>
      <c r="K4229" s="57"/>
      <c r="S4229" s="57"/>
      <c r="X4229" s="57"/>
    </row>
    <row r="4230" spans="1:24" hidden="1" x14ac:dyDescent="0.35">
      <c r="A4230">
        <v>4226</v>
      </c>
      <c r="B4230">
        <v>4227</v>
      </c>
      <c r="C4230">
        <v>146.077238362</v>
      </c>
      <c r="D4230">
        <v>-17.6470544823</v>
      </c>
      <c r="G4230" s="92"/>
      <c r="I4230">
        <v>9</v>
      </c>
      <c r="J4230" t="s">
        <v>26</v>
      </c>
      <c r="K4230" s="57"/>
      <c r="S4230" s="57"/>
      <c r="X4230" s="57"/>
    </row>
    <row r="4231" spans="1:24" hidden="1" x14ac:dyDescent="0.35">
      <c r="A4231">
        <v>4227</v>
      </c>
      <c r="B4231">
        <v>4228</v>
      </c>
      <c r="C4231">
        <v>146.07720823899899</v>
      </c>
      <c r="D4231">
        <v>-17.646973834499899</v>
      </c>
      <c r="G4231" s="92"/>
      <c r="I4231">
        <v>9</v>
      </c>
      <c r="J4231" t="s">
        <v>26</v>
      </c>
      <c r="K4231" s="57"/>
      <c r="S4231" s="57"/>
      <c r="X4231" s="57"/>
    </row>
    <row r="4232" spans="1:24" hidden="1" x14ac:dyDescent="0.35">
      <c r="A4232">
        <v>4228</v>
      </c>
      <c r="B4232">
        <v>4229</v>
      </c>
      <c r="C4232">
        <v>146.077178115999</v>
      </c>
      <c r="D4232">
        <v>-17.6468931866</v>
      </c>
      <c r="G4232" s="92"/>
      <c r="I4232">
        <v>9</v>
      </c>
      <c r="J4232" t="s">
        <v>26</v>
      </c>
      <c r="K4232" s="57"/>
      <c r="S4232" s="57"/>
      <c r="X4232" s="57"/>
    </row>
    <row r="4233" spans="1:24" hidden="1" x14ac:dyDescent="0.35">
      <c r="A4233">
        <v>4229</v>
      </c>
      <c r="B4233">
        <v>4230</v>
      </c>
      <c r="C4233">
        <v>146.077175850999</v>
      </c>
      <c r="D4233">
        <v>-17.646808815</v>
      </c>
      <c r="G4233" s="92"/>
      <c r="I4233">
        <v>9</v>
      </c>
      <c r="J4233" t="s">
        <v>26</v>
      </c>
      <c r="K4233" s="57"/>
      <c r="S4233" s="57"/>
      <c r="X4233" s="57"/>
    </row>
    <row r="4234" spans="1:24" hidden="1" x14ac:dyDescent="0.35">
      <c r="A4234">
        <v>4230</v>
      </c>
      <c r="B4234">
        <v>4231</v>
      </c>
      <c r="C4234">
        <v>146.077194031</v>
      </c>
      <c r="D4234">
        <v>-17.646725328599899</v>
      </c>
      <c r="G4234" s="92"/>
      <c r="I4234">
        <v>9</v>
      </c>
      <c r="J4234" t="s">
        <v>26</v>
      </c>
      <c r="K4234" s="57"/>
      <c r="S4234" s="57"/>
      <c r="X4234" s="57"/>
    </row>
    <row r="4235" spans="1:24" hidden="1" x14ac:dyDescent="0.35">
      <c r="A4235">
        <v>4231</v>
      </c>
      <c r="B4235">
        <v>4232</v>
      </c>
      <c r="C4235">
        <v>146.077229829</v>
      </c>
      <c r="D4235">
        <v>-17.646647976000001</v>
      </c>
      <c r="G4235" s="92"/>
      <c r="I4235">
        <v>9</v>
      </c>
      <c r="J4235" t="s">
        <v>26</v>
      </c>
      <c r="K4235" s="57"/>
      <c r="S4235" s="57"/>
      <c r="X4235" s="57"/>
    </row>
    <row r="4236" spans="1:24" hidden="1" x14ac:dyDescent="0.35">
      <c r="A4236">
        <v>4232</v>
      </c>
      <c r="B4236">
        <v>4233</v>
      </c>
      <c r="C4236">
        <v>146.07728169800001</v>
      </c>
      <c r="D4236">
        <v>-17.646578384800002</v>
      </c>
      <c r="G4236" s="92"/>
      <c r="I4236">
        <v>9</v>
      </c>
      <c r="J4236" t="s">
        <v>26</v>
      </c>
      <c r="K4236" s="57"/>
      <c r="S4236" s="57"/>
      <c r="X4236" s="57"/>
    </row>
    <row r="4237" spans="1:24" hidden="1" x14ac:dyDescent="0.35">
      <c r="A4237">
        <v>4233</v>
      </c>
      <c r="B4237">
        <v>4234</v>
      </c>
      <c r="C4237">
        <v>146.07734338500001</v>
      </c>
      <c r="D4237">
        <v>-17.646516154699899</v>
      </c>
      <c r="G4237" s="92"/>
      <c r="I4237">
        <v>9</v>
      </c>
      <c r="J4237" t="s">
        <v>26</v>
      </c>
      <c r="K4237" s="57"/>
      <c r="S4237" s="57"/>
      <c r="X4237" s="57"/>
    </row>
    <row r="4238" spans="1:24" hidden="1" x14ac:dyDescent="0.35">
      <c r="A4238">
        <v>4234</v>
      </c>
      <c r="B4238">
        <v>4235</v>
      </c>
      <c r="C4238">
        <v>146.077414879</v>
      </c>
      <c r="D4238">
        <v>-17.6464649069</v>
      </c>
      <c r="G4238" s="92"/>
      <c r="I4238">
        <v>9</v>
      </c>
      <c r="J4238" t="s">
        <v>26</v>
      </c>
      <c r="K4238" s="57"/>
      <c r="S4238" s="57"/>
      <c r="X4238" s="57"/>
    </row>
    <row r="4239" spans="1:24" hidden="1" x14ac:dyDescent="0.35">
      <c r="A4239">
        <v>4235</v>
      </c>
      <c r="B4239">
        <v>4236</v>
      </c>
      <c r="C4239">
        <v>146.07749105600001</v>
      </c>
      <c r="D4239">
        <v>-17.6464218811</v>
      </c>
      <c r="G4239" s="92"/>
      <c r="I4239">
        <v>9</v>
      </c>
      <c r="J4239" t="s">
        <v>26</v>
      </c>
      <c r="K4239" s="57"/>
      <c r="S4239" s="57"/>
      <c r="X4239" s="57"/>
    </row>
    <row r="4240" spans="1:24" hidden="1" x14ac:dyDescent="0.35">
      <c r="A4240">
        <v>4236</v>
      </c>
      <c r="B4240">
        <v>4237</v>
      </c>
      <c r="C4240">
        <v>146.07758063200001</v>
      </c>
      <c r="D4240">
        <v>-17.646415431800001</v>
      </c>
      <c r="G4240" s="92"/>
      <c r="I4240">
        <v>9</v>
      </c>
      <c r="J4240" t="s">
        <v>26</v>
      </c>
      <c r="K4240" s="57"/>
      <c r="S4240" s="57"/>
      <c r="X4240" s="57"/>
    </row>
    <row r="4241" spans="1:24" hidden="1" x14ac:dyDescent="0.35">
      <c r="A4241">
        <v>4237</v>
      </c>
      <c r="B4241">
        <v>4238</v>
      </c>
      <c r="C4241">
        <v>146.077670208</v>
      </c>
      <c r="D4241">
        <v>-17.646408982699899</v>
      </c>
      <c r="G4241" s="92"/>
      <c r="I4241">
        <v>9</v>
      </c>
      <c r="J4241" t="s">
        <v>26</v>
      </c>
      <c r="K4241" s="57"/>
      <c r="S4241" s="57"/>
      <c r="X4241" s="57"/>
    </row>
    <row r="4242" spans="1:24" hidden="1" x14ac:dyDescent="0.35">
      <c r="A4242">
        <v>4238</v>
      </c>
      <c r="B4242">
        <v>4239</v>
      </c>
      <c r="C4242">
        <v>146.077759786</v>
      </c>
      <c r="D4242">
        <v>-17.646402651100001</v>
      </c>
      <c r="G4242" s="92"/>
      <c r="I4242">
        <v>9</v>
      </c>
      <c r="J4242" t="s">
        <v>26</v>
      </c>
      <c r="K4242" s="57"/>
      <c r="S4242" s="57"/>
      <c r="X4242" s="57"/>
    </row>
    <row r="4243" spans="1:24" hidden="1" x14ac:dyDescent="0.35">
      <c r="A4243">
        <v>4239</v>
      </c>
      <c r="B4243">
        <v>4240</v>
      </c>
      <c r="C4243">
        <v>146.07784945700001</v>
      </c>
      <c r="D4243">
        <v>-17.646407761700001</v>
      </c>
      <c r="G4243" s="92"/>
      <c r="I4243">
        <v>9</v>
      </c>
      <c r="J4243" t="s">
        <v>26</v>
      </c>
      <c r="K4243" s="57"/>
      <c r="S4243" s="57"/>
      <c r="X4243" s="57"/>
    </row>
    <row r="4244" spans="1:24" hidden="1" x14ac:dyDescent="0.35">
      <c r="A4244">
        <v>4240</v>
      </c>
      <c r="B4244">
        <v>4241</v>
      </c>
      <c r="C4244">
        <v>146.077939127999</v>
      </c>
      <c r="D4244">
        <v>-17.6464128723999</v>
      </c>
      <c r="G4244" s="92"/>
      <c r="I4244">
        <v>9</v>
      </c>
      <c r="J4244" t="s">
        <v>26</v>
      </c>
      <c r="K4244" s="57"/>
      <c r="S4244" s="57"/>
      <c r="X4244" s="57"/>
    </row>
    <row r="4245" spans="1:24" hidden="1" x14ac:dyDescent="0.35">
      <c r="A4245">
        <v>4241</v>
      </c>
      <c r="B4245">
        <v>4242</v>
      </c>
      <c r="C4245">
        <v>146.07802879900001</v>
      </c>
      <c r="D4245">
        <v>-17.6464179829999</v>
      </c>
      <c r="G4245" s="92"/>
      <c r="I4245">
        <v>9</v>
      </c>
      <c r="J4245" t="s">
        <v>26</v>
      </c>
      <c r="K4245" s="57"/>
      <c r="S4245" s="57"/>
      <c r="X4245" s="57"/>
    </row>
    <row r="4246" spans="1:24" hidden="1" x14ac:dyDescent="0.35">
      <c r="A4246">
        <v>4242</v>
      </c>
      <c r="B4246">
        <v>4243</v>
      </c>
      <c r="C4246">
        <v>146.078118308999</v>
      </c>
      <c r="D4246">
        <v>-17.6464250436999</v>
      </c>
      <c r="G4246" s="92"/>
      <c r="I4246">
        <v>9</v>
      </c>
      <c r="J4246" t="s">
        <v>26</v>
      </c>
      <c r="K4246" s="57"/>
      <c r="S4246" s="57"/>
      <c r="X4246" s="57"/>
    </row>
    <row r="4247" spans="1:24" hidden="1" x14ac:dyDescent="0.35">
      <c r="A4247">
        <v>4243</v>
      </c>
      <c r="B4247">
        <v>4244</v>
      </c>
      <c r="C4247">
        <v>146.078207706999</v>
      </c>
      <c r="D4247">
        <v>-17.6464334387999</v>
      </c>
      <c r="G4247" s="92"/>
      <c r="I4247">
        <v>9</v>
      </c>
      <c r="J4247" t="s">
        <v>26</v>
      </c>
      <c r="K4247" s="57"/>
      <c r="S4247" s="57"/>
      <c r="X4247" s="57"/>
    </row>
    <row r="4248" spans="1:24" hidden="1" x14ac:dyDescent="0.35">
      <c r="A4248">
        <v>4244</v>
      </c>
      <c r="B4248">
        <v>4245</v>
      </c>
      <c r="C4248">
        <v>146.07829710600001</v>
      </c>
      <c r="D4248">
        <v>-17.646441834000001</v>
      </c>
      <c r="G4248" s="92"/>
      <c r="I4248">
        <v>9</v>
      </c>
      <c r="J4248" t="s">
        <v>26</v>
      </c>
      <c r="K4248" s="57"/>
      <c r="S4248" s="57"/>
      <c r="X4248" s="57"/>
    </row>
    <row r="4249" spans="1:24" hidden="1" x14ac:dyDescent="0.35">
      <c r="A4249">
        <v>4245</v>
      </c>
      <c r="B4249">
        <v>4246</v>
      </c>
      <c r="C4249">
        <v>146.07838650400001</v>
      </c>
      <c r="D4249">
        <v>-17.6464502291999</v>
      </c>
      <c r="G4249" s="92"/>
      <c r="I4249">
        <v>9</v>
      </c>
      <c r="J4249" t="s">
        <v>26</v>
      </c>
      <c r="K4249" s="57"/>
      <c r="S4249" s="57"/>
      <c r="X4249" s="57"/>
    </row>
    <row r="4250" spans="1:24" hidden="1" x14ac:dyDescent="0.35">
      <c r="A4250">
        <v>4246</v>
      </c>
      <c r="B4250">
        <v>4247</v>
      </c>
      <c r="C4250">
        <v>146.078475902999</v>
      </c>
      <c r="D4250">
        <v>-17.6464586242999</v>
      </c>
      <c r="G4250" s="92"/>
      <c r="I4250">
        <v>9</v>
      </c>
      <c r="J4250" t="s">
        <v>26</v>
      </c>
      <c r="K4250" s="57"/>
      <c r="S4250" s="57"/>
      <c r="X4250" s="57"/>
    </row>
    <row r="4251" spans="1:24" hidden="1" x14ac:dyDescent="0.35">
      <c r="A4251">
        <v>4247</v>
      </c>
      <c r="B4251">
        <v>4248</v>
      </c>
      <c r="C4251">
        <v>146.07856493200001</v>
      </c>
      <c r="D4251">
        <v>-17.6464692738999</v>
      </c>
      <c r="G4251" s="92"/>
      <c r="I4251">
        <v>9</v>
      </c>
      <c r="J4251" t="s">
        <v>26</v>
      </c>
      <c r="K4251" s="57"/>
      <c r="S4251" s="57"/>
      <c r="X4251" s="57"/>
    </row>
    <row r="4252" spans="1:24" hidden="1" x14ac:dyDescent="0.35">
      <c r="A4252">
        <v>4248</v>
      </c>
      <c r="B4252">
        <v>4249</v>
      </c>
      <c r="C4252">
        <v>146.078652769999</v>
      </c>
      <c r="D4252">
        <v>-17.6464872082</v>
      </c>
      <c r="G4252" s="92"/>
      <c r="I4252">
        <v>9</v>
      </c>
      <c r="J4252" t="s">
        <v>26</v>
      </c>
      <c r="K4252" s="57"/>
      <c r="S4252" s="57"/>
      <c r="X4252" s="57"/>
    </row>
    <row r="4253" spans="1:24" hidden="1" x14ac:dyDescent="0.35">
      <c r="A4253">
        <v>4249</v>
      </c>
      <c r="B4253">
        <v>4250</v>
      </c>
      <c r="C4253">
        <v>146.078740608999</v>
      </c>
      <c r="D4253">
        <v>-17.646505142500001</v>
      </c>
      <c r="G4253" s="92"/>
      <c r="I4253">
        <v>9</v>
      </c>
      <c r="J4253" t="s">
        <v>26</v>
      </c>
      <c r="K4253" s="57"/>
      <c r="S4253" s="57"/>
      <c r="X4253" s="57"/>
    </row>
    <row r="4254" spans="1:24" hidden="1" x14ac:dyDescent="0.35">
      <c r="A4254">
        <v>4250</v>
      </c>
      <c r="B4254">
        <v>4251</v>
      </c>
      <c r="C4254">
        <v>146.07882844700001</v>
      </c>
      <c r="D4254">
        <v>-17.646523076800001</v>
      </c>
      <c r="G4254" s="92"/>
      <c r="I4254">
        <v>9</v>
      </c>
      <c r="J4254" t="s">
        <v>26</v>
      </c>
      <c r="K4254" s="57"/>
      <c r="S4254" s="57"/>
      <c r="X4254" s="57"/>
    </row>
    <row r="4255" spans="1:24" hidden="1" x14ac:dyDescent="0.35">
      <c r="A4255">
        <v>4251</v>
      </c>
      <c r="B4255">
        <v>4252</v>
      </c>
      <c r="C4255">
        <v>146.078916284999</v>
      </c>
      <c r="D4255">
        <v>-17.6465410112</v>
      </c>
      <c r="G4255" s="92"/>
      <c r="I4255">
        <v>9</v>
      </c>
      <c r="J4255" t="s">
        <v>26</v>
      </c>
      <c r="K4255" s="57"/>
      <c r="S4255" s="57"/>
      <c r="X4255" s="57"/>
    </row>
    <row r="4256" spans="1:24" hidden="1" x14ac:dyDescent="0.35">
      <c r="A4256">
        <v>4252</v>
      </c>
      <c r="B4256">
        <v>4253</v>
      </c>
      <c r="C4256">
        <v>146.079004123</v>
      </c>
      <c r="D4256">
        <v>-17.646558945500001</v>
      </c>
      <c r="G4256" s="92"/>
      <c r="I4256">
        <v>9</v>
      </c>
      <c r="J4256" t="s">
        <v>26</v>
      </c>
      <c r="K4256" s="57"/>
      <c r="S4256" s="57"/>
      <c r="X4256" s="57"/>
    </row>
    <row r="4257" spans="1:24" hidden="1" x14ac:dyDescent="0.35">
      <c r="A4257">
        <v>4253</v>
      </c>
      <c r="B4257">
        <v>4254</v>
      </c>
      <c r="C4257">
        <v>146.07909196099899</v>
      </c>
      <c r="D4257">
        <v>-17.646576879800001</v>
      </c>
      <c r="G4257" s="92"/>
      <c r="I4257">
        <v>9</v>
      </c>
      <c r="J4257" t="s">
        <v>26</v>
      </c>
      <c r="K4257" s="57"/>
      <c r="S4257" s="57"/>
      <c r="X4257" s="57"/>
    </row>
    <row r="4258" spans="1:24" hidden="1" x14ac:dyDescent="0.35">
      <c r="A4258">
        <v>4254</v>
      </c>
      <c r="B4258">
        <v>4255</v>
      </c>
      <c r="C4258">
        <v>146.079179799</v>
      </c>
      <c r="D4258">
        <v>-17.646594814099899</v>
      </c>
      <c r="G4258" s="92"/>
      <c r="I4258">
        <v>9</v>
      </c>
      <c r="J4258" t="s">
        <v>26</v>
      </c>
      <c r="K4258" s="57"/>
      <c r="S4258" s="57"/>
      <c r="X4258" s="57"/>
    </row>
    <row r="4259" spans="1:24" hidden="1" x14ac:dyDescent="0.35">
      <c r="A4259">
        <v>4255</v>
      </c>
      <c r="B4259">
        <v>4256</v>
      </c>
      <c r="C4259">
        <v>146.07926763699899</v>
      </c>
      <c r="D4259">
        <v>-17.6466127483999</v>
      </c>
      <c r="G4259" s="92"/>
      <c r="I4259">
        <v>9</v>
      </c>
      <c r="J4259" t="s">
        <v>26</v>
      </c>
      <c r="K4259" s="57"/>
      <c r="S4259" s="57"/>
      <c r="X4259" s="57"/>
    </row>
    <row r="4260" spans="1:24" hidden="1" x14ac:dyDescent="0.35">
      <c r="A4260">
        <v>4256</v>
      </c>
      <c r="B4260">
        <v>4257</v>
      </c>
      <c r="C4260">
        <v>146.079355475</v>
      </c>
      <c r="D4260">
        <v>-17.6466306827</v>
      </c>
      <c r="G4260" s="92"/>
      <c r="I4260">
        <v>9</v>
      </c>
      <c r="J4260" t="s">
        <v>26</v>
      </c>
      <c r="K4260" s="57"/>
      <c r="S4260" s="57"/>
      <c r="X4260" s="57"/>
    </row>
    <row r="4261" spans="1:24" hidden="1" x14ac:dyDescent="0.35">
      <c r="A4261">
        <v>4257</v>
      </c>
      <c r="B4261">
        <v>4258</v>
      </c>
      <c r="C4261">
        <v>146.07944331300001</v>
      </c>
      <c r="D4261">
        <v>-17.6466486166</v>
      </c>
      <c r="G4261" s="92"/>
      <c r="I4261">
        <v>9</v>
      </c>
      <c r="J4261" t="s">
        <v>26</v>
      </c>
      <c r="K4261" s="57"/>
      <c r="S4261" s="57"/>
      <c r="X4261" s="57"/>
    </row>
    <row r="4262" spans="1:24" hidden="1" x14ac:dyDescent="0.35">
      <c r="A4262">
        <v>4258</v>
      </c>
      <c r="B4262">
        <v>4259</v>
      </c>
      <c r="C4262">
        <v>146.079531150999</v>
      </c>
      <c r="D4262">
        <v>-17.6466665503999</v>
      </c>
      <c r="G4262" s="92"/>
      <c r="I4262">
        <v>9</v>
      </c>
      <c r="J4262" t="s">
        <v>26</v>
      </c>
      <c r="K4262" s="57"/>
      <c r="S4262" s="57"/>
      <c r="X4262" s="57"/>
    </row>
    <row r="4263" spans="1:24" hidden="1" x14ac:dyDescent="0.35">
      <c r="A4263">
        <v>4259</v>
      </c>
      <c r="B4263">
        <v>4260</v>
      </c>
      <c r="C4263">
        <v>146.07962089500001</v>
      </c>
      <c r="D4263">
        <v>-17.646666740099899</v>
      </c>
      <c r="G4263" s="92"/>
      <c r="I4263">
        <v>9</v>
      </c>
      <c r="J4263" t="s">
        <v>26</v>
      </c>
      <c r="K4263" s="57"/>
      <c r="S4263" s="57"/>
      <c r="X4263" s="57"/>
    </row>
    <row r="4264" spans="1:24" hidden="1" x14ac:dyDescent="0.35">
      <c r="A4264">
        <v>4260</v>
      </c>
      <c r="B4264">
        <v>4261</v>
      </c>
      <c r="C4264">
        <v>146.079710723999</v>
      </c>
      <c r="D4264">
        <v>-17.646666134299899</v>
      </c>
      <c r="G4264" s="92"/>
      <c r="I4264">
        <v>9</v>
      </c>
      <c r="J4264" t="s">
        <v>26</v>
      </c>
      <c r="K4264" s="57"/>
      <c r="S4264" s="57"/>
      <c r="X4264" s="57"/>
    </row>
    <row r="4265" spans="1:24" hidden="1" x14ac:dyDescent="0.35">
      <c r="A4265">
        <v>4261</v>
      </c>
      <c r="B4265">
        <v>4262</v>
      </c>
      <c r="C4265">
        <v>146.07980055300001</v>
      </c>
      <c r="D4265">
        <v>-17.646665528500002</v>
      </c>
      <c r="G4265" s="92"/>
      <c r="I4265">
        <v>9</v>
      </c>
      <c r="J4265" t="s">
        <v>26</v>
      </c>
      <c r="K4265" s="57"/>
      <c r="S4265" s="57"/>
      <c r="X4265" s="57"/>
    </row>
    <row r="4266" spans="1:24" hidden="1" x14ac:dyDescent="0.35">
      <c r="A4266">
        <v>4262</v>
      </c>
      <c r="B4266">
        <v>4263</v>
      </c>
      <c r="C4266">
        <v>146.079890382</v>
      </c>
      <c r="D4266">
        <v>-17.6466649225999</v>
      </c>
      <c r="G4266" s="92"/>
      <c r="I4266">
        <v>9</v>
      </c>
      <c r="J4266" t="s">
        <v>26</v>
      </c>
      <c r="K4266" s="57"/>
      <c r="S4266" s="57"/>
      <c r="X4266" s="57"/>
    </row>
    <row r="4267" spans="1:24" hidden="1" x14ac:dyDescent="0.35">
      <c r="A4267">
        <v>4263</v>
      </c>
      <c r="B4267">
        <v>4264</v>
      </c>
      <c r="C4267">
        <v>146.07998021200001</v>
      </c>
      <c r="D4267">
        <v>-17.6466643167999</v>
      </c>
      <c r="G4267" s="92"/>
      <c r="I4267">
        <v>9</v>
      </c>
      <c r="J4267" t="s">
        <v>26</v>
      </c>
      <c r="K4267" s="57"/>
      <c r="S4267" s="57"/>
      <c r="X4267" s="57"/>
    </row>
    <row r="4268" spans="1:24" hidden="1" x14ac:dyDescent="0.35">
      <c r="A4268">
        <v>4264</v>
      </c>
      <c r="B4268">
        <v>4265</v>
      </c>
      <c r="C4268">
        <v>146.08006969600001</v>
      </c>
      <c r="D4268">
        <v>-17.6466576716</v>
      </c>
      <c r="G4268" s="92"/>
      <c r="I4268">
        <v>9</v>
      </c>
      <c r="J4268" t="s">
        <v>26</v>
      </c>
      <c r="K4268" s="57"/>
      <c r="S4268" s="57"/>
      <c r="X4268" s="57"/>
    </row>
    <row r="4269" spans="1:24" hidden="1" x14ac:dyDescent="0.35">
      <c r="A4269">
        <v>4265</v>
      </c>
      <c r="B4269">
        <v>4266</v>
      </c>
      <c r="C4269">
        <v>146.080159062999</v>
      </c>
      <c r="D4269">
        <v>-17.6466489779</v>
      </c>
      <c r="G4269" s="92"/>
      <c r="I4269">
        <v>9</v>
      </c>
      <c r="J4269" t="s">
        <v>26</v>
      </c>
      <c r="K4269" s="57"/>
      <c r="S4269" s="57"/>
      <c r="X4269" s="57"/>
    </row>
    <row r="4270" spans="1:24" hidden="1" x14ac:dyDescent="0.35">
      <c r="A4270">
        <v>4266</v>
      </c>
      <c r="B4270">
        <v>4267</v>
      </c>
      <c r="C4270">
        <v>146.08024843000001</v>
      </c>
      <c r="D4270">
        <v>-17.646640284299899</v>
      </c>
      <c r="G4270" s="92"/>
      <c r="I4270">
        <v>9</v>
      </c>
      <c r="J4270" t="s">
        <v>26</v>
      </c>
      <c r="K4270" s="57"/>
      <c r="S4270" s="57"/>
      <c r="X4270" s="57"/>
    </row>
    <row r="4271" spans="1:24" hidden="1" x14ac:dyDescent="0.35">
      <c r="A4271">
        <v>4267</v>
      </c>
      <c r="B4271">
        <v>4268</v>
      </c>
      <c r="C4271">
        <v>146.080334488999</v>
      </c>
      <c r="D4271">
        <v>-17.646616816600002</v>
      </c>
      <c r="G4271" s="92"/>
      <c r="I4271">
        <v>9</v>
      </c>
      <c r="J4271" t="s">
        <v>26</v>
      </c>
      <c r="K4271" s="57"/>
      <c r="S4271" s="57"/>
      <c r="X4271" s="57"/>
    </row>
    <row r="4272" spans="1:24" hidden="1" x14ac:dyDescent="0.35">
      <c r="A4272">
        <v>4268</v>
      </c>
      <c r="B4272">
        <v>4269</v>
      </c>
      <c r="C4272">
        <v>146.080419796999</v>
      </c>
      <c r="D4272">
        <v>-17.6465899941999</v>
      </c>
      <c r="G4272" s="92"/>
      <c r="I4272">
        <v>9</v>
      </c>
      <c r="J4272" t="s">
        <v>26</v>
      </c>
      <c r="K4272" s="57"/>
      <c r="S4272" s="57"/>
      <c r="X4272" s="57"/>
    </row>
    <row r="4273" spans="1:24" hidden="1" x14ac:dyDescent="0.35">
      <c r="A4273">
        <v>4269</v>
      </c>
      <c r="B4273">
        <v>4270</v>
      </c>
      <c r="C4273">
        <v>146.080479564999</v>
      </c>
      <c r="D4273">
        <v>-17.6465326681999</v>
      </c>
      <c r="G4273" s="92"/>
      <c r="I4273">
        <v>9</v>
      </c>
      <c r="J4273" t="s">
        <v>26</v>
      </c>
      <c r="K4273" s="57"/>
      <c r="S4273" s="57"/>
      <c r="X4273" s="57"/>
    </row>
    <row r="4274" spans="1:24" hidden="1" x14ac:dyDescent="0.35">
      <c r="A4274">
        <v>4270</v>
      </c>
      <c r="B4274">
        <v>4271</v>
      </c>
      <c r="C4274">
        <v>146.08050550900001</v>
      </c>
      <c r="D4274">
        <v>-17.646452714700001</v>
      </c>
      <c r="G4274" s="92"/>
      <c r="I4274">
        <v>9</v>
      </c>
      <c r="J4274" t="s">
        <v>26</v>
      </c>
      <c r="K4274" s="57"/>
      <c r="S4274" s="57"/>
      <c r="X4274" s="57"/>
    </row>
    <row r="4275" spans="1:24" hidden="1" x14ac:dyDescent="0.35">
      <c r="A4275">
        <v>4271</v>
      </c>
      <c r="B4275">
        <v>4272</v>
      </c>
      <c r="C4275">
        <v>146.080515800999</v>
      </c>
      <c r="D4275">
        <v>-17.646367673899899</v>
      </c>
      <c r="G4275" s="92"/>
      <c r="I4275">
        <v>9</v>
      </c>
      <c r="J4275" t="s">
        <v>26</v>
      </c>
      <c r="K4275" s="57"/>
      <c r="S4275" s="57"/>
      <c r="X4275" s="57"/>
    </row>
    <row r="4276" spans="1:24" hidden="1" x14ac:dyDescent="0.35">
      <c r="A4276">
        <v>4272</v>
      </c>
      <c r="B4276">
        <v>4273</v>
      </c>
      <c r="C4276">
        <v>146.080488564999</v>
      </c>
      <c r="D4276">
        <v>-17.6462872854</v>
      </c>
      <c r="G4276" s="92"/>
      <c r="I4276">
        <v>9</v>
      </c>
      <c r="J4276" t="s">
        <v>26</v>
      </c>
      <c r="K4276" s="57"/>
      <c r="S4276" s="57"/>
      <c r="X4276" s="57"/>
    </row>
    <row r="4277" spans="1:24" hidden="1" x14ac:dyDescent="0.35">
      <c r="A4277">
        <v>4273</v>
      </c>
      <c r="B4277">
        <v>4274</v>
      </c>
      <c r="C4277">
        <v>146.080450987999</v>
      </c>
      <c r="D4277">
        <v>-17.646210296300001</v>
      </c>
      <c r="G4277" s="92"/>
      <c r="I4277">
        <v>9</v>
      </c>
      <c r="J4277" t="s">
        <v>26</v>
      </c>
      <c r="K4277" s="57"/>
      <c r="S4277" s="57"/>
      <c r="X4277" s="57"/>
    </row>
    <row r="4278" spans="1:24" hidden="1" x14ac:dyDescent="0.35">
      <c r="A4278">
        <v>4274</v>
      </c>
      <c r="B4278">
        <v>4275</v>
      </c>
      <c r="C4278">
        <v>146.080393275999</v>
      </c>
      <c r="D4278">
        <v>-17.6461446954</v>
      </c>
      <c r="G4278" s="92"/>
      <c r="I4278">
        <v>9</v>
      </c>
      <c r="J4278" t="s">
        <v>26</v>
      </c>
      <c r="K4278" s="57"/>
      <c r="S4278" s="57"/>
      <c r="X4278" s="57"/>
    </row>
    <row r="4279" spans="1:24" hidden="1" x14ac:dyDescent="0.35">
      <c r="A4279">
        <v>4275</v>
      </c>
      <c r="B4279">
        <v>4276</v>
      </c>
      <c r="C4279">
        <v>146.08033556300001</v>
      </c>
      <c r="D4279">
        <v>-17.646079094400001</v>
      </c>
      <c r="G4279" s="92"/>
      <c r="I4279">
        <v>9</v>
      </c>
      <c r="J4279" t="s">
        <v>26</v>
      </c>
      <c r="K4279" s="57"/>
      <c r="S4279" s="57"/>
      <c r="X4279" s="57"/>
    </row>
    <row r="4280" spans="1:24" hidden="1" x14ac:dyDescent="0.35">
      <c r="A4280">
        <v>4276</v>
      </c>
      <c r="B4280">
        <v>4277</v>
      </c>
      <c r="C4280">
        <v>146.08027262900001</v>
      </c>
      <c r="D4280">
        <v>-17.646018014500001</v>
      </c>
      <c r="G4280" s="92"/>
      <c r="I4280">
        <v>9</v>
      </c>
      <c r="J4280" t="s">
        <v>26</v>
      </c>
      <c r="K4280" s="57"/>
      <c r="S4280" s="57"/>
      <c r="X4280" s="57"/>
    </row>
    <row r="4281" spans="1:24" hidden="1" x14ac:dyDescent="0.35">
      <c r="A4281">
        <v>4277</v>
      </c>
      <c r="B4281">
        <v>4278</v>
      </c>
      <c r="C4281">
        <v>146.08020961400001</v>
      </c>
      <c r="D4281">
        <v>-17.645957005300001</v>
      </c>
      <c r="G4281" s="92"/>
      <c r="I4281">
        <v>9</v>
      </c>
      <c r="J4281" t="s">
        <v>26</v>
      </c>
      <c r="K4281" s="57"/>
      <c r="S4281" s="57"/>
      <c r="X4281" s="57"/>
    </row>
    <row r="4282" spans="1:24" hidden="1" x14ac:dyDescent="0.35">
      <c r="A4282">
        <v>4278</v>
      </c>
      <c r="B4282">
        <v>4279</v>
      </c>
      <c r="C4282">
        <v>146.080146597999</v>
      </c>
      <c r="D4282">
        <v>-17.6458959962</v>
      </c>
      <c r="G4282" s="92"/>
      <c r="I4282">
        <v>9</v>
      </c>
      <c r="J4282" t="s">
        <v>26</v>
      </c>
      <c r="K4282" s="57"/>
      <c r="S4282" s="57"/>
      <c r="X4282" s="57"/>
    </row>
    <row r="4283" spans="1:24" hidden="1" x14ac:dyDescent="0.35">
      <c r="A4283">
        <v>4279</v>
      </c>
      <c r="B4283">
        <v>4280</v>
      </c>
      <c r="C4283">
        <v>146.080083583</v>
      </c>
      <c r="D4283">
        <v>-17.645834987000001</v>
      </c>
      <c r="G4283" s="92"/>
      <c r="I4283">
        <v>9</v>
      </c>
      <c r="J4283" t="s">
        <v>26</v>
      </c>
      <c r="K4283" s="57"/>
      <c r="S4283" s="57"/>
      <c r="X4283" s="57"/>
    </row>
    <row r="4284" spans="1:24" hidden="1" x14ac:dyDescent="0.35">
      <c r="A4284">
        <v>4280</v>
      </c>
      <c r="B4284">
        <v>4281</v>
      </c>
      <c r="C4284">
        <v>146.080021197999</v>
      </c>
      <c r="D4284">
        <v>-17.645773399900001</v>
      </c>
      <c r="G4284" s="92"/>
      <c r="I4284">
        <v>9</v>
      </c>
      <c r="J4284" t="s">
        <v>26</v>
      </c>
      <c r="K4284" s="57"/>
      <c r="S4284" s="57"/>
      <c r="X4284" s="57"/>
    </row>
    <row r="4285" spans="1:24" hidden="1" x14ac:dyDescent="0.35">
      <c r="A4285">
        <v>4281</v>
      </c>
      <c r="B4285">
        <v>4282</v>
      </c>
      <c r="C4285">
        <v>146.079959723999</v>
      </c>
      <c r="D4285">
        <v>-17.645710979</v>
      </c>
      <c r="G4285" s="92"/>
      <c r="I4285">
        <v>9</v>
      </c>
      <c r="J4285" t="s">
        <v>26</v>
      </c>
      <c r="K4285" s="57"/>
      <c r="S4285" s="57"/>
      <c r="X4285" s="57"/>
    </row>
    <row r="4286" spans="1:24" hidden="1" x14ac:dyDescent="0.35">
      <c r="A4286">
        <v>4282</v>
      </c>
      <c r="B4286">
        <v>4283</v>
      </c>
      <c r="C4286">
        <v>146.07989825000001</v>
      </c>
      <c r="D4286">
        <v>-17.645648558000001</v>
      </c>
      <c r="G4286" s="92"/>
      <c r="I4286">
        <v>9</v>
      </c>
      <c r="J4286" t="s">
        <v>26</v>
      </c>
      <c r="K4286" s="57"/>
      <c r="S4286" s="57"/>
      <c r="X4286" s="57"/>
    </row>
    <row r="4287" spans="1:24" hidden="1" x14ac:dyDescent="0.35">
      <c r="A4287">
        <v>4283</v>
      </c>
      <c r="B4287">
        <v>4284</v>
      </c>
      <c r="C4287">
        <v>146.07983677600001</v>
      </c>
      <c r="D4287">
        <v>-17.645586136999899</v>
      </c>
      <c r="G4287" s="92"/>
      <c r="I4287">
        <v>9</v>
      </c>
      <c r="J4287" t="s">
        <v>26</v>
      </c>
      <c r="K4287" s="57"/>
      <c r="S4287" s="57"/>
      <c r="X4287" s="57"/>
    </row>
    <row r="4288" spans="1:24" hidden="1" x14ac:dyDescent="0.35">
      <c r="A4288">
        <v>4284</v>
      </c>
      <c r="B4288">
        <v>4285</v>
      </c>
      <c r="C4288">
        <v>146.079775302</v>
      </c>
      <c r="D4288">
        <v>-17.645523716</v>
      </c>
      <c r="G4288" s="92"/>
      <c r="I4288">
        <v>9</v>
      </c>
      <c r="J4288" t="s">
        <v>26</v>
      </c>
      <c r="K4288" s="57"/>
      <c r="S4288" s="57"/>
      <c r="X4288" s="57"/>
    </row>
    <row r="4289" spans="1:24" hidden="1" x14ac:dyDescent="0.35">
      <c r="A4289">
        <v>4285</v>
      </c>
      <c r="B4289">
        <v>4286</v>
      </c>
      <c r="C4289">
        <v>146.079713827999</v>
      </c>
      <c r="D4289">
        <v>-17.645461294899899</v>
      </c>
      <c r="G4289" s="92"/>
      <c r="I4289">
        <v>9</v>
      </c>
      <c r="J4289" t="s">
        <v>26</v>
      </c>
      <c r="K4289" s="57"/>
      <c r="S4289" s="57"/>
      <c r="X4289" s="57"/>
    </row>
    <row r="4290" spans="1:24" hidden="1" x14ac:dyDescent="0.35">
      <c r="A4290">
        <v>4286</v>
      </c>
      <c r="B4290">
        <v>4287</v>
      </c>
      <c r="C4290">
        <v>146.079652353</v>
      </c>
      <c r="D4290">
        <v>-17.6453988739</v>
      </c>
      <c r="G4290" s="92"/>
      <c r="I4290">
        <v>9</v>
      </c>
      <c r="J4290" t="s">
        <v>26</v>
      </c>
      <c r="K4290" s="57"/>
      <c r="S4290" s="57"/>
      <c r="X4290" s="57"/>
    </row>
    <row r="4291" spans="1:24" hidden="1" x14ac:dyDescent="0.35">
      <c r="A4291">
        <v>4287</v>
      </c>
      <c r="B4291">
        <v>4288</v>
      </c>
      <c r="C4291">
        <v>146.07959131600001</v>
      </c>
      <c r="D4291">
        <v>-17.6453361893</v>
      </c>
      <c r="G4291" s="92"/>
      <c r="I4291">
        <v>9</v>
      </c>
      <c r="J4291" t="s">
        <v>26</v>
      </c>
      <c r="K4291" s="57"/>
      <c r="S4291" s="57"/>
      <c r="X4291" s="57"/>
    </row>
    <row r="4292" spans="1:24" hidden="1" x14ac:dyDescent="0.35">
      <c r="A4292">
        <v>4288</v>
      </c>
      <c r="B4292">
        <v>4289</v>
      </c>
      <c r="C4292">
        <v>146.079558327</v>
      </c>
      <c r="D4292">
        <v>-17.6452565654</v>
      </c>
      <c r="G4292" s="92"/>
      <c r="I4292">
        <v>9</v>
      </c>
      <c r="J4292" t="s">
        <v>26</v>
      </c>
      <c r="K4292" s="57"/>
      <c r="S4292" s="57"/>
      <c r="X4292" s="57"/>
    </row>
    <row r="4293" spans="1:24" hidden="1" x14ac:dyDescent="0.35">
      <c r="A4293">
        <v>4289</v>
      </c>
      <c r="B4293">
        <v>4290</v>
      </c>
      <c r="C4293">
        <v>146.079525337999</v>
      </c>
      <c r="D4293">
        <v>-17.6451769413999</v>
      </c>
      <c r="G4293" s="92"/>
      <c r="I4293">
        <v>9</v>
      </c>
      <c r="J4293" t="s">
        <v>26</v>
      </c>
      <c r="K4293" s="57"/>
      <c r="S4293" s="57"/>
      <c r="X4293" s="57"/>
    </row>
    <row r="4294" spans="1:24" hidden="1" x14ac:dyDescent="0.35">
      <c r="A4294">
        <v>4290</v>
      </c>
      <c r="B4294">
        <v>4291</v>
      </c>
      <c r="C4294">
        <v>146.07949235000001</v>
      </c>
      <c r="D4294">
        <v>-17.645097317400001</v>
      </c>
      <c r="G4294" s="92"/>
      <c r="I4294">
        <v>9</v>
      </c>
      <c r="J4294" t="s">
        <v>26</v>
      </c>
      <c r="K4294" s="57"/>
      <c r="S4294" s="57"/>
      <c r="X4294" s="57"/>
    </row>
    <row r="4295" spans="1:24" hidden="1" x14ac:dyDescent="0.35">
      <c r="A4295">
        <v>4291</v>
      </c>
      <c r="B4295">
        <v>4292</v>
      </c>
      <c r="C4295">
        <v>146.079459361</v>
      </c>
      <c r="D4295">
        <v>-17.6450176934</v>
      </c>
      <c r="G4295" s="92"/>
      <c r="I4295">
        <v>9</v>
      </c>
      <c r="J4295" t="s">
        <v>26</v>
      </c>
      <c r="K4295" s="57"/>
      <c r="S4295" s="57"/>
      <c r="X4295" s="57"/>
    </row>
    <row r="4296" spans="1:24" hidden="1" x14ac:dyDescent="0.35">
      <c r="A4296">
        <v>4292</v>
      </c>
      <c r="B4296">
        <v>4293</v>
      </c>
      <c r="C4296">
        <v>146.079426372</v>
      </c>
      <c r="D4296">
        <v>-17.6449380693</v>
      </c>
      <c r="G4296" s="92"/>
      <c r="I4296">
        <v>9</v>
      </c>
      <c r="J4296" t="s">
        <v>26</v>
      </c>
      <c r="K4296" s="57"/>
      <c r="S4296" s="57"/>
      <c r="X4296" s="57"/>
    </row>
    <row r="4297" spans="1:24" hidden="1" x14ac:dyDescent="0.35">
      <c r="A4297">
        <v>4293</v>
      </c>
      <c r="B4297">
        <v>4294</v>
      </c>
      <c r="C4297">
        <v>146.07939338400001</v>
      </c>
      <c r="D4297">
        <v>-17.644858445200001</v>
      </c>
      <c r="G4297" s="92"/>
      <c r="I4297">
        <v>9</v>
      </c>
      <c r="J4297" t="s">
        <v>26</v>
      </c>
      <c r="K4297" s="57"/>
      <c r="S4297" s="57"/>
      <c r="X4297" s="57"/>
    </row>
    <row r="4298" spans="1:24" hidden="1" x14ac:dyDescent="0.35">
      <c r="A4298">
        <v>4294</v>
      </c>
      <c r="B4298">
        <v>4295</v>
      </c>
      <c r="C4298">
        <v>146.07936039500001</v>
      </c>
      <c r="D4298">
        <v>-17.644778821100001</v>
      </c>
      <c r="G4298" s="92"/>
      <c r="I4298">
        <v>9</v>
      </c>
      <c r="J4298" t="s">
        <v>26</v>
      </c>
      <c r="K4298" s="57"/>
      <c r="S4298" s="57"/>
      <c r="X4298" s="57"/>
    </row>
    <row r="4299" spans="1:24" hidden="1" x14ac:dyDescent="0.35">
      <c r="A4299">
        <v>4295</v>
      </c>
      <c r="B4299">
        <v>4296</v>
      </c>
      <c r="C4299">
        <v>146.079327406</v>
      </c>
      <c r="D4299">
        <v>-17.644699197000001</v>
      </c>
      <c r="G4299" s="92"/>
      <c r="I4299">
        <v>9</v>
      </c>
      <c r="J4299" t="s">
        <v>26</v>
      </c>
      <c r="K4299" s="57"/>
      <c r="S4299" s="57"/>
      <c r="X4299" s="57"/>
    </row>
    <row r="4300" spans="1:24" hidden="1" x14ac:dyDescent="0.35">
      <c r="A4300">
        <v>4296</v>
      </c>
      <c r="B4300">
        <v>4297</v>
      </c>
      <c r="C4300">
        <v>146.079294417</v>
      </c>
      <c r="D4300">
        <v>-17.6446195728</v>
      </c>
      <c r="G4300" s="92"/>
      <c r="I4300">
        <v>9</v>
      </c>
      <c r="J4300" t="s">
        <v>26</v>
      </c>
      <c r="K4300" s="57"/>
      <c r="S4300" s="57"/>
      <c r="X4300" s="57"/>
    </row>
    <row r="4301" spans="1:24" hidden="1" x14ac:dyDescent="0.35">
      <c r="A4301">
        <v>4297</v>
      </c>
      <c r="B4301">
        <v>4298</v>
      </c>
      <c r="C4301">
        <v>146.07928054800001</v>
      </c>
      <c r="D4301">
        <v>-17.6445360045999</v>
      </c>
      <c r="G4301" s="92"/>
      <c r="I4301">
        <v>9</v>
      </c>
      <c r="J4301" t="s">
        <v>26</v>
      </c>
      <c r="K4301" s="57"/>
      <c r="S4301" s="57"/>
      <c r="X4301" s="57"/>
    </row>
    <row r="4302" spans="1:24" hidden="1" x14ac:dyDescent="0.35">
      <c r="A4302">
        <v>4298</v>
      </c>
      <c r="B4302">
        <v>4299</v>
      </c>
      <c r="C4302">
        <v>146.07927602999899</v>
      </c>
      <c r="D4302">
        <v>-17.6444505075</v>
      </c>
      <c r="G4302" s="92"/>
      <c r="I4302">
        <v>9</v>
      </c>
      <c r="J4302" t="s">
        <v>26</v>
      </c>
      <c r="K4302" s="57"/>
      <c r="S4302" s="57"/>
      <c r="X4302" s="57"/>
    </row>
    <row r="4303" spans="1:24" hidden="1" x14ac:dyDescent="0.35">
      <c r="A4303">
        <v>4299</v>
      </c>
      <c r="B4303">
        <v>4300</v>
      </c>
      <c r="C4303">
        <v>146.079277345999</v>
      </c>
      <c r="D4303">
        <v>-17.6443651593999</v>
      </c>
      <c r="G4303" s="92"/>
      <c r="I4303">
        <v>9</v>
      </c>
      <c r="J4303" t="s">
        <v>26</v>
      </c>
      <c r="K4303" s="57"/>
      <c r="S4303" s="57"/>
      <c r="X4303" s="57"/>
    </row>
    <row r="4304" spans="1:24" hidden="1" x14ac:dyDescent="0.35">
      <c r="A4304">
        <v>4300</v>
      </c>
      <c r="B4304">
        <v>4301</v>
      </c>
      <c r="C4304">
        <v>146.079286663999</v>
      </c>
      <c r="D4304">
        <v>-17.6442800156</v>
      </c>
      <c r="G4304" s="92"/>
      <c r="I4304">
        <v>9</v>
      </c>
      <c r="J4304" t="s">
        <v>26</v>
      </c>
      <c r="K4304" s="57"/>
      <c r="S4304" s="57"/>
      <c r="X4304" s="57"/>
    </row>
    <row r="4305" spans="1:24" hidden="1" x14ac:dyDescent="0.35">
      <c r="A4305">
        <v>4301</v>
      </c>
      <c r="B4305">
        <v>4302</v>
      </c>
      <c r="C4305">
        <v>146.079295981999</v>
      </c>
      <c r="D4305">
        <v>-17.6441948718</v>
      </c>
      <c r="G4305" s="92"/>
      <c r="I4305">
        <v>9</v>
      </c>
      <c r="J4305" t="s">
        <v>26</v>
      </c>
      <c r="K4305" s="57"/>
      <c r="S4305" s="57"/>
      <c r="X4305" s="57"/>
    </row>
    <row r="4306" spans="1:24" hidden="1" x14ac:dyDescent="0.35">
      <c r="A4306">
        <v>4302</v>
      </c>
      <c r="B4306">
        <v>4303</v>
      </c>
      <c r="C4306">
        <v>146.079318048</v>
      </c>
      <c r="D4306">
        <v>-17.6441119765</v>
      </c>
      <c r="G4306" s="92"/>
      <c r="I4306">
        <v>9</v>
      </c>
      <c r="J4306" t="s">
        <v>26</v>
      </c>
      <c r="K4306" s="57"/>
      <c r="S4306" s="57"/>
      <c r="X4306" s="57"/>
    </row>
    <row r="4307" spans="1:24" hidden="1" x14ac:dyDescent="0.35">
      <c r="A4307">
        <v>4303</v>
      </c>
      <c r="B4307">
        <v>4304</v>
      </c>
      <c r="C4307">
        <v>146.079341325</v>
      </c>
      <c r="D4307">
        <v>-17.644029294700001</v>
      </c>
      <c r="G4307" s="92"/>
      <c r="I4307">
        <v>9</v>
      </c>
      <c r="J4307" t="s">
        <v>26</v>
      </c>
      <c r="K4307" s="57"/>
      <c r="S4307" s="57"/>
      <c r="X4307" s="57"/>
    </row>
    <row r="4308" spans="1:24" hidden="1" x14ac:dyDescent="0.35">
      <c r="A4308">
        <v>4304</v>
      </c>
      <c r="B4308">
        <v>4305</v>
      </c>
      <c r="C4308">
        <v>146.079375085999</v>
      </c>
      <c r="D4308">
        <v>-17.643950243100001</v>
      </c>
      <c r="G4308" s="92"/>
      <c r="I4308">
        <v>9</v>
      </c>
      <c r="J4308" t="s">
        <v>26</v>
      </c>
      <c r="K4308" s="57"/>
      <c r="S4308" s="57"/>
      <c r="X4308" s="57"/>
    </row>
    <row r="4309" spans="1:24" hidden="1" x14ac:dyDescent="0.35">
      <c r="A4309">
        <v>4305</v>
      </c>
      <c r="B4309">
        <v>4306</v>
      </c>
      <c r="C4309">
        <v>146.07941293600001</v>
      </c>
      <c r="D4309">
        <v>-17.643872607199899</v>
      </c>
      <c r="G4309" s="92"/>
      <c r="I4309">
        <v>9</v>
      </c>
      <c r="J4309" t="s">
        <v>26</v>
      </c>
      <c r="K4309" s="57"/>
      <c r="S4309" s="57"/>
      <c r="X4309" s="57"/>
    </row>
    <row r="4310" spans="1:24" hidden="1" x14ac:dyDescent="0.35">
      <c r="A4310">
        <v>4306</v>
      </c>
      <c r="B4310">
        <v>4307</v>
      </c>
      <c r="C4310">
        <v>146.07945578299899</v>
      </c>
      <c r="D4310">
        <v>-17.643797379700001</v>
      </c>
      <c r="G4310" s="92"/>
      <c r="I4310">
        <v>9</v>
      </c>
      <c r="J4310" t="s">
        <v>26</v>
      </c>
      <c r="K4310" s="57"/>
      <c r="S4310" s="57"/>
      <c r="X4310" s="57"/>
    </row>
    <row r="4311" spans="1:24" hidden="1" x14ac:dyDescent="0.35">
      <c r="A4311">
        <v>4307</v>
      </c>
      <c r="B4311">
        <v>4308</v>
      </c>
      <c r="C4311">
        <v>146.07948797500001</v>
      </c>
      <c r="D4311">
        <v>-17.643718761100001</v>
      </c>
      <c r="G4311" s="92"/>
      <c r="I4311">
        <v>9</v>
      </c>
      <c r="J4311" t="s">
        <v>26</v>
      </c>
      <c r="K4311" s="57"/>
      <c r="S4311" s="57"/>
      <c r="X4311" s="57"/>
    </row>
    <row r="4312" spans="1:24" hidden="1" x14ac:dyDescent="0.35">
      <c r="A4312">
        <v>4308</v>
      </c>
      <c r="B4312">
        <v>4309</v>
      </c>
      <c r="C4312">
        <v>146.07949944000001</v>
      </c>
      <c r="D4312">
        <v>-17.643634065400001</v>
      </c>
      <c r="G4312" s="92"/>
      <c r="I4312">
        <v>9</v>
      </c>
      <c r="J4312" t="s">
        <v>26</v>
      </c>
      <c r="K4312" s="57"/>
      <c r="S4312" s="57"/>
      <c r="X4312" s="57"/>
    </row>
    <row r="4313" spans="1:24" hidden="1" x14ac:dyDescent="0.35">
      <c r="A4313">
        <v>4309</v>
      </c>
      <c r="B4313">
        <v>4310</v>
      </c>
      <c r="C4313">
        <v>146.07949319599899</v>
      </c>
      <c r="D4313">
        <v>-17.643548666600001</v>
      </c>
      <c r="G4313" s="92"/>
      <c r="I4313">
        <v>9</v>
      </c>
      <c r="J4313" t="s">
        <v>26</v>
      </c>
      <c r="K4313" s="57"/>
      <c r="S4313" s="57"/>
      <c r="X4313" s="57"/>
    </row>
    <row r="4314" spans="1:24" hidden="1" x14ac:dyDescent="0.35">
      <c r="A4314">
        <v>4310</v>
      </c>
      <c r="B4314">
        <v>4311</v>
      </c>
      <c r="C4314">
        <v>146.079486951999</v>
      </c>
      <c r="D4314">
        <v>-17.6434632677</v>
      </c>
      <c r="G4314" s="92"/>
      <c r="I4314">
        <v>9</v>
      </c>
      <c r="J4314" t="s">
        <v>26</v>
      </c>
      <c r="K4314" s="57"/>
      <c r="S4314" s="57"/>
      <c r="X4314" s="57"/>
    </row>
    <row r="4315" spans="1:24" hidden="1" x14ac:dyDescent="0.35">
      <c r="A4315">
        <v>4311</v>
      </c>
      <c r="B4315">
        <v>4312</v>
      </c>
      <c r="C4315">
        <v>146.079469934</v>
      </c>
      <c r="D4315">
        <v>-17.6433796293</v>
      </c>
      <c r="G4315" s="92"/>
      <c r="I4315">
        <v>9</v>
      </c>
      <c r="J4315" t="s">
        <v>26</v>
      </c>
      <c r="K4315" s="57"/>
      <c r="S4315" s="57"/>
      <c r="X4315" s="57"/>
    </row>
    <row r="4316" spans="1:24" hidden="1" x14ac:dyDescent="0.35">
      <c r="A4316">
        <v>4312</v>
      </c>
      <c r="B4316">
        <v>4313</v>
      </c>
      <c r="C4316">
        <v>146.079445966999</v>
      </c>
      <c r="D4316">
        <v>-17.6432971264</v>
      </c>
      <c r="G4316" s="92"/>
      <c r="I4316">
        <v>9</v>
      </c>
      <c r="J4316" t="s">
        <v>26</v>
      </c>
      <c r="K4316" s="57"/>
      <c r="S4316" s="57"/>
      <c r="X4316" s="57"/>
    </row>
    <row r="4317" spans="1:24" hidden="1" x14ac:dyDescent="0.35">
      <c r="A4317">
        <v>4313</v>
      </c>
      <c r="B4317">
        <v>4314</v>
      </c>
      <c r="C4317">
        <v>146.079421999999</v>
      </c>
      <c r="D4317">
        <v>-17.6432146233</v>
      </c>
      <c r="G4317" s="92"/>
      <c r="I4317">
        <v>9</v>
      </c>
      <c r="J4317" t="s">
        <v>26</v>
      </c>
      <c r="K4317" s="57"/>
      <c r="S4317" s="57"/>
      <c r="X4317" s="57"/>
    </row>
    <row r="4318" spans="1:24" hidden="1" x14ac:dyDescent="0.35">
      <c r="A4318">
        <v>4314</v>
      </c>
      <c r="B4318">
        <v>4315</v>
      </c>
      <c r="C4318">
        <v>146.07939803299899</v>
      </c>
      <c r="D4318">
        <v>-17.643132120299899</v>
      </c>
      <c r="G4318" s="92"/>
      <c r="I4318">
        <v>9</v>
      </c>
      <c r="J4318" t="s">
        <v>26</v>
      </c>
      <c r="K4318" s="57"/>
      <c r="S4318" s="57"/>
      <c r="X4318" s="57"/>
    </row>
    <row r="4319" spans="1:24" hidden="1" x14ac:dyDescent="0.35">
      <c r="A4319">
        <v>4315</v>
      </c>
      <c r="B4319">
        <v>4316</v>
      </c>
      <c r="C4319">
        <v>146.07937406600001</v>
      </c>
      <c r="D4319">
        <v>-17.6430496171999</v>
      </c>
      <c r="G4319" s="92"/>
      <c r="I4319">
        <v>9</v>
      </c>
      <c r="J4319" t="s">
        <v>26</v>
      </c>
      <c r="K4319" s="57"/>
      <c r="S4319" s="57"/>
      <c r="X4319" s="57"/>
    </row>
    <row r="4320" spans="1:24" hidden="1" x14ac:dyDescent="0.35">
      <c r="A4320">
        <v>4316</v>
      </c>
      <c r="B4320">
        <v>4317</v>
      </c>
      <c r="C4320">
        <v>146.07934272400001</v>
      </c>
      <c r="D4320">
        <v>-17.642969470699899</v>
      </c>
      <c r="G4320" s="92"/>
      <c r="I4320">
        <v>9</v>
      </c>
      <c r="J4320" t="s">
        <v>26</v>
      </c>
      <c r="K4320" s="57"/>
      <c r="S4320" s="57"/>
      <c r="X4320" s="57"/>
    </row>
    <row r="4321" spans="1:24" hidden="1" x14ac:dyDescent="0.35">
      <c r="A4321">
        <v>4317</v>
      </c>
      <c r="B4321">
        <v>4318</v>
      </c>
      <c r="C4321">
        <v>146.07930965200001</v>
      </c>
      <c r="D4321">
        <v>-17.642889877199899</v>
      </c>
      <c r="G4321" s="92"/>
      <c r="I4321">
        <v>9</v>
      </c>
      <c r="J4321" t="s">
        <v>26</v>
      </c>
      <c r="K4321" s="57"/>
      <c r="S4321" s="57"/>
      <c r="X4321" s="57"/>
    </row>
    <row r="4322" spans="1:24" hidden="1" x14ac:dyDescent="0.35">
      <c r="A4322">
        <v>4318</v>
      </c>
      <c r="B4322">
        <v>4319</v>
      </c>
      <c r="C4322">
        <v>146.079276579999</v>
      </c>
      <c r="D4322">
        <v>-17.642810283500001</v>
      </c>
      <c r="G4322" s="92"/>
      <c r="I4322">
        <v>9</v>
      </c>
      <c r="J4322" t="s">
        <v>26</v>
      </c>
      <c r="K4322" s="57"/>
      <c r="S4322" s="57"/>
      <c r="X4322" s="57"/>
    </row>
    <row r="4323" spans="1:24" hidden="1" x14ac:dyDescent="0.35">
      <c r="A4323">
        <v>4319</v>
      </c>
      <c r="B4323">
        <v>4320</v>
      </c>
      <c r="C4323">
        <v>146.07924350900001</v>
      </c>
      <c r="D4323">
        <v>-17.642730689699899</v>
      </c>
      <c r="G4323" s="92"/>
      <c r="I4323">
        <v>9</v>
      </c>
      <c r="J4323" t="s">
        <v>26</v>
      </c>
      <c r="K4323" s="57"/>
      <c r="S4323" s="57"/>
      <c r="X4323" s="57"/>
    </row>
    <row r="4324" spans="1:24" hidden="1" x14ac:dyDescent="0.35">
      <c r="A4324">
        <v>4320</v>
      </c>
      <c r="B4324">
        <v>4321</v>
      </c>
      <c r="C4324">
        <v>146.079210437</v>
      </c>
      <c r="D4324">
        <v>-17.6426510959</v>
      </c>
      <c r="G4324" s="92"/>
      <c r="I4324">
        <v>9</v>
      </c>
      <c r="J4324" t="s">
        <v>26</v>
      </c>
      <c r="K4324" s="57"/>
      <c r="S4324" s="57"/>
      <c r="X4324" s="57"/>
    </row>
    <row r="4325" spans="1:24" hidden="1" x14ac:dyDescent="0.35">
      <c r="A4325">
        <v>4321</v>
      </c>
      <c r="B4325">
        <v>4322</v>
      </c>
      <c r="C4325">
        <v>146.079177364999</v>
      </c>
      <c r="D4325">
        <v>-17.642571502100001</v>
      </c>
      <c r="G4325" s="92"/>
      <c r="I4325">
        <v>9</v>
      </c>
      <c r="J4325" t="s">
        <v>26</v>
      </c>
      <c r="K4325" s="57"/>
      <c r="S4325" s="57"/>
      <c r="X4325" s="57"/>
    </row>
    <row r="4326" spans="1:24" hidden="1" x14ac:dyDescent="0.35">
      <c r="A4326">
        <v>4322</v>
      </c>
      <c r="B4326">
        <v>4323</v>
      </c>
      <c r="C4326">
        <v>146.079149400999</v>
      </c>
      <c r="D4326">
        <v>-17.642490991900001</v>
      </c>
      <c r="G4326" s="92"/>
      <c r="I4326">
        <v>9</v>
      </c>
      <c r="J4326" t="s">
        <v>26</v>
      </c>
      <c r="K4326" s="57"/>
      <c r="S4326" s="57"/>
      <c r="X4326" s="57"/>
    </row>
    <row r="4327" spans="1:24" hidden="1" x14ac:dyDescent="0.35">
      <c r="A4327">
        <v>4323</v>
      </c>
      <c r="B4327">
        <v>4324</v>
      </c>
      <c r="C4327">
        <v>146.079149835999</v>
      </c>
      <c r="D4327">
        <v>-17.642405386499899</v>
      </c>
      <c r="G4327" s="92"/>
      <c r="I4327">
        <v>9</v>
      </c>
      <c r="J4327" t="s">
        <v>26</v>
      </c>
      <c r="K4327" s="57"/>
      <c r="S4327" s="57"/>
      <c r="X4327" s="57"/>
    </row>
    <row r="4328" spans="1:24" hidden="1" x14ac:dyDescent="0.35">
      <c r="A4328">
        <v>4324</v>
      </c>
      <c r="B4328">
        <v>4325</v>
      </c>
      <c r="C4328">
        <v>146.079150271</v>
      </c>
      <c r="D4328">
        <v>-17.6423197810999</v>
      </c>
      <c r="G4328" s="92"/>
      <c r="I4328">
        <v>9</v>
      </c>
      <c r="J4328" t="s">
        <v>26</v>
      </c>
      <c r="K4328" s="57"/>
      <c r="S4328" s="57"/>
      <c r="X4328" s="57"/>
    </row>
    <row r="4329" spans="1:24" hidden="1" x14ac:dyDescent="0.35">
      <c r="A4329">
        <v>4325</v>
      </c>
      <c r="B4329">
        <v>4326</v>
      </c>
      <c r="C4329">
        <v>146.07915070600001</v>
      </c>
      <c r="D4329">
        <v>-17.642234175500001</v>
      </c>
      <c r="G4329" s="92"/>
      <c r="I4329">
        <v>9</v>
      </c>
      <c r="J4329" t="s">
        <v>26</v>
      </c>
      <c r="K4329" s="57"/>
      <c r="S4329" s="57"/>
      <c r="X4329" s="57"/>
    </row>
    <row r="4330" spans="1:24" hidden="1" x14ac:dyDescent="0.35">
      <c r="A4330">
        <v>4326</v>
      </c>
      <c r="B4330">
        <v>4327</v>
      </c>
      <c r="C4330">
        <v>146.07916234000001</v>
      </c>
      <c r="D4330">
        <v>-17.642149310800001</v>
      </c>
      <c r="G4330" s="92"/>
      <c r="I4330">
        <v>9</v>
      </c>
      <c r="J4330" t="s">
        <v>26</v>
      </c>
      <c r="K4330" s="57"/>
      <c r="S4330" s="57"/>
      <c r="X4330" s="57"/>
    </row>
    <row r="4331" spans="1:24" hidden="1" x14ac:dyDescent="0.35">
      <c r="A4331">
        <v>4327</v>
      </c>
      <c r="B4331">
        <v>4328</v>
      </c>
      <c r="C4331">
        <v>146.07917432100001</v>
      </c>
      <c r="D4331">
        <v>-17.642064469000001</v>
      </c>
      <c r="G4331" s="92"/>
      <c r="I4331">
        <v>9</v>
      </c>
      <c r="J4331" t="s">
        <v>26</v>
      </c>
      <c r="K4331" s="57"/>
      <c r="S4331" s="57"/>
      <c r="X4331" s="57"/>
    </row>
    <row r="4332" spans="1:24" hidden="1" x14ac:dyDescent="0.35">
      <c r="A4332">
        <v>4328</v>
      </c>
      <c r="B4332">
        <v>4329</v>
      </c>
      <c r="C4332">
        <v>146.079186300999</v>
      </c>
      <c r="D4332">
        <v>-17.6419796271</v>
      </c>
      <c r="G4332" s="92"/>
      <c r="I4332">
        <v>9</v>
      </c>
      <c r="J4332" t="s">
        <v>26</v>
      </c>
      <c r="K4332" s="57"/>
      <c r="S4332" s="57"/>
      <c r="X4332" s="57"/>
    </row>
    <row r="4333" spans="1:24" hidden="1" x14ac:dyDescent="0.35">
      <c r="A4333">
        <v>4329</v>
      </c>
      <c r="B4333">
        <v>4330</v>
      </c>
      <c r="C4333">
        <v>146.079198281999</v>
      </c>
      <c r="D4333">
        <v>-17.641894785200002</v>
      </c>
      <c r="G4333" s="92"/>
      <c r="I4333">
        <v>9</v>
      </c>
      <c r="J4333" t="s">
        <v>26</v>
      </c>
      <c r="K4333" s="57"/>
      <c r="S4333" s="57"/>
      <c r="X4333" s="57"/>
    </row>
    <row r="4334" spans="1:24" hidden="1" x14ac:dyDescent="0.35">
      <c r="A4334">
        <v>4330</v>
      </c>
      <c r="B4334">
        <v>4331</v>
      </c>
      <c r="C4334">
        <v>146.079219373999</v>
      </c>
      <c r="D4334">
        <v>-17.641811853099899</v>
      </c>
      <c r="G4334" s="92"/>
      <c r="I4334">
        <v>9</v>
      </c>
      <c r="J4334" t="s">
        <v>26</v>
      </c>
      <c r="K4334" s="57"/>
      <c r="S4334" s="57"/>
      <c r="X4334" s="57"/>
    </row>
    <row r="4335" spans="1:24" hidden="1" x14ac:dyDescent="0.35">
      <c r="A4335">
        <v>4331</v>
      </c>
      <c r="B4335">
        <v>4332</v>
      </c>
      <c r="C4335">
        <v>146.07924585699899</v>
      </c>
      <c r="D4335">
        <v>-17.6417300512</v>
      </c>
      <c r="G4335" s="92"/>
      <c r="I4335">
        <v>9</v>
      </c>
      <c r="J4335" t="s">
        <v>26</v>
      </c>
      <c r="K4335" s="57"/>
      <c r="S4335" s="57"/>
      <c r="X4335" s="57"/>
    </row>
    <row r="4336" spans="1:24" hidden="1" x14ac:dyDescent="0.35">
      <c r="A4336">
        <v>4332</v>
      </c>
      <c r="B4336">
        <v>4333</v>
      </c>
      <c r="C4336">
        <v>146.07927234100001</v>
      </c>
      <c r="D4336">
        <v>-17.641648249300001</v>
      </c>
      <c r="G4336" s="92"/>
      <c r="I4336">
        <v>9</v>
      </c>
      <c r="J4336" t="s">
        <v>26</v>
      </c>
      <c r="K4336" s="57"/>
      <c r="S4336" s="57"/>
      <c r="X4336" s="57"/>
    </row>
    <row r="4337" spans="1:24" hidden="1" x14ac:dyDescent="0.35">
      <c r="A4337">
        <v>4333</v>
      </c>
      <c r="B4337">
        <v>4334</v>
      </c>
      <c r="C4337">
        <v>146.079298824999</v>
      </c>
      <c r="D4337">
        <v>-17.641566447399899</v>
      </c>
      <c r="G4337" s="92"/>
      <c r="I4337">
        <v>9</v>
      </c>
      <c r="J4337" t="s">
        <v>26</v>
      </c>
      <c r="K4337" s="57"/>
      <c r="S4337" s="57"/>
      <c r="X4337" s="57"/>
    </row>
    <row r="4338" spans="1:24" hidden="1" x14ac:dyDescent="0.35">
      <c r="A4338">
        <v>4334</v>
      </c>
      <c r="B4338">
        <v>4335</v>
      </c>
      <c r="C4338">
        <v>146.07932913400001</v>
      </c>
      <c r="D4338">
        <v>-17.641485886000002</v>
      </c>
      <c r="G4338" s="92"/>
      <c r="I4338">
        <v>9</v>
      </c>
      <c r="J4338" t="s">
        <v>26</v>
      </c>
      <c r="K4338" s="57"/>
      <c r="S4338" s="57"/>
      <c r="X4338" s="57"/>
    </row>
    <row r="4339" spans="1:24" hidden="1" x14ac:dyDescent="0.35">
      <c r="A4339">
        <v>4335</v>
      </c>
      <c r="B4339">
        <v>4336</v>
      </c>
      <c r="C4339">
        <v>146.07936051600001</v>
      </c>
      <c r="D4339">
        <v>-17.6414056726999</v>
      </c>
      <c r="G4339" s="92"/>
      <c r="I4339">
        <v>9</v>
      </c>
      <c r="J4339" t="s">
        <v>26</v>
      </c>
      <c r="K4339" s="57"/>
      <c r="S4339" s="57"/>
      <c r="X4339" s="57"/>
    </row>
    <row r="4340" spans="1:24" hidden="1" x14ac:dyDescent="0.35">
      <c r="A4340">
        <v>4336</v>
      </c>
      <c r="B4340">
        <v>4337</v>
      </c>
      <c r="C4340">
        <v>146.079391896999</v>
      </c>
      <c r="D4340">
        <v>-17.6413254592999</v>
      </c>
      <c r="G4340" s="92"/>
      <c r="I4340">
        <v>9</v>
      </c>
      <c r="J4340" t="s">
        <v>26</v>
      </c>
      <c r="K4340" s="57"/>
      <c r="S4340" s="57"/>
      <c r="X4340" s="57"/>
    </row>
    <row r="4341" spans="1:24" hidden="1" x14ac:dyDescent="0.35">
      <c r="A4341">
        <v>4337</v>
      </c>
      <c r="B4341">
        <v>4338</v>
      </c>
      <c r="C4341">
        <v>146.079398945999</v>
      </c>
      <c r="D4341">
        <v>-17.6412413655999</v>
      </c>
      <c r="G4341" s="92"/>
      <c r="I4341">
        <v>9</v>
      </c>
      <c r="J4341" t="s">
        <v>26</v>
      </c>
      <c r="K4341" s="57"/>
      <c r="S4341" s="57"/>
      <c r="X4341" s="57"/>
    </row>
    <row r="4342" spans="1:24" hidden="1" x14ac:dyDescent="0.35">
      <c r="A4342">
        <v>4338</v>
      </c>
      <c r="B4342">
        <v>4339</v>
      </c>
      <c r="C4342">
        <v>146.07939667599899</v>
      </c>
      <c r="D4342">
        <v>-17.641155785900001</v>
      </c>
      <c r="G4342" s="92"/>
      <c r="I4342">
        <v>9</v>
      </c>
      <c r="J4342" t="s">
        <v>26</v>
      </c>
      <c r="K4342" s="57"/>
      <c r="S4342" s="57"/>
      <c r="X4342" s="57"/>
    </row>
    <row r="4343" spans="1:24" hidden="1" x14ac:dyDescent="0.35">
      <c r="A4343">
        <v>4339</v>
      </c>
      <c r="B4343">
        <v>4340</v>
      </c>
      <c r="C4343">
        <v>146.079385013999</v>
      </c>
      <c r="D4343">
        <v>-17.641071146200002</v>
      </c>
      <c r="G4343" s="92"/>
      <c r="I4343">
        <v>9</v>
      </c>
      <c r="J4343" t="s">
        <v>26</v>
      </c>
      <c r="K4343" s="57"/>
      <c r="S4343" s="57"/>
      <c r="X4343" s="57"/>
    </row>
    <row r="4344" spans="1:24" hidden="1" x14ac:dyDescent="0.35">
      <c r="A4344">
        <v>4340</v>
      </c>
      <c r="B4344">
        <v>4341</v>
      </c>
      <c r="C4344">
        <v>146.079368106999</v>
      </c>
      <c r="D4344">
        <v>-17.640987200600001</v>
      </c>
      <c r="G4344" s="92"/>
      <c r="I4344">
        <v>9</v>
      </c>
      <c r="J4344" t="s">
        <v>26</v>
      </c>
      <c r="K4344" s="57"/>
      <c r="S4344" s="57"/>
      <c r="X4344" s="57"/>
    </row>
    <row r="4345" spans="1:24" hidden="1" x14ac:dyDescent="0.35">
      <c r="A4345">
        <v>4341</v>
      </c>
      <c r="B4345">
        <v>4342</v>
      </c>
      <c r="C4345">
        <v>146.079309206</v>
      </c>
      <c r="D4345">
        <v>-17.6409225638</v>
      </c>
      <c r="G4345" s="92"/>
      <c r="I4345">
        <v>9</v>
      </c>
      <c r="J4345" t="s">
        <v>26</v>
      </c>
      <c r="K4345" s="57"/>
      <c r="S4345" s="57"/>
      <c r="X4345" s="57"/>
    </row>
    <row r="4346" spans="1:24" hidden="1" x14ac:dyDescent="0.35">
      <c r="A4346">
        <v>4342</v>
      </c>
      <c r="B4346">
        <v>4343</v>
      </c>
      <c r="C4346">
        <v>146.079236737999</v>
      </c>
      <c r="D4346">
        <v>-17.640875120299899</v>
      </c>
      <c r="G4346" s="92"/>
      <c r="I4346">
        <v>9</v>
      </c>
      <c r="J4346" t="s">
        <v>26</v>
      </c>
      <c r="K4346" s="57"/>
      <c r="S4346" s="57"/>
      <c r="X4346" s="57"/>
    </row>
    <row r="4347" spans="1:24" hidden="1" x14ac:dyDescent="0.35">
      <c r="A4347">
        <v>4343</v>
      </c>
      <c r="B4347">
        <v>4344</v>
      </c>
      <c r="C4347">
        <v>146.07915443300001</v>
      </c>
      <c r="D4347">
        <v>-17.640841981600001</v>
      </c>
      <c r="G4347" s="92"/>
      <c r="I4347">
        <v>9</v>
      </c>
      <c r="J4347" t="s">
        <v>26</v>
      </c>
      <c r="K4347" s="57"/>
      <c r="S4347" s="57"/>
      <c r="X4347" s="57"/>
    </row>
    <row r="4348" spans="1:24" hidden="1" x14ac:dyDescent="0.35">
      <c r="A4348">
        <v>4344</v>
      </c>
      <c r="B4348">
        <v>4345</v>
      </c>
      <c r="C4348">
        <v>146.079064939999</v>
      </c>
      <c r="D4348">
        <v>-17.640834555600001</v>
      </c>
      <c r="G4348" s="92"/>
      <c r="I4348">
        <v>9</v>
      </c>
      <c r="J4348" t="s">
        <v>26</v>
      </c>
      <c r="K4348" s="57"/>
      <c r="S4348" s="57"/>
      <c r="X4348" s="57"/>
    </row>
    <row r="4349" spans="1:24" hidden="1" x14ac:dyDescent="0.35">
      <c r="A4349">
        <v>4345</v>
      </c>
      <c r="B4349">
        <v>4346</v>
      </c>
      <c r="C4349">
        <v>146.078975447</v>
      </c>
      <c r="D4349">
        <v>-17.6408271297</v>
      </c>
      <c r="G4349" s="92"/>
      <c r="I4349">
        <v>9</v>
      </c>
      <c r="J4349" t="s">
        <v>26</v>
      </c>
      <c r="K4349" s="57"/>
      <c r="S4349" s="57"/>
      <c r="X4349" s="57"/>
    </row>
    <row r="4350" spans="1:24" hidden="1" x14ac:dyDescent="0.35">
      <c r="A4350">
        <v>4346</v>
      </c>
      <c r="B4350">
        <v>4347</v>
      </c>
      <c r="C4350">
        <v>146.07888603000001</v>
      </c>
      <c r="D4350">
        <v>-17.640819207300002</v>
      </c>
      <c r="G4350" s="92"/>
      <c r="I4350">
        <v>9</v>
      </c>
      <c r="J4350" t="s">
        <v>26</v>
      </c>
      <c r="K4350" s="57"/>
      <c r="S4350" s="57"/>
      <c r="X4350" s="57"/>
    </row>
    <row r="4351" spans="1:24" hidden="1" x14ac:dyDescent="0.35">
      <c r="A4351">
        <v>4347</v>
      </c>
      <c r="B4351">
        <v>4348</v>
      </c>
      <c r="C4351">
        <v>146.078798051999</v>
      </c>
      <c r="D4351">
        <v>-17.6408019086</v>
      </c>
      <c r="G4351" s="92"/>
      <c r="I4351">
        <v>9</v>
      </c>
      <c r="J4351" t="s">
        <v>26</v>
      </c>
      <c r="K4351" s="57"/>
      <c r="S4351" s="57"/>
      <c r="X4351" s="57"/>
    </row>
    <row r="4352" spans="1:24" hidden="1" x14ac:dyDescent="0.35">
      <c r="A4352">
        <v>4348</v>
      </c>
      <c r="B4352">
        <v>4349</v>
      </c>
      <c r="C4352">
        <v>146.078710072999</v>
      </c>
      <c r="D4352">
        <v>-17.640784609899899</v>
      </c>
      <c r="G4352" s="92"/>
      <c r="I4352">
        <v>9</v>
      </c>
      <c r="J4352" t="s">
        <v>26</v>
      </c>
      <c r="K4352" s="57"/>
      <c r="S4352" s="57"/>
      <c r="X4352" s="57"/>
    </row>
    <row r="4353" spans="1:24" hidden="1" x14ac:dyDescent="0.35">
      <c r="A4353">
        <v>4349</v>
      </c>
      <c r="B4353">
        <v>4350</v>
      </c>
      <c r="C4353">
        <v>146.078623332999</v>
      </c>
      <c r="D4353">
        <v>-17.6407636737</v>
      </c>
      <c r="G4353" s="92"/>
      <c r="I4353">
        <v>9</v>
      </c>
      <c r="J4353" t="s">
        <v>26</v>
      </c>
      <c r="K4353" s="57"/>
      <c r="S4353" s="57"/>
      <c r="X4353" s="57"/>
    </row>
    <row r="4354" spans="1:24" hidden="1" x14ac:dyDescent="0.35">
      <c r="A4354">
        <v>4350</v>
      </c>
      <c r="B4354">
        <v>4351</v>
      </c>
      <c r="C4354">
        <v>146.078541440999</v>
      </c>
      <c r="D4354">
        <v>-17.6407284854</v>
      </c>
      <c r="G4354" s="92"/>
      <c r="I4354">
        <v>9</v>
      </c>
      <c r="J4354" t="s">
        <v>26</v>
      </c>
      <c r="K4354" s="57"/>
      <c r="S4354" s="57"/>
      <c r="X4354" s="57"/>
    </row>
    <row r="4355" spans="1:24" hidden="1" x14ac:dyDescent="0.35">
      <c r="A4355">
        <v>4351</v>
      </c>
      <c r="B4355">
        <v>4352</v>
      </c>
      <c r="C4355">
        <v>146.078459549</v>
      </c>
      <c r="D4355">
        <v>-17.6406932971</v>
      </c>
      <c r="G4355" s="92"/>
      <c r="I4355">
        <v>9</v>
      </c>
      <c r="J4355" t="s">
        <v>26</v>
      </c>
      <c r="K4355" s="57"/>
      <c r="S4355" s="57"/>
      <c r="X4355" s="57"/>
    </row>
    <row r="4356" spans="1:24" hidden="1" x14ac:dyDescent="0.35">
      <c r="A4356">
        <v>4352</v>
      </c>
      <c r="B4356">
        <v>4353</v>
      </c>
      <c r="C4356">
        <v>146.078377657</v>
      </c>
      <c r="D4356">
        <v>-17.6406581088</v>
      </c>
      <c r="G4356" s="92"/>
      <c r="I4356">
        <v>9</v>
      </c>
      <c r="J4356" t="s">
        <v>26</v>
      </c>
      <c r="K4356" s="57"/>
      <c r="S4356" s="57"/>
      <c r="X4356" s="57"/>
    </row>
    <row r="4357" spans="1:24" hidden="1" x14ac:dyDescent="0.35">
      <c r="A4357">
        <v>4353</v>
      </c>
      <c r="B4357">
        <v>4354</v>
      </c>
      <c r="C4357">
        <v>146.07831079600001</v>
      </c>
      <c r="D4357">
        <v>-17.640603469599899</v>
      </c>
      <c r="G4357" s="92"/>
      <c r="I4357">
        <v>9</v>
      </c>
      <c r="J4357" t="s">
        <v>26</v>
      </c>
      <c r="K4357" s="57"/>
      <c r="S4357" s="57"/>
      <c r="X4357" s="57"/>
    </row>
    <row r="4358" spans="1:24" hidden="1" x14ac:dyDescent="0.35">
      <c r="A4358">
        <v>4354</v>
      </c>
      <c r="B4358">
        <v>4355</v>
      </c>
      <c r="C4358">
        <v>146.078251230999</v>
      </c>
      <c r="D4358">
        <v>-17.640539387800001</v>
      </c>
      <c r="G4358" s="92"/>
      <c r="I4358">
        <v>9</v>
      </c>
      <c r="J4358" t="s">
        <v>26</v>
      </c>
      <c r="K4358" s="57"/>
      <c r="S4358" s="57"/>
      <c r="X4358" s="57"/>
    </row>
    <row r="4359" spans="1:24" hidden="1" x14ac:dyDescent="0.35">
      <c r="A4359">
        <v>4355</v>
      </c>
      <c r="B4359">
        <v>4356</v>
      </c>
      <c r="C4359">
        <v>146.078190882</v>
      </c>
      <c r="D4359">
        <v>-17.6404760192999</v>
      </c>
      <c r="G4359" s="92"/>
      <c r="I4359">
        <v>9</v>
      </c>
      <c r="J4359" t="s">
        <v>26</v>
      </c>
      <c r="K4359" s="57"/>
      <c r="S4359" s="57"/>
      <c r="X4359" s="57"/>
    </row>
    <row r="4360" spans="1:24" hidden="1" x14ac:dyDescent="0.35">
      <c r="A4360">
        <v>4356</v>
      </c>
      <c r="B4360">
        <v>4357</v>
      </c>
      <c r="C4360">
        <v>146.078126459999</v>
      </c>
      <c r="D4360">
        <v>-17.6404163569999</v>
      </c>
      <c r="G4360" s="92"/>
      <c r="I4360">
        <v>9</v>
      </c>
      <c r="J4360" t="s">
        <v>26</v>
      </c>
      <c r="K4360" s="57"/>
      <c r="S4360" s="57"/>
      <c r="X4360" s="57"/>
    </row>
    <row r="4361" spans="1:24" hidden="1" x14ac:dyDescent="0.35">
      <c r="A4361">
        <v>4357</v>
      </c>
      <c r="B4361">
        <v>4358</v>
      </c>
      <c r="C4361">
        <v>146.078067067999</v>
      </c>
      <c r="D4361">
        <v>-17.6403533422999</v>
      </c>
      <c r="G4361" s="92"/>
      <c r="I4361">
        <v>9</v>
      </c>
      <c r="J4361" t="s">
        <v>26</v>
      </c>
      <c r="K4361" s="57"/>
      <c r="S4361" s="57"/>
      <c r="X4361" s="57"/>
    </row>
    <row r="4362" spans="1:24" hidden="1" x14ac:dyDescent="0.35">
      <c r="A4362">
        <v>4358</v>
      </c>
      <c r="B4362">
        <v>4359</v>
      </c>
      <c r="C4362">
        <v>146.07803034700001</v>
      </c>
      <c r="D4362">
        <v>-17.640275213599899</v>
      </c>
      <c r="G4362" s="92"/>
      <c r="I4362">
        <v>9</v>
      </c>
      <c r="J4362" t="s">
        <v>26</v>
      </c>
      <c r="K4362" s="57"/>
      <c r="S4362" s="57"/>
      <c r="X4362" s="57"/>
    </row>
    <row r="4363" spans="1:24" hidden="1" x14ac:dyDescent="0.35">
      <c r="A4363">
        <v>4359</v>
      </c>
      <c r="B4363">
        <v>4360</v>
      </c>
      <c r="C4363">
        <v>146.07799362700001</v>
      </c>
      <c r="D4363">
        <v>-17.640197085200001</v>
      </c>
      <c r="G4363" s="92"/>
      <c r="I4363">
        <v>9</v>
      </c>
      <c r="J4363" t="s">
        <v>26</v>
      </c>
      <c r="K4363" s="57"/>
      <c r="S4363" s="57"/>
      <c r="X4363" s="57"/>
    </row>
    <row r="4364" spans="1:24" hidden="1" x14ac:dyDescent="0.35">
      <c r="A4364">
        <v>4360</v>
      </c>
      <c r="B4364">
        <v>4361</v>
      </c>
      <c r="C4364">
        <v>146.07795738799899</v>
      </c>
      <c r="D4364">
        <v>-17.640118802100002</v>
      </c>
      <c r="G4364" s="92"/>
      <c r="I4364">
        <v>9</v>
      </c>
      <c r="J4364" t="s">
        <v>26</v>
      </c>
      <c r="K4364" s="57"/>
      <c r="S4364" s="57"/>
      <c r="X4364" s="57"/>
    </row>
    <row r="4365" spans="1:24" hidden="1" x14ac:dyDescent="0.35">
      <c r="A4365">
        <v>4361</v>
      </c>
      <c r="B4365">
        <v>4362</v>
      </c>
      <c r="C4365">
        <v>146.077937125999</v>
      </c>
      <c r="D4365">
        <v>-17.640035400799899</v>
      </c>
      <c r="G4365" s="92"/>
      <c r="I4365">
        <v>9</v>
      </c>
      <c r="J4365" t="s">
        <v>26</v>
      </c>
      <c r="K4365" s="57"/>
      <c r="S4365" s="57"/>
      <c r="X4365" s="57"/>
    </row>
    <row r="4366" spans="1:24" hidden="1" x14ac:dyDescent="0.35">
      <c r="A4366">
        <v>4362</v>
      </c>
      <c r="B4366">
        <v>4363</v>
      </c>
      <c r="C4366">
        <v>146.077932121999</v>
      </c>
      <c r="D4366">
        <v>-17.639950508999899</v>
      </c>
      <c r="G4366" s="92"/>
      <c r="I4366">
        <v>9</v>
      </c>
      <c r="J4366" t="s">
        <v>26</v>
      </c>
      <c r="K4366" s="57"/>
      <c r="S4366" s="57"/>
      <c r="X4366" s="57"/>
    </row>
    <row r="4367" spans="1:24" hidden="1" x14ac:dyDescent="0.35">
      <c r="A4367">
        <v>4363</v>
      </c>
      <c r="B4367">
        <v>4364</v>
      </c>
      <c r="C4367">
        <v>146.07793421100001</v>
      </c>
      <c r="D4367">
        <v>-17.6398649244999</v>
      </c>
      <c r="G4367" s="92"/>
      <c r="I4367">
        <v>9</v>
      </c>
      <c r="J4367" t="s">
        <v>26</v>
      </c>
      <c r="K4367" s="57"/>
      <c r="S4367" s="57"/>
      <c r="X4367" s="57"/>
    </row>
    <row r="4368" spans="1:24" hidden="1" x14ac:dyDescent="0.35">
      <c r="A4368">
        <v>4364</v>
      </c>
      <c r="B4368">
        <v>4365</v>
      </c>
      <c r="C4368">
        <v>146.0779363</v>
      </c>
      <c r="D4368">
        <v>-17.63977934</v>
      </c>
      <c r="G4368" s="92"/>
      <c r="I4368">
        <v>9</v>
      </c>
      <c r="J4368" t="s">
        <v>26</v>
      </c>
      <c r="K4368" s="57"/>
      <c r="S4368" s="57"/>
      <c r="X4368" s="57"/>
    </row>
    <row r="4369" spans="1:24" hidden="1" x14ac:dyDescent="0.35">
      <c r="A4369">
        <v>4365</v>
      </c>
      <c r="B4369">
        <v>4366</v>
      </c>
      <c r="C4369">
        <v>146.07794800400001</v>
      </c>
      <c r="D4369">
        <v>-17.639695602300002</v>
      </c>
      <c r="G4369" s="92"/>
      <c r="I4369">
        <v>9</v>
      </c>
      <c r="J4369" t="s">
        <v>26</v>
      </c>
      <c r="K4369" s="57"/>
      <c r="S4369" s="57"/>
      <c r="X4369" s="57"/>
    </row>
    <row r="4370" spans="1:24" hidden="1" x14ac:dyDescent="0.35">
      <c r="A4370">
        <v>4366</v>
      </c>
      <c r="B4370">
        <v>4367</v>
      </c>
      <c r="C4370">
        <v>146.077980865</v>
      </c>
      <c r="D4370">
        <v>-17.639615928000001</v>
      </c>
      <c r="G4370" s="92"/>
      <c r="I4370">
        <v>9</v>
      </c>
      <c r="J4370" t="s">
        <v>26</v>
      </c>
      <c r="K4370" s="57"/>
      <c r="S4370" s="57"/>
      <c r="X4370" s="57"/>
    </row>
    <row r="4371" spans="1:24" hidden="1" x14ac:dyDescent="0.35">
      <c r="A4371">
        <v>4367</v>
      </c>
      <c r="B4371">
        <v>4368</v>
      </c>
      <c r="C4371">
        <v>146.07801372700001</v>
      </c>
      <c r="D4371">
        <v>-17.639536253700001</v>
      </c>
      <c r="G4371" s="92"/>
      <c r="I4371">
        <v>9</v>
      </c>
      <c r="J4371" t="s">
        <v>26</v>
      </c>
      <c r="K4371" s="57"/>
      <c r="S4371" s="57"/>
      <c r="X4371" s="57"/>
    </row>
    <row r="4372" spans="1:24" hidden="1" x14ac:dyDescent="0.35">
      <c r="A4372">
        <v>4368</v>
      </c>
      <c r="B4372">
        <v>4369</v>
      </c>
      <c r="C4372">
        <v>146.07804658800001</v>
      </c>
      <c r="D4372">
        <v>-17.639456579400001</v>
      </c>
      <c r="G4372" s="92"/>
      <c r="I4372">
        <v>9</v>
      </c>
      <c r="J4372" t="s">
        <v>26</v>
      </c>
      <c r="K4372" s="57"/>
      <c r="S4372" s="57"/>
      <c r="X4372" s="57"/>
    </row>
    <row r="4373" spans="1:24" hidden="1" x14ac:dyDescent="0.35">
      <c r="A4373">
        <v>4369</v>
      </c>
      <c r="B4373">
        <v>4370</v>
      </c>
      <c r="C4373">
        <v>146.078085684999</v>
      </c>
      <c r="D4373">
        <v>-17.639380016</v>
      </c>
      <c r="G4373" s="92"/>
      <c r="I4373">
        <v>9</v>
      </c>
      <c r="J4373" t="s">
        <v>26</v>
      </c>
      <c r="K4373" s="57"/>
      <c r="S4373" s="57"/>
      <c r="X4373" s="57"/>
    </row>
    <row r="4374" spans="1:24" hidden="1" x14ac:dyDescent="0.35">
      <c r="A4374">
        <v>4370</v>
      </c>
      <c r="B4374">
        <v>4371</v>
      </c>
      <c r="C4374">
        <v>146.078135666999</v>
      </c>
      <c r="D4374">
        <v>-17.639308883399899</v>
      </c>
      <c r="G4374" s="92"/>
      <c r="I4374">
        <v>9</v>
      </c>
      <c r="J4374" t="s">
        <v>26</v>
      </c>
      <c r="K4374" s="57"/>
      <c r="S4374" s="57"/>
      <c r="X4374" s="57"/>
    </row>
    <row r="4375" spans="1:24" hidden="1" x14ac:dyDescent="0.35">
      <c r="A4375">
        <v>4371</v>
      </c>
      <c r="B4375">
        <v>4372</v>
      </c>
      <c r="C4375">
        <v>146.078185649999</v>
      </c>
      <c r="D4375">
        <v>-17.639237750700001</v>
      </c>
      <c r="G4375" s="92"/>
      <c r="I4375">
        <v>9</v>
      </c>
      <c r="J4375" t="s">
        <v>26</v>
      </c>
      <c r="K4375" s="57"/>
      <c r="S4375" s="57"/>
      <c r="X4375" s="57"/>
    </row>
    <row r="4376" spans="1:24" hidden="1" x14ac:dyDescent="0.35">
      <c r="A4376">
        <v>4372</v>
      </c>
      <c r="B4376">
        <v>4373</v>
      </c>
      <c r="C4376">
        <v>146.078250120999</v>
      </c>
      <c r="D4376">
        <v>-17.6391796487999</v>
      </c>
      <c r="G4376" s="92"/>
      <c r="I4376">
        <v>9</v>
      </c>
      <c r="J4376" t="s">
        <v>26</v>
      </c>
      <c r="K4376" s="57"/>
      <c r="S4376" s="57"/>
      <c r="X4376" s="57"/>
    </row>
    <row r="4377" spans="1:24" hidden="1" x14ac:dyDescent="0.35">
      <c r="A4377">
        <v>4373</v>
      </c>
      <c r="B4377">
        <v>4374</v>
      </c>
      <c r="C4377">
        <v>146.07832174699899</v>
      </c>
      <c r="D4377">
        <v>-17.6391279813</v>
      </c>
      <c r="G4377" s="92"/>
      <c r="I4377">
        <v>9</v>
      </c>
      <c r="J4377" t="s">
        <v>26</v>
      </c>
      <c r="K4377" s="57"/>
      <c r="S4377" s="57"/>
      <c r="X4377" s="57"/>
    </row>
    <row r="4378" spans="1:24" hidden="1" x14ac:dyDescent="0.35">
      <c r="A4378">
        <v>4374</v>
      </c>
      <c r="B4378">
        <v>4375</v>
      </c>
      <c r="C4378">
        <v>146.078381140999</v>
      </c>
      <c r="D4378">
        <v>-17.639064597200001</v>
      </c>
      <c r="G4378" s="92"/>
      <c r="I4378">
        <v>9</v>
      </c>
      <c r="J4378" t="s">
        <v>26</v>
      </c>
      <c r="K4378" s="57"/>
      <c r="S4378" s="57"/>
      <c r="X4378" s="57"/>
    </row>
    <row r="4379" spans="1:24" hidden="1" x14ac:dyDescent="0.35">
      <c r="A4379">
        <v>4375</v>
      </c>
      <c r="B4379">
        <v>4376</v>
      </c>
      <c r="C4379">
        <v>146.07843400100001</v>
      </c>
      <c r="D4379">
        <v>-17.6389956973</v>
      </c>
      <c r="G4379" s="92"/>
      <c r="I4379">
        <v>9</v>
      </c>
      <c r="J4379" t="s">
        <v>26</v>
      </c>
      <c r="K4379" s="57"/>
      <c r="S4379" s="57"/>
      <c r="X4379" s="57"/>
    </row>
    <row r="4380" spans="1:24" hidden="1" x14ac:dyDescent="0.35">
      <c r="A4380">
        <v>4376</v>
      </c>
      <c r="B4380">
        <v>4377</v>
      </c>
      <c r="C4380">
        <v>146.07846529700001</v>
      </c>
      <c r="D4380">
        <v>-17.638915452700001</v>
      </c>
      <c r="G4380" s="92"/>
      <c r="I4380">
        <v>9</v>
      </c>
      <c r="J4380" t="s">
        <v>26</v>
      </c>
      <c r="K4380" s="57"/>
      <c r="S4380" s="57"/>
      <c r="X4380" s="57"/>
    </row>
    <row r="4381" spans="1:24" hidden="1" x14ac:dyDescent="0.35">
      <c r="A4381">
        <v>4377</v>
      </c>
      <c r="B4381">
        <v>4378</v>
      </c>
      <c r="C4381">
        <v>146.078482299</v>
      </c>
      <c r="D4381">
        <v>-17.6388316663</v>
      </c>
      <c r="G4381" s="92"/>
      <c r="I4381">
        <v>9</v>
      </c>
      <c r="J4381" t="s">
        <v>26</v>
      </c>
      <c r="K4381" s="57"/>
      <c r="S4381" s="57"/>
      <c r="X4381" s="57"/>
    </row>
    <row r="4382" spans="1:24" hidden="1" x14ac:dyDescent="0.35">
      <c r="A4382">
        <v>4378</v>
      </c>
      <c r="B4382">
        <v>4379</v>
      </c>
      <c r="C4382">
        <v>146.078509002</v>
      </c>
      <c r="D4382">
        <v>-17.6387507743</v>
      </c>
      <c r="G4382" s="92"/>
      <c r="I4382">
        <v>9</v>
      </c>
      <c r="J4382" t="s">
        <v>26</v>
      </c>
      <c r="K4382" s="57"/>
      <c r="S4382" s="57"/>
      <c r="X4382" s="57"/>
    </row>
    <row r="4383" spans="1:24" hidden="1" x14ac:dyDescent="0.35">
      <c r="A4383">
        <v>4379</v>
      </c>
      <c r="B4383">
        <v>4380</v>
      </c>
      <c r="C4383">
        <v>146.07854699999899</v>
      </c>
      <c r="D4383">
        <v>-17.6386732673</v>
      </c>
      <c r="G4383" s="92"/>
      <c r="I4383">
        <v>9</v>
      </c>
      <c r="J4383" t="s">
        <v>26</v>
      </c>
      <c r="K4383" s="57"/>
      <c r="S4383" s="57"/>
      <c r="X4383" s="57"/>
    </row>
    <row r="4384" spans="1:24" hidden="1" x14ac:dyDescent="0.35">
      <c r="A4384">
        <v>4380</v>
      </c>
      <c r="B4384">
        <v>4381</v>
      </c>
      <c r="C4384">
        <v>146.078598661</v>
      </c>
      <c r="D4384">
        <v>-17.6386032322999</v>
      </c>
      <c r="G4384" s="92"/>
      <c r="I4384">
        <v>9</v>
      </c>
      <c r="J4384" t="s">
        <v>26</v>
      </c>
      <c r="K4384" s="57"/>
      <c r="S4384" s="57"/>
      <c r="X4384" s="57"/>
    </row>
    <row r="4385" spans="1:24" hidden="1" x14ac:dyDescent="0.35">
      <c r="A4385">
        <v>4381</v>
      </c>
      <c r="B4385">
        <v>4382</v>
      </c>
      <c r="C4385">
        <v>146.078659028999</v>
      </c>
      <c r="D4385">
        <v>-17.638540748899899</v>
      </c>
      <c r="G4385" s="92"/>
      <c r="I4385">
        <v>9</v>
      </c>
      <c r="J4385" t="s">
        <v>26</v>
      </c>
      <c r="K4385" s="57"/>
      <c r="S4385" s="57"/>
      <c r="X4385" s="57"/>
    </row>
    <row r="4386" spans="1:24" hidden="1" x14ac:dyDescent="0.35">
      <c r="A4386">
        <v>4382</v>
      </c>
      <c r="B4386">
        <v>4383</v>
      </c>
      <c r="C4386">
        <v>146.078713977999</v>
      </c>
      <c r="D4386">
        <v>-17.638476085400001</v>
      </c>
      <c r="G4386" s="92"/>
      <c r="I4386">
        <v>9</v>
      </c>
      <c r="J4386" t="s">
        <v>26</v>
      </c>
      <c r="K4386" s="57"/>
      <c r="S4386" s="57"/>
      <c r="X4386" s="57"/>
    </row>
    <row r="4387" spans="1:24" hidden="1" x14ac:dyDescent="0.35">
      <c r="A4387">
        <v>4383</v>
      </c>
      <c r="B4387">
        <v>4384</v>
      </c>
      <c r="C4387">
        <v>146.078741202</v>
      </c>
      <c r="D4387">
        <v>-17.638395368600001</v>
      </c>
      <c r="F4387" t="str">
        <f>HYPERLINK("D:\Data From Lucan\2024\Moresby\Frames_for_Analysis/4384_20240611_0005_L_0409.jpg","4384_20240611_0005_L_0409.jpg")</f>
        <v>4384_20240611_0005_L_0409.jpg</v>
      </c>
      <c r="G4387" s="92" t="s">
        <v>5231</v>
      </c>
      <c r="I4387">
        <v>9</v>
      </c>
      <c r="K4387" s="57">
        <v>1</v>
      </c>
      <c r="L4387" t="s">
        <v>3959</v>
      </c>
      <c r="M4387" t="s">
        <v>3959</v>
      </c>
      <c r="N4387" t="s">
        <v>3959</v>
      </c>
      <c r="O4387" t="s">
        <v>3959</v>
      </c>
      <c r="P4387" s="57">
        <v>1</v>
      </c>
      <c r="Q4387" s="57">
        <v>0</v>
      </c>
      <c r="R4387" s="57">
        <v>0</v>
      </c>
      <c r="S4387" s="57">
        <v>0</v>
      </c>
      <c r="T4387" s="57">
        <v>0</v>
      </c>
      <c r="U4387" s="57">
        <v>0</v>
      </c>
      <c r="V4387" s="57">
        <v>0</v>
      </c>
      <c r="W4387" s="57">
        <v>0</v>
      </c>
      <c r="X4387" s="57">
        <v>0</v>
      </c>
    </row>
    <row r="4388" spans="1:24" hidden="1" x14ac:dyDescent="0.35">
      <c r="A4388">
        <v>4384</v>
      </c>
      <c r="B4388">
        <v>4385</v>
      </c>
      <c r="C4388">
        <v>146.078728084999</v>
      </c>
      <c r="D4388">
        <v>-17.638314344400001</v>
      </c>
      <c r="F4388" t="str">
        <f>HYPERLINK("D:\Data From Lucan\2024\Moresby\Frames_for_Analysis/4385_20240611_0005_L_0410.jpg","4385_20240611_0005_L_0410.jpg")</f>
        <v>4385_20240611_0005_L_0410.jpg</v>
      </c>
      <c r="G4388" s="92" t="s">
        <v>5232</v>
      </c>
      <c r="I4388">
        <v>9</v>
      </c>
      <c r="K4388" s="57">
        <v>1</v>
      </c>
      <c r="L4388" t="s">
        <v>3959</v>
      </c>
      <c r="M4388" t="s">
        <v>3959</v>
      </c>
      <c r="N4388" t="s">
        <v>3959</v>
      </c>
      <c r="O4388" t="s">
        <v>3959</v>
      </c>
      <c r="P4388" s="57">
        <v>1</v>
      </c>
      <c r="Q4388" s="57">
        <v>0</v>
      </c>
      <c r="R4388" s="57">
        <v>0</v>
      </c>
      <c r="S4388" s="57">
        <v>0</v>
      </c>
      <c r="T4388" s="57">
        <v>0</v>
      </c>
      <c r="U4388" s="57">
        <v>0</v>
      </c>
      <c r="V4388" s="57">
        <v>0</v>
      </c>
      <c r="W4388" s="57">
        <v>0</v>
      </c>
      <c r="X4388" s="57">
        <v>0</v>
      </c>
    </row>
    <row r="4389" spans="1:24" hidden="1" x14ac:dyDescent="0.35">
      <c r="A4389">
        <v>4385</v>
      </c>
      <c r="B4389">
        <v>4386</v>
      </c>
      <c r="C4389">
        <v>146.078662495</v>
      </c>
      <c r="D4389">
        <v>-17.6382642381</v>
      </c>
      <c r="F4389" t="str">
        <f>HYPERLINK("D:\Data From Lucan\2024\Moresby\Frames_for_Analysis/4386_20240611_0005_L_0413.jpg","4386_20240611_0005_L_0413.jpg")</f>
        <v>4386_20240611_0005_L_0413.jpg</v>
      </c>
      <c r="G4389" s="92" t="s">
        <v>5233</v>
      </c>
      <c r="I4389">
        <v>9</v>
      </c>
      <c r="K4389" s="57">
        <v>1</v>
      </c>
      <c r="L4389" t="s">
        <v>3959</v>
      </c>
      <c r="M4389" t="s">
        <v>3959</v>
      </c>
      <c r="N4389" t="s">
        <v>3959</v>
      </c>
      <c r="O4389" t="s">
        <v>3959</v>
      </c>
      <c r="P4389" s="57">
        <v>1</v>
      </c>
      <c r="Q4389" s="57">
        <v>0</v>
      </c>
      <c r="R4389" s="57">
        <v>0</v>
      </c>
      <c r="S4389" s="57">
        <v>0</v>
      </c>
      <c r="T4389" s="57">
        <v>0</v>
      </c>
      <c r="U4389" s="57">
        <v>0</v>
      </c>
      <c r="V4389" s="57">
        <v>0</v>
      </c>
      <c r="W4389" s="57">
        <v>0</v>
      </c>
      <c r="X4389" s="57">
        <v>0</v>
      </c>
    </row>
    <row r="4390" spans="1:24" hidden="1" x14ac:dyDescent="0.35">
      <c r="A4390">
        <v>4386</v>
      </c>
      <c r="B4390">
        <v>4387</v>
      </c>
      <c r="C4390">
        <v>146.07857291100001</v>
      </c>
      <c r="D4390">
        <v>-17.6382613799999</v>
      </c>
      <c r="F4390" t="str">
        <f>HYPERLINK("D:\Data From Lucan\2024\Moresby\Frames_for_Analysis/4387_20240611_0005_L_0416.jpg","4387_20240611_0005_L_0416.jpg")</f>
        <v>4387_20240611_0005_L_0416.jpg</v>
      </c>
      <c r="G4390" s="92" t="s">
        <v>5234</v>
      </c>
      <c r="I4390">
        <v>3</v>
      </c>
      <c r="K4390" s="57">
        <v>1</v>
      </c>
      <c r="L4390" t="s">
        <v>3959</v>
      </c>
      <c r="M4390" t="s">
        <v>3959</v>
      </c>
      <c r="N4390" t="s">
        <v>3959</v>
      </c>
      <c r="O4390" t="s">
        <v>3959</v>
      </c>
      <c r="P4390" s="57">
        <v>1</v>
      </c>
      <c r="Q4390" s="57">
        <v>0</v>
      </c>
      <c r="R4390" s="57">
        <v>0</v>
      </c>
      <c r="S4390" s="57">
        <v>0</v>
      </c>
      <c r="T4390" s="57">
        <v>0</v>
      </c>
      <c r="U4390" s="57">
        <v>0</v>
      </c>
      <c r="V4390" s="57">
        <v>0</v>
      </c>
      <c r="W4390" s="57">
        <v>0</v>
      </c>
      <c r="X4390" s="57">
        <v>0</v>
      </c>
    </row>
    <row r="4391" spans="1:24" hidden="1" x14ac:dyDescent="0.35">
      <c r="A4391">
        <v>4387</v>
      </c>
      <c r="B4391">
        <v>4388</v>
      </c>
      <c r="C4391">
        <v>146.07848380600001</v>
      </c>
      <c r="D4391">
        <v>-17.638272240700001</v>
      </c>
      <c r="F4391" t="str">
        <f>HYPERLINK("D:\Data From Lucan\2024\Moresby\Frames_for_Analysis/4388_20240611_0005_L_0420.jpg","4388_20240611_0005_L_0420.jpg")</f>
        <v>4388_20240611_0005_L_0420.jpg</v>
      </c>
      <c r="G4391" s="92" t="s">
        <v>5235</v>
      </c>
      <c r="I4391">
        <v>3</v>
      </c>
      <c r="K4391" s="57">
        <v>1</v>
      </c>
      <c r="L4391" t="s">
        <v>3959</v>
      </c>
      <c r="M4391" t="s">
        <v>3959</v>
      </c>
      <c r="N4391" t="s">
        <v>3959</v>
      </c>
      <c r="O4391" t="s">
        <v>3959</v>
      </c>
      <c r="P4391" s="57">
        <v>1</v>
      </c>
      <c r="Q4391" s="57">
        <v>0</v>
      </c>
      <c r="R4391" s="57">
        <v>0</v>
      </c>
      <c r="S4391" s="57">
        <v>0</v>
      </c>
      <c r="T4391" s="57">
        <v>0</v>
      </c>
      <c r="U4391" s="57">
        <v>0</v>
      </c>
      <c r="V4391" s="57">
        <v>0</v>
      </c>
      <c r="W4391" s="57">
        <v>0</v>
      </c>
      <c r="X4391" s="57">
        <v>0</v>
      </c>
    </row>
    <row r="4392" spans="1:24" hidden="1" x14ac:dyDescent="0.35">
      <c r="A4392">
        <v>4388</v>
      </c>
      <c r="B4392">
        <v>4389</v>
      </c>
      <c r="C4392">
        <v>146.078394699999</v>
      </c>
      <c r="D4392">
        <v>-17.638283101300001</v>
      </c>
      <c r="F4392" t="str">
        <f>HYPERLINK("D:\Data From Lucan\2024\Moresby\Frames_for_Analysis/4389_20240611_0005_L_0425.jpg","4389_20240611_0005_L_0425.jpg")</f>
        <v>4389_20240611_0005_L_0425.jpg</v>
      </c>
      <c r="G4392" s="92" t="s">
        <v>5236</v>
      </c>
      <c r="I4392">
        <v>3</v>
      </c>
      <c r="K4392" s="57">
        <v>1</v>
      </c>
      <c r="L4392" t="s">
        <v>3959</v>
      </c>
      <c r="M4392" t="s">
        <v>3959</v>
      </c>
      <c r="N4392" t="s">
        <v>3959</v>
      </c>
      <c r="O4392" t="s">
        <v>3959</v>
      </c>
      <c r="P4392" s="57">
        <v>1</v>
      </c>
      <c r="Q4392" s="57">
        <v>0</v>
      </c>
      <c r="R4392" s="57">
        <v>0</v>
      </c>
      <c r="S4392" s="57">
        <v>0</v>
      </c>
      <c r="T4392" s="57">
        <v>0</v>
      </c>
      <c r="U4392" s="57">
        <v>0</v>
      </c>
      <c r="V4392" s="57">
        <v>0</v>
      </c>
      <c r="W4392" s="57">
        <v>0</v>
      </c>
      <c r="X4392" s="57">
        <v>0</v>
      </c>
    </row>
    <row r="4393" spans="1:24" hidden="1" x14ac:dyDescent="0.35">
      <c r="A4393">
        <v>4389</v>
      </c>
      <c r="B4393">
        <v>4390</v>
      </c>
      <c r="C4393">
        <v>146.078305594</v>
      </c>
      <c r="D4393">
        <v>-17.638293961999899</v>
      </c>
      <c r="F4393" t="str">
        <f>HYPERLINK("D:\Data From Lucan\2024\Moresby\Frames_for_Analysis/4390_20240611_0005_L_0429.jpg","4390_20240611_0005_L_0429.jpg")</f>
        <v>4390_20240611_0005_L_0429.jpg</v>
      </c>
      <c r="G4393" s="92" t="s">
        <v>5237</v>
      </c>
      <c r="I4393">
        <v>3</v>
      </c>
      <c r="K4393" s="57">
        <v>1</v>
      </c>
      <c r="L4393" t="s">
        <v>3959</v>
      </c>
      <c r="M4393" t="s">
        <v>3959</v>
      </c>
      <c r="N4393" t="s">
        <v>3959</v>
      </c>
      <c r="O4393" t="s">
        <v>3959</v>
      </c>
      <c r="P4393" s="57">
        <v>1</v>
      </c>
      <c r="Q4393" s="57">
        <v>0</v>
      </c>
      <c r="R4393" s="57">
        <v>0</v>
      </c>
      <c r="S4393" s="57">
        <v>0</v>
      </c>
      <c r="T4393" s="57">
        <v>0</v>
      </c>
      <c r="U4393" s="57">
        <v>0</v>
      </c>
      <c r="V4393" s="57">
        <v>0</v>
      </c>
      <c r="W4393" s="57">
        <v>0</v>
      </c>
      <c r="X4393" s="57">
        <v>0</v>
      </c>
    </row>
    <row r="4394" spans="1:24" hidden="1" x14ac:dyDescent="0.35">
      <c r="A4394">
        <v>4390</v>
      </c>
      <c r="B4394">
        <v>4391</v>
      </c>
      <c r="C4394">
        <v>146.07821648800001</v>
      </c>
      <c r="D4394">
        <v>-17.6383048227</v>
      </c>
      <c r="F4394" t="str">
        <f>HYPERLINK("D:\Data From Lucan\2024\Moresby\Frames_for_Analysis/4391_20240611_0005_L_0432.jpg","4391_20240611_0005_L_0432.jpg")</f>
        <v>4391_20240611_0005_L_0432.jpg</v>
      </c>
      <c r="G4394" s="92" t="s">
        <v>5238</v>
      </c>
      <c r="I4394">
        <v>3</v>
      </c>
      <c r="K4394" s="57">
        <v>1</v>
      </c>
      <c r="L4394" t="s">
        <v>3959</v>
      </c>
      <c r="M4394" t="s">
        <v>3959</v>
      </c>
      <c r="N4394" t="s">
        <v>3959</v>
      </c>
      <c r="O4394" t="s">
        <v>3959</v>
      </c>
      <c r="P4394" s="57">
        <v>1</v>
      </c>
      <c r="Q4394" s="57">
        <v>0</v>
      </c>
      <c r="R4394" s="57">
        <v>0</v>
      </c>
      <c r="S4394" s="57">
        <v>0</v>
      </c>
      <c r="T4394" s="57">
        <v>0</v>
      </c>
      <c r="U4394" s="57">
        <v>0</v>
      </c>
      <c r="V4394" s="57">
        <v>0</v>
      </c>
      <c r="W4394" s="57">
        <v>0</v>
      </c>
      <c r="X4394" s="57">
        <v>0</v>
      </c>
    </row>
    <row r="4395" spans="1:24" hidden="1" x14ac:dyDescent="0.35">
      <c r="A4395">
        <v>4391</v>
      </c>
      <c r="B4395">
        <v>4392</v>
      </c>
      <c r="C4395">
        <v>146.07812738300001</v>
      </c>
      <c r="D4395">
        <v>-17.6383156833</v>
      </c>
      <c r="F4395" t="str">
        <f>HYPERLINK("D:\Data From Lucan\2024\Moresby\Frames_for_Analysis/4392_20240611_0005_L_0436.jpg","4392_20240611_0005_L_0436.jpg")</f>
        <v>4392_20240611_0005_L_0436.jpg</v>
      </c>
      <c r="G4395" s="92" t="s">
        <v>5239</v>
      </c>
      <c r="I4395">
        <v>3</v>
      </c>
      <c r="K4395" s="57">
        <v>1</v>
      </c>
      <c r="L4395" t="s">
        <v>3959</v>
      </c>
      <c r="M4395" t="s">
        <v>3959</v>
      </c>
      <c r="N4395" t="s">
        <v>3959</v>
      </c>
      <c r="O4395" t="s">
        <v>3959</v>
      </c>
      <c r="P4395" s="57">
        <v>1</v>
      </c>
      <c r="Q4395" s="57">
        <v>0</v>
      </c>
      <c r="R4395" s="57">
        <v>0</v>
      </c>
      <c r="S4395" s="57">
        <v>0</v>
      </c>
      <c r="T4395" s="57">
        <v>0</v>
      </c>
      <c r="U4395" s="57">
        <v>0</v>
      </c>
      <c r="V4395" s="57">
        <v>0</v>
      </c>
      <c r="W4395" s="57">
        <v>0</v>
      </c>
      <c r="X4395" s="57">
        <v>0</v>
      </c>
    </row>
    <row r="4396" spans="1:24" hidden="1" x14ac:dyDescent="0.35">
      <c r="A4396">
        <v>4392</v>
      </c>
      <c r="B4396">
        <v>4393</v>
      </c>
      <c r="C4396">
        <v>146.078038276999</v>
      </c>
      <c r="D4396">
        <v>-17.638326544000002</v>
      </c>
      <c r="F4396" t="str">
        <f>HYPERLINK("D:\Data From Lucan\2024\Moresby\Frames_for_Analysis/4393_20240611_0005_L_0438.jpg","4393_20240611_0005_L_0438.jpg")</f>
        <v>4393_20240611_0005_L_0438.jpg</v>
      </c>
      <c r="G4396" s="92" t="s">
        <v>5240</v>
      </c>
      <c r="I4396">
        <v>3</v>
      </c>
      <c r="K4396" s="57">
        <v>1</v>
      </c>
      <c r="L4396" t="s">
        <v>3959</v>
      </c>
      <c r="M4396" t="s">
        <v>3959</v>
      </c>
      <c r="N4396" t="s">
        <v>3959</v>
      </c>
      <c r="O4396" t="s">
        <v>3959</v>
      </c>
      <c r="P4396" s="57">
        <v>1</v>
      </c>
      <c r="Q4396" s="57">
        <v>0</v>
      </c>
      <c r="R4396" s="57">
        <v>0</v>
      </c>
      <c r="S4396" s="57">
        <v>0</v>
      </c>
      <c r="T4396" s="57">
        <v>0</v>
      </c>
      <c r="U4396" s="57">
        <v>0</v>
      </c>
      <c r="V4396" s="57">
        <v>0</v>
      </c>
      <c r="W4396" s="57">
        <v>0</v>
      </c>
      <c r="X4396" s="57">
        <v>0</v>
      </c>
    </row>
    <row r="4397" spans="1:24" hidden="1" x14ac:dyDescent="0.35">
      <c r="A4397">
        <v>4393</v>
      </c>
      <c r="B4397">
        <v>4394</v>
      </c>
      <c r="C4397">
        <v>146.07795043600001</v>
      </c>
      <c r="D4397">
        <v>-17.638343435900001</v>
      </c>
      <c r="F4397" t="str">
        <f>HYPERLINK("D:\Data From Lucan\2024\Moresby\Frames_for_Analysis/4394_20240611_0005_L_0441.jpg","4394_20240611_0005_L_0441.jpg")</f>
        <v>4394_20240611_0005_L_0441.jpg</v>
      </c>
      <c r="G4397" s="92" t="s">
        <v>5241</v>
      </c>
      <c r="I4397">
        <v>3</v>
      </c>
      <c r="K4397" s="57">
        <v>1</v>
      </c>
      <c r="L4397" t="s">
        <v>3959</v>
      </c>
      <c r="M4397" t="s">
        <v>3959</v>
      </c>
      <c r="N4397" t="s">
        <v>3959</v>
      </c>
      <c r="O4397" t="s">
        <v>3959</v>
      </c>
      <c r="P4397" s="57">
        <v>1</v>
      </c>
      <c r="Q4397" s="57">
        <v>0</v>
      </c>
      <c r="R4397" s="57">
        <v>0</v>
      </c>
      <c r="S4397" s="57">
        <v>0</v>
      </c>
      <c r="T4397" s="57">
        <v>0</v>
      </c>
      <c r="U4397" s="57">
        <v>0</v>
      </c>
      <c r="V4397" s="57">
        <v>0</v>
      </c>
      <c r="W4397" s="57">
        <v>0</v>
      </c>
      <c r="X4397" s="57">
        <v>0</v>
      </c>
    </row>
    <row r="4398" spans="1:24" hidden="1" x14ac:dyDescent="0.35">
      <c r="A4398">
        <v>4394</v>
      </c>
      <c r="B4398">
        <v>4395</v>
      </c>
      <c r="C4398">
        <v>146.07786379199899</v>
      </c>
      <c r="D4398">
        <v>-17.638366038000001</v>
      </c>
      <c r="F4398" t="str">
        <f>HYPERLINK("D:\Data From Lucan\2024\Moresby\Frames_for_Analysis/4395_20240611_0005_L_0444.jpg","4395_20240611_0005_L_0444.jpg")</f>
        <v>4395_20240611_0005_L_0444.jpg</v>
      </c>
      <c r="G4398" s="92" t="s">
        <v>5242</v>
      </c>
      <c r="I4398">
        <v>3</v>
      </c>
      <c r="K4398" s="57">
        <v>1</v>
      </c>
      <c r="L4398" t="s">
        <v>3959</v>
      </c>
      <c r="M4398" t="s">
        <v>3959</v>
      </c>
      <c r="N4398" t="s">
        <v>3959</v>
      </c>
      <c r="O4398" t="s">
        <v>3959</v>
      </c>
      <c r="P4398" s="57">
        <v>1</v>
      </c>
      <c r="Q4398" s="57">
        <v>0</v>
      </c>
      <c r="R4398" s="57">
        <v>0</v>
      </c>
      <c r="S4398" s="57">
        <v>0</v>
      </c>
      <c r="T4398" s="57">
        <v>0</v>
      </c>
      <c r="U4398" s="57">
        <v>0</v>
      </c>
      <c r="V4398" s="57">
        <v>0</v>
      </c>
      <c r="W4398" s="57">
        <v>0</v>
      </c>
      <c r="X4398" s="57">
        <v>0</v>
      </c>
    </row>
    <row r="4399" spans="1:24" hidden="1" x14ac:dyDescent="0.35">
      <c r="A4399">
        <v>4395</v>
      </c>
      <c r="B4399">
        <v>4396</v>
      </c>
      <c r="C4399">
        <v>146.077777147999</v>
      </c>
      <c r="D4399">
        <v>-17.638388639999899</v>
      </c>
      <c r="F4399" t="str">
        <f>HYPERLINK("D:\Data From Lucan\2024\Moresby\Frames_for_Analysis/4396_20240611_0005_L_0447.jpg","4396_20240611_0005_L_0447.jpg")</f>
        <v>4396_20240611_0005_L_0447.jpg</v>
      </c>
      <c r="G4399" s="92" t="s">
        <v>5243</v>
      </c>
      <c r="I4399">
        <v>3</v>
      </c>
      <c r="K4399" s="57">
        <v>1</v>
      </c>
      <c r="L4399" t="s">
        <v>3959</v>
      </c>
      <c r="M4399" t="s">
        <v>3959</v>
      </c>
      <c r="N4399" t="s">
        <v>3959</v>
      </c>
      <c r="O4399" t="s">
        <v>3959</v>
      </c>
      <c r="P4399" s="57">
        <v>1</v>
      </c>
      <c r="Q4399" s="57">
        <v>0</v>
      </c>
      <c r="R4399" s="57">
        <v>0</v>
      </c>
      <c r="S4399" s="57">
        <v>0</v>
      </c>
      <c r="T4399" s="57">
        <v>0</v>
      </c>
      <c r="U4399" s="57">
        <v>0</v>
      </c>
      <c r="V4399" s="57">
        <v>0</v>
      </c>
      <c r="W4399" s="57">
        <v>0</v>
      </c>
      <c r="X4399" s="57">
        <v>0</v>
      </c>
    </row>
    <row r="4400" spans="1:24" hidden="1" x14ac:dyDescent="0.35">
      <c r="A4400">
        <v>4396</v>
      </c>
      <c r="B4400">
        <v>4397</v>
      </c>
      <c r="C4400">
        <v>146.07769050300001</v>
      </c>
      <c r="D4400">
        <v>-17.638411242099899</v>
      </c>
      <c r="F4400" t="str">
        <f>HYPERLINK("D:\Data From Lucan\2024\Moresby\Frames_for_Analysis/4397_20240611_0005_L_0449.jpg","4397_20240611_0005_L_0449.jpg")</f>
        <v>4397_20240611_0005_L_0449.jpg</v>
      </c>
      <c r="G4400" s="92" t="s">
        <v>5244</v>
      </c>
      <c r="I4400">
        <v>3</v>
      </c>
      <c r="K4400" s="57">
        <v>1</v>
      </c>
      <c r="L4400" t="s">
        <v>3959</v>
      </c>
      <c r="M4400" t="s">
        <v>3959</v>
      </c>
      <c r="N4400" t="s">
        <v>3959</v>
      </c>
      <c r="O4400" t="s">
        <v>3959</v>
      </c>
      <c r="P4400" s="57">
        <v>1</v>
      </c>
      <c r="Q4400" s="57">
        <v>0</v>
      </c>
      <c r="R4400" s="57">
        <v>0</v>
      </c>
      <c r="S4400" s="57">
        <v>0</v>
      </c>
      <c r="T4400" s="57">
        <v>0</v>
      </c>
      <c r="U4400" s="57">
        <v>0</v>
      </c>
      <c r="V4400" s="57">
        <v>0</v>
      </c>
      <c r="W4400" s="57">
        <v>0</v>
      </c>
      <c r="X4400" s="57">
        <v>0</v>
      </c>
    </row>
    <row r="4401" spans="1:24" hidden="1" x14ac:dyDescent="0.35">
      <c r="A4401">
        <v>4397</v>
      </c>
      <c r="B4401">
        <v>4398</v>
      </c>
      <c r="C4401">
        <v>146.077603858999</v>
      </c>
      <c r="D4401">
        <v>-17.638433844200001</v>
      </c>
      <c r="F4401" t="str">
        <f>HYPERLINK("D:\Data From Lucan\2024\Moresby\Frames_for_Analysis/4398_20240611_0005_L_0452.jpg","4398_20240611_0005_L_0452.jpg")</f>
        <v>4398_20240611_0005_L_0452.jpg</v>
      </c>
      <c r="G4401" s="92" t="s">
        <v>5245</v>
      </c>
      <c r="I4401">
        <v>3</v>
      </c>
      <c r="K4401" s="57">
        <v>1</v>
      </c>
      <c r="L4401" t="s">
        <v>3959</v>
      </c>
      <c r="M4401" t="s">
        <v>3959</v>
      </c>
      <c r="N4401" t="s">
        <v>3959</v>
      </c>
      <c r="O4401" t="s">
        <v>3959</v>
      </c>
      <c r="P4401" s="57">
        <v>1</v>
      </c>
      <c r="Q4401" s="57">
        <v>0</v>
      </c>
      <c r="R4401" s="57">
        <v>0</v>
      </c>
      <c r="S4401" s="57">
        <v>0</v>
      </c>
      <c r="T4401" s="57">
        <v>0</v>
      </c>
      <c r="U4401" s="57">
        <v>0</v>
      </c>
      <c r="V4401" s="57">
        <v>0</v>
      </c>
      <c r="W4401" s="57">
        <v>0</v>
      </c>
      <c r="X4401" s="57">
        <v>0</v>
      </c>
    </row>
    <row r="4402" spans="1:24" hidden="1" x14ac:dyDescent="0.35">
      <c r="A4402">
        <v>4398</v>
      </c>
      <c r="B4402">
        <v>4399</v>
      </c>
      <c r="C4402">
        <v>146.077517215</v>
      </c>
      <c r="D4402">
        <v>-17.638456446300001</v>
      </c>
      <c r="F4402" t="str">
        <f>HYPERLINK("D:\Data From Lucan\2024\Moresby\Frames_for_Analysis/4399_20240611_0005_L_0455.jpg","4399_20240611_0005_L_0455.jpg")</f>
        <v>4399_20240611_0005_L_0455.jpg</v>
      </c>
      <c r="G4402" s="92" t="s">
        <v>5246</v>
      </c>
      <c r="I4402">
        <v>3</v>
      </c>
      <c r="K4402" s="57">
        <v>1</v>
      </c>
      <c r="L4402" t="s">
        <v>3959</v>
      </c>
      <c r="M4402" t="s">
        <v>3959</v>
      </c>
      <c r="N4402" t="s">
        <v>3959</v>
      </c>
      <c r="O4402" t="s">
        <v>3959</v>
      </c>
      <c r="P4402" s="57">
        <v>1</v>
      </c>
      <c r="Q4402" s="57">
        <v>0</v>
      </c>
      <c r="R4402" s="57">
        <v>0</v>
      </c>
      <c r="S4402" s="57">
        <v>0</v>
      </c>
      <c r="T4402" s="57">
        <v>0</v>
      </c>
      <c r="U4402" s="57">
        <v>0</v>
      </c>
      <c r="V4402" s="57">
        <v>0</v>
      </c>
      <c r="W4402" s="57">
        <v>0</v>
      </c>
      <c r="X4402" s="57">
        <v>0</v>
      </c>
    </row>
    <row r="4403" spans="1:24" hidden="1" x14ac:dyDescent="0.35">
      <c r="A4403">
        <v>4399</v>
      </c>
      <c r="B4403">
        <v>4400</v>
      </c>
      <c r="C4403">
        <v>146.07743057100001</v>
      </c>
      <c r="D4403">
        <v>-17.638479048299899</v>
      </c>
      <c r="F4403" t="str">
        <f>HYPERLINK("D:\Data From Lucan\2024\Moresby\Frames_for_Analysis/4400_20240611_0005_L_0458.jpg","4400_20240611_0005_L_0458.jpg")</f>
        <v>4400_20240611_0005_L_0458.jpg</v>
      </c>
      <c r="G4403" s="92" t="s">
        <v>5247</v>
      </c>
      <c r="I4403">
        <v>3</v>
      </c>
      <c r="K4403" s="57">
        <v>1</v>
      </c>
      <c r="L4403" t="s">
        <v>3959</v>
      </c>
      <c r="M4403" t="s">
        <v>3959</v>
      </c>
      <c r="N4403" t="s">
        <v>3959</v>
      </c>
      <c r="O4403" t="s">
        <v>3959</v>
      </c>
      <c r="P4403" s="57">
        <v>1</v>
      </c>
      <c r="Q4403" s="57">
        <v>0</v>
      </c>
      <c r="R4403" s="57">
        <v>0</v>
      </c>
      <c r="S4403" s="57">
        <v>0</v>
      </c>
      <c r="T4403" s="57">
        <v>0</v>
      </c>
      <c r="U4403" s="57">
        <v>0</v>
      </c>
      <c r="V4403" s="57">
        <v>0</v>
      </c>
      <c r="W4403" s="57">
        <v>0</v>
      </c>
      <c r="X4403" s="57">
        <v>0</v>
      </c>
    </row>
    <row r="4404" spans="1:24" hidden="1" x14ac:dyDescent="0.35">
      <c r="A4404">
        <v>4400</v>
      </c>
      <c r="B4404">
        <v>4401</v>
      </c>
      <c r="C4404">
        <v>146.07734392699899</v>
      </c>
      <c r="D4404">
        <v>-17.638501650399899</v>
      </c>
      <c r="F4404" t="str">
        <f>HYPERLINK("D:\Data From Lucan\2024\Moresby\Frames_for_Analysis/4401_20240611_0005_L_0461.jpg","4401_20240611_0005_L_0461.jpg")</f>
        <v>4401_20240611_0005_L_0461.jpg</v>
      </c>
      <c r="G4404" s="92" t="s">
        <v>5248</v>
      </c>
      <c r="I4404">
        <v>3</v>
      </c>
      <c r="K4404" s="57">
        <v>1</v>
      </c>
      <c r="L4404" t="s">
        <v>3959</v>
      </c>
      <c r="M4404" t="s">
        <v>3959</v>
      </c>
      <c r="N4404" t="s">
        <v>3959</v>
      </c>
      <c r="O4404" t="s">
        <v>3959</v>
      </c>
      <c r="P4404" s="57">
        <v>1</v>
      </c>
      <c r="Q4404" s="57">
        <v>0</v>
      </c>
      <c r="R4404" s="57">
        <v>0</v>
      </c>
      <c r="S4404" s="57">
        <v>0</v>
      </c>
      <c r="T4404" s="57">
        <v>0</v>
      </c>
      <c r="U4404" s="57">
        <v>0</v>
      </c>
      <c r="V4404" s="57">
        <v>0</v>
      </c>
      <c r="W4404" s="57">
        <v>0</v>
      </c>
      <c r="X4404" s="57">
        <v>0</v>
      </c>
    </row>
    <row r="4405" spans="1:24" hidden="1" x14ac:dyDescent="0.35">
      <c r="A4405">
        <v>4401</v>
      </c>
      <c r="B4405">
        <v>4402</v>
      </c>
      <c r="C4405">
        <v>146.07726167800001</v>
      </c>
      <c r="D4405">
        <v>-17.638535696800002</v>
      </c>
      <c r="F4405" t="str">
        <f>HYPERLINK("D:\Data From Lucan\2024\Moresby\Frames_for_Analysis/4402_20240611_0005_L_0464.jpg","4402_20240611_0005_L_0464.jpg")</f>
        <v>4402_20240611_0005_L_0464.jpg</v>
      </c>
      <c r="G4405" s="92" t="s">
        <v>5249</v>
      </c>
      <c r="I4405">
        <v>3</v>
      </c>
      <c r="K4405" s="57">
        <v>1</v>
      </c>
      <c r="L4405" t="s">
        <v>3959</v>
      </c>
      <c r="M4405" t="s">
        <v>3959</v>
      </c>
      <c r="N4405" t="s">
        <v>3959</v>
      </c>
      <c r="O4405" t="s">
        <v>3959</v>
      </c>
      <c r="P4405" s="57">
        <v>1</v>
      </c>
      <c r="Q4405" s="57">
        <v>0</v>
      </c>
      <c r="R4405" s="57">
        <v>0</v>
      </c>
      <c r="S4405" s="57">
        <v>0</v>
      </c>
      <c r="T4405" s="57">
        <v>0</v>
      </c>
      <c r="U4405" s="57">
        <v>0</v>
      </c>
      <c r="V4405" s="57">
        <v>0</v>
      </c>
      <c r="W4405" s="57">
        <v>0</v>
      </c>
      <c r="X4405" s="57">
        <v>0</v>
      </c>
    </row>
    <row r="4406" spans="1:24" hidden="1" x14ac:dyDescent="0.35">
      <c r="A4406">
        <v>4402</v>
      </c>
      <c r="B4406">
        <v>4403</v>
      </c>
      <c r="C4406">
        <v>146.077180196999</v>
      </c>
      <c r="D4406">
        <v>-17.638571740700002</v>
      </c>
      <c r="F4406" t="str">
        <f>HYPERLINK("D:\Data From Lucan\2024\Moresby\Frames_for_Analysis/4403_20240611_0005_L_0468.jpg","4403_20240611_0005_L_0468.jpg")</f>
        <v>4403_20240611_0005_L_0468.jpg</v>
      </c>
      <c r="G4406" s="92" t="s">
        <v>5250</v>
      </c>
      <c r="I4406">
        <v>3</v>
      </c>
      <c r="K4406" s="57">
        <v>1</v>
      </c>
      <c r="L4406" t="s">
        <v>3959</v>
      </c>
      <c r="M4406" t="s">
        <v>3959</v>
      </c>
      <c r="N4406" t="s">
        <v>3959</v>
      </c>
      <c r="O4406" t="s">
        <v>3959</v>
      </c>
      <c r="P4406" s="57">
        <v>1</v>
      </c>
      <c r="Q4406" s="57">
        <v>0</v>
      </c>
      <c r="R4406" s="57">
        <v>0</v>
      </c>
      <c r="S4406" s="57">
        <v>0</v>
      </c>
      <c r="T4406" s="57">
        <v>0</v>
      </c>
      <c r="U4406" s="57">
        <v>0</v>
      </c>
      <c r="V4406" s="57">
        <v>0</v>
      </c>
      <c r="W4406" s="57">
        <v>0</v>
      </c>
      <c r="X4406" s="57">
        <v>0</v>
      </c>
    </row>
    <row r="4407" spans="1:24" hidden="1" x14ac:dyDescent="0.35">
      <c r="A4407">
        <v>4403</v>
      </c>
      <c r="B4407">
        <v>4404</v>
      </c>
      <c r="C4407">
        <v>146.077098715999</v>
      </c>
      <c r="D4407">
        <v>-17.638607784600001</v>
      </c>
      <c r="F4407" t="str">
        <f>HYPERLINK("D:\Data From Lucan\2024\Moresby\Frames_for_Analysis/4404_20240611_0005_L_0471.jpg","4404_20240611_0005_L_0471.jpg")</f>
        <v>4404_20240611_0005_L_0471.jpg</v>
      </c>
      <c r="G4407" s="92" t="s">
        <v>5251</v>
      </c>
      <c r="I4407">
        <v>3</v>
      </c>
      <c r="K4407" s="57">
        <v>1</v>
      </c>
      <c r="L4407" t="s">
        <v>3959</v>
      </c>
      <c r="M4407" t="s">
        <v>3959</v>
      </c>
      <c r="N4407" t="s">
        <v>3959</v>
      </c>
      <c r="O4407" t="s">
        <v>3959</v>
      </c>
      <c r="P4407" s="57">
        <v>1</v>
      </c>
      <c r="Q4407" s="57">
        <v>0</v>
      </c>
      <c r="R4407" s="57">
        <v>0</v>
      </c>
      <c r="S4407" s="57">
        <v>0</v>
      </c>
      <c r="T4407" s="57">
        <v>0</v>
      </c>
      <c r="U4407" s="57">
        <v>0</v>
      </c>
      <c r="V4407" s="57">
        <v>0</v>
      </c>
      <c r="W4407" s="57">
        <v>0</v>
      </c>
      <c r="X4407" s="57">
        <v>0</v>
      </c>
    </row>
    <row r="4408" spans="1:24" hidden="1" x14ac:dyDescent="0.35">
      <c r="A4408">
        <v>4404</v>
      </c>
      <c r="B4408">
        <v>4405</v>
      </c>
      <c r="C4408">
        <v>146.077017235</v>
      </c>
      <c r="D4408">
        <v>-17.638643828500001</v>
      </c>
      <c r="F4408" t="str">
        <f>HYPERLINK("D:\Data From Lucan\2024\Moresby\Frames_for_Analysis/4405_20240611_0005_L_0473.jpg","4405_20240611_0005_L_0473.jpg")</f>
        <v>4405_20240611_0005_L_0473.jpg</v>
      </c>
      <c r="G4408" s="92" t="s">
        <v>5252</v>
      </c>
      <c r="I4408">
        <v>3</v>
      </c>
      <c r="K4408" s="57">
        <v>1</v>
      </c>
      <c r="L4408" t="s">
        <v>3959</v>
      </c>
      <c r="M4408" t="s">
        <v>3959</v>
      </c>
      <c r="N4408" t="s">
        <v>3959</v>
      </c>
      <c r="O4408" t="s">
        <v>3959</v>
      </c>
      <c r="P4408" s="57">
        <v>1</v>
      </c>
      <c r="Q4408" s="57">
        <v>0</v>
      </c>
      <c r="R4408" s="57">
        <v>0</v>
      </c>
      <c r="S4408" s="57">
        <v>0</v>
      </c>
      <c r="T4408" s="57">
        <v>0</v>
      </c>
      <c r="U4408" s="57">
        <v>0</v>
      </c>
      <c r="V4408" s="57">
        <v>0</v>
      </c>
      <c r="W4408" s="57">
        <v>0</v>
      </c>
      <c r="X4408" s="57">
        <v>0</v>
      </c>
    </row>
    <row r="4409" spans="1:24" hidden="1" x14ac:dyDescent="0.35">
      <c r="A4409">
        <v>4405</v>
      </c>
      <c r="B4409">
        <v>4406</v>
      </c>
      <c r="C4409">
        <v>146.07693575299899</v>
      </c>
      <c r="D4409">
        <v>-17.638679872400001</v>
      </c>
      <c r="F4409" t="str">
        <f>HYPERLINK("D:\Data From Lucan\2024\Moresby\Frames_for_Analysis/4406_20240611_0005_L_0476.jpg","4406_20240611_0005_L_0476.jpg")</f>
        <v>4406_20240611_0005_L_0476.jpg</v>
      </c>
      <c r="G4409" s="92" t="s">
        <v>5253</v>
      </c>
      <c r="I4409">
        <v>3</v>
      </c>
      <c r="K4409" s="57">
        <v>1</v>
      </c>
      <c r="L4409" t="s">
        <v>3959</v>
      </c>
      <c r="M4409" t="s">
        <v>3959</v>
      </c>
      <c r="N4409" t="s">
        <v>3959</v>
      </c>
      <c r="O4409" t="s">
        <v>3959</v>
      </c>
      <c r="P4409" s="57">
        <v>1</v>
      </c>
      <c r="Q4409" s="57">
        <v>0</v>
      </c>
      <c r="R4409" s="57">
        <v>0</v>
      </c>
      <c r="S4409" s="57">
        <v>0</v>
      </c>
      <c r="T4409" s="57">
        <v>0</v>
      </c>
      <c r="U4409" s="57">
        <v>0</v>
      </c>
      <c r="V4409" s="57">
        <v>0</v>
      </c>
      <c r="W4409" s="57">
        <v>0</v>
      </c>
      <c r="X4409" s="57">
        <v>0</v>
      </c>
    </row>
    <row r="4410" spans="1:24" hidden="1" x14ac:dyDescent="0.35">
      <c r="A4410">
        <v>4406</v>
      </c>
      <c r="B4410">
        <v>4407</v>
      </c>
      <c r="C4410">
        <v>146.076854271999</v>
      </c>
      <c r="D4410">
        <v>-17.638715916300001</v>
      </c>
      <c r="F4410" t="str">
        <f>HYPERLINK("D:\Data From Lucan\2024\Moresby\Frames_for_Analysis/4407_20240611_0005_L_0480.jpg","4407_20240611_0005_L_0480.jpg")</f>
        <v>4407_20240611_0005_L_0480.jpg</v>
      </c>
      <c r="G4410" s="92" t="s">
        <v>5254</v>
      </c>
      <c r="I4410">
        <v>4</v>
      </c>
      <c r="K4410" s="57">
        <v>1</v>
      </c>
      <c r="L4410" t="s">
        <v>3959</v>
      </c>
      <c r="M4410" t="s">
        <v>3959</v>
      </c>
      <c r="N4410" t="s">
        <v>3959</v>
      </c>
      <c r="O4410" t="s">
        <v>3959</v>
      </c>
      <c r="P4410" s="57">
        <v>1</v>
      </c>
      <c r="Q4410" s="57">
        <v>0</v>
      </c>
      <c r="R4410" s="57">
        <v>0</v>
      </c>
      <c r="S4410" s="57">
        <v>0</v>
      </c>
      <c r="T4410" s="57">
        <v>0</v>
      </c>
      <c r="U4410" s="57">
        <v>0</v>
      </c>
      <c r="V4410" s="57">
        <v>0</v>
      </c>
      <c r="W4410" s="57">
        <v>0</v>
      </c>
      <c r="X4410" s="57">
        <v>0</v>
      </c>
    </row>
    <row r="4411" spans="1:24" hidden="1" x14ac:dyDescent="0.35">
      <c r="A4411">
        <v>4407</v>
      </c>
      <c r="B4411">
        <v>4408</v>
      </c>
      <c r="C4411">
        <v>146.076772790999</v>
      </c>
      <c r="D4411">
        <v>-17.6387519602</v>
      </c>
      <c r="F4411" t="str">
        <f>HYPERLINK("D:\Data From Lucan\2024\Moresby\Frames_for_Analysis/4408_20240611_0005_L_0482.jpg","4408_20240611_0005_L_0482.jpg")</f>
        <v>4408_20240611_0005_L_0482.jpg</v>
      </c>
      <c r="G4411" s="92" t="s">
        <v>5255</v>
      </c>
      <c r="I4411">
        <v>4</v>
      </c>
      <c r="K4411" s="57">
        <v>1</v>
      </c>
      <c r="L4411" t="s">
        <v>3959</v>
      </c>
      <c r="M4411" t="s">
        <v>3959</v>
      </c>
      <c r="N4411" t="s">
        <v>3959</v>
      </c>
      <c r="O4411" t="s">
        <v>3959</v>
      </c>
      <c r="P4411" s="57">
        <v>1</v>
      </c>
      <c r="Q4411" s="57">
        <v>0</v>
      </c>
      <c r="R4411" s="57">
        <v>0</v>
      </c>
      <c r="S4411" s="57">
        <v>0</v>
      </c>
      <c r="T4411" s="57">
        <v>0</v>
      </c>
      <c r="U4411" s="57">
        <v>0</v>
      </c>
      <c r="V4411" s="57">
        <v>0</v>
      </c>
      <c r="W4411" s="57">
        <v>0</v>
      </c>
      <c r="X4411" s="57">
        <v>0</v>
      </c>
    </row>
    <row r="4412" spans="1:24" hidden="1" x14ac:dyDescent="0.35">
      <c r="A4412">
        <v>4408</v>
      </c>
      <c r="B4412">
        <v>4409</v>
      </c>
      <c r="C4412">
        <v>146.076693304</v>
      </c>
      <c r="D4412">
        <v>-17.638791647800002</v>
      </c>
      <c r="F4412" t="str">
        <f>HYPERLINK("D:\Data From Lucan\2024\Moresby\Frames_for_Analysis/4409_20240611_0005_L_0485.jpg","4409_20240611_0005_L_0485.jpg")</f>
        <v>4409_20240611_0005_L_0485.jpg</v>
      </c>
      <c r="G4412" s="92" t="s">
        <v>5256</v>
      </c>
      <c r="I4412">
        <v>4</v>
      </c>
      <c r="K4412" s="57">
        <v>1</v>
      </c>
      <c r="L4412" t="s">
        <v>3959</v>
      </c>
      <c r="M4412" t="s">
        <v>3959</v>
      </c>
      <c r="N4412" t="s">
        <v>3959</v>
      </c>
      <c r="O4412" t="s">
        <v>3959</v>
      </c>
      <c r="P4412" s="57">
        <v>1</v>
      </c>
      <c r="Q4412" s="57">
        <v>0</v>
      </c>
      <c r="R4412" s="57">
        <v>0</v>
      </c>
      <c r="S4412" s="57">
        <v>0</v>
      </c>
      <c r="T4412" s="57">
        <v>0</v>
      </c>
      <c r="U4412" s="57">
        <v>0</v>
      </c>
      <c r="V4412" s="57">
        <v>0</v>
      </c>
      <c r="W4412" s="57">
        <v>0</v>
      </c>
      <c r="X4412" s="57">
        <v>0</v>
      </c>
    </row>
    <row r="4413" spans="1:24" hidden="1" x14ac:dyDescent="0.35">
      <c r="A4413">
        <v>4409</v>
      </c>
      <c r="B4413">
        <v>4410</v>
      </c>
      <c r="C4413">
        <v>146.07661567100001</v>
      </c>
      <c r="D4413">
        <v>-17.6388347199</v>
      </c>
      <c r="F4413" t="str">
        <f>HYPERLINK("D:\Data From Lucan\2024\Moresby\Frames_for_Analysis/4410_20240611_0005_L_0488.jpg","4410_20240611_0005_L_0488.jpg")</f>
        <v>4410_20240611_0005_L_0488.jpg</v>
      </c>
      <c r="G4413" s="92" t="s">
        <v>5257</v>
      </c>
      <c r="I4413">
        <v>4</v>
      </c>
      <c r="K4413" s="57">
        <v>1</v>
      </c>
      <c r="L4413" t="s">
        <v>3959</v>
      </c>
      <c r="M4413" t="s">
        <v>3959</v>
      </c>
      <c r="N4413" t="s">
        <v>3959</v>
      </c>
      <c r="O4413" t="s">
        <v>3959</v>
      </c>
      <c r="P4413" s="57">
        <v>1</v>
      </c>
      <c r="Q4413" s="57">
        <v>0</v>
      </c>
      <c r="R4413" s="57">
        <v>0</v>
      </c>
      <c r="S4413" s="57">
        <v>0</v>
      </c>
      <c r="T4413" s="57">
        <v>0</v>
      </c>
      <c r="U4413" s="57">
        <v>0</v>
      </c>
      <c r="V4413" s="57">
        <v>0</v>
      </c>
      <c r="W4413" s="57">
        <v>0</v>
      </c>
      <c r="X4413" s="57">
        <v>0</v>
      </c>
    </row>
    <row r="4414" spans="1:24" hidden="1" x14ac:dyDescent="0.35">
      <c r="A4414">
        <v>4410</v>
      </c>
      <c r="B4414">
        <v>4411</v>
      </c>
      <c r="C4414">
        <v>146.076538037999</v>
      </c>
      <c r="D4414">
        <v>-17.638877791900001</v>
      </c>
      <c r="F4414" t="str">
        <f>HYPERLINK("D:\Data From Lucan\2024\Moresby\Frames_for_Analysis/4411_20240611_0005_L_0491.jpg","4411_20240611_0005_L_0491.jpg")</f>
        <v>4411_20240611_0005_L_0491.jpg</v>
      </c>
      <c r="G4414" s="92" t="s">
        <v>5258</v>
      </c>
      <c r="I4414">
        <v>4</v>
      </c>
      <c r="K4414" s="57">
        <v>1</v>
      </c>
      <c r="L4414" t="s">
        <v>3959</v>
      </c>
      <c r="M4414" t="s">
        <v>3959</v>
      </c>
      <c r="N4414" t="s">
        <v>3959</v>
      </c>
      <c r="O4414" t="s">
        <v>3959</v>
      </c>
      <c r="P4414" s="57">
        <v>1</v>
      </c>
      <c r="Q4414" s="57">
        <v>0</v>
      </c>
      <c r="R4414" s="57">
        <v>0</v>
      </c>
      <c r="S4414" s="57">
        <v>0</v>
      </c>
      <c r="T4414" s="57">
        <v>0</v>
      </c>
      <c r="U4414" s="57">
        <v>0</v>
      </c>
      <c r="V4414" s="57">
        <v>0</v>
      </c>
      <c r="W4414" s="57">
        <v>0</v>
      </c>
      <c r="X4414" s="57">
        <v>0</v>
      </c>
    </row>
    <row r="4415" spans="1:24" hidden="1" x14ac:dyDescent="0.35">
      <c r="A4415">
        <v>4411</v>
      </c>
      <c r="B4415">
        <v>4412</v>
      </c>
      <c r="C4415">
        <v>146.07646040399899</v>
      </c>
      <c r="D4415">
        <v>-17.638920863900001</v>
      </c>
      <c r="F4415" t="str">
        <f>HYPERLINK("D:\Data From Lucan\2024\Moresby\Frames_for_Analysis/4412_20240611_0005_L_0494.jpg","4412_20240611_0005_L_0494.jpg")</f>
        <v>4412_20240611_0005_L_0494.jpg</v>
      </c>
      <c r="G4415" s="92" t="s">
        <v>5259</v>
      </c>
      <c r="I4415">
        <v>4</v>
      </c>
      <c r="K4415" s="57">
        <v>1</v>
      </c>
      <c r="L4415" t="s">
        <v>3959</v>
      </c>
      <c r="M4415" t="s">
        <v>3959</v>
      </c>
      <c r="N4415" t="s">
        <v>3959</v>
      </c>
      <c r="O4415" t="s">
        <v>3959</v>
      </c>
      <c r="P4415" s="57">
        <v>1</v>
      </c>
      <c r="Q4415" s="57">
        <v>0</v>
      </c>
      <c r="R4415" s="57">
        <v>0</v>
      </c>
      <c r="S4415" s="57">
        <v>0</v>
      </c>
      <c r="T4415" s="57">
        <v>0</v>
      </c>
      <c r="U4415" s="57">
        <v>0</v>
      </c>
      <c r="V4415" s="57">
        <v>0</v>
      </c>
      <c r="W4415" s="57">
        <v>0</v>
      </c>
      <c r="X4415" s="57">
        <v>0</v>
      </c>
    </row>
    <row r="4416" spans="1:24" hidden="1" x14ac:dyDescent="0.35">
      <c r="A4416">
        <v>4412</v>
      </c>
      <c r="B4416">
        <v>4413</v>
      </c>
      <c r="C4416">
        <v>146.076382770999</v>
      </c>
      <c r="D4416">
        <v>-17.638963935900001</v>
      </c>
      <c r="F4416" t="str">
        <f>HYPERLINK("D:\Data From Lucan\2024\Moresby\Frames_for_Analysis/4413_20240611_0005_L_0497.jpg","4413_20240611_0005_L_0497.jpg")</f>
        <v>4413_20240611_0005_L_0497.jpg</v>
      </c>
      <c r="G4416" s="92" t="s">
        <v>5260</v>
      </c>
      <c r="I4416">
        <v>4</v>
      </c>
      <c r="K4416" s="57">
        <v>1</v>
      </c>
      <c r="L4416" t="s">
        <v>3959</v>
      </c>
      <c r="M4416" t="s">
        <v>3959</v>
      </c>
      <c r="N4416" t="s">
        <v>3959</v>
      </c>
      <c r="O4416" t="s">
        <v>3959</v>
      </c>
      <c r="P4416" s="57">
        <v>1</v>
      </c>
      <c r="Q4416" s="57">
        <v>0</v>
      </c>
      <c r="R4416" s="57">
        <v>0</v>
      </c>
      <c r="S4416" s="57">
        <v>0</v>
      </c>
      <c r="T4416" s="57">
        <v>0</v>
      </c>
      <c r="U4416" s="57">
        <v>0</v>
      </c>
      <c r="V4416" s="57">
        <v>0</v>
      </c>
      <c r="W4416" s="57">
        <v>0</v>
      </c>
      <c r="X4416" s="57">
        <v>0</v>
      </c>
    </row>
    <row r="4417" spans="1:24" hidden="1" x14ac:dyDescent="0.35">
      <c r="A4417">
        <v>4413</v>
      </c>
      <c r="B4417">
        <v>4414</v>
      </c>
      <c r="C4417">
        <v>146.07630513800001</v>
      </c>
      <c r="D4417">
        <v>-17.639007008</v>
      </c>
      <c r="F4417" t="str">
        <f>HYPERLINK("D:\Data From Lucan\2024\Moresby\Frames_for_Analysis/4414_20240611_0005_L_0500.jpg","4414_20240611_0005_L_0500.jpg")</f>
        <v>4414_20240611_0005_L_0500.jpg</v>
      </c>
      <c r="G4417" s="92" t="s">
        <v>5261</v>
      </c>
      <c r="I4417">
        <v>4</v>
      </c>
      <c r="K4417" s="57">
        <v>1</v>
      </c>
      <c r="L4417" t="s">
        <v>3959</v>
      </c>
      <c r="M4417" t="s">
        <v>3959</v>
      </c>
      <c r="N4417" t="s">
        <v>3959</v>
      </c>
      <c r="O4417" t="s">
        <v>3959</v>
      </c>
      <c r="P4417" s="57">
        <v>1</v>
      </c>
      <c r="Q4417" s="57">
        <v>0</v>
      </c>
      <c r="R4417" s="57">
        <v>0</v>
      </c>
      <c r="S4417" s="57">
        <v>0</v>
      </c>
      <c r="T4417" s="57">
        <v>0</v>
      </c>
      <c r="U4417" s="57">
        <v>0</v>
      </c>
      <c r="V4417" s="57">
        <v>0</v>
      </c>
      <c r="W4417" s="57">
        <v>0</v>
      </c>
      <c r="X4417" s="57">
        <v>0</v>
      </c>
    </row>
    <row r="4418" spans="1:24" hidden="1" x14ac:dyDescent="0.35">
      <c r="A4418">
        <v>4414</v>
      </c>
      <c r="B4418">
        <v>4415</v>
      </c>
      <c r="C4418">
        <v>146.076227504</v>
      </c>
      <c r="D4418">
        <v>-17.639050079899899</v>
      </c>
      <c r="F4418" t="str">
        <f>HYPERLINK("D:\Data From Lucan\2024\Moresby\Frames_for_Analysis/4415_20240611_0005_L_0503.jpg","4415_20240611_0005_L_0503.jpg")</f>
        <v>4415_20240611_0005_L_0503.jpg</v>
      </c>
      <c r="G4418" s="92" t="s">
        <v>5262</v>
      </c>
      <c r="I4418">
        <v>4</v>
      </c>
      <c r="K4418" s="57">
        <v>1</v>
      </c>
      <c r="L4418" t="s">
        <v>3959</v>
      </c>
      <c r="M4418" t="s">
        <v>3959</v>
      </c>
      <c r="N4418" t="s">
        <v>3959</v>
      </c>
      <c r="O4418" t="s">
        <v>3959</v>
      </c>
      <c r="P4418" s="57">
        <v>1</v>
      </c>
      <c r="Q4418" s="57">
        <v>0</v>
      </c>
      <c r="R4418" s="57">
        <v>0</v>
      </c>
      <c r="S4418" s="57">
        <v>0</v>
      </c>
      <c r="T4418" s="57">
        <v>0</v>
      </c>
      <c r="U4418" s="57">
        <v>0</v>
      </c>
      <c r="V4418" s="57">
        <v>0</v>
      </c>
      <c r="W4418" s="57">
        <v>0</v>
      </c>
      <c r="X4418" s="57">
        <v>0</v>
      </c>
    </row>
    <row r="4419" spans="1:24" hidden="1" x14ac:dyDescent="0.35">
      <c r="A4419">
        <v>4415</v>
      </c>
      <c r="B4419">
        <v>4416</v>
      </c>
      <c r="C4419">
        <v>146.07614987100001</v>
      </c>
      <c r="D4419">
        <v>-17.6390931518999</v>
      </c>
      <c r="F4419" t="str">
        <f>HYPERLINK("D:\Data From Lucan\2024\Moresby\Frames_for_Analysis/4416_20240611_0005_L_0506.jpg","4416_20240611_0005_L_0506.jpg")</f>
        <v>4416_20240611_0005_L_0506.jpg</v>
      </c>
      <c r="G4419" s="92" t="s">
        <v>5263</v>
      </c>
      <c r="I4419">
        <v>4</v>
      </c>
      <c r="K4419" s="57">
        <v>1</v>
      </c>
      <c r="L4419" t="s">
        <v>3959</v>
      </c>
      <c r="M4419" t="s">
        <v>3959</v>
      </c>
      <c r="N4419" t="s">
        <v>3959</v>
      </c>
      <c r="O4419" t="s">
        <v>3959</v>
      </c>
      <c r="P4419" s="57">
        <v>1</v>
      </c>
      <c r="Q4419" s="57">
        <v>0</v>
      </c>
      <c r="R4419" s="57">
        <v>0</v>
      </c>
      <c r="S4419" s="57">
        <v>0</v>
      </c>
      <c r="T4419" s="57">
        <v>0</v>
      </c>
      <c r="U4419" s="57">
        <v>0</v>
      </c>
      <c r="V4419" s="57">
        <v>0</v>
      </c>
      <c r="W4419" s="57">
        <v>0</v>
      </c>
      <c r="X4419" s="57">
        <v>0</v>
      </c>
    </row>
    <row r="4420" spans="1:24" hidden="1" x14ac:dyDescent="0.35">
      <c r="A4420">
        <v>4416</v>
      </c>
      <c r="B4420">
        <v>4417</v>
      </c>
      <c r="C4420">
        <v>146.076072237999</v>
      </c>
      <c r="D4420">
        <v>-17.6391362239</v>
      </c>
      <c r="F4420" t="str">
        <f>HYPERLINK("D:\Data From Lucan\2024\Moresby\Frames_for_Analysis/4417_20240611_0005_L_0508.jpg","4417_20240611_0005_L_0508.jpg")</f>
        <v>4417_20240611_0005_L_0508.jpg</v>
      </c>
      <c r="G4420" s="92" t="s">
        <v>5264</v>
      </c>
      <c r="I4420">
        <v>4</v>
      </c>
      <c r="K4420" s="57">
        <v>1</v>
      </c>
      <c r="L4420" t="s">
        <v>3959</v>
      </c>
      <c r="M4420" t="s">
        <v>3959</v>
      </c>
      <c r="N4420" t="s">
        <v>3959</v>
      </c>
      <c r="O4420" t="s">
        <v>3959</v>
      </c>
      <c r="P4420" s="57">
        <v>1</v>
      </c>
      <c r="Q4420" s="57">
        <v>0</v>
      </c>
      <c r="R4420" s="57">
        <v>0</v>
      </c>
      <c r="S4420" s="57">
        <v>0</v>
      </c>
      <c r="T4420" s="57">
        <v>0</v>
      </c>
      <c r="U4420" s="57">
        <v>0</v>
      </c>
      <c r="V4420" s="57">
        <v>0</v>
      </c>
      <c r="W4420" s="57">
        <v>0</v>
      </c>
      <c r="X4420" s="57">
        <v>0</v>
      </c>
    </row>
    <row r="4421" spans="1:24" hidden="1" x14ac:dyDescent="0.35">
      <c r="A4421">
        <v>4417</v>
      </c>
      <c r="B4421">
        <v>4418</v>
      </c>
      <c r="C4421">
        <v>146.07599460399899</v>
      </c>
      <c r="D4421">
        <v>-17.6391792959</v>
      </c>
      <c r="F4421" t="str">
        <f>HYPERLINK("D:\Data From Lucan\2024\Moresby\Frames_for_Analysis/4418_20240611_0005_L_0512.jpg","4418_20240611_0005_L_0512.jpg")</f>
        <v>4418_20240611_0005_L_0512.jpg</v>
      </c>
      <c r="G4421" s="92" t="s">
        <v>5265</v>
      </c>
      <c r="I4421">
        <v>4</v>
      </c>
      <c r="K4421" s="57">
        <v>1</v>
      </c>
      <c r="L4421" t="s">
        <v>3959</v>
      </c>
      <c r="M4421" t="s">
        <v>3959</v>
      </c>
      <c r="N4421" t="s">
        <v>3959</v>
      </c>
      <c r="O4421" t="s">
        <v>3959</v>
      </c>
      <c r="P4421" s="57">
        <v>1</v>
      </c>
      <c r="Q4421" s="57">
        <v>0</v>
      </c>
      <c r="R4421" s="57">
        <v>0</v>
      </c>
      <c r="S4421" s="57">
        <v>0</v>
      </c>
      <c r="T4421" s="57">
        <v>0</v>
      </c>
      <c r="U4421" s="57">
        <v>0</v>
      </c>
      <c r="V4421" s="57">
        <v>0</v>
      </c>
      <c r="W4421" s="57">
        <v>0</v>
      </c>
      <c r="X4421" s="57">
        <v>0</v>
      </c>
    </row>
    <row r="4422" spans="1:24" hidden="1" x14ac:dyDescent="0.35">
      <c r="A4422">
        <v>4418</v>
      </c>
      <c r="B4422">
        <v>4419</v>
      </c>
      <c r="C4422">
        <v>146.07591558300001</v>
      </c>
      <c r="D4422">
        <v>-17.639219989000001</v>
      </c>
      <c r="F4422" t="str">
        <f>HYPERLINK("D:\Data From Lucan\2024\Moresby\Frames_for_Analysis/4419_20240611_0005_L_0515.jpg","4419_20240611_0005_L_0515.jpg")</f>
        <v>4419_20240611_0005_L_0515.jpg</v>
      </c>
      <c r="G4422" s="92" t="s">
        <v>5266</v>
      </c>
      <c r="I4422">
        <v>4</v>
      </c>
      <c r="K4422" s="57">
        <v>1</v>
      </c>
      <c r="L4422" t="s">
        <v>3959</v>
      </c>
      <c r="M4422" t="s">
        <v>3959</v>
      </c>
      <c r="N4422" t="s">
        <v>3959</v>
      </c>
      <c r="O4422" t="s">
        <v>3959</v>
      </c>
      <c r="P4422" s="57">
        <v>1</v>
      </c>
      <c r="Q4422" s="57">
        <v>0</v>
      </c>
      <c r="R4422" s="57">
        <v>0</v>
      </c>
      <c r="S4422" s="57">
        <v>0</v>
      </c>
      <c r="T4422" s="57">
        <v>0</v>
      </c>
      <c r="U4422" s="57">
        <v>0</v>
      </c>
      <c r="V4422" s="57">
        <v>0</v>
      </c>
      <c r="W4422" s="57">
        <v>0</v>
      </c>
      <c r="X4422" s="57">
        <v>0</v>
      </c>
    </row>
    <row r="4423" spans="1:24" hidden="1" x14ac:dyDescent="0.35">
      <c r="A4423">
        <v>4419</v>
      </c>
      <c r="B4423">
        <v>4420</v>
      </c>
      <c r="C4423">
        <v>146.07583622000001</v>
      </c>
      <c r="D4423">
        <v>-17.6392600962999</v>
      </c>
      <c r="F4423" t="str">
        <f>HYPERLINK("D:\Data From Lucan\2024\Moresby\Frames_for_Analysis/4420_20240611_0005_L_0517.jpg","4420_20240611_0005_L_0517.jpg")</f>
        <v>4420_20240611_0005_L_0517.jpg</v>
      </c>
      <c r="G4423" s="92" t="s">
        <v>5267</v>
      </c>
      <c r="I4423">
        <v>4</v>
      </c>
      <c r="K4423" s="57">
        <v>1</v>
      </c>
      <c r="L4423" t="s">
        <v>3959</v>
      </c>
      <c r="M4423" t="s">
        <v>3959</v>
      </c>
      <c r="N4423" t="s">
        <v>3959</v>
      </c>
      <c r="O4423" t="s">
        <v>3959</v>
      </c>
      <c r="P4423" s="57">
        <v>1</v>
      </c>
      <c r="Q4423" s="57">
        <v>0</v>
      </c>
      <c r="R4423" s="57">
        <v>0</v>
      </c>
      <c r="S4423" s="57">
        <v>0</v>
      </c>
      <c r="T4423" s="57">
        <v>0</v>
      </c>
      <c r="U4423" s="57">
        <v>0</v>
      </c>
      <c r="V4423" s="57">
        <v>0</v>
      </c>
      <c r="W4423" s="57">
        <v>0</v>
      </c>
      <c r="X4423" s="57">
        <v>0</v>
      </c>
    </row>
    <row r="4424" spans="1:24" hidden="1" x14ac:dyDescent="0.35">
      <c r="A4424">
        <v>4420</v>
      </c>
      <c r="B4424">
        <v>4421</v>
      </c>
      <c r="C4424">
        <v>146.07575685699899</v>
      </c>
      <c r="D4424">
        <v>-17.639300203600001</v>
      </c>
      <c r="F4424" t="str">
        <f>HYPERLINK("D:\Data From Lucan\2024\Moresby\Frames_for_Analysis/4421_20240611_0005_L_0519.jpg","4421_20240611_0005_L_0519.jpg")</f>
        <v>4421_20240611_0005_L_0519.jpg</v>
      </c>
      <c r="G4424" s="92" t="s">
        <v>5268</v>
      </c>
      <c r="I4424">
        <v>4</v>
      </c>
      <c r="K4424" s="57">
        <v>1</v>
      </c>
      <c r="L4424" t="s">
        <v>3959</v>
      </c>
      <c r="M4424" t="s">
        <v>3959</v>
      </c>
      <c r="N4424" t="s">
        <v>3959</v>
      </c>
      <c r="O4424" t="s">
        <v>3959</v>
      </c>
      <c r="P4424" s="57">
        <v>1</v>
      </c>
      <c r="Q4424" s="57">
        <v>0</v>
      </c>
      <c r="R4424" s="57">
        <v>0</v>
      </c>
      <c r="S4424" s="57">
        <v>0</v>
      </c>
      <c r="T4424" s="57">
        <v>0</v>
      </c>
      <c r="U4424" s="57">
        <v>0</v>
      </c>
      <c r="V4424" s="57">
        <v>0</v>
      </c>
      <c r="W4424" s="57">
        <v>0</v>
      </c>
      <c r="X4424" s="57">
        <v>0</v>
      </c>
    </row>
    <row r="4425" spans="1:24" hidden="1" x14ac:dyDescent="0.35">
      <c r="A4425">
        <v>4421</v>
      </c>
      <c r="B4425">
        <v>4422</v>
      </c>
      <c r="C4425">
        <v>146.075677493999</v>
      </c>
      <c r="D4425">
        <v>-17.639340310800002</v>
      </c>
      <c r="F4425" t="str">
        <f>HYPERLINK("D:\Data From Lucan\2024\Moresby\Frames_for_Analysis/4422_20240611_0005_L_0522.jpg","4422_20240611_0005_L_0522.jpg")</f>
        <v>4422_20240611_0005_L_0522.jpg</v>
      </c>
      <c r="G4425" s="92" t="s">
        <v>5269</v>
      </c>
      <c r="I4425">
        <v>4</v>
      </c>
      <c r="K4425" s="57">
        <v>1</v>
      </c>
      <c r="L4425" t="s">
        <v>3959</v>
      </c>
      <c r="M4425" t="s">
        <v>3959</v>
      </c>
      <c r="N4425" t="s">
        <v>3959</v>
      </c>
      <c r="O4425" t="s">
        <v>3959</v>
      </c>
      <c r="P4425" s="57">
        <v>1</v>
      </c>
      <c r="Q4425" s="57">
        <v>0</v>
      </c>
      <c r="R4425" s="57">
        <v>0</v>
      </c>
      <c r="S4425" s="57">
        <v>0</v>
      </c>
      <c r="T4425" s="57">
        <v>0</v>
      </c>
      <c r="U4425" s="57">
        <v>0</v>
      </c>
      <c r="V4425" s="57">
        <v>0</v>
      </c>
      <c r="W4425" s="57">
        <v>0</v>
      </c>
      <c r="X4425" s="57">
        <v>0</v>
      </c>
    </row>
    <row r="4426" spans="1:24" hidden="1" x14ac:dyDescent="0.35">
      <c r="A4426">
        <v>4422</v>
      </c>
      <c r="B4426">
        <v>4423</v>
      </c>
      <c r="C4426">
        <v>146.07559813200001</v>
      </c>
      <c r="D4426">
        <v>-17.6393804181</v>
      </c>
      <c r="F4426" t="str">
        <f>HYPERLINK("D:\Data From Lucan\2024\Moresby\Frames_for_Analysis/4423_20240611_0005_L_0524.jpg","4423_20240611_0005_L_0524.jpg")</f>
        <v>4423_20240611_0005_L_0524.jpg</v>
      </c>
      <c r="G4426" s="92" t="s">
        <v>5270</v>
      </c>
      <c r="I4426">
        <v>4</v>
      </c>
      <c r="K4426" s="57">
        <v>1</v>
      </c>
      <c r="L4426" t="s">
        <v>3959</v>
      </c>
      <c r="M4426" t="s">
        <v>3959</v>
      </c>
      <c r="N4426" t="s">
        <v>3959</v>
      </c>
      <c r="O4426" t="s">
        <v>3959</v>
      </c>
      <c r="P4426" s="57">
        <v>1</v>
      </c>
      <c r="Q4426" s="57">
        <v>0</v>
      </c>
      <c r="R4426" s="57">
        <v>0</v>
      </c>
      <c r="S4426" s="57">
        <v>0</v>
      </c>
      <c r="T4426" s="57">
        <v>0</v>
      </c>
      <c r="U4426" s="57">
        <v>0</v>
      </c>
      <c r="V4426" s="57">
        <v>0</v>
      </c>
      <c r="W4426" s="57">
        <v>0</v>
      </c>
      <c r="X4426" s="57">
        <v>0</v>
      </c>
    </row>
    <row r="4427" spans="1:24" hidden="1" x14ac:dyDescent="0.35">
      <c r="A4427">
        <v>4423</v>
      </c>
      <c r="B4427">
        <v>4424</v>
      </c>
      <c r="C4427">
        <v>146.07551660300001</v>
      </c>
      <c r="D4427">
        <v>-17.639416056000002</v>
      </c>
      <c r="F4427" t="str">
        <f>HYPERLINK("D:\Data From Lucan\2024\Moresby\Frames_for_Analysis/4424_20240611_0005_L_0527.jpg","4424_20240611_0005_L_0527.jpg")</f>
        <v>4424_20240611_0005_L_0527.jpg</v>
      </c>
      <c r="G4427" s="92" t="s">
        <v>5271</v>
      </c>
      <c r="I4427">
        <v>4</v>
      </c>
      <c r="K4427" s="57">
        <v>1</v>
      </c>
      <c r="L4427" t="s">
        <v>3959</v>
      </c>
      <c r="M4427" t="s">
        <v>3959</v>
      </c>
      <c r="N4427" t="s">
        <v>3959</v>
      </c>
      <c r="O4427" t="s">
        <v>3959</v>
      </c>
      <c r="P4427" s="57">
        <v>1</v>
      </c>
      <c r="Q4427" s="57">
        <v>0</v>
      </c>
      <c r="R4427" s="57">
        <v>0</v>
      </c>
      <c r="S4427" s="57">
        <v>0</v>
      </c>
      <c r="T4427" s="57">
        <v>0</v>
      </c>
      <c r="U4427" s="57">
        <v>0</v>
      </c>
      <c r="V4427" s="57">
        <v>0</v>
      </c>
      <c r="W4427" s="57">
        <v>0</v>
      </c>
      <c r="X4427" s="57">
        <v>0</v>
      </c>
    </row>
    <row r="4428" spans="1:24" hidden="1" x14ac:dyDescent="0.35">
      <c r="A4428">
        <v>4424</v>
      </c>
      <c r="B4428">
        <v>4425</v>
      </c>
      <c r="C4428">
        <v>146.075433102999</v>
      </c>
      <c r="D4428">
        <v>-17.6394476269999</v>
      </c>
      <c r="F4428" t="str">
        <f>HYPERLINK("D:\Data From Lucan\2024\Moresby\Frames_for_Analysis/4425_20240611_0005_L_0529.jpg","4425_20240611_0005_L_0529.jpg")</f>
        <v>4425_20240611_0005_L_0529.jpg</v>
      </c>
      <c r="G4428" s="92" t="s">
        <v>5272</v>
      </c>
      <c r="I4428">
        <v>4</v>
      </c>
      <c r="K4428" s="57">
        <v>1</v>
      </c>
      <c r="L4428" t="s">
        <v>3959</v>
      </c>
      <c r="M4428" t="s">
        <v>3959</v>
      </c>
      <c r="N4428" t="s">
        <v>3959</v>
      </c>
      <c r="O4428" t="s">
        <v>3959</v>
      </c>
      <c r="P4428" s="57">
        <v>1</v>
      </c>
      <c r="Q4428" s="57">
        <v>0</v>
      </c>
      <c r="R4428" s="57">
        <v>0</v>
      </c>
      <c r="S4428" s="57">
        <v>0</v>
      </c>
      <c r="T4428" s="57">
        <v>0</v>
      </c>
      <c r="U4428" s="57">
        <v>0</v>
      </c>
      <c r="V4428" s="57">
        <v>0</v>
      </c>
      <c r="W4428" s="57">
        <v>0</v>
      </c>
      <c r="X4428" s="57">
        <v>0</v>
      </c>
    </row>
    <row r="4429" spans="1:24" hidden="1" x14ac:dyDescent="0.35">
      <c r="A4429">
        <v>4425</v>
      </c>
      <c r="B4429">
        <v>4426</v>
      </c>
      <c r="C4429">
        <v>146.07534960300001</v>
      </c>
      <c r="D4429">
        <v>-17.639479198</v>
      </c>
      <c r="F4429" t="str">
        <f>HYPERLINK("D:\Data From Lucan\2024\Moresby\Frames_for_Analysis/4426_20240611_0005_L_0532.jpg","4426_20240611_0005_L_0532.jpg")</f>
        <v>4426_20240611_0005_L_0532.jpg</v>
      </c>
      <c r="G4429" s="92" t="s">
        <v>5273</v>
      </c>
      <c r="I4429">
        <v>4</v>
      </c>
      <c r="K4429" s="57">
        <v>1</v>
      </c>
      <c r="L4429" t="s">
        <v>3959</v>
      </c>
      <c r="M4429" t="s">
        <v>3959</v>
      </c>
      <c r="N4429" t="s">
        <v>3959</v>
      </c>
      <c r="O4429" t="s">
        <v>3959</v>
      </c>
      <c r="P4429" s="57">
        <v>1</v>
      </c>
      <c r="Q4429" s="57">
        <v>0</v>
      </c>
      <c r="R4429" s="57">
        <v>0</v>
      </c>
      <c r="S4429" s="57">
        <v>0</v>
      </c>
      <c r="T4429" s="57">
        <v>0</v>
      </c>
      <c r="U4429" s="57">
        <v>0</v>
      </c>
      <c r="V4429" s="57">
        <v>0</v>
      </c>
      <c r="W4429" s="57">
        <v>0</v>
      </c>
      <c r="X4429" s="57">
        <v>0</v>
      </c>
    </row>
    <row r="4430" spans="1:24" hidden="1" x14ac:dyDescent="0.35">
      <c r="A4430">
        <v>4426</v>
      </c>
      <c r="B4430">
        <v>4427</v>
      </c>
      <c r="C4430">
        <v>146.07526610400001</v>
      </c>
      <c r="D4430">
        <v>-17.639510769000001</v>
      </c>
      <c r="F4430" t="str">
        <f>HYPERLINK("D:\Data From Lucan\2024\Moresby\Frames_for_Analysis/4427_20240611_0005_L_0534.jpg","4427_20240611_0005_L_0534.jpg")</f>
        <v>4427_20240611_0005_L_0534.jpg</v>
      </c>
      <c r="G4430" s="92" t="s">
        <v>5274</v>
      </c>
      <c r="I4430">
        <v>4</v>
      </c>
      <c r="K4430" s="57">
        <v>1</v>
      </c>
      <c r="L4430" t="s">
        <v>3959</v>
      </c>
      <c r="M4430" t="s">
        <v>3959</v>
      </c>
      <c r="N4430" t="s">
        <v>3959</v>
      </c>
      <c r="O4430" t="s">
        <v>3959</v>
      </c>
      <c r="P4430" s="57">
        <v>1</v>
      </c>
      <c r="Q4430" s="57">
        <v>0</v>
      </c>
      <c r="R4430" s="57">
        <v>0</v>
      </c>
      <c r="S4430" s="57">
        <v>0</v>
      </c>
      <c r="T4430" s="57">
        <v>0</v>
      </c>
      <c r="U4430" s="57">
        <v>0</v>
      </c>
      <c r="V4430" s="57">
        <v>0</v>
      </c>
      <c r="W4430" s="57">
        <v>0</v>
      </c>
      <c r="X4430" s="57">
        <v>0</v>
      </c>
    </row>
    <row r="4431" spans="1:24" hidden="1" x14ac:dyDescent="0.35">
      <c r="A4431">
        <v>4427</v>
      </c>
      <c r="B4431">
        <v>4428</v>
      </c>
      <c r="C4431">
        <v>146.075182603999</v>
      </c>
      <c r="D4431">
        <v>-17.639542339999899</v>
      </c>
      <c r="F4431" t="str">
        <f>HYPERLINK("D:\Data From Lucan\2024\Moresby\Frames_for_Analysis/4428_20240611_0005_L_0536.jpg","4428_20240611_0005_L_0536.jpg")</f>
        <v>4428_20240611_0005_L_0536.jpg</v>
      </c>
      <c r="G4431" s="92" t="s">
        <v>5275</v>
      </c>
      <c r="I4431">
        <v>4</v>
      </c>
      <c r="K4431" s="57">
        <v>1</v>
      </c>
      <c r="L4431" t="s">
        <v>3959</v>
      </c>
      <c r="M4431" t="s">
        <v>3959</v>
      </c>
      <c r="N4431" t="s">
        <v>3959</v>
      </c>
      <c r="O4431" t="s">
        <v>3959</v>
      </c>
      <c r="P4431" s="57">
        <v>1</v>
      </c>
      <c r="Q4431" s="57">
        <v>0</v>
      </c>
      <c r="R4431" s="57">
        <v>0</v>
      </c>
      <c r="S4431" s="57">
        <v>0</v>
      </c>
      <c r="T4431" s="57">
        <v>0</v>
      </c>
      <c r="U4431" s="57">
        <v>0</v>
      </c>
      <c r="V4431" s="57">
        <v>0</v>
      </c>
      <c r="W4431" s="57">
        <v>0</v>
      </c>
      <c r="X4431" s="57">
        <v>0</v>
      </c>
    </row>
    <row r="4432" spans="1:24" hidden="1" x14ac:dyDescent="0.35">
      <c r="A4432">
        <v>4428</v>
      </c>
      <c r="B4432">
        <v>4429</v>
      </c>
      <c r="C4432">
        <v>146.07509806600001</v>
      </c>
      <c r="D4432">
        <v>-17.6395712678999</v>
      </c>
      <c r="F4432" t="str">
        <f>HYPERLINK("D:\Data From Lucan\2024\Moresby\Frames_for_Analysis/4429_20240611_0005_L_0538.jpg","4429_20240611_0005_L_0538.jpg")</f>
        <v>4429_20240611_0005_L_0538.jpg</v>
      </c>
      <c r="G4432" s="92" t="s">
        <v>5276</v>
      </c>
      <c r="I4432">
        <v>4</v>
      </c>
      <c r="K4432" s="57">
        <v>1</v>
      </c>
      <c r="L4432" t="s">
        <v>3959</v>
      </c>
      <c r="M4432" t="s">
        <v>3959</v>
      </c>
      <c r="N4432" t="s">
        <v>3959</v>
      </c>
      <c r="O4432" t="s">
        <v>3959</v>
      </c>
      <c r="P4432" s="57">
        <v>1</v>
      </c>
      <c r="Q4432" s="57">
        <v>0</v>
      </c>
      <c r="R4432" s="57">
        <v>0</v>
      </c>
      <c r="S4432" s="57">
        <v>0</v>
      </c>
      <c r="T4432" s="57">
        <v>0</v>
      </c>
      <c r="U4432" s="57">
        <v>0</v>
      </c>
      <c r="V4432" s="57">
        <v>0</v>
      </c>
      <c r="W4432" s="57">
        <v>0</v>
      </c>
      <c r="X4432" s="57">
        <v>0</v>
      </c>
    </row>
    <row r="4433" spans="1:24" hidden="1" x14ac:dyDescent="0.35">
      <c r="A4433">
        <v>4429</v>
      </c>
      <c r="B4433">
        <v>4430</v>
      </c>
      <c r="C4433">
        <v>146.07501333600001</v>
      </c>
      <c r="D4433">
        <v>-17.6395997065</v>
      </c>
      <c r="F4433" t="str">
        <f>HYPERLINK("D:\Data From Lucan\2024\Moresby\Frames_for_Analysis/4430_20240611_0005_L_0541.jpg","4430_20240611_0005_L_0541.jpg")</f>
        <v>4430_20240611_0005_L_0541.jpg</v>
      </c>
      <c r="G4433" s="92" t="s">
        <v>5277</v>
      </c>
      <c r="I4433">
        <v>4</v>
      </c>
      <c r="K4433" s="57">
        <v>1</v>
      </c>
      <c r="L4433" t="s">
        <v>3959</v>
      </c>
      <c r="M4433" t="s">
        <v>3959</v>
      </c>
      <c r="N4433" t="s">
        <v>3959</v>
      </c>
      <c r="O4433" t="s">
        <v>3959</v>
      </c>
      <c r="P4433" s="57">
        <v>1</v>
      </c>
      <c r="Q4433" s="57">
        <v>0</v>
      </c>
      <c r="R4433" s="57">
        <v>0</v>
      </c>
      <c r="S4433" s="57">
        <v>0</v>
      </c>
      <c r="T4433" s="57">
        <v>0</v>
      </c>
      <c r="U4433" s="57">
        <v>0</v>
      </c>
      <c r="V4433" s="57">
        <v>0</v>
      </c>
      <c r="W4433" s="57">
        <v>0</v>
      </c>
      <c r="X4433" s="57">
        <v>0</v>
      </c>
    </row>
    <row r="4434" spans="1:24" hidden="1" x14ac:dyDescent="0.35">
      <c r="A4434">
        <v>4430</v>
      </c>
      <c r="B4434">
        <v>4431</v>
      </c>
      <c r="C4434">
        <v>146.07492860599899</v>
      </c>
      <c r="D4434">
        <v>-17.639628145</v>
      </c>
      <c r="F4434" t="str">
        <f>HYPERLINK("D:\Data From Lucan\2024\Moresby\Frames_for_Analysis/4431_20240611_0005_L_0543.jpg","4431_20240611_0005_L_0543.jpg")</f>
        <v>4431_20240611_0005_L_0543.jpg</v>
      </c>
      <c r="G4434" s="92" t="s">
        <v>5278</v>
      </c>
      <c r="I4434">
        <v>4</v>
      </c>
      <c r="K4434" s="57">
        <v>1</v>
      </c>
      <c r="L4434" t="s">
        <v>3959</v>
      </c>
      <c r="M4434" t="s">
        <v>3959</v>
      </c>
      <c r="N4434" t="s">
        <v>3959</v>
      </c>
      <c r="O4434" t="s">
        <v>3959</v>
      </c>
      <c r="P4434" s="57">
        <v>1</v>
      </c>
      <c r="Q4434" s="57">
        <v>0</v>
      </c>
      <c r="R4434" s="57">
        <v>0</v>
      </c>
      <c r="S4434" s="57">
        <v>0</v>
      </c>
      <c r="T4434" s="57">
        <v>0</v>
      </c>
      <c r="U4434" s="57">
        <v>0</v>
      </c>
      <c r="V4434" s="57">
        <v>0</v>
      </c>
      <c r="W4434" s="57">
        <v>0</v>
      </c>
      <c r="X4434" s="57">
        <v>0</v>
      </c>
    </row>
    <row r="4435" spans="1:24" hidden="1" x14ac:dyDescent="0.35">
      <c r="A4435">
        <v>4431</v>
      </c>
      <c r="B4435">
        <v>4432</v>
      </c>
      <c r="C4435">
        <v>146.07484002199899</v>
      </c>
      <c r="D4435">
        <v>-17.639641082800001</v>
      </c>
      <c r="F4435" t="str">
        <f>HYPERLINK("D:\Data From Lucan\2024\Moresby\Frames_for_Analysis/4432_20240611_0005_L_0545.jpg","4432_20240611_0005_L_0545.jpg")</f>
        <v>4432_20240611_0005_L_0545.jpg</v>
      </c>
      <c r="G4435" s="92" t="s">
        <v>5279</v>
      </c>
      <c r="I4435">
        <v>4</v>
      </c>
      <c r="K4435" s="57">
        <v>1</v>
      </c>
      <c r="L4435" t="s">
        <v>3959</v>
      </c>
      <c r="M4435" t="s">
        <v>3959</v>
      </c>
      <c r="N4435" t="s">
        <v>3959</v>
      </c>
      <c r="O4435" t="s">
        <v>3959</v>
      </c>
      <c r="P4435" s="57">
        <v>1</v>
      </c>
      <c r="Q4435" s="57">
        <v>0</v>
      </c>
      <c r="R4435" s="57">
        <v>0</v>
      </c>
      <c r="S4435" s="57">
        <v>0</v>
      </c>
      <c r="T4435" s="57">
        <v>0</v>
      </c>
      <c r="U4435" s="57">
        <v>0</v>
      </c>
      <c r="V4435" s="57">
        <v>0</v>
      </c>
      <c r="W4435" s="57">
        <v>0</v>
      </c>
      <c r="X4435" s="57">
        <v>0</v>
      </c>
    </row>
    <row r="4436" spans="1:24" hidden="1" x14ac:dyDescent="0.35">
      <c r="A4436">
        <v>4432</v>
      </c>
      <c r="B4436">
        <v>4433</v>
      </c>
      <c r="C4436">
        <v>146.07475091000001</v>
      </c>
      <c r="D4436">
        <v>-17.639651899899899</v>
      </c>
      <c r="F4436" t="str">
        <f>HYPERLINK("D:\Data From Lucan\2024\Moresby\Frames_for_Analysis/4433_20240611_0005_L_0547.jpg","4433_20240611_0005_L_0547.jpg")</f>
        <v>4433_20240611_0005_L_0547.jpg</v>
      </c>
      <c r="G4436" s="92" t="s">
        <v>5280</v>
      </c>
      <c r="I4436">
        <v>4</v>
      </c>
      <c r="K4436" s="57">
        <v>1</v>
      </c>
      <c r="L4436" t="s">
        <v>3959</v>
      </c>
      <c r="M4436" t="s">
        <v>3959</v>
      </c>
      <c r="N4436" t="s">
        <v>3959</v>
      </c>
      <c r="O4436" t="s">
        <v>3959</v>
      </c>
      <c r="P4436" s="57">
        <v>1</v>
      </c>
      <c r="Q4436" s="57">
        <v>0</v>
      </c>
      <c r="R4436" s="57">
        <v>0</v>
      </c>
      <c r="S4436" s="57">
        <v>0</v>
      </c>
      <c r="T4436" s="57">
        <v>0</v>
      </c>
      <c r="U4436" s="57">
        <v>0</v>
      </c>
      <c r="V4436" s="57">
        <v>0</v>
      </c>
      <c r="W4436" s="57">
        <v>0</v>
      </c>
      <c r="X4436" s="57">
        <v>0</v>
      </c>
    </row>
    <row r="4437" spans="1:24" hidden="1" x14ac:dyDescent="0.35">
      <c r="A4437">
        <v>4433</v>
      </c>
      <c r="B4437">
        <v>4434</v>
      </c>
      <c r="C4437">
        <v>146.07466150600001</v>
      </c>
      <c r="D4437">
        <v>-17.639654911800001</v>
      </c>
      <c r="F4437" t="str">
        <f>HYPERLINK("D:\Data From Lucan\2024\Moresby\Frames_for_Analysis/4434_20240611_0005_L_0549.jpg","4434_20240611_0005_L_0549.jpg")</f>
        <v>4434_20240611_0005_L_0549.jpg</v>
      </c>
      <c r="G4437" s="92" t="s">
        <v>5281</v>
      </c>
      <c r="I4437">
        <v>4</v>
      </c>
      <c r="K4437" s="57">
        <v>1</v>
      </c>
      <c r="L4437" t="s">
        <v>3959</v>
      </c>
      <c r="M4437" t="s">
        <v>3959</v>
      </c>
      <c r="N4437" t="s">
        <v>3959</v>
      </c>
      <c r="O4437" t="s">
        <v>3959</v>
      </c>
      <c r="P4437" s="57">
        <v>1</v>
      </c>
      <c r="Q4437" s="57">
        <v>0</v>
      </c>
      <c r="R4437" s="57">
        <v>0</v>
      </c>
      <c r="S4437" s="57">
        <v>0</v>
      </c>
      <c r="T4437" s="57">
        <v>0</v>
      </c>
      <c r="U4437" s="57">
        <v>0</v>
      </c>
      <c r="V4437" s="57">
        <v>0</v>
      </c>
      <c r="W4437" s="57">
        <v>0</v>
      </c>
      <c r="X4437" s="57">
        <v>0</v>
      </c>
    </row>
    <row r="4438" spans="1:24" hidden="1" x14ac:dyDescent="0.35">
      <c r="A4438">
        <v>4434</v>
      </c>
      <c r="B4438">
        <v>4435</v>
      </c>
      <c r="C4438">
        <v>146.074571810999</v>
      </c>
      <c r="D4438">
        <v>-17.639650190000001</v>
      </c>
      <c r="F4438" t="str">
        <f>HYPERLINK("D:\Data From Lucan\2024\Moresby\Frames_for_Analysis/4435_20240611_0005_L_0551.jpg","4435_20240611_0005_L_0551.jpg")</f>
        <v>4435_20240611_0005_L_0551.jpg</v>
      </c>
      <c r="G4438" s="92" t="s">
        <v>5282</v>
      </c>
      <c r="I4438">
        <v>4</v>
      </c>
      <c r="K4438" s="57">
        <v>1</v>
      </c>
      <c r="L4438" t="s">
        <v>3959</v>
      </c>
      <c r="M4438" t="s">
        <v>3959</v>
      </c>
      <c r="N4438" t="s">
        <v>3959</v>
      </c>
      <c r="O4438" t="s">
        <v>3959</v>
      </c>
      <c r="P4438" s="57">
        <v>1</v>
      </c>
      <c r="Q4438" s="57">
        <v>0</v>
      </c>
      <c r="R4438" s="57">
        <v>0</v>
      </c>
      <c r="S4438" s="57">
        <v>0</v>
      </c>
      <c r="T4438" s="57">
        <v>0</v>
      </c>
      <c r="U4438" s="57">
        <v>0</v>
      </c>
      <c r="V4438" s="57">
        <v>0</v>
      </c>
      <c r="W4438" s="57">
        <v>0</v>
      </c>
      <c r="X4438" s="57">
        <v>0</v>
      </c>
    </row>
    <row r="4439" spans="1:24" hidden="1" x14ac:dyDescent="0.35">
      <c r="A4439">
        <v>4435</v>
      </c>
      <c r="B4439">
        <v>4436</v>
      </c>
      <c r="C4439">
        <v>146.07448211600001</v>
      </c>
      <c r="D4439">
        <v>-17.639645468200001</v>
      </c>
      <c r="F4439" t="str">
        <f>HYPERLINK("D:\Data From Lucan\2024\Moresby\Frames_for_Analysis/4436_20240611_0005_L_0554.jpg","4436_20240611_0005_L_0554.jpg")</f>
        <v>4436_20240611_0005_L_0554.jpg</v>
      </c>
      <c r="G4439" s="92" t="s">
        <v>5283</v>
      </c>
      <c r="I4439">
        <v>4</v>
      </c>
      <c r="K4439" s="57">
        <v>1</v>
      </c>
      <c r="L4439" t="s">
        <v>3959</v>
      </c>
      <c r="M4439" t="s">
        <v>3959</v>
      </c>
      <c r="N4439" t="s">
        <v>3959</v>
      </c>
      <c r="O4439" t="s">
        <v>3959</v>
      </c>
      <c r="P4439" s="57">
        <v>1</v>
      </c>
      <c r="Q4439" s="57">
        <v>0</v>
      </c>
      <c r="R4439" s="57">
        <v>0</v>
      </c>
      <c r="S4439" s="57">
        <v>0</v>
      </c>
      <c r="T4439" s="57">
        <v>0</v>
      </c>
      <c r="U4439" s="57">
        <v>0</v>
      </c>
      <c r="V4439" s="57">
        <v>0</v>
      </c>
      <c r="W4439" s="57">
        <v>0</v>
      </c>
      <c r="X4439" s="57">
        <v>0</v>
      </c>
    </row>
    <row r="4440" spans="1:24" hidden="1" x14ac:dyDescent="0.35">
      <c r="A4440">
        <v>4436</v>
      </c>
      <c r="B4440">
        <v>4437</v>
      </c>
      <c r="C4440">
        <v>146.07439242199899</v>
      </c>
      <c r="D4440">
        <v>-17.639640746400001</v>
      </c>
      <c r="F4440" t="str">
        <f>HYPERLINK("D:\Data From Lucan\2024\Moresby\Frames_for_Analysis/4437_20240611_0005_L_0556.jpg","4437_20240611_0005_L_0556.jpg")</f>
        <v>4437_20240611_0005_L_0556.jpg</v>
      </c>
      <c r="G4440" s="92" t="s">
        <v>5284</v>
      </c>
      <c r="I4440">
        <v>4</v>
      </c>
      <c r="K4440" s="57">
        <v>1</v>
      </c>
      <c r="L4440" t="s">
        <v>3959</v>
      </c>
      <c r="M4440" t="s">
        <v>3959</v>
      </c>
      <c r="N4440" t="s">
        <v>3959</v>
      </c>
      <c r="O4440" t="s">
        <v>3959</v>
      </c>
      <c r="P4440" s="57">
        <v>1</v>
      </c>
      <c r="Q4440" s="57">
        <v>0</v>
      </c>
      <c r="R4440" s="57">
        <v>0</v>
      </c>
      <c r="S4440" s="57">
        <v>0</v>
      </c>
      <c r="T4440" s="57">
        <v>0</v>
      </c>
      <c r="U4440" s="57">
        <v>0</v>
      </c>
      <c r="V4440" s="57">
        <v>0</v>
      </c>
      <c r="W4440" s="57">
        <v>0</v>
      </c>
      <c r="X4440" s="57">
        <v>0</v>
      </c>
    </row>
    <row r="4441" spans="1:24" hidden="1" x14ac:dyDescent="0.35">
      <c r="A4441">
        <v>4437</v>
      </c>
      <c r="B4441">
        <v>4438</v>
      </c>
      <c r="C4441">
        <v>146.074305842</v>
      </c>
      <c r="D4441">
        <v>-17.6396197243999</v>
      </c>
      <c r="F4441" t="str">
        <f>HYPERLINK("D:\Data From Lucan\2024\Moresby\Frames_for_Analysis/4438_20240611_0005_L_0559.jpg","4438_20240611_0005_L_0559.jpg")</f>
        <v>4438_20240611_0005_L_0559.jpg</v>
      </c>
      <c r="G4441" s="92" t="s">
        <v>5285</v>
      </c>
      <c r="I4441">
        <v>4</v>
      </c>
      <c r="K4441" s="57">
        <v>1</v>
      </c>
      <c r="L4441" t="s">
        <v>3959</v>
      </c>
      <c r="M4441" t="s">
        <v>3959</v>
      </c>
      <c r="N4441" t="s">
        <v>3959</v>
      </c>
      <c r="O4441" t="s">
        <v>3959</v>
      </c>
      <c r="P4441" s="57">
        <v>1</v>
      </c>
      <c r="Q4441" s="57">
        <v>0</v>
      </c>
      <c r="R4441" s="57">
        <v>0</v>
      </c>
      <c r="S4441" s="57">
        <v>0</v>
      </c>
      <c r="T4441" s="57">
        <v>0</v>
      </c>
      <c r="U4441" s="57">
        <v>0</v>
      </c>
      <c r="V4441" s="57">
        <v>0</v>
      </c>
      <c r="W4441" s="57">
        <v>0</v>
      </c>
      <c r="X4441" s="57">
        <v>0</v>
      </c>
    </row>
    <row r="4442" spans="1:24" hidden="1" x14ac:dyDescent="0.35">
      <c r="A4442">
        <v>4438</v>
      </c>
      <c r="B4442">
        <v>4439</v>
      </c>
      <c r="C4442">
        <v>146.07422016000001</v>
      </c>
      <c r="D4442">
        <v>-17.639594005300001</v>
      </c>
      <c r="F4442" t="str">
        <f>HYPERLINK("D:\Data From Lucan\2024\Moresby\Frames_for_Analysis/4439_20240611_0005_L_0561.jpg","4439_20240611_0005_L_0561.jpg")</f>
        <v>4439_20240611_0005_L_0561.jpg</v>
      </c>
      <c r="G4442" s="92" t="s">
        <v>5286</v>
      </c>
      <c r="I4442">
        <v>4</v>
      </c>
      <c r="K4442" s="57">
        <v>1</v>
      </c>
      <c r="L4442" t="s">
        <v>3959</v>
      </c>
      <c r="M4442" t="s">
        <v>3959</v>
      </c>
      <c r="N4442" t="s">
        <v>3959</v>
      </c>
      <c r="O4442" t="s">
        <v>3959</v>
      </c>
      <c r="P4442" s="57">
        <v>1</v>
      </c>
      <c r="Q4442" s="57">
        <v>0</v>
      </c>
      <c r="R4442" s="57">
        <v>0</v>
      </c>
      <c r="S4442" s="57">
        <v>0</v>
      </c>
      <c r="T4442" s="57">
        <v>0</v>
      </c>
      <c r="U4442" s="57">
        <v>0</v>
      </c>
      <c r="V4442" s="57">
        <v>0</v>
      </c>
      <c r="W4442" s="57">
        <v>0</v>
      </c>
      <c r="X4442" s="57">
        <v>0</v>
      </c>
    </row>
    <row r="4443" spans="1:24" hidden="1" x14ac:dyDescent="0.35">
      <c r="A4443">
        <v>4439</v>
      </c>
      <c r="B4443">
        <v>4440</v>
      </c>
      <c r="C4443">
        <v>146.07413447900001</v>
      </c>
      <c r="D4443">
        <v>-17.639568286300001</v>
      </c>
      <c r="F4443" t="str">
        <f>HYPERLINK("D:\Data From Lucan\2024\Moresby\Frames_for_Analysis/4440_20240611_0005_L_0567.jpg","4440_20240611_0005_L_0567.jpg")</f>
        <v>4440_20240611_0005_L_0567.jpg</v>
      </c>
      <c r="G4443" s="92" t="s">
        <v>5287</v>
      </c>
      <c r="I4443">
        <v>4</v>
      </c>
      <c r="K4443" s="57">
        <v>1</v>
      </c>
      <c r="L4443" t="s">
        <v>3959</v>
      </c>
      <c r="M4443" t="s">
        <v>3959</v>
      </c>
      <c r="N4443" t="s">
        <v>3959</v>
      </c>
      <c r="O4443" t="s">
        <v>3959</v>
      </c>
      <c r="P4443" s="57">
        <v>1</v>
      </c>
      <c r="Q4443" s="57">
        <v>0</v>
      </c>
      <c r="R4443" s="57">
        <v>0</v>
      </c>
      <c r="S4443" s="57">
        <v>0</v>
      </c>
      <c r="T4443" s="57">
        <v>0</v>
      </c>
      <c r="U4443" s="57">
        <v>0</v>
      </c>
      <c r="V4443" s="57">
        <v>0</v>
      </c>
      <c r="W4443" s="57">
        <v>0</v>
      </c>
      <c r="X4443" s="57">
        <v>0</v>
      </c>
    </row>
    <row r="4444" spans="1:24" hidden="1" x14ac:dyDescent="0.35">
      <c r="A4444">
        <v>4440</v>
      </c>
      <c r="B4444">
        <v>4441</v>
      </c>
      <c r="C4444">
        <v>146.07404879699899</v>
      </c>
      <c r="D4444">
        <v>-17.639542567300001</v>
      </c>
      <c r="F4444" t="str">
        <f>HYPERLINK("D:\Data From Lucan\2024\Moresby\Frames_for_Analysis/4441_20240611_0005_L_0571.jpg","4441_20240611_0005_L_0571.jpg")</f>
        <v>4441_20240611_0005_L_0571.jpg</v>
      </c>
      <c r="G4444" s="92" t="s">
        <v>5288</v>
      </c>
      <c r="I4444">
        <v>4</v>
      </c>
      <c r="K4444" s="57">
        <v>1</v>
      </c>
      <c r="L4444" t="s">
        <v>3959</v>
      </c>
      <c r="M4444" t="s">
        <v>3959</v>
      </c>
      <c r="N4444" t="s">
        <v>3959</v>
      </c>
      <c r="O4444" t="s">
        <v>3959</v>
      </c>
      <c r="P4444" s="57">
        <v>1</v>
      </c>
      <c r="Q4444" s="57">
        <v>0</v>
      </c>
      <c r="R4444" s="57">
        <v>0</v>
      </c>
      <c r="S4444" s="57">
        <v>0</v>
      </c>
      <c r="T4444" s="57">
        <v>0</v>
      </c>
      <c r="U4444" s="57">
        <v>0</v>
      </c>
      <c r="V4444" s="57">
        <v>0</v>
      </c>
      <c r="W4444" s="57">
        <v>0</v>
      </c>
      <c r="X4444" s="57">
        <v>0</v>
      </c>
    </row>
    <row r="4445" spans="1:24" hidden="1" x14ac:dyDescent="0.35">
      <c r="A4445">
        <v>4441</v>
      </c>
      <c r="B4445">
        <v>4442</v>
      </c>
      <c r="C4445">
        <v>146.073963114999</v>
      </c>
      <c r="D4445">
        <v>-17.639516848300001</v>
      </c>
      <c r="F4445" t="str">
        <f>HYPERLINK("D:\Data From Lucan\2024\Moresby\Frames_for_Analysis/4442_20240611_0005_L_0573.jpg","4442_20240611_0005_L_0573.jpg")</f>
        <v>4442_20240611_0005_L_0573.jpg</v>
      </c>
      <c r="G4445" s="92" t="s">
        <v>5289</v>
      </c>
      <c r="I4445">
        <v>4</v>
      </c>
      <c r="K4445" s="57">
        <v>1</v>
      </c>
      <c r="L4445" t="s">
        <v>3959</v>
      </c>
      <c r="M4445" t="s">
        <v>3959</v>
      </c>
      <c r="N4445" t="s">
        <v>3959</v>
      </c>
      <c r="O4445" t="s">
        <v>3959</v>
      </c>
      <c r="P4445" s="57">
        <v>1</v>
      </c>
      <c r="Q4445" s="57">
        <v>0</v>
      </c>
      <c r="R4445" s="57">
        <v>0</v>
      </c>
      <c r="S4445" s="57">
        <v>0</v>
      </c>
      <c r="T4445" s="57">
        <v>0</v>
      </c>
      <c r="U4445" s="57">
        <v>0</v>
      </c>
      <c r="V4445" s="57">
        <v>0</v>
      </c>
      <c r="W4445" s="57">
        <v>0</v>
      </c>
      <c r="X4445" s="57">
        <v>0</v>
      </c>
    </row>
    <row r="4446" spans="1:24" hidden="1" x14ac:dyDescent="0.35">
      <c r="A4446">
        <v>4442</v>
      </c>
      <c r="B4446">
        <v>4443</v>
      </c>
      <c r="C4446">
        <v>146.073877299</v>
      </c>
      <c r="D4446">
        <v>-17.6394915411</v>
      </c>
      <c r="F4446" t="str">
        <f>HYPERLINK("D:\Data From Lucan\2024\Moresby\Frames_for_Analysis/4443_20240611_0005_L_0575.jpg","4443_20240611_0005_L_0575.jpg")</f>
        <v>4443_20240611_0005_L_0575.jpg</v>
      </c>
      <c r="G4446" s="92" t="s">
        <v>5290</v>
      </c>
      <c r="I4446">
        <v>4</v>
      </c>
      <c r="K4446" s="57">
        <v>1</v>
      </c>
      <c r="L4446" t="s">
        <v>3959</v>
      </c>
      <c r="M4446" t="s">
        <v>3959</v>
      </c>
      <c r="N4446" t="s">
        <v>3959</v>
      </c>
      <c r="O4446" t="s">
        <v>3959</v>
      </c>
      <c r="P4446" s="57">
        <v>1</v>
      </c>
      <c r="Q4446" s="57">
        <v>0</v>
      </c>
      <c r="R4446" s="57">
        <v>0</v>
      </c>
      <c r="S4446" s="57">
        <v>0</v>
      </c>
      <c r="T4446" s="57">
        <v>0</v>
      </c>
      <c r="U4446" s="57">
        <v>0</v>
      </c>
      <c r="V4446" s="57">
        <v>0</v>
      </c>
      <c r="W4446" s="57">
        <v>0</v>
      </c>
      <c r="X4446" s="57">
        <v>0</v>
      </c>
    </row>
    <row r="4447" spans="1:24" hidden="1" x14ac:dyDescent="0.35">
      <c r="A4447">
        <v>4443</v>
      </c>
      <c r="B4447">
        <v>4444</v>
      </c>
      <c r="C4447">
        <v>146.07379142900001</v>
      </c>
      <c r="D4447">
        <v>-17.6394664006</v>
      </c>
      <c r="F4447" t="str">
        <f>HYPERLINK("D:\Data From Lucan\2024\Moresby\Frames_for_Analysis/4444_20240611_0005_L_0578.jpg","4444_20240611_0005_L_0578.jpg")</f>
        <v>4444_20240611_0005_L_0578.jpg</v>
      </c>
      <c r="G4447" s="92" t="s">
        <v>5291</v>
      </c>
      <c r="I4447">
        <v>4</v>
      </c>
      <c r="K4447" s="57">
        <v>1</v>
      </c>
      <c r="L4447" t="s">
        <v>3959</v>
      </c>
      <c r="M4447" t="s">
        <v>3959</v>
      </c>
      <c r="N4447" t="s">
        <v>3959</v>
      </c>
      <c r="O4447" t="s">
        <v>3959</v>
      </c>
      <c r="P4447" s="57">
        <v>1</v>
      </c>
      <c r="Q4447" s="57">
        <v>0</v>
      </c>
      <c r="R4447" s="57">
        <v>0</v>
      </c>
      <c r="S4447" s="57">
        <v>0</v>
      </c>
      <c r="T4447" s="57">
        <v>0</v>
      </c>
      <c r="U4447" s="57">
        <v>0</v>
      </c>
      <c r="V4447" s="57">
        <v>0</v>
      </c>
      <c r="W4447" s="57">
        <v>0</v>
      </c>
      <c r="X4447" s="57">
        <v>0</v>
      </c>
    </row>
    <row r="4448" spans="1:24" hidden="1" x14ac:dyDescent="0.35">
      <c r="A4448">
        <v>4444</v>
      </c>
      <c r="B4448">
        <v>4445</v>
      </c>
      <c r="C4448">
        <v>146.073705558</v>
      </c>
      <c r="D4448">
        <v>-17.639441260000002</v>
      </c>
      <c r="F4448" t="str">
        <f>HYPERLINK("D:\Data From Lucan\2024\Moresby\Frames_for_Analysis/4445_20240611_0005_L_0580.jpg","4445_20240611_0005_L_0580.jpg")</f>
        <v>4445_20240611_0005_L_0580.jpg</v>
      </c>
      <c r="G4448" s="92" t="s">
        <v>5292</v>
      </c>
      <c r="I4448">
        <v>4</v>
      </c>
      <c r="K4448" s="57">
        <v>1</v>
      </c>
      <c r="L4448" t="s">
        <v>3959</v>
      </c>
      <c r="M4448" t="s">
        <v>3959</v>
      </c>
      <c r="N4448" t="s">
        <v>3959</v>
      </c>
      <c r="O4448" t="s">
        <v>3959</v>
      </c>
      <c r="P4448" s="57">
        <v>1</v>
      </c>
      <c r="Q4448" s="57">
        <v>0</v>
      </c>
      <c r="R4448" s="57">
        <v>0</v>
      </c>
      <c r="S4448" s="57">
        <v>0</v>
      </c>
      <c r="T4448" s="57">
        <v>0</v>
      </c>
      <c r="U4448" s="57">
        <v>0</v>
      </c>
      <c r="V4448" s="57">
        <v>0</v>
      </c>
      <c r="W4448" s="57">
        <v>0</v>
      </c>
      <c r="X4448" s="57">
        <v>0</v>
      </c>
    </row>
    <row r="4449" spans="1:24" hidden="1" x14ac:dyDescent="0.35">
      <c r="A4449">
        <v>4445</v>
      </c>
      <c r="B4449">
        <v>4446</v>
      </c>
      <c r="C4449">
        <v>146.07361968800001</v>
      </c>
      <c r="D4449">
        <v>-17.6394161194</v>
      </c>
      <c r="F4449" t="str">
        <f>HYPERLINK("D:\Data From Lucan\2024\Moresby\Frames_for_Analysis/4446_20240611_0005_L_0582.jpg","4446_20240611_0005_L_0582.jpg")</f>
        <v>4446_20240611_0005_L_0582.jpg</v>
      </c>
      <c r="G4449" s="92" t="s">
        <v>5293</v>
      </c>
      <c r="I4449">
        <v>4</v>
      </c>
      <c r="K4449" s="57">
        <v>1</v>
      </c>
      <c r="L4449" t="s">
        <v>3959</v>
      </c>
      <c r="M4449" t="s">
        <v>3959</v>
      </c>
      <c r="N4449" t="s">
        <v>3959</v>
      </c>
      <c r="O4449" t="s">
        <v>3959</v>
      </c>
      <c r="P4449" s="57">
        <v>1</v>
      </c>
      <c r="Q4449" s="57">
        <v>0</v>
      </c>
      <c r="R4449" s="57">
        <v>0</v>
      </c>
      <c r="S4449" s="57">
        <v>0</v>
      </c>
      <c r="T4449" s="57">
        <v>0</v>
      </c>
      <c r="U4449" s="57">
        <v>0</v>
      </c>
      <c r="V4449" s="57">
        <v>0</v>
      </c>
      <c r="W4449" s="57">
        <v>0</v>
      </c>
      <c r="X4449" s="57">
        <v>0</v>
      </c>
    </row>
    <row r="4450" spans="1:24" hidden="1" x14ac:dyDescent="0.35">
      <c r="A4450">
        <v>4446</v>
      </c>
      <c r="B4450">
        <v>4447</v>
      </c>
      <c r="C4450">
        <v>146.073533816999</v>
      </c>
      <c r="D4450">
        <v>-17.6393909789</v>
      </c>
      <c r="F4450" t="str">
        <f>HYPERLINK("D:\Data From Lucan\2024\Moresby\Frames_for_Analysis/4447_20240611_0005_L_0585.jpg","4447_20240611_0005_L_0585.jpg")</f>
        <v>4447_20240611_0005_L_0585.jpg</v>
      </c>
      <c r="G4450" s="92" t="s">
        <v>5294</v>
      </c>
      <c r="I4450">
        <v>4</v>
      </c>
      <c r="K4450" s="57">
        <v>1</v>
      </c>
      <c r="L4450" t="s">
        <v>3959</v>
      </c>
      <c r="M4450" t="s">
        <v>3959</v>
      </c>
      <c r="N4450" t="s">
        <v>3959</v>
      </c>
      <c r="O4450" t="s">
        <v>3959</v>
      </c>
      <c r="P4450" s="57">
        <v>1</v>
      </c>
      <c r="Q4450" s="57">
        <v>0</v>
      </c>
      <c r="R4450" s="57">
        <v>0</v>
      </c>
      <c r="S4450" s="57">
        <v>0</v>
      </c>
      <c r="T4450" s="57">
        <v>0</v>
      </c>
      <c r="U4450" s="57">
        <v>0</v>
      </c>
      <c r="V4450" s="57">
        <v>0</v>
      </c>
      <c r="W4450" s="57">
        <v>0</v>
      </c>
      <c r="X4450" s="57">
        <v>0</v>
      </c>
    </row>
    <row r="4451" spans="1:24" hidden="1" x14ac:dyDescent="0.35">
      <c r="A4451">
        <v>4447</v>
      </c>
      <c r="B4451">
        <v>4448</v>
      </c>
      <c r="C4451">
        <v>146.07344794599899</v>
      </c>
      <c r="D4451">
        <v>-17.639365838300002</v>
      </c>
      <c r="F4451" t="str">
        <f>HYPERLINK("D:\Data From Lucan\2024\Moresby\Frames_for_Analysis/4448_20240611_0005_L_0587.jpg","4448_20240611_0005_L_0587.jpg")</f>
        <v>4448_20240611_0005_L_0587.jpg</v>
      </c>
      <c r="G4451" s="92" t="s">
        <v>5295</v>
      </c>
      <c r="I4451">
        <v>4</v>
      </c>
      <c r="K4451" s="57">
        <v>1</v>
      </c>
      <c r="L4451" t="s">
        <v>3959</v>
      </c>
      <c r="M4451" t="s">
        <v>3959</v>
      </c>
      <c r="N4451" t="s">
        <v>3959</v>
      </c>
      <c r="O4451" t="s">
        <v>3959</v>
      </c>
      <c r="P4451" s="57">
        <v>1</v>
      </c>
      <c r="Q4451" s="57">
        <v>0</v>
      </c>
      <c r="R4451" s="57">
        <v>0</v>
      </c>
      <c r="S4451" s="57">
        <v>0</v>
      </c>
      <c r="T4451" s="57">
        <v>0</v>
      </c>
      <c r="U4451" s="57">
        <v>0</v>
      </c>
      <c r="V4451" s="57">
        <v>0</v>
      </c>
      <c r="W4451" s="57">
        <v>0</v>
      </c>
      <c r="X4451" s="57">
        <v>0</v>
      </c>
    </row>
    <row r="4452" spans="1:24" hidden="1" x14ac:dyDescent="0.35">
      <c r="A4452">
        <v>4448</v>
      </c>
      <c r="B4452">
        <v>4449</v>
      </c>
      <c r="C4452">
        <v>146.07335964500001</v>
      </c>
      <c r="D4452">
        <v>-17.6393505475999</v>
      </c>
      <c r="F4452" t="str">
        <f>HYPERLINK("D:\Data From Lucan\2024\Moresby\Frames_for_Analysis/4449_20240611_0005_L_0591.jpg","4449_20240611_0005_L_0591.jpg")</f>
        <v>4449_20240611_0005_L_0591.jpg</v>
      </c>
      <c r="G4452" s="92" t="s">
        <v>5296</v>
      </c>
      <c r="I4452">
        <v>4</v>
      </c>
      <c r="K4452" s="57">
        <v>1</v>
      </c>
      <c r="L4452" t="s">
        <v>3959</v>
      </c>
      <c r="M4452" t="s">
        <v>3959</v>
      </c>
      <c r="N4452" t="s">
        <v>3959</v>
      </c>
      <c r="O4452" t="s">
        <v>3959</v>
      </c>
      <c r="P4452" s="57">
        <v>1</v>
      </c>
      <c r="Q4452" s="57">
        <v>0</v>
      </c>
      <c r="R4452" s="57">
        <v>0</v>
      </c>
      <c r="S4452" s="57">
        <v>0</v>
      </c>
      <c r="T4452" s="57">
        <v>0</v>
      </c>
      <c r="U4452" s="57">
        <v>0</v>
      </c>
      <c r="V4452" s="57">
        <v>0</v>
      </c>
      <c r="W4452" s="57">
        <v>0</v>
      </c>
      <c r="X4452" s="57">
        <v>0</v>
      </c>
    </row>
    <row r="4453" spans="1:24" hidden="1" x14ac:dyDescent="0.35">
      <c r="A4453">
        <v>4449</v>
      </c>
      <c r="B4453">
        <v>4450</v>
      </c>
      <c r="C4453">
        <v>146.073271016999</v>
      </c>
      <c r="D4453">
        <v>-17.639336583799899</v>
      </c>
      <c r="F4453" t="str">
        <f>HYPERLINK("D:\Data From Lucan\2024\Moresby\Frames_for_Analysis/4450_20240611_0005_L_0593.jpg","4450_20240611_0005_L_0593.jpg")</f>
        <v>4450_20240611_0005_L_0593.jpg</v>
      </c>
      <c r="G4453" s="92" t="s">
        <v>5297</v>
      </c>
      <c r="I4453">
        <v>4</v>
      </c>
      <c r="K4453" s="57">
        <v>1</v>
      </c>
      <c r="L4453" t="s">
        <v>3959</v>
      </c>
      <c r="M4453" t="s">
        <v>3959</v>
      </c>
      <c r="N4453" t="s">
        <v>3959</v>
      </c>
      <c r="O4453" t="s">
        <v>3959</v>
      </c>
      <c r="P4453" s="57">
        <v>1</v>
      </c>
      <c r="Q4453" s="57">
        <v>0</v>
      </c>
      <c r="R4453" s="57">
        <v>0</v>
      </c>
      <c r="S4453" s="57">
        <v>0</v>
      </c>
      <c r="T4453" s="57">
        <v>0</v>
      </c>
      <c r="U4453" s="57">
        <v>0</v>
      </c>
      <c r="V4453" s="57">
        <v>0</v>
      </c>
      <c r="W4453" s="57">
        <v>0</v>
      </c>
      <c r="X4453" s="57">
        <v>0</v>
      </c>
    </row>
    <row r="4454" spans="1:24" hidden="1" x14ac:dyDescent="0.35">
      <c r="A4454">
        <v>4450</v>
      </c>
      <c r="B4454">
        <v>4451</v>
      </c>
      <c r="C4454">
        <v>146.07318238900001</v>
      </c>
      <c r="D4454">
        <v>-17.639322620000002</v>
      </c>
      <c r="F4454" t="str">
        <f>HYPERLINK("D:\Data From Lucan\2024\Moresby\Frames_for_Analysis/4451_20240611_0005_L_0596.jpg","4451_20240611_0005_L_0596.jpg")</f>
        <v>4451_20240611_0005_L_0596.jpg</v>
      </c>
      <c r="G4454" s="92" t="s">
        <v>5298</v>
      </c>
      <c r="I4454">
        <v>4</v>
      </c>
      <c r="K4454" s="57">
        <v>1</v>
      </c>
      <c r="L4454" t="s">
        <v>3959</v>
      </c>
      <c r="M4454" t="s">
        <v>3959</v>
      </c>
      <c r="N4454" t="s">
        <v>3959</v>
      </c>
      <c r="O4454" t="s">
        <v>3959</v>
      </c>
      <c r="P4454" s="57">
        <v>1</v>
      </c>
      <c r="Q4454" s="57">
        <v>0</v>
      </c>
      <c r="R4454" s="57">
        <v>0</v>
      </c>
      <c r="S4454" s="57">
        <v>0</v>
      </c>
      <c r="T4454" s="57">
        <v>0</v>
      </c>
      <c r="U4454" s="57">
        <v>0</v>
      </c>
      <c r="V4454" s="57">
        <v>0</v>
      </c>
      <c r="W4454" s="57">
        <v>0</v>
      </c>
      <c r="X4454" s="57">
        <v>0</v>
      </c>
    </row>
    <row r="4455" spans="1:24" hidden="1" x14ac:dyDescent="0.35">
      <c r="A4455">
        <v>4451</v>
      </c>
      <c r="B4455">
        <v>4452</v>
      </c>
      <c r="C4455">
        <v>146.07309376000001</v>
      </c>
      <c r="D4455">
        <v>-17.6393086562999</v>
      </c>
      <c r="F4455" t="str">
        <f>HYPERLINK("D:\Data From Lucan\2024\Moresby\Frames_for_Analysis/4452_20240611_0005_L_0600.jpg","4452_20240611_0005_L_0600.jpg")</f>
        <v>4452_20240611_0005_L_0600.jpg</v>
      </c>
      <c r="G4455" s="92" t="s">
        <v>5299</v>
      </c>
      <c r="I4455">
        <v>4</v>
      </c>
      <c r="K4455" s="57">
        <v>1</v>
      </c>
      <c r="L4455" t="s">
        <v>3959</v>
      </c>
      <c r="M4455" t="s">
        <v>3959</v>
      </c>
      <c r="N4455" t="s">
        <v>3959</v>
      </c>
      <c r="O4455" t="s">
        <v>3959</v>
      </c>
      <c r="P4455" s="57">
        <v>1</v>
      </c>
      <c r="Q4455" s="57">
        <v>0</v>
      </c>
      <c r="R4455" s="57">
        <v>0</v>
      </c>
      <c r="S4455" s="57">
        <v>0</v>
      </c>
      <c r="T4455" s="57">
        <v>0</v>
      </c>
      <c r="U4455" s="57">
        <v>0</v>
      </c>
      <c r="V4455" s="57">
        <v>0</v>
      </c>
      <c r="W4455" s="57">
        <v>0</v>
      </c>
      <c r="X4455" s="57">
        <v>0</v>
      </c>
    </row>
    <row r="4456" spans="1:24" hidden="1" x14ac:dyDescent="0.35">
      <c r="A4456">
        <v>4452</v>
      </c>
      <c r="B4456">
        <v>4453</v>
      </c>
      <c r="C4456">
        <v>146.073005131999</v>
      </c>
      <c r="D4456">
        <v>-17.639294692499899</v>
      </c>
      <c r="F4456" t="str">
        <f>HYPERLINK("D:\Data From Lucan\2024\Moresby\Frames_for_Analysis/4453_20240611_0005_L_0603.jpg","4453_20240611_0005_L_0603.jpg")</f>
        <v>4453_20240611_0005_L_0603.jpg</v>
      </c>
      <c r="G4456" s="92" t="s">
        <v>5300</v>
      </c>
      <c r="I4456">
        <v>4</v>
      </c>
      <c r="K4456" s="57">
        <v>1</v>
      </c>
      <c r="L4456" t="s">
        <v>3959</v>
      </c>
      <c r="M4456" t="s">
        <v>3959</v>
      </c>
      <c r="N4456" t="s">
        <v>3959</v>
      </c>
      <c r="O4456" t="s">
        <v>3959</v>
      </c>
      <c r="P4456" s="57">
        <v>1</v>
      </c>
      <c r="Q4456" s="57">
        <v>0</v>
      </c>
      <c r="R4456" s="57">
        <v>0</v>
      </c>
      <c r="S4456" s="57">
        <v>0</v>
      </c>
      <c r="T4456" s="57">
        <v>0</v>
      </c>
      <c r="U4456" s="57">
        <v>0</v>
      </c>
      <c r="V4456" s="57">
        <v>0</v>
      </c>
      <c r="W4456" s="57">
        <v>0</v>
      </c>
      <c r="X4456" s="57">
        <v>0</v>
      </c>
    </row>
    <row r="4457" spans="1:24" hidden="1" x14ac:dyDescent="0.35">
      <c r="A4457">
        <v>4453</v>
      </c>
      <c r="B4457">
        <v>4454</v>
      </c>
      <c r="C4457">
        <v>146.07291650299899</v>
      </c>
      <c r="D4457">
        <v>-17.639280728700001</v>
      </c>
      <c r="F4457" t="str">
        <f>HYPERLINK("D:\Data From Lucan\2024\Moresby\Frames_for_Analysis/4454_20240611_0005_L_0606.jpg","4454_20240611_0005_L_0606.jpg")</f>
        <v>4454_20240611_0005_L_0606.jpg</v>
      </c>
      <c r="G4457" s="92" t="s">
        <v>5301</v>
      </c>
      <c r="I4457">
        <v>4</v>
      </c>
      <c r="K4457" s="57">
        <v>1</v>
      </c>
      <c r="L4457" t="s">
        <v>3959</v>
      </c>
      <c r="M4457" t="s">
        <v>3959</v>
      </c>
      <c r="N4457" t="s">
        <v>3959</v>
      </c>
      <c r="O4457" t="s">
        <v>3959</v>
      </c>
      <c r="P4457" s="57">
        <v>1</v>
      </c>
      <c r="Q4457" s="57">
        <v>0</v>
      </c>
      <c r="R4457" s="57">
        <v>0</v>
      </c>
      <c r="S4457" s="57">
        <v>0</v>
      </c>
      <c r="T4457" s="57">
        <v>0</v>
      </c>
      <c r="U4457" s="57">
        <v>0</v>
      </c>
      <c r="V4457" s="57">
        <v>0</v>
      </c>
      <c r="W4457" s="57">
        <v>0</v>
      </c>
      <c r="X4457" s="57">
        <v>0</v>
      </c>
    </row>
    <row r="4458" spans="1:24" hidden="1" x14ac:dyDescent="0.35">
      <c r="A4458">
        <v>4454</v>
      </c>
      <c r="B4458">
        <v>4455</v>
      </c>
      <c r="C4458">
        <v>146.072827875</v>
      </c>
      <c r="D4458">
        <v>-17.6392667649</v>
      </c>
      <c r="F4458" t="str">
        <f>HYPERLINK("D:\Data From Lucan\2024\Moresby\Frames_for_Analysis/4455_20240611_0005_L_0609.jpg","4455_20240611_0005_L_0609.jpg")</f>
        <v>4455_20240611_0005_L_0609.jpg</v>
      </c>
      <c r="G4458" s="92" t="s">
        <v>5302</v>
      </c>
      <c r="I4458">
        <v>4</v>
      </c>
      <c r="K4458" s="57">
        <v>1</v>
      </c>
      <c r="L4458" t="s">
        <v>3959</v>
      </c>
      <c r="M4458" t="s">
        <v>3959</v>
      </c>
      <c r="N4458" t="s">
        <v>3959</v>
      </c>
      <c r="O4458" t="s">
        <v>3959</v>
      </c>
      <c r="P4458" s="57">
        <v>1</v>
      </c>
      <c r="Q4458" s="57">
        <v>0</v>
      </c>
      <c r="R4458" s="57">
        <v>0</v>
      </c>
      <c r="S4458" s="57">
        <v>0</v>
      </c>
      <c r="T4458" s="57">
        <v>0</v>
      </c>
      <c r="U4458" s="57">
        <v>0</v>
      </c>
      <c r="V4458" s="57">
        <v>0</v>
      </c>
      <c r="W4458" s="57">
        <v>0</v>
      </c>
      <c r="X4458" s="57">
        <v>0</v>
      </c>
    </row>
    <row r="4459" spans="1:24" hidden="1" x14ac:dyDescent="0.35">
      <c r="A4459">
        <v>4455</v>
      </c>
      <c r="B4459">
        <v>4456</v>
      </c>
      <c r="C4459">
        <v>146.072738305</v>
      </c>
      <c r="D4459">
        <v>-17.6392634091</v>
      </c>
      <c r="F4459" t="str">
        <f>HYPERLINK("D:\Data From Lucan\2024\Moresby\Frames_for_Analysis/4456_20240611_0005_L_0612.jpg","4456_20240611_0005_L_0612.jpg")</f>
        <v>4456_20240611_0005_L_0612.jpg</v>
      </c>
      <c r="G4459" s="92" t="s">
        <v>5303</v>
      </c>
      <c r="I4459">
        <v>4</v>
      </c>
      <c r="K4459" s="57">
        <v>1</v>
      </c>
      <c r="L4459" t="s">
        <v>3959</v>
      </c>
      <c r="M4459" t="s">
        <v>3959</v>
      </c>
      <c r="N4459" t="s">
        <v>3959</v>
      </c>
      <c r="O4459" t="s">
        <v>3959</v>
      </c>
      <c r="P4459" s="57">
        <v>1</v>
      </c>
      <c r="Q4459" s="57">
        <v>0</v>
      </c>
      <c r="R4459" s="57">
        <v>0</v>
      </c>
      <c r="S4459" s="57">
        <v>0</v>
      </c>
      <c r="T4459" s="57">
        <v>0</v>
      </c>
      <c r="U4459" s="57">
        <v>0</v>
      </c>
      <c r="V4459" s="57">
        <v>0</v>
      </c>
      <c r="W4459" s="57">
        <v>0</v>
      </c>
      <c r="X4459" s="57">
        <v>0</v>
      </c>
    </row>
    <row r="4460" spans="1:24" hidden="1" x14ac:dyDescent="0.35">
      <c r="A4460">
        <v>4456</v>
      </c>
      <c r="B4460">
        <v>4457</v>
      </c>
      <c r="C4460">
        <v>146.072648474</v>
      </c>
      <c r="D4460">
        <v>-17.6392629865</v>
      </c>
      <c r="F4460" t="str">
        <f>HYPERLINK("D:\Data From Lucan\2024\Moresby\Frames_for_Analysis/4457_20240611_0005_L_0615.jpg","4457_20240611_0005_L_0615.jpg")</f>
        <v>4457_20240611_0005_L_0615.jpg</v>
      </c>
      <c r="G4460" s="92" t="s">
        <v>5304</v>
      </c>
      <c r="I4460">
        <v>4</v>
      </c>
      <c r="K4460" s="57">
        <v>1</v>
      </c>
      <c r="L4460" t="s">
        <v>3959</v>
      </c>
      <c r="M4460" t="s">
        <v>3959</v>
      </c>
      <c r="N4460" t="s">
        <v>3959</v>
      </c>
      <c r="O4460" t="s">
        <v>3959</v>
      </c>
      <c r="P4460" s="57">
        <v>1</v>
      </c>
      <c r="Q4460" s="57">
        <v>0</v>
      </c>
      <c r="R4460" s="57">
        <v>0</v>
      </c>
      <c r="S4460" s="57">
        <v>0</v>
      </c>
      <c r="T4460" s="57">
        <v>0</v>
      </c>
      <c r="U4460" s="57">
        <v>0</v>
      </c>
      <c r="V4460" s="57">
        <v>0</v>
      </c>
      <c r="W4460" s="57">
        <v>0</v>
      </c>
      <c r="X4460" s="57">
        <v>0</v>
      </c>
    </row>
    <row r="4461" spans="1:24" hidden="1" x14ac:dyDescent="0.35">
      <c r="A4461">
        <v>4457</v>
      </c>
      <c r="B4461">
        <v>4458</v>
      </c>
      <c r="C4461">
        <v>146.072558643999</v>
      </c>
      <c r="D4461">
        <v>-17.639262563900001</v>
      </c>
      <c r="F4461" t="str">
        <f>HYPERLINK("D:\Data From Lucan\2024\Moresby\Frames_for_Analysis/4458_20240611_0005_L_0618.jpg","4458_20240611_0005_L_0618.jpg")</f>
        <v>4458_20240611_0005_L_0618.jpg</v>
      </c>
      <c r="G4461" s="92" t="s">
        <v>5305</v>
      </c>
      <c r="I4461">
        <v>4</v>
      </c>
      <c r="K4461" s="57">
        <v>1</v>
      </c>
      <c r="L4461" t="s">
        <v>3959</v>
      </c>
      <c r="M4461" t="s">
        <v>3959</v>
      </c>
      <c r="N4461" t="s">
        <v>3959</v>
      </c>
      <c r="O4461" t="s">
        <v>3959</v>
      </c>
      <c r="P4461" s="57">
        <v>1</v>
      </c>
      <c r="Q4461" s="57">
        <v>0</v>
      </c>
      <c r="R4461" s="57">
        <v>0</v>
      </c>
      <c r="S4461" s="57">
        <v>0</v>
      </c>
      <c r="T4461" s="57">
        <v>0</v>
      </c>
      <c r="U4461" s="57">
        <v>0</v>
      </c>
      <c r="V4461" s="57">
        <v>0</v>
      </c>
      <c r="W4461" s="57">
        <v>0</v>
      </c>
      <c r="X4461" s="57">
        <v>0</v>
      </c>
    </row>
    <row r="4462" spans="1:24" hidden="1" x14ac:dyDescent="0.35">
      <c r="A4462">
        <v>4458</v>
      </c>
      <c r="B4462">
        <v>4459</v>
      </c>
      <c r="C4462">
        <v>146.072468813</v>
      </c>
      <c r="D4462">
        <v>-17.639262141300001</v>
      </c>
      <c r="F4462" t="str">
        <f>HYPERLINK("D:\Data From Lucan\2024\Moresby\Frames_for_Analysis/4459_20240611_0005_L_0621.jpg","4459_20240611_0005_L_0621.jpg")</f>
        <v>4459_20240611_0005_L_0621.jpg</v>
      </c>
      <c r="G4462" s="92" t="s">
        <v>5306</v>
      </c>
      <c r="I4462">
        <v>4</v>
      </c>
      <c r="K4462" s="57">
        <v>1</v>
      </c>
      <c r="L4462" t="s">
        <v>3959</v>
      </c>
      <c r="M4462" t="s">
        <v>3959</v>
      </c>
      <c r="N4462" t="s">
        <v>3959</v>
      </c>
      <c r="O4462" t="s">
        <v>3959</v>
      </c>
      <c r="P4462" s="57">
        <v>1</v>
      </c>
      <c r="Q4462" s="57">
        <v>0</v>
      </c>
      <c r="R4462" s="57">
        <v>0</v>
      </c>
      <c r="S4462" s="57">
        <v>0</v>
      </c>
      <c r="T4462" s="57">
        <v>0</v>
      </c>
      <c r="U4462" s="57">
        <v>0</v>
      </c>
      <c r="V4462" s="57">
        <v>0</v>
      </c>
      <c r="W4462" s="57">
        <v>0</v>
      </c>
      <c r="X4462" s="57">
        <v>0</v>
      </c>
    </row>
    <row r="4463" spans="1:24" hidden="1" x14ac:dyDescent="0.35">
      <c r="A4463">
        <v>4459</v>
      </c>
      <c r="B4463">
        <v>4460</v>
      </c>
      <c r="C4463">
        <v>146.072378982999</v>
      </c>
      <c r="D4463">
        <v>-17.6392617186</v>
      </c>
      <c r="F4463" t="str">
        <f>HYPERLINK("D:\Data From Lucan\2024\Moresby\Frames_for_Analysis/4460_20240611_0005_L_0624.jpg","4460_20240611_0005_L_0624.jpg")</f>
        <v>4460_20240611_0005_L_0624.jpg</v>
      </c>
      <c r="G4463" s="92" t="s">
        <v>5307</v>
      </c>
      <c r="I4463">
        <v>4</v>
      </c>
      <c r="K4463" s="57">
        <v>1</v>
      </c>
      <c r="L4463" t="s">
        <v>3959</v>
      </c>
      <c r="M4463" t="s">
        <v>3959</v>
      </c>
      <c r="N4463" t="s">
        <v>3959</v>
      </c>
      <c r="O4463" t="s">
        <v>3959</v>
      </c>
      <c r="P4463" s="57">
        <v>1</v>
      </c>
      <c r="Q4463" s="57">
        <v>0</v>
      </c>
      <c r="R4463" s="57">
        <v>0</v>
      </c>
      <c r="S4463" s="57">
        <v>0</v>
      </c>
      <c r="T4463" s="57">
        <v>0</v>
      </c>
      <c r="U4463" s="57">
        <v>0</v>
      </c>
      <c r="V4463" s="57">
        <v>0</v>
      </c>
      <c r="W4463" s="57">
        <v>0</v>
      </c>
      <c r="X4463" s="57">
        <v>0</v>
      </c>
    </row>
    <row r="4464" spans="1:24" hidden="1" x14ac:dyDescent="0.35">
      <c r="A4464">
        <v>4460</v>
      </c>
      <c r="B4464">
        <v>4461</v>
      </c>
      <c r="C4464">
        <v>146.072289963999</v>
      </c>
      <c r="D4464">
        <v>-17.639271177200001</v>
      </c>
      <c r="F4464" t="str">
        <f>HYPERLINK("D:\Data From Lucan\2024\Moresby\Frames_for_Analysis/4461_20240611_0005_L_0627.jpg","4461_20240611_0005_L_0627.jpg")</f>
        <v>4461_20240611_0005_L_0627.jpg</v>
      </c>
      <c r="G4464" s="92" t="s">
        <v>5308</v>
      </c>
      <c r="I4464">
        <v>4</v>
      </c>
      <c r="K4464" s="57">
        <v>1</v>
      </c>
      <c r="L4464" t="s">
        <v>3959</v>
      </c>
      <c r="M4464" t="s">
        <v>3959</v>
      </c>
      <c r="N4464" t="s">
        <v>3959</v>
      </c>
      <c r="O4464" t="s">
        <v>3959</v>
      </c>
      <c r="P4464" s="57">
        <v>1</v>
      </c>
      <c r="Q4464" s="57">
        <v>0</v>
      </c>
      <c r="R4464" s="57">
        <v>0</v>
      </c>
      <c r="S4464" s="57">
        <v>0</v>
      </c>
      <c r="T4464" s="57">
        <v>0</v>
      </c>
      <c r="U4464" s="57">
        <v>0</v>
      </c>
      <c r="V4464" s="57">
        <v>0</v>
      </c>
      <c r="W4464" s="57">
        <v>0</v>
      </c>
      <c r="X4464" s="57">
        <v>0</v>
      </c>
    </row>
    <row r="4465" spans="1:24" hidden="1" x14ac:dyDescent="0.35">
      <c r="A4465">
        <v>4461</v>
      </c>
      <c r="B4465">
        <v>4462</v>
      </c>
      <c r="C4465">
        <v>146.072201296999</v>
      </c>
      <c r="D4465">
        <v>-17.6392849179</v>
      </c>
      <c r="F4465" t="str">
        <f>HYPERLINK("D:\Data From Lucan\2024\Moresby\Frames_for_Analysis/4462_20240611_0005_L_0630.jpg","4462_20240611_0005_L_0630.jpg")</f>
        <v>4462_20240611_0005_L_0630.jpg</v>
      </c>
      <c r="G4465" s="92" t="s">
        <v>5309</v>
      </c>
      <c r="I4465">
        <v>4</v>
      </c>
      <c r="K4465" s="57">
        <v>1</v>
      </c>
      <c r="L4465" t="s">
        <v>3959</v>
      </c>
      <c r="M4465" t="s">
        <v>3959</v>
      </c>
      <c r="N4465" t="s">
        <v>3959</v>
      </c>
      <c r="O4465" t="s">
        <v>3959</v>
      </c>
      <c r="P4465" s="57">
        <v>1</v>
      </c>
      <c r="Q4465" s="57">
        <v>0</v>
      </c>
      <c r="R4465" s="57">
        <v>0</v>
      </c>
      <c r="S4465" s="57">
        <v>0</v>
      </c>
      <c r="T4465" s="57">
        <v>0</v>
      </c>
      <c r="U4465" s="57">
        <v>0</v>
      </c>
      <c r="V4465" s="57">
        <v>0</v>
      </c>
      <c r="W4465" s="57">
        <v>0</v>
      </c>
      <c r="X4465" s="57">
        <v>0</v>
      </c>
    </row>
    <row r="4466" spans="1:24" hidden="1" x14ac:dyDescent="0.35">
      <c r="A4466">
        <v>4462</v>
      </c>
      <c r="B4466">
        <v>4463</v>
      </c>
      <c r="C4466">
        <v>146.07211263100001</v>
      </c>
      <c r="D4466">
        <v>-17.639298658600001</v>
      </c>
      <c r="F4466" t="str">
        <f>HYPERLINK("D:\Data From Lucan\2024\Moresby\Frames_for_Analysis/4463_20240611_0005_L_0635.jpg","4463_20240611_0005_L_0635.jpg")</f>
        <v>4463_20240611_0005_L_0635.jpg</v>
      </c>
      <c r="G4466" s="92" t="s">
        <v>5310</v>
      </c>
      <c r="I4466">
        <v>4</v>
      </c>
      <c r="K4466" s="57">
        <v>1</v>
      </c>
      <c r="L4466" t="s">
        <v>3959</v>
      </c>
      <c r="M4466" t="s">
        <v>3959</v>
      </c>
      <c r="N4466" t="s">
        <v>3959</v>
      </c>
      <c r="O4466" t="s">
        <v>3959</v>
      </c>
      <c r="P4466" s="57">
        <v>1</v>
      </c>
      <c r="Q4466" s="57">
        <v>0</v>
      </c>
      <c r="R4466" s="57">
        <v>0</v>
      </c>
      <c r="S4466" s="57">
        <v>0</v>
      </c>
      <c r="T4466" s="57">
        <v>0</v>
      </c>
      <c r="U4466" s="57">
        <v>0</v>
      </c>
      <c r="V4466" s="57">
        <v>0</v>
      </c>
      <c r="W4466" s="57">
        <v>0</v>
      </c>
      <c r="X4466" s="57">
        <v>0</v>
      </c>
    </row>
    <row r="4467" spans="1:24" hidden="1" x14ac:dyDescent="0.35">
      <c r="A4467">
        <v>4463</v>
      </c>
      <c r="B4467">
        <v>4464</v>
      </c>
      <c r="C4467">
        <v>146.07202396400001</v>
      </c>
      <c r="D4467">
        <v>-17.6393123993</v>
      </c>
      <c r="F4467" t="str">
        <f>HYPERLINK("D:\Data From Lucan\2024\Moresby\Frames_for_Analysis/4464_20240611_0005_L_0637.jpg","4464_20240611_0005_L_0637.jpg")</f>
        <v>4464_20240611_0005_L_0637.jpg</v>
      </c>
      <c r="G4467" s="92" t="s">
        <v>5311</v>
      </c>
      <c r="I4467">
        <v>4</v>
      </c>
      <c r="K4467" s="57">
        <v>1</v>
      </c>
      <c r="L4467" t="s">
        <v>3959</v>
      </c>
      <c r="M4467" t="s">
        <v>3959</v>
      </c>
      <c r="N4467" t="s">
        <v>3959</v>
      </c>
      <c r="O4467" t="s">
        <v>3959</v>
      </c>
      <c r="P4467" s="57">
        <v>1</v>
      </c>
      <c r="Q4467" s="57">
        <v>0</v>
      </c>
      <c r="R4467" s="57">
        <v>0</v>
      </c>
      <c r="S4467" s="57">
        <v>0</v>
      </c>
      <c r="T4467" s="57">
        <v>0</v>
      </c>
      <c r="U4467" s="57">
        <v>0</v>
      </c>
      <c r="V4467" s="57">
        <v>0</v>
      </c>
      <c r="W4467" s="57">
        <v>0</v>
      </c>
      <c r="X4467" s="57">
        <v>0</v>
      </c>
    </row>
    <row r="4468" spans="1:24" hidden="1" x14ac:dyDescent="0.35">
      <c r="A4468">
        <v>4464</v>
      </c>
      <c r="B4468">
        <v>4465</v>
      </c>
      <c r="C4468">
        <v>146.07193529700001</v>
      </c>
      <c r="D4468">
        <v>-17.639326140000001</v>
      </c>
      <c r="F4468" t="str">
        <f>HYPERLINK("D:\Data From Lucan\2024\Moresby\Frames_for_Analysis/4465_20240611_0005_L_0640.jpg","4465_20240611_0005_L_0640.jpg")</f>
        <v>4465_20240611_0005_L_0640.jpg</v>
      </c>
      <c r="G4468" s="92" t="s">
        <v>5312</v>
      </c>
      <c r="I4468">
        <v>4</v>
      </c>
      <c r="K4468" s="57">
        <v>1</v>
      </c>
      <c r="L4468" t="s">
        <v>3959</v>
      </c>
      <c r="M4468" t="s">
        <v>3959</v>
      </c>
      <c r="N4468" t="s">
        <v>3959</v>
      </c>
      <c r="O4468" t="s">
        <v>3959</v>
      </c>
      <c r="P4468" s="57">
        <v>1</v>
      </c>
      <c r="Q4468" s="57">
        <v>0</v>
      </c>
      <c r="R4468" s="57">
        <v>0</v>
      </c>
      <c r="S4468" s="57">
        <v>0</v>
      </c>
      <c r="T4468" s="57">
        <v>0</v>
      </c>
      <c r="U4468" s="57">
        <v>0</v>
      </c>
      <c r="V4468" s="57">
        <v>0</v>
      </c>
      <c r="W4468" s="57">
        <v>0</v>
      </c>
      <c r="X4468" s="57">
        <v>0</v>
      </c>
    </row>
    <row r="4469" spans="1:24" hidden="1" x14ac:dyDescent="0.35">
      <c r="A4469">
        <v>4465</v>
      </c>
      <c r="B4469">
        <v>4466</v>
      </c>
      <c r="C4469">
        <v>146.07184663000001</v>
      </c>
      <c r="D4469">
        <v>-17.6393398807</v>
      </c>
      <c r="F4469" t="str">
        <f>HYPERLINK("D:\Data From Lucan\2024\Moresby\Frames_for_Analysis/4466_20240611_0005_L_0643.jpg","4466_20240611_0005_L_0643.jpg")</f>
        <v>4466_20240611_0005_L_0643.jpg</v>
      </c>
      <c r="G4469" s="92" t="s">
        <v>5313</v>
      </c>
      <c r="I4469">
        <v>4</v>
      </c>
      <c r="K4469" s="57">
        <v>1</v>
      </c>
      <c r="L4469" t="s">
        <v>3959</v>
      </c>
      <c r="M4469" t="s">
        <v>3959</v>
      </c>
      <c r="N4469" t="s">
        <v>3959</v>
      </c>
      <c r="O4469" t="s">
        <v>3959</v>
      </c>
      <c r="P4469" s="57">
        <v>1</v>
      </c>
      <c r="Q4469" s="57">
        <v>0</v>
      </c>
      <c r="R4469" s="57">
        <v>0</v>
      </c>
      <c r="S4469" s="57">
        <v>0</v>
      </c>
      <c r="T4469" s="57">
        <v>0</v>
      </c>
      <c r="U4469" s="57">
        <v>0</v>
      </c>
      <c r="V4469" s="57">
        <v>0</v>
      </c>
      <c r="W4469" s="57">
        <v>0</v>
      </c>
      <c r="X4469" s="57">
        <v>0</v>
      </c>
    </row>
    <row r="4470" spans="1:24" hidden="1" x14ac:dyDescent="0.35">
      <c r="A4470">
        <v>4466</v>
      </c>
      <c r="B4470">
        <v>4467</v>
      </c>
      <c r="C4470">
        <v>146.07175796300001</v>
      </c>
      <c r="D4470">
        <v>-17.6393536215</v>
      </c>
      <c r="F4470" t="str">
        <f>HYPERLINK("D:\Data From Lucan\2024\Moresby\Frames_for_Analysis/4467_20240611_0005_L_0646.jpg","4467_20240611_0005_L_0646.jpg")</f>
        <v>4467_20240611_0005_L_0646.jpg</v>
      </c>
      <c r="G4470" s="92" t="s">
        <v>5314</v>
      </c>
      <c r="I4470">
        <v>4</v>
      </c>
      <c r="K4470" s="57">
        <v>1</v>
      </c>
      <c r="L4470" t="s">
        <v>3959</v>
      </c>
      <c r="M4470" t="s">
        <v>3959</v>
      </c>
      <c r="N4470" t="s">
        <v>3959</v>
      </c>
      <c r="O4470" t="s">
        <v>3959</v>
      </c>
      <c r="P4470" s="57">
        <v>1</v>
      </c>
      <c r="Q4470" s="57">
        <v>0</v>
      </c>
      <c r="R4470" s="57">
        <v>0</v>
      </c>
      <c r="S4470" s="57">
        <v>0</v>
      </c>
      <c r="T4470" s="57">
        <v>0</v>
      </c>
      <c r="U4470" s="57">
        <v>0</v>
      </c>
      <c r="V4470" s="57">
        <v>0</v>
      </c>
      <c r="W4470" s="57">
        <v>0</v>
      </c>
      <c r="X4470" s="57">
        <v>0</v>
      </c>
    </row>
    <row r="4471" spans="1:24" hidden="1" x14ac:dyDescent="0.35">
      <c r="A4471">
        <v>4467</v>
      </c>
      <c r="B4471">
        <v>4468</v>
      </c>
      <c r="C4471">
        <v>146.07167305900001</v>
      </c>
      <c r="D4471">
        <v>-17.639381200700001</v>
      </c>
      <c r="F4471" t="str">
        <f>HYPERLINK("D:\Data From Lucan\2024\Moresby\Frames_for_Analysis/4468_20240611_0005_L_0649.jpg","4468_20240611_0005_L_0649.jpg")</f>
        <v>4468_20240611_0005_L_0649.jpg</v>
      </c>
      <c r="G4471" s="92" t="s">
        <v>5315</v>
      </c>
      <c r="I4471">
        <v>4</v>
      </c>
      <c r="K4471" s="57">
        <v>1</v>
      </c>
      <c r="L4471" t="s">
        <v>3959</v>
      </c>
      <c r="M4471" t="s">
        <v>3959</v>
      </c>
      <c r="N4471" t="s">
        <v>3959</v>
      </c>
      <c r="O4471" t="s">
        <v>3959</v>
      </c>
      <c r="P4471" s="57">
        <v>1</v>
      </c>
      <c r="Q4471" s="57">
        <v>0</v>
      </c>
      <c r="R4471" s="57">
        <v>0</v>
      </c>
      <c r="S4471" s="57">
        <v>0</v>
      </c>
      <c r="T4471" s="57">
        <v>0</v>
      </c>
      <c r="U4471" s="57">
        <v>0</v>
      </c>
      <c r="V4471" s="57">
        <v>0</v>
      </c>
      <c r="W4471" s="57">
        <v>0</v>
      </c>
      <c r="X4471" s="57">
        <v>0</v>
      </c>
    </row>
    <row r="4472" spans="1:24" hidden="1" x14ac:dyDescent="0.35">
      <c r="A4472">
        <v>4468</v>
      </c>
      <c r="B4472">
        <v>4469</v>
      </c>
      <c r="C4472">
        <v>146.071588544999</v>
      </c>
      <c r="D4472">
        <v>-17.6394102173</v>
      </c>
      <c r="F4472" t="str">
        <f>HYPERLINK("D:\Data From Lucan\2024\Moresby\Frames_for_Analysis/4469_20240611_0005_L_0652.jpg","4469_20240611_0005_L_0652.jpg")</f>
        <v>4469_20240611_0005_L_0652.jpg</v>
      </c>
      <c r="G4472" s="92" t="s">
        <v>5316</v>
      </c>
      <c r="I4472">
        <v>4</v>
      </c>
      <c r="K4472" s="57">
        <v>1</v>
      </c>
      <c r="L4472" t="s">
        <v>3959</v>
      </c>
      <c r="M4472" t="s">
        <v>3959</v>
      </c>
      <c r="N4472" t="s">
        <v>3959</v>
      </c>
      <c r="O4472" t="s">
        <v>3959</v>
      </c>
      <c r="P4472" s="57">
        <v>1</v>
      </c>
      <c r="Q4472" s="57">
        <v>0</v>
      </c>
      <c r="R4472" s="57">
        <v>0</v>
      </c>
      <c r="S4472" s="57">
        <v>0</v>
      </c>
      <c r="T4472" s="57">
        <v>0</v>
      </c>
      <c r="U4472" s="57">
        <v>0</v>
      </c>
      <c r="V4472" s="57">
        <v>0</v>
      </c>
      <c r="W4472" s="57">
        <v>0</v>
      </c>
      <c r="X4472" s="57">
        <v>0</v>
      </c>
    </row>
    <row r="4473" spans="1:24" hidden="1" x14ac:dyDescent="0.35">
      <c r="A4473">
        <v>4469</v>
      </c>
      <c r="B4473">
        <v>4470</v>
      </c>
      <c r="C4473">
        <v>146.07150403099899</v>
      </c>
      <c r="D4473">
        <v>-17.6394392338999</v>
      </c>
      <c r="F4473" t="str">
        <f>HYPERLINK("D:\Data From Lucan\2024\Moresby\Frames_for_Analysis/4470_20240611_0005_L_0655.jpg","4470_20240611_0005_L_0655.jpg")</f>
        <v>4470_20240611_0005_L_0655.jpg</v>
      </c>
      <c r="G4473" s="92" t="s">
        <v>5317</v>
      </c>
      <c r="I4473">
        <v>4</v>
      </c>
      <c r="K4473" s="57">
        <v>1</v>
      </c>
      <c r="L4473" t="s">
        <v>3959</v>
      </c>
      <c r="M4473" t="s">
        <v>3959</v>
      </c>
      <c r="N4473" t="s">
        <v>3959</v>
      </c>
      <c r="O4473" t="s">
        <v>3959</v>
      </c>
      <c r="P4473" s="57">
        <v>1</v>
      </c>
      <c r="Q4473" s="57">
        <v>0</v>
      </c>
      <c r="R4473" s="57">
        <v>0</v>
      </c>
      <c r="S4473" s="57">
        <v>0</v>
      </c>
      <c r="T4473" s="57">
        <v>0</v>
      </c>
      <c r="U4473" s="57">
        <v>0</v>
      </c>
      <c r="V4473" s="57">
        <v>0</v>
      </c>
      <c r="W4473" s="57">
        <v>0</v>
      </c>
      <c r="X4473" s="57">
        <v>0</v>
      </c>
    </row>
    <row r="4474" spans="1:24" hidden="1" x14ac:dyDescent="0.35">
      <c r="A4474">
        <v>4470</v>
      </c>
      <c r="B4474">
        <v>4471</v>
      </c>
      <c r="C4474">
        <v>146.07141951700001</v>
      </c>
      <c r="D4474">
        <v>-17.639468250499899</v>
      </c>
      <c r="F4474" t="str">
        <f>HYPERLINK("D:\Data From Lucan\2024\Moresby\Frames_for_Analysis/4471_20240611_0006_L_0003.jpg","4471_20240611_0006_L_0003.jpg")</f>
        <v>4471_20240611_0006_L_0003.jpg</v>
      </c>
      <c r="G4474" s="92" t="s">
        <v>5318</v>
      </c>
      <c r="I4474">
        <v>4</v>
      </c>
      <c r="K4474" s="57">
        <v>1</v>
      </c>
      <c r="L4474" t="s">
        <v>3959</v>
      </c>
      <c r="M4474" t="s">
        <v>3959</v>
      </c>
      <c r="N4474" t="s">
        <v>3959</v>
      </c>
      <c r="O4474" t="s">
        <v>3959</v>
      </c>
      <c r="P4474" s="57">
        <v>1</v>
      </c>
      <c r="Q4474" s="57">
        <v>0</v>
      </c>
      <c r="R4474" s="57">
        <v>0</v>
      </c>
      <c r="S4474" s="57">
        <v>0</v>
      </c>
      <c r="T4474" s="57">
        <v>0</v>
      </c>
      <c r="U4474" s="57">
        <v>0</v>
      </c>
      <c r="V4474" s="57">
        <v>0</v>
      </c>
      <c r="W4474" s="57">
        <v>0</v>
      </c>
      <c r="X4474" s="57">
        <v>0</v>
      </c>
    </row>
    <row r="4475" spans="1:24" hidden="1" x14ac:dyDescent="0.35">
      <c r="A4475">
        <v>4471</v>
      </c>
      <c r="B4475">
        <v>4472</v>
      </c>
      <c r="C4475">
        <v>146.071335003</v>
      </c>
      <c r="D4475">
        <v>-17.639497267100001</v>
      </c>
      <c r="F4475" t="str">
        <f>HYPERLINK("D:\Data From Lucan\2024\Moresby\Frames_for_Analysis/4472_20240611_0005_L_0661.jpg","4472_20240611_0005_L_0661.jpg")</f>
        <v>4472_20240611_0005_L_0661.jpg</v>
      </c>
      <c r="G4475" s="92" t="s">
        <v>5319</v>
      </c>
      <c r="I4475">
        <v>4</v>
      </c>
      <c r="K4475" s="57">
        <v>1</v>
      </c>
      <c r="L4475" t="s">
        <v>3959</v>
      </c>
      <c r="M4475" t="s">
        <v>3959</v>
      </c>
      <c r="N4475" t="s">
        <v>3959</v>
      </c>
      <c r="O4475" t="s">
        <v>3959</v>
      </c>
      <c r="P4475" s="57">
        <v>1</v>
      </c>
      <c r="Q4475" s="57">
        <v>0</v>
      </c>
      <c r="R4475" s="57">
        <v>0</v>
      </c>
      <c r="S4475" s="57">
        <v>0</v>
      </c>
      <c r="T4475" s="57">
        <v>0</v>
      </c>
      <c r="U4475" s="57">
        <v>0</v>
      </c>
      <c r="V4475" s="57">
        <v>0</v>
      </c>
      <c r="W4475" s="57">
        <v>0</v>
      </c>
      <c r="X4475" s="57">
        <v>0</v>
      </c>
    </row>
    <row r="4476" spans="1:24" hidden="1" x14ac:dyDescent="0.35">
      <c r="A4476">
        <v>4472</v>
      </c>
      <c r="B4476">
        <v>4473</v>
      </c>
      <c r="C4476">
        <v>146.071250488999</v>
      </c>
      <c r="D4476">
        <v>-17.6395262837</v>
      </c>
      <c r="F4476" t="str">
        <f>HYPERLINK("D:\Data From Lucan\2024\Moresby\Frames_for_Analysis/4473_20240611_0006_L_0012.jpg","4473_20240611_0006_L_0012.jpg")</f>
        <v>4473_20240611_0006_L_0012.jpg</v>
      </c>
      <c r="G4476" s="92" t="s">
        <v>5320</v>
      </c>
      <c r="I4476">
        <v>4</v>
      </c>
      <c r="K4476" s="57">
        <v>1</v>
      </c>
      <c r="L4476" t="s">
        <v>3959</v>
      </c>
      <c r="M4476" t="s">
        <v>3959</v>
      </c>
      <c r="N4476" t="s">
        <v>3959</v>
      </c>
      <c r="O4476" t="s">
        <v>3959</v>
      </c>
      <c r="P4476" s="57">
        <v>1</v>
      </c>
      <c r="Q4476" s="57">
        <v>0</v>
      </c>
      <c r="R4476" s="57">
        <v>0</v>
      </c>
      <c r="S4476" s="57">
        <v>0</v>
      </c>
      <c r="T4476" s="57">
        <v>0</v>
      </c>
      <c r="U4476" s="57">
        <v>0</v>
      </c>
      <c r="V4476" s="57">
        <v>0</v>
      </c>
      <c r="W4476" s="57">
        <v>0</v>
      </c>
      <c r="X4476" s="57">
        <v>0</v>
      </c>
    </row>
    <row r="4477" spans="1:24" hidden="1" x14ac:dyDescent="0.35">
      <c r="A4477">
        <v>4473</v>
      </c>
      <c r="B4477">
        <v>4474</v>
      </c>
      <c r="C4477">
        <v>146.07116597500001</v>
      </c>
      <c r="D4477">
        <v>-17.6395553003</v>
      </c>
      <c r="F4477" t="str">
        <f>HYPERLINK("D:\Data From Lucan\2024\Moresby\Frames_for_Analysis/4474_20240611_0006_L_0018.jpg","4474_20240611_0006_L_0018.jpg")</f>
        <v>4474_20240611_0006_L_0018.jpg</v>
      </c>
      <c r="G4477" s="92" t="s">
        <v>5321</v>
      </c>
      <c r="I4477">
        <v>4</v>
      </c>
      <c r="K4477" s="57">
        <v>1</v>
      </c>
      <c r="L4477" t="s">
        <v>3959</v>
      </c>
      <c r="M4477" t="s">
        <v>3959</v>
      </c>
      <c r="N4477" t="s">
        <v>3959</v>
      </c>
      <c r="O4477" t="s">
        <v>3959</v>
      </c>
      <c r="P4477" s="57">
        <v>1</v>
      </c>
      <c r="Q4477" s="57">
        <v>0</v>
      </c>
      <c r="R4477" s="57">
        <v>0</v>
      </c>
      <c r="S4477" s="57">
        <v>0</v>
      </c>
      <c r="T4477" s="57">
        <v>0</v>
      </c>
      <c r="U4477" s="57">
        <v>0</v>
      </c>
      <c r="V4477" s="57">
        <v>0</v>
      </c>
      <c r="W4477" s="57">
        <v>0</v>
      </c>
      <c r="X4477" s="57">
        <v>0</v>
      </c>
    </row>
    <row r="4478" spans="1:24" hidden="1" x14ac:dyDescent="0.35">
      <c r="A4478">
        <v>4474</v>
      </c>
      <c r="B4478">
        <v>4475</v>
      </c>
      <c r="C4478">
        <v>146.07108146100001</v>
      </c>
      <c r="D4478">
        <v>-17.639584316899899</v>
      </c>
      <c r="F4478" t="str">
        <f>HYPERLINK("D:\Data From Lucan\2024\Moresby\Frames_for_Analysis/4475_20240611_0006_L_0022.jpg","4475_20240611_0006_L_0022.jpg")</f>
        <v>4475_20240611_0006_L_0022.jpg</v>
      </c>
      <c r="G4478" s="92" t="s">
        <v>5322</v>
      </c>
      <c r="I4478">
        <v>4</v>
      </c>
      <c r="K4478" s="57">
        <v>1</v>
      </c>
      <c r="L4478" t="s">
        <v>3959</v>
      </c>
      <c r="M4478" t="s">
        <v>3959</v>
      </c>
      <c r="N4478" t="s">
        <v>3959</v>
      </c>
      <c r="O4478" t="s">
        <v>3959</v>
      </c>
      <c r="P4478" s="57">
        <v>1</v>
      </c>
      <c r="Q4478" s="57">
        <v>0</v>
      </c>
      <c r="R4478" s="57">
        <v>0</v>
      </c>
      <c r="S4478" s="57">
        <v>0</v>
      </c>
      <c r="T4478" s="57">
        <v>0</v>
      </c>
      <c r="U4478" s="57">
        <v>0</v>
      </c>
      <c r="V4478" s="57">
        <v>0</v>
      </c>
      <c r="W4478" s="57">
        <v>0</v>
      </c>
      <c r="X4478" s="57">
        <v>0</v>
      </c>
    </row>
    <row r="4479" spans="1:24" hidden="1" x14ac:dyDescent="0.35">
      <c r="A4479">
        <v>4475</v>
      </c>
      <c r="B4479">
        <v>4476</v>
      </c>
      <c r="C4479">
        <v>146.070996946999</v>
      </c>
      <c r="D4479">
        <v>-17.639613333500002</v>
      </c>
      <c r="F4479" t="str">
        <f>HYPERLINK("D:\Data From Lucan\2024\Moresby\Frames_for_Analysis/4476_20240611_0006_L_0027.jpg","4476_20240611_0006_L_0027.jpg")</f>
        <v>4476_20240611_0006_L_0027.jpg</v>
      </c>
      <c r="G4479" s="92" t="s">
        <v>5323</v>
      </c>
      <c r="I4479">
        <v>4</v>
      </c>
      <c r="K4479" s="57">
        <v>1</v>
      </c>
      <c r="L4479" t="s">
        <v>3959</v>
      </c>
      <c r="M4479" t="s">
        <v>3959</v>
      </c>
      <c r="N4479" t="s">
        <v>3959</v>
      </c>
      <c r="O4479" t="s">
        <v>3959</v>
      </c>
      <c r="P4479" s="57">
        <v>1</v>
      </c>
      <c r="Q4479" s="57">
        <v>0</v>
      </c>
      <c r="R4479" s="57">
        <v>0</v>
      </c>
      <c r="S4479" s="57">
        <v>0</v>
      </c>
      <c r="T4479" s="57">
        <v>0</v>
      </c>
      <c r="U4479" s="57">
        <v>0</v>
      </c>
      <c r="V4479" s="57">
        <v>0</v>
      </c>
      <c r="W4479" s="57">
        <v>0</v>
      </c>
      <c r="X4479" s="57">
        <v>0</v>
      </c>
    </row>
    <row r="4480" spans="1:24" hidden="1" x14ac:dyDescent="0.35">
      <c r="A4480">
        <v>4476</v>
      </c>
      <c r="B4480">
        <v>4477</v>
      </c>
      <c r="C4480">
        <v>146.07091243299899</v>
      </c>
      <c r="D4480">
        <v>-17.639642350100001</v>
      </c>
      <c r="F4480" t="str">
        <f>HYPERLINK("D:\Data From Lucan\2024\Moresby\Frames_for_Analysis/4477_20240611_0006_L_0032.jpg","4477_20240611_0006_L_0032.jpg")</f>
        <v>4477_20240611_0006_L_0032.jpg</v>
      </c>
      <c r="G4480" s="92" t="s">
        <v>5324</v>
      </c>
      <c r="I4480">
        <v>4</v>
      </c>
      <c r="K4480" s="57">
        <v>1</v>
      </c>
      <c r="L4480" t="s">
        <v>3959</v>
      </c>
      <c r="M4480" t="s">
        <v>3959</v>
      </c>
      <c r="N4480" t="s">
        <v>3959</v>
      </c>
      <c r="O4480" t="s">
        <v>3959</v>
      </c>
      <c r="P4480" s="57">
        <v>1</v>
      </c>
      <c r="Q4480" s="57">
        <v>0</v>
      </c>
      <c r="R4480" s="57">
        <v>0</v>
      </c>
      <c r="S4480" s="57">
        <v>0</v>
      </c>
      <c r="T4480" s="57">
        <v>0</v>
      </c>
      <c r="U4480" s="57">
        <v>0</v>
      </c>
      <c r="V4480" s="57">
        <v>0</v>
      </c>
      <c r="W4480" s="57">
        <v>0</v>
      </c>
      <c r="X4480" s="57">
        <v>0</v>
      </c>
    </row>
    <row r="4481" spans="1:24" hidden="1" x14ac:dyDescent="0.35">
      <c r="A4481">
        <v>4477</v>
      </c>
      <c r="B4481">
        <v>4478</v>
      </c>
      <c r="C4481">
        <v>146.07082791900001</v>
      </c>
      <c r="D4481">
        <v>-17.6396713667</v>
      </c>
      <c r="F4481" t="str">
        <f>HYPERLINK("D:\Data From Lucan\2024\Moresby\Frames_for_Analysis/4478_20240611_0006_L_0035.jpg","4478_20240611_0006_L_0035.jpg")</f>
        <v>4478_20240611_0006_L_0035.jpg</v>
      </c>
      <c r="G4481" s="92" t="s">
        <v>5325</v>
      </c>
      <c r="I4481">
        <v>4</v>
      </c>
      <c r="K4481" s="57">
        <v>1</v>
      </c>
      <c r="L4481" t="s">
        <v>3959</v>
      </c>
      <c r="M4481" t="s">
        <v>3959</v>
      </c>
      <c r="N4481" t="s">
        <v>3959</v>
      </c>
      <c r="O4481" t="s">
        <v>3959</v>
      </c>
      <c r="P4481" s="57">
        <v>1</v>
      </c>
      <c r="Q4481" s="57">
        <v>0</v>
      </c>
      <c r="R4481" s="57">
        <v>0</v>
      </c>
      <c r="S4481" s="57">
        <v>0</v>
      </c>
      <c r="T4481" s="57">
        <v>0</v>
      </c>
      <c r="U4481" s="57">
        <v>0</v>
      </c>
      <c r="V4481" s="57">
        <v>0</v>
      </c>
      <c r="W4481" s="57">
        <v>0</v>
      </c>
      <c r="X4481" s="57">
        <v>0</v>
      </c>
    </row>
    <row r="4482" spans="1:24" hidden="1" x14ac:dyDescent="0.35">
      <c r="A4482">
        <v>4478</v>
      </c>
      <c r="B4482">
        <v>4479</v>
      </c>
      <c r="C4482">
        <v>146.07074374800001</v>
      </c>
      <c r="D4482">
        <v>-17.6397012402999</v>
      </c>
      <c r="F4482" t="str">
        <f>HYPERLINK("D:\Data From Lucan\2024\Moresby\Frames_for_Analysis/4479_20240611_0006_L_0038.jpg","4479_20240611_0006_L_0038.jpg")</f>
        <v>4479_20240611_0006_L_0038.jpg</v>
      </c>
      <c r="G4482" s="92" t="s">
        <v>5326</v>
      </c>
      <c r="I4482">
        <v>4</v>
      </c>
      <c r="K4482" s="57">
        <v>1</v>
      </c>
      <c r="L4482" t="s">
        <v>3959</v>
      </c>
      <c r="M4482" t="s">
        <v>3959</v>
      </c>
      <c r="N4482" t="s">
        <v>3959</v>
      </c>
      <c r="O4482" t="s">
        <v>3959</v>
      </c>
      <c r="P4482" s="57">
        <v>1</v>
      </c>
      <c r="Q4482" s="57">
        <v>0</v>
      </c>
      <c r="R4482" s="57">
        <v>0</v>
      </c>
      <c r="S4482" s="57">
        <v>0</v>
      </c>
      <c r="T4482" s="57">
        <v>0</v>
      </c>
      <c r="U4482" s="57">
        <v>0</v>
      </c>
      <c r="V4482" s="57">
        <v>0</v>
      </c>
      <c r="W4482" s="57">
        <v>0</v>
      </c>
      <c r="X4482" s="57">
        <v>0</v>
      </c>
    </row>
    <row r="4483" spans="1:24" hidden="1" x14ac:dyDescent="0.35">
      <c r="A4483">
        <v>4479</v>
      </c>
      <c r="B4483">
        <v>4480</v>
      </c>
      <c r="C4483">
        <v>146.070660449</v>
      </c>
      <c r="D4483">
        <v>-17.6397332883</v>
      </c>
      <c r="F4483" t="str">
        <f>HYPERLINK("D:\Data From Lucan\2024\Moresby\Frames_for_Analysis/4480_20240611_0006_L_0043.jpg","4480_20240611_0006_L_0043.jpg")</f>
        <v>4480_20240611_0006_L_0043.jpg</v>
      </c>
      <c r="G4483" s="92" t="s">
        <v>5327</v>
      </c>
      <c r="I4483">
        <v>4</v>
      </c>
      <c r="K4483" s="57">
        <v>1</v>
      </c>
      <c r="L4483" t="s">
        <v>3959</v>
      </c>
      <c r="M4483" t="s">
        <v>3959</v>
      </c>
      <c r="N4483" t="s">
        <v>3959</v>
      </c>
      <c r="O4483" t="s">
        <v>3959</v>
      </c>
      <c r="P4483" s="57">
        <v>1</v>
      </c>
      <c r="Q4483" s="57">
        <v>0</v>
      </c>
      <c r="R4483" s="57">
        <v>0</v>
      </c>
      <c r="S4483" s="57">
        <v>0</v>
      </c>
      <c r="T4483" s="57">
        <v>0</v>
      </c>
      <c r="U4483" s="57">
        <v>0</v>
      </c>
      <c r="V4483" s="57">
        <v>0</v>
      </c>
      <c r="W4483" s="57">
        <v>0</v>
      </c>
      <c r="X4483" s="57">
        <v>0</v>
      </c>
    </row>
    <row r="4484" spans="1:24" hidden="1" x14ac:dyDescent="0.35">
      <c r="A4484">
        <v>4480</v>
      </c>
      <c r="B4484">
        <v>4481</v>
      </c>
      <c r="C4484">
        <v>146.070577149999</v>
      </c>
      <c r="D4484">
        <v>-17.639765336300002</v>
      </c>
      <c r="F4484" t="str">
        <f>HYPERLINK("D:\Data From Lucan\2024\Moresby\Frames_for_Analysis/4481_20240611_0006_L_0048.jpg","4481_20240611_0006_L_0048.jpg")</f>
        <v>4481_20240611_0006_L_0048.jpg</v>
      </c>
      <c r="G4484" s="92" t="s">
        <v>5328</v>
      </c>
      <c r="I4484">
        <v>4</v>
      </c>
      <c r="K4484" s="57">
        <v>1</v>
      </c>
      <c r="L4484" t="s">
        <v>3959</v>
      </c>
      <c r="M4484" t="s">
        <v>3959</v>
      </c>
      <c r="N4484" t="s">
        <v>3959</v>
      </c>
      <c r="O4484" t="s">
        <v>3959</v>
      </c>
      <c r="P4484" s="57">
        <v>1</v>
      </c>
      <c r="Q4484" s="57">
        <v>0</v>
      </c>
      <c r="R4484" s="57">
        <v>0</v>
      </c>
      <c r="S4484" s="57">
        <v>0</v>
      </c>
      <c r="T4484" s="57">
        <v>0</v>
      </c>
      <c r="U4484" s="57">
        <v>0</v>
      </c>
      <c r="V4484" s="57">
        <v>0</v>
      </c>
      <c r="W4484" s="57">
        <v>0</v>
      </c>
      <c r="X4484" s="57">
        <v>0</v>
      </c>
    </row>
    <row r="4485" spans="1:24" hidden="1" x14ac:dyDescent="0.35">
      <c r="A4485">
        <v>4481</v>
      </c>
      <c r="B4485">
        <v>4482</v>
      </c>
      <c r="C4485">
        <v>146.070493849999</v>
      </c>
      <c r="D4485">
        <v>-17.6397973843</v>
      </c>
      <c r="F4485" t="str">
        <f>HYPERLINK("D:\Data From Lucan\2024\Moresby\Frames_for_Analysis/4482_20240611_0006_L_0052.jpg","4482_20240611_0006_L_0052.jpg")</f>
        <v>4482_20240611_0006_L_0052.jpg</v>
      </c>
      <c r="G4485" s="92" t="s">
        <v>5329</v>
      </c>
      <c r="I4485">
        <v>4</v>
      </c>
      <c r="K4485" s="57">
        <v>1</v>
      </c>
      <c r="L4485" t="s">
        <v>3959</v>
      </c>
      <c r="M4485" t="s">
        <v>3959</v>
      </c>
      <c r="N4485" t="s">
        <v>3959</v>
      </c>
      <c r="O4485" t="s">
        <v>3959</v>
      </c>
      <c r="P4485" s="57">
        <v>1</v>
      </c>
      <c r="Q4485" s="57">
        <v>0</v>
      </c>
      <c r="R4485" s="57">
        <v>0</v>
      </c>
      <c r="S4485" s="57">
        <v>0</v>
      </c>
      <c r="T4485" s="57">
        <v>0</v>
      </c>
      <c r="U4485" s="57">
        <v>0</v>
      </c>
      <c r="V4485" s="57">
        <v>0</v>
      </c>
      <c r="W4485" s="57">
        <v>0</v>
      </c>
      <c r="X4485" s="57">
        <v>0</v>
      </c>
    </row>
    <row r="4486" spans="1:24" hidden="1" x14ac:dyDescent="0.35">
      <c r="A4486">
        <v>4482</v>
      </c>
      <c r="B4486">
        <v>4483</v>
      </c>
      <c r="C4486">
        <v>146.07041055100001</v>
      </c>
      <c r="D4486">
        <v>-17.639829432300001</v>
      </c>
      <c r="F4486" t="str">
        <f>HYPERLINK("D:\Data From Lucan\2024\Moresby\Frames_for_Analysis/4483_20240611_0006_L_0055.jpg","4483_20240611_0006_L_0055.jpg")</f>
        <v>4483_20240611_0006_L_0055.jpg</v>
      </c>
      <c r="G4486" s="92" t="s">
        <v>5330</v>
      </c>
      <c r="I4486">
        <v>4</v>
      </c>
      <c r="K4486" s="57">
        <v>1</v>
      </c>
      <c r="L4486" t="s">
        <v>3959</v>
      </c>
      <c r="M4486" t="s">
        <v>3959</v>
      </c>
      <c r="N4486" t="s">
        <v>3959</v>
      </c>
      <c r="O4486" t="s">
        <v>3959</v>
      </c>
      <c r="P4486" s="57">
        <v>1</v>
      </c>
      <c r="Q4486" s="57">
        <v>0</v>
      </c>
      <c r="R4486" s="57">
        <v>0</v>
      </c>
      <c r="S4486" s="57">
        <v>0</v>
      </c>
      <c r="T4486" s="57">
        <v>0</v>
      </c>
      <c r="U4486" s="57">
        <v>0</v>
      </c>
      <c r="V4486" s="57">
        <v>0</v>
      </c>
      <c r="W4486" s="57">
        <v>0</v>
      </c>
      <c r="X4486" s="57">
        <v>0</v>
      </c>
    </row>
    <row r="4487" spans="1:24" hidden="1" x14ac:dyDescent="0.35">
      <c r="A4487">
        <v>4483</v>
      </c>
      <c r="B4487">
        <v>4484</v>
      </c>
      <c r="C4487">
        <v>146.070327251999</v>
      </c>
      <c r="D4487">
        <v>-17.6398614802</v>
      </c>
      <c r="F4487" t="str">
        <f>HYPERLINK("D:\Data From Lucan\2024\Moresby\Frames_for_Analysis/4484_20240611_0006_L_0061.jpg","4484_20240611_0006_L_0061.jpg")</f>
        <v>4484_20240611_0006_L_0061.jpg</v>
      </c>
      <c r="G4487" s="92" t="s">
        <v>5331</v>
      </c>
      <c r="I4487">
        <v>4</v>
      </c>
      <c r="K4487" s="57">
        <v>1</v>
      </c>
      <c r="L4487" t="s">
        <v>3959</v>
      </c>
      <c r="M4487" t="s">
        <v>3959</v>
      </c>
      <c r="N4487" t="s">
        <v>3959</v>
      </c>
      <c r="O4487" t="s">
        <v>3959</v>
      </c>
      <c r="P4487" s="57">
        <v>1</v>
      </c>
      <c r="Q4487" s="57">
        <v>0</v>
      </c>
      <c r="R4487" s="57">
        <v>0</v>
      </c>
      <c r="S4487" s="57">
        <v>0</v>
      </c>
      <c r="T4487" s="57">
        <v>0</v>
      </c>
      <c r="U4487" s="57">
        <v>0</v>
      </c>
      <c r="V4487" s="57">
        <v>0</v>
      </c>
      <c r="W4487" s="57">
        <v>0</v>
      </c>
      <c r="X4487" s="57">
        <v>0</v>
      </c>
    </row>
    <row r="4488" spans="1:24" hidden="1" x14ac:dyDescent="0.35">
      <c r="A4488">
        <v>4484</v>
      </c>
      <c r="B4488">
        <v>4485</v>
      </c>
      <c r="C4488">
        <v>146.070241049</v>
      </c>
      <c r="D4488">
        <v>-17.639883304200001</v>
      </c>
      <c r="F4488" t="str">
        <f>HYPERLINK("D:\Data From Lucan\2024\Moresby\Frames_for_Analysis/4485_20240611_0006_L_0065.jpg","4485_20240611_0006_L_0065.jpg")</f>
        <v>4485_20240611_0006_L_0065.jpg</v>
      </c>
      <c r="G4488" s="92" t="s">
        <v>5332</v>
      </c>
      <c r="I4488">
        <v>4</v>
      </c>
      <c r="K4488" s="57">
        <v>1</v>
      </c>
      <c r="L4488" t="s">
        <v>3959</v>
      </c>
      <c r="M4488" t="s">
        <v>3959</v>
      </c>
      <c r="N4488" t="s">
        <v>3959</v>
      </c>
      <c r="O4488" t="s">
        <v>3959</v>
      </c>
      <c r="P4488" s="57">
        <v>1</v>
      </c>
      <c r="Q4488" s="57">
        <v>0</v>
      </c>
      <c r="R4488" s="57">
        <v>0</v>
      </c>
      <c r="S4488" s="57">
        <v>0</v>
      </c>
      <c r="T4488" s="57">
        <v>0</v>
      </c>
      <c r="U4488" s="57">
        <v>0</v>
      </c>
      <c r="V4488" s="57">
        <v>0</v>
      </c>
      <c r="W4488" s="57">
        <v>0</v>
      </c>
      <c r="X4488" s="57">
        <v>0</v>
      </c>
    </row>
    <row r="4489" spans="1:24" hidden="1" x14ac:dyDescent="0.35">
      <c r="A4489">
        <v>4485</v>
      </c>
      <c r="B4489">
        <v>4486</v>
      </c>
      <c r="C4489">
        <v>146.07015215800001</v>
      </c>
      <c r="D4489">
        <v>-17.639895660299899</v>
      </c>
      <c r="F4489" t="str">
        <f>HYPERLINK("D:\Data From Lucan\2024\Moresby\Frames_for_Analysis/4486_20240611_0006_L_0070.jpg","4486_20240611_0006_L_0070.jpg")</f>
        <v>4486_20240611_0006_L_0070.jpg</v>
      </c>
      <c r="G4489" s="92" t="s">
        <v>5333</v>
      </c>
      <c r="I4489">
        <v>4</v>
      </c>
      <c r="K4489" s="57">
        <v>1</v>
      </c>
      <c r="L4489" t="s">
        <v>3959</v>
      </c>
      <c r="M4489" t="s">
        <v>3959</v>
      </c>
      <c r="N4489" t="s">
        <v>3959</v>
      </c>
      <c r="O4489" t="s">
        <v>3959</v>
      </c>
      <c r="P4489" s="57">
        <v>1</v>
      </c>
      <c r="Q4489" s="57">
        <v>0</v>
      </c>
      <c r="R4489" s="57">
        <v>0</v>
      </c>
      <c r="S4489" s="57">
        <v>0</v>
      </c>
      <c r="T4489" s="57">
        <v>0</v>
      </c>
      <c r="U4489" s="57">
        <v>0</v>
      </c>
      <c r="V4489" s="57">
        <v>0</v>
      </c>
      <c r="W4489" s="57">
        <v>0</v>
      </c>
      <c r="X4489" s="57">
        <v>0</v>
      </c>
    </row>
    <row r="4490" spans="1:24" hidden="1" x14ac:dyDescent="0.35">
      <c r="A4490">
        <v>4486</v>
      </c>
      <c r="B4490">
        <v>4487</v>
      </c>
      <c r="C4490">
        <v>146.070063266999</v>
      </c>
      <c r="D4490">
        <v>-17.6399080164</v>
      </c>
      <c r="F4490" t="str">
        <f>HYPERLINK("D:\Data From Lucan\2024\Moresby\Frames_for_Analysis/4487_20240611_0006_L_0074.jpg","4487_20240611_0006_L_0074.jpg")</f>
        <v>4487_20240611_0006_L_0074.jpg</v>
      </c>
      <c r="G4490" s="92" t="s">
        <v>5334</v>
      </c>
      <c r="I4490">
        <v>4</v>
      </c>
      <c r="K4490" s="57">
        <v>1</v>
      </c>
      <c r="L4490" t="s">
        <v>3959</v>
      </c>
      <c r="M4490" t="s">
        <v>3959</v>
      </c>
      <c r="N4490" t="s">
        <v>3959</v>
      </c>
      <c r="O4490" t="s">
        <v>3959</v>
      </c>
      <c r="P4490" s="57">
        <v>1</v>
      </c>
      <c r="Q4490" s="57">
        <v>0</v>
      </c>
      <c r="R4490" s="57">
        <v>0</v>
      </c>
      <c r="S4490" s="57">
        <v>0</v>
      </c>
      <c r="T4490" s="57">
        <v>0</v>
      </c>
      <c r="U4490" s="57">
        <v>0</v>
      </c>
      <c r="V4490" s="57">
        <v>0</v>
      </c>
      <c r="W4490" s="57">
        <v>0</v>
      </c>
      <c r="X4490" s="57">
        <v>0</v>
      </c>
    </row>
    <row r="4491" spans="1:24" hidden="1" x14ac:dyDescent="0.35">
      <c r="A4491">
        <v>4487</v>
      </c>
      <c r="B4491">
        <v>4488</v>
      </c>
      <c r="C4491">
        <v>146.069974376999</v>
      </c>
      <c r="D4491">
        <v>-17.639920372500001</v>
      </c>
      <c r="F4491" t="str">
        <f>HYPERLINK("D:\Data From Lucan\2024\Moresby\Frames_for_Analysis/4488_20240611_0006_L_0077.jpg","4488_20240611_0006_L_0077.jpg")</f>
        <v>4488_20240611_0006_L_0077.jpg</v>
      </c>
      <c r="G4491" s="92" t="s">
        <v>5335</v>
      </c>
      <c r="I4491">
        <v>4</v>
      </c>
      <c r="K4491" s="57">
        <v>1</v>
      </c>
      <c r="L4491" t="s">
        <v>3959</v>
      </c>
      <c r="M4491" t="s">
        <v>3959</v>
      </c>
      <c r="N4491" t="s">
        <v>3959</v>
      </c>
      <c r="O4491" t="s">
        <v>3959</v>
      </c>
      <c r="P4491" s="57">
        <v>1</v>
      </c>
      <c r="Q4491" s="57">
        <v>0</v>
      </c>
      <c r="R4491" s="57">
        <v>0</v>
      </c>
      <c r="S4491" s="57">
        <v>0</v>
      </c>
      <c r="T4491" s="57">
        <v>0</v>
      </c>
      <c r="U4491" s="57">
        <v>0</v>
      </c>
      <c r="V4491" s="57">
        <v>0</v>
      </c>
      <c r="W4491" s="57">
        <v>0</v>
      </c>
      <c r="X4491" s="57">
        <v>0</v>
      </c>
    </row>
    <row r="4492" spans="1:24" hidden="1" x14ac:dyDescent="0.35">
      <c r="A4492">
        <v>4488</v>
      </c>
      <c r="B4492">
        <v>4489</v>
      </c>
      <c r="C4492">
        <v>146.069885486</v>
      </c>
      <c r="D4492">
        <v>-17.6399327285</v>
      </c>
      <c r="F4492" t="str">
        <f>HYPERLINK("D:\Data From Lucan\2024\Moresby\Frames_for_Analysis/4489_20240611_0006_L_0082.jpg","4489_20240611_0006_L_0082.jpg")</f>
        <v>4489_20240611_0006_L_0082.jpg</v>
      </c>
      <c r="G4492" s="92" t="s">
        <v>5336</v>
      </c>
      <c r="I4492">
        <v>4</v>
      </c>
      <c r="K4492" s="57">
        <v>1</v>
      </c>
      <c r="L4492" t="s">
        <v>3959</v>
      </c>
      <c r="M4492" t="s">
        <v>3959</v>
      </c>
      <c r="N4492" t="s">
        <v>3959</v>
      </c>
      <c r="O4492" t="s">
        <v>3959</v>
      </c>
      <c r="P4492" s="57">
        <v>1</v>
      </c>
      <c r="Q4492" s="57">
        <v>0</v>
      </c>
      <c r="R4492" s="57">
        <v>0</v>
      </c>
      <c r="S4492" s="57">
        <v>0</v>
      </c>
      <c r="T4492" s="57">
        <v>0</v>
      </c>
      <c r="U4492" s="57">
        <v>0</v>
      </c>
      <c r="V4492" s="57">
        <v>0</v>
      </c>
      <c r="W4492" s="57">
        <v>0</v>
      </c>
      <c r="X4492" s="57">
        <v>0</v>
      </c>
    </row>
    <row r="4493" spans="1:24" hidden="1" x14ac:dyDescent="0.35">
      <c r="A4493">
        <v>4489</v>
      </c>
      <c r="B4493">
        <v>4490</v>
      </c>
      <c r="C4493">
        <v>146.069797996999</v>
      </c>
      <c r="D4493">
        <v>-17.6399511402999</v>
      </c>
      <c r="F4493" t="str">
        <f>HYPERLINK("D:\Data From Lucan\2024\Moresby\Frames_for_Analysis/4490_20240611_0006_L_0085.jpg","4490_20240611_0006_L_0085.jpg")</f>
        <v>4490_20240611_0006_L_0085.jpg</v>
      </c>
      <c r="G4493" s="92" t="s">
        <v>5337</v>
      </c>
      <c r="I4493">
        <v>4</v>
      </c>
      <c r="K4493" s="57">
        <v>1</v>
      </c>
      <c r="L4493" t="s">
        <v>3959</v>
      </c>
      <c r="M4493" t="s">
        <v>3959</v>
      </c>
      <c r="N4493" t="s">
        <v>3959</v>
      </c>
      <c r="O4493" t="s">
        <v>3959</v>
      </c>
      <c r="P4493" s="57">
        <v>1</v>
      </c>
      <c r="Q4493" s="57">
        <v>0</v>
      </c>
      <c r="R4493" s="57">
        <v>0</v>
      </c>
      <c r="S4493" s="57">
        <v>0</v>
      </c>
      <c r="T4493" s="57">
        <v>0</v>
      </c>
      <c r="U4493" s="57">
        <v>0</v>
      </c>
      <c r="V4493" s="57">
        <v>0</v>
      </c>
      <c r="W4493" s="57">
        <v>0</v>
      </c>
      <c r="X4493" s="57">
        <v>0</v>
      </c>
    </row>
    <row r="4494" spans="1:24" hidden="1" x14ac:dyDescent="0.35">
      <c r="A4494">
        <v>4490</v>
      </c>
      <c r="B4494">
        <v>4491</v>
      </c>
      <c r="C4494">
        <v>146.069711901999</v>
      </c>
      <c r="D4494">
        <v>-17.639975575400001</v>
      </c>
      <c r="F4494" t="str">
        <f>HYPERLINK("D:\Data From Lucan\2024\Moresby\Frames_for_Analysis/4491_20240611_0006_L_0090.jpg","4491_20240611_0006_L_0090.jpg")</f>
        <v>4491_20240611_0006_L_0090.jpg</v>
      </c>
      <c r="G4494" s="92" t="s">
        <v>5338</v>
      </c>
      <c r="I4494">
        <v>4</v>
      </c>
      <c r="K4494" s="57">
        <v>1</v>
      </c>
      <c r="L4494" t="s">
        <v>3959</v>
      </c>
      <c r="M4494" t="s">
        <v>3959</v>
      </c>
      <c r="N4494" t="s">
        <v>3959</v>
      </c>
      <c r="O4494" t="s">
        <v>3959</v>
      </c>
      <c r="P4494" s="57">
        <v>1</v>
      </c>
      <c r="Q4494" s="57">
        <v>0</v>
      </c>
      <c r="R4494" s="57">
        <v>0</v>
      </c>
      <c r="S4494" s="57">
        <v>0</v>
      </c>
      <c r="T4494" s="57">
        <v>0</v>
      </c>
      <c r="U4494" s="57">
        <v>0</v>
      </c>
      <c r="V4494" s="57">
        <v>0</v>
      </c>
      <c r="W4494" s="57">
        <v>0</v>
      </c>
      <c r="X4494" s="57">
        <v>0</v>
      </c>
    </row>
    <row r="4495" spans="1:24" hidden="1" x14ac:dyDescent="0.35">
      <c r="A4495">
        <v>4491</v>
      </c>
      <c r="B4495">
        <v>4492</v>
      </c>
      <c r="C4495">
        <v>146.06962580800001</v>
      </c>
      <c r="D4495">
        <v>-17.6400000105</v>
      </c>
      <c r="F4495" t="str">
        <f>HYPERLINK("D:\Data From Lucan\2024\Moresby\Frames_for_Analysis/4492_20240611_0006_L_0094.jpg","4492_20240611_0006_L_0094.jpg")</f>
        <v>4492_20240611_0006_L_0094.jpg</v>
      </c>
      <c r="G4495" s="92" t="s">
        <v>5339</v>
      </c>
      <c r="I4495">
        <v>4</v>
      </c>
      <c r="K4495" s="57">
        <v>1</v>
      </c>
      <c r="L4495" t="s">
        <v>3959</v>
      </c>
      <c r="M4495" t="s">
        <v>3959</v>
      </c>
      <c r="N4495" t="s">
        <v>3959</v>
      </c>
      <c r="O4495" t="s">
        <v>3959</v>
      </c>
      <c r="P4495" s="57">
        <v>1</v>
      </c>
      <c r="Q4495" s="57">
        <v>0</v>
      </c>
      <c r="R4495" s="57">
        <v>0</v>
      </c>
      <c r="S4495" s="57">
        <v>0</v>
      </c>
      <c r="T4495" s="57">
        <v>0</v>
      </c>
      <c r="U4495" s="57">
        <v>0</v>
      </c>
      <c r="V4495" s="57">
        <v>0</v>
      </c>
      <c r="W4495" s="57">
        <v>0</v>
      </c>
      <c r="X4495" s="57">
        <v>0</v>
      </c>
    </row>
    <row r="4496" spans="1:24" hidden="1" x14ac:dyDescent="0.35">
      <c r="A4496">
        <v>4492</v>
      </c>
      <c r="B4496">
        <v>4493</v>
      </c>
      <c r="C4496">
        <v>146.06953971300001</v>
      </c>
      <c r="D4496">
        <v>-17.6400244457</v>
      </c>
      <c r="F4496" t="str">
        <f>HYPERLINK("D:\Data From Lucan\2024\Moresby\Frames_for_Analysis/4493_20240611_0006_L_0098.jpg","4493_20240611_0006_L_0098.jpg")</f>
        <v>4493_20240611_0006_L_0098.jpg</v>
      </c>
      <c r="G4496" s="92" t="s">
        <v>5340</v>
      </c>
      <c r="I4496">
        <v>4</v>
      </c>
      <c r="K4496" s="57">
        <v>1</v>
      </c>
      <c r="L4496" t="s">
        <v>3959</v>
      </c>
      <c r="M4496" t="s">
        <v>3959</v>
      </c>
      <c r="N4496" t="s">
        <v>3959</v>
      </c>
      <c r="O4496" t="s">
        <v>3959</v>
      </c>
      <c r="P4496" s="57">
        <v>1</v>
      </c>
      <c r="Q4496" s="57">
        <v>0</v>
      </c>
      <c r="R4496" s="57">
        <v>0</v>
      </c>
      <c r="S4496" s="57">
        <v>0</v>
      </c>
      <c r="T4496" s="57">
        <v>0</v>
      </c>
      <c r="U4496" s="57">
        <v>0</v>
      </c>
      <c r="V4496" s="57">
        <v>0</v>
      </c>
      <c r="W4496" s="57">
        <v>0</v>
      </c>
      <c r="X4496" s="57">
        <v>0</v>
      </c>
    </row>
    <row r="4497" spans="1:24" hidden="1" x14ac:dyDescent="0.35">
      <c r="A4497">
        <v>4493</v>
      </c>
      <c r="B4497">
        <v>4494</v>
      </c>
      <c r="C4497">
        <v>146.069453619</v>
      </c>
      <c r="D4497">
        <v>-17.640048880799899</v>
      </c>
      <c r="F4497" t="str">
        <f>HYPERLINK("D:\Data From Lucan\2024\Moresby\Frames_for_Analysis/4494_20240611_0006_L_0102.jpg","4494_20240611_0006_L_0102.jpg")</f>
        <v>4494_20240611_0006_L_0102.jpg</v>
      </c>
      <c r="G4497" s="92" t="s">
        <v>5341</v>
      </c>
      <c r="I4497">
        <v>4</v>
      </c>
      <c r="K4497" s="57">
        <v>1</v>
      </c>
      <c r="L4497" t="s">
        <v>3959</v>
      </c>
      <c r="M4497" t="s">
        <v>3959</v>
      </c>
      <c r="N4497" t="s">
        <v>3959</v>
      </c>
      <c r="O4497" t="s">
        <v>3959</v>
      </c>
      <c r="P4497" s="57">
        <v>1</v>
      </c>
      <c r="Q4497" s="57">
        <v>0</v>
      </c>
      <c r="R4497" s="57">
        <v>0</v>
      </c>
      <c r="S4497" s="57">
        <v>0</v>
      </c>
      <c r="T4497" s="57">
        <v>0</v>
      </c>
      <c r="U4497" s="57">
        <v>0</v>
      </c>
      <c r="V4497" s="57">
        <v>0</v>
      </c>
      <c r="W4497" s="57">
        <v>0</v>
      </c>
      <c r="X4497" s="57">
        <v>0</v>
      </c>
    </row>
    <row r="4498" spans="1:24" hidden="1" x14ac:dyDescent="0.35">
      <c r="A4498">
        <v>4494</v>
      </c>
      <c r="B4498">
        <v>4495</v>
      </c>
      <c r="C4498">
        <v>146.06937628700001</v>
      </c>
      <c r="D4498">
        <v>-17.6400911003999</v>
      </c>
      <c r="F4498" t="str">
        <f>HYPERLINK("D:\Data From Lucan\2024\Moresby\Frames_for_Analysis/4495_20240611_0006_L_0106.jpg","4495_20240611_0006_L_0106.jpg")</f>
        <v>4495_20240611_0006_L_0106.jpg</v>
      </c>
      <c r="G4498" s="92" t="s">
        <v>5342</v>
      </c>
      <c r="I4498">
        <v>4</v>
      </c>
      <c r="K4498" s="57">
        <v>1</v>
      </c>
      <c r="L4498" t="s">
        <v>3959</v>
      </c>
      <c r="M4498" t="s">
        <v>3959</v>
      </c>
      <c r="N4498" t="s">
        <v>3959</v>
      </c>
      <c r="O4498" t="s">
        <v>3959</v>
      </c>
      <c r="P4498" s="57">
        <v>1</v>
      </c>
      <c r="Q4498" s="57">
        <v>0</v>
      </c>
      <c r="R4498" s="57">
        <v>0</v>
      </c>
      <c r="S4498" s="57">
        <v>0</v>
      </c>
      <c r="T4498" s="57">
        <v>0</v>
      </c>
      <c r="U4498" s="57">
        <v>0</v>
      </c>
      <c r="V4498" s="57">
        <v>0</v>
      </c>
      <c r="W4498" s="57">
        <v>0</v>
      </c>
      <c r="X4498" s="57">
        <v>0</v>
      </c>
    </row>
    <row r="4499" spans="1:24" hidden="1" x14ac:dyDescent="0.35">
      <c r="A4499">
        <v>4495</v>
      </c>
      <c r="B4499">
        <v>4496</v>
      </c>
      <c r="C4499">
        <v>146.06930156799899</v>
      </c>
      <c r="D4499">
        <v>-17.640138622999899</v>
      </c>
      <c r="F4499" t="str">
        <f>HYPERLINK("D:\Data From Lucan\2024\Moresby\Frames_for_Analysis/4496_20240611_0006_L_0111.jpg","4496_20240611_0006_L_0111.jpg")</f>
        <v>4496_20240611_0006_L_0111.jpg</v>
      </c>
      <c r="G4499" s="92" t="s">
        <v>5343</v>
      </c>
      <c r="I4499">
        <v>4</v>
      </c>
      <c r="K4499" s="57">
        <v>1</v>
      </c>
      <c r="L4499" t="s">
        <v>3959</v>
      </c>
      <c r="M4499" t="s">
        <v>3959</v>
      </c>
      <c r="N4499" t="s">
        <v>3959</v>
      </c>
      <c r="O4499" t="s">
        <v>3959</v>
      </c>
      <c r="P4499" s="57">
        <v>1</v>
      </c>
      <c r="Q4499" s="57">
        <v>0</v>
      </c>
      <c r="R4499" s="57">
        <v>0</v>
      </c>
      <c r="S4499" s="57">
        <v>0</v>
      </c>
      <c r="T4499" s="57">
        <v>0</v>
      </c>
      <c r="U4499" s="57">
        <v>0</v>
      </c>
      <c r="V4499" s="57">
        <v>0</v>
      </c>
      <c r="W4499" s="57">
        <v>0</v>
      </c>
      <c r="X4499" s="57">
        <v>0</v>
      </c>
    </row>
    <row r="4500" spans="1:24" hidden="1" x14ac:dyDescent="0.35">
      <c r="A4500">
        <v>4496</v>
      </c>
      <c r="B4500">
        <v>4497</v>
      </c>
      <c r="C4500">
        <v>146.06922684899899</v>
      </c>
      <c r="D4500">
        <v>-17.6401861457</v>
      </c>
      <c r="F4500" t="str">
        <f>HYPERLINK("D:\Data From Lucan\2024\Moresby\Frames_for_Analysis/4497_20240611_0006_L_0115.jpg","4497_20240611_0006_L_0115.jpg")</f>
        <v>4497_20240611_0006_L_0115.jpg</v>
      </c>
      <c r="G4500" s="92" t="s">
        <v>5344</v>
      </c>
      <c r="I4500">
        <v>4</v>
      </c>
      <c r="K4500" s="57">
        <v>1</v>
      </c>
      <c r="L4500" t="s">
        <v>3959</v>
      </c>
      <c r="M4500" t="s">
        <v>3959</v>
      </c>
      <c r="N4500" t="s">
        <v>3959</v>
      </c>
      <c r="O4500" t="s">
        <v>3959</v>
      </c>
      <c r="P4500" s="57">
        <v>1</v>
      </c>
      <c r="Q4500" s="57">
        <v>0</v>
      </c>
      <c r="R4500" s="57">
        <v>0</v>
      </c>
      <c r="S4500" s="57">
        <v>0</v>
      </c>
      <c r="T4500" s="57">
        <v>0</v>
      </c>
      <c r="U4500" s="57">
        <v>0</v>
      </c>
      <c r="V4500" s="57">
        <v>0</v>
      </c>
      <c r="W4500" s="57">
        <v>0</v>
      </c>
      <c r="X4500" s="57">
        <v>0</v>
      </c>
    </row>
    <row r="4501" spans="1:24" hidden="1" x14ac:dyDescent="0.35">
      <c r="A4501">
        <v>4497</v>
      </c>
      <c r="B4501">
        <v>4498</v>
      </c>
      <c r="C4501">
        <v>146.069152129999</v>
      </c>
      <c r="D4501">
        <v>-17.640233668400001</v>
      </c>
      <c r="F4501" t="str">
        <f>HYPERLINK("D:\Data From Lucan\2024\Moresby\Frames_for_Analysis/4498_20240611_0006_L_0119.jpg","4498_20240611_0006_L_0119.jpg")</f>
        <v>4498_20240611_0006_L_0119.jpg</v>
      </c>
      <c r="G4501" s="92" t="s">
        <v>5345</v>
      </c>
      <c r="I4501">
        <v>4</v>
      </c>
      <c r="K4501" s="57">
        <v>1</v>
      </c>
      <c r="L4501" t="s">
        <v>3959</v>
      </c>
      <c r="M4501" t="s">
        <v>3959</v>
      </c>
      <c r="N4501" t="s">
        <v>3959</v>
      </c>
      <c r="O4501" t="s">
        <v>3959</v>
      </c>
      <c r="P4501" s="57">
        <v>1</v>
      </c>
      <c r="Q4501" s="57">
        <v>0</v>
      </c>
      <c r="R4501" s="57">
        <v>0</v>
      </c>
      <c r="S4501" s="57">
        <v>0</v>
      </c>
      <c r="T4501" s="57">
        <v>0</v>
      </c>
      <c r="U4501" s="57">
        <v>0</v>
      </c>
      <c r="V4501" s="57">
        <v>0</v>
      </c>
      <c r="W4501" s="57">
        <v>0</v>
      </c>
      <c r="X4501" s="57">
        <v>0</v>
      </c>
    </row>
    <row r="4502" spans="1:24" hidden="1" x14ac:dyDescent="0.35">
      <c r="A4502">
        <v>4498</v>
      </c>
      <c r="B4502">
        <v>4499</v>
      </c>
      <c r="C4502">
        <v>146.069077410999</v>
      </c>
      <c r="D4502">
        <v>-17.640281191</v>
      </c>
      <c r="F4502" t="str">
        <f>HYPERLINK("D:\Data From Lucan\2024\Moresby\Frames_for_Analysis/4499_20240611_0006_L_0124.jpg","4499_20240611_0006_L_0124.jpg")</f>
        <v>4499_20240611_0006_L_0124.jpg</v>
      </c>
      <c r="G4502" s="92" t="s">
        <v>5346</v>
      </c>
      <c r="I4502">
        <v>4</v>
      </c>
      <c r="K4502" s="57">
        <v>1</v>
      </c>
      <c r="L4502" t="s">
        <v>3959</v>
      </c>
      <c r="M4502" t="s">
        <v>3959</v>
      </c>
      <c r="N4502" t="s">
        <v>3959</v>
      </c>
      <c r="O4502" t="s">
        <v>3959</v>
      </c>
      <c r="P4502" s="57">
        <v>1</v>
      </c>
      <c r="Q4502" s="57">
        <v>0</v>
      </c>
      <c r="R4502" s="57">
        <v>0</v>
      </c>
      <c r="S4502" s="57">
        <v>0</v>
      </c>
      <c r="T4502" s="57">
        <v>0</v>
      </c>
      <c r="U4502" s="57">
        <v>0</v>
      </c>
      <c r="V4502" s="57">
        <v>0</v>
      </c>
      <c r="W4502" s="57">
        <v>0</v>
      </c>
      <c r="X4502" s="57">
        <v>0</v>
      </c>
    </row>
    <row r="4503" spans="1:24" hidden="1" x14ac:dyDescent="0.35">
      <c r="A4503">
        <v>4499</v>
      </c>
      <c r="B4503">
        <v>4500</v>
      </c>
      <c r="C4503">
        <v>146.069002691999</v>
      </c>
      <c r="D4503">
        <v>-17.640328713599899</v>
      </c>
      <c r="F4503" t="str">
        <f>HYPERLINK("D:\Data From Lucan\2024\Moresby\Frames_for_Analysis/4500_20240611_0006_L_0128.jpg","4500_20240611_0006_L_0128.jpg")</f>
        <v>4500_20240611_0006_L_0128.jpg</v>
      </c>
      <c r="G4503" s="92" t="s">
        <v>5347</v>
      </c>
      <c r="I4503">
        <v>4</v>
      </c>
      <c r="K4503" s="57">
        <v>1</v>
      </c>
      <c r="L4503" t="s">
        <v>3959</v>
      </c>
      <c r="M4503" t="s">
        <v>3959</v>
      </c>
      <c r="N4503" t="s">
        <v>3959</v>
      </c>
      <c r="O4503" t="s">
        <v>3959</v>
      </c>
      <c r="P4503" s="57">
        <v>1</v>
      </c>
      <c r="Q4503" s="57">
        <v>0</v>
      </c>
      <c r="R4503" s="57">
        <v>0</v>
      </c>
      <c r="S4503" s="57">
        <v>0</v>
      </c>
      <c r="T4503" s="57">
        <v>0</v>
      </c>
      <c r="U4503" s="57">
        <v>0</v>
      </c>
      <c r="V4503" s="57">
        <v>0</v>
      </c>
      <c r="W4503" s="57">
        <v>0</v>
      </c>
      <c r="X4503" s="57">
        <v>0</v>
      </c>
    </row>
    <row r="4504" spans="1:24" hidden="1" x14ac:dyDescent="0.35">
      <c r="A4504">
        <v>4500</v>
      </c>
      <c r="B4504">
        <v>4501</v>
      </c>
      <c r="C4504">
        <v>146.068929341999</v>
      </c>
      <c r="D4504">
        <v>-17.640377932900002</v>
      </c>
      <c r="F4504" t="str">
        <f>HYPERLINK("D:\Data From Lucan\2024\Moresby\Frames_for_Analysis/4501_20240611_0006_L_0133.jpg","4501_20240611_0006_L_0133.jpg")</f>
        <v>4501_20240611_0006_L_0133.jpg</v>
      </c>
      <c r="G4504" s="92" t="s">
        <v>5348</v>
      </c>
      <c r="I4504">
        <v>4</v>
      </c>
      <c r="K4504" s="57">
        <v>1</v>
      </c>
      <c r="L4504" t="s">
        <v>3959</v>
      </c>
      <c r="M4504" t="s">
        <v>3959</v>
      </c>
      <c r="N4504" t="s">
        <v>3959</v>
      </c>
      <c r="O4504" t="s">
        <v>3959</v>
      </c>
      <c r="P4504" s="57">
        <v>1</v>
      </c>
      <c r="Q4504" s="57">
        <v>0</v>
      </c>
      <c r="R4504" s="57">
        <v>0</v>
      </c>
      <c r="S4504" s="57">
        <v>0</v>
      </c>
      <c r="T4504" s="57">
        <v>0</v>
      </c>
      <c r="U4504" s="57">
        <v>0</v>
      </c>
      <c r="V4504" s="57">
        <v>0</v>
      </c>
      <c r="W4504" s="57">
        <v>0</v>
      </c>
      <c r="X4504" s="57">
        <v>0</v>
      </c>
    </row>
    <row r="4505" spans="1:24" hidden="1" x14ac:dyDescent="0.35">
      <c r="A4505">
        <v>4501</v>
      </c>
      <c r="B4505">
        <v>4502</v>
      </c>
      <c r="C4505">
        <v>146.06886194500001</v>
      </c>
      <c r="D4505">
        <v>-17.640434532299899</v>
      </c>
      <c r="F4505" t="str">
        <f>HYPERLINK("D:\Data From Lucan\2024\Moresby\Frames_for_Analysis/4502_20240611_0006_L_0137.jpg","4502_20240611_0006_L_0137.jpg")</f>
        <v>4502_20240611_0006_L_0137.jpg</v>
      </c>
      <c r="G4505" s="92" t="s">
        <v>5349</v>
      </c>
      <c r="I4505">
        <v>4</v>
      </c>
      <c r="K4505" s="57">
        <v>1</v>
      </c>
      <c r="L4505" t="s">
        <v>3959</v>
      </c>
      <c r="M4505" t="s">
        <v>3959</v>
      </c>
      <c r="N4505" t="s">
        <v>3959</v>
      </c>
      <c r="O4505" t="s">
        <v>3959</v>
      </c>
      <c r="P4505" s="57">
        <v>1</v>
      </c>
      <c r="Q4505" s="57">
        <v>0</v>
      </c>
      <c r="R4505" s="57">
        <v>0</v>
      </c>
      <c r="S4505" s="57">
        <v>0</v>
      </c>
      <c r="T4505" s="57">
        <v>0</v>
      </c>
      <c r="U4505" s="57">
        <v>0</v>
      </c>
      <c r="V4505" s="57">
        <v>0</v>
      </c>
      <c r="W4505" s="57">
        <v>0</v>
      </c>
      <c r="X4505" s="57">
        <v>0</v>
      </c>
    </row>
    <row r="4506" spans="1:24" hidden="1" x14ac:dyDescent="0.35">
      <c r="A4506">
        <v>4502</v>
      </c>
      <c r="B4506">
        <v>4503</v>
      </c>
      <c r="C4506">
        <v>146.06879454899899</v>
      </c>
      <c r="D4506">
        <v>-17.6404911316999</v>
      </c>
      <c r="F4506" t="str">
        <f>HYPERLINK("D:\Data From Lucan\2024\Moresby\Frames_for_Analysis/4503_20240611_0006_L_0142.jpg","4503_20240611_0006_L_0142.jpg")</f>
        <v>4503_20240611_0006_L_0142.jpg</v>
      </c>
      <c r="G4506" s="92" t="s">
        <v>5350</v>
      </c>
      <c r="I4506">
        <v>4</v>
      </c>
      <c r="K4506" s="57">
        <v>1</v>
      </c>
      <c r="L4506" t="s">
        <v>3959</v>
      </c>
      <c r="M4506" t="s">
        <v>3959</v>
      </c>
      <c r="N4506" t="s">
        <v>3959</v>
      </c>
      <c r="O4506" t="s">
        <v>3959</v>
      </c>
      <c r="P4506" s="57">
        <v>1</v>
      </c>
      <c r="Q4506" s="57">
        <v>0</v>
      </c>
      <c r="R4506" s="57">
        <v>0</v>
      </c>
      <c r="S4506" s="57">
        <v>0</v>
      </c>
      <c r="T4506" s="57">
        <v>0</v>
      </c>
      <c r="U4506" s="57">
        <v>0</v>
      </c>
      <c r="V4506" s="57">
        <v>0</v>
      </c>
      <c r="W4506" s="57">
        <v>0</v>
      </c>
      <c r="X4506" s="57">
        <v>0</v>
      </c>
    </row>
    <row r="4507" spans="1:24" hidden="1" x14ac:dyDescent="0.35">
      <c r="A4507">
        <v>4503</v>
      </c>
      <c r="B4507">
        <v>4504</v>
      </c>
      <c r="C4507">
        <v>146.06872715200001</v>
      </c>
      <c r="D4507">
        <v>-17.6405477311</v>
      </c>
      <c r="F4507" t="str">
        <f>HYPERLINK("D:\Data From Lucan\2024\Moresby\Frames_for_Analysis/4504_20240611_0006_L_0146.jpg","4504_20240611_0006_L_0146.jpg")</f>
        <v>4504_20240611_0006_L_0146.jpg</v>
      </c>
      <c r="G4507" s="92" t="s">
        <v>5351</v>
      </c>
      <c r="I4507">
        <v>4</v>
      </c>
      <c r="K4507" s="57">
        <v>1</v>
      </c>
      <c r="L4507" t="s">
        <v>3959</v>
      </c>
      <c r="M4507" t="s">
        <v>3959</v>
      </c>
      <c r="N4507" t="s">
        <v>3959</v>
      </c>
      <c r="O4507" t="s">
        <v>3959</v>
      </c>
      <c r="P4507" s="57">
        <v>1</v>
      </c>
      <c r="Q4507" s="57">
        <v>0</v>
      </c>
      <c r="R4507" s="57">
        <v>0</v>
      </c>
      <c r="S4507" s="57">
        <v>0</v>
      </c>
      <c r="T4507" s="57">
        <v>0</v>
      </c>
      <c r="U4507" s="57">
        <v>0</v>
      </c>
      <c r="V4507" s="57">
        <v>0</v>
      </c>
      <c r="W4507" s="57">
        <v>0</v>
      </c>
      <c r="X4507" s="57">
        <v>0</v>
      </c>
    </row>
    <row r="4508" spans="1:24" hidden="1" x14ac:dyDescent="0.35">
      <c r="A4508">
        <v>4504</v>
      </c>
      <c r="B4508">
        <v>4505</v>
      </c>
      <c r="C4508">
        <v>146.06865975599899</v>
      </c>
      <c r="D4508">
        <v>-17.640604330399899</v>
      </c>
      <c r="F4508" t="str">
        <f>HYPERLINK("D:\Data From Lucan\2024\Moresby\Frames_for_Analysis/4505_20240611_0006_L_0151.jpg","4505_20240611_0006_L_0151.jpg")</f>
        <v>4505_20240611_0006_L_0151.jpg</v>
      </c>
      <c r="G4508" s="92" t="s">
        <v>5352</v>
      </c>
      <c r="I4508">
        <v>4</v>
      </c>
      <c r="K4508" s="57">
        <v>1</v>
      </c>
      <c r="L4508" t="s">
        <v>3959</v>
      </c>
      <c r="M4508" t="s">
        <v>3959</v>
      </c>
      <c r="N4508" t="s">
        <v>3959</v>
      </c>
      <c r="O4508" t="s">
        <v>3959</v>
      </c>
      <c r="P4508" s="57">
        <v>1</v>
      </c>
      <c r="Q4508" s="57">
        <v>0</v>
      </c>
      <c r="R4508" s="57">
        <v>0</v>
      </c>
      <c r="S4508" s="57">
        <v>0</v>
      </c>
      <c r="T4508" s="57">
        <v>0</v>
      </c>
      <c r="U4508" s="57">
        <v>0</v>
      </c>
      <c r="V4508" s="57">
        <v>0</v>
      </c>
      <c r="W4508" s="57">
        <v>0</v>
      </c>
      <c r="X4508" s="57">
        <v>0</v>
      </c>
    </row>
    <row r="4509" spans="1:24" hidden="1" x14ac:dyDescent="0.35">
      <c r="A4509">
        <v>4505</v>
      </c>
      <c r="B4509">
        <v>4506</v>
      </c>
      <c r="C4509">
        <v>146.068592359999</v>
      </c>
      <c r="D4509">
        <v>-17.6406609297999</v>
      </c>
      <c r="F4509" t="str">
        <f>HYPERLINK("D:\Data From Lucan\2024\Moresby\Frames_for_Analysis/4506_20240611_0006_L_0155.jpg","4506_20240611_0006_L_0155.jpg")</f>
        <v>4506_20240611_0006_L_0155.jpg</v>
      </c>
      <c r="G4509" s="92" t="s">
        <v>5353</v>
      </c>
      <c r="I4509">
        <v>4</v>
      </c>
      <c r="K4509" s="57">
        <v>1</v>
      </c>
      <c r="L4509" t="s">
        <v>3959</v>
      </c>
      <c r="M4509" t="s">
        <v>3959</v>
      </c>
      <c r="N4509" t="s">
        <v>3959</v>
      </c>
      <c r="O4509" t="s">
        <v>3959</v>
      </c>
      <c r="P4509" s="57">
        <v>1</v>
      </c>
      <c r="Q4509" s="57">
        <v>0</v>
      </c>
      <c r="R4509" s="57">
        <v>0</v>
      </c>
      <c r="S4509" s="57">
        <v>0</v>
      </c>
      <c r="T4509" s="57">
        <v>0</v>
      </c>
      <c r="U4509" s="57">
        <v>0</v>
      </c>
      <c r="V4509" s="57">
        <v>0</v>
      </c>
      <c r="W4509" s="57">
        <v>0</v>
      </c>
      <c r="X4509" s="57">
        <v>0</v>
      </c>
    </row>
    <row r="4510" spans="1:24" hidden="1" x14ac:dyDescent="0.35">
      <c r="A4510">
        <v>4506</v>
      </c>
      <c r="B4510">
        <v>4507</v>
      </c>
      <c r="C4510">
        <v>146.06852496299899</v>
      </c>
      <c r="D4510">
        <v>-17.640717529100002</v>
      </c>
      <c r="F4510" t="str">
        <f>HYPERLINK("D:\Data From Lucan\2024\Moresby\Frames_for_Analysis/4507_20240611_0006_L_0159.jpg","4507_20240611_0006_L_0159.jpg")</f>
        <v>4507_20240611_0006_L_0159.jpg</v>
      </c>
      <c r="G4510" s="92" t="s">
        <v>5354</v>
      </c>
      <c r="I4510">
        <v>4</v>
      </c>
      <c r="K4510" s="57">
        <v>1</v>
      </c>
      <c r="L4510" t="s">
        <v>3959</v>
      </c>
      <c r="M4510" t="s">
        <v>3959</v>
      </c>
      <c r="N4510" t="s">
        <v>3959</v>
      </c>
      <c r="O4510" t="s">
        <v>3959</v>
      </c>
      <c r="P4510" s="57">
        <v>1</v>
      </c>
      <c r="Q4510" s="57">
        <v>0</v>
      </c>
      <c r="R4510" s="57">
        <v>0</v>
      </c>
      <c r="S4510" s="57">
        <v>0</v>
      </c>
      <c r="T4510" s="57">
        <v>0</v>
      </c>
      <c r="U4510" s="57">
        <v>0</v>
      </c>
      <c r="V4510" s="57">
        <v>0</v>
      </c>
      <c r="W4510" s="57">
        <v>0</v>
      </c>
      <c r="X4510" s="57">
        <v>0</v>
      </c>
    </row>
    <row r="4511" spans="1:24" hidden="1" x14ac:dyDescent="0.35">
      <c r="A4511">
        <v>4507</v>
      </c>
      <c r="B4511">
        <v>4508</v>
      </c>
      <c r="C4511">
        <v>146.068474406999</v>
      </c>
      <c r="D4511">
        <v>-17.640787060200001</v>
      </c>
      <c r="F4511" t="str">
        <f>HYPERLINK("D:\Data From Lucan\2024\Moresby\Frames_for_Analysis/4508_20240611_0006_L_0164.jpg","4508_20240611_0006_L_0164.jpg")</f>
        <v>4508_20240611_0006_L_0164.jpg</v>
      </c>
      <c r="G4511" s="92" t="s">
        <v>5355</v>
      </c>
      <c r="I4511">
        <v>4</v>
      </c>
      <c r="K4511" s="57">
        <v>1</v>
      </c>
      <c r="L4511" t="s">
        <v>3959</v>
      </c>
      <c r="M4511" t="s">
        <v>3959</v>
      </c>
      <c r="N4511" t="s">
        <v>3959</v>
      </c>
      <c r="O4511" t="s">
        <v>3959</v>
      </c>
      <c r="P4511" s="57">
        <v>1</v>
      </c>
      <c r="Q4511" s="57">
        <v>0</v>
      </c>
      <c r="R4511" s="57">
        <v>0</v>
      </c>
      <c r="S4511" s="57">
        <v>0</v>
      </c>
      <c r="T4511" s="57">
        <v>0</v>
      </c>
      <c r="U4511" s="57">
        <v>0</v>
      </c>
      <c r="V4511" s="57">
        <v>0</v>
      </c>
      <c r="W4511" s="57">
        <v>0</v>
      </c>
      <c r="X4511" s="57">
        <v>0</v>
      </c>
    </row>
    <row r="4512" spans="1:24" hidden="1" x14ac:dyDescent="0.35">
      <c r="A4512">
        <v>4508</v>
      </c>
      <c r="B4512">
        <v>4509</v>
      </c>
      <c r="C4512">
        <v>146.068430699999</v>
      </c>
      <c r="D4512">
        <v>-17.640861851699899</v>
      </c>
      <c r="F4512" t="str">
        <f>HYPERLINK("D:\Data From Lucan\2024\Moresby\Frames_for_Analysis/4509_20240611_0006_L_0168.jpg","4509_20240611_0006_L_0168.jpg")</f>
        <v>4509_20240611_0006_L_0168.jpg</v>
      </c>
      <c r="G4512" s="92" t="s">
        <v>5356</v>
      </c>
      <c r="I4512">
        <v>4</v>
      </c>
      <c r="K4512" s="57">
        <v>1</v>
      </c>
      <c r="L4512" t="s">
        <v>3959</v>
      </c>
      <c r="M4512" t="s">
        <v>3959</v>
      </c>
      <c r="N4512" t="s">
        <v>3959</v>
      </c>
      <c r="O4512" t="s">
        <v>3959</v>
      </c>
      <c r="P4512" s="57">
        <v>1</v>
      </c>
      <c r="Q4512" s="57">
        <v>0</v>
      </c>
      <c r="R4512" s="57">
        <v>0</v>
      </c>
      <c r="S4512" s="57">
        <v>0</v>
      </c>
      <c r="T4512" s="57">
        <v>0</v>
      </c>
      <c r="U4512" s="57">
        <v>0</v>
      </c>
      <c r="V4512" s="57">
        <v>0</v>
      </c>
      <c r="W4512" s="57">
        <v>0</v>
      </c>
      <c r="X4512" s="57">
        <v>0</v>
      </c>
    </row>
    <row r="4513" spans="1:24" hidden="1" x14ac:dyDescent="0.35">
      <c r="A4513">
        <v>4509</v>
      </c>
      <c r="B4513">
        <v>4510</v>
      </c>
      <c r="C4513">
        <v>146.06838699400001</v>
      </c>
      <c r="D4513">
        <v>-17.6409366432</v>
      </c>
      <c r="F4513" t="str">
        <f>HYPERLINK("D:\Data From Lucan\2024\Moresby\Frames_for_Analysis/4510_20240611_0006_L_0172.jpg","4510_20240611_0006_L_0172.jpg")</f>
        <v>4510_20240611_0006_L_0172.jpg</v>
      </c>
      <c r="G4513" s="92" t="s">
        <v>5357</v>
      </c>
      <c r="I4513">
        <v>4</v>
      </c>
      <c r="K4513" s="57">
        <v>1</v>
      </c>
      <c r="L4513" t="s">
        <v>3959</v>
      </c>
      <c r="M4513" t="s">
        <v>3959</v>
      </c>
      <c r="N4513" t="s">
        <v>3959</v>
      </c>
      <c r="O4513" t="s">
        <v>3959</v>
      </c>
      <c r="P4513" s="57">
        <v>1</v>
      </c>
      <c r="Q4513" s="57">
        <v>0</v>
      </c>
      <c r="R4513" s="57">
        <v>0</v>
      </c>
      <c r="S4513" s="57">
        <v>0</v>
      </c>
      <c r="T4513" s="57">
        <v>1</v>
      </c>
      <c r="U4513" s="57">
        <v>0</v>
      </c>
      <c r="V4513" s="57">
        <v>0</v>
      </c>
      <c r="W4513" s="57">
        <v>0</v>
      </c>
      <c r="X4513" s="57">
        <v>0</v>
      </c>
    </row>
    <row r="4514" spans="1:24" hidden="1" x14ac:dyDescent="0.35">
      <c r="A4514">
        <v>4510</v>
      </c>
      <c r="B4514">
        <v>4511</v>
      </c>
      <c r="C4514">
        <v>146.068343287</v>
      </c>
      <c r="D4514">
        <v>-17.641011434700001</v>
      </c>
      <c r="F4514" t="str">
        <f>HYPERLINK("D:\Data From Lucan\2024\Moresby\Frames_for_Analysis/4511_20240611_0006_L_0177.jpg","4511_20240611_0006_L_0177.jpg")</f>
        <v>4511_20240611_0006_L_0177.jpg</v>
      </c>
      <c r="G4514" s="92" t="s">
        <v>5358</v>
      </c>
      <c r="I4514">
        <v>4</v>
      </c>
      <c r="K4514" s="57">
        <v>1</v>
      </c>
      <c r="L4514" t="s">
        <v>3959</v>
      </c>
      <c r="M4514" t="s">
        <v>3959</v>
      </c>
      <c r="N4514" t="s">
        <v>3959</v>
      </c>
      <c r="O4514" t="s">
        <v>3959</v>
      </c>
      <c r="P4514" s="57">
        <v>1</v>
      </c>
      <c r="Q4514" s="57">
        <v>0</v>
      </c>
      <c r="R4514" s="57">
        <v>0</v>
      </c>
      <c r="S4514" s="57">
        <v>0</v>
      </c>
      <c r="T4514" s="57">
        <v>0</v>
      </c>
      <c r="U4514" s="57">
        <v>0</v>
      </c>
      <c r="V4514" s="57">
        <v>0</v>
      </c>
      <c r="W4514" s="57">
        <v>0</v>
      </c>
      <c r="X4514" s="57">
        <v>0</v>
      </c>
    </row>
    <row r="4515" spans="1:24" hidden="1" x14ac:dyDescent="0.35">
      <c r="A4515">
        <v>4511</v>
      </c>
      <c r="B4515">
        <v>4512</v>
      </c>
      <c r="C4515">
        <v>146.068298862999</v>
      </c>
      <c r="D4515">
        <v>-17.6410857909</v>
      </c>
      <c r="F4515" t="str">
        <f>HYPERLINK("D:\Data From Lucan\2024\Moresby\Frames_for_Analysis/4512_20240611_0006_L_0181.jpg","4512_20240611_0006_L_0181.jpg")</f>
        <v>4512_20240611_0006_L_0181.jpg</v>
      </c>
      <c r="G4515" s="92" t="s">
        <v>5359</v>
      </c>
      <c r="I4515">
        <v>4</v>
      </c>
      <c r="K4515" s="57">
        <v>1</v>
      </c>
      <c r="L4515" t="s">
        <v>3959</v>
      </c>
      <c r="M4515" t="s">
        <v>3959</v>
      </c>
      <c r="N4515" t="s">
        <v>3959</v>
      </c>
      <c r="O4515" t="s">
        <v>3959</v>
      </c>
      <c r="P4515" s="57">
        <v>1</v>
      </c>
      <c r="Q4515" s="57">
        <v>0</v>
      </c>
      <c r="R4515" s="57">
        <v>0</v>
      </c>
      <c r="S4515" s="57">
        <v>0</v>
      </c>
      <c r="T4515" s="57">
        <v>0</v>
      </c>
      <c r="U4515" s="57">
        <v>0</v>
      </c>
      <c r="V4515" s="57">
        <v>0</v>
      </c>
      <c r="W4515" s="57">
        <v>0</v>
      </c>
      <c r="X4515" s="57">
        <v>0</v>
      </c>
    </row>
    <row r="4516" spans="1:24" hidden="1" x14ac:dyDescent="0.35">
      <c r="A4516">
        <v>4512</v>
      </c>
      <c r="B4516">
        <v>4513</v>
      </c>
      <c r="C4516">
        <v>146.068246286</v>
      </c>
      <c r="D4516">
        <v>-17.6411552036</v>
      </c>
      <c r="F4516" t="str">
        <f>HYPERLINK("D:\Data From Lucan\2024\Moresby\Frames_for_Analysis/4513_20240611_0006_L_0185.jpg","4513_20240611_0006_L_0185.jpg")</f>
        <v>4513_20240611_0006_L_0185.jpg</v>
      </c>
      <c r="G4516" s="92" t="s">
        <v>5360</v>
      </c>
      <c r="I4516">
        <v>4</v>
      </c>
      <c r="K4516" s="57">
        <v>1</v>
      </c>
      <c r="L4516" t="s">
        <v>3959</v>
      </c>
      <c r="M4516" t="s">
        <v>3959</v>
      </c>
      <c r="N4516" t="s">
        <v>3959</v>
      </c>
      <c r="O4516" t="s">
        <v>3959</v>
      </c>
      <c r="P4516" s="57">
        <v>1</v>
      </c>
      <c r="Q4516" s="57">
        <v>0</v>
      </c>
      <c r="R4516" s="57">
        <v>0</v>
      </c>
      <c r="S4516" s="57">
        <v>0</v>
      </c>
      <c r="T4516" s="57">
        <v>0</v>
      </c>
      <c r="U4516" s="57">
        <v>0</v>
      </c>
      <c r="V4516" s="57">
        <v>0</v>
      </c>
      <c r="W4516" s="57">
        <v>0</v>
      </c>
      <c r="X4516" s="57">
        <v>0</v>
      </c>
    </row>
    <row r="4517" spans="1:24" hidden="1" x14ac:dyDescent="0.35">
      <c r="A4517">
        <v>4513</v>
      </c>
      <c r="B4517">
        <v>4514</v>
      </c>
      <c r="C4517">
        <v>146.06819370900001</v>
      </c>
      <c r="D4517">
        <v>-17.641224616199899</v>
      </c>
      <c r="F4517" t="str">
        <f>HYPERLINK("D:\Data From Lucan\2024\Moresby\Frames_for_Analysis/4514_20240611_0006_L_0189.jpg","4514_20240611_0006_L_0189.jpg")</f>
        <v>4514_20240611_0006_L_0189.jpg</v>
      </c>
      <c r="G4517" s="92" t="s">
        <v>5361</v>
      </c>
      <c r="I4517">
        <v>4</v>
      </c>
      <c r="K4517" s="57">
        <v>1</v>
      </c>
      <c r="L4517" t="s">
        <v>3959</v>
      </c>
      <c r="M4517" t="s">
        <v>3959</v>
      </c>
      <c r="N4517" t="s">
        <v>3959</v>
      </c>
      <c r="O4517" t="s">
        <v>3959</v>
      </c>
      <c r="P4517" s="57">
        <v>1</v>
      </c>
      <c r="Q4517" s="57">
        <v>0</v>
      </c>
      <c r="R4517" s="57">
        <v>0</v>
      </c>
      <c r="S4517" s="57">
        <v>0</v>
      </c>
      <c r="T4517" s="57">
        <v>0</v>
      </c>
      <c r="U4517" s="57">
        <v>0</v>
      </c>
      <c r="V4517" s="57">
        <v>0</v>
      </c>
      <c r="W4517" s="57">
        <v>0</v>
      </c>
      <c r="X4517" s="57">
        <v>0</v>
      </c>
    </row>
    <row r="4518" spans="1:24" hidden="1" x14ac:dyDescent="0.35">
      <c r="A4518">
        <v>4514</v>
      </c>
      <c r="B4518">
        <v>4515</v>
      </c>
      <c r="C4518">
        <v>146.068141131999</v>
      </c>
      <c r="D4518">
        <v>-17.6412940288999</v>
      </c>
      <c r="F4518" t="str">
        <f>HYPERLINK("D:\Data From Lucan\2024\Moresby\Frames_for_Analysis/4515_20240611_0006_L_0193.jpg","4515_20240611_0006_L_0193.jpg")</f>
        <v>4515_20240611_0006_L_0193.jpg</v>
      </c>
      <c r="G4518" s="92" t="s">
        <v>5362</v>
      </c>
      <c r="I4518">
        <v>4</v>
      </c>
      <c r="K4518" s="57">
        <v>1</v>
      </c>
      <c r="L4518" t="s">
        <v>3959</v>
      </c>
      <c r="M4518" t="s">
        <v>3959</v>
      </c>
      <c r="N4518" t="s">
        <v>3959</v>
      </c>
      <c r="O4518" t="s">
        <v>3959</v>
      </c>
      <c r="P4518" s="57">
        <v>1</v>
      </c>
      <c r="Q4518" s="57">
        <v>0</v>
      </c>
      <c r="R4518" s="57">
        <v>0</v>
      </c>
      <c r="S4518" s="57">
        <v>0</v>
      </c>
      <c r="T4518" s="57">
        <v>0</v>
      </c>
      <c r="U4518" s="57">
        <v>0</v>
      </c>
      <c r="V4518" s="57">
        <v>0</v>
      </c>
      <c r="W4518" s="57">
        <v>0</v>
      </c>
      <c r="X4518" s="57">
        <v>0</v>
      </c>
    </row>
    <row r="4519" spans="1:24" hidden="1" x14ac:dyDescent="0.35">
      <c r="A4519">
        <v>4515</v>
      </c>
      <c r="B4519">
        <v>4516</v>
      </c>
      <c r="C4519">
        <v>146.068088555999</v>
      </c>
      <c r="D4519">
        <v>-17.641363441500001</v>
      </c>
      <c r="F4519" t="str">
        <f>HYPERLINK("D:\Data From Lucan\2024\Moresby\Frames_for_Analysis/4516_20240611_0006_L_0197.jpg","4516_20240611_0006_L_0197.jpg")</f>
        <v>4516_20240611_0006_L_0197.jpg</v>
      </c>
      <c r="G4519" s="92" t="s">
        <v>5363</v>
      </c>
      <c r="I4519">
        <v>4</v>
      </c>
      <c r="K4519" s="57">
        <v>1</v>
      </c>
      <c r="L4519" t="s">
        <v>3959</v>
      </c>
      <c r="M4519" t="s">
        <v>3959</v>
      </c>
      <c r="N4519" t="s">
        <v>3959</v>
      </c>
      <c r="O4519" t="s">
        <v>3959</v>
      </c>
      <c r="P4519" s="57">
        <v>1</v>
      </c>
      <c r="Q4519" s="57">
        <v>0</v>
      </c>
      <c r="R4519" s="57">
        <v>0</v>
      </c>
      <c r="S4519" s="57">
        <v>0</v>
      </c>
      <c r="T4519" s="57">
        <v>1</v>
      </c>
      <c r="U4519" s="57">
        <v>0</v>
      </c>
      <c r="V4519" s="57">
        <v>0</v>
      </c>
      <c r="W4519" s="57">
        <v>0</v>
      </c>
      <c r="X4519" s="57">
        <v>0</v>
      </c>
    </row>
    <row r="4520" spans="1:24" hidden="1" x14ac:dyDescent="0.35">
      <c r="A4520">
        <v>4516</v>
      </c>
      <c r="B4520">
        <v>4517</v>
      </c>
      <c r="C4520">
        <v>146.06803572499899</v>
      </c>
      <c r="D4520">
        <v>-17.641432676000001</v>
      </c>
      <c r="F4520" t="str">
        <f>HYPERLINK("D:\Data From Lucan\2024\Moresby\Frames_for_Analysis/4517_20240611_0006_L_0201.jpg","4517_20240611_0006_L_0201.jpg")</f>
        <v>4517_20240611_0006_L_0201.jpg</v>
      </c>
      <c r="G4520" s="92" t="s">
        <v>5364</v>
      </c>
      <c r="I4520">
        <v>4</v>
      </c>
      <c r="K4520" s="57">
        <v>1</v>
      </c>
      <c r="L4520" t="s">
        <v>3959</v>
      </c>
      <c r="M4520" t="s">
        <v>3959</v>
      </c>
      <c r="N4520" t="s">
        <v>3959</v>
      </c>
      <c r="O4520" t="s">
        <v>3959</v>
      </c>
      <c r="P4520" s="57">
        <v>1</v>
      </c>
      <c r="Q4520" s="57">
        <v>0</v>
      </c>
      <c r="R4520" s="57">
        <v>0</v>
      </c>
      <c r="S4520" s="57">
        <v>0</v>
      </c>
      <c r="T4520" s="57">
        <v>0</v>
      </c>
      <c r="U4520" s="57">
        <v>0</v>
      </c>
      <c r="V4520" s="57">
        <v>0</v>
      </c>
      <c r="W4520" s="57">
        <v>0</v>
      </c>
      <c r="X4520" s="57">
        <v>0</v>
      </c>
    </row>
    <row r="4521" spans="1:24" hidden="1" x14ac:dyDescent="0.35">
      <c r="A4521">
        <v>4517</v>
      </c>
      <c r="B4521">
        <v>4518</v>
      </c>
      <c r="C4521">
        <v>146.067981682999</v>
      </c>
      <c r="D4521">
        <v>-17.6415010587999</v>
      </c>
      <c r="F4521" t="str">
        <f>HYPERLINK("D:\Data From Lucan\2024\Moresby\Frames_for_Analysis/4518_20240611_0006_L_0205.jpg","4518_20240611_0006_L_0205.jpg")</f>
        <v>4518_20240611_0006_L_0205.jpg</v>
      </c>
      <c r="G4521" s="92" t="s">
        <v>5365</v>
      </c>
      <c r="I4521">
        <v>4</v>
      </c>
      <c r="K4521" s="57">
        <v>1</v>
      </c>
      <c r="L4521" t="s">
        <v>3959</v>
      </c>
      <c r="M4521" t="s">
        <v>3959</v>
      </c>
      <c r="N4521" t="s">
        <v>3959</v>
      </c>
      <c r="O4521" t="s">
        <v>3959</v>
      </c>
      <c r="P4521" s="57">
        <v>1</v>
      </c>
      <c r="Q4521" s="57">
        <v>0</v>
      </c>
      <c r="R4521" s="57">
        <v>0</v>
      </c>
      <c r="S4521" s="57">
        <v>0</v>
      </c>
      <c r="T4521" s="57">
        <v>0</v>
      </c>
      <c r="U4521" s="57">
        <v>0</v>
      </c>
      <c r="V4521" s="57">
        <v>0</v>
      </c>
      <c r="W4521" s="57">
        <v>0</v>
      </c>
      <c r="X4521" s="57">
        <v>0</v>
      </c>
    </row>
    <row r="4522" spans="1:24" hidden="1" x14ac:dyDescent="0.35">
      <c r="A4522">
        <v>4518</v>
      </c>
      <c r="B4522">
        <v>4519</v>
      </c>
      <c r="C4522">
        <v>146.06792764100001</v>
      </c>
      <c r="D4522">
        <v>-17.6415694417</v>
      </c>
      <c r="F4522" t="str">
        <f>HYPERLINK("D:\Data From Lucan\2024\Moresby\Frames_for_Analysis/4519_20240611_0006_L_0209.jpg","4519_20240611_0006_L_0209.jpg")</f>
        <v>4519_20240611_0006_L_0209.jpg</v>
      </c>
      <c r="G4522" s="92" t="s">
        <v>5366</v>
      </c>
      <c r="I4522">
        <v>4</v>
      </c>
      <c r="K4522" s="57">
        <v>1</v>
      </c>
      <c r="L4522" t="s">
        <v>3959</v>
      </c>
      <c r="M4522" t="s">
        <v>3959</v>
      </c>
      <c r="N4522" t="s">
        <v>3959</v>
      </c>
      <c r="O4522" t="s">
        <v>3959</v>
      </c>
      <c r="P4522" s="57">
        <v>1</v>
      </c>
      <c r="Q4522" s="57">
        <v>0</v>
      </c>
      <c r="R4522" s="57">
        <v>0</v>
      </c>
      <c r="S4522" s="57">
        <v>0</v>
      </c>
      <c r="T4522" s="57">
        <v>0</v>
      </c>
      <c r="U4522" s="57">
        <v>0</v>
      </c>
      <c r="V4522" s="57">
        <v>0</v>
      </c>
      <c r="W4522" s="57">
        <v>0</v>
      </c>
      <c r="X4522" s="57">
        <v>0</v>
      </c>
    </row>
    <row r="4523" spans="1:24" hidden="1" x14ac:dyDescent="0.35">
      <c r="A4523">
        <v>4519</v>
      </c>
      <c r="B4523">
        <v>4520</v>
      </c>
      <c r="C4523">
        <v>146.067873598999</v>
      </c>
      <c r="D4523">
        <v>-17.641637824499899</v>
      </c>
      <c r="F4523" t="str">
        <f>HYPERLINK("D:\Data From Lucan\2024\Moresby\Frames_for_Analysis/4520_20240611_0006_L_0212.jpg","4520_20240611_0006_L_0212.jpg")</f>
        <v>4520_20240611_0006_L_0212.jpg</v>
      </c>
      <c r="G4523" s="92" t="s">
        <v>5367</v>
      </c>
      <c r="I4523">
        <v>4</v>
      </c>
      <c r="K4523" s="57">
        <v>1</v>
      </c>
      <c r="L4523" t="s">
        <v>3959</v>
      </c>
      <c r="M4523" t="s">
        <v>3959</v>
      </c>
      <c r="N4523" t="s">
        <v>3959</v>
      </c>
      <c r="O4523" t="s">
        <v>3959</v>
      </c>
      <c r="P4523" s="57">
        <v>1</v>
      </c>
      <c r="Q4523" s="57">
        <v>0</v>
      </c>
      <c r="R4523" s="57">
        <v>0</v>
      </c>
      <c r="S4523" s="57">
        <v>0</v>
      </c>
      <c r="T4523" s="57">
        <v>0</v>
      </c>
      <c r="U4523" s="57">
        <v>0</v>
      </c>
      <c r="V4523" s="57">
        <v>0</v>
      </c>
      <c r="W4523" s="57">
        <v>0</v>
      </c>
      <c r="X4523" s="57">
        <v>0</v>
      </c>
    </row>
    <row r="4524" spans="1:24" hidden="1" x14ac:dyDescent="0.35">
      <c r="A4524">
        <v>4520</v>
      </c>
      <c r="B4524">
        <v>4521</v>
      </c>
      <c r="C4524">
        <v>146.06780932000001</v>
      </c>
      <c r="D4524">
        <v>-17.641697125099899</v>
      </c>
      <c r="F4524" t="str">
        <f>HYPERLINK("D:\Data From Lucan\2024\Moresby\Frames_for_Analysis/4521_20240611_0006_L_0216.jpg","4521_20240611_0006_L_0216.jpg")</f>
        <v>4521_20240611_0006_L_0216.jpg</v>
      </c>
      <c r="G4524" s="92" t="s">
        <v>5368</v>
      </c>
      <c r="I4524">
        <v>4</v>
      </c>
      <c r="K4524" s="57">
        <v>1</v>
      </c>
      <c r="L4524" t="s">
        <v>3959</v>
      </c>
      <c r="M4524" t="s">
        <v>3959</v>
      </c>
      <c r="N4524" t="s">
        <v>3959</v>
      </c>
      <c r="O4524" t="s">
        <v>3959</v>
      </c>
      <c r="P4524" s="57">
        <v>1</v>
      </c>
      <c r="Q4524" s="57">
        <v>0</v>
      </c>
      <c r="R4524" s="57">
        <v>0</v>
      </c>
      <c r="S4524" s="57">
        <v>0</v>
      </c>
      <c r="T4524" s="57">
        <v>0</v>
      </c>
      <c r="U4524" s="57">
        <v>0</v>
      </c>
      <c r="V4524" s="57">
        <v>0</v>
      </c>
      <c r="W4524" s="57">
        <v>0</v>
      </c>
      <c r="X4524" s="57">
        <v>0</v>
      </c>
    </row>
    <row r="4525" spans="1:24" hidden="1" x14ac:dyDescent="0.35">
      <c r="A4525">
        <v>4521</v>
      </c>
      <c r="B4525">
        <v>4522</v>
      </c>
      <c r="C4525">
        <v>146.06774160200001</v>
      </c>
      <c r="D4525">
        <v>-17.641753374099899</v>
      </c>
      <c r="F4525" t="str">
        <f>HYPERLINK("D:\Data From Lucan\2024\Moresby\Frames_for_Analysis/4522_20240611_0006_L_0219.jpg","4522_20240611_0006_L_0219.jpg")</f>
        <v>4522_20240611_0006_L_0219.jpg</v>
      </c>
      <c r="G4525" s="92" t="s">
        <v>5369</v>
      </c>
      <c r="I4525">
        <v>4</v>
      </c>
      <c r="K4525" s="57">
        <v>1</v>
      </c>
      <c r="L4525" t="s">
        <v>3959</v>
      </c>
      <c r="M4525" t="s">
        <v>3959</v>
      </c>
      <c r="N4525" t="s">
        <v>3959</v>
      </c>
      <c r="O4525" t="s">
        <v>3959</v>
      </c>
      <c r="P4525" s="57">
        <v>1</v>
      </c>
      <c r="Q4525" s="57">
        <v>0</v>
      </c>
      <c r="R4525" s="57">
        <v>0</v>
      </c>
      <c r="S4525" s="57">
        <v>0</v>
      </c>
      <c r="T4525" s="57">
        <v>0</v>
      </c>
      <c r="U4525" s="57">
        <v>0</v>
      </c>
      <c r="V4525" s="57">
        <v>0</v>
      </c>
      <c r="W4525" s="57">
        <v>0</v>
      </c>
      <c r="X4525" s="57">
        <v>0</v>
      </c>
    </row>
    <row r="4526" spans="1:24" hidden="1" x14ac:dyDescent="0.35">
      <c r="A4526">
        <v>4522</v>
      </c>
      <c r="B4526">
        <v>4523</v>
      </c>
      <c r="C4526">
        <v>146.067673882999</v>
      </c>
      <c r="D4526">
        <v>-17.641809623099899</v>
      </c>
      <c r="F4526" t="str">
        <f>HYPERLINK("D:\Data From Lucan\2024\Moresby\Frames_for_Analysis/4523_20240611_0006_L_0223.jpg","4523_20240611_0006_L_0223.jpg")</f>
        <v>4523_20240611_0006_L_0223.jpg</v>
      </c>
      <c r="G4526" s="92" t="s">
        <v>5370</v>
      </c>
      <c r="I4526">
        <v>4</v>
      </c>
      <c r="K4526" s="57">
        <v>1</v>
      </c>
      <c r="L4526" t="s">
        <v>3959</v>
      </c>
      <c r="M4526" t="s">
        <v>3959</v>
      </c>
      <c r="N4526" t="s">
        <v>3959</v>
      </c>
      <c r="O4526" t="s">
        <v>3959</v>
      </c>
      <c r="P4526" s="57">
        <v>1</v>
      </c>
      <c r="Q4526" s="57">
        <v>0</v>
      </c>
      <c r="R4526" s="57">
        <v>0</v>
      </c>
      <c r="S4526" s="57">
        <v>0</v>
      </c>
      <c r="T4526" s="57">
        <v>0</v>
      </c>
      <c r="U4526" s="57">
        <v>0</v>
      </c>
      <c r="V4526" s="57">
        <v>0</v>
      </c>
      <c r="W4526" s="57">
        <v>0</v>
      </c>
      <c r="X4526" s="57">
        <v>0</v>
      </c>
    </row>
    <row r="4527" spans="1:24" hidden="1" x14ac:dyDescent="0.35">
      <c r="A4527">
        <v>4523</v>
      </c>
      <c r="B4527">
        <v>4524</v>
      </c>
      <c r="C4527">
        <v>146.067606165</v>
      </c>
      <c r="D4527">
        <v>-17.641865872099899</v>
      </c>
      <c r="F4527" t="str">
        <f>HYPERLINK("D:\Data From Lucan\2024\Moresby\Frames_for_Analysis/4524_20240611_0006_L_0228.jpg","4524_20240611_0006_L_0228.jpg")</f>
        <v>4524_20240611_0006_L_0228.jpg</v>
      </c>
      <c r="G4527" s="92" t="s">
        <v>5371</v>
      </c>
      <c r="I4527">
        <v>4</v>
      </c>
      <c r="K4527" s="57">
        <v>1</v>
      </c>
      <c r="L4527" t="s">
        <v>3959</v>
      </c>
      <c r="M4527" t="s">
        <v>3959</v>
      </c>
      <c r="N4527" t="s">
        <v>3959</v>
      </c>
      <c r="O4527" t="s">
        <v>3959</v>
      </c>
      <c r="P4527" s="57">
        <v>1</v>
      </c>
      <c r="Q4527" s="57">
        <v>0</v>
      </c>
      <c r="R4527" s="57">
        <v>0</v>
      </c>
      <c r="S4527" s="57">
        <v>0</v>
      </c>
      <c r="T4527" s="57">
        <v>0</v>
      </c>
      <c r="U4527" s="57">
        <v>0</v>
      </c>
      <c r="V4527" s="57">
        <v>0</v>
      </c>
      <c r="W4527" s="57">
        <v>0</v>
      </c>
      <c r="X4527" s="57">
        <v>0</v>
      </c>
    </row>
    <row r="4528" spans="1:24" hidden="1" x14ac:dyDescent="0.35">
      <c r="A4528">
        <v>4524</v>
      </c>
      <c r="B4528">
        <v>4525</v>
      </c>
      <c r="C4528">
        <v>146.067531443999</v>
      </c>
      <c r="D4528">
        <v>-17.6419130174</v>
      </c>
      <c r="F4528" t="str">
        <f>HYPERLINK("D:\Data From Lucan\2024\Moresby\Frames_for_Analysis/4525_20240611_0006_L_0231.jpg","4525_20240611_0006_L_0231.jpg")</f>
        <v>4525_20240611_0006_L_0231.jpg</v>
      </c>
      <c r="G4528" s="92" t="s">
        <v>5372</v>
      </c>
      <c r="I4528">
        <v>4</v>
      </c>
      <c r="K4528" s="57">
        <v>1</v>
      </c>
      <c r="L4528" t="s">
        <v>3959</v>
      </c>
      <c r="M4528" t="s">
        <v>3959</v>
      </c>
      <c r="N4528" t="s">
        <v>3959</v>
      </c>
      <c r="O4528" t="s">
        <v>3959</v>
      </c>
      <c r="P4528" s="57">
        <v>1</v>
      </c>
      <c r="Q4528" s="57">
        <v>0</v>
      </c>
      <c r="R4528" s="57">
        <v>0</v>
      </c>
      <c r="S4528" s="57">
        <v>0</v>
      </c>
      <c r="T4528" s="57">
        <v>0</v>
      </c>
      <c r="U4528" s="57">
        <v>0</v>
      </c>
      <c r="V4528" s="57">
        <v>0</v>
      </c>
      <c r="W4528" s="57">
        <v>0</v>
      </c>
      <c r="X4528" s="57">
        <v>0</v>
      </c>
    </row>
    <row r="4529" spans="1:24" hidden="1" x14ac:dyDescent="0.35">
      <c r="A4529">
        <v>4525</v>
      </c>
      <c r="B4529">
        <v>4526</v>
      </c>
      <c r="C4529">
        <v>146.06745477499899</v>
      </c>
      <c r="D4529">
        <v>-17.641957629299899</v>
      </c>
      <c r="F4529" t="str">
        <f>HYPERLINK("D:\Data From Lucan\2024\Moresby\Frames_for_Analysis/4526_20240611_0006_L_0234.jpg","4526_20240611_0006_L_0234.jpg")</f>
        <v>4526_20240611_0006_L_0234.jpg</v>
      </c>
      <c r="G4529" s="92" t="s">
        <v>5373</v>
      </c>
      <c r="I4529">
        <v>4</v>
      </c>
      <c r="K4529" s="57">
        <v>1</v>
      </c>
      <c r="L4529" t="s">
        <v>3959</v>
      </c>
      <c r="M4529" t="s">
        <v>3959</v>
      </c>
      <c r="N4529" t="s">
        <v>3959</v>
      </c>
      <c r="O4529" t="s">
        <v>3959</v>
      </c>
      <c r="P4529" s="57">
        <v>1</v>
      </c>
      <c r="Q4529" s="57">
        <v>0</v>
      </c>
      <c r="R4529" s="57">
        <v>0</v>
      </c>
      <c r="S4529" s="57">
        <v>0</v>
      </c>
      <c r="T4529" s="57">
        <v>0</v>
      </c>
      <c r="U4529" s="57">
        <v>0</v>
      </c>
      <c r="V4529" s="57">
        <v>0</v>
      </c>
      <c r="W4529" s="57">
        <v>0</v>
      </c>
      <c r="X4529" s="57">
        <v>0</v>
      </c>
    </row>
    <row r="4530" spans="1:24" hidden="1" x14ac:dyDescent="0.35">
      <c r="A4530">
        <v>4526</v>
      </c>
      <c r="B4530">
        <v>4527</v>
      </c>
      <c r="C4530">
        <v>146.06737810600001</v>
      </c>
      <c r="D4530">
        <v>-17.642002241099899</v>
      </c>
      <c r="F4530" t="str">
        <f>HYPERLINK("D:\Data From Lucan\2024\Moresby\Frames_for_Analysis/4527_20240611_0006_L_0237.jpg","4527_20240611_0006_L_0237.jpg")</f>
        <v>4527_20240611_0006_L_0237.jpg</v>
      </c>
      <c r="G4530" s="92" t="s">
        <v>5374</v>
      </c>
      <c r="I4530">
        <v>4</v>
      </c>
      <c r="K4530" s="57">
        <v>1</v>
      </c>
      <c r="L4530" t="s">
        <v>3959</v>
      </c>
      <c r="M4530" t="s">
        <v>3959</v>
      </c>
      <c r="N4530" t="s">
        <v>3959</v>
      </c>
      <c r="O4530" t="s">
        <v>3959</v>
      </c>
      <c r="P4530" s="57">
        <v>1</v>
      </c>
      <c r="Q4530" s="57">
        <v>0</v>
      </c>
      <c r="R4530" s="57">
        <v>0</v>
      </c>
      <c r="S4530" s="57">
        <v>0</v>
      </c>
      <c r="T4530" s="57">
        <v>0</v>
      </c>
      <c r="U4530" s="57">
        <v>0</v>
      </c>
      <c r="V4530" s="57">
        <v>0</v>
      </c>
      <c r="W4530" s="57">
        <v>0</v>
      </c>
      <c r="X4530" s="57">
        <v>0</v>
      </c>
    </row>
    <row r="4531" spans="1:24" hidden="1" x14ac:dyDescent="0.35">
      <c r="A4531">
        <v>4527</v>
      </c>
      <c r="B4531">
        <v>4528</v>
      </c>
      <c r="C4531">
        <v>146.06730893100001</v>
      </c>
      <c r="D4531">
        <v>-17.6420559451999</v>
      </c>
      <c r="F4531" t="str">
        <f>HYPERLINK("D:\Data From Lucan\2024\Moresby\Frames_for_Analysis/4528_20240611_0006_L_0241.jpg","4528_20240611_0006_L_0241.jpg")</f>
        <v>4528_20240611_0006_L_0241.jpg</v>
      </c>
      <c r="G4531" s="92" t="s">
        <v>5375</v>
      </c>
      <c r="I4531">
        <v>4</v>
      </c>
      <c r="K4531" s="57">
        <v>1</v>
      </c>
      <c r="L4531" t="s">
        <v>3959</v>
      </c>
      <c r="M4531" t="s">
        <v>3959</v>
      </c>
      <c r="N4531" t="s">
        <v>3959</v>
      </c>
      <c r="O4531" t="s">
        <v>3959</v>
      </c>
      <c r="P4531" s="57">
        <v>1</v>
      </c>
      <c r="Q4531" s="57">
        <v>0</v>
      </c>
      <c r="R4531" s="57">
        <v>0</v>
      </c>
      <c r="S4531" s="57">
        <v>0</v>
      </c>
      <c r="T4531" s="57">
        <v>0</v>
      </c>
      <c r="U4531" s="57">
        <v>0</v>
      </c>
      <c r="V4531" s="57">
        <v>0</v>
      </c>
      <c r="W4531" s="57">
        <v>0</v>
      </c>
      <c r="X4531" s="57">
        <v>0</v>
      </c>
    </row>
    <row r="4532" spans="1:24" hidden="1" x14ac:dyDescent="0.35">
      <c r="A4532">
        <v>4528</v>
      </c>
      <c r="B4532">
        <v>4529</v>
      </c>
      <c r="C4532">
        <v>146.06724529100001</v>
      </c>
      <c r="D4532">
        <v>-17.642116364100001</v>
      </c>
      <c r="F4532" t="str">
        <f>HYPERLINK("D:\Data From Lucan\2024\Moresby\Frames_for_Analysis/4529_20240611_0006_L_0246.jpg","4529_20240611_0006_L_0246.jpg")</f>
        <v>4529_20240611_0006_L_0246.jpg</v>
      </c>
      <c r="G4532" s="92" t="s">
        <v>5376</v>
      </c>
      <c r="I4532">
        <v>4</v>
      </c>
      <c r="K4532" s="57">
        <v>1</v>
      </c>
      <c r="L4532" t="s">
        <v>3959</v>
      </c>
      <c r="M4532" t="s">
        <v>3959</v>
      </c>
      <c r="N4532" t="s">
        <v>3959</v>
      </c>
      <c r="O4532" t="s">
        <v>3959</v>
      </c>
      <c r="P4532" s="57">
        <v>1</v>
      </c>
      <c r="Q4532" s="57">
        <v>0</v>
      </c>
      <c r="R4532" s="57">
        <v>0</v>
      </c>
      <c r="S4532" s="57">
        <v>0</v>
      </c>
      <c r="T4532" s="57">
        <v>0</v>
      </c>
      <c r="U4532" s="57">
        <v>0</v>
      </c>
      <c r="V4532" s="57">
        <v>0</v>
      </c>
      <c r="W4532" s="57">
        <v>0</v>
      </c>
      <c r="X4532" s="57">
        <v>0</v>
      </c>
    </row>
    <row r="4533" spans="1:24" hidden="1" x14ac:dyDescent="0.35">
      <c r="A4533">
        <v>4529</v>
      </c>
      <c r="B4533">
        <v>4530</v>
      </c>
      <c r="C4533">
        <v>146.067174878999</v>
      </c>
      <c r="D4533">
        <v>-17.6421674837</v>
      </c>
      <c r="F4533" t="str">
        <f>HYPERLINK("D:\Data From Lucan\2024\Moresby\Frames_for_Analysis/4530_20240611_0006_L_0249.jpg","4530_20240611_0006_L_0249.jpg")</f>
        <v>4530_20240611_0006_L_0249.jpg</v>
      </c>
      <c r="G4533" s="92" t="s">
        <v>5377</v>
      </c>
      <c r="I4533">
        <v>4</v>
      </c>
      <c r="K4533" s="57">
        <v>1</v>
      </c>
      <c r="L4533" t="s">
        <v>3959</v>
      </c>
      <c r="M4533" t="s">
        <v>3959</v>
      </c>
      <c r="N4533" t="s">
        <v>3959</v>
      </c>
      <c r="O4533" t="s">
        <v>3959</v>
      </c>
      <c r="P4533" s="57">
        <v>1</v>
      </c>
      <c r="Q4533" s="57">
        <v>0</v>
      </c>
      <c r="R4533" s="57">
        <v>0</v>
      </c>
      <c r="S4533" s="57">
        <v>0</v>
      </c>
      <c r="T4533" s="57">
        <v>0</v>
      </c>
      <c r="U4533" s="57">
        <v>0</v>
      </c>
      <c r="V4533" s="57">
        <v>0</v>
      </c>
      <c r="W4533" s="57">
        <v>0</v>
      </c>
      <c r="X4533" s="57">
        <v>0</v>
      </c>
    </row>
    <row r="4534" spans="1:24" hidden="1" x14ac:dyDescent="0.35">
      <c r="A4534">
        <v>4530</v>
      </c>
      <c r="B4534">
        <v>4531</v>
      </c>
      <c r="C4534">
        <v>146.06709321700001</v>
      </c>
      <c r="D4534">
        <v>-17.642203153299899</v>
      </c>
      <c r="F4534" t="str">
        <f>HYPERLINK("D:\Data From Lucan\2024\Moresby\Frames_for_Analysis/4531_20240611_0006_L_0253.jpg","4531_20240611_0006_L_0253.jpg")</f>
        <v>4531_20240611_0006_L_0253.jpg</v>
      </c>
      <c r="G4534" s="92" t="s">
        <v>5378</v>
      </c>
      <c r="I4534">
        <v>4</v>
      </c>
      <c r="K4534" s="57">
        <v>1</v>
      </c>
      <c r="L4534" t="s">
        <v>3959</v>
      </c>
      <c r="M4534" t="s">
        <v>3959</v>
      </c>
      <c r="N4534" t="s">
        <v>3959</v>
      </c>
      <c r="O4534" t="s">
        <v>3959</v>
      </c>
      <c r="P4534" s="57">
        <v>1</v>
      </c>
      <c r="Q4534" s="57">
        <v>0</v>
      </c>
      <c r="R4534" s="57">
        <v>0</v>
      </c>
      <c r="S4534" s="57">
        <v>0</v>
      </c>
      <c r="T4534" s="57">
        <v>0</v>
      </c>
      <c r="U4534" s="57">
        <v>0</v>
      </c>
      <c r="V4534" s="57">
        <v>0</v>
      </c>
      <c r="W4534" s="57">
        <v>0</v>
      </c>
      <c r="X4534" s="57">
        <v>0</v>
      </c>
    </row>
    <row r="4535" spans="1:24" hidden="1" x14ac:dyDescent="0.35">
      <c r="A4535">
        <v>4531</v>
      </c>
      <c r="B4535">
        <v>4532</v>
      </c>
      <c r="C4535">
        <v>146.067011554999</v>
      </c>
      <c r="D4535">
        <v>-17.6422388228</v>
      </c>
      <c r="F4535" t="str">
        <f>HYPERLINK("D:\Data From Lucan\2024\Moresby\Frames_for_Analysis/4532_20240611_0006_L_0257.jpg","4532_20240611_0006_L_0257.jpg")</f>
        <v>4532_20240611_0006_L_0257.jpg</v>
      </c>
      <c r="G4535" s="92" t="s">
        <v>5379</v>
      </c>
      <c r="I4535">
        <v>4</v>
      </c>
      <c r="K4535" s="57">
        <v>1</v>
      </c>
      <c r="L4535" t="s">
        <v>3959</v>
      </c>
      <c r="M4535" t="s">
        <v>3959</v>
      </c>
      <c r="N4535" t="s">
        <v>3959</v>
      </c>
      <c r="O4535" t="s">
        <v>3959</v>
      </c>
      <c r="P4535" s="57">
        <v>1</v>
      </c>
      <c r="Q4535" s="57">
        <v>0</v>
      </c>
      <c r="R4535" s="57">
        <v>0</v>
      </c>
      <c r="S4535" s="57">
        <v>0</v>
      </c>
      <c r="T4535" s="57">
        <v>0</v>
      </c>
      <c r="U4535" s="57">
        <v>0</v>
      </c>
      <c r="V4535" s="57">
        <v>0</v>
      </c>
      <c r="W4535" s="57">
        <v>0</v>
      </c>
      <c r="X4535" s="57">
        <v>0</v>
      </c>
    </row>
    <row r="4536" spans="1:24" hidden="1" x14ac:dyDescent="0.35">
      <c r="A4536">
        <v>4532</v>
      </c>
      <c r="B4536">
        <v>4533</v>
      </c>
      <c r="C4536">
        <v>146.06694168000001</v>
      </c>
      <c r="D4536">
        <v>-17.642291070199899</v>
      </c>
      <c r="F4536" t="str">
        <f>HYPERLINK("D:\Data From Lucan\2024\Moresby\Frames_for_Analysis/4533_20240611_0006_L_0261.jpg","4533_20240611_0006_L_0261.jpg")</f>
        <v>4533_20240611_0006_L_0261.jpg</v>
      </c>
      <c r="G4536" s="92" t="s">
        <v>5380</v>
      </c>
      <c r="I4536">
        <v>4</v>
      </c>
      <c r="K4536" s="57">
        <v>1</v>
      </c>
      <c r="L4536" t="s">
        <v>3959</v>
      </c>
      <c r="M4536" t="s">
        <v>3959</v>
      </c>
      <c r="N4536" t="s">
        <v>3959</v>
      </c>
      <c r="O4536" t="s">
        <v>3959</v>
      </c>
      <c r="P4536" s="57">
        <v>1</v>
      </c>
      <c r="Q4536" s="57">
        <v>0</v>
      </c>
      <c r="R4536" s="57">
        <v>0</v>
      </c>
      <c r="S4536" s="57">
        <v>0</v>
      </c>
      <c r="T4536" s="57">
        <v>0</v>
      </c>
      <c r="U4536" s="57">
        <v>0</v>
      </c>
      <c r="V4536" s="57">
        <v>0</v>
      </c>
      <c r="W4536" s="57">
        <v>0</v>
      </c>
      <c r="X4536" s="57">
        <v>0</v>
      </c>
    </row>
    <row r="4537" spans="1:24" hidden="1" x14ac:dyDescent="0.35">
      <c r="A4537">
        <v>4533</v>
      </c>
      <c r="B4537">
        <v>4534</v>
      </c>
      <c r="C4537">
        <v>146.06687664699899</v>
      </c>
      <c r="D4537">
        <v>-17.642350126499899</v>
      </c>
      <c r="F4537" t="str">
        <f>HYPERLINK("D:\Data From Lucan\2024\Moresby\Frames_for_Analysis/4534_20240611_0006_L_0264.jpg","4534_20240611_0006_L_0264.jpg")</f>
        <v>4534_20240611_0006_L_0264.jpg</v>
      </c>
      <c r="G4537" s="92" t="s">
        <v>5381</v>
      </c>
      <c r="I4537">
        <v>4</v>
      </c>
      <c r="K4537" s="57">
        <v>1</v>
      </c>
      <c r="L4537" t="s">
        <v>3959</v>
      </c>
      <c r="M4537" t="s">
        <v>3959</v>
      </c>
      <c r="N4537" t="s">
        <v>3959</v>
      </c>
      <c r="O4537" t="s">
        <v>3959</v>
      </c>
      <c r="P4537" s="57">
        <v>1</v>
      </c>
      <c r="Q4537" s="57">
        <v>0</v>
      </c>
      <c r="R4537" s="57">
        <v>0</v>
      </c>
      <c r="S4537" s="57">
        <v>0</v>
      </c>
      <c r="T4537" s="57">
        <v>0</v>
      </c>
      <c r="U4537" s="57">
        <v>0</v>
      </c>
      <c r="V4537" s="57">
        <v>0</v>
      </c>
      <c r="W4537" s="57">
        <v>0</v>
      </c>
      <c r="X4537" s="57">
        <v>0</v>
      </c>
    </row>
    <row r="4538" spans="1:24" hidden="1" x14ac:dyDescent="0.35">
      <c r="A4538">
        <v>4534</v>
      </c>
      <c r="B4538">
        <v>4535</v>
      </c>
      <c r="C4538">
        <v>146.066818463</v>
      </c>
      <c r="D4538">
        <v>-17.642415127300001</v>
      </c>
      <c r="F4538" t="str">
        <f>HYPERLINK("D:\Data From Lucan\2024\Moresby\Frames_for_Analysis/4535_20240611_0006_L_0267.jpg","4535_20240611_0006_L_0267.jpg")</f>
        <v>4535_20240611_0006_L_0267.jpg</v>
      </c>
      <c r="G4538" s="92" t="s">
        <v>5382</v>
      </c>
      <c r="I4538">
        <v>4</v>
      </c>
      <c r="K4538" s="57">
        <v>1</v>
      </c>
      <c r="L4538" t="s">
        <v>3959</v>
      </c>
      <c r="M4538" t="s">
        <v>3959</v>
      </c>
      <c r="N4538" t="s">
        <v>3959</v>
      </c>
      <c r="O4538" t="s">
        <v>3959</v>
      </c>
      <c r="P4538" s="57">
        <v>1</v>
      </c>
      <c r="Q4538" s="57">
        <v>0</v>
      </c>
      <c r="R4538" s="57">
        <v>0</v>
      </c>
      <c r="S4538" s="57">
        <v>0</v>
      </c>
      <c r="T4538" s="57">
        <v>0</v>
      </c>
      <c r="U4538" s="57">
        <v>0</v>
      </c>
      <c r="V4538" s="57">
        <v>0</v>
      </c>
      <c r="W4538" s="57">
        <v>0</v>
      </c>
      <c r="X4538" s="57">
        <v>0</v>
      </c>
    </row>
    <row r="4539" spans="1:24" hidden="1" x14ac:dyDescent="0.35">
      <c r="A4539">
        <v>4535</v>
      </c>
      <c r="B4539">
        <v>4536</v>
      </c>
      <c r="C4539">
        <v>146.06674202100001</v>
      </c>
      <c r="D4539">
        <v>-17.642434112</v>
      </c>
      <c r="F4539" t="str">
        <f>HYPERLINK("D:\Data From Lucan\2024\Moresby\Frames_for_Analysis/4536_20240611_0006_L_0269.jpg","4536_20240611_0006_L_0269.jpg")</f>
        <v>4536_20240611_0006_L_0269.jpg</v>
      </c>
      <c r="G4539" s="92" t="s">
        <v>5383</v>
      </c>
      <c r="I4539">
        <v>4</v>
      </c>
      <c r="K4539" s="57">
        <v>1</v>
      </c>
      <c r="L4539" t="s">
        <v>3959</v>
      </c>
      <c r="M4539" t="s">
        <v>3959</v>
      </c>
      <c r="N4539" t="s">
        <v>3959</v>
      </c>
      <c r="O4539" t="s">
        <v>3959</v>
      </c>
      <c r="P4539" s="57">
        <v>1</v>
      </c>
      <c r="Q4539" s="57">
        <v>0</v>
      </c>
      <c r="R4539" s="57">
        <v>0</v>
      </c>
      <c r="S4539" s="57">
        <v>0</v>
      </c>
      <c r="T4539" s="57">
        <v>0</v>
      </c>
      <c r="U4539" s="57">
        <v>0</v>
      </c>
      <c r="V4539" s="57">
        <v>0</v>
      </c>
      <c r="W4539" s="57">
        <v>0</v>
      </c>
      <c r="X4539" s="57">
        <v>0</v>
      </c>
    </row>
    <row r="4540" spans="1:24" hidden="1" x14ac:dyDescent="0.35">
      <c r="A4540">
        <v>4536</v>
      </c>
      <c r="B4540">
        <v>4537</v>
      </c>
      <c r="C4540">
        <v>146.06665517299899</v>
      </c>
      <c r="D4540">
        <v>-17.6424140481999</v>
      </c>
      <c r="F4540" t="str">
        <f>HYPERLINK("D:\Data From Lucan\2024\Moresby\Frames_for_Analysis/4537_20240611_0006_L_0273.jpg","4537_20240611_0006_L_0273.jpg")</f>
        <v>4537_20240611_0006_L_0273.jpg</v>
      </c>
      <c r="G4540" s="92" t="s">
        <v>5384</v>
      </c>
      <c r="I4540">
        <v>4</v>
      </c>
      <c r="K4540" s="57">
        <v>1</v>
      </c>
      <c r="L4540" t="s">
        <v>3959</v>
      </c>
      <c r="M4540" t="s">
        <v>3959</v>
      </c>
      <c r="N4540" t="s">
        <v>3959</v>
      </c>
      <c r="O4540" t="s">
        <v>3959</v>
      </c>
      <c r="P4540" s="57">
        <v>1</v>
      </c>
      <c r="Q4540" s="57">
        <v>0</v>
      </c>
      <c r="R4540" s="57">
        <v>0</v>
      </c>
      <c r="S4540" s="57">
        <v>0</v>
      </c>
      <c r="T4540" s="57">
        <v>0</v>
      </c>
      <c r="U4540" s="57">
        <v>0</v>
      </c>
      <c r="V4540" s="57">
        <v>0</v>
      </c>
      <c r="W4540" s="57">
        <v>0</v>
      </c>
      <c r="X4540" s="57">
        <v>0</v>
      </c>
    </row>
    <row r="4541" spans="1:24" hidden="1" x14ac:dyDescent="0.35">
      <c r="A4541">
        <v>4537</v>
      </c>
      <c r="B4541">
        <v>4538</v>
      </c>
      <c r="C4541">
        <v>146.066567461999</v>
      </c>
      <c r="D4541">
        <v>-17.642399451500001</v>
      </c>
      <c r="F4541" t="str">
        <f>HYPERLINK("D:\Data From Lucan\2024\Moresby\Frames_for_Analysis/4538_20240611_0006_L_0276.jpg","4538_20240611_0006_L_0276.jpg")</f>
        <v>4538_20240611_0006_L_0276.jpg</v>
      </c>
      <c r="G4541" s="92" t="s">
        <v>5385</v>
      </c>
      <c r="I4541">
        <v>4</v>
      </c>
      <c r="K4541" s="57">
        <v>1</v>
      </c>
      <c r="L4541" t="s">
        <v>3959</v>
      </c>
      <c r="M4541" t="s">
        <v>3959</v>
      </c>
      <c r="N4541" t="s">
        <v>3959</v>
      </c>
      <c r="O4541" t="s">
        <v>3959</v>
      </c>
      <c r="P4541" s="57">
        <v>1</v>
      </c>
      <c r="Q4541" s="57">
        <v>0</v>
      </c>
      <c r="R4541" s="57">
        <v>0</v>
      </c>
      <c r="S4541" s="57">
        <v>0</v>
      </c>
      <c r="T4541" s="57">
        <v>0</v>
      </c>
      <c r="U4541" s="57">
        <v>0</v>
      </c>
      <c r="V4541" s="57">
        <v>0</v>
      </c>
      <c r="W4541" s="57">
        <v>0</v>
      </c>
      <c r="X4541" s="57">
        <v>0</v>
      </c>
    </row>
    <row r="4542" spans="1:24" hidden="1" x14ac:dyDescent="0.35">
      <c r="A4542">
        <v>4538</v>
      </c>
      <c r="B4542">
        <v>4539</v>
      </c>
      <c r="C4542">
        <v>146.06647778799899</v>
      </c>
      <c r="D4542">
        <v>-17.642394378100001</v>
      </c>
      <c r="F4542" t="str">
        <f>HYPERLINK("D:\Data From Lucan\2024\Moresby\Frames_for_Analysis/4539_20240611_0006_L_0280.jpg","4539_20240611_0006_L_0280.jpg")</f>
        <v>4539_20240611_0006_L_0280.jpg</v>
      </c>
      <c r="G4542" s="92" t="s">
        <v>5386</v>
      </c>
      <c r="I4542">
        <v>4</v>
      </c>
      <c r="K4542" s="57">
        <v>1</v>
      </c>
      <c r="L4542" t="s">
        <v>3959</v>
      </c>
      <c r="M4542" t="s">
        <v>3959</v>
      </c>
      <c r="N4542" t="s">
        <v>3959</v>
      </c>
      <c r="O4542" t="s">
        <v>3959</v>
      </c>
      <c r="P4542" s="57">
        <v>1</v>
      </c>
      <c r="Q4542" s="57">
        <v>0</v>
      </c>
      <c r="R4542" s="57">
        <v>0</v>
      </c>
      <c r="S4542" s="57">
        <v>0</v>
      </c>
      <c r="T4542" s="57">
        <v>0</v>
      </c>
      <c r="U4542" s="57">
        <v>0</v>
      </c>
      <c r="V4542" s="57">
        <v>0</v>
      </c>
      <c r="W4542" s="57">
        <v>0</v>
      </c>
      <c r="X4542" s="57">
        <v>0</v>
      </c>
    </row>
    <row r="4543" spans="1:24" hidden="1" x14ac:dyDescent="0.35">
      <c r="A4543">
        <v>4539</v>
      </c>
      <c r="B4543">
        <v>4540</v>
      </c>
      <c r="C4543">
        <v>146.06638807900001</v>
      </c>
      <c r="D4543">
        <v>-17.6423901225</v>
      </c>
      <c r="F4543" t="str">
        <f>HYPERLINK("D:\Data From Lucan\2024\Moresby\Frames_for_Analysis/4540_20240611_0006_L_0283.jpg","4540_20240611_0006_L_0283.jpg")</f>
        <v>4540_20240611_0006_L_0283.jpg</v>
      </c>
      <c r="G4543" s="92" t="s">
        <v>5387</v>
      </c>
      <c r="I4543">
        <v>4</v>
      </c>
      <c r="K4543" s="57">
        <v>1</v>
      </c>
      <c r="L4543" t="s">
        <v>3959</v>
      </c>
      <c r="M4543" t="s">
        <v>3959</v>
      </c>
      <c r="N4543" t="s">
        <v>3959</v>
      </c>
      <c r="O4543" t="s">
        <v>3959</v>
      </c>
      <c r="P4543" s="57">
        <v>1</v>
      </c>
      <c r="Q4543" s="57">
        <v>0</v>
      </c>
      <c r="R4543" s="57">
        <v>0</v>
      </c>
      <c r="S4543" s="57">
        <v>0</v>
      </c>
      <c r="T4543" s="57">
        <v>0</v>
      </c>
      <c r="U4543" s="57">
        <v>0</v>
      </c>
      <c r="V4543" s="57">
        <v>0</v>
      </c>
      <c r="W4543" s="57">
        <v>0</v>
      </c>
      <c r="X4543" s="57">
        <v>0</v>
      </c>
    </row>
    <row r="4544" spans="1:24" hidden="1" x14ac:dyDescent="0.35">
      <c r="A4544">
        <v>4540</v>
      </c>
      <c r="B4544">
        <v>4541</v>
      </c>
      <c r="C4544">
        <v>146.06629827500001</v>
      </c>
      <c r="D4544">
        <v>-17.642387975199899</v>
      </c>
      <c r="F4544" t="str">
        <f>HYPERLINK("D:\Data From Lucan\2024\Moresby\Frames_for_Analysis/4541_20240611_0006_L_0287.jpg","4541_20240611_0006_L_0287.jpg")</f>
        <v>4541_20240611_0006_L_0287.jpg</v>
      </c>
      <c r="G4544" s="92" t="s">
        <v>5388</v>
      </c>
      <c r="I4544">
        <v>4</v>
      </c>
      <c r="K4544" s="57">
        <v>1</v>
      </c>
      <c r="L4544" t="s">
        <v>3959</v>
      </c>
      <c r="M4544" t="s">
        <v>3959</v>
      </c>
      <c r="N4544" t="s">
        <v>3959</v>
      </c>
      <c r="O4544" t="s">
        <v>3959</v>
      </c>
      <c r="P4544" s="57">
        <v>1</v>
      </c>
      <c r="Q4544" s="57">
        <v>0</v>
      </c>
      <c r="R4544" s="57">
        <v>0</v>
      </c>
      <c r="S4544" s="57">
        <v>0</v>
      </c>
      <c r="T4544" s="57">
        <v>0</v>
      </c>
      <c r="U4544" s="57">
        <v>0</v>
      </c>
      <c r="V4544" s="57">
        <v>0</v>
      </c>
      <c r="W4544" s="57">
        <v>0</v>
      </c>
      <c r="X4544" s="57">
        <v>0</v>
      </c>
    </row>
    <row r="4545" spans="1:24" hidden="1" x14ac:dyDescent="0.35">
      <c r="A4545">
        <v>4541</v>
      </c>
      <c r="B4545">
        <v>4542</v>
      </c>
      <c r="C4545">
        <v>146.066208472</v>
      </c>
      <c r="D4545">
        <v>-17.6423858279</v>
      </c>
      <c r="F4545" t="str">
        <f>HYPERLINK("D:\Data From Lucan\2024\Moresby\Frames_for_Analysis/4542_20240611_0006_L_0290.jpg","4542_20240611_0006_L_0290.jpg")</f>
        <v>4542_20240611_0006_L_0290.jpg</v>
      </c>
      <c r="G4545" s="92" t="s">
        <v>5389</v>
      </c>
      <c r="I4545">
        <v>4</v>
      </c>
      <c r="K4545" s="57">
        <v>1</v>
      </c>
      <c r="L4545" t="s">
        <v>3959</v>
      </c>
      <c r="M4545" t="s">
        <v>3959</v>
      </c>
      <c r="N4545" t="s">
        <v>3959</v>
      </c>
      <c r="O4545" t="s">
        <v>3959</v>
      </c>
      <c r="P4545" s="57">
        <v>1</v>
      </c>
      <c r="Q4545" s="57">
        <v>0</v>
      </c>
      <c r="R4545" s="57">
        <v>0</v>
      </c>
      <c r="S4545" s="57">
        <v>0</v>
      </c>
      <c r="T4545" s="57">
        <v>0</v>
      </c>
      <c r="U4545" s="57">
        <v>0</v>
      </c>
      <c r="V4545" s="57">
        <v>0</v>
      </c>
      <c r="W4545" s="57">
        <v>0</v>
      </c>
      <c r="X4545" s="57">
        <v>0</v>
      </c>
    </row>
    <row r="4546" spans="1:24" hidden="1" x14ac:dyDescent="0.35">
      <c r="A4546">
        <v>4542</v>
      </c>
      <c r="B4546">
        <v>4543</v>
      </c>
      <c r="C4546">
        <v>146.06611866399899</v>
      </c>
      <c r="D4546">
        <v>-17.642383986500001</v>
      </c>
      <c r="F4546" t="str">
        <f>HYPERLINK("D:\Data From Lucan\2024\Moresby\Frames_for_Analysis/4543_20240611_0006_L_0294.jpg","4543_20240611_0006_L_0294.jpg")</f>
        <v>4543_20240611_0006_L_0294.jpg</v>
      </c>
      <c r="G4546" s="92" t="s">
        <v>5390</v>
      </c>
      <c r="I4546">
        <v>4</v>
      </c>
      <c r="K4546" s="57">
        <v>1</v>
      </c>
      <c r="L4546" t="s">
        <v>3959</v>
      </c>
      <c r="M4546" t="s">
        <v>3959</v>
      </c>
      <c r="N4546" t="s">
        <v>3959</v>
      </c>
      <c r="O4546" t="s">
        <v>3959</v>
      </c>
      <c r="P4546" s="57">
        <v>1</v>
      </c>
      <c r="Q4546" s="57">
        <v>0</v>
      </c>
      <c r="R4546" s="57">
        <v>0</v>
      </c>
      <c r="S4546" s="57">
        <v>0</v>
      </c>
      <c r="T4546" s="57">
        <v>0</v>
      </c>
      <c r="U4546" s="57">
        <v>0</v>
      </c>
      <c r="V4546" s="57">
        <v>0</v>
      </c>
      <c r="W4546" s="57">
        <v>0</v>
      </c>
      <c r="X4546" s="57">
        <v>0</v>
      </c>
    </row>
    <row r="4547" spans="1:24" hidden="1" x14ac:dyDescent="0.35">
      <c r="A4547">
        <v>4543</v>
      </c>
      <c r="B4547">
        <v>4544</v>
      </c>
      <c r="C4547">
        <v>146.06602883400001</v>
      </c>
      <c r="D4547">
        <v>-17.642383560700001</v>
      </c>
      <c r="F4547" t="str">
        <f>HYPERLINK("D:\Data From Lucan\2024\Moresby\Frames_for_Analysis/4544_20240611_0006_L_0298.jpg","4544_20240611_0006_L_0298.jpg")</f>
        <v>4544_20240611_0006_L_0298.jpg</v>
      </c>
      <c r="G4547" s="92" t="s">
        <v>5391</v>
      </c>
      <c r="I4547">
        <v>4</v>
      </c>
      <c r="K4547" s="57">
        <v>1</v>
      </c>
      <c r="L4547" t="s">
        <v>3959</v>
      </c>
      <c r="M4547" t="s">
        <v>3959</v>
      </c>
      <c r="N4547" t="s">
        <v>3959</v>
      </c>
      <c r="O4547" t="s">
        <v>3959</v>
      </c>
      <c r="P4547" s="57">
        <v>1</v>
      </c>
      <c r="Q4547" s="57">
        <v>0</v>
      </c>
      <c r="R4547" s="57">
        <v>0</v>
      </c>
      <c r="S4547" s="57">
        <v>0</v>
      </c>
      <c r="T4547" s="57">
        <v>0</v>
      </c>
      <c r="U4547" s="57">
        <v>0</v>
      </c>
      <c r="V4547" s="57">
        <v>0</v>
      </c>
      <c r="W4547" s="57">
        <v>0</v>
      </c>
      <c r="X4547" s="57">
        <v>0</v>
      </c>
    </row>
    <row r="4548" spans="1:24" hidden="1" x14ac:dyDescent="0.35">
      <c r="A4548">
        <v>4544</v>
      </c>
      <c r="B4548">
        <v>4545</v>
      </c>
      <c r="C4548">
        <v>146.06594035699899</v>
      </c>
      <c r="D4548">
        <v>-17.642375000600001</v>
      </c>
      <c r="F4548" t="str">
        <f>HYPERLINK("D:\Data From Lucan\2024\Moresby\Frames_for_Analysis/4545_20240611_0006_L_0301.jpg","4545_20240611_0006_L_0301.jpg")</f>
        <v>4545_20240611_0006_L_0301.jpg</v>
      </c>
      <c r="G4548" s="92" t="s">
        <v>5392</v>
      </c>
      <c r="I4548">
        <v>4</v>
      </c>
      <c r="K4548" s="57">
        <v>1</v>
      </c>
      <c r="L4548" t="s">
        <v>3959</v>
      </c>
      <c r="M4548" t="s">
        <v>3959</v>
      </c>
      <c r="N4548" t="s">
        <v>3959</v>
      </c>
      <c r="O4548" t="s">
        <v>3959</v>
      </c>
      <c r="P4548" s="57">
        <v>1</v>
      </c>
      <c r="Q4548" s="57">
        <v>0</v>
      </c>
      <c r="R4548" s="57">
        <v>0</v>
      </c>
      <c r="S4548" s="57">
        <v>0</v>
      </c>
      <c r="T4548" s="57">
        <v>0</v>
      </c>
      <c r="U4548" s="57">
        <v>0</v>
      </c>
      <c r="V4548" s="57">
        <v>0</v>
      </c>
      <c r="W4548" s="57">
        <v>0</v>
      </c>
      <c r="X4548" s="57">
        <v>0</v>
      </c>
    </row>
    <row r="4549" spans="1:24" hidden="1" x14ac:dyDescent="0.35">
      <c r="A4549">
        <v>4545</v>
      </c>
      <c r="B4549">
        <v>4546</v>
      </c>
      <c r="C4549">
        <v>146.065854795999</v>
      </c>
      <c r="D4549">
        <v>-17.642348918700002</v>
      </c>
      <c r="F4549" t="str">
        <f>HYPERLINK("D:\Data From Lucan\2024\Moresby\Frames_for_Analysis/4546_20240611_0006_L_0304.jpg","4546_20240611_0006_L_0304.jpg")</f>
        <v>4546_20240611_0006_L_0304.jpg</v>
      </c>
      <c r="G4549" s="92" t="s">
        <v>5393</v>
      </c>
      <c r="I4549">
        <v>4</v>
      </c>
      <c r="K4549" s="57">
        <v>1</v>
      </c>
      <c r="L4549" t="s">
        <v>3959</v>
      </c>
      <c r="M4549" t="s">
        <v>3959</v>
      </c>
      <c r="N4549" t="s">
        <v>3959</v>
      </c>
      <c r="O4549" t="s">
        <v>3959</v>
      </c>
      <c r="P4549" s="57">
        <v>1</v>
      </c>
      <c r="Q4549" s="57">
        <v>0</v>
      </c>
      <c r="R4549" s="57">
        <v>0</v>
      </c>
      <c r="S4549" s="57">
        <v>0</v>
      </c>
      <c r="T4549" s="57">
        <v>0</v>
      </c>
      <c r="U4549" s="57">
        <v>0</v>
      </c>
      <c r="V4549" s="57">
        <v>0</v>
      </c>
      <c r="W4549" s="57">
        <v>0</v>
      </c>
      <c r="X4549" s="57">
        <v>0</v>
      </c>
    </row>
    <row r="4550" spans="1:24" hidden="1" x14ac:dyDescent="0.35">
      <c r="A4550">
        <v>4546</v>
      </c>
      <c r="B4550">
        <v>4547</v>
      </c>
      <c r="C4550">
        <v>146.06577093300001</v>
      </c>
      <c r="D4550">
        <v>-17.6423191145999</v>
      </c>
      <c r="F4550" t="str">
        <f>HYPERLINK("D:\Data From Lucan\2024\Moresby\Frames_for_Analysis/4547_20240611_0006_L_0308.jpg","4547_20240611_0006_L_0308.jpg")</f>
        <v>4547_20240611_0006_L_0308.jpg</v>
      </c>
      <c r="G4550" s="92" t="s">
        <v>5394</v>
      </c>
      <c r="I4550">
        <v>4</v>
      </c>
      <c r="K4550" s="57">
        <v>1</v>
      </c>
      <c r="L4550" t="s">
        <v>3959</v>
      </c>
      <c r="M4550" t="s">
        <v>3959</v>
      </c>
      <c r="N4550" t="s">
        <v>3959</v>
      </c>
      <c r="O4550" t="s">
        <v>3959</v>
      </c>
      <c r="P4550" s="57">
        <v>1</v>
      </c>
      <c r="Q4550" s="57">
        <v>0</v>
      </c>
      <c r="R4550" s="57">
        <v>0</v>
      </c>
      <c r="S4550" s="57">
        <v>0</v>
      </c>
      <c r="T4550" s="57">
        <v>0</v>
      </c>
      <c r="U4550" s="57">
        <v>0</v>
      </c>
      <c r="V4550" s="57">
        <v>0</v>
      </c>
      <c r="W4550" s="57">
        <v>0</v>
      </c>
      <c r="X4550" s="57">
        <v>0</v>
      </c>
    </row>
    <row r="4551" spans="1:24" hidden="1" x14ac:dyDescent="0.35">
      <c r="A4551">
        <v>4547</v>
      </c>
      <c r="B4551">
        <v>4548</v>
      </c>
      <c r="C4551">
        <v>146.065692549999</v>
      </c>
      <c r="D4551">
        <v>-17.6422772952</v>
      </c>
      <c r="F4551" t="str">
        <f>HYPERLINK("D:\Data From Lucan\2024\Moresby\Frames_for_Analysis/4548_20240611_0006_L_0312.jpg","4548_20240611_0006_L_0312.jpg")</f>
        <v>4548_20240611_0006_L_0312.jpg</v>
      </c>
      <c r="G4551" s="92" t="s">
        <v>5395</v>
      </c>
      <c r="I4551">
        <v>4</v>
      </c>
      <c r="K4551" s="57">
        <v>1</v>
      </c>
      <c r="L4551" t="s">
        <v>3959</v>
      </c>
      <c r="M4551" t="s">
        <v>3959</v>
      </c>
      <c r="N4551" t="s">
        <v>3959</v>
      </c>
      <c r="O4551" t="s">
        <v>3959</v>
      </c>
      <c r="P4551" s="57">
        <v>1</v>
      </c>
      <c r="Q4551" s="57">
        <v>0</v>
      </c>
      <c r="R4551" s="57">
        <v>0</v>
      </c>
      <c r="S4551" s="57">
        <v>0</v>
      </c>
      <c r="T4551" s="57">
        <v>0</v>
      </c>
      <c r="U4551" s="57">
        <v>0</v>
      </c>
      <c r="V4551" s="57">
        <v>0</v>
      </c>
      <c r="W4551" s="57">
        <v>0</v>
      </c>
      <c r="X4551" s="57">
        <v>0</v>
      </c>
    </row>
    <row r="4552" spans="1:24" hidden="1" x14ac:dyDescent="0.35">
      <c r="A4552">
        <v>4548</v>
      </c>
      <c r="B4552">
        <v>4549</v>
      </c>
      <c r="C4552">
        <v>146.06560491400001</v>
      </c>
      <c r="D4552">
        <v>-17.6422657001999</v>
      </c>
      <c r="F4552" t="str">
        <f>HYPERLINK("D:\Data From Lucan\2024\Moresby\Frames_for_Analysis/4549_20240611_0006_L_0317.jpg","4549_20240611_0006_L_0317.jpg")</f>
        <v>4549_20240611_0006_L_0317.jpg</v>
      </c>
      <c r="G4552" s="92" t="s">
        <v>5396</v>
      </c>
      <c r="I4552">
        <v>4</v>
      </c>
      <c r="K4552" s="57">
        <v>1</v>
      </c>
      <c r="L4552" t="s">
        <v>3959</v>
      </c>
      <c r="M4552" t="s">
        <v>3959</v>
      </c>
      <c r="N4552" t="s">
        <v>3959</v>
      </c>
      <c r="O4552" t="s">
        <v>3959</v>
      </c>
      <c r="P4552" s="57">
        <v>1</v>
      </c>
      <c r="Q4552" s="57">
        <v>0</v>
      </c>
      <c r="R4552" s="57">
        <v>0</v>
      </c>
      <c r="S4552" s="57">
        <v>0</v>
      </c>
      <c r="T4552" s="57">
        <v>0</v>
      </c>
      <c r="U4552" s="57">
        <v>0</v>
      </c>
      <c r="V4552" s="57">
        <v>0</v>
      </c>
      <c r="W4552" s="57">
        <v>0</v>
      </c>
      <c r="X4552" s="57">
        <v>0</v>
      </c>
    </row>
    <row r="4553" spans="1:24" hidden="1" x14ac:dyDescent="0.35">
      <c r="A4553">
        <v>4549</v>
      </c>
      <c r="B4553">
        <v>4550</v>
      </c>
      <c r="C4553">
        <v>146.06551522999899</v>
      </c>
      <c r="D4553">
        <v>-17.6422607953</v>
      </c>
      <c r="F4553" t="str">
        <f>HYPERLINK("D:\Data From Lucan\2024\Moresby\Frames_for_Analysis/4550_20240611_0006_L_0321.jpg","4550_20240611_0006_L_0321.jpg")</f>
        <v>4550_20240611_0006_L_0321.jpg</v>
      </c>
      <c r="G4553" s="92" t="s">
        <v>5397</v>
      </c>
      <c r="I4553">
        <v>4</v>
      </c>
      <c r="K4553" s="57">
        <v>1</v>
      </c>
      <c r="L4553" t="s">
        <v>3959</v>
      </c>
      <c r="M4553" t="s">
        <v>3959</v>
      </c>
      <c r="N4553" t="s">
        <v>3959</v>
      </c>
      <c r="O4553" t="s">
        <v>3959</v>
      </c>
      <c r="P4553" s="57">
        <v>1</v>
      </c>
      <c r="Q4553" s="57">
        <v>0</v>
      </c>
      <c r="R4553" s="57">
        <v>0</v>
      </c>
      <c r="S4553" s="57">
        <v>0</v>
      </c>
      <c r="T4553" s="57">
        <v>0</v>
      </c>
      <c r="U4553" s="57">
        <v>0</v>
      </c>
      <c r="V4553" s="57">
        <v>0</v>
      </c>
      <c r="W4553" s="57">
        <v>0</v>
      </c>
      <c r="X4553" s="57">
        <v>0</v>
      </c>
    </row>
    <row r="4554" spans="1:24" hidden="1" x14ac:dyDescent="0.35">
      <c r="A4554">
        <v>4550</v>
      </c>
      <c r="B4554">
        <v>4551</v>
      </c>
      <c r="C4554">
        <v>146.065425546</v>
      </c>
      <c r="D4554">
        <v>-17.6422558905</v>
      </c>
      <c r="F4554" t="str">
        <f>HYPERLINK("D:\Data From Lucan\2024\Moresby\Frames_for_Analysis/4551_20240611_0006_L_0324.jpg","4551_20240611_0006_L_0324.jpg")</f>
        <v>4551_20240611_0006_L_0324.jpg</v>
      </c>
      <c r="G4554" s="92" t="s">
        <v>5398</v>
      </c>
      <c r="I4554">
        <v>4</v>
      </c>
      <c r="K4554" s="57">
        <v>1</v>
      </c>
      <c r="L4554" t="s">
        <v>3959</v>
      </c>
      <c r="M4554" t="s">
        <v>3959</v>
      </c>
      <c r="N4554" t="s">
        <v>3959</v>
      </c>
      <c r="O4554" t="s">
        <v>3959</v>
      </c>
      <c r="P4554" s="57">
        <v>1</v>
      </c>
      <c r="Q4554" s="57">
        <v>0</v>
      </c>
      <c r="R4554" s="57">
        <v>0</v>
      </c>
      <c r="S4554" s="57">
        <v>0</v>
      </c>
      <c r="T4554" s="57">
        <v>0</v>
      </c>
      <c r="U4554" s="57">
        <v>0</v>
      </c>
      <c r="V4554" s="57">
        <v>0</v>
      </c>
      <c r="W4554" s="57">
        <v>0</v>
      </c>
      <c r="X4554" s="57">
        <v>0</v>
      </c>
    </row>
    <row r="4555" spans="1:24" hidden="1" x14ac:dyDescent="0.35">
      <c r="A4555">
        <v>4551</v>
      </c>
      <c r="B4555">
        <v>4552</v>
      </c>
      <c r="C4555">
        <v>146.06533586200001</v>
      </c>
      <c r="D4555">
        <v>-17.642250985699899</v>
      </c>
      <c r="F4555" t="str">
        <f>HYPERLINK("D:\Data From Lucan\2024\Moresby\Frames_for_Analysis/4552_20240611_0006_L_0329.jpg","4552_20240611_0006_L_0329.jpg")</f>
        <v>4552_20240611_0006_L_0329.jpg</v>
      </c>
      <c r="G4555" s="92" t="s">
        <v>5399</v>
      </c>
      <c r="I4555">
        <v>4</v>
      </c>
      <c r="K4555" s="57">
        <v>1</v>
      </c>
      <c r="L4555" t="s">
        <v>3959</v>
      </c>
      <c r="M4555" t="s">
        <v>3959</v>
      </c>
      <c r="N4555" t="s">
        <v>3959</v>
      </c>
      <c r="O4555" t="s">
        <v>3959</v>
      </c>
      <c r="P4555" s="57">
        <v>1</v>
      </c>
      <c r="Q4555" s="57">
        <v>0</v>
      </c>
      <c r="R4555" s="57">
        <v>0</v>
      </c>
      <c r="S4555" s="57">
        <v>0</v>
      </c>
      <c r="T4555" s="57">
        <v>0</v>
      </c>
      <c r="U4555" s="57">
        <v>0</v>
      </c>
      <c r="V4555" s="57">
        <v>0</v>
      </c>
      <c r="W4555" s="57">
        <v>0</v>
      </c>
      <c r="X4555" s="57">
        <v>0</v>
      </c>
    </row>
    <row r="4556" spans="1:24" hidden="1" x14ac:dyDescent="0.35">
      <c r="A4556">
        <v>4552</v>
      </c>
      <c r="B4556">
        <v>4553</v>
      </c>
      <c r="C4556">
        <v>146.065246177999</v>
      </c>
      <c r="D4556">
        <v>-17.6422460808</v>
      </c>
      <c r="F4556" t="str">
        <f>HYPERLINK("D:\Data From Lucan\2024\Moresby\Frames_for_Analysis/4553_20240611_0006_L_0332.jpg","4553_20240611_0006_L_0332.jpg")</f>
        <v>4553_20240611_0006_L_0332.jpg</v>
      </c>
      <c r="G4556" s="92" t="s">
        <v>5400</v>
      </c>
      <c r="I4556">
        <v>4</v>
      </c>
      <c r="K4556" s="57">
        <v>1</v>
      </c>
      <c r="L4556" t="s">
        <v>3959</v>
      </c>
      <c r="M4556" t="s">
        <v>3959</v>
      </c>
      <c r="N4556" t="s">
        <v>3959</v>
      </c>
      <c r="O4556" t="s">
        <v>3959</v>
      </c>
      <c r="P4556" s="57">
        <v>1</v>
      </c>
      <c r="Q4556" s="57">
        <v>0</v>
      </c>
      <c r="R4556" s="57">
        <v>0</v>
      </c>
      <c r="S4556" s="57">
        <v>0</v>
      </c>
      <c r="T4556" s="57">
        <v>0</v>
      </c>
      <c r="U4556" s="57">
        <v>0</v>
      </c>
      <c r="V4556" s="57">
        <v>0</v>
      </c>
      <c r="W4556" s="57">
        <v>0</v>
      </c>
      <c r="X4556" s="57">
        <v>0</v>
      </c>
    </row>
    <row r="4557" spans="1:24" hidden="1" x14ac:dyDescent="0.35">
      <c r="A4557">
        <v>4553</v>
      </c>
      <c r="B4557">
        <v>4554</v>
      </c>
      <c r="C4557">
        <v>146.06515649400001</v>
      </c>
      <c r="D4557">
        <v>-17.642241175999899</v>
      </c>
      <c r="F4557" t="str">
        <f>HYPERLINK("D:\Data From Lucan\2024\Moresby\Frames_for_Analysis/4554_20240611_0006_L_0337.jpg","4554_20240611_0006_L_0337.jpg")</f>
        <v>4554_20240611_0006_L_0337.jpg</v>
      </c>
      <c r="G4557" s="92" t="s">
        <v>5401</v>
      </c>
      <c r="I4557">
        <v>4</v>
      </c>
      <c r="K4557" s="57">
        <v>1</v>
      </c>
      <c r="L4557" t="s">
        <v>3959</v>
      </c>
      <c r="M4557" t="s">
        <v>3959</v>
      </c>
      <c r="N4557" t="s">
        <v>3959</v>
      </c>
      <c r="O4557" t="s">
        <v>3959</v>
      </c>
      <c r="P4557" s="57">
        <v>1</v>
      </c>
      <c r="Q4557" s="57">
        <v>0</v>
      </c>
      <c r="R4557" s="57">
        <v>0</v>
      </c>
      <c r="S4557" s="57">
        <v>0</v>
      </c>
      <c r="T4557" s="57">
        <v>0</v>
      </c>
      <c r="U4557" s="57">
        <v>0</v>
      </c>
      <c r="V4557" s="57">
        <v>0</v>
      </c>
      <c r="W4557" s="57">
        <v>0</v>
      </c>
      <c r="X4557" s="57">
        <v>0</v>
      </c>
    </row>
    <row r="4558" spans="1:24" hidden="1" x14ac:dyDescent="0.35">
      <c r="A4558">
        <v>4554</v>
      </c>
      <c r="B4558">
        <v>4555</v>
      </c>
      <c r="C4558">
        <v>146.06506711700001</v>
      </c>
      <c r="D4558">
        <v>-17.6422327024999</v>
      </c>
      <c r="F4558" t="str">
        <f>HYPERLINK("D:\Data From Lucan\2024\Moresby\Frames_for_Analysis/4555_20240611_0006_L_0342.jpg","4555_20240611_0006_L_0342.jpg")</f>
        <v>4555_20240611_0006_L_0342.jpg</v>
      </c>
      <c r="G4558" s="92" t="s">
        <v>5402</v>
      </c>
      <c r="I4558">
        <v>4</v>
      </c>
      <c r="K4558" s="57">
        <v>1</v>
      </c>
      <c r="L4558" t="s">
        <v>3959</v>
      </c>
      <c r="M4558" t="s">
        <v>3959</v>
      </c>
      <c r="N4558" t="s">
        <v>3959</v>
      </c>
      <c r="O4558" t="s">
        <v>3959</v>
      </c>
      <c r="P4558" s="57">
        <v>1</v>
      </c>
      <c r="Q4558" s="57">
        <v>0</v>
      </c>
      <c r="R4558" s="57">
        <v>0</v>
      </c>
      <c r="S4558" s="57">
        <v>0</v>
      </c>
      <c r="T4558" s="57">
        <v>0</v>
      </c>
      <c r="U4558" s="57">
        <v>0</v>
      </c>
      <c r="V4558" s="57">
        <v>0</v>
      </c>
      <c r="W4558" s="57">
        <v>0</v>
      </c>
      <c r="X4558" s="57">
        <v>0</v>
      </c>
    </row>
    <row r="4559" spans="1:24" hidden="1" x14ac:dyDescent="0.35">
      <c r="A4559">
        <v>4555</v>
      </c>
      <c r="B4559">
        <v>4556</v>
      </c>
      <c r="C4559">
        <v>146.064977790999</v>
      </c>
      <c r="D4559">
        <v>-17.642223631</v>
      </c>
      <c r="F4559" t="str">
        <f>HYPERLINK("D:\Data From Lucan\2024\Moresby\Frames_for_Analysis/4556_20240611_0006_L_0346.jpg","4556_20240611_0006_L_0346.jpg")</f>
        <v>4556_20240611_0006_L_0346.jpg</v>
      </c>
      <c r="G4559" s="92" t="s">
        <v>5403</v>
      </c>
      <c r="I4559">
        <v>4</v>
      </c>
      <c r="K4559" s="57">
        <v>1</v>
      </c>
      <c r="L4559" t="s">
        <v>3959</v>
      </c>
      <c r="M4559" t="s">
        <v>3959</v>
      </c>
      <c r="N4559" t="s">
        <v>3959</v>
      </c>
      <c r="O4559" t="s">
        <v>3959</v>
      </c>
      <c r="P4559" s="57">
        <v>1</v>
      </c>
      <c r="Q4559" s="57">
        <v>0</v>
      </c>
      <c r="R4559" s="57">
        <v>0</v>
      </c>
      <c r="S4559" s="57">
        <v>0</v>
      </c>
      <c r="T4559" s="57">
        <v>0</v>
      </c>
      <c r="U4559" s="57">
        <v>0</v>
      </c>
      <c r="V4559" s="57">
        <v>0</v>
      </c>
      <c r="W4559" s="57">
        <v>0</v>
      </c>
      <c r="X4559" s="57">
        <v>0</v>
      </c>
    </row>
    <row r="4560" spans="1:24" hidden="1" x14ac:dyDescent="0.35">
      <c r="A4560">
        <v>4556</v>
      </c>
      <c r="B4560">
        <v>4557</v>
      </c>
      <c r="C4560">
        <v>146.064888464999</v>
      </c>
      <c r="D4560">
        <v>-17.6422145593999</v>
      </c>
      <c r="F4560" t="str">
        <f>HYPERLINK("D:\Data From Lucan\2024\Moresby\Frames_for_Analysis/4557_20240611_0006_L_0350.jpg","4557_20240611_0006_L_0350.jpg")</f>
        <v>4557_20240611_0006_L_0350.jpg</v>
      </c>
      <c r="G4560" s="92" t="s">
        <v>5404</v>
      </c>
      <c r="I4560">
        <v>4</v>
      </c>
      <c r="K4560" s="57">
        <v>1</v>
      </c>
      <c r="L4560" t="s">
        <v>3959</v>
      </c>
      <c r="M4560" t="s">
        <v>3959</v>
      </c>
      <c r="N4560" t="s">
        <v>3959</v>
      </c>
      <c r="O4560" t="s">
        <v>3959</v>
      </c>
      <c r="P4560" s="57">
        <v>1</v>
      </c>
      <c r="Q4560" s="57">
        <v>0</v>
      </c>
      <c r="R4560" s="57">
        <v>0</v>
      </c>
      <c r="S4560" s="57">
        <v>0</v>
      </c>
      <c r="T4560" s="57">
        <v>0</v>
      </c>
      <c r="U4560" s="57">
        <v>0</v>
      </c>
      <c r="V4560" s="57">
        <v>0</v>
      </c>
      <c r="W4560" s="57">
        <v>0</v>
      </c>
      <c r="X4560" s="57">
        <v>0</v>
      </c>
    </row>
    <row r="4561" spans="1:24" hidden="1" x14ac:dyDescent="0.35">
      <c r="A4561">
        <v>4557</v>
      </c>
      <c r="B4561">
        <v>4558</v>
      </c>
      <c r="C4561">
        <v>146.064799139999</v>
      </c>
      <c r="D4561">
        <v>-17.6422054879</v>
      </c>
      <c r="F4561" t="str">
        <f>HYPERLINK("D:\Data From Lucan\2024\Moresby\Frames_for_Analysis/4558_20240611_0006_L_0353.jpg","4558_20240611_0006_L_0353.jpg")</f>
        <v>4558_20240611_0006_L_0353.jpg</v>
      </c>
      <c r="G4561" s="92" t="s">
        <v>5405</v>
      </c>
      <c r="I4561">
        <v>4</v>
      </c>
      <c r="K4561" s="57">
        <v>1</v>
      </c>
      <c r="L4561" t="s">
        <v>3959</v>
      </c>
      <c r="M4561" t="s">
        <v>3959</v>
      </c>
      <c r="N4561" t="s">
        <v>3959</v>
      </c>
      <c r="O4561" t="s">
        <v>3959</v>
      </c>
      <c r="P4561" s="57">
        <v>1</v>
      </c>
      <c r="Q4561" s="57">
        <v>0</v>
      </c>
      <c r="R4561" s="57">
        <v>0</v>
      </c>
      <c r="S4561" s="57">
        <v>0</v>
      </c>
      <c r="T4561" s="57">
        <v>0</v>
      </c>
      <c r="U4561" s="57">
        <v>0</v>
      </c>
      <c r="V4561" s="57">
        <v>0</v>
      </c>
      <c r="W4561" s="57">
        <v>0</v>
      </c>
      <c r="X4561" s="57">
        <v>0</v>
      </c>
    </row>
    <row r="4562" spans="1:24" hidden="1" x14ac:dyDescent="0.35">
      <c r="A4562">
        <v>4558</v>
      </c>
      <c r="B4562">
        <v>4559</v>
      </c>
      <c r="C4562">
        <v>146.064709813999</v>
      </c>
      <c r="D4562">
        <v>-17.6421964162999</v>
      </c>
      <c r="F4562" t="str">
        <f>HYPERLINK("D:\Data From Lucan\2024\Moresby\Frames_for_Analysis/4559_20240611_0006_L_0357.jpg","4559_20240611_0006_L_0357.jpg")</f>
        <v>4559_20240611_0006_L_0357.jpg</v>
      </c>
      <c r="G4562" s="92" t="s">
        <v>5406</v>
      </c>
      <c r="I4562">
        <v>4</v>
      </c>
      <c r="K4562" s="57">
        <v>1</v>
      </c>
      <c r="L4562" t="s">
        <v>3959</v>
      </c>
      <c r="M4562" t="s">
        <v>3959</v>
      </c>
      <c r="N4562" t="s">
        <v>3959</v>
      </c>
      <c r="O4562" t="s">
        <v>3959</v>
      </c>
      <c r="P4562" s="57">
        <v>1</v>
      </c>
      <c r="Q4562" s="57">
        <v>0</v>
      </c>
      <c r="R4562" s="57">
        <v>0</v>
      </c>
      <c r="S4562" s="57">
        <v>0</v>
      </c>
      <c r="T4562" s="57">
        <v>0</v>
      </c>
      <c r="U4562" s="57">
        <v>0</v>
      </c>
      <c r="V4562" s="57">
        <v>0</v>
      </c>
      <c r="W4562" s="57">
        <v>0</v>
      </c>
      <c r="X4562" s="57">
        <v>0</v>
      </c>
    </row>
    <row r="4563" spans="1:24" hidden="1" x14ac:dyDescent="0.35">
      <c r="A4563">
        <v>4559</v>
      </c>
      <c r="B4563">
        <v>4560</v>
      </c>
      <c r="C4563">
        <v>146.064620488</v>
      </c>
      <c r="D4563">
        <v>-17.6421873448</v>
      </c>
      <c r="F4563" t="str">
        <f>HYPERLINK("D:\Data From Lucan\2024\Moresby\Frames_for_Analysis/4560_20240611_0006_L_0361.jpg","4560_20240611_0006_L_0361.jpg")</f>
        <v>4560_20240611_0006_L_0361.jpg</v>
      </c>
      <c r="G4563" s="92" t="s">
        <v>5407</v>
      </c>
      <c r="I4563">
        <v>4</v>
      </c>
      <c r="K4563" s="57">
        <v>1</v>
      </c>
      <c r="L4563" t="s">
        <v>3959</v>
      </c>
      <c r="M4563" t="s">
        <v>3959</v>
      </c>
      <c r="N4563" t="s">
        <v>3959</v>
      </c>
      <c r="O4563" t="s">
        <v>3959</v>
      </c>
      <c r="P4563" s="57">
        <v>1</v>
      </c>
      <c r="Q4563" s="57">
        <v>0</v>
      </c>
      <c r="R4563" s="57">
        <v>0</v>
      </c>
      <c r="S4563" s="57">
        <v>0</v>
      </c>
      <c r="T4563" s="57">
        <v>0</v>
      </c>
      <c r="U4563" s="57">
        <v>0</v>
      </c>
      <c r="V4563" s="57">
        <v>0</v>
      </c>
      <c r="W4563" s="57">
        <v>0</v>
      </c>
      <c r="X4563" s="57">
        <v>0</v>
      </c>
    </row>
    <row r="4564" spans="1:24" hidden="1" x14ac:dyDescent="0.35">
      <c r="A4564">
        <v>4560</v>
      </c>
      <c r="B4564">
        <v>4561</v>
      </c>
      <c r="C4564">
        <v>146.064531283999</v>
      </c>
      <c r="D4564">
        <v>-17.642177603699899</v>
      </c>
      <c r="F4564" t="str">
        <f>HYPERLINK("D:\Data From Lucan\2024\Moresby\Frames_for_Analysis/4561_20240611_0006_L_0365.jpg","4561_20240611_0006_L_0365.jpg")</f>
        <v>4561_20240611_0006_L_0365.jpg</v>
      </c>
      <c r="G4564" s="92" t="s">
        <v>5408</v>
      </c>
      <c r="I4564">
        <v>4</v>
      </c>
      <c r="K4564" s="57">
        <v>1</v>
      </c>
      <c r="L4564" t="s">
        <v>3959</v>
      </c>
      <c r="M4564" t="s">
        <v>3959</v>
      </c>
      <c r="N4564" t="s">
        <v>3959</v>
      </c>
      <c r="O4564" t="s">
        <v>3959</v>
      </c>
      <c r="P4564" s="57">
        <v>1</v>
      </c>
      <c r="Q4564" s="57">
        <v>0</v>
      </c>
      <c r="R4564" s="57">
        <v>0</v>
      </c>
      <c r="S4564" s="57">
        <v>0</v>
      </c>
      <c r="T4564" s="57">
        <v>0</v>
      </c>
      <c r="U4564" s="57">
        <v>0</v>
      </c>
      <c r="V4564" s="57">
        <v>0</v>
      </c>
      <c r="W4564" s="57">
        <v>0</v>
      </c>
      <c r="X4564" s="57">
        <v>0</v>
      </c>
    </row>
    <row r="4565" spans="1:24" hidden="1" x14ac:dyDescent="0.35">
      <c r="A4565">
        <v>4561</v>
      </c>
      <c r="B4565">
        <v>4562</v>
      </c>
      <c r="C4565">
        <v>146.064443939</v>
      </c>
      <c r="D4565">
        <v>-17.642157599200001</v>
      </c>
      <c r="F4565" t="str">
        <f>HYPERLINK("D:\Data From Lucan\2024\Moresby\Frames_for_Analysis/4562_20240611_0006_L_0368.jpg","4562_20240611_0006_L_0368.jpg")</f>
        <v>4562_20240611_0006_L_0368.jpg</v>
      </c>
      <c r="G4565" s="92" t="s">
        <v>5409</v>
      </c>
      <c r="I4565">
        <v>4</v>
      </c>
      <c r="K4565" s="57">
        <v>1</v>
      </c>
      <c r="L4565" t="s">
        <v>3959</v>
      </c>
      <c r="M4565" t="s">
        <v>3959</v>
      </c>
      <c r="N4565" t="s">
        <v>3959</v>
      </c>
      <c r="O4565" t="s">
        <v>3959</v>
      </c>
      <c r="P4565" s="57">
        <v>1</v>
      </c>
      <c r="Q4565" s="57">
        <v>0</v>
      </c>
      <c r="R4565" s="57">
        <v>0</v>
      </c>
      <c r="S4565" s="57">
        <v>0</v>
      </c>
      <c r="T4565" s="57">
        <v>0</v>
      </c>
      <c r="U4565" s="57">
        <v>0</v>
      </c>
      <c r="V4565" s="57">
        <v>0</v>
      </c>
      <c r="W4565" s="57">
        <v>0</v>
      </c>
      <c r="X4565" s="57">
        <v>0</v>
      </c>
    </row>
    <row r="4566" spans="1:24" hidden="1" x14ac:dyDescent="0.35">
      <c r="A4566">
        <v>4562</v>
      </c>
      <c r="B4566">
        <v>4563</v>
      </c>
      <c r="C4566">
        <v>146.064356594999</v>
      </c>
      <c r="D4566">
        <v>-17.6421375946999</v>
      </c>
      <c r="F4566" t="str">
        <f>HYPERLINK("D:\Data From Lucan\2024\Moresby\Frames_for_Analysis/4563_20240611_0006_L_0372.jpg","4563_20240611_0006_L_0372.jpg")</f>
        <v>4563_20240611_0006_L_0372.jpg</v>
      </c>
      <c r="G4566" s="92" t="s">
        <v>5410</v>
      </c>
      <c r="I4566">
        <v>4</v>
      </c>
      <c r="K4566" s="57">
        <v>1</v>
      </c>
      <c r="L4566" t="s">
        <v>3959</v>
      </c>
      <c r="M4566" t="s">
        <v>3959</v>
      </c>
      <c r="N4566" t="s">
        <v>3959</v>
      </c>
      <c r="O4566" t="s">
        <v>3959</v>
      </c>
      <c r="P4566" s="57">
        <v>1</v>
      </c>
      <c r="Q4566" s="57">
        <v>0</v>
      </c>
      <c r="R4566" s="57">
        <v>0</v>
      </c>
      <c r="S4566" s="57">
        <v>0</v>
      </c>
      <c r="T4566" s="57">
        <v>0</v>
      </c>
      <c r="U4566" s="57">
        <v>0</v>
      </c>
      <c r="V4566" s="57">
        <v>0</v>
      </c>
      <c r="W4566" s="57">
        <v>0</v>
      </c>
      <c r="X4566" s="57">
        <v>0</v>
      </c>
    </row>
    <row r="4567" spans="1:24" hidden="1" x14ac:dyDescent="0.35">
      <c r="A4567">
        <v>4563</v>
      </c>
      <c r="B4567">
        <v>4564</v>
      </c>
      <c r="C4567">
        <v>146.064269249999</v>
      </c>
      <c r="D4567">
        <v>-17.642117590200002</v>
      </c>
      <c r="F4567" t="str">
        <f>HYPERLINK("D:\Data From Lucan\2024\Moresby\Frames_for_Analysis/4564_20240611_0006_L_0375.jpg","4564_20240611_0006_L_0375.jpg")</f>
        <v>4564_20240611_0006_L_0375.jpg</v>
      </c>
      <c r="G4567" s="92" t="s">
        <v>5411</v>
      </c>
      <c r="I4567">
        <v>4</v>
      </c>
      <c r="K4567" s="57">
        <v>1</v>
      </c>
      <c r="L4567" t="s">
        <v>3959</v>
      </c>
      <c r="M4567" t="s">
        <v>3959</v>
      </c>
      <c r="N4567" t="s">
        <v>3959</v>
      </c>
      <c r="O4567" t="s">
        <v>3959</v>
      </c>
      <c r="P4567" s="57">
        <v>1</v>
      </c>
      <c r="Q4567" s="57">
        <v>0</v>
      </c>
      <c r="R4567" s="57">
        <v>0</v>
      </c>
      <c r="S4567" s="57">
        <v>0</v>
      </c>
      <c r="T4567" s="57">
        <v>0</v>
      </c>
      <c r="U4567" s="57">
        <v>0</v>
      </c>
      <c r="V4567" s="57">
        <v>0</v>
      </c>
      <c r="W4567" s="57">
        <v>0</v>
      </c>
      <c r="X4567" s="57">
        <v>0</v>
      </c>
    </row>
    <row r="4568" spans="1:24" hidden="1" x14ac:dyDescent="0.35">
      <c r="A4568">
        <v>4564</v>
      </c>
      <c r="B4568">
        <v>4565</v>
      </c>
      <c r="C4568">
        <v>146.06418190599899</v>
      </c>
      <c r="D4568">
        <v>-17.642097585799899</v>
      </c>
      <c r="F4568" t="str">
        <f>HYPERLINK("D:\Data From Lucan\2024\Moresby\Frames_for_Analysis/4565_20240611_0006_L_0377.jpg","4565_20240611_0006_L_0377.jpg")</f>
        <v>4565_20240611_0006_L_0377.jpg</v>
      </c>
      <c r="G4568" s="92" t="s">
        <v>5412</v>
      </c>
      <c r="I4568">
        <v>4</v>
      </c>
      <c r="K4568" s="57">
        <v>1</v>
      </c>
      <c r="L4568" t="s">
        <v>3959</v>
      </c>
      <c r="M4568" t="s">
        <v>3959</v>
      </c>
      <c r="N4568" t="s">
        <v>3959</v>
      </c>
      <c r="O4568" t="s">
        <v>3959</v>
      </c>
      <c r="P4568" s="57">
        <v>1</v>
      </c>
      <c r="Q4568" s="57">
        <v>0</v>
      </c>
      <c r="R4568" s="57">
        <v>0</v>
      </c>
      <c r="S4568" s="57">
        <v>0</v>
      </c>
      <c r="T4568" s="57">
        <v>0</v>
      </c>
      <c r="U4568" s="57">
        <v>0</v>
      </c>
      <c r="V4568" s="57">
        <v>0</v>
      </c>
      <c r="W4568" s="57">
        <v>0</v>
      </c>
      <c r="X4568" s="57">
        <v>0</v>
      </c>
    </row>
    <row r="4569" spans="1:24" hidden="1" x14ac:dyDescent="0.35">
      <c r="A4569">
        <v>4565</v>
      </c>
      <c r="B4569">
        <v>4566</v>
      </c>
      <c r="C4569">
        <v>146.06409456200001</v>
      </c>
      <c r="D4569">
        <v>-17.642077581300001</v>
      </c>
      <c r="F4569" t="str">
        <f>HYPERLINK("D:\Data From Lucan\2024\Moresby\Frames_for_Analysis/4566_20240611_0006_L_0380.jpg","4566_20240611_0006_L_0380.jpg")</f>
        <v>4566_20240611_0006_L_0380.jpg</v>
      </c>
      <c r="G4569" s="92" t="s">
        <v>5413</v>
      </c>
      <c r="I4569">
        <v>4</v>
      </c>
      <c r="K4569" s="57">
        <v>1</v>
      </c>
      <c r="L4569" t="s">
        <v>3959</v>
      </c>
      <c r="M4569" t="s">
        <v>3959</v>
      </c>
      <c r="N4569" t="s">
        <v>3959</v>
      </c>
      <c r="O4569" t="s">
        <v>3959</v>
      </c>
      <c r="P4569" s="57">
        <v>1</v>
      </c>
      <c r="Q4569" s="57">
        <v>0</v>
      </c>
      <c r="R4569" s="57">
        <v>0</v>
      </c>
      <c r="S4569" s="57">
        <v>0</v>
      </c>
      <c r="T4569" s="57">
        <v>0</v>
      </c>
      <c r="U4569" s="57">
        <v>0</v>
      </c>
      <c r="V4569" s="57">
        <v>0</v>
      </c>
      <c r="W4569" s="57">
        <v>0</v>
      </c>
      <c r="X4569" s="57">
        <v>0</v>
      </c>
    </row>
    <row r="4570" spans="1:24" hidden="1" x14ac:dyDescent="0.35">
      <c r="A4570">
        <v>4566</v>
      </c>
      <c r="B4570">
        <v>4567</v>
      </c>
      <c r="C4570">
        <v>146.06400721700001</v>
      </c>
      <c r="D4570">
        <v>-17.6420575767999</v>
      </c>
      <c r="F4570" t="str">
        <f>HYPERLINK("D:\Data From Lucan\2024\Moresby\Frames_for_Analysis/4567_20240611_0006_L_0383.jpg","4567_20240611_0006_L_0383.jpg")</f>
        <v>4567_20240611_0006_L_0383.jpg</v>
      </c>
      <c r="G4570" s="92" t="s">
        <v>5414</v>
      </c>
      <c r="I4570">
        <v>4</v>
      </c>
      <c r="K4570" s="57">
        <v>1</v>
      </c>
      <c r="L4570" t="s">
        <v>3959</v>
      </c>
      <c r="M4570" t="s">
        <v>3959</v>
      </c>
      <c r="N4570" t="s">
        <v>3959</v>
      </c>
      <c r="O4570" t="s">
        <v>3959</v>
      </c>
      <c r="P4570" s="57">
        <v>1</v>
      </c>
      <c r="Q4570" s="57">
        <v>0</v>
      </c>
      <c r="R4570" s="57">
        <v>0</v>
      </c>
      <c r="S4570" s="57">
        <v>0</v>
      </c>
      <c r="T4570" s="57">
        <v>0</v>
      </c>
      <c r="U4570" s="57">
        <v>0</v>
      </c>
      <c r="V4570" s="57">
        <v>0</v>
      </c>
      <c r="W4570" s="57">
        <v>0</v>
      </c>
      <c r="X4570" s="57">
        <v>0</v>
      </c>
    </row>
    <row r="4571" spans="1:24" hidden="1" x14ac:dyDescent="0.35">
      <c r="A4571">
        <v>4567</v>
      </c>
      <c r="B4571">
        <v>4568</v>
      </c>
      <c r="C4571">
        <v>146.06392169399899</v>
      </c>
      <c r="D4571">
        <v>-17.642032897499899</v>
      </c>
      <c r="F4571" t="str">
        <f>HYPERLINK("D:\Data From Lucan\2024\Moresby\Frames_for_Analysis/4568_20240611_0006_L_0385.jpg","4568_20240611_0006_L_0385.jpg")</f>
        <v>4568_20240611_0006_L_0385.jpg</v>
      </c>
      <c r="G4571" s="92" t="s">
        <v>5415</v>
      </c>
      <c r="I4571">
        <v>4</v>
      </c>
      <c r="K4571" s="57">
        <v>1</v>
      </c>
      <c r="L4571" t="s">
        <v>3959</v>
      </c>
      <c r="M4571" t="s">
        <v>3959</v>
      </c>
      <c r="N4571" t="s">
        <v>3959</v>
      </c>
      <c r="O4571" t="s">
        <v>3959</v>
      </c>
      <c r="P4571" s="57">
        <v>1</v>
      </c>
      <c r="Q4571" s="57">
        <v>0</v>
      </c>
      <c r="R4571" s="57">
        <v>0</v>
      </c>
      <c r="S4571" s="57">
        <v>0</v>
      </c>
      <c r="T4571" s="57">
        <v>0</v>
      </c>
      <c r="U4571" s="57">
        <v>0</v>
      </c>
      <c r="V4571" s="57">
        <v>0</v>
      </c>
      <c r="W4571" s="57">
        <v>0</v>
      </c>
      <c r="X4571" s="57">
        <v>0</v>
      </c>
    </row>
    <row r="4572" spans="1:24" hidden="1" x14ac:dyDescent="0.35">
      <c r="A4572">
        <v>4568</v>
      </c>
      <c r="B4572">
        <v>4569</v>
      </c>
      <c r="C4572">
        <v>146.063841819</v>
      </c>
      <c r="D4572">
        <v>-17.641993725100001</v>
      </c>
      <c r="F4572" t="str">
        <f>HYPERLINK("D:\Data From Lucan\2024\Moresby\Frames_for_Analysis/4569_20240611_0006_L_0388.jpg","4569_20240611_0006_L_0388.jpg")</f>
        <v>4569_20240611_0006_L_0388.jpg</v>
      </c>
      <c r="G4572" s="92" t="s">
        <v>5416</v>
      </c>
      <c r="I4572">
        <v>4</v>
      </c>
      <c r="K4572" s="57">
        <v>1</v>
      </c>
      <c r="L4572" t="s">
        <v>3959</v>
      </c>
      <c r="M4572" t="s">
        <v>3959</v>
      </c>
      <c r="N4572" t="s">
        <v>3959</v>
      </c>
      <c r="O4572" t="s">
        <v>3959</v>
      </c>
      <c r="P4572" s="57">
        <v>1</v>
      </c>
      <c r="Q4572" s="57">
        <v>0</v>
      </c>
      <c r="R4572" s="57">
        <v>0</v>
      </c>
      <c r="S4572" s="57">
        <v>0</v>
      </c>
      <c r="T4572" s="57">
        <v>0</v>
      </c>
      <c r="U4572" s="57">
        <v>0</v>
      </c>
      <c r="V4572" s="57">
        <v>0</v>
      </c>
      <c r="W4572" s="57">
        <v>0</v>
      </c>
      <c r="X4572" s="57">
        <v>0</v>
      </c>
    </row>
    <row r="4573" spans="1:24" hidden="1" x14ac:dyDescent="0.35">
      <c r="A4573">
        <v>4569</v>
      </c>
      <c r="B4573">
        <v>4570</v>
      </c>
      <c r="C4573">
        <v>146.063761943999</v>
      </c>
      <c r="D4573">
        <v>-17.6419545527</v>
      </c>
      <c r="F4573" t="str">
        <f>HYPERLINK("D:\Data From Lucan\2024\Moresby\Frames_for_Analysis/4570_20240611_0006_L_0391.jpg","4570_20240611_0006_L_0391.jpg")</f>
        <v>4570_20240611_0006_L_0391.jpg</v>
      </c>
      <c r="G4573" s="92" t="s">
        <v>5417</v>
      </c>
      <c r="I4573">
        <v>4</v>
      </c>
      <c r="K4573" s="57">
        <v>1</v>
      </c>
      <c r="L4573" t="s">
        <v>3959</v>
      </c>
      <c r="M4573" t="s">
        <v>3959</v>
      </c>
      <c r="N4573" t="s">
        <v>3959</v>
      </c>
      <c r="O4573" t="s">
        <v>3959</v>
      </c>
      <c r="P4573" s="57">
        <v>1</v>
      </c>
      <c r="Q4573" s="57">
        <v>0</v>
      </c>
      <c r="R4573" s="57">
        <v>0</v>
      </c>
      <c r="S4573" s="57">
        <v>0</v>
      </c>
      <c r="T4573" s="57">
        <v>2</v>
      </c>
      <c r="U4573" s="57">
        <v>0</v>
      </c>
      <c r="V4573" s="57">
        <v>0</v>
      </c>
      <c r="W4573" s="57">
        <v>0</v>
      </c>
      <c r="X4573" s="57">
        <v>0</v>
      </c>
    </row>
    <row r="4574" spans="1:24" hidden="1" x14ac:dyDescent="0.35">
      <c r="A4574">
        <v>4570</v>
      </c>
      <c r="B4574">
        <v>4571</v>
      </c>
      <c r="C4574">
        <v>146.06368206900001</v>
      </c>
      <c r="D4574">
        <v>-17.641915380299899</v>
      </c>
      <c r="F4574" t="str">
        <f>HYPERLINK("D:\Data From Lucan\2024\Moresby\Frames_for_Analysis/4571_20240611_0006_L_0394.jpg","4571_20240611_0006_L_0394.jpg")</f>
        <v>4571_20240611_0006_L_0394.jpg</v>
      </c>
      <c r="G4574" s="92" t="s">
        <v>5418</v>
      </c>
      <c r="I4574">
        <v>4</v>
      </c>
      <c r="K4574" s="57">
        <v>1</v>
      </c>
      <c r="L4574" t="s">
        <v>3959</v>
      </c>
      <c r="M4574" t="s">
        <v>3959</v>
      </c>
      <c r="N4574" t="s">
        <v>3959</v>
      </c>
      <c r="O4574" t="s">
        <v>3959</v>
      </c>
      <c r="P4574" s="57">
        <v>1</v>
      </c>
      <c r="Q4574" s="57">
        <v>0</v>
      </c>
      <c r="R4574" s="57">
        <v>0</v>
      </c>
      <c r="S4574" s="57">
        <v>0</v>
      </c>
      <c r="T4574" s="57">
        <v>0</v>
      </c>
      <c r="U4574" s="57">
        <v>0</v>
      </c>
      <c r="V4574" s="57">
        <v>0</v>
      </c>
      <c r="W4574" s="57">
        <v>0</v>
      </c>
      <c r="X4574" s="57">
        <v>0</v>
      </c>
    </row>
    <row r="4575" spans="1:24" hidden="1" x14ac:dyDescent="0.35">
      <c r="A4575">
        <v>4571</v>
      </c>
      <c r="B4575">
        <v>4572</v>
      </c>
      <c r="C4575">
        <v>146.063602193999</v>
      </c>
      <c r="D4575">
        <v>-17.641876207900001</v>
      </c>
      <c r="F4575" t="str">
        <f>HYPERLINK("D:\Data From Lucan\2024\Moresby\Frames_for_Analysis/4572_20240611_0006_L_0396.jpg","4572_20240611_0006_L_0396.jpg")</f>
        <v>4572_20240611_0006_L_0396.jpg</v>
      </c>
      <c r="G4575" s="92" t="s">
        <v>5419</v>
      </c>
      <c r="I4575">
        <v>4</v>
      </c>
      <c r="K4575" s="57">
        <v>1</v>
      </c>
      <c r="L4575" t="s">
        <v>3959</v>
      </c>
      <c r="M4575" t="s">
        <v>3959</v>
      </c>
      <c r="N4575" t="s">
        <v>3959</v>
      </c>
      <c r="O4575" t="s">
        <v>3959</v>
      </c>
      <c r="P4575" s="57">
        <v>1</v>
      </c>
      <c r="Q4575" s="57">
        <v>0</v>
      </c>
      <c r="R4575" s="57">
        <v>0</v>
      </c>
      <c r="S4575" s="57">
        <v>0</v>
      </c>
      <c r="T4575" s="57">
        <v>0</v>
      </c>
      <c r="U4575" s="57">
        <v>0</v>
      </c>
      <c r="V4575" s="57">
        <v>0</v>
      </c>
      <c r="W4575" s="57">
        <v>0</v>
      </c>
      <c r="X4575" s="57">
        <v>0</v>
      </c>
    </row>
    <row r="4576" spans="1:24" hidden="1" x14ac:dyDescent="0.35">
      <c r="A4576">
        <v>4572</v>
      </c>
      <c r="B4576">
        <v>4573</v>
      </c>
      <c r="C4576">
        <v>146.06352231899899</v>
      </c>
      <c r="D4576">
        <v>-17.641837035399899</v>
      </c>
      <c r="F4576" t="str">
        <f>HYPERLINK("D:\Data From Lucan\2024\Moresby\Frames_for_Analysis/4573_20240611_0006_L_0399.jpg","4573_20240611_0006_L_0399.jpg")</f>
        <v>4573_20240611_0006_L_0399.jpg</v>
      </c>
      <c r="G4576" s="92" t="s">
        <v>5420</v>
      </c>
      <c r="I4576">
        <v>4</v>
      </c>
      <c r="K4576" s="57">
        <v>1</v>
      </c>
      <c r="L4576" t="s">
        <v>3959</v>
      </c>
      <c r="M4576" t="s">
        <v>3959</v>
      </c>
      <c r="N4576" t="s">
        <v>3959</v>
      </c>
      <c r="O4576" t="s">
        <v>3959</v>
      </c>
      <c r="P4576" s="57">
        <v>1</v>
      </c>
      <c r="Q4576" s="57">
        <v>0</v>
      </c>
      <c r="R4576" s="57">
        <v>0</v>
      </c>
      <c r="S4576" s="57">
        <v>0</v>
      </c>
      <c r="T4576" s="57">
        <v>0</v>
      </c>
      <c r="U4576" s="57">
        <v>0</v>
      </c>
      <c r="V4576" s="57">
        <v>0</v>
      </c>
      <c r="W4576" s="57">
        <v>0</v>
      </c>
      <c r="X4576" s="57">
        <v>0</v>
      </c>
    </row>
    <row r="4577" spans="1:24" hidden="1" x14ac:dyDescent="0.35">
      <c r="A4577">
        <v>4573</v>
      </c>
      <c r="B4577">
        <v>4574</v>
      </c>
      <c r="C4577">
        <v>146.063442444</v>
      </c>
      <c r="D4577">
        <v>-17.641797863000001</v>
      </c>
      <c r="F4577" t="str">
        <f>HYPERLINK("D:\Data From Lucan\2024\Moresby\Frames_for_Analysis/4574_20240611_0006_L_0402.jpg","4574_20240611_0006_L_0402.jpg")</f>
        <v>4574_20240611_0006_L_0402.jpg</v>
      </c>
      <c r="G4577" s="92" t="s">
        <v>5421</v>
      </c>
      <c r="I4577">
        <v>4</v>
      </c>
      <c r="K4577" s="57">
        <v>1</v>
      </c>
      <c r="L4577" t="s">
        <v>3959</v>
      </c>
      <c r="M4577" t="s">
        <v>3959</v>
      </c>
      <c r="N4577" t="s">
        <v>3959</v>
      </c>
      <c r="O4577" t="s">
        <v>3959</v>
      </c>
      <c r="P4577" s="57">
        <v>1</v>
      </c>
      <c r="Q4577" s="57">
        <v>0</v>
      </c>
      <c r="R4577" s="57">
        <v>0</v>
      </c>
      <c r="S4577" s="57">
        <v>0</v>
      </c>
      <c r="T4577" s="57">
        <v>2</v>
      </c>
      <c r="U4577" s="57">
        <v>0</v>
      </c>
      <c r="V4577" s="57">
        <v>0</v>
      </c>
      <c r="W4577" s="57">
        <v>0</v>
      </c>
      <c r="X4577" s="57">
        <v>0</v>
      </c>
    </row>
    <row r="4578" spans="1:24" hidden="1" x14ac:dyDescent="0.35">
      <c r="A4578">
        <v>4574</v>
      </c>
      <c r="B4578">
        <v>4575</v>
      </c>
      <c r="C4578">
        <v>146.06336888499899</v>
      </c>
      <c r="D4578">
        <v>-17.641749444799899</v>
      </c>
      <c r="F4578" t="str">
        <f>HYPERLINK("D:\Data From Lucan\2024\Moresby\Frames_for_Analysis/4575_20240611_0006_L_0404.jpg","4575_20240611_0006_L_0404.jpg")</f>
        <v>4575_20240611_0006_L_0404.jpg</v>
      </c>
      <c r="G4578" s="92" t="s">
        <v>5422</v>
      </c>
      <c r="I4578">
        <v>4</v>
      </c>
      <c r="K4578" s="57">
        <v>1</v>
      </c>
      <c r="L4578" t="s">
        <v>3959</v>
      </c>
      <c r="M4578" t="s">
        <v>3959</v>
      </c>
      <c r="N4578" t="s">
        <v>3959</v>
      </c>
      <c r="O4578" t="s">
        <v>3959</v>
      </c>
      <c r="P4578" s="57">
        <v>1</v>
      </c>
      <c r="Q4578" s="57">
        <v>0</v>
      </c>
      <c r="R4578" s="57">
        <v>0</v>
      </c>
      <c r="S4578" s="57">
        <v>0</v>
      </c>
      <c r="T4578" s="57">
        <v>0</v>
      </c>
      <c r="U4578" s="57">
        <v>0</v>
      </c>
      <c r="V4578" s="57">
        <v>0</v>
      </c>
      <c r="W4578" s="57">
        <v>0</v>
      </c>
      <c r="X4578" s="57">
        <v>0</v>
      </c>
    </row>
    <row r="4579" spans="1:24" hidden="1" x14ac:dyDescent="0.35">
      <c r="A4579">
        <v>4575</v>
      </c>
      <c r="B4579">
        <v>4576</v>
      </c>
      <c r="C4579">
        <v>146.06329897200001</v>
      </c>
      <c r="D4579">
        <v>-17.641695689399899</v>
      </c>
      <c r="F4579" t="str">
        <f>HYPERLINK("D:\Data From Lucan\2024\Moresby\Frames_for_Analysis/4576_20240611_0006_L_0407.jpg","4576_20240611_0006_L_0407.jpg")</f>
        <v>4576_20240611_0006_L_0407.jpg</v>
      </c>
      <c r="G4579" s="92" t="s">
        <v>5423</v>
      </c>
      <c r="I4579">
        <v>4</v>
      </c>
      <c r="K4579" s="57">
        <v>1</v>
      </c>
      <c r="L4579" t="s">
        <v>3959</v>
      </c>
      <c r="M4579" t="s">
        <v>3959</v>
      </c>
      <c r="N4579" t="s">
        <v>3959</v>
      </c>
      <c r="O4579" t="s">
        <v>3959</v>
      </c>
      <c r="P4579" s="57">
        <v>1</v>
      </c>
      <c r="Q4579" s="57">
        <v>0</v>
      </c>
      <c r="R4579" s="57">
        <v>0</v>
      </c>
      <c r="S4579" s="57">
        <v>0</v>
      </c>
      <c r="T4579" s="57">
        <v>0</v>
      </c>
      <c r="U4579" s="57">
        <v>0</v>
      </c>
      <c r="V4579" s="57">
        <v>0</v>
      </c>
      <c r="W4579" s="57">
        <v>0</v>
      </c>
      <c r="X4579" s="57">
        <v>0</v>
      </c>
    </row>
    <row r="4580" spans="1:24" hidden="1" x14ac:dyDescent="0.35">
      <c r="A4580">
        <v>4576</v>
      </c>
      <c r="B4580">
        <v>4577</v>
      </c>
      <c r="C4580">
        <v>146.06322905900001</v>
      </c>
      <c r="D4580">
        <v>-17.641641934100001</v>
      </c>
      <c r="F4580" t="str">
        <f>HYPERLINK("D:\Data From Lucan\2024\Moresby\Frames_for_Analysis/4577_20240611_0006_L_0410.jpg","4577_20240611_0006_L_0410.jpg")</f>
        <v>4577_20240611_0006_L_0410.jpg</v>
      </c>
      <c r="G4580" s="92" t="s">
        <v>5424</v>
      </c>
      <c r="I4580">
        <v>4</v>
      </c>
      <c r="K4580" s="57">
        <v>1</v>
      </c>
      <c r="L4580" t="s">
        <v>3959</v>
      </c>
      <c r="M4580" t="s">
        <v>3959</v>
      </c>
      <c r="N4580" t="s">
        <v>3959</v>
      </c>
      <c r="O4580" t="s">
        <v>3959</v>
      </c>
      <c r="P4580" s="57">
        <v>1</v>
      </c>
      <c r="Q4580" s="57">
        <v>0</v>
      </c>
      <c r="R4580" s="57">
        <v>0</v>
      </c>
      <c r="S4580" s="57">
        <v>0</v>
      </c>
      <c r="T4580" s="57">
        <v>0</v>
      </c>
      <c r="U4580" s="57">
        <v>0</v>
      </c>
      <c r="V4580" s="57">
        <v>0</v>
      </c>
      <c r="W4580" s="57">
        <v>0</v>
      </c>
      <c r="X4580" s="57">
        <v>0</v>
      </c>
    </row>
    <row r="4581" spans="1:24" hidden="1" x14ac:dyDescent="0.35">
      <c r="A4581">
        <v>4577</v>
      </c>
      <c r="B4581">
        <v>4578</v>
      </c>
      <c r="C4581">
        <v>146.063159146</v>
      </c>
      <c r="D4581">
        <v>-17.641588178700001</v>
      </c>
      <c r="F4581" t="str">
        <f>HYPERLINK("D:\Data From Lucan\2024\Moresby\Frames_for_Analysis/4578_20240611_0006_L_0413.jpg","4578_20240611_0006_L_0413.jpg")</f>
        <v>4578_20240611_0006_L_0413.jpg</v>
      </c>
      <c r="G4581" s="92" t="s">
        <v>5425</v>
      </c>
      <c r="I4581">
        <v>4</v>
      </c>
      <c r="K4581" s="57">
        <v>1</v>
      </c>
      <c r="L4581" t="s">
        <v>3959</v>
      </c>
      <c r="M4581" t="s">
        <v>3959</v>
      </c>
      <c r="N4581" t="s">
        <v>3959</v>
      </c>
      <c r="O4581" t="s">
        <v>3959</v>
      </c>
      <c r="P4581" s="57">
        <v>1</v>
      </c>
      <c r="Q4581" s="57">
        <v>0</v>
      </c>
      <c r="R4581" s="57">
        <v>0</v>
      </c>
      <c r="S4581" s="57">
        <v>0</v>
      </c>
      <c r="T4581" s="57">
        <v>0</v>
      </c>
      <c r="U4581" s="57">
        <v>0</v>
      </c>
      <c r="V4581" s="57">
        <v>0</v>
      </c>
      <c r="W4581" s="57">
        <v>0</v>
      </c>
      <c r="X4581" s="57">
        <v>0</v>
      </c>
    </row>
    <row r="4582" spans="1:24" hidden="1" x14ac:dyDescent="0.35">
      <c r="A4582">
        <v>4578</v>
      </c>
      <c r="B4582">
        <v>4579</v>
      </c>
      <c r="C4582">
        <v>146.063089232999</v>
      </c>
      <c r="D4582">
        <v>-17.641534423300001</v>
      </c>
      <c r="F4582" t="str">
        <f>HYPERLINK("D:\Data From Lucan\2024\Moresby\Frames_for_Analysis/4579_20240611_0006_L_0415.jpg","4579_20240611_0006_L_0415.jpg")</f>
        <v>4579_20240611_0006_L_0415.jpg</v>
      </c>
      <c r="G4582" s="92" t="s">
        <v>5426</v>
      </c>
      <c r="I4582">
        <v>4</v>
      </c>
      <c r="K4582" s="57">
        <v>1</v>
      </c>
      <c r="L4582" t="s">
        <v>3959</v>
      </c>
      <c r="M4582" t="s">
        <v>3959</v>
      </c>
      <c r="N4582" t="s">
        <v>3959</v>
      </c>
      <c r="O4582" t="s">
        <v>3959</v>
      </c>
      <c r="P4582" s="57">
        <v>1</v>
      </c>
      <c r="Q4582" s="57">
        <v>0</v>
      </c>
      <c r="R4582" s="57">
        <v>0</v>
      </c>
      <c r="S4582" s="57">
        <v>0</v>
      </c>
      <c r="T4582" s="57">
        <v>0</v>
      </c>
      <c r="U4582" s="57">
        <v>0</v>
      </c>
      <c r="V4582" s="57">
        <v>0</v>
      </c>
      <c r="W4582" s="57">
        <v>0</v>
      </c>
      <c r="X4582" s="57">
        <v>0</v>
      </c>
    </row>
    <row r="4583" spans="1:24" hidden="1" x14ac:dyDescent="0.35">
      <c r="A4583">
        <v>4579</v>
      </c>
      <c r="B4583">
        <v>4580</v>
      </c>
      <c r="C4583">
        <v>146.063019319999</v>
      </c>
      <c r="D4583">
        <v>-17.6414806678</v>
      </c>
      <c r="F4583" t="str">
        <f>HYPERLINK("D:\Data From Lucan\2024\Moresby\Frames_for_Analysis/4580_20240611_0006_L_0418.jpg","4580_20240611_0006_L_0418.jpg")</f>
        <v>4580_20240611_0006_L_0418.jpg</v>
      </c>
      <c r="G4583" s="92" t="s">
        <v>5427</v>
      </c>
      <c r="I4583">
        <v>4</v>
      </c>
      <c r="K4583" s="57">
        <v>1</v>
      </c>
      <c r="L4583" t="s">
        <v>3959</v>
      </c>
      <c r="M4583" t="s">
        <v>3959</v>
      </c>
      <c r="N4583" t="s">
        <v>3959</v>
      </c>
      <c r="O4583" t="s">
        <v>3959</v>
      </c>
      <c r="P4583" s="57">
        <v>1</v>
      </c>
      <c r="Q4583" s="57">
        <v>0</v>
      </c>
      <c r="R4583" s="57">
        <v>0</v>
      </c>
      <c r="S4583" s="57">
        <v>0</v>
      </c>
      <c r="T4583" s="57">
        <v>0</v>
      </c>
      <c r="U4583" s="57">
        <v>0</v>
      </c>
      <c r="V4583" s="57">
        <v>0</v>
      </c>
      <c r="W4583" s="57">
        <v>0</v>
      </c>
      <c r="X4583" s="57">
        <v>0</v>
      </c>
    </row>
    <row r="4584" spans="1:24" hidden="1" x14ac:dyDescent="0.35">
      <c r="A4584">
        <v>4580</v>
      </c>
      <c r="B4584">
        <v>4581</v>
      </c>
      <c r="C4584">
        <v>146.062949406999</v>
      </c>
      <c r="D4584">
        <v>-17.6414269124</v>
      </c>
      <c r="F4584" t="str">
        <f>HYPERLINK("D:\Data From Lucan\2024\Moresby\Frames_for_Analysis/4581_20240611_0006_L_0421.jpg","4581_20240611_0006_L_0421.jpg")</f>
        <v>4581_20240611_0006_L_0421.jpg</v>
      </c>
      <c r="G4584" s="92" t="s">
        <v>5428</v>
      </c>
      <c r="I4584">
        <v>4</v>
      </c>
      <c r="K4584" s="57">
        <v>1</v>
      </c>
      <c r="L4584" t="s">
        <v>3959</v>
      </c>
      <c r="M4584" t="s">
        <v>3959</v>
      </c>
      <c r="N4584" t="s">
        <v>3959</v>
      </c>
      <c r="O4584" t="s">
        <v>3959</v>
      </c>
      <c r="P4584" s="57">
        <v>1</v>
      </c>
      <c r="Q4584" s="57">
        <v>0</v>
      </c>
      <c r="R4584" s="57">
        <v>0</v>
      </c>
      <c r="S4584" s="57">
        <v>0</v>
      </c>
      <c r="T4584" s="57">
        <v>0</v>
      </c>
      <c r="U4584" s="57">
        <v>0</v>
      </c>
      <c r="V4584" s="57">
        <v>0</v>
      </c>
      <c r="W4584" s="57">
        <v>0</v>
      </c>
      <c r="X4584" s="57">
        <v>0</v>
      </c>
    </row>
    <row r="4585" spans="1:24" hidden="1" x14ac:dyDescent="0.35">
      <c r="A4585">
        <v>4581</v>
      </c>
      <c r="B4585">
        <v>4582</v>
      </c>
      <c r="C4585">
        <v>146.062879495</v>
      </c>
      <c r="D4585">
        <v>-17.641373156899899</v>
      </c>
      <c r="F4585" t="str">
        <f>HYPERLINK("D:\Data From Lucan\2024\Moresby\Frames_for_Analysis/4582_20240611_0006_L_0424.jpg","4582_20240611_0006_L_0424.jpg")</f>
        <v>4582_20240611_0006_L_0424.jpg</v>
      </c>
      <c r="G4585" s="92" t="s">
        <v>5429</v>
      </c>
      <c r="I4585">
        <v>4</v>
      </c>
      <c r="K4585" s="57">
        <v>1</v>
      </c>
      <c r="L4585" t="s">
        <v>3959</v>
      </c>
      <c r="M4585" t="s">
        <v>3959</v>
      </c>
      <c r="N4585" t="s">
        <v>3959</v>
      </c>
      <c r="O4585" t="s">
        <v>3959</v>
      </c>
      <c r="P4585" s="57">
        <v>1</v>
      </c>
      <c r="Q4585" s="57">
        <v>0</v>
      </c>
      <c r="R4585" s="57">
        <v>0</v>
      </c>
      <c r="S4585" s="57">
        <v>0</v>
      </c>
      <c r="T4585" s="57">
        <v>0</v>
      </c>
      <c r="U4585" s="57">
        <v>0</v>
      </c>
      <c r="V4585" s="57">
        <v>0</v>
      </c>
      <c r="W4585" s="57">
        <v>0</v>
      </c>
      <c r="X4585" s="57">
        <v>0</v>
      </c>
    </row>
    <row r="4586" spans="1:24" hidden="1" x14ac:dyDescent="0.35">
      <c r="A4586">
        <v>4582</v>
      </c>
      <c r="B4586">
        <v>4583</v>
      </c>
      <c r="C4586">
        <v>146.062812938999</v>
      </c>
      <c r="D4586">
        <v>-17.6413156757</v>
      </c>
      <c r="F4586" t="str">
        <f>HYPERLINK("D:\Data From Lucan\2024\Moresby\Frames_for_Analysis/4583_20240611_0006_L_0427.jpg","4583_20240611_0006_L_0427.jpg")</f>
        <v>4583_20240611_0006_L_0427.jpg</v>
      </c>
      <c r="G4586" s="92" t="s">
        <v>5430</v>
      </c>
      <c r="I4586">
        <v>4</v>
      </c>
      <c r="K4586" s="57">
        <v>1</v>
      </c>
      <c r="L4586" t="s">
        <v>3959</v>
      </c>
      <c r="M4586" t="s">
        <v>3959</v>
      </c>
      <c r="N4586" t="s">
        <v>3959</v>
      </c>
      <c r="O4586" t="s">
        <v>3959</v>
      </c>
      <c r="P4586" s="57">
        <v>1</v>
      </c>
      <c r="Q4586" s="57">
        <v>0</v>
      </c>
      <c r="R4586" s="57">
        <v>0</v>
      </c>
      <c r="S4586" s="57">
        <v>0</v>
      </c>
      <c r="T4586" s="57">
        <v>0</v>
      </c>
      <c r="U4586" s="57">
        <v>0</v>
      </c>
      <c r="V4586" s="57">
        <v>0</v>
      </c>
      <c r="W4586" s="57">
        <v>0</v>
      </c>
      <c r="X4586" s="57">
        <v>0</v>
      </c>
    </row>
    <row r="4587" spans="1:24" hidden="1" x14ac:dyDescent="0.35">
      <c r="A4587">
        <v>4583</v>
      </c>
      <c r="B4587">
        <v>4584</v>
      </c>
      <c r="C4587">
        <v>146.06274662000001</v>
      </c>
      <c r="D4587">
        <v>-17.641257932799899</v>
      </c>
      <c r="F4587" t="str">
        <f>HYPERLINK("D:\Data From Lucan\2024\Moresby\Frames_for_Analysis/4584_20240611_0006_L_0429.jpg","4584_20240611_0006_L_0429.jpg")</f>
        <v>4584_20240611_0006_L_0429.jpg</v>
      </c>
      <c r="G4587" s="92" t="s">
        <v>5431</v>
      </c>
      <c r="I4587">
        <v>4</v>
      </c>
      <c r="K4587" s="57">
        <v>1</v>
      </c>
      <c r="L4587" t="s">
        <v>3959</v>
      </c>
      <c r="M4587" t="s">
        <v>3959</v>
      </c>
      <c r="N4587" t="s">
        <v>3959</v>
      </c>
      <c r="O4587" t="s">
        <v>3959</v>
      </c>
      <c r="P4587" s="57">
        <v>1</v>
      </c>
      <c r="Q4587" s="57">
        <v>0</v>
      </c>
      <c r="R4587" s="57">
        <v>0</v>
      </c>
      <c r="S4587" s="57">
        <v>0</v>
      </c>
      <c r="T4587" s="57">
        <v>0</v>
      </c>
      <c r="U4587" s="57">
        <v>0</v>
      </c>
      <c r="V4587" s="57">
        <v>0</v>
      </c>
      <c r="W4587" s="57">
        <v>0</v>
      </c>
      <c r="X4587" s="57">
        <v>0</v>
      </c>
    </row>
    <row r="4588" spans="1:24" hidden="1" x14ac:dyDescent="0.35">
      <c r="A4588">
        <v>4584</v>
      </c>
      <c r="B4588">
        <v>4585</v>
      </c>
      <c r="C4588">
        <v>146.062680301</v>
      </c>
      <c r="D4588">
        <v>-17.641200189900001</v>
      </c>
      <c r="F4588" t="str">
        <f>HYPERLINK("D:\Data From Lucan\2024\Moresby\Frames_for_Analysis/4585_20240611_0006_L_0432.jpg","4585_20240611_0006_L_0432.jpg")</f>
        <v>4585_20240611_0006_L_0432.jpg</v>
      </c>
      <c r="G4588" s="92" t="s">
        <v>5432</v>
      </c>
      <c r="I4588">
        <v>4</v>
      </c>
      <c r="K4588" s="57">
        <v>1</v>
      </c>
      <c r="L4588" t="s">
        <v>3959</v>
      </c>
      <c r="M4588" t="s">
        <v>3959</v>
      </c>
      <c r="N4588" t="s">
        <v>3959</v>
      </c>
      <c r="O4588" t="s">
        <v>3959</v>
      </c>
      <c r="P4588" s="57">
        <v>1</v>
      </c>
      <c r="Q4588" s="57">
        <v>0</v>
      </c>
      <c r="R4588" s="57">
        <v>0</v>
      </c>
      <c r="S4588" s="57">
        <v>0</v>
      </c>
      <c r="T4588" s="57">
        <v>0</v>
      </c>
      <c r="U4588" s="57">
        <v>0</v>
      </c>
      <c r="V4588" s="57">
        <v>0</v>
      </c>
      <c r="W4588" s="57">
        <v>0</v>
      </c>
      <c r="X4588" s="57">
        <v>0</v>
      </c>
    </row>
    <row r="4589" spans="1:24" hidden="1" x14ac:dyDescent="0.35">
      <c r="A4589">
        <v>4585</v>
      </c>
      <c r="B4589">
        <v>4586</v>
      </c>
      <c r="C4589">
        <v>146.062613980999</v>
      </c>
      <c r="D4589">
        <v>-17.641142446900002</v>
      </c>
      <c r="F4589" t="str">
        <f>HYPERLINK("D:\Data From Lucan\2024\Moresby\Frames_for_Analysis/4586_20240611_0006_L_0436.jpg","4586_20240611_0006_L_0436.jpg")</f>
        <v>4586_20240611_0006_L_0436.jpg</v>
      </c>
      <c r="G4589" s="92" t="s">
        <v>5433</v>
      </c>
      <c r="I4589">
        <v>4</v>
      </c>
      <c r="K4589" s="57">
        <v>1</v>
      </c>
      <c r="L4589" t="s">
        <v>3959</v>
      </c>
      <c r="M4589" t="s">
        <v>3959</v>
      </c>
      <c r="N4589" t="s">
        <v>3959</v>
      </c>
      <c r="O4589" t="s">
        <v>3959</v>
      </c>
      <c r="P4589" s="57">
        <v>1</v>
      </c>
      <c r="Q4589" s="57">
        <v>0</v>
      </c>
      <c r="R4589" s="57">
        <v>0</v>
      </c>
      <c r="S4589" s="57">
        <v>0</v>
      </c>
      <c r="T4589" s="57">
        <v>0</v>
      </c>
      <c r="U4589" s="57">
        <v>0</v>
      </c>
      <c r="V4589" s="57">
        <v>0</v>
      </c>
      <c r="W4589" s="57">
        <v>0</v>
      </c>
      <c r="X4589" s="57">
        <v>0</v>
      </c>
    </row>
    <row r="4590" spans="1:24" hidden="1" x14ac:dyDescent="0.35">
      <c r="A4590">
        <v>4586</v>
      </c>
      <c r="B4590">
        <v>4587</v>
      </c>
      <c r="C4590">
        <v>146.06254766199899</v>
      </c>
      <c r="D4590">
        <v>-17.641084703899899</v>
      </c>
      <c r="F4590" t="str">
        <f>HYPERLINK("D:\Data From Lucan\2024\Moresby\Frames_for_Analysis/4587_20240611_0006_L_0438.jpg","4587_20240611_0006_L_0438.jpg")</f>
        <v>4587_20240611_0006_L_0438.jpg</v>
      </c>
      <c r="G4590" s="92" t="s">
        <v>5434</v>
      </c>
      <c r="I4590">
        <v>4</v>
      </c>
      <c r="K4590" s="57">
        <v>1</v>
      </c>
      <c r="L4590" t="s">
        <v>3959</v>
      </c>
      <c r="M4590" t="s">
        <v>3959</v>
      </c>
      <c r="N4590" t="s">
        <v>3959</v>
      </c>
      <c r="O4590" t="s">
        <v>3959</v>
      </c>
      <c r="P4590" s="57">
        <v>1</v>
      </c>
      <c r="Q4590" s="57">
        <v>0</v>
      </c>
      <c r="R4590" s="57">
        <v>0</v>
      </c>
      <c r="S4590" s="57">
        <v>0</v>
      </c>
      <c r="T4590" s="57">
        <v>0</v>
      </c>
      <c r="U4590" s="57">
        <v>0</v>
      </c>
      <c r="V4590" s="57">
        <v>0</v>
      </c>
      <c r="W4590" s="57">
        <v>0</v>
      </c>
      <c r="X4590" s="57">
        <v>0</v>
      </c>
    </row>
    <row r="4591" spans="1:24" hidden="1" x14ac:dyDescent="0.35">
      <c r="A4591">
        <v>4587</v>
      </c>
      <c r="B4591">
        <v>4588</v>
      </c>
      <c r="C4591">
        <v>146.06248134200001</v>
      </c>
      <c r="D4591">
        <v>-17.641026961000001</v>
      </c>
      <c r="F4591" t="str">
        <f>HYPERLINK("D:\Data From Lucan\2024\Moresby\Frames_for_Analysis/4588_20240611_0006_L_0441.jpg","4588_20240611_0006_L_0441.jpg")</f>
        <v>4588_20240611_0006_L_0441.jpg</v>
      </c>
      <c r="G4591" s="92" t="s">
        <v>5435</v>
      </c>
      <c r="I4591">
        <v>4</v>
      </c>
      <c r="K4591" s="57">
        <v>1</v>
      </c>
      <c r="L4591" t="s">
        <v>3959</v>
      </c>
      <c r="M4591" t="s">
        <v>3959</v>
      </c>
      <c r="N4591" t="s">
        <v>3959</v>
      </c>
      <c r="O4591" t="s">
        <v>3959</v>
      </c>
      <c r="P4591" s="57">
        <v>1</v>
      </c>
      <c r="Q4591" s="57">
        <v>0</v>
      </c>
      <c r="R4591" s="57">
        <v>0</v>
      </c>
      <c r="S4591" s="57">
        <v>0</v>
      </c>
      <c r="T4591" s="57">
        <v>0</v>
      </c>
      <c r="U4591" s="57">
        <v>0</v>
      </c>
      <c r="V4591" s="57">
        <v>0</v>
      </c>
      <c r="W4591" s="57">
        <v>0</v>
      </c>
      <c r="X4591" s="57">
        <v>0</v>
      </c>
    </row>
    <row r="4592" spans="1:24" hidden="1" x14ac:dyDescent="0.35">
      <c r="A4592">
        <v>4588</v>
      </c>
      <c r="B4592">
        <v>4589</v>
      </c>
      <c r="C4592">
        <v>146.062415023</v>
      </c>
      <c r="D4592">
        <v>-17.640969217999899</v>
      </c>
      <c r="F4592" t="str">
        <f>HYPERLINK("D:\Data From Lucan\2024\Moresby\Frames_for_Analysis/4589_20240611_0006_L_0444.jpg","4589_20240611_0006_L_0444.jpg")</f>
        <v>4589_20240611_0006_L_0444.jpg</v>
      </c>
      <c r="G4592" s="92" t="s">
        <v>5436</v>
      </c>
      <c r="I4592">
        <v>4</v>
      </c>
      <c r="K4592" s="57">
        <v>1</v>
      </c>
      <c r="L4592" t="s">
        <v>3959</v>
      </c>
      <c r="M4592" t="s">
        <v>3959</v>
      </c>
      <c r="N4592" t="s">
        <v>3959</v>
      </c>
      <c r="O4592" t="s">
        <v>3959</v>
      </c>
      <c r="P4592" s="57">
        <v>1</v>
      </c>
      <c r="Q4592" s="57">
        <v>0</v>
      </c>
      <c r="R4592" s="57">
        <v>0</v>
      </c>
      <c r="S4592" s="57">
        <v>0</v>
      </c>
      <c r="T4592" s="57">
        <v>0</v>
      </c>
      <c r="U4592" s="57">
        <v>0</v>
      </c>
      <c r="V4592" s="57">
        <v>0</v>
      </c>
      <c r="W4592" s="57">
        <v>0</v>
      </c>
      <c r="X4592" s="57">
        <v>0</v>
      </c>
    </row>
    <row r="4593" spans="1:24" hidden="1" x14ac:dyDescent="0.35">
      <c r="A4593">
        <v>4589</v>
      </c>
      <c r="B4593">
        <v>4590</v>
      </c>
      <c r="C4593">
        <v>146.06234870399899</v>
      </c>
      <c r="D4593">
        <v>-17.640911474900001</v>
      </c>
      <c r="F4593" t="str">
        <f>HYPERLINK("D:\Data From Lucan\2024\Moresby\Frames_for_Analysis/4590_20240611_0006_L_0447.jpg","4590_20240611_0006_L_0447.jpg")</f>
        <v>4590_20240611_0006_L_0447.jpg</v>
      </c>
      <c r="G4593" s="92" t="s">
        <v>5437</v>
      </c>
      <c r="I4593">
        <v>4</v>
      </c>
      <c r="K4593" s="57">
        <v>1</v>
      </c>
      <c r="L4593" t="s">
        <v>3959</v>
      </c>
      <c r="M4593" t="s">
        <v>3959</v>
      </c>
      <c r="N4593" t="s">
        <v>3959</v>
      </c>
      <c r="O4593" t="s">
        <v>3959</v>
      </c>
      <c r="P4593" s="57">
        <v>1</v>
      </c>
      <c r="Q4593" s="57">
        <v>0</v>
      </c>
      <c r="R4593" s="57">
        <v>0</v>
      </c>
      <c r="S4593" s="57">
        <v>0</v>
      </c>
      <c r="T4593" s="57">
        <v>0</v>
      </c>
      <c r="U4593" s="57">
        <v>0</v>
      </c>
      <c r="V4593" s="57">
        <v>0</v>
      </c>
      <c r="W4593" s="57">
        <v>0</v>
      </c>
      <c r="X4593" s="57">
        <v>0</v>
      </c>
    </row>
    <row r="4594" spans="1:24" hidden="1" x14ac:dyDescent="0.35">
      <c r="A4594">
        <v>4590</v>
      </c>
      <c r="B4594">
        <v>4591</v>
      </c>
      <c r="C4594">
        <v>146.06228238400001</v>
      </c>
      <c r="D4594">
        <v>-17.640853731899899</v>
      </c>
      <c r="F4594" t="str">
        <f>HYPERLINK("D:\Data From Lucan\2024\Moresby\Frames_for_Analysis/4591_20240611_0006_L_0449.jpg","4591_20240611_0006_L_0449.jpg")</f>
        <v>4591_20240611_0006_L_0449.jpg</v>
      </c>
      <c r="G4594" s="92" t="s">
        <v>5438</v>
      </c>
      <c r="I4594">
        <v>4</v>
      </c>
      <c r="K4594" s="57">
        <v>1</v>
      </c>
      <c r="L4594" t="s">
        <v>3959</v>
      </c>
      <c r="M4594" t="s">
        <v>3959</v>
      </c>
      <c r="N4594" t="s">
        <v>3959</v>
      </c>
      <c r="O4594" t="s">
        <v>3959</v>
      </c>
      <c r="P4594" s="57">
        <v>1</v>
      </c>
      <c r="Q4594" s="57">
        <v>0</v>
      </c>
      <c r="R4594" s="57">
        <v>0</v>
      </c>
      <c r="S4594" s="57">
        <v>0</v>
      </c>
      <c r="T4594" s="57">
        <v>0</v>
      </c>
      <c r="U4594" s="57">
        <v>0</v>
      </c>
      <c r="V4594" s="57">
        <v>0</v>
      </c>
      <c r="W4594" s="57">
        <v>0</v>
      </c>
      <c r="X4594" s="57">
        <v>0</v>
      </c>
    </row>
    <row r="4595" spans="1:24" hidden="1" x14ac:dyDescent="0.35">
      <c r="A4595">
        <v>4591</v>
      </c>
      <c r="B4595">
        <v>4592</v>
      </c>
      <c r="C4595">
        <v>146.06221596699899</v>
      </c>
      <c r="D4595">
        <v>-17.6407960907</v>
      </c>
      <c r="F4595" t="str">
        <f>HYPERLINK("D:\Data From Lucan\2024\Moresby\Frames_for_Analysis/4592_20240611_0006_L_0452.jpg","4592_20240611_0006_L_0452.jpg")</f>
        <v>4592_20240611_0006_L_0452.jpg</v>
      </c>
      <c r="G4595" s="92" t="s">
        <v>5439</v>
      </c>
      <c r="I4595">
        <v>4</v>
      </c>
      <c r="K4595" s="57">
        <v>1</v>
      </c>
      <c r="L4595" t="s">
        <v>3959</v>
      </c>
      <c r="M4595" t="s">
        <v>3959</v>
      </c>
      <c r="N4595" t="s">
        <v>3959</v>
      </c>
      <c r="O4595" t="s">
        <v>3959</v>
      </c>
      <c r="P4595" s="57">
        <v>1</v>
      </c>
      <c r="Q4595" s="57">
        <v>0</v>
      </c>
      <c r="R4595" s="57">
        <v>0</v>
      </c>
      <c r="S4595" s="57">
        <v>0</v>
      </c>
      <c r="T4595" s="57">
        <v>0</v>
      </c>
      <c r="U4595" s="57">
        <v>0</v>
      </c>
      <c r="V4595" s="57">
        <v>0</v>
      </c>
      <c r="W4595" s="57">
        <v>0</v>
      </c>
      <c r="X4595" s="57">
        <v>0</v>
      </c>
    </row>
    <row r="4596" spans="1:24" hidden="1" x14ac:dyDescent="0.35">
      <c r="A4596">
        <v>4592</v>
      </c>
      <c r="B4596">
        <v>4593</v>
      </c>
      <c r="C4596">
        <v>146.06214952900001</v>
      </c>
      <c r="D4596">
        <v>-17.640738472100001</v>
      </c>
      <c r="F4596" t="str">
        <f>HYPERLINK("D:\Data From Lucan\2024\Moresby\Frames_for_Analysis/4593_20240611_0006_L_0455.jpg","4593_20240611_0006_L_0455.jpg")</f>
        <v>4593_20240611_0006_L_0455.jpg</v>
      </c>
      <c r="G4596" s="92" t="s">
        <v>5440</v>
      </c>
      <c r="I4596">
        <v>4</v>
      </c>
      <c r="K4596" s="57">
        <v>1</v>
      </c>
      <c r="L4596" t="s">
        <v>3959</v>
      </c>
      <c r="M4596" t="s">
        <v>3959</v>
      </c>
      <c r="N4596" t="s">
        <v>3959</v>
      </c>
      <c r="O4596" t="s">
        <v>3959</v>
      </c>
      <c r="P4596" s="57">
        <v>1</v>
      </c>
      <c r="Q4596" s="57">
        <v>0</v>
      </c>
      <c r="R4596" s="57">
        <v>0</v>
      </c>
      <c r="S4596" s="57">
        <v>0</v>
      </c>
      <c r="T4596" s="57">
        <v>0</v>
      </c>
      <c r="U4596" s="57">
        <v>0</v>
      </c>
      <c r="V4596" s="57">
        <v>0</v>
      </c>
      <c r="W4596" s="57">
        <v>0</v>
      </c>
      <c r="X4596" s="57">
        <v>0</v>
      </c>
    </row>
    <row r="4597" spans="1:24" hidden="1" x14ac:dyDescent="0.35">
      <c r="A4597">
        <v>4593</v>
      </c>
      <c r="B4597">
        <v>4594</v>
      </c>
      <c r="C4597">
        <v>146.06208308999899</v>
      </c>
      <c r="D4597">
        <v>-17.640680853500001</v>
      </c>
      <c r="F4597" t="str">
        <f>HYPERLINK("D:\Data From Lucan\2024\Moresby\Frames_for_Analysis/4594_20240611_0006_L_0458.jpg","4594_20240611_0006_L_0458.jpg")</f>
        <v>4594_20240611_0006_L_0458.jpg</v>
      </c>
      <c r="G4597" s="92" t="s">
        <v>5441</v>
      </c>
      <c r="I4597">
        <v>4</v>
      </c>
      <c r="K4597" s="57">
        <v>1</v>
      </c>
      <c r="L4597" t="s">
        <v>3959</v>
      </c>
      <c r="M4597" t="s">
        <v>3959</v>
      </c>
      <c r="N4597" t="s">
        <v>3959</v>
      </c>
      <c r="O4597" t="s">
        <v>3959</v>
      </c>
      <c r="P4597" s="57">
        <v>1</v>
      </c>
      <c r="Q4597" s="57">
        <v>0</v>
      </c>
      <c r="R4597" s="57">
        <v>0</v>
      </c>
      <c r="S4597" s="57">
        <v>0</v>
      </c>
      <c r="T4597" s="57">
        <v>0</v>
      </c>
      <c r="U4597" s="57">
        <v>0</v>
      </c>
      <c r="V4597" s="57">
        <v>0</v>
      </c>
      <c r="W4597" s="57">
        <v>0</v>
      </c>
      <c r="X4597" s="57">
        <v>0</v>
      </c>
    </row>
    <row r="4598" spans="1:24" hidden="1" x14ac:dyDescent="0.35">
      <c r="A4598">
        <v>4594</v>
      </c>
      <c r="B4598">
        <v>4595</v>
      </c>
      <c r="C4598">
        <v>146.06201665200001</v>
      </c>
      <c r="D4598">
        <v>-17.640623234900001</v>
      </c>
      <c r="F4598" t="str">
        <f>HYPERLINK("D:\Data From Lucan\2024\Moresby\Frames_for_Analysis/4595_20240611_0006_L_0461.jpg","4595_20240611_0006_L_0461.jpg")</f>
        <v>4595_20240611_0006_L_0461.jpg</v>
      </c>
      <c r="G4598" s="92" t="s">
        <v>5442</v>
      </c>
      <c r="I4598">
        <v>4</v>
      </c>
      <c r="K4598" s="57">
        <v>1</v>
      </c>
      <c r="L4598" t="s">
        <v>3959</v>
      </c>
      <c r="M4598" t="s">
        <v>3959</v>
      </c>
      <c r="N4598" t="s">
        <v>3959</v>
      </c>
      <c r="O4598" t="s">
        <v>3959</v>
      </c>
      <c r="P4598" s="57">
        <v>1</v>
      </c>
      <c r="Q4598" s="57">
        <v>0</v>
      </c>
      <c r="R4598" s="57">
        <v>0</v>
      </c>
      <c r="S4598" s="57">
        <v>0</v>
      </c>
      <c r="T4598" s="57">
        <v>0</v>
      </c>
      <c r="U4598" s="57">
        <v>0</v>
      </c>
      <c r="V4598" s="57">
        <v>0</v>
      </c>
      <c r="W4598" s="57">
        <v>0</v>
      </c>
      <c r="X4598" s="57">
        <v>0</v>
      </c>
    </row>
    <row r="4599" spans="1:24" hidden="1" x14ac:dyDescent="0.35">
      <c r="A4599">
        <v>4595</v>
      </c>
      <c r="B4599">
        <v>4596</v>
      </c>
      <c r="C4599">
        <v>146.06195021299899</v>
      </c>
      <c r="D4599">
        <v>-17.6405656162</v>
      </c>
      <c r="F4599" t="str">
        <f>HYPERLINK("D:\Data From Lucan\2024\Moresby\Frames_for_Analysis/4596_20240611_0006_L_0463.jpg","4596_20240611_0006_L_0463.jpg")</f>
        <v>4596_20240611_0006_L_0463.jpg</v>
      </c>
      <c r="G4599" s="92" t="s">
        <v>5443</v>
      </c>
      <c r="I4599">
        <v>4</v>
      </c>
      <c r="K4599" s="57">
        <v>1</v>
      </c>
      <c r="L4599" t="s">
        <v>3959</v>
      </c>
      <c r="M4599" t="s">
        <v>3959</v>
      </c>
      <c r="N4599" t="s">
        <v>3959</v>
      </c>
      <c r="O4599" t="s">
        <v>3959</v>
      </c>
      <c r="P4599" s="57">
        <v>1</v>
      </c>
      <c r="Q4599" s="57">
        <v>0</v>
      </c>
      <c r="R4599" s="57">
        <v>0</v>
      </c>
      <c r="S4599" s="57">
        <v>0</v>
      </c>
      <c r="T4599" s="57">
        <v>0</v>
      </c>
      <c r="U4599" s="57">
        <v>0</v>
      </c>
      <c r="V4599" s="57">
        <v>0</v>
      </c>
      <c r="W4599" s="57">
        <v>0</v>
      </c>
      <c r="X4599" s="57">
        <v>0</v>
      </c>
    </row>
    <row r="4600" spans="1:24" hidden="1" x14ac:dyDescent="0.35">
      <c r="A4600">
        <v>4596</v>
      </c>
      <c r="B4600">
        <v>4597</v>
      </c>
      <c r="C4600">
        <v>146.06188377500001</v>
      </c>
      <c r="D4600">
        <v>-17.6405079976</v>
      </c>
      <c r="F4600" t="str">
        <f>HYPERLINK("D:\Data From Lucan\2024\Moresby\Frames_for_Analysis/4597_20240611_0006_L_0466.jpg","4597_20240611_0006_L_0466.jpg")</f>
        <v>4597_20240611_0006_L_0466.jpg</v>
      </c>
      <c r="G4600" s="92" t="s">
        <v>5444</v>
      </c>
      <c r="I4600">
        <v>4</v>
      </c>
      <c r="K4600" s="57">
        <v>1</v>
      </c>
      <c r="L4600" t="s">
        <v>3959</v>
      </c>
      <c r="M4600" t="s">
        <v>3959</v>
      </c>
      <c r="N4600" t="s">
        <v>3959</v>
      </c>
      <c r="O4600" t="s">
        <v>3959</v>
      </c>
      <c r="P4600" s="57">
        <v>1</v>
      </c>
      <c r="Q4600" s="57">
        <v>0</v>
      </c>
      <c r="R4600" s="57">
        <v>0</v>
      </c>
      <c r="S4600" s="57">
        <v>0</v>
      </c>
      <c r="T4600" s="57">
        <v>0</v>
      </c>
      <c r="U4600" s="57">
        <v>0</v>
      </c>
      <c r="V4600" s="57">
        <v>0</v>
      </c>
      <c r="W4600" s="57">
        <v>0</v>
      </c>
      <c r="X4600" s="57">
        <v>0</v>
      </c>
    </row>
    <row r="4601" spans="1:24" hidden="1" x14ac:dyDescent="0.35">
      <c r="A4601">
        <v>4597</v>
      </c>
      <c r="B4601">
        <v>4598</v>
      </c>
      <c r="C4601">
        <v>146.061817335999</v>
      </c>
      <c r="D4601">
        <v>-17.640450378899899</v>
      </c>
      <c r="F4601" t="str">
        <f>HYPERLINK("D:\Data From Lucan\2024\Moresby\Frames_for_Analysis/4598_20240611_0006_L_0468.jpg","4598_20240611_0006_L_0468.jpg")</f>
        <v>4598_20240611_0006_L_0468.jpg</v>
      </c>
      <c r="G4601" s="92" t="s">
        <v>5445</v>
      </c>
      <c r="I4601">
        <v>4</v>
      </c>
      <c r="K4601" s="57">
        <v>1</v>
      </c>
      <c r="L4601" t="s">
        <v>3959</v>
      </c>
      <c r="M4601" t="s">
        <v>3959</v>
      </c>
      <c r="N4601" t="s">
        <v>3959</v>
      </c>
      <c r="O4601" t="s">
        <v>3959</v>
      </c>
      <c r="P4601" s="57">
        <v>1</v>
      </c>
      <c r="Q4601" s="57">
        <v>0</v>
      </c>
      <c r="R4601" s="57">
        <v>0</v>
      </c>
      <c r="S4601" s="57">
        <v>0</v>
      </c>
      <c r="T4601" s="57">
        <v>0</v>
      </c>
      <c r="U4601" s="57">
        <v>0</v>
      </c>
      <c r="V4601" s="57">
        <v>0</v>
      </c>
      <c r="W4601" s="57">
        <v>0</v>
      </c>
      <c r="X4601" s="57">
        <v>0</v>
      </c>
    </row>
    <row r="4602" spans="1:24" hidden="1" x14ac:dyDescent="0.35">
      <c r="A4602">
        <v>4598</v>
      </c>
      <c r="B4602">
        <v>4599</v>
      </c>
      <c r="C4602">
        <v>146.06175089800001</v>
      </c>
      <c r="D4602">
        <v>-17.640392760200001</v>
      </c>
      <c r="F4602" t="str">
        <f>HYPERLINK("D:\Data From Lucan\2024\Moresby\Frames_for_Analysis/4599_20240611_0006_L_0471.jpg","4599_20240611_0006_L_0471.jpg")</f>
        <v>4599_20240611_0006_L_0471.jpg</v>
      </c>
      <c r="G4602" s="92" t="s">
        <v>5446</v>
      </c>
      <c r="I4602">
        <v>4</v>
      </c>
      <c r="K4602" s="57">
        <v>1</v>
      </c>
      <c r="L4602" t="s">
        <v>3959</v>
      </c>
      <c r="M4602" t="s">
        <v>3959</v>
      </c>
      <c r="N4602" t="s">
        <v>3959</v>
      </c>
      <c r="O4602" t="s">
        <v>3959</v>
      </c>
      <c r="P4602" s="57">
        <v>1</v>
      </c>
      <c r="Q4602" s="57">
        <v>0</v>
      </c>
      <c r="R4602" s="57">
        <v>0</v>
      </c>
      <c r="S4602" s="57">
        <v>0</v>
      </c>
      <c r="T4602" s="57">
        <v>0</v>
      </c>
      <c r="U4602" s="57">
        <v>0</v>
      </c>
      <c r="V4602" s="57">
        <v>0</v>
      </c>
      <c r="W4602" s="57">
        <v>0</v>
      </c>
      <c r="X4602" s="57">
        <v>0</v>
      </c>
    </row>
    <row r="4603" spans="1:24" hidden="1" x14ac:dyDescent="0.35">
      <c r="A4603">
        <v>4599</v>
      </c>
      <c r="B4603">
        <v>4600</v>
      </c>
      <c r="C4603">
        <v>146.061684458999</v>
      </c>
      <c r="D4603">
        <v>-17.640335141400001</v>
      </c>
      <c r="F4603" t="str">
        <f>HYPERLINK("D:\Data From Lucan\2024\Moresby\Frames_for_Analysis/4600_20240611_0006_L_0474.jpg","4600_20240611_0006_L_0474.jpg")</f>
        <v>4600_20240611_0006_L_0474.jpg</v>
      </c>
      <c r="G4603" s="92" t="s">
        <v>5447</v>
      </c>
      <c r="I4603">
        <v>4</v>
      </c>
      <c r="K4603" s="57">
        <v>1</v>
      </c>
      <c r="L4603" t="s">
        <v>3959</v>
      </c>
      <c r="M4603" t="s">
        <v>3959</v>
      </c>
      <c r="N4603" t="s">
        <v>3959</v>
      </c>
      <c r="O4603" t="s">
        <v>3959</v>
      </c>
      <c r="P4603" s="57">
        <v>1</v>
      </c>
      <c r="Q4603" s="57">
        <v>0</v>
      </c>
      <c r="R4603" s="57">
        <v>0</v>
      </c>
      <c r="S4603" s="57">
        <v>0</v>
      </c>
      <c r="T4603" s="57">
        <v>0</v>
      </c>
      <c r="U4603" s="57">
        <v>0</v>
      </c>
      <c r="V4603" s="57">
        <v>0</v>
      </c>
      <c r="W4603" s="57">
        <v>0</v>
      </c>
      <c r="X4603" s="57">
        <v>0</v>
      </c>
    </row>
    <row r="4604" spans="1:24" hidden="1" x14ac:dyDescent="0.35">
      <c r="A4604">
        <v>4600</v>
      </c>
      <c r="B4604">
        <v>4601</v>
      </c>
      <c r="C4604">
        <v>146.06161802099899</v>
      </c>
      <c r="D4604">
        <v>-17.6402775227</v>
      </c>
      <c r="F4604" t="str">
        <f>HYPERLINK("D:\Data From Lucan\2024\Moresby\Frames_for_Analysis/4601_20240611_0006_L_0477.jpg","4601_20240611_0006_L_0477.jpg")</f>
        <v>4601_20240611_0006_L_0477.jpg</v>
      </c>
      <c r="G4604" s="92" t="s">
        <v>5448</v>
      </c>
      <c r="I4604">
        <v>4</v>
      </c>
      <c r="K4604" s="57">
        <v>1</v>
      </c>
      <c r="L4604" t="s">
        <v>3959</v>
      </c>
      <c r="M4604" t="s">
        <v>3959</v>
      </c>
      <c r="N4604" t="s">
        <v>3959</v>
      </c>
      <c r="O4604" t="s">
        <v>3959</v>
      </c>
      <c r="P4604" s="57">
        <v>1</v>
      </c>
      <c r="Q4604" s="57">
        <v>0</v>
      </c>
      <c r="R4604" s="57">
        <v>0</v>
      </c>
      <c r="S4604" s="57">
        <v>0</v>
      </c>
      <c r="T4604" s="57">
        <v>0</v>
      </c>
      <c r="U4604" s="57">
        <v>0</v>
      </c>
      <c r="V4604" s="57">
        <v>0</v>
      </c>
      <c r="W4604" s="57">
        <v>0</v>
      </c>
      <c r="X4604" s="57">
        <v>0</v>
      </c>
    </row>
    <row r="4605" spans="1:24" hidden="1" x14ac:dyDescent="0.35">
      <c r="A4605">
        <v>4601</v>
      </c>
      <c r="B4605">
        <v>4602</v>
      </c>
      <c r="C4605">
        <v>146.061551581999</v>
      </c>
      <c r="D4605">
        <v>-17.640219903999899</v>
      </c>
      <c r="F4605" t="str">
        <f>HYPERLINK("D:\Data From Lucan\2024\Moresby\Frames_for_Analysis/4602_20240611_0006_L_0480.jpg","4602_20240611_0006_L_0480.jpg")</f>
        <v>4602_20240611_0006_L_0480.jpg</v>
      </c>
      <c r="G4605" s="92" t="s">
        <v>5449</v>
      </c>
      <c r="I4605">
        <v>4</v>
      </c>
      <c r="K4605" s="57">
        <v>1</v>
      </c>
      <c r="L4605" t="s">
        <v>3959</v>
      </c>
      <c r="M4605" t="s">
        <v>3959</v>
      </c>
      <c r="N4605" t="s">
        <v>3959</v>
      </c>
      <c r="O4605" t="s">
        <v>3959</v>
      </c>
      <c r="P4605" s="57">
        <v>1</v>
      </c>
      <c r="Q4605" s="57">
        <v>0</v>
      </c>
      <c r="R4605" s="57">
        <v>0</v>
      </c>
      <c r="S4605" s="57">
        <v>0</v>
      </c>
      <c r="T4605" s="57">
        <v>0</v>
      </c>
      <c r="U4605" s="57">
        <v>0</v>
      </c>
      <c r="V4605" s="57">
        <v>0</v>
      </c>
      <c r="W4605" s="57">
        <v>0</v>
      </c>
      <c r="X4605" s="57">
        <v>0</v>
      </c>
    </row>
    <row r="4606" spans="1:24" hidden="1" x14ac:dyDescent="0.35">
      <c r="A4606">
        <v>4602</v>
      </c>
      <c r="B4606">
        <v>4603</v>
      </c>
      <c r="C4606">
        <v>146.06148982400001</v>
      </c>
      <c r="D4606">
        <v>-17.6401579196</v>
      </c>
      <c r="F4606" t="str">
        <f>HYPERLINK("D:\Data From Lucan\2024\Moresby\Frames_for_Analysis/4603_20240611_0006_L_0483.jpg","4603_20240611_0006_L_0483.jpg")</f>
        <v>4603_20240611_0006_L_0483.jpg</v>
      </c>
      <c r="G4606" s="92" t="s">
        <v>5450</v>
      </c>
      <c r="I4606">
        <v>4</v>
      </c>
      <c r="K4606" s="57">
        <v>1</v>
      </c>
      <c r="L4606" t="s">
        <v>3959</v>
      </c>
      <c r="M4606" t="s">
        <v>3959</v>
      </c>
      <c r="N4606" t="s">
        <v>3959</v>
      </c>
      <c r="O4606" t="s">
        <v>3959</v>
      </c>
      <c r="P4606" s="57">
        <v>1</v>
      </c>
      <c r="Q4606" s="57">
        <v>0</v>
      </c>
      <c r="R4606" s="57">
        <v>0</v>
      </c>
      <c r="S4606" s="57">
        <v>0</v>
      </c>
      <c r="T4606" s="57">
        <v>0</v>
      </c>
      <c r="U4606" s="57">
        <v>0</v>
      </c>
      <c r="V4606" s="57">
        <v>0</v>
      </c>
      <c r="W4606" s="57">
        <v>0</v>
      </c>
      <c r="X4606" s="57">
        <v>0</v>
      </c>
    </row>
    <row r="4607" spans="1:24" hidden="1" x14ac:dyDescent="0.35">
      <c r="A4607">
        <v>4603</v>
      </c>
      <c r="B4607">
        <v>4604</v>
      </c>
      <c r="C4607">
        <v>146.06143080199899</v>
      </c>
      <c r="D4607">
        <v>-17.640093383499899</v>
      </c>
      <c r="F4607" t="str">
        <f>HYPERLINK("D:\Data From Lucan\2024\Moresby\Frames_for_Analysis/4604_20240611_0006_L_0487.jpg","4604_20240611_0006_L_0487.jpg")</f>
        <v>4604_20240611_0006_L_0487.jpg</v>
      </c>
      <c r="G4607" s="92" t="s">
        <v>5451</v>
      </c>
      <c r="I4607">
        <v>4</v>
      </c>
      <c r="K4607" s="57">
        <v>1</v>
      </c>
      <c r="L4607" t="s">
        <v>3959</v>
      </c>
      <c r="M4607" t="s">
        <v>3959</v>
      </c>
      <c r="N4607" t="s">
        <v>3959</v>
      </c>
      <c r="O4607" t="s">
        <v>3959</v>
      </c>
      <c r="P4607" s="57">
        <v>1</v>
      </c>
      <c r="Q4607" s="57">
        <v>0</v>
      </c>
      <c r="R4607" s="57">
        <v>0</v>
      </c>
      <c r="S4607" s="57">
        <v>0</v>
      </c>
      <c r="T4607" s="57">
        <v>0</v>
      </c>
      <c r="U4607" s="57">
        <v>0</v>
      </c>
      <c r="V4607" s="57">
        <v>0</v>
      </c>
      <c r="W4607" s="57">
        <v>0</v>
      </c>
      <c r="X4607" s="57">
        <v>0</v>
      </c>
    </row>
    <row r="4608" spans="1:24" hidden="1" x14ac:dyDescent="0.35">
      <c r="A4608">
        <v>4604</v>
      </c>
      <c r="B4608">
        <v>4605</v>
      </c>
      <c r="C4608">
        <v>146.061371946999</v>
      </c>
      <c r="D4608">
        <v>-17.640028727299899</v>
      </c>
      <c r="F4608" t="str">
        <f>HYPERLINK("D:\Data From Lucan\2024\Moresby\Frames_for_Analysis/4605_20240611_0006_L_0490.jpg","4605_20240611_0006_L_0490.jpg")</f>
        <v>4605_20240611_0006_L_0490.jpg</v>
      </c>
      <c r="G4608" s="92" t="s">
        <v>5452</v>
      </c>
      <c r="I4608">
        <v>4</v>
      </c>
      <c r="K4608" s="57">
        <v>1</v>
      </c>
      <c r="L4608" t="s">
        <v>3959</v>
      </c>
      <c r="M4608" t="s">
        <v>3959</v>
      </c>
      <c r="N4608" t="s">
        <v>3959</v>
      </c>
      <c r="O4608" t="s">
        <v>3959</v>
      </c>
      <c r="P4608" s="57">
        <v>1</v>
      </c>
      <c r="Q4608" s="57">
        <v>0</v>
      </c>
      <c r="R4608" s="57">
        <v>0</v>
      </c>
      <c r="S4608" s="57">
        <v>0</v>
      </c>
      <c r="T4608" s="57">
        <v>0</v>
      </c>
      <c r="U4608" s="57">
        <v>0</v>
      </c>
      <c r="V4608" s="57">
        <v>0</v>
      </c>
      <c r="W4608" s="57">
        <v>0</v>
      </c>
      <c r="X4608" s="57">
        <v>0</v>
      </c>
    </row>
    <row r="4609" spans="1:24" hidden="1" x14ac:dyDescent="0.35">
      <c r="A4609">
        <v>4605</v>
      </c>
      <c r="B4609">
        <v>4606</v>
      </c>
      <c r="C4609">
        <v>146.061312313</v>
      </c>
      <c r="D4609">
        <v>-17.639964705800001</v>
      </c>
      <c r="F4609" t="str">
        <f>HYPERLINK("D:\Data From Lucan\2024\Moresby\Frames_for_Analysis/4606_20240611_0006_L_0494.jpg","4606_20240611_0006_L_0494.jpg")</f>
        <v>4606_20240611_0006_L_0494.jpg</v>
      </c>
      <c r="G4609" s="92" t="s">
        <v>5453</v>
      </c>
      <c r="I4609">
        <v>4</v>
      </c>
      <c r="K4609" s="57">
        <v>1</v>
      </c>
      <c r="L4609" t="s">
        <v>3959</v>
      </c>
      <c r="M4609" t="s">
        <v>3959</v>
      </c>
      <c r="N4609" t="s">
        <v>3959</v>
      </c>
      <c r="O4609" t="s">
        <v>3959</v>
      </c>
      <c r="P4609" s="57">
        <v>1</v>
      </c>
      <c r="Q4609" s="57">
        <v>0</v>
      </c>
      <c r="R4609" s="57">
        <v>0</v>
      </c>
      <c r="S4609" s="57">
        <v>0</v>
      </c>
      <c r="T4609" s="57">
        <v>0</v>
      </c>
      <c r="U4609" s="57">
        <v>0</v>
      </c>
      <c r="V4609" s="57">
        <v>0</v>
      </c>
      <c r="W4609" s="57">
        <v>0</v>
      </c>
      <c r="X4609" s="57">
        <v>0</v>
      </c>
    </row>
    <row r="4610" spans="1:24" hidden="1" x14ac:dyDescent="0.35">
      <c r="A4610">
        <v>4606</v>
      </c>
      <c r="B4610">
        <v>4607</v>
      </c>
      <c r="C4610">
        <v>146.06125338000001</v>
      </c>
      <c r="D4610">
        <v>-17.639900095000002</v>
      </c>
      <c r="F4610" t="str">
        <f>HYPERLINK("D:\Data From Lucan\2024\Moresby\Frames_for_Analysis/4607_20240611_0006_L_0497.jpg","4607_20240611_0006_L_0497.jpg")</f>
        <v>4607_20240611_0006_L_0497.jpg</v>
      </c>
      <c r="G4610" s="92" t="s">
        <v>5454</v>
      </c>
      <c r="I4610">
        <v>4</v>
      </c>
      <c r="K4610" s="57">
        <v>1</v>
      </c>
      <c r="L4610" t="s">
        <v>3959</v>
      </c>
      <c r="M4610" t="s">
        <v>3959</v>
      </c>
      <c r="N4610" t="s">
        <v>3959</v>
      </c>
      <c r="O4610" t="s">
        <v>3959</v>
      </c>
      <c r="P4610" s="57">
        <v>1</v>
      </c>
      <c r="Q4610" s="57">
        <v>0</v>
      </c>
      <c r="R4610" s="57">
        <v>0</v>
      </c>
      <c r="S4610" s="57">
        <v>0</v>
      </c>
      <c r="T4610" s="57">
        <v>0</v>
      </c>
      <c r="U4610" s="57">
        <v>0</v>
      </c>
      <c r="V4610" s="57">
        <v>0</v>
      </c>
      <c r="W4610" s="57">
        <v>0</v>
      </c>
      <c r="X4610" s="57">
        <v>0</v>
      </c>
    </row>
    <row r="4611" spans="1:24" hidden="1" x14ac:dyDescent="0.35">
      <c r="A4611">
        <v>4607</v>
      </c>
      <c r="B4611">
        <v>4608</v>
      </c>
      <c r="C4611">
        <v>146.06119444800001</v>
      </c>
      <c r="D4611">
        <v>-17.639835484199899</v>
      </c>
      <c r="F4611" t="str">
        <f>HYPERLINK("D:\Data From Lucan\2024\Moresby\Frames_for_Analysis/4608_20240611_0006_L_0499.jpg","4608_20240611_0006_L_0499.jpg")</f>
        <v>4608_20240611_0006_L_0499.jpg</v>
      </c>
      <c r="G4611" s="92" t="s">
        <v>5455</v>
      </c>
      <c r="I4611">
        <v>4</v>
      </c>
      <c r="K4611" s="57">
        <v>1</v>
      </c>
      <c r="L4611" t="s">
        <v>3959</v>
      </c>
      <c r="M4611" t="s">
        <v>3959</v>
      </c>
      <c r="N4611" t="s">
        <v>3959</v>
      </c>
      <c r="O4611" t="s">
        <v>3959</v>
      </c>
      <c r="P4611" s="57">
        <v>1</v>
      </c>
      <c r="Q4611" s="57">
        <v>0</v>
      </c>
      <c r="R4611" s="57">
        <v>0</v>
      </c>
      <c r="S4611" s="57">
        <v>0</v>
      </c>
      <c r="T4611" s="57">
        <v>0</v>
      </c>
      <c r="U4611" s="57">
        <v>0</v>
      </c>
      <c r="V4611" s="57">
        <v>0</v>
      </c>
      <c r="W4611" s="57">
        <v>0</v>
      </c>
      <c r="X4611" s="57">
        <v>0</v>
      </c>
    </row>
    <row r="4612" spans="1:24" hidden="1" x14ac:dyDescent="0.35">
      <c r="A4612">
        <v>4608</v>
      </c>
      <c r="B4612">
        <v>4609</v>
      </c>
      <c r="C4612">
        <v>146.06113551499899</v>
      </c>
      <c r="D4612">
        <v>-17.6397708734</v>
      </c>
      <c r="F4612" t="str">
        <f>HYPERLINK("D:\Data From Lucan\2024\Moresby\Frames_for_Analysis/4609_20240611_0006_L_0502.jpg","4609_20240611_0006_L_0502.jpg")</f>
        <v>4609_20240611_0006_L_0502.jpg</v>
      </c>
      <c r="G4612" s="92" t="s">
        <v>5456</v>
      </c>
      <c r="I4612">
        <v>4</v>
      </c>
      <c r="K4612" s="57">
        <v>1</v>
      </c>
      <c r="L4612" t="s">
        <v>3959</v>
      </c>
      <c r="M4612" t="s">
        <v>3959</v>
      </c>
      <c r="N4612" t="s">
        <v>3959</v>
      </c>
      <c r="O4612" t="s">
        <v>3959</v>
      </c>
      <c r="P4612" s="57">
        <v>1</v>
      </c>
      <c r="Q4612" s="57">
        <v>0</v>
      </c>
      <c r="R4612" s="57">
        <v>0</v>
      </c>
      <c r="S4612" s="57">
        <v>0</v>
      </c>
      <c r="T4612" s="57">
        <v>0</v>
      </c>
      <c r="U4612" s="57">
        <v>0</v>
      </c>
      <c r="V4612" s="57">
        <v>0</v>
      </c>
      <c r="W4612" s="57">
        <v>0</v>
      </c>
      <c r="X4612" s="57">
        <v>0</v>
      </c>
    </row>
    <row r="4613" spans="1:24" hidden="1" x14ac:dyDescent="0.35">
      <c r="A4613">
        <v>4609</v>
      </c>
      <c r="B4613">
        <v>4610</v>
      </c>
      <c r="C4613">
        <v>146.06107658299899</v>
      </c>
      <c r="D4613">
        <v>-17.639706262600001</v>
      </c>
      <c r="F4613" t="str">
        <f>HYPERLINK("D:\Data From Lucan\2024\Moresby\Frames_for_Analysis/4610_20240611_0006_L_0505.jpg","4610_20240611_0006_L_0505.jpg")</f>
        <v>4610_20240611_0006_L_0505.jpg</v>
      </c>
      <c r="G4613" s="92" t="s">
        <v>5457</v>
      </c>
      <c r="I4613">
        <v>4</v>
      </c>
      <c r="K4613" s="57">
        <v>1</v>
      </c>
      <c r="L4613" t="s">
        <v>3959</v>
      </c>
      <c r="M4613" t="s">
        <v>3959</v>
      </c>
      <c r="N4613" t="s">
        <v>3959</v>
      </c>
      <c r="O4613" t="s">
        <v>3959</v>
      </c>
      <c r="P4613" s="57">
        <v>1</v>
      </c>
      <c r="Q4613" s="57">
        <v>0</v>
      </c>
      <c r="R4613" s="57">
        <v>0</v>
      </c>
      <c r="S4613" s="57">
        <v>0</v>
      </c>
      <c r="T4613" s="57">
        <v>0</v>
      </c>
      <c r="U4613" s="57">
        <v>0</v>
      </c>
      <c r="V4613" s="57">
        <v>0</v>
      </c>
      <c r="W4613" s="57">
        <v>0</v>
      </c>
      <c r="X4613" s="57">
        <v>0</v>
      </c>
    </row>
    <row r="4614" spans="1:24" hidden="1" x14ac:dyDescent="0.35">
      <c r="A4614">
        <v>4610</v>
      </c>
      <c r="B4614">
        <v>4611</v>
      </c>
      <c r="C4614">
        <v>146.061017649999</v>
      </c>
      <c r="D4614">
        <v>-17.6396416517</v>
      </c>
      <c r="F4614" t="str">
        <f>HYPERLINK("D:\Data From Lucan\2024\Moresby\Frames_for_Analysis/4611_20240611_0006_L_0508.jpg","4611_20240611_0006_L_0508.jpg")</f>
        <v>4611_20240611_0006_L_0508.jpg</v>
      </c>
      <c r="G4614" s="92" t="s">
        <v>5458</v>
      </c>
      <c r="I4614">
        <v>4</v>
      </c>
      <c r="K4614" s="57">
        <v>1</v>
      </c>
      <c r="L4614" t="s">
        <v>3959</v>
      </c>
      <c r="M4614" t="s">
        <v>3959</v>
      </c>
      <c r="N4614" t="s">
        <v>3959</v>
      </c>
      <c r="O4614" t="s">
        <v>3959</v>
      </c>
      <c r="P4614" s="57">
        <v>1</v>
      </c>
      <c r="Q4614" s="57">
        <v>0</v>
      </c>
      <c r="R4614" s="57">
        <v>0</v>
      </c>
      <c r="S4614" s="57">
        <v>0</v>
      </c>
      <c r="T4614" s="57">
        <v>0</v>
      </c>
      <c r="U4614" s="57">
        <v>0</v>
      </c>
      <c r="V4614" s="57">
        <v>0</v>
      </c>
      <c r="W4614" s="57">
        <v>0</v>
      </c>
      <c r="X4614" s="57">
        <v>0</v>
      </c>
    </row>
    <row r="4615" spans="1:24" hidden="1" x14ac:dyDescent="0.35">
      <c r="A4615">
        <v>4611</v>
      </c>
      <c r="B4615">
        <v>4612</v>
      </c>
      <c r="C4615">
        <v>146.060968739999</v>
      </c>
      <c r="D4615">
        <v>-17.639569952900001</v>
      </c>
      <c r="F4615" t="str">
        <f>HYPERLINK("D:\Data From Lucan\2024\Moresby\Frames_for_Analysis/4612_20240611_0006_L_0511.jpg","4612_20240611_0006_L_0511.jpg")</f>
        <v>4612_20240611_0006_L_0511.jpg</v>
      </c>
      <c r="G4615" s="92" t="s">
        <v>5459</v>
      </c>
      <c r="I4615">
        <v>4</v>
      </c>
      <c r="K4615" s="57">
        <v>1</v>
      </c>
      <c r="L4615" t="s">
        <v>3959</v>
      </c>
      <c r="M4615" t="s">
        <v>3959</v>
      </c>
      <c r="N4615" t="s">
        <v>3959</v>
      </c>
      <c r="O4615" t="s">
        <v>3959</v>
      </c>
      <c r="P4615" s="57">
        <v>1</v>
      </c>
      <c r="Q4615" s="57">
        <v>0</v>
      </c>
      <c r="R4615" s="57">
        <v>0</v>
      </c>
      <c r="S4615" s="57">
        <v>0</v>
      </c>
      <c r="T4615" s="57">
        <v>0</v>
      </c>
      <c r="U4615" s="57">
        <v>0</v>
      </c>
      <c r="V4615" s="57">
        <v>0</v>
      </c>
      <c r="W4615" s="57">
        <v>0</v>
      </c>
      <c r="X4615" s="57">
        <v>0</v>
      </c>
    </row>
    <row r="4616" spans="1:24" hidden="1" x14ac:dyDescent="0.35">
      <c r="A4616">
        <v>4612</v>
      </c>
      <c r="B4616">
        <v>4613</v>
      </c>
      <c r="C4616">
        <v>146.06092092700001</v>
      </c>
      <c r="D4616">
        <v>-17.639497478700001</v>
      </c>
      <c r="F4616" t="str">
        <f>HYPERLINK("D:\Data From Lucan\2024\Moresby\Frames_for_Analysis/4613_20240611_0006_L_0514.jpg","4613_20240611_0006_L_0514.jpg")</f>
        <v>4613_20240611_0006_L_0514.jpg</v>
      </c>
      <c r="G4616" s="92" t="s">
        <v>5460</v>
      </c>
      <c r="I4616">
        <v>4</v>
      </c>
      <c r="K4616" s="57">
        <v>1</v>
      </c>
      <c r="L4616" t="s">
        <v>3959</v>
      </c>
      <c r="M4616" t="s">
        <v>3959</v>
      </c>
      <c r="N4616" t="s">
        <v>3959</v>
      </c>
      <c r="O4616" t="s">
        <v>3959</v>
      </c>
      <c r="P4616" s="57">
        <v>1</v>
      </c>
      <c r="Q4616" s="57">
        <v>0</v>
      </c>
      <c r="R4616" s="57">
        <v>0</v>
      </c>
      <c r="S4616" s="57">
        <v>0</v>
      </c>
      <c r="T4616" s="57">
        <v>0</v>
      </c>
      <c r="U4616" s="57">
        <v>0</v>
      </c>
      <c r="V4616" s="57">
        <v>0</v>
      </c>
      <c r="W4616" s="57">
        <v>0</v>
      </c>
      <c r="X4616" s="57">
        <v>0</v>
      </c>
    </row>
    <row r="4617" spans="1:24" hidden="1" x14ac:dyDescent="0.35">
      <c r="A4617">
        <v>4613</v>
      </c>
      <c r="B4617">
        <v>4614</v>
      </c>
      <c r="C4617">
        <v>146.060873114</v>
      </c>
      <c r="D4617">
        <v>-17.639425004500001</v>
      </c>
      <c r="F4617" t="str">
        <f>HYPERLINK("D:\Data From Lucan\2024\Moresby\Frames_for_Analysis/4614_20240611_0006_L_0516.jpg","4614_20240611_0006_L_0516.jpg")</f>
        <v>4614_20240611_0006_L_0516.jpg</v>
      </c>
      <c r="G4617" s="92" t="s">
        <v>5461</v>
      </c>
      <c r="I4617">
        <v>4</v>
      </c>
      <c r="K4617" s="57">
        <v>1</v>
      </c>
      <c r="L4617" t="s">
        <v>3959</v>
      </c>
      <c r="M4617" t="s">
        <v>3959</v>
      </c>
      <c r="N4617" t="s">
        <v>3959</v>
      </c>
      <c r="O4617" t="s">
        <v>3959</v>
      </c>
      <c r="P4617" s="57">
        <v>1</v>
      </c>
      <c r="Q4617" s="57">
        <v>0</v>
      </c>
      <c r="R4617" s="57">
        <v>0</v>
      </c>
      <c r="S4617" s="57">
        <v>0</v>
      </c>
      <c r="T4617" s="57">
        <v>0</v>
      </c>
      <c r="U4617" s="57">
        <v>0</v>
      </c>
      <c r="V4617" s="57">
        <v>0</v>
      </c>
      <c r="W4617" s="57">
        <v>0</v>
      </c>
      <c r="X4617" s="57">
        <v>0</v>
      </c>
    </row>
    <row r="4618" spans="1:24" hidden="1" x14ac:dyDescent="0.35">
      <c r="A4618">
        <v>4614</v>
      </c>
      <c r="B4618">
        <v>4615</v>
      </c>
      <c r="C4618">
        <v>146.0608253</v>
      </c>
      <c r="D4618">
        <v>-17.639352530299899</v>
      </c>
      <c r="F4618" t="str">
        <f>HYPERLINK("D:\Data From Lucan\2024\Moresby\Frames_for_Analysis/4615_20240611_0006_L_0520.jpg","4615_20240611_0006_L_0520.jpg")</f>
        <v>4615_20240611_0006_L_0520.jpg</v>
      </c>
      <c r="G4618" s="92" t="s">
        <v>5462</v>
      </c>
      <c r="I4618">
        <v>4</v>
      </c>
      <c r="K4618" s="57">
        <v>1</v>
      </c>
      <c r="L4618" t="s">
        <v>3959</v>
      </c>
      <c r="M4618" t="s">
        <v>3959</v>
      </c>
      <c r="N4618" t="s">
        <v>3959</v>
      </c>
      <c r="O4618" t="s">
        <v>3959</v>
      </c>
      <c r="P4618" s="57">
        <v>1</v>
      </c>
      <c r="Q4618" s="57">
        <v>0</v>
      </c>
      <c r="R4618" s="57">
        <v>0</v>
      </c>
      <c r="S4618" s="57">
        <v>0</v>
      </c>
      <c r="T4618" s="57">
        <v>0</v>
      </c>
      <c r="U4618" s="57">
        <v>0</v>
      </c>
      <c r="V4618" s="57">
        <v>0</v>
      </c>
      <c r="W4618" s="57">
        <v>0</v>
      </c>
      <c r="X4618" s="57">
        <v>0</v>
      </c>
    </row>
    <row r="4619" spans="1:24" hidden="1" x14ac:dyDescent="0.35">
      <c r="A4619">
        <v>4615</v>
      </c>
      <c r="B4619">
        <v>4616</v>
      </c>
      <c r="C4619">
        <v>146.060777486999</v>
      </c>
      <c r="D4619">
        <v>-17.639280056</v>
      </c>
      <c r="F4619" t="str">
        <f>HYPERLINK("D:\Data From Lucan\2024\Moresby\Frames_for_Analysis/4616_20240611_0006_L_0522.jpg","4616_20240611_0006_L_0522.jpg")</f>
        <v>4616_20240611_0006_L_0522.jpg</v>
      </c>
      <c r="G4619" s="92" t="s">
        <v>5463</v>
      </c>
      <c r="I4619">
        <v>4</v>
      </c>
      <c r="K4619" s="57">
        <v>1</v>
      </c>
      <c r="L4619" t="s">
        <v>3959</v>
      </c>
      <c r="M4619" t="s">
        <v>3959</v>
      </c>
      <c r="N4619" t="s">
        <v>3959</v>
      </c>
      <c r="O4619" t="s">
        <v>3959</v>
      </c>
      <c r="P4619" s="57">
        <v>1</v>
      </c>
      <c r="Q4619" s="57">
        <v>0</v>
      </c>
      <c r="R4619" s="57">
        <v>0</v>
      </c>
      <c r="S4619" s="57">
        <v>0</v>
      </c>
      <c r="T4619" s="57">
        <v>0</v>
      </c>
      <c r="U4619" s="57">
        <v>0</v>
      </c>
      <c r="V4619" s="57">
        <v>0</v>
      </c>
      <c r="W4619" s="57">
        <v>0</v>
      </c>
      <c r="X4619" s="57">
        <v>0</v>
      </c>
    </row>
    <row r="4620" spans="1:24" hidden="1" x14ac:dyDescent="0.35">
      <c r="A4620">
        <v>4616</v>
      </c>
      <c r="B4620">
        <v>4617</v>
      </c>
      <c r="C4620">
        <v>146.06072967399899</v>
      </c>
      <c r="D4620">
        <v>-17.639207581800001</v>
      </c>
      <c r="F4620" t="str">
        <f>HYPERLINK("D:\Data From Lucan\2024\Moresby\Frames_for_Analysis/4617_20240611_0006_L_0525.jpg","4617_20240611_0006_L_0525.jpg")</f>
        <v>4617_20240611_0006_L_0525.jpg</v>
      </c>
      <c r="G4620" s="92" t="s">
        <v>5464</v>
      </c>
      <c r="I4620">
        <v>4</v>
      </c>
      <c r="K4620" s="57">
        <v>1</v>
      </c>
      <c r="L4620" t="s">
        <v>3959</v>
      </c>
      <c r="M4620" t="s">
        <v>3959</v>
      </c>
      <c r="N4620" t="s">
        <v>3959</v>
      </c>
      <c r="O4620" t="s">
        <v>3959</v>
      </c>
      <c r="P4620" s="57">
        <v>1</v>
      </c>
      <c r="Q4620" s="57">
        <v>0</v>
      </c>
      <c r="R4620" s="57">
        <v>0</v>
      </c>
      <c r="S4620" s="57">
        <v>0</v>
      </c>
      <c r="T4620" s="57">
        <v>0</v>
      </c>
      <c r="U4620" s="57">
        <v>0</v>
      </c>
      <c r="V4620" s="57">
        <v>0</v>
      </c>
      <c r="W4620" s="57">
        <v>0</v>
      </c>
      <c r="X4620" s="57">
        <v>0</v>
      </c>
    </row>
    <row r="4621" spans="1:24" hidden="1" x14ac:dyDescent="0.35">
      <c r="A4621">
        <v>4617</v>
      </c>
      <c r="B4621">
        <v>4618</v>
      </c>
      <c r="C4621">
        <v>146.060684946999</v>
      </c>
      <c r="D4621">
        <v>-17.639133404900001</v>
      </c>
      <c r="F4621" t="str">
        <f>HYPERLINK("D:\Data From Lucan\2024\Moresby\Frames_for_Analysis/4618_20240611_0006_L_0530.jpg","4618_20240611_0006_L_0530.jpg")</f>
        <v>4618_20240611_0006_L_0530.jpg</v>
      </c>
      <c r="G4621" s="92" t="s">
        <v>5465</v>
      </c>
      <c r="I4621">
        <v>4</v>
      </c>
      <c r="K4621" s="57">
        <v>1</v>
      </c>
      <c r="L4621" t="s">
        <v>3959</v>
      </c>
      <c r="M4621" t="s">
        <v>3959</v>
      </c>
      <c r="N4621" t="s">
        <v>3959</v>
      </c>
      <c r="O4621" t="s">
        <v>3959</v>
      </c>
      <c r="P4621" s="57">
        <v>1</v>
      </c>
      <c r="Q4621" s="57">
        <v>0</v>
      </c>
      <c r="R4621" s="57">
        <v>0</v>
      </c>
      <c r="S4621" s="57">
        <v>0</v>
      </c>
      <c r="T4621" s="57">
        <v>0</v>
      </c>
      <c r="U4621" s="57">
        <v>0</v>
      </c>
      <c r="V4621" s="57">
        <v>0</v>
      </c>
      <c r="W4621" s="57">
        <v>0</v>
      </c>
      <c r="X4621" s="57">
        <v>0</v>
      </c>
    </row>
    <row r="4622" spans="1:24" hidden="1" x14ac:dyDescent="0.35">
      <c r="A4622">
        <v>4618</v>
      </c>
      <c r="B4622">
        <v>4619</v>
      </c>
      <c r="C4622">
        <v>146.06064282400001</v>
      </c>
      <c r="D4622">
        <v>-17.639057791900001</v>
      </c>
      <c r="F4622" t="str">
        <f>HYPERLINK("D:\Data From Lucan\2024\Moresby\Frames_for_Analysis/4619_20240611_0006_L_0536.jpg","4619_20240611_0006_L_0536.jpg")</f>
        <v>4619_20240611_0006_L_0536.jpg</v>
      </c>
      <c r="G4622" s="92" t="s">
        <v>5466</v>
      </c>
      <c r="I4622">
        <v>4</v>
      </c>
      <c r="K4622" s="57">
        <v>1</v>
      </c>
      <c r="L4622" t="s">
        <v>3959</v>
      </c>
      <c r="M4622" t="s">
        <v>3959</v>
      </c>
      <c r="N4622" t="s">
        <v>3959</v>
      </c>
      <c r="O4622" t="s">
        <v>3959</v>
      </c>
      <c r="P4622" s="57">
        <v>1</v>
      </c>
      <c r="Q4622" s="57">
        <v>0</v>
      </c>
      <c r="R4622" s="57">
        <v>0</v>
      </c>
      <c r="S4622" s="57">
        <v>0</v>
      </c>
      <c r="T4622" s="57">
        <v>0</v>
      </c>
      <c r="U4622" s="57">
        <v>0</v>
      </c>
      <c r="V4622" s="57">
        <v>0</v>
      </c>
      <c r="W4622" s="57">
        <v>0</v>
      </c>
      <c r="X4622" s="57">
        <v>0</v>
      </c>
    </row>
    <row r="4623" spans="1:24" hidden="1" x14ac:dyDescent="0.35">
      <c r="A4623">
        <v>4619</v>
      </c>
      <c r="B4623">
        <v>4620</v>
      </c>
      <c r="C4623">
        <v>146.06060070199899</v>
      </c>
      <c r="D4623">
        <v>-17.6389821787999</v>
      </c>
      <c r="F4623" t="str">
        <f>HYPERLINK("D:\Data From Lucan\2024\Moresby\Frames_for_Analysis/4620_20240611_0006_L_0541.jpg","4620_20240611_0006_L_0541.jpg")</f>
        <v>4620_20240611_0006_L_0541.jpg</v>
      </c>
      <c r="G4623" s="92" t="s">
        <v>5467</v>
      </c>
      <c r="I4623">
        <v>4</v>
      </c>
      <c r="K4623" s="57">
        <v>1</v>
      </c>
      <c r="L4623" t="s">
        <v>3959</v>
      </c>
      <c r="M4623" t="s">
        <v>3959</v>
      </c>
      <c r="N4623" t="s">
        <v>3959</v>
      </c>
      <c r="O4623" t="s">
        <v>3959</v>
      </c>
      <c r="P4623" s="57">
        <v>1</v>
      </c>
      <c r="Q4623" s="57">
        <v>0</v>
      </c>
      <c r="R4623" s="57">
        <v>0</v>
      </c>
      <c r="S4623" s="57">
        <v>0</v>
      </c>
      <c r="T4623" s="57">
        <v>0</v>
      </c>
      <c r="U4623" s="57">
        <v>0</v>
      </c>
      <c r="V4623" s="57">
        <v>0</v>
      </c>
      <c r="W4623" s="57">
        <v>0</v>
      </c>
      <c r="X4623" s="57">
        <v>0</v>
      </c>
    </row>
    <row r="4624" spans="1:24" hidden="1" x14ac:dyDescent="0.35">
      <c r="A4624">
        <v>4620</v>
      </c>
      <c r="B4624">
        <v>4621</v>
      </c>
      <c r="C4624">
        <v>146.06054763399899</v>
      </c>
      <c r="D4624">
        <v>-17.6389132000999</v>
      </c>
      <c r="F4624" t="str">
        <f>HYPERLINK("D:\Data From Lucan\2024\Moresby\Frames_for_Analysis/4621_20240611_0006_L_0545.jpg","4621_20240611_0006_L_0545.jpg")</f>
        <v>4621_20240611_0006_L_0545.jpg</v>
      </c>
      <c r="G4624" s="92" t="s">
        <v>5468</v>
      </c>
      <c r="I4624">
        <v>4</v>
      </c>
      <c r="K4624" s="57">
        <v>1</v>
      </c>
      <c r="L4624" t="s">
        <v>3959</v>
      </c>
      <c r="M4624" t="s">
        <v>3959</v>
      </c>
      <c r="N4624" t="s">
        <v>3959</v>
      </c>
      <c r="O4624" t="s">
        <v>3959</v>
      </c>
      <c r="P4624" s="57">
        <v>1</v>
      </c>
      <c r="Q4624" s="57">
        <v>0</v>
      </c>
      <c r="R4624" s="57">
        <v>0</v>
      </c>
      <c r="S4624" s="57">
        <v>0</v>
      </c>
      <c r="T4624" s="57">
        <v>0</v>
      </c>
      <c r="U4624" s="57">
        <v>0</v>
      </c>
      <c r="V4624" s="57">
        <v>0</v>
      </c>
      <c r="W4624" s="57">
        <v>0</v>
      </c>
      <c r="X4624" s="57">
        <v>0</v>
      </c>
    </row>
    <row r="4625" spans="1:24" hidden="1" x14ac:dyDescent="0.35">
      <c r="A4625">
        <v>4621</v>
      </c>
      <c r="B4625">
        <v>4622</v>
      </c>
      <c r="C4625">
        <v>146.06047613000001</v>
      </c>
      <c r="D4625">
        <v>-17.6388667985</v>
      </c>
      <c r="F4625" t="str">
        <f>HYPERLINK("D:\Data From Lucan\2024\Moresby\Frames_for_Analysis/4622_20240611_0006_L_0549.jpg","4622_20240611_0006_L_0549.jpg")</f>
        <v>4622_20240611_0006_L_0549.jpg</v>
      </c>
      <c r="G4625" s="92" t="s">
        <v>5469</v>
      </c>
      <c r="I4625">
        <v>4</v>
      </c>
      <c r="K4625" s="57">
        <v>1</v>
      </c>
      <c r="L4625" t="s">
        <v>3959</v>
      </c>
      <c r="M4625" t="s">
        <v>3959</v>
      </c>
      <c r="N4625" t="s">
        <v>3959</v>
      </c>
      <c r="O4625" t="s">
        <v>3959</v>
      </c>
      <c r="P4625" s="57">
        <v>1</v>
      </c>
      <c r="Q4625" s="57">
        <v>0</v>
      </c>
      <c r="R4625" s="57">
        <v>0</v>
      </c>
      <c r="S4625" s="57">
        <v>0</v>
      </c>
      <c r="T4625" s="57">
        <v>0</v>
      </c>
      <c r="U4625" s="57">
        <v>0</v>
      </c>
      <c r="V4625" s="57">
        <v>0</v>
      </c>
      <c r="W4625" s="57">
        <v>0</v>
      </c>
      <c r="X4625" s="57">
        <v>0</v>
      </c>
    </row>
    <row r="4626" spans="1:24" hidden="1" x14ac:dyDescent="0.35">
      <c r="A4626">
        <v>4622</v>
      </c>
      <c r="B4626">
        <v>4623</v>
      </c>
      <c r="C4626">
        <v>146.06039142700001</v>
      </c>
      <c r="D4626">
        <v>-17.6388443079999</v>
      </c>
      <c r="F4626" t="str">
        <f>HYPERLINK("D:\Data From Lucan\2024\Moresby\Frames_for_Analysis/4623_20240611_0006_L_0552.jpg","4623_20240611_0006_L_0552.jpg")</f>
        <v>4623_20240611_0006_L_0552.jpg</v>
      </c>
      <c r="G4626" s="92" t="s">
        <v>5470</v>
      </c>
      <c r="I4626">
        <v>4</v>
      </c>
      <c r="K4626" s="57">
        <v>1</v>
      </c>
      <c r="L4626" t="s">
        <v>3959</v>
      </c>
      <c r="M4626" t="s">
        <v>3959</v>
      </c>
      <c r="N4626" t="s">
        <v>3959</v>
      </c>
      <c r="O4626" t="s">
        <v>3959</v>
      </c>
      <c r="P4626" s="57">
        <v>1</v>
      </c>
      <c r="Q4626" s="57">
        <v>0</v>
      </c>
      <c r="R4626" s="57">
        <v>0</v>
      </c>
      <c r="S4626" s="57">
        <v>0</v>
      </c>
      <c r="T4626" s="57">
        <v>0</v>
      </c>
      <c r="U4626" s="57">
        <v>0</v>
      </c>
      <c r="V4626" s="57">
        <v>0</v>
      </c>
      <c r="W4626" s="57">
        <v>0</v>
      </c>
      <c r="X4626" s="57">
        <v>0</v>
      </c>
    </row>
    <row r="4627" spans="1:24" hidden="1" x14ac:dyDescent="0.35">
      <c r="A4627">
        <v>4623</v>
      </c>
      <c r="B4627">
        <v>4624</v>
      </c>
      <c r="C4627">
        <v>146.06030265000001</v>
      </c>
      <c r="D4627">
        <v>-17.638857345800002</v>
      </c>
      <c r="F4627" t="str">
        <f>HYPERLINK("D:\Data From Lucan\2024\Moresby\Frames_for_Analysis/4624_20240611_0006_L_0554.jpg","4624_20240611_0006_L_0554.jpg")</f>
        <v>4624_20240611_0006_L_0554.jpg</v>
      </c>
      <c r="G4627" s="92" t="s">
        <v>5471</v>
      </c>
      <c r="I4627">
        <v>10</v>
      </c>
      <c r="K4627" s="57">
        <v>1</v>
      </c>
      <c r="L4627" t="s">
        <v>3959</v>
      </c>
      <c r="M4627" t="s">
        <v>3959</v>
      </c>
      <c r="N4627" t="s">
        <v>3959</v>
      </c>
      <c r="O4627" t="s">
        <v>3959</v>
      </c>
      <c r="P4627" s="57">
        <v>1</v>
      </c>
      <c r="Q4627" s="57">
        <v>0</v>
      </c>
      <c r="R4627" s="57">
        <v>0</v>
      </c>
      <c r="S4627" s="57">
        <v>0</v>
      </c>
      <c r="T4627" s="57">
        <v>0</v>
      </c>
      <c r="U4627" s="57">
        <v>0</v>
      </c>
      <c r="V4627" s="57">
        <v>0</v>
      </c>
      <c r="W4627" s="57">
        <v>0</v>
      </c>
      <c r="X4627" s="57">
        <v>0</v>
      </c>
    </row>
    <row r="4628" spans="1:24" hidden="1" x14ac:dyDescent="0.35">
      <c r="A4628">
        <v>4624</v>
      </c>
      <c r="B4628">
        <v>4625</v>
      </c>
      <c r="C4628">
        <v>146.060234014</v>
      </c>
      <c r="D4628">
        <v>-17.6389092209</v>
      </c>
      <c r="G4628" s="92"/>
      <c r="I4628">
        <v>10</v>
      </c>
      <c r="J4628" t="s">
        <v>26</v>
      </c>
      <c r="K4628" s="57"/>
      <c r="S4628" s="57"/>
      <c r="X4628" s="57"/>
    </row>
    <row r="4629" spans="1:24" hidden="1" x14ac:dyDescent="0.35">
      <c r="A4629">
        <v>4625</v>
      </c>
      <c r="B4629">
        <v>4626</v>
      </c>
      <c r="C4629">
        <v>146.06020731800001</v>
      </c>
      <c r="D4629">
        <v>-17.638989233699899</v>
      </c>
      <c r="G4629" s="92"/>
      <c r="I4629">
        <v>10</v>
      </c>
      <c r="J4629" t="s">
        <v>26</v>
      </c>
      <c r="K4629" s="57"/>
      <c r="S4629" s="57"/>
      <c r="X4629" s="57"/>
    </row>
    <row r="4630" spans="1:24" hidden="1" x14ac:dyDescent="0.35">
      <c r="A4630">
        <v>4626</v>
      </c>
      <c r="B4630">
        <v>4627</v>
      </c>
      <c r="C4630">
        <v>146.06020687399899</v>
      </c>
      <c r="D4630">
        <v>-17.639074840700001</v>
      </c>
      <c r="G4630" s="92"/>
      <c r="I4630">
        <v>10</v>
      </c>
      <c r="J4630" t="s">
        <v>26</v>
      </c>
      <c r="K4630" s="57"/>
      <c r="S4630" s="57"/>
      <c r="X4630" s="57"/>
    </row>
    <row r="4631" spans="1:24" hidden="1" x14ac:dyDescent="0.35">
      <c r="A4631">
        <v>4627</v>
      </c>
      <c r="B4631">
        <v>4628</v>
      </c>
      <c r="C4631">
        <v>146.06020643100001</v>
      </c>
      <c r="D4631">
        <v>-17.6391604477</v>
      </c>
      <c r="G4631" s="92"/>
      <c r="I4631">
        <v>10</v>
      </c>
      <c r="J4631" t="s">
        <v>26</v>
      </c>
      <c r="K4631" s="57"/>
      <c r="S4631" s="57"/>
      <c r="X4631" s="57"/>
    </row>
    <row r="4632" spans="1:24" hidden="1" x14ac:dyDescent="0.35">
      <c r="A4632">
        <v>4628</v>
      </c>
      <c r="B4632">
        <v>4629</v>
      </c>
      <c r="C4632">
        <v>146.060212581999</v>
      </c>
      <c r="D4632">
        <v>-17.639245448600001</v>
      </c>
      <c r="G4632" s="92"/>
      <c r="I4632">
        <v>10</v>
      </c>
      <c r="J4632" t="s">
        <v>26</v>
      </c>
      <c r="K4632" s="57"/>
      <c r="S4632" s="57"/>
      <c r="X4632" s="57"/>
    </row>
    <row r="4633" spans="1:24" hidden="1" x14ac:dyDescent="0.35">
      <c r="A4633">
        <v>4629</v>
      </c>
      <c r="B4633">
        <v>4630</v>
      </c>
      <c r="C4633">
        <v>146.06023018100001</v>
      </c>
      <c r="D4633">
        <v>-17.639329397600001</v>
      </c>
      <c r="G4633" s="92"/>
      <c r="I4633">
        <v>10</v>
      </c>
      <c r="J4633" t="s">
        <v>26</v>
      </c>
      <c r="K4633" s="57"/>
      <c r="S4633" s="57"/>
      <c r="X4633" s="57"/>
    </row>
    <row r="4634" spans="1:24" hidden="1" x14ac:dyDescent="0.35">
      <c r="A4634">
        <v>4630</v>
      </c>
      <c r="B4634">
        <v>4631</v>
      </c>
      <c r="C4634">
        <v>146.060247779999</v>
      </c>
      <c r="D4634">
        <v>-17.6394133465</v>
      </c>
      <c r="G4634" s="92"/>
      <c r="I4634">
        <v>10</v>
      </c>
      <c r="J4634" t="s">
        <v>26</v>
      </c>
      <c r="K4634" s="57"/>
      <c r="S4634" s="57"/>
      <c r="X4634" s="57"/>
    </row>
    <row r="4635" spans="1:24" hidden="1" x14ac:dyDescent="0.35">
      <c r="A4635">
        <v>4631</v>
      </c>
      <c r="B4635">
        <v>4632</v>
      </c>
      <c r="C4635">
        <v>146.06026538</v>
      </c>
      <c r="D4635">
        <v>-17.6394972953</v>
      </c>
      <c r="G4635" s="92"/>
      <c r="I4635">
        <v>10</v>
      </c>
      <c r="J4635" t="s">
        <v>26</v>
      </c>
      <c r="K4635" s="57"/>
      <c r="S4635" s="57"/>
      <c r="X4635" s="57"/>
    </row>
    <row r="4636" spans="1:24" hidden="1" x14ac:dyDescent="0.35">
      <c r="A4636">
        <v>4632</v>
      </c>
      <c r="B4636">
        <v>4633</v>
      </c>
      <c r="C4636">
        <v>146.060282978999</v>
      </c>
      <c r="D4636">
        <v>-17.639581244199899</v>
      </c>
      <c r="G4636" s="92"/>
      <c r="I4636">
        <v>10</v>
      </c>
      <c r="J4636" t="s">
        <v>26</v>
      </c>
      <c r="K4636" s="57"/>
      <c r="S4636" s="57"/>
      <c r="X4636" s="57"/>
    </row>
    <row r="4637" spans="1:24" hidden="1" x14ac:dyDescent="0.35">
      <c r="A4637">
        <v>4633</v>
      </c>
      <c r="B4637">
        <v>4634</v>
      </c>
      <c r="C4637">
        <v>146.06030057800001</v>
      </c>
      <c r="D4637">
        <v>-17.6396651929999</v>
      </c>
      <c r="G4637" s="92"/>
      <c r="I4637">
        <v>10</v>
      </c>
      <c r="J4637" t="s">
        <v>26</v>
      </c>
      <c r="K4637" s="57"/>
      <c r="S4637" s="57"/>
      <c r="X4637" s="57"/>
    </row>
    <row r="4638" spans="1:24" hidden="1" x14ac:dyDescent="0.35">
      <c r="A4638">
        <v>4634</v>
      </c>
      <c r="B4638">
        <v>4635</v>
      </c>
      <c r="C4638">
        <v>146.060320880999</v>
      </c>
      <c r="D4638">
        <v>-17.639748397799899</v>
      </c>
      <c r="G4638" s="92"/>
      <c r="I4638">
        <v>10</v>
      </c>
      <c r="J4638" t="s">
        <v>26</v>
      </c>
      <c r="K4638" s="57"/>
      <c r="S4638" s="57"/>
      <c r="X4638" s="57"/>
    </row>
    <row r="4639" spans="1:24" hidden="1" x14ac:dyDescent="0.35">
      <c r="A4639">
        <v>4635</v>
      </c>
      <c r="B4639">
        <v>4636</v>
      </c>
      <c r="C4639">
        <v>146.060352950999</v>
      </c>
      <c r="D4639">
        <v>-17.6398283642</v>
      </c>
      <c r="G4639" s="92"/>
      <c r="I4639">
        <v>10</v>
      </c>
      <c r="J4639" t="s">
        <v>26</v>
      </c>
      <c r="K4639" s="57"/>
      <c r="S4639" s="57"/>
      <c r="X4639" s="57"/>
    </row>
    <row r="4640" spans="1:24" hidden="1" x14ac:dyDescent="0.35">
      <c r="A4640">
        <v>4636</v>
      </c>
      <c r="B4640">
        <v>4637</v>
      </c>
      <c r="C4640">
        <v>146.060385021</v>
      </c>
      <c r="D4640">
        <v>-17.639908330600001</v>
      </c>
      <c r="G4640" s="92"/>
      <c r="I4640">
        <v>10</v>
      </c>
      <c r="J4640" t="s">
        <v>26</v>
      </c>
      <c r="K4640" s="57"/>
      <c r="S4640" s="57"/>
      <c r="X4640" s="57"/>
    </row>
    <row r="4641" spans="1:24" hidden="1" x14ac:dyDescent="0.35">
      <c r="A4641">
        <v>4637</v>
      </c>
      <c r="B4641">
        <v>4638</v>
      </c>
      <c r="C4641">
        <v>146.06041709100001</v>
      </c>
      <c r="D4641">
        <v>-17.6399882969</v>
      </c>
      <c r="G4641" s="92"/>
      <c r="I4641">
        <v>10</v>
      </c>
      <c r="J4641" t="s">
        <v>26</v>
      </c>
      <c r="K4641" s="57"/>
      <c r="S4641" s="57"/>
      <c r="X4641" s="57"/>
    </row>
    <row r="4642" spans="1:24" hidden="1" x14ac:dyDescent="0.35">
      <c r="A4642">
        <v>4638</v>
      </c>
      <c r="B4642">
        <v>4639</v>
      </c>
      <c r="C4642">
        <v>146.060449161999</v>
      </c>
      <c r="D4642">
        <v>-17.640068263100002</v>
      </c>
      <c r="G4642" s="92"/>
      <c r="I4642">
        <v>10</v>
      </c>
      <c r="J4642" t="s">
        <v>26</v>
      </c>
      <c r="K4642" s="57"/>
      <c r="S4642" s="57"/>
      <c r="X4642" s="57"/>
    </row>
    <row r="4643" spans="1:24" hidden="1" x14ac:dyDescent="0.35">
      <c r="A4643">
        <v>4639</v>
      </c>
      <c r="B4643">
        <v>4640</v>
      </c>
      <c r="C4643">
        <v>146.060481232</v>
      </c>
      <c r="D4643">
        <v>-17.640148229200001</v>
      </c>
      <c r="G4643" s="92"/>
      <c r="I4643">
        <v>10</v>
      </c>
      <c r="J4643" t="s">
        <v>26</v>
      </c>
      <c r="K4643" s="57"/>
      <c r="S4643" s="57"/>
      <c r="X4643" s="57"/>
    </row>
    <row r="4644" spans="1:24" hidden="1" x14ac:dyDescent="0.35">
      <c r="A4644">
        <v>4640</v>
      </c>
      <c r="B4644">
        <v>4641</v>
      </c>
      <c r="C4644">
        <v>146.06051546699899</v>
      </c>
      <c r="D4644">
        <v>-17.6402273626999</v>
      </c>
      <c r="G4644" s="92"/>
      <c r="I4644">
        <v>10</v>
      </c>
      <c r="J4644" t="s">
        <v>26</v>
      </c>
      <c r="K4644" s="57"/>
      <c r="S4644" s="57"/>
      <c r="X4644" s="57"/>
    </row>
    <row r="4645" spans="1:24" hidden="1" x14ac:dyDescent="0.35">
      <c r="A4645">
        <v>4641</v>
      </c>
      <c r="B4645">
        <v>4642</v>
      </c>
      <c r="C4645">
        <v>146.06055063599899</v>
      </c>
      <c r="D4645">
        <v>-17.640306136700001</v>
      </c>
      <c r="G4645" s="92"/>
      <c r="I4645">
        <v>10</v>
      </c>
      <c r="J4645" t="s">
        <v>26</v>
      </c>
      <c r="K4645" s="57"/>
      <c r="S4645" s="57"/>
      <c r="X4645" s="57"/>
    </row>
    <row r="4646" spans="1:24" hidden="1" x14ac:dyDescent="0.35">
      <c r="A4646">
        <v>4642</v>
      </c>
      <c r="B4646">
        <v>4643</v>
      </c>
      <c r="C4646">
        <v>146.06058580600001</v>
      </c>
      <c r="D4646">
        <v>-17.640384910600002</v>
      </c>
      <c r="G4646" s="92"/>
      <c r="I4646">
        <v>10</v>
      </c>
      <c r="J4646" t="s">
        <v>26</v>
      </c>
      <c r="K4646" s="57"/>
      <c r="S4646" s="57"/>
      <c r="X4646" s="57"/>
    </row>
    <row r="4647" spans="1:24" hidden="1" x14ac:dyDescent="0.35">
      <c r="A4647">
        <v>4643</v>
      </c>
      <c r="B4647">
        <v>4644</v>
      </c>
      <c r="C4647">
        <v>146.060622641999</v>
      </c>
      <c r="D4647">
        <v>-17.6404627904999</v>
      </c>
      <c r="G4647" s="92"/>
      <c r="I4647">
        <v>10</v>
      </c>
      <c r="J4647" t="s">
        <v>26</v>
      </c>
      <c r="K4647" s="57"/>
      <c r="S4647" s="57"/>
      <c r="X4647" s="57"/>
    </row>
    <row r="4648" spans="1:24" hidden="1" x14ac:dyDescent="0.35">
      <c r="A4648">
        <v>4644</v>
      </c>
      <c r="B4648">
        <v>4645</v>
      </c>
      <c r="C4648">
        <v>146.06067507200001</v>
      </c>
      <c r="D4648">
        <v>-17.640532304200001</v>
      </c>
      <c r="G4648" s="92"/>
      <c r="I4648">
        <v>10</v>
      </c>
      <c r="J4648" t="s">
        <v>26</v>
      </c>
      <c r="K4648" s="57"/>
      <c r="S4648" s="57"/>
      <c r="X4648" s="57"/>
    </row>
    <row r="4649" spans="1:24" hidden="1" x14ac:dyDescent="0.35">
      <c r="A4649">
        <v>4645</v>
      </c>
      <c r="B4649">
        <v>4646</v>
      </c>
      <c r="C4649">
        <v>146.060727501999</v>
      </c>
      <c r="D4649">
        <v>-17.640601817899899</v>
      </c>
      <c r="G4649" s="92"/>
      <c r="I4649">
        <v>10</v>
      </c>
      <c r="J4649" t="s">
        <v>26</v>
      </c>
      <c r="K4649" s="57"/>
      <c r="S4649" s="57"/>
      <c r="X4649" s="57"/>
    </row>
    <row r="4650" spans="1:24" hidden="1" x14ac:dyDescent="0.35">
      <c r="A4650">
        <v>4646</v>
      </c>
      <c r="B4650">
        <v>4647</v>
      </c>
      <c r="C4650">
        <v>146.060779932</v>
      </c>
      <c r="D4650">
        <v>-17.6406713316</v>
      </c>
      <c r="G4650" s="92"/>
      <c r="I4650">
        <v>10</v>
      </c>
      <c r="J4650" t="s">
        <v>26</v>
      </c>
      <c r="K4650" s="57"/>
      <c r="S4650" s="57"/>
      <c r="X4650" s="57"/>
    </row>
    <row r="4651" spans="1:24" hidden="1" x14ac:dyDescent="0.35">
      <c r="A4651">
        <v>4647</v>
      </c>
      <c r="B4651">
        <v>4648</v>
      </c>
      <c r="C4651">
        <v>146.06083236200001</v>
      </c>
      <c r="D4651">
        <v>-17.640740845300002</v>
      </c>
      <c r="G4651" s="92"/>
      <c r="I4651">
        <v>10</v>
      </c>
      <c r="J4651" t="s">
        <v>26</v>
      </c>
      <c r="K4651" s="57"/>
      <c r="S4651" s="57"/>
      <c r="X4651" s="57"/>
    </row>
    <row r="4652" spans="1:24" hidden="1" x14ac:dyDescent="0.35">
      <c r="A4652">
        <v>4648</v>
      </c>
      <c r="B4652">
        <v>4649</v>
      </c>
      <c r="C4652">
        <v>146.060884791999</v>
      </c>
      <c r="D4652">
        <v>-17.640810358900001</v>
      </c>
      <c r="G4652" s="92"/>
      <c r="I4652">
        <v>10</v>
      </c>
      <c r="J4652" t="s">
        <v>26</v>
      </c>
      <c r="K4652" s="57"/>
      <c r="S4652" s="57"/>
      <c r="X4652" s="57"/>
    </row>
    <row r="4653" spans="1:24" hidden="1" x14ac:dyDescent="0.35">
      <c r="A4653">
        <v>4649</v>
      </c>
      <c r="B4653">
        <v>4650</v>
      </c>
      <c r="C4653">
        <v>146.060938104</v>
      </c>
      <c r="D4653">
        <v>-17.6408791602999</v>
      </c>
      <c r="G4653" s="92"/>
      <c r="I4653">
        <v>10</v>
      </c>
      <c r="J4653" t="s">
        <v>26</v>
      </c>
      <c r="K4653" s="57"/>
      <c r="S4653" s="57"/>
      <c r="X4653" s="57"/>
    </row>
    <row r="4654" spans="1:24" hidden="1" x14ac:dyDescent="0.35">
      <c r="A4654">
        <v>4650</v>
      </c>
      <c r="B4654">
        <v>4651</v>
      </c>
      <c r="C4654">
        <v>146.06100146200001</v>
      </c>
      <c r="D4654">
        <v>-17.640939847599899</v>
      </c>
      <c r="G4654" s="92"/>
      <c r="I4654">
        <v>10</v>
      </c>
      <c r="J4654" t="s">
        <v>26</v>
      </c>
      <c r="K4654" s="57"/>
      <c r="S4654" s="57"/>
      <c r="X4654" s="57"/>
    </row>
    <row r="4655" spans="1:24" hidden="1" x14ac:dyDescent="0.35">
      <c r="A4655">
        <v>4651</v>
      </c>
      <c r="B4655">
        <v>4652</v>
      </c>
      <c r="C4655">
        <v>146.061064821</v>
      </c>
      <c r="D4655">
        <v>-17.641000535</v>
      </c>
      <c r="G4655" s="92"/>
      <c r="I4655">
        <v>10</v>
      </c>
      <c r="J4655" t="s">
        <v>26</v>
      </c>
      <c r="K4655" s="57"/>
      <c r="S4655" s="57"/>
      <c r="X4655" s="57"/>
    </row>
    <row r="4656" spans="1:24" hidden="1" x14ac:dyDescent="0.35">
      <c r="A4656">
        <v>4652</v>
      </c>
      <c r="B4656">
        <v>4653</v>
      </c>
      <c r="C4656">
        <v>146.06112817900001</v>
      </c>
      <c r="D4656">
        <v>-17.6410612226999</v>
      </c>
      <c r="G4656" s="92"/>
      <c r="I4656">
        <v>10</v>
      </c>
      <c r="J4656" t="s">
        <v>26</v>
      </c>
      <c r="K4656" s="57"/>
      <c r="S4656" s="57"/>
      <c r="X4656" s="57"/>
    </row>
    <row r="4657" spans="1:24" hidden="1" x14ac:dyDescent="0.35">
      <c r="A4657">
        <v>4653</v>
      </c>
      <c r="B4657">
        <v>4654</v>
      </c>
      <c r="C4657">
        <v>146.06119153700001</v>
      </c>
      <c r="D4657">
        <v>-17.641121910300001</v>
      </c>
      <c r="G4657" s="92"/>
      <c r="I4657">
        <v>10</v>
      </c>
      <c r="J4657" t="s">
        <v>26</v>
      </c>
      <c r="K4657" s="57"/>
      <c r="S4657" s="57"/>
      <c r="X4657" s="57"/>
    </row>
    <row r="4658" spans="1:24" hidden="1" x14ac:dyDescent="0.35">
      <c r="A4658">
        <v>4654</v>
      </c>
      <c r="B4658">
        <v>4655</v>
      </c>
      <c r="C4658">
        <v>146.061254894999</v>
      </c>
      <c r="D4658">
        <v>-17.641182597899899</v>
      </c>
      <c r="G4658" s="92"/>
      <c r="I4658">
        <v>10</v>
      </c>
      <c r="J4658" t="s">
        <v>26</v>
      </c>
      <c r="K4658" s="57"/>
      <c r="S4658" s="57"/>
      <c r="X4658" s="57"/>
    </row>
    <row r="4659" spans="1:24" hidden="1" x14ac:dyDescent="0.35">
      <c r="A4659">
        <v>4655</v>
      </c>
      <c r="B4659">
        <v>4656</v>
      </c>
      <c r="C4659">
        <v>146.061318252999</v>
      </c>
      <c r="D4659">
        <v>-17.6412432855</v>
      </c>
      <c r="G4659" s="92"/>
      <c r="I4659">
        <v>10</v>
      </c>
      <c r="J4659" t="s">
        <v>26</v>
      </c>
      <c r="K4659" s="57"/>
      <c r="S4659" s="57"/>
      <c r="X4659" s="57"/>
    </row>
    <row r="4660" spans="1:24" hidden="1" x14ac:dyDescent="0.35">
      <c r="A4660">
        <v>4656</v>
      </c>
      <c r="B4660">
        <v>4657</v>
      </c>
      <c r="C4660">
        <v>146.061381611</v>
      </c>
      <c r="D4660">
        <v>-17.641303973100001</v>
      </c>
      <c r="G4660" s="92"/>
      <c r="I4660">
        <v>10</v>
      </c>
      <c r="J4660" t="s">
        <v>26</v>
      </c>
      <c r="K4660" s="57"/>
      <c r="S4660" s="57"/>
      <c r="X4660" s="57"/>
    </row>
    <row r="4661" spans="1:24" hidden="1" x14ac:dyDescent="0.35">
      <c r="A4661">
        <v>4657</v>
      </c>
      <c r="B4661">
        <v>4658</v>
      </c>
      <c r="C4661">
        <v>146.06144478100001</v>
      </c>
      <c r="D4661">
        <v>-17.6413648236</v>
      </c>
      <c r="G4661" s="92"/>
      <c r="I4661">
        <v>10</v>
      </c>
      <c r="J4661" t="s">
        <v>26</v>
      </c>
      <c r="K4661" s="57"/>
      <c r="S4661" s="57"/>
      <c r="X4661" s="57"/>
    </row>
    <row r="4662" spans="1:24" hidden="1" x14ac:dyDescent="0.35">
      <c r="A4662">
        <v>4658</v>
      </c>
      <c r="B4662">
        <v>4659</v>
      </c>
      <c r="C4662">
        <v>146.061501921999</v>
      </c>
      <c r="D4662">
        <v>-17.641430878600001</v>
      </c>
      <c r="G4662" s="92"/>
      <c r="I4662">
        <v>10</v>
      </c>
      <c r="J4662" t="s">
        <v>26</v>
      </c>
      <c r="K4662" s="57"/>
      <c r="S4662" s="57"/>
      <c r="X4662" s="57"/>
    </row>
    <row r="4663" spans="1:24" hidden="1" x14ac:dyDescent="0.35">
      <c r="A4663">
        <v>4659</v>
      </c>
      <c r="B4663">
        <v>4660</v>
      </c>
      <c r="C4663">
        <v>146.061559063999</v>
      </c>
      <c r="D4663">
        <v>-17.641496933700001</v>
      </c>
      <c r="G4663" s="92"/>
      <c r="I4663">
        <v>10</v>
      </c>
      <c r="J4663" t="s">
        <v>26</v>
      </c>
      <c r="K4663" s="57"/>
      <c r="S4663" s="57"/>
      <c r="X4663" s="57"/>
    </row>
    <row r="4664" spans="1:24" hidden="1" x14ac:dyDescent="0.35">
      <c r="A4664">
        <v>4660</v>
      </c>
      <c r="B4664">
        <v>4661</v>
      </c>
      <c r="C4664">
        <v>146.06161601100001</v>
      </c>
      <c r="D4664">
        <v>-17.6415631256999</v>
      </c>
      <c r="G4664" s="92"/>
      <c r="I4664">
        <v>10</v>
      </c>
      <c r="J4664" t="s">
        <v>26</v>
      </c>
      <c r="K4664" s="57"/>
      <c r="S4664" s="57"/>
      <c r="X4664" s="57"/>
    </row>
    <row r="4665" spans="1:24" hidden="1" x14ac:dyDescent="0.35">
      <c r="A4665">
        <v>4661</v>
      </c>
      <c r="B4665">
        <v>4662</v>
      </c>
      <c r="C4665">
        <v>146.061665589999</v>
      </c>
      <c r="D4665">
        <v>-17.6416345136</v>
      </c>
      <c r="G4665" s="92"/>
      <c r="I4665">
        <v>10</v>
      </c>
      <c r="J4665" t="s">
        <v>26</v>
      </c>
      <c r="K4665" s="57"/>
      <c r="S4665" s="57"/>
      <c r="X4665" s="57"/>
    </row>
    <row r="4666" spans="1:24" hidden="1" x14ac:dyDescent="0.35">
      <c r="A4666">
        <v>4662</v>
      </c>
      <c r="B4666">
        <v>4663</v>
      </c>
      <c r="C4666">
        <v>146.061715168999</v>
      </c>
      <c r="D4666">
        <v>-17.6417059015</v>
      </c>
      <c r="G4666" s="92"/>
      <c r="I4666">
        <v>10</v>
      </c>
      <c r="J4666" t="s">
        <v>26</v>
      </c>
      <c r="K4666" s="57"/>
      <c r="S4666" s="57"/>
      <c r="X4666" s="57"/>
    </row>
    <row r="4667" spans="1:24" hidden="1" x14ac:dyDescent="0.35">
      <c r="A4667">
        <v>4663</v>
      </c>
      <c r="B4667">
        <v>4664</v>
      </c>
      <c r="C4667">
        <v>146.061764748</v>
      </c>
      <c r="D4667">
        <v>-17.6417772894</v>
      </c>
      <c r="G4667" s="92"/>
      <c r="I4667">
        <v>10</v>
      </c>
      <c r="J4667" t="s">
        <v>26</v>
      </c>
      <c r="K4667" s="57"/>
      <c r="S4667" s="57"/>
      <c r="X4667" s="57"/>
    </row>
    <row r="4668" spans="1:24" hidden="1" x14ac:dyDescent="0.35">
      <c r="A4668">
        <v>4664</v>
      </c>
      <c r="B4668">
        <v>4665</v>
      </c>
      <c r="C4668">
        <v>146.06181432700001</v>
      </c>
      <c r="D4668">
        <v>-17.641848677199899</v>
      </c>
      <c r="G4668" s="92"/>
      <c r="I4668">
        <v>10</v>
      </c>
      <c r="J4668" t="s">
        <v>26</v>
      </c>
      <c r="K4668" s="57"/>
      <c r="S4668" s="57"/>
      <c r="X4668" s="57"/>
    </row>
    <row r="4669" spans="1:24" hidden="1" x14ac:dyDescent="0.35">
      <c r="A4669">
        <v>4665</v>
      </c>
      <c r="B4669">
        <v>4666</v>
      </c>
      <c r="C4669">
        <v>146.061863904999</v>
      </c>
      <c r="D4669">
        <v>-17.6419200650999</v>
      </c>
      <c r="G4669" s="92"/>
      <c r="I4669">
        <v>10</v>
      </c>
      <c r="J4669" t="s">
        <v>26</v>
      </c>
      <c r="K4669" s="57"/>
      <c r="S4669" s="57"/>
      <c r="X4669" s="57"/>
    </row>
    <row r="4670" spans="1:24" hidden="1" x14ac:dyDescent="0.35">
      <c r="A4670">
        <v>4666</v>
      </c>
      <c r="B4670">
        <v>4667</v>
      </c>
      <c r="C4670">
        <v>146.061913484</v>
      </c>
      <c r="D4670">
        <v>-17.6419914527999</v>
      </c>
      <c r="G4670" s="92"/>
      <c r="I4670">
        <v>10</v>
      </c>
      <c r="J4670" t="s">
        <v>26</v>
      </c>
      <c r="K4670" s="57"/>
      <c r="S4670" s="57"/>
      <c r="X4670" s="57"/>
    </row>
    <row r="4671" spans="1:24" hidden="1" x14ac:dyDescent="0.35">
      <c r="A4671">
        <v>4667</v>
      </c>
      <c r="B4671">
        <v>4668</v>
      </c>
      <c r="C4671">
        <v>146.06196306300001</v>
      </c>
      <c r="D4671">
        <v>-17.642062840600001</v>
      </c>
      <c r="G4671" s="92"/>
      <c r="I4671">
        <v>10</v>
      </c>
      <c r="J4671" t="s">
        <v>26</v>
      </c>
      <c r="K4671" s="57"/>
      <c r="S4671" s="57"/>
      <c r="X4671" s="57"/>
    </row>
    <row r="4672" spans="1:24" hidden="1" x14ac:dyDescent="0.35">
      <c r="A4672">
        <v>4668</v>
      </c>
      <c r="B4672">
        <v>4669</v>
      </c>
      <c r="C4672">
        <v>146.06201411000001</v>
      </c>
      <c r="D4672">
        <v>-17.642133205699899</v>
      </c>
      <c r="G4672" s="92"/>
      <c r="I4672">
        <v>10</v>
      </c>
      <c r="J4672" t="s">
        <v>26</v>
      </c>
      <c r="K4672" s="57"/>
      <c r="S4672" s="57"/>
      <c r="X4672" s="57"/>
    </row>
    <row r="4673" spans="1:24" hidden="1" x14ac:dyDescent="0.35">
      <c r="A4673">
        <v>4669</v>
      </c>
      <c r="B4673">
        <v>4670</v>
      </c>
      <c r="C4673">
        <v>146.06207044000001</v>
      </c>
      <c r="D4673">
        <v>-17.642199890200001</v>
      </c>
      <c r="G4673" s="92"/>
      <c r="I4673">
        <v>10</v>
      </c>
      <c r="J4673" t="s">
        <v>26</v>
      </c>
      <c r="K4673" s="57"/>
      <c r="S4673" s="57"/>
      <c r="X4673" s="57"/>
    </row>
    <row r="4674" spans="1:24" hidden="1" x14ac:dyDescent="0.35">
      <c r="A4674">
        <v>4670</v>
      </c>
      <c r="B4674">
        <v>4671</v>
      </c>
      <c r="C4674">
        <v>146.06212677100001</v>
      </c>
      <c r="D4674">
        <v>-17.642266574600001</v>
      </c>
      <c r="G4674" s="92"/>
      <c r="I4674">
        <v>10</v>
      </c>
      <c r="J4674" t="s">
        <v>26</v>
      </c>
      <c r="K4674" s="57"/>
      <c r="S4674" s="57"/>
      <c r="X4674" s="57"/>
    </row>
    <row r="4675" spans="1:24" hidden="1" x14ac:dyDescent="0.35">
      <c r="A4675">
        <v>4671</v>
      </c>
      <c r="B4675">
        <v>4672</v>
      </c>
      <c r="C4675">
        <v>146.062170581</v>
      </c>
      <c r="D4675">
        <v>-17.6423403067</v>
      </c>
      <c r="G4675" s="92"/>
      <c r="I4675">
        <v>10</v>
      </c>
      <c r="J4675" t="s">
        <v>26</v>
      </c>
      <c r="K4675" s="57"/>
      <c r="S4675" s="57"/>
      <c r="X4675" s="57"/>
    </row>
    <row r="4676" spans="1:24" hidden="1" x14ac:dyDescent="0.35">
      <c r="A4676">
        <v>4672</v>
      </c>
      <c r="B4676">
        <v>4673</v>
      </c>
      <c r="C4676">
        <v>146.062204678999</v>
      </c>
      <c r="D4676">
        <v>-17.642419506700001</v>
      </c>
      <c r="G4676" s="92"/>
      <c r="I4676">
        <v>10</v>
      </c>
      <c r="J4676" t="s">
        <v>26</v>
      </c>
      <c r="K4676" s="57"/>
      <c r="S4676" s="57"/>
      <c r="X4676" s="57"/>
    </row>
    <row r="4677" spans="1:24" hidden="1" x14ac:dyDescent="0.35">
      <c r="A4677">
        <v>4673</v>
      </c>
      <c r="B4677">
        <v>4674</v>
      </c>
      <c r="C4677">
        <v>146.06223877599899</v>
      </c>
      <c r="D4677">
        <v>-17.6424987065</v>
      </c>
      <c r="G4677" s="92"/>
      <c r="I4677">
        <v>10</v>
      </c>
      <c r="J4677" t="s">
        <v>26</v>
      </c>
      <c r="K4677" s="57"/>
      <c r="S4677" s="57"/>
      <c r="X4677" s="57"/>
    </row>
    <row r="4678" spans="1:24" hidden="1" x14ac:dyDescent="0.35">
      <c r="A4678">
        <v>4674</v>
      </c>
      <c r="B4678">
        <v>4675</v>
      </c>
      <c r="C4678">
        <v>146.06225018699899</v>
      </c>
      <c r="D4678">
        <v>-17.6425821136</v>
      </c>
      <c r="G4678" s="92"/>
      <c r="I4678">
        <v>10</v>
      </c>
      <c r="J4678" t="s">
        <v>26</v>
      </c>
      <c r="K4678" s="57"/>
      <c r="S4678" s="57"/>
      <c r="X4678" s="57"/>
    </row>
    <row r="4679" spans="1:24" hidden="1" x14ac:dyDescent="0.35">
      <c r="A4679">
        <v>4675</v>
      </c>
      <c r="B4679">
        <v>4676</v>
      </c>
      <c r="C4679">
        <v>146.06224974400001</v>
      </c>
      <c r="D4679">
        <v>-17.6426677189</v>
      </c>
      <c r="G4679" s="92"/>
      <c r="I4679">
        <v>10</v>
      </c>
      <c r="J4679" t="s">
        <v>26</v>
      </c>
      <c r="K4679" s="57"/>
      <c r="S4679" s="57"/>
      <c r="X4679" s="57"/>
    </row>
    <row r="4680" spans="1:24" hidden="1" x14ac:dyDescent="0.35">
      <c r="A4680">
        <v>4676</v>
      </c>
      <c r="B4680">
        <v>4677</v>
      </c>
      <c r="C4680">
        <v>146.06224930100001</v>
      </c>
      <c r="D4680">
        <v>-17.642753324200001</v>
      </c>
      <c r="G4680" s="92"/>
      <c r="I4680">
        <v>10</v>
      </c>
      <c r="J4680" t="s">
        <v>26</v>
      </c>
      <c r="K4680" s="57"/>
      <c r="S4680" s="57"/>
      <c r="X4680" s="57"/>
    </row>
    <row r="4681" spans="1:24" hidden="1" x14ac:dyDescent="0.35">
      <c r="A4681">
        <v>4677</v>
      </c>
      <c r="B4681">
        <v>4678</v>
      </c>
      <c r="C4681">
        <v>146.062218647999</v>
      </c>
      <c r="D4681">
        <v>-17.642833268899899</v>
      </c>
      <c r="G4681" s="92"/>
      <c r="I4681">
        <v>10</v>
      </c>
      <c r="J4681" t="s">
        <v>26</v>
      </c>
      <c r="K4681" s="57"/>
      <c r="S4681" s="57"/>
      <c r="X4681" s="57"/>
    </row>
    <row r="4682" spans="1:24" hidden="1" x14ac:dyDescent="0.35">
      <c r="A4682">
        <v>4678</v>
      </c>
      <c r="B4682">
        <v>4679</v>
      </c>
      <c r="C4682">
        <v>146.062185048999</v>
      </c>
      <c r="D4682">
        <v>-17.642912661499899</v>
      </c>
      <c r="G4682" s="92"/>
      <c r="I4682">
        <v>10</v>
      </c>
      <c r="J4682" t="s">
        <v>26</v>
      </c>
      <c r="K4682" s="57"/>
      <c r="S4682" s="57"/>
      <c r="X4682" s="57"/>
    </row>
    <row r="4683" spans="1:24" hidden="1" x14ac:dyDescent="0.35">
      <c r="A4683">
        <v>4679</v>
      </c>
      <c r="B4683">
        <v>4680</v>
      </c>
      <c r="C4683">
        <v>146.06212831299899</v>
      </c>
      <c r="D4683">
        <v>-17.6429740737</v>
      </c>
      <c r="G4683" s="92"/>
      <c r="I4683">
        <v>10</v>
      </c>
      <c r="J4683" t="s">
        <v>26</v>
      </c>
      <c r="K4683" s="57"/>
      <c r="S4683" s="57"/>
      <c r="X4683" s="57"/>
    </row>
    <row r="4684" spans="1:24" hidden="1" x14ac:dyDescent="0.35">
      <c r="A4684">
        <v>4680</v>
      </c>
      <c r="B4684">
        <v>4681</v>
      </c>
      <c r="C4684">
        <v>146.062053461999</v>
      </c>
      <c r="D4684">
        <v>-17.6430214061999</v>
      </c>
      <c r="G4684" s="92"/>
      <c r="I4684">
        <v>10</v>
      </c>
      <c r="J4684" t="s">
        <v>26</v>
      </c>
      <c r="K4684" s="57"/>
      <c r="S4684" s="57"/>
      <c r="X4684" s="57"/>
    </row>
    <row r="4685" spans="1:24" hidden="1" x14ac:dyDescent="0.35">
      <c r="A4685">
        <v>4681</v>
      </c>
      <c r="B4685">
        <v>4682</v>
      </c>
      <c r="C4685">
        <v>146.061971666999</v>
      </c>
      <c r="D4685">
        <v>-17.643053281899899</v>
      </c>
      <c r="G4685" s="92"/>
      <c r="I4685">
        <v>10</v>
      </c>
      <c r="J4685" t="s">
        <v>26</v>
      </c>
      <c r="K4685" s="57"/>
      <c r="S4685" s="57"/>
      <c r="X4685" s="57"/>
    </row>
    <row r="4686" spans="1:24" hidden="1" x14ac:dyDescent="0.35">
      <c r="A4686">
        <v>4682</v>
      </c>
      <c r="B4686">
        <v>4683</v>
      </c>
      <c r="C4686">
        <v>146.06188406300001</v>
      </c>
      <c r="D4686">
        <v>-17.6430722266999</v>
      </c>
      <c r="G4686" s="92"/>
      <c r="I4686">
        <v>10</v>
      </c>
      <c r="J4686" t="s">
        <v>26</v>
      </c>
      <c r="K4686" s="57"/>
      <c r="S4686" s="57"/>
      <c r="X4686" s="57"/>
    </row>
    <row r="4687" spans="1:24" hidden="1" x14ac:dyDescent="0.35">
      <c r="A4687">
        <v>4683</v>
      </c>
      <c r="B4687">
        <v>4684</v>
      </c>
      <c r="C4687">
        <v>146.06179632499899</v>
      </c>
      <c r="D4687">
        <v>-17.6430901724999</v>
      </c>
      <c r="G4687" s="92"/>
      <c r="I4687">
        <v>10</v>
      </c>
      <c r="J4687" t="s">
        <v>26</v>
      </c>
      <c r="K4687" s="57"/>
      <c r="S4687" s="57"/>
      <c r="X4687" s="57"/>
    </row>
    <row r="4688" spans="1:24" hidden="1" x14ac:dyDescent="0.35">
      <c r="A4688">
        <v>4684</v>
      </c>
      <c r="B4688">
        <v>4685</v>
      </c>
      <c r="C4688">
        <v>146.061706536</v>
      </c>
      <c r="D4688">
        <v>-17.6430928196</v>
      </c>
      <c r="G4688" s="92"/>
      <c r="I4688">
        <v>10</v>
      </c>
      <c r="J4688" t="s">
        <v>26</v>
      </c>
      <c r="K4688" s="57"/>
      <c r="S4688" s="57"/>
      <c r="X4688" s="57"/>
    </row>
    <row r="4689" spans="1:24" hidden="1" x14ac:dyDescent="0.35">
      <c r="A4689">
        <v>4685</v>
      </c>
      <c r="B4689">
        <v>4686</v>
      </c>
      <c r="C4689">
        <v>146.06161674800001</v>
      </c>
      <c r="D4689">
        <v>-17.6430954667</v>
      </c>
      <c r="G4689" s="92"/>
      <c r="I4689">
        <v>10</v>
      </c>
      <c r="J4689" t="s">
        <v>26</v>
      </c>
      <c r="K4689" s="57"/>
      <c r="S4689" s="57"/>
      <c r="X4689" s="57"/>
    </row>
    <row r="4690" spans="1:24" hidden="1" x14ac:dyDescent="0.35">
      <c r="A4690">
        <v>4686</v>
      </c>
      <c r="B4690">
        <v>4687</v>
      </c>
      <c r="C4690">
        <v>146.061526958999</v>
      </c>
      <c r="D4690">
        <v>-17.643098113899899</v>
      </c>
      <c r="G4690" s="92"/>
      <c r="I4690">
        <v>10</v>
      </c>
      <c r="J4690" t="s">
        <v>26</v>
      </c>
      <c r="K4690" s="57"/>
      <c r="S4690" s="57"/>
      <c r="X4690" s="57"/>
    </row>
    <row r="4691" spans="1:24" hidden="1" x14ac:dyDescent="0.35">
      <c r="A4691">
        <v>4687</v>
      </c>
      <c r="B4691">
        <v>4688</v>
      </c>
      <c r="C4691">
        <v>146.06143900199899</v>
      </c>
      <c r="D4691">
        <v>-17.6431124140999</v>
      </c>
      <c r="G4691" s="92"/>
      <c r="I4691">
        <v>10</v>
      </c>
      <c r="J4691" t="s">
        <v>26</v>
      </c>
      <c r="K4691" s="57"/>
      <c r="S4691" s="57"/>
      <c r="X4691" s="57"/>
    </row>
    <row r="4692" spans="1:24" hidden="1" x14ac:dyDescent="0.35">
      <c r="A4692">
        <v>4688</v>
      </c>
      <c r="B4692">
        <v>4689</v>
      </c>
      <c r="C4692">
        <v>146.06135234000001</v>
      </c>
      <c r="D4692">
        <v>-17.643134952899899</v>
      </c>
      <c r="G4692" s="92"/>
      <c r="I4692">
        <v>10</v>
      </c>
      <c r="J4692" t="s">
        <v>26</v>
      </c>
      <c r="K4692" s="57"/>
      <c r="S4692" s="57"/>
      <c r="X4692" s="57"/>
    </row>
    <row r="4693" spans="1:24" hidden="1" x14ac:dyDescent="0.35">
      <c r="A4693">
        <v>4689</v>
      </c>
      <c r="B4693">
        <v>4690</v>
      </c>
      <c r="C4693">
        <v>146.06126567800001</v>
      </c>
      <c r="D4693">
        <v>-17.6431574916</v>
      </c>
      <c r="G4693" s="92"/>
      <c r="I4693">
        <v>10</v>
      </c>
      <c r="J4693" t="s">
        <v>26</v>
      </c>
      <c r="K4693" s="57"/>
      <c r="S4693" s="57"/>
      <c r="X4693" s="57"/>
    </row>
    <row r="4694" spans="1:24" hidden="1" x14ac:dyDescent="0.35">
      <c r="A4694">
        <v>4690</v>
      </c>
      <c r="B4694">
        <v>4691</v>
      </c>
      <c r="C4694">
        <v>146.061181148</v>
      </c>
      <c r="D4694">
        <v>-17.6431859327</v>
      </c>
      <c r="G4694" s="92"/>
      <c r="I4694">
        <v>10</v>
      </c>
      <c r="J4694" t="s">
        <v>26</v>
      </c>
      <c r="K4694" s="57"/>
      <c r="S4694" s="57"/>
      <c r="X4694" s="57"/>
    </row>
    <row r="4695" spans="1:24" hidden="1" x14ac:dyDescent="0.35">
      <c r="A4695">
        <v>4691</v>
      </c>
      <c r="B4695">
        <v>4692</v>
      </c>
      <c r="C4695">
        <v>146.06109829299899</v>
      </c>
      <c r="D4695">
        <v>-17.643219010300001</v>
      </c>
      <c r="G4695" s="92"/>
      <c r="I4695">
        <v>10</v>
      </c>
      <c r="J4695" t="s">
        <v>26</v>
      </c>
      <c r="K4695" s="57"/>
      <c r="S4695" s="57"/>
      <c r="X4695" s="57"/>
    </row>
    <row r="4696" spans="1:24" hidden="1" x14ac:dyDescent="0.35">
      <c r="A4696">
        <v>4692</v>
      </c>
      <c r="B4696">
        <v>4693</v>
      </c>
      <c r="C4696">
        <v>146.06101543899899</v>
      </c>
      <c r="D4696">
        <v>-17.643252088000001</v>
      </c>
      <c r="G4696" s="92"/>
      <c r="I4696">
        <v>10</v>
      </c>
      <c r="J4696" t="s">
        <v>26</v>
      </c>
      <c r="K4696" s="57"/>
      <c r="S4696" s="57"/>
      <c r="X4696" s="57"/>
    </row>
    <row r="4697" spans="1:24" hidden="1" x14ac:dyDescent="0.35">
      <c r="A4697">
        <v>4693</v>
      </c>
      <c r="B4697">
        <v>4694</v>
      </c>
      <c r="C4697">
        <v>146.06093836400001</v>
      </c>
      <c r="D4697">
        <v>-17.643294790599899</v>
      </c>
      <c r="G4697" s="92"/>
      <c r="I4697">
        <v>10</v>
      </c>
      <c r="J4697" t="s">
        <v>26</v>
      </c>
      <c r="K4697" s="57"/>
      <c r="S4697" s="57"/>
      <c r="X4697" s="57"/>
    </row>
    <row r="4698" spans="1:24" hidden="1" x14ac:dyDescent="0.35">
      <c r="A4698">
        <v>4694</v>
      </c>
      <c r="B4698">
        <v>4695</v>
      </c>
      <c r="C4698">
        <v>146.06086646200001</v>
      </c>
      <c r="D4698">
        <v>-17.643346107700001</v>
      </c>
      <c r="G4698" s="92"/>
      <c r="I4698">
        <v>10</v>
      </c>
      <c r="J4698" t="s">
        <v>26</v>
      </c>
      <c r="K4698" s="57"/>
      <c r="S4698" s="57"/>
      <c r="X4698" s="57"/>
    </row>
    <row r="4699" spans="1:24" hidden="1" x14ac:dyDescent="0.35">
      <c r="A4699">
        <v>4695</v>
      </c>
      <c r="B4699">
        <v>4696</v>
      </c>
      <c r="C4699">
        <v>146.06079456000001</v>
      </c>
      <c r="D4699">
        <v>-17.643397424900002</v>
      </c>
      <c r="G4699" s="92"/>
      <c r="I4699">
        <v>10</v>
      </c>
      <c r="J4699" t="s">
        <v>26</v>
      </c>
      <c r="K4699" s="57"/>
      <c r="S4699" s="57"/>
      <c r="X4699" s="57"/>
    </row>
    <row r="4700" spans="1:24" hidden="1" x14ac:dyDescent="0.35">
      <c r="A4700">
        <v>4696</v>
      </c>
      <c r="B4700">
        <v>4697</v>
      </c>
      <c r="C4700">
        <v>146.060722658999</v>
      </c>
      <c r="D4700">
        <v>-17.643448742</v>
      </c>
      <c r="G4700" s="92"/>
      <c r="I4700">
        <v>10</v>
      </c>
      <c r="J4700" t="s">
        <v>26</v>
      </c>
      <c r="K4700" s="57"/>
      <c r="S4700" s="57"/>
      <c r="X4700" s="57"/>
    </row>
    <row r="4701" spans="1:24" hidden="1" x14ac:dyDescent="0.35">
      <c r="A4701">
        <v>4697</v>
      </c>
      <c r="B4701">
        <v>4698</v>
      </c>
      <c r="C4701">
        <v>146.060650756999</v>
      </c>
      <c r="D4701">
        <v>-17.643500059200001</v>
      </c>
      <c r="G4701" s="92"/>
      <c r="I4701">
        <v>10</v>
      </c>
      <c r="J4701" t="s">
        <v>26</v>
      </c>
      <c r="K4701" s="57"/>
      <c r="S4701" s="57"/>
      <c r="X4701" s="57"/>
    </row>
    <row r="4702" spans="1:24" hidden="1" x14ac:dyDescent="0.35">
      <c r="A4702">
        <v>4698</v>
      </c>
      <c r="B4702">
        <v>4699</v>
      </c>
      <c r="C4702">
        <v>146.06057885499899</v>
      </c>
      <c r="D4702">
        <v>-17.6435513763</v>
      </c>
      <c r="G4702" s="92"/>
      <c r="I4702">
        <v>10</v>
      </c>
      <c r="J4702" t="s">
        <v>26</v>
      </c>
      <c r="K4702" s="57"/>
      <c r="S4702" s="57"/>
      <c r="X4702" s="57"/>
    </row>
    <row r="4703" spans="1:24" hidden="1" x14ac:dyDescent="0.35">
      <c r="A4703">
        <v>4699</v>
      </c>
      <c r="B4703">
        <v>4700</v>
      </c>
      <c r="C4703">
        <v>146.06050695299899</v>
      </c>
      <c r="D4703">
        <v>-17.643602693399899</v>
      </c>
      <c r="G4703" s="92"/>
      <c r="I4703">
        <v>10</v>
      </c>
      <c r="J4703" t="s">
        <v>26</v>
      </c>
      <c r="K4703" s="57"/>
      <c r="S4703" s="57"/>
      <c r="X4703" s="57"/>
    </row>
    <row r="4704" spans="1:24" hidden="1" x14ac:dyDescent="0.35">
      <c r="A4704">
        <v>4700</v>
      </c>
      <c r="B4704">
        <v>4701</v>
      </c>
      <c r="C4704">
        <v>146.060435052</v>
      </c>
      <c r="D4704">
        <v>-17.643654010500001</v>
      </c>
      <c r="G4704" s="92"/>
      <c r="I4704">
        <v>10</v>
      </c>
      <c r="J4704" t="s">
        <v>26</v>
      </c>
      <c r="K4704" s="57"/>
      <c r="S4704" s="57"/>
      <c r="X4704" s="57"/>
    </row>
    <row r="4705" spans="1:24" hidden="1" x14ac:dyDescent="0.35">
      <c r="A4705">
        <v>4701</v>
      </c>
      <c r="B4705">
        <v>4702</v>
      </c>
      <c r="C4705">
        <v>146.06036315</v>
      </c>
      <c r="D4705">
        <v>-17.643705327500001</v>
      </c>
      <c r="G4705" s="92"/>
      <c r="I4705">
        <v>10</v>
      </c>
      <c r="J4705" t="s">
        <v>26</v>
      </c>
      <c r="K4705" s="57"/>
      <c r="S4705" s="57"/>
      <c r="X4705" s="57"/>
    </row>
    <row r="4706" spans="1:24" hidden="1" x14ac:dyDescent="0.35">
      <c r="A4706">
        <v>4702</v>
      </c>
      <c r="B4706">
        <v>4703</v>
      </c>
      <c r="C4706">
        <v>146.06028922300001</v>
      </c>
      <c r="D4706">
        <v>-17.643753798500001</v>
      </c>
      <c r="G4706" s="92"/>
      <c r="I4706">
        <v>10</v>
      </c>
      <c r="J4706" t="s">
        <v>26</v>
      </c>
      <c r="K4706" s="57"/>
      <c r="S4706" s="57"/>
      <c r="X4706" s="57"/>
    </row>
    <row r="4707" spans="1:24" hidden="1" x14ac:dyDescent="0.35">
      <c r="A4707">
        <v>4703</v>
      </c>
      <c r="B4707">
        <v>4704</v>
      </c>
      <c r="C4707">
        <v>146.060212586999</v>
      </c>
      <c r="D4707">
        <v>-17.6437984619999</v>
      </c>
      <c r="G4707" s="92"/>
      <c r="I4707">
        <v>10</v>
      </c>
      <c r="J4707" t="s">
        <v>26</v>
      </c>
      <c r="K4707" s="57"/>
      <c r="S4707" s="57"/>
      <c r="X4707" s="57"/>
    </row>
    <row r="4708" spans="1:24" hidden="1" x14ac:dyDescent="0.35">
      <c r="A4708">
        <v>4704</v>
      </c>
      <c r="B4708">
        <v>4705</v>
      </c>
      <c r="C4708">
        <v>146.06013595100001</v>
      </c>
      <c r="D4708">
        <v>-17.6438431254</v>
      </c>
      <c r="G4708" s="92"/>
      <c r="I4708">
        <v>10</v>
      </c>
      <c r="J4708" t="s">
        <v>26</v>
      </c>
      <c r="K4708" s="57"/>
      <c r="S4708" s="57"/>
      <c r="X4708" s="57"/>
    </row>
    <row r="4709" spans="1:24" hidden="1" x14ac:dyDescent="0.35">
      <c r="A4709">
        <v>4705</v>
      </c>
      <c r="B4709">
        <v>4706</v>
      </c>
      <c r="C4709">
        <v>146.06005931499899</v>
      </c>
      <c r="D4709">
        <v>-17.6438877888999</v>
      </c>
      <c r="G4709" s="92"/>
      <c r="I4709">
        <v>10</v>
      </c>
      <c r="J4709" t="s">
        <v>26</v>
      </c>
      <c r="K4709" s="57"/>
      <c r="S4709" s="57"/>
      <c r="X4709" s="57"/>
    </row>
    <row r="4710" spans="1:24" hidden="1" x14ac:dyDescent="0.35">
      <c r="A4710">
        <v>4706</v>
      </c>
      <c r="B4710">
        <v>4707</v>
      </c>
      <c r="C4710">
        <v>146.059982679</v>
      </c>
      <c r="D4710">
        <v>-17.6439324523</v>
      </c>
      <c r="G4710" s="92"/>
      <c r="I4710">
        <v>10</v>
      </c>
      <c r="J4710" t="s">
        <v>26</v>
      </c>
      <c r="K4710" s="57"/>
      <c r="S4710" s="57"/>
      <c r="X4710" s="57"/>
    </row>
    <row r="4711" spans="1:24" hidden="1" x14ac:dyDescent="0.35">
      <c r="A4711">
        <v>4707</v>
      </c>
      <c r="B4711">
        <v>4708</v>
      </c>
      <c r="C4711">
        <v>146.05990604300001</v>
      </c>
      <c r="D4711">
        <v>-17.643977115799899</v>
      </c>
      <c r="G4711" s="92"/>
      <c r="I4711">
        <v>10</v>
      </c>
      <c r="J4711" t="s">
        <v>26</v>
      </c>
      <c r="K4711" s="57"/>
      <c r="S4711" s="57"/>
      <c r="X4711" s="57"/>
    </row>
    <row r="4712" spans="1:24" hidden="1" x14ac:dyDescent="0.35">
      <c r="A4712">
        <v>4708</v>
      </c>
      <c r="B4712">
        <v>4709</v>
      </c>
      <c r="C4712">
        <v>146.059829406999</v>
      </c>
      <c r="D4712">
        <v>-17.6440217791999</v>
      </c>
      <c r="G4712" s="92"/>
      <c r="I4712">
        <v>10</v>
      </c>
      <c r="J4712" t="s">
        <v>26</v>
      </c>
      <c r="K4712" s="57"/>
      <c r="S4712" s="57"/>
      <c r="X4712" s="57"/>
    </row>
    <row r="4713" spans="1:24" hidden="1" x14ac:dyDescent="0.35">
      <c r="A4713">
        <v>4709</v>
      </c>
      <c r="B4713">
        <v>4710</v>
      </c>
      <c r="C4713">
        <v>146.05975277100001</v>
      </c>
      <c r="D4713">
        <v>-17.6440664426</v>
      </c>
      <c r="G4713" s="92"/>
      <c r="I4713">
        <v>10</v>
      </c>
      <c r="J4713" t="s">
        <v>26</v>
      </c>
      <c r="K4713" s="57"/>
      <c r="S4713" s="57"/>
      <c r="X4713" s="57"/>
    </row>
    <row r="4714" spans="1:24" hidden="1" x14ac:dyDescent="0.35">
      <c r="A4714">
        <v>4710</v>
      </c>
      <c r="B4714">
        <v>4711</v>
      </c>
      <c r="C4714">
        <v>146.059675265999</v>
      </c>
      <c r="D4714">
        <v>-17.6441096884</v>
      </c>
      <c r="G4714" s="92"/>
      <c r="I4714">
        <v>10</v>
      </c>
      <c r="J4714" t="s">
        <v>26</v>
      </c>
      <c r="K4714" s="57"/>
      <c r="S4714" s="57"/>
      <c r="X4714" s="57"/>
    </row>
    <row r="4715" spans="1:24" hidden="1" x14ac:dyDescent="0.35">
      <c r="A4715">
        <v>4711</v>
      </c>
      <c r="B4715">
        <v>4712</v>
      </c>
      <c r="C4715">
        <v>146.059596814999</v>
      </c>
      <c r="D4715">
        <v>-17.644151393000001</v>
      </c>
      <c r="G4715" s="92"/>
      <c r="I4715">
        <v>10</v>
      </c>
      <c r="J4715" t="s">
        <v>26</v>
      </c>
      <c r="K4715" s="57"/>
      <c r="S4715" s="57"/>
      <c r="X4715" s="57"/>
    </row>
    <row r="4716" spans="1:24" hidden="1" x14ac:dyDescent="0.35">
      <c r="A4716">
        <v>4712</v>
      </c>
      <c r="B4716">
        <v>4713</v>
      </c>
      <c r="C4716">
        <v>146.059518365</v>
      </c>
      <c r="D4716">
        <v>-17.644193097599899</v>
      </c>
      <c r="G4716" s="92"/>
      <c r="I4716">
        <v>10</v>
      </c>
      <c r="J4716" t="s">
        <v>26</v>
      </c>
      <c r="K4716" s="57"/>
      <c r="S4716" s="57"/>
      <c r="X4716" s="57"/>
    </row>
    <row r="4717" spans="1:24" hidden="1" x14ac:dyDescent="0.35">
      <c r="A4717">
        <v>4713</v>
      </c>
      <c r="B4717">
        <v>4714</v>
      </c>
      <c r="C4717">
        <v>146.059439913999</v>
      </c>
      <c r="D4717">
        <v>-17.6442348022</v>
      </c>
      <c r="G4717" s="92"/>
      <c r="I4717">
        <v>10</v>
      </c>
      <c r="J4717" t="s">
        <v>26</v>
      </c>
      <c r="K4717" s="57"/>
      <c r="S4717" s="57"/>
      <c r="X4717" s="57"/>
    </row>
    <row r="4718" spans="1:24" hidden="1" x14ac:dyDescent="0.35">
      <c r="A4718">
        <v>4714</v>
      </c>
      <c r="B4718">
        <v>4715</v>
      </c>
      <c r="C4718">
        <v>146.05936146400001</v>
      </c>
      <c r="D4718">
        <v>-17.644276506699899</v>
      </c>
      <c r="G4718" s="92"/>
      <c r="I4718">
        <v>10</v>
      </c>
      <c r="J4718" t="s">
        <v>26</v>
      </c>
      <c r="K4718" s="57"/>
      <c r="S4718" s="57"/>
      <c r="X4718" s="57"/>
    </row>
    <row r="4719" spans="1:24" hidden="1" x14ac:dyDescent="0.35">
      <c r="A4719">
        <v>4715</v>
      </c>
      <c r="B4719">
        <v>4716</v>
      </c>
      <c r="C4719">
        <v>146.059283012999</v>
      </c>
      <c r="D4719">
        <v>-17.6443182113</v>
      </c>
      <c r="G4719" s="92"/>
      <c r="I4719">
        <v>10</v>
      </c>
      <c r="J4719" t="s">
        <v>26</v>
      </c>
      <c r="K4719" s="57"/>
      <c r="S4719" s="57"/>
      <c r="X4719" s="57"/>
    </row>
    <row r="4720" spans="1:24" hidden="1" x14ac:dyDescent="0.35">
      <c r="A4720">
        <v>4716</v>
      </c>
      <c r="B4720">
        <v>4717</v>
      </c>
      <c r="C4720">
        <v>146.059207759999</v>
      </c>
      <c r="D4720">
        <v>-17.644364762399899</v>
      </c>
      <c r="G4720" s="92"/>
      <c r="I4720">
        <v>10</v>
      </c>
      <c r="J4720" t="s">
        <v>26</v>
      </c>
      <c r="K4720" s="57"/>
      <c r="S4720" s="57"/>
      <c r="X4720" s="57"/>
    </row>
    <row r="4721" spans="1:24" hidden="1" x14ac:dyDescent="0.35">
      <c r="A4721">
        <v>4717</v>
      </c>
      <c r="B4721">
        <v>4718</v>
      </c>
      <c r="C4721">
        <v>146.05913431100001</v>
      </c>
      <c r="D4721">
        <v>-17.6444140487</v>
      </c>
      <c r="G4721" s="92"/>
      <c r="I4721">
        <v>10</v>
      </c>
      <c r="J4721" t="s">
        <v>26</v>
      </c>
      <c r="K4721" s="57"/>
      <c r="S4721" s="57"/>
      <c r="X4721" s="57"/>
    </row>
    <row r="4722" spans="1:24" hidden="1" x14ac:dyDescent="0.35">
      <c r="A4722">
        <v>4718</v>
      </c>
      <c r="B4722">
        <v>4719</v>
      </c>
      <c r="C4722">
        <v>146.05906086100001</v>
      </c>
      <c r="D4722">
        <v>-17.644463335000001</v>
      </c>
      <c r="G4722" s="92"/>
      <c r="I4722">
        <v>10</v>
      </c>
      <c r="J4722" t="s">
        <v>26</v>
      </c>
      <c r="K4722" s="57"/>
      <c r="S4722" s="57"/>
      <c r="X4722" s="57"/>
    </row>
    <row r="4723" spans="1:24" hidden="1" x14ac:dyDescent="0.35">
      <c r="A4723">
        <v>4719</v>
      </c>
      <c r="B4723">
        <v>4720</v>
      </c>
      <c r="C4723">
        <v>146.058992493999</v>
      </c>
      <c r="D4723">
        <v>-17.6445183887</v>
      </c>
      <c r="G4723" s="92"/>
      <c r="I4723">
        <v>10</v>
      </c>
      <c r="J4723" t="s">
        <v>26</v>
      </c>
      <c r="K4723" s="57"/>
      <c r="S4723" s="57"/>
      <c r="X4723" s="57"/>
    </row>
    <row r="4724" spans="1:24" hidden="1" x14ac:dyDescent="0.35">
      <c r="A4724">
        <v>4720</v>
      </c>
      <c r="B4724">
        <v>4721</v>
      </c>
      <c r="C4724">
        <v>146.058928850999</v>
      </c>
      <c r="D4724">
        <v>-17.644578804199899</v>
      </c>
      <c r="G4724" s="92"/>
      <c r="I4724">
        <v>10</v>
      </c>
      <c r="J4724" t="s">
        <v>26</v>
      </c>
      <c r="K4724" s="57"/>
      <c r="S4724" s="57"/>
      <c r="X4724" s="57"/>
    </row>
    <row r="4725" spans="1:24" hidden="1" x14ac:dyDescent="0.35">
      <c r="A4725">
        <v>4721</v>
      </c>
      <c r="B4725">
        <v>4722</v>
      </c>
      <c r="C4725">
        <v>146.05886520799899</v>
      </c>
      <c r="D4725">
        <v>-17.644639219599899</v>
      </c>
      <c r="G4725" s="92"/>
      <c r="I4725">
        <v>10</v>
      </c>
      <c r="J4725" t="s">
        <v>26</v>
      </c>
      <c r="K4725" s="57"/>
      <c r="S4725" s="57"/>
      <c r="X4725" s="57"/>
    </row>
    <row r="4726" spans="1:24" hidden="1" x14ac:dyDescent="0.35">
      <c r="A4726">
        <v>4722</v>
      </c>
      <c r="B4726">
        <v>4723</v>
      </c>
      <c r="C4726">
        <v>146.058801566</v>
      </c>
      <c r="D4726">
        <v>-17.644699634999899</v>
      </c>
      <c r="G4726" s="92"/>
      <c r="I4726">
        <v>10</v>
      </c>
      <c r="J4726" t="s">
        <v>26</v>
      </c>
      <c r="K4726" s="57"/>
      <c r="S4726" s="57"/>
      <c r="X4726" s="57"/>
    </row>
    <row r="4727" spans="1:24" hidden="1" x14ac:dyDescent="0.35">
      <c r="A4727">
        <v>4723</v>
      </c>
      <c r="B4727">
        <v>4724</v>
      </c>
      <c r="C4727">
        <v>146.05874519400001</v>
      </c>
      <c r="D4727">
        <v>-17.644766059399899</v>
      </c>
      <c r="G4727" s="92"/>
      <c r="I4727">
        <v>10</v>
      </c>
      <c r="J4727" t="s">
        <v>26</v>
      </c>
      <c r="K4727" s="57"/>
      <c r="S4727" s="57"/>
      <c r="X4727" s="57"/>
    </row>
    <row r="4728" spans="1:24" hidden="1" x14ac:dyDescent="0.35">
      <c r="A4728">
        <v>4724</v>
      </c>
      <c r="B4728">
        <v>4725</v>
      </c>
      <c r="C4728">
        <v>146.058691444</v>
      </c>
      <c r="D4728">
        <v>-17.644834649300002</v>
      </c>
      <c r="G4728" s="92"/>
      <c r="I4728">
        <v>10</v>
      </c>
      <c r="J4728" t="s">
        <v>26</v>
      </c>
      <c r="K4728" s="57"/>
      <c r="S4728" s="57"/>
      <c r="X4728" s="57"/>
    </row>
    <row r="4729" spans="1:24" hidden="1" x14ac:dyDescent="0.35">
      <c r="A4729">
        <v>4725</v>
      </c>
      <c r="B4729">
        <v>4726</v>
      </c>
      <c r="C4729">
        <v>146.05863769300001</v>
      </c>
      <c r="D4729">
        <v>-17.6449032391</v>
      </c>
      <c r="G4729" s="92"/>
      <c r="I4729">
        <v>10</v>
      </c>
      <c r="J4729" t="s">
        <v>26</v>
      </c>
      <c r="K4729" s="57"/>
      <c r="S4729" s="57"/>
      <c r="X4729" s="57"/>
    </row>
    <row r="4730" spans="1:24" hidden="1" x14ac:dyDescent="0.35">
      <c r="A4730">
        <v>4726</v>
      </c>
      <c r="B4730">
        <v>4727</v>
      </c>
      <c r="C4730">
        <v>146.058599012999</v>
      </c>
      <c r="D4730">
        <v>-17.644979783</v>
      </c>
      <c r="G4730" s="92"/>
      <c r="I4730">
        <v>10</v>
      </c>
      <c r="J4730" t="s">
        <v>26</v>
      </c>
      <c r="K4730" s="57"/>
      <c r="S4730" s="57"/>
      <c r="X4730" s="57"/>
    </row>
    <row r="4731" spans="1:24" hidden="1" x14ac:dyDescent="0.35">
      <c r="A4731">
        <v>4727</v>
      </c>
      <c r="B4731">
        <v>4728</v>
      </c>
      <c r="C4731">
        <v>146.05856652099899</v>
      </c>
      <c r="D4731">
        <v>-17.6450595921999</v>
      </c>
      <c r="G4731" s="92"/>
      <c r="I4731">
        <v>10</v>
      </c>
      <c r="J4731" t="s">
        <v>26</v>
      </c>
      <c r="K4731" s="57"/>
      <c r="S4731" s="57"/>
      <c r="X4731" s="57"/>
    </row>
    <row r="4732" spans="1:24" hidden="1" x14ac:dyDescent="0.35">
      <c r="A4732">
        <v>4728</v>
      </c>
      <c r="B4732">
        <v>4729</v>
      </c>
      <c r="C4732">
        <v>146.05853402899899</v>
      </c>
      <c r="D4732">
        <v>-17.6451394013</v>
      </c>
      <c r="G4732" s="92"/>
      <c r="I4732">
        <v>10</v>
      </c>
      <c r="J4732" t="s">
        <v>26</v>
      </c>
      <c r="K4732" s="57"/>
      <c r="S4732" s="57"/>
      <c r="X4732" s="57"/>
    </row>
    <row r="4733" spans="1:24" hidden="1" x14ac:dyDescent="0.35">
      <c r="A4733">
        <v>4729</v>
      </c>
      <c r="B4733">
        <v>4730</v>
      </c>
      <c r="C4733">
        <v>146.058501535999</v>
      </c>
      <c r="D4733">
        <v>-17.645219210299899</v>
      </c>
      <c r="G4733" s="92"/>
      <c r="I4733">
        <v>10</v>
      </c>
      <c r="J4733" t="s">
        <v>26</v>
      </c>
      <c r="K4733" s="57"/>
      <c r="S4733" s="57"/>
      <c r="X4733" s="57"/>
    </row>
    <row r="4734" spans="1:24" hidden="1" x14ac:dyDescent="0.35">
      <c r="A4734">
        <v>4730</v>
      </c>
      <c r="B4734">
        <v>4731</v>
      </c>
      <c r="C4734">
        <v>146.058472182</v>
      </c>
      <c r="D4734">
        <v>-17.64530001</v>
      </c>
      <c r="G4734" s="92"/>
      <c r="I4734">
        <v>10</v>
      </c>
      <c r="J4734" t="s">
        <v>26</v>
      </c>
      <c r="K4734" s="57"/>
      <c r="S4734" s="57"/>
      <c r="X4734" s="57"/>
    </row>
    <row r="4735" spans="1:24" hidden="1" x14ac:dyDescent="0.35">
      <c r="A4735">
        <v>4731</v>
      </c>
      <c r="B4735">
        <v>4732</v>
      </c>
      <c r="C4735">
        <v>146.058448249999</v>
      </c>
      <c r="D4735">
        <v>-17.645382521399899</v>
      </c>
      <c r="G4735" s="92"/>
      <c r="I4735">
        <v>10</v>
      </c>
      <c r="J4735" t="s">
        <v>26</v>
      </c>
      <c r="K4735" s="57"/>
      <c r="S4735" s="57"/>
      <c r="X4735" s="57"/>
    </row>
    <row r="4736" spans="1:24" hidden="1" x14ac:dyDescent="0.35">
      <c r="A4736">
        <v>4732</v>
      </c>
      <c r="B4736">
        <v>4733</v>
      </c>
      <c r="C4736">
        <v>146.05842431900001</v>
      </c>
      <c r="D4736">
        <v>-17.645465032800001</v>
      </c>
      <c r="G4736" s="92"/>
      <c r="I4736">
        <v>10</v>
      </c>
      <c r="J4736" t="s">
        <v>26</v>
      </c>
      <c r="K4736" s="57"/>
      <c r="S4736" s="57"/>
      <c r="X4736" s="57"/>
    </row>
    <row r="4737" spans="1:24" hidden="1" x14ac:dyDescent="0.35">
      <c r="A4737">
        <v>4733</v>
      </c>
      <c r="B4737">
        <v>4734</v>
      </c>
      <c r="C4737">
        <v>146.058407353999</v>
      </c>
      <c r="D4737">
        <v>-17.645548847499899</v>
      </c>
      <c r="G4737" s="92"/>
      <c r="I4737">
        <v>10</v>
      </c>
      <c r="J4737" t="s">
        <v>26</v>
      </c>
      <c r="K4737" s="57"/>
      <c r="S4737" s="57"/>
      <c r="X4737" s="57"/>
    </row>
    <row r="4738" spans="1:24" hidden="1" x14ac:dyDescent="0.35">
      <c r="A4738">
        <v>4734</v>
      </c>
      <c r="B4738">
        <v>4735</v>
      </c>
      <c r="C4738">
        <v>146.05839677399899</v>
      </c>
      <c r="D4738">
        <v>-17.6456338566</v>
      </c>
      <c r="G4738" s="92"/>
      <c r="I4738">
        <v>10</v>
      </c>
      <c r="J4738" t="s">
        <v>26</v>
      </c>
      <c r="K4738" s="57"/>
      <c r="S4738" s="57"/>
      <c r="X4738" s="57"/>
    </row>
    <row r="4739" spans="1:24" hidden="1" x14ac:dyDescent="0.35">
      <c r="A4739">
        <v>4735</v>
      </c>
      <c r="B4739">
        <v>4736</v>
      </c>
      <c r="C4739">
        <v>146.058391583999</v>
      </c>
      <c r="D4739">
        <v>-17.6457189951999</v>
      </c>
      <c r="G4739" s="92"/>
      <c r="I4739">
        <v>10</v>
      </c>
      <c r="J4739" t="s">
        <v>26</v>
      </c>
      <c r="K4739" s="57"/>
      <c r="S4739" s="57"/>
      <c r="X4739" s="57"/>
    </row>
    <row r="4740" spans="1:24" hidden="1" x14ac:dyDescent="0.35">
      <c r="A4740">
        <v>4736</v>
      </c>
      <c r="B4740">
        <v>4737</v>
      </c>
      <c r="C4740">
        <v>146.05839765600001</v>
      </c>
      <c r="D4740">
        <v>-17.6458044042</v>
      </c>
      <c r="G4740" s="92"/>
      <c r="I4740">
        <v>10</v>
      </c>
      <c r="J4740" t="s">
        <v>26</v>
      </c>
      <c r="K4740" s="57"/>
      <c r="S4740" s="57"/>
      <c r="X4740" s="57"/>
    </row>
    <row r="4741" spans="1:24" hidden="1" x14ac:dyDescent="0.35">
      <c r="A4741">
        <v>4737</v>
      </c>
      <c r="B4741">
        <v>4738</v>
      </c>
      <c r="C4741">
        <v>146.058403728</v>
      </c>
      <c r="D4741">
        <v>-17.645889813299899</v>
      </c>
      <c r="G4741" s="92"/>
      <c r="I4741">
        <v>10</v>
      </c>
      <c r="J4741" t="s">
        <v>26</v>
      </c>
      <c r="K4741" s="57"/>
      <c r="S4741" s="57"/>
      <c r="X4741" s="57"/>
    </row>
    <row r="4742" spans="1:24" hidden="1" x14ac:dyDescent="0.35">
      <c r="A4742">
        <v>4738</v>
      </c>
      <c r="B4742">
        <v>4739</v>
      </c>
      <c r="C4742">
        <v>146.058419178999</v>
      </c>
      <c r="D4742">
        <v>-17.645973988400002</v>
      </c>
      <c r="G4742" s="92"/>
      <c r="I4742">
        <v>10</v>
      </c>
      <c r="J4742" t="s">
        <v>26</v>
      </c>
      <c r="K4742" s="57"/>
      <c r="S4742" s="57"/>
      <c r="X4742" s="57"/>
    </row>
    <row r="4743" spans="1:24" hidden="1" x14ac:dyDescent="0.35">
      <c r="A4743">
        <v>4739</v>
      </c>
      <c r="B4743">
        <v>4740</v>
      </c>
      <c r="C4743">
        <v>146.05843761700001</v>
      </c>
      <c r="D4743">
        <v>-17.646057770500001</v>
      </c>
      <c r="G4743" s="92"/>
      <c r="I4743">
        <v>10</v>
      </c>
      <c r="J4743" t="s">
        <v>26</v>
      </c>
      <c r="K4743" s="57"/>
      <c r="S4743" s="57"/>
      <c r="X4743" s="57"/>
    </row>
    <row r="4744" spans="1:24" hidden="1" x14ac:dyDescent="0.35">
      <c r="A4744">
        <v>4740</v>
      </c>
      <c r="B4744">
        <v>4741</v>
      </c>
      <c r="C4744">
        <v>146.058466842999</v>
      </c>
      <c r="D4744">
        <v>-17.646137568299899</v>
      </c>
      <c r="G4744" s="92"/>
      <c r="I4744">
        <v>10</v>
      </c>
      <c r="J4744" t="s">
        <v>26</v>
      </c>
      <c r="K4744" s="57"/>
      <c r="S4744" s="57"/>
      <c r="X4744" s="57"/>
    </row>
    <row r="4745" spans="1:24" hidden="1" x14ac:dyDescent="0.35">
      <c r="A4745">
        <v>4741</v>
      </c>
      <c r="B4745">
        <v>4742</v>
      </c>
      <c r="C4745">
        <v>146.058512471</v>
      </c>
      <c r="D4745">
        <v>-17.646211308200002</v>
      </c>
      <c r="G4745" s="92"/>
      <c r="I4745">
        <v>10</v>
      </c>
      <c r="J4745" t="s">
        <v>26</v>
      </c>
      <c r="K4745" s="57"/>
      <c r="S4745" s="57"/>
      <c r="X4745" s="57"/>
    </row>
    <row r="4746" spans="1:24" hidden="1" x14ac:dyDescent="0.35">
      <c r="A4746">
        <v>4742</v>
      </c>
      <c r="B4746">
        <v>4743</v>
      </c>
      <c r="C4746">
        <v>146.058572685</v>
      </c>
      <c r="D4746">
        <v>-17.646272857100001</v>
      </c>
      <c r="G4746" s="92"/>
      <c r="I4746">
        <v>10</v>
      </c>
      <c r="J4746" t="s">
        <v>26</v>
      </c>
      <c r="K4746" s="57"/>
      <c r="S4746" s="57"/>
      <c r="X4746" s="57"/>
    </row>
    <row r="4747" spans="1:24" hidden="1" x14ac:dyDescent="0.35">
      <c r="A4747">
        <v>4743</v>
      </c>
      <c r="B4747">
        <v>4744</v>
      </c>
      <c r="C4747">
        <v>146.058653843</v>
      </c>
      <c r="D4747">
        <v>-17.646301230799899</v>
      </c>
      <c r="G4747" s="92"/>
      <c r="I4747">
        <v>10</v>
      </c>
      <c r="J4747" t="s">
        <v>26</v>
      </c>
      <c r="K4747" s="57"/>
      <c r="S4747" s="57"/>
      <c r="X4747" s="57"/>
    </row>
    <row r="4748" spans="1:24" hidden="1" x14ac:dyDescent="0.35">
      <c r="A4748">
        <v>4744</v>
      </c>
      <c r="B4748">
        <v>4745</v>
      </c>
      <c r="C4748">
        <v>146.058743144</v>
      </c>
      <c r="D4748">
        <v>-17.6463105196</v>
      </c>
      <c r="G4748" s="92"/>
      <c r="I4748">
        <v>10</v>
      </c>
      <c r="J4748" t="s">
        <v>26</v>
      </c>
      <c r="K4748" s="57"/>
      <c r="S4748" s="57"/>
      <c r="X4748" s="57"/>
    </row>
    <row r="4749" spans="1:24" hidden="1" x14ac:dyDescent="0.35">
      <c r="A4749">
        <v>4745</v>
      </c>
      <c r="B4749">
        <v>4746</v>
      </c>
      <c r="C4749">
        <v>146.058832593999</v>
      </c>
      <c r="D4749">
        <v>-17.6463072765</v>
      </c>
      <c r="G4749" s="92"/>
      <c r="I4749">
        <v>10</v>
      </c>
      <c r="J4749" t="s">
        <v>26</v>
      </c>
      <c r="K4749" s="57"/>
      <c r="S4749" s="57"/>
      <c r="X4749" s="57"/>
    </row>
    <row r="4750" spans="1:24" hidden="1" x14ac:dyDescent="0.35">
      <c r="A4750">
        <v>4746</v>
      </c>
      <c r="B4750">
        <v>4747</v>
      </c>
      <c r="C4750">
        <v>146.05892209199899</v>
      </c>
      <c r="D4750">
        <v>-17.6462999065999</v>
      </c>
      <c r="G4750" s="92"/>
      <c r="I4750">
        <v>10</v>
      </c>
      <c r="J4750" t="s">
        <v>26</v>
      </c>
      <c r="K4750" s="57"/>
      <c r="S4750" s="57"/>
      <c r="X4750" s="57"/>
    </row>
    <row r="4751" spans="1:24" hidden="1" x14ac:dyDescent="0.35">
      <c r="A4751">
        <v>4747</v>
      </c>
      <c r="B4751">
        <v>4748</v>
      </c>
      <c r="C4751">
        <v>146.05900628000001</v>
      </c>
      <c r="D4751">
        <v>-17.646273130400001</v>
      </c>
      <c r="G4751" s="92"/>
      <c r="I4751">
        <v>10</v>
      </c>
      <c r="J4751" t="s">
        <v>26</v>
      </c>
      <c r="K4751" s="57"/>
      <c r="S4751" s="57"/>
      <c r="X4751" s="57"/>
    </row>
    <row r="4752" spans="1:24" hidden="1" x14ac:dyDescent="0.35">
      <c r="A4752">
        <v>4748</v>
      </c>
      <c r="B4752">
        <v>4749</v>
      </c>
      <c r="C4752">
        <v>146.059088158999</v>
      </c>
      <c r="D4752">
        <v>-17.646237916899899</v>
      </c>
      <c r="G4752" s="92"/>
      <c r="I4752">
        <v>10</v>
      </c>
      <c r="J4752" t="s">
        <v>26</v>
      </c>
      <c r="K4752" s="57"/>
      <c r="S4752" s="57"/>
      <c r="X4752" s="57"/>
    </row>
    <row r="4753" spans="1:24" hidden="1" x14ac:dyDescent="0.35">
      <c r="A4753">
        <v>4749</v>
      </c>
      <c r="B4753">
        <v>4750</v>
      </c>
      <c r="C4753">
        <v>146.059170037999</v>
      </c>
      <c r="D4753">
        <v>-17.6462027034</v>
      </c>
      <c r="G4753" s="92"/>
      <c r="I4753">
        <v>10</v>
      </c>
      <c r="J4753" t="s">
        <v>26</v>
      </c>
      <c r="K4753" s="57"/>
      <c r="S4753" s="57"/>
      <c r="X4753" s="57"/>
    </row>
    <row r="4754" spans="1:24" hidden="1" x14ac:dyDescent="0.35">
      <c r="A4754">
        <v>4750</v>
      </c>
      <c r="B4754">
        <v>4751</v>
      </c>
      <c r="C4754">
        <v>146.059251918</v>
      </c>
      <c r="D4754">
        <v>-17.646167489900002</v>
      </c>
      <c r="G4754" s="92"/>
      <c r="I4754">
        <v>10</v>
      </c>
      <c r="J4754" t="s">
        <v>26</v>
      </c>
      <c r="K4754" s="57"/>
      <c r="S4754" s="57"/>
      <c r="X4754" s="57"/>
    </row>
    <row r="4755" spans="1:24" hidden="1" x14ac:dyDescent="0.35">
      <c r="A4755">
        <v>4751</v>
      </c>
      <c r="B4755">
        <v>4752</v>
      </c>
      <c r="C4755">
        <v>146.059333796999</v>
      </c>
      <c r="D4755">
        <v>-17.6461322763999</v>
      </c>
      <c r="G4755" s="92"/>
      <c r="I4755">
        <v>10</v>
      </c>
      <c r="J4755" t="s">
        <v>26</v>
      </c>
      <c r="K4755" s="57"/>
      <c r="S4755" s="57"/>
      <c r="X4755" s="57"/>
    </row>
    <row r="4756" spans="1:24" hidden="1" x14ac:dyDescent="0.35">
      <c r="A4756">
        <v>4752</v>
      </c>
      <c r="B4756">
        <v>4753</v>
      </c>
      <c r="C4756">
        <v>146.059413562999</v>
      </c>
      <c r="D4756">
        <v>-17.6460932038</v>
      </c>
      <c r="G4756" s="92"/>
      <c r="I4756">
        <v>10</v>
      </c>
      <c r="J4756" t="s">
        <v>26</v>
      </c>
      <c r="K4756" s="57"/>
      <c r="S4756" s="57"/>
      <c r="X4756" s="57"/>
    </row>
    <row r="4757" spans="1:24" hidden="1" x14ac:dyDescent="0.35">
      <c r="A4757">
        <v>4753</v>
      </c>
      <c r="B4757">
        <v>4754</v>
      </c>
      <c r="C4757">
        <v>146.05949069900001</v>
      </c>
      <c r="D4757">
        <v>-17.646049329099899</v>
      </c>
      <c r="G4757" s="92"/>
      <c r="I4757">
        <v>10</v>
      </c>
      <c r="J4757" t="s">
        <v>26</v>
      </c>
      <c r="K4757" s="57"/>
      <c r="S4757" s="57"/>
      <c r="X4757" s="57"/>
    </row>
    <row r="4758" spans="1:24" hidden="1" x14ac:dyDescent="0.35">
      <c r="A4758">
        <v>4754</v>
      </c>
      <c r="B4758">
        <v>4755</v>
      </c>
      <c r="C4758">
        <v>146.059567834999</v>
      </c>
      <c r="D4758">
        <v>-17.646005454400001</v>
      </c>
      <c r="G4758" s="92"/>
      <c r="I4758">
        <v>10</v>
      </c>
      <c r="J4758" t="s">
        <v>26</v>
      </c>
      <c r="K4758" s="57"/>
      <c r="S4758" s="57"/>
      <c r="X4758" s="57"/>
    </row>
    <row r="4759" spans="1:24" hidden="1" x14ac:dyDescent="0.35">
      <c r="A4759">
        <v>4755</v>
      </c>
      <c r="B4759">
        <v>4756</v>
      </c>
      <c r="C4759">
        <v>146.05964531000001</v>
      </c>
      <c r="D4759">
        <v>-17.645962148199899</v>
      </c>
      <c r="G4759" s="92"/>
      <c r="I4759">
        <v>10</v>
      </c>
      <c r="J4759" t="s">
        <v>26</v>
      </c>
      <c r="K4759" s="57"/>
      <c r="S4759" s="57"/>
      <c r="X4759" s="57"/>
    </row>
    <row r="4760" spans="1:24" hidden="1" x14ac:dyDescent="0.35">
      <c r="A4760">
        <v>4756</v>
      </c>
      <c r="B4760">
        <v>4757</v>
      </c>
      <c r="C4760">
        <v>146.05972427699899</v>
      </c>
      <c r="D4760">
        <v>-17.6459213384999</v>
      </c>
      <c r="G4760" s="92"/>
      <c r="I4760">
        <v>10</v>
      </c>
      <c r="J4760" t="s">
        <v>26</v>
      </c>
      <c r="K4760" s="57"/>
      <c r="S4760" s="57"/>
      <c r="X4760" s="57"/>
    </row>
    <row r="4761" spans="1:24" hidden="1" x14ac:dyDescent="0.35">
      <c r="A4761">
        <v>4757</v>
      </c>
      <c r="B4761">
        <v>4758</v>
      </c>
      <c r="C4761">
        <v>146.059803243999</v>
      </c>
      <c r="D4761">
        <v>-17.645880528900001</v>
      </c>
      <c r="G4761" s="92"/>
      <c r="I4761">
        <v>10</v>
      </c>
      <c r="J4761" t="s">
        <v>26</v>
      </c>
      <c r="K4761" s="57"/>
      <c r="S4761" s="57"/>
      <c r="X4761" s="57"/>
    </row>
    <row r="4762" spans="1:24" hidden="1" x14ac:dyDescent="0.35">
      <c r="A4762">
        <v>4758</v>
      </c>
      <c r="B4762">
        <v>4759</v>
      </c>
      <c r="C4762">
        <v>146.059888583999</v>
      </c>
      <c r="D4762">
        <v>-17.645854667999899</v>
      </c>
      <c r="G4762" s="92"/>
      <c r="I4762">
        <v>10</v>
      </c>
      <c r="J4762" t="s">
        <v>26</v>
      </c>
      <c r="K4762" s="57"/>
      <c r="S4762" s="57"/>
      <c r="X4762" s="57"/>
    </row>
    <row r="4763" spans="1:24" hidden="1" x14ac:dyDescent="0.35">
      <c r="A4763">
        <v>4759</v>
      </c>
      <c r="B4763">
        <v>4760</v>
      </c>
      <c r="C4763">
        <v>146.05997518999899</v>
      </c>
      <c r="D4763">
        <v>-17.645832466600002</v>
      </c>
      <c r="G4763" s="92"/>
      <c r="I4763">
        <v>10</v>
      </c>
      <c r="J4763" t="s">
        <v>26</v>
      </c>
      <c r="K4763" s="57"/>
      <c r="S4763" s="57"/>
      <c r="X4763" s="57"/>
    </row>
    <row r="4764" spans="1:24" hidden="1" x14ac:dyDescent="0.35">
      <c r="A4764">
        <v>4760</v>
      </c>
      <c r="B4764">
        <v>4761</v>
      </c>
      <c r="C4764">
        <v>146.060065019999</v>
      </c>
      <c r="D4764">
        <v>-17.645832895000002</v>
      </c>
      <c r="G4764" s="92"/>
      <c r="I4764">
        <v>10</v>
      </c>
      <c r="J4764" t="s">
        <v>26</v>
      </c>
      <c r="K4764" s="57"/>
      <c r="S4764" s="57"/>
      <c r="X4764" s="57"/>
    </row>
    <row r="4765" spans="1:24" hidden="1" x14ac:dyDescent="0.35">
      <c r="A4765">
        <v>4761</v>
      </c>
      <c r="B4765">
        <v>4762</v>
      </c>
      <c r="C4765">
        <v>146.060154850999</v>
      </c>
      <c r="D4765">
        <v>-17.645833323400002</v>
      </c>
      <c r="G4765" s="92"/>
      <c r="I4765">
        <v>10</v>
      </c>
      <c r="J4765" t="s">
        <v>26</v>
      </c>
      <c r="K4765" s="57"/>
      <c r="S4765" s="57"/>
      <c r="X4765" s="57"/>
    </row>
    <row r="4766" spans="1:24" hidden="1" x14ac:dyDescent="0.35">
      <c r="A4766">
        <v>4762</v>
      </c>
      <c r="B4766">
        <v>4763</v>
      </c>
      <c r="C4766">
        <v>146.06024186600001</v>
      </c>
      <c r="D4766">
        <v>-17.645854558900002</v>
      </c>
      <c r="G4766" s="92"/>
      <c r="I4766">
        <v>10</v>
      </c>
      <c r="J4766" t="s">
        <v>26</v>
      </c>
      <c r="K4766" s="57"/>
      <c r="S4766" s="57"/>
      <c r="X4766" s="57"/>
    </row>
    <row r="4767" spans="1:24" hidden="1" x14ac:dyDescent="0.35">
      <c r="A4767">
        <v>4763</v>
      </c>
      <c r="B4767">
        <v>4764</v>
      </c>
      <c r="C4767">
        <v>146.060327295999</v>
      </c>
      <c r="D4767">
        <v>-17.645879737200001</v>
      </c>
      <c r="G4767" s="92"/>
      <c r="I4767">
        <v>10</v>
      </c>
      <c r="J4767" t="s">
        <v>26</v>
      </c>
      <c r="K4767" s="57"/>
      <c r="S4767" s="57"/>
      <c r="X4767" s="57"/>
    </row>
    <row r="4768" spans="1:24" hidden="1" x14ac:dyDescent="0.35">
      <c r="A4768">
        <v>4764</v>
      </c>
      <c r="B4768">
        <v>4765</v>
      </c>
      <c r="C4768">
        <v>146.06040665500001</v>
      </c>
      <c r="D4768">
        <v>-17.6459198487</v>
      </c>
      <c r="G4768" s="92"/>
      <c r="I4768">
        <v>10</v>
      </c>
      <c r="J4768" t="s">
        <v>26</v>
      </c>
      <c r="K4768" s="57"/>
      <c r="S4768" s="57"/>
      <c r="X4768" s="57"/>
    </row>
    <row r="4769" spans="1:24" hidden="1" x14ac:dyDescent="0.35">
      <c r="A4769">
        <v>4765</v>
      </c>
      <c r="B4769">
        <v>4766</v>
      </c>
      <c r="C4769">
        <v>146.06048601500001</v>
      </c>
      <c r="D4769">
        <v>-17.645959960100001</v>
      </c>
      <c r="G4769" s="92"/>
      <c r="I4769">
        <v>10</v>
      </c>
      <c r="J4769" t="s">
        <v>26</v>
      </c>
      <c r="K4769" s="57"/>
      <c r="S4769" s="57"/>
      <c r="X4769" s="57"/>
    </row>
    <row r="4770" spans="1:24" hidden="1" x14ac:dyDescent="0.35">
      <c r="A4770">
        <v>4766</v>
      </c>
      <c r="B4770">
        <v>4767</v>
      </c>
      <c r="C4770">
        <v>146.06056537500001</v>
      </c>
      <c r="D4770">
        <v>-17.6460000716</v>
      </c>
      <c r="G4770" s="92"/>
      <c r="I4770">
        <v>10</v>
      </c>
      <c r="J4770" t="s">
        <v>26</v>
      </c>
      <c r="K4770" s="57"/>
      <c r="S4770" s="57"/>
      <c r="X4770" s="57"/>
    </row>
    <row r="4771" spans="1:24" hidden="1" x14ac:dyDescent="0.35">
      <c r="A4771">
        <v>4767</v>
      </c>
      <c r="B4771">
        <v>4768</v>
      </c>
      <c r="C4771">
        <v>146.060636238999</v>
      </c>
      <c r="D4771">
        <v>-17.646052310999899</v>
      </c>
      <c r="G4771" s="92"/>
      <c r="I4771">
        <v>10</v>
      </c>
      <c r="J4771" t="s">
        <v>26</v>
      </c>
      <c r="K4771" s="57"/>
      <c r="S4771" s="57"/>
      <c r="X4771" s="57"/>
    </row>
    <row r="4772" spans="1:24" hidden="1" x14ac:dyDescent="0.35">
      <c r="A4772">
        <v>4768</v>
      </c>
      <c r="B4772">
        <v>4769</v>
      </c>
      <c r="C4772">
        <v>146.060705544999</v>
      </c>
      <c r="D4772">
        <v>-17.6461067734</v>
      </c>
      <c r="G4772" s="92"/>
      <c r="I4772">
        <v>10</v>
      </c>
      <c r="J4772" t="s">
        <v>26</v>
      </c>
      <c r="K4772" s="57"/>
      <c r="S4772" s="57"/>
      <c r="X4772" s="57"/>
    </row>
    <row r="4773" spans="1:24" hidden="1" x14ac:dyDescent="0.35">
      <c r="A4773">
        <v>4769</v>
      </c>
      <c r="B4773">
        <v>4770</v>
      </c>
      <c r="C4773">
        <v>146.06077485200001</v>
      </c>
      <c r="D4773">
        <v>-17.646161235800001</v>
      </c>
      <c r="G4773" s="92"/>
      <c r="I4773">
        <v>10</v>
      </c>
      <c r="J4773" t="s">
        <v>26</v>
      </c>
      <c r="K4773" s="57"/>
      <c r="S4773" s="57"/>
      <c r="X4773" s="57"/>
    </row>
    <row r="4774" spans="1:24" hidden="1" x14ac:dyDescent="0.35">
      <c r="A4774">
        <v>4770</v>
      </c>
      <c r="B4774">
        <v>4771</v>
      </c>
      <c r="C4774">
        <v>146.060844158999</v>
      </c>
      <c r="D4774">
        <v>-17.646215698100001</v>
      </c>
      <c r="G4774" s="92"/>
      <c r="I4774">
        <v>10</v>
      </c>
      <c r="J4774" t="s">
        <v>26</v>
      </c>
      <c r="K4774" s="57"/>
      <c r="S4774" s="57"/>
      <c r="X4774" s="57"/>
    </row>
    <row r="4775" spans="1:24" hidden="1" x14ac:dyDescent="0.35">
      <c r="A4775">
        <v>4771</v>
      </c>
      <c r="B4775">
        <v>4772</v>
      </c>
      <c r="C4775">
        <v>146.060912156</v>
      </c>
      <c r="D4775">
        <v>-17.6462716172</v>
      </c>
      <c r="G4775" s="92"/>
      <c r="I4775">
        <v>10</v>
      </c>
      <c r="J4775" t="s">
        <v>26</v>
      </c>
      <c r="K4775" s="57"/>
      <c r="S4775" s="57"/>
      <c r="X4775" s="57"/>
    </row>
    <row r="4776" spans="1:24" hidden="1" x14ac:dyDescent="0.35">
      <c r="A4776">
        <v>4772</v>
      </c>
      <c r="B4776">
        <v>4773</v>
      </c>
      <c r="C4776">
        <v>146.060983093</v>
      </c>
      <c r="D4776">
        <v>-17.646323085100001</v>
      </c>
      <c r="G4776" s="92"/>
      <c r="I4776">
        <v>10</v>
      </c>
      <c r="J4776" t="s">
        <v>26</v>
      </c>
      <c r="K4776" s="57"/>
      <c r="S4776" s="57"/>
      <c r="X4776" s="57"/>
    </row>
    <row r="4777" spans="1:24" hidden="1" x14ac:dyDescent="0.35">
      <c r="A4777">
        <v>4773</v>
      </c>
      <c r="B4777">
        <v>4774</v>
      </c>
      <c r="C4777">
        <v>146.06106384500001</v>
      </c>
      <c r="D4777">
        <v>-17.646360587499899</v>
      </c>
      <c r="G4777" s="92"/>
      <c r="I4777">
        <v>10</v>
      </c>
      <c r="J4777" t="s">
        <v>26</v>
      </c>
      <c r="K4777" s="57"/>
      <c r="S4777" s="57"/>
      <c r="X4777" s="57"/>
    </row>
    <row r="4778" spans="1:24" hidden="1" x14ac:dyDescent="0.35">
      <c r="A4778">
        <v>4774</v>
      </c>
      <c r="B4778">
        <v>4775</v>
      </c>
      <c r="C4778">
        <v>146.061144597999</v>
      </c>
      <c r="D4778">
        <v>-17.646398089800002</v>
      </c>
      <c r="G4778" s="92"/>
      <c r="I4778">
        <v>10</v>
      </c>
      <c r="J4778" t="s">
        <v>26</v>
      </c>
      <c r="K4778" s="57"/>
      <c r="S4778" s="57"/>
      <c r="X4778" s="57"/>
    </row>
    <row r="4779" spans="1:24" hidden="1" x14ac:dyDescent="0.35">
      <c r="A4779">
        <v>4775</v>
      </c>
      <c r="B4779">
        <v>4776</v>
      </c>
      <c r="C4779">
        <v>146.06122551000001</v>
      </c>
      <c r="D4779">
        <v>-17.646435264200001</v>
      </c>
      <c r="G4779" s="92"/>
      <c r="I4779">
        <v>10</v>
      </c>
      <c r="J4779" t="s">
        <v>26</v>
      </c>
      <c r="K4779" s="57"/>
      <c r="S4779" s="57"/>
      <c r="X4779" s="57"/>
    </row>
    <row r="4780" spans="1:24" hidden="1" x14ac:dyDescent="0.35">
      <c r="A4780">
        <v>4776</v>
      </c>
      <c r="B4780">
        <v>4777</v>
      </c>
      <c r="C4780">
        <v>146.061307674999</v>
      </c>
      <c r="D4780">
        <v>-17.6464698676</v>
      </c>
      <c r="G4780" s="92"/>
      <c r="I4780">
        <v>10</v>
      </c>
      <c r="J4780" t="s">
        <v>26</v>
      </c>
      <c r="K4780" s="57"/>
      <c r="S4780" s="57"/>
      <c r="X4780" s="57"/>
    </row>
    <row r="4781" spans="1:24" hidden="1" x14ac:dyDescent="0.35">
      <c r="A4781">
        <v>4777</v>
      </c>
      <c r="B4781">
        <v>4778</v>
      </c>
      <c r="C4781">
        <v>146.06138988999899</v>
      </c>
      <c r="D4781">
        <v>-17.6465043621</v>
      </c>
      <c r="G4781" s="92"/>
      <c r="I4781">
        <v>10</v>
      </c>
      <c r="J4781" t="s">
        <v>26</v>
      </c>
      <c r="K4781" s="57"/>
      <c r="S4781" s="57"/>
      <c r="X4781" s="57"/>
    </row>
    <row r="4782" spans="1:24" hidden="1" x14ac:dyDescent="0.35">
      <c r="A4782">
        <v>4778</v>
      </c>
      <c r="B4782">
        <v>4779</v>
      </c>
      <c r="C4782">
        <v>146.061472648999</v>
      </c>
      <c r="D4782">
        <v>-17.6465376572</v>
      </c>
      <c r="G4782" s="92"/>
      <c r="I4782">
        <v>10</v>
      </c>
      <c r="J4782" t="s">
        <v>26</v>
      </c>
      <c r="K4782" s="57"/>
      <c r="S4782" s="57"/>
      <c r="X4782" s="57"/>
    </row>
    <row r="4783" spans="1:24" hidden="1" x14ac:dyDescent="0.35">
      <c r="A4783">
        <v>4779</v>
      </c>
      <c r="B4783">
        <v>4780</v>
      </c>
      <c r="C4783">
        <v>146.06155583500001</v>
      </c>
      <c r="D4783">
        <v>-17.646569825499899</v>
      </c>
      <c r="G4783" s="92"/>
      <c r="I4783">
        <v>10</v>
      </c>
      <c r="J4783" t="s">
        <v>26</v>
      </c>
      <c r="K4783" s="57"/>
      <c r="S4783" s="57"/>
      <c r="X4783" s="57"/>
    </row>
    <row r="4784" spans="1:24" hidden="1" x14ac:dyDescent="0.35">
      <c r="A4784">
        <v>4780</v>
      </c>
      <c r="B4784">
        <v>4781</v>
      </c>
      <c r="C4784">
        <v>146.061641769999</v>
      </c>
      <c r="D4784">
        <v>-17.6465947664</v>
      </c>
      <c r="G4784" s="92"/>
      <c r="I4784">
        <v>10</v>
      </c>
      <c r="J4784" t="s">
        <v>26</v>
      </c>
      <c r="K4784" s="57"/>
      <c r="S4784" s="57"/>
      <c r="X4784" s="57"/>
    </row>
    <row r="4785" spans="1:24" hidden="1" x14ac:dyDescent="0.35">
      <c r="A4785">
        <v>4781</v>
      </c>
      <c r="B4785">
        <v>4782</v>
      </c>
      <c r="C4785">
        <v>146.061727703999</v>
      </c>
      <c r="D4785">
        <v>-17.6466197073999</v>
      </c>
      <c r="G4785" s="92"/>
      <c r="I4785">
        <v>10</v>
      </c>
      <c r="J4785" t="s">
        <v>26</v>
      </c>
      <c r="K4785" s="57"/>
      <c r="S4785" s="57"/>
      <c r="X4785" s="57"/>
    </row>
    <row r="4786" spans="1:24" hidden="1" x14ac:dyDescent="0.35">
      <c r="A4786">
        <v>4782</v>
      </c>
      <c r="B4786">
        <v>4783</v>
      </c>
      <c r="C4786">
        <v>146.06181636400001</v>
      </c>
      <c r="D4786">
        <v>-17.646621872600001</v>
      </c>
      <c r="G4786" s="92"/>
      <c r="I4786">
        <v>10</v>
      </c>
      <c r="J4786" t="s">
        <v>26</v>
      </c>
      <c r="K4786" s="57"/>
      <c r="S4786" s="57"/>
      <c r="X4786" s="57"/>
    </row>
    <row r="4787" spans="1:24" hidden="1" x14ac:dyDescent="0.35">
      <c r="A4787">
        <v>4783</v>
      </c>
      <c r="B4787">
        <v>4784</v>
      </c>
      <c r="C4787">
        <v>146.06190598500001</v>
      </c>
      <c r="D4787">
        <v>-17.646616014300001</v>
      </c>
      <c r="G4787" s="92"/>
      <c r="I4787">
        <v>10</v>
      </c>
      <c r="J4787" t="s">
        <v>26</v>
      </c>
      <c r="K4787" s="57"/>
      <c r="S4787" s="57"/>
      <c r="X4787" s="57"/>
    </row>
    <row r="4788" spans="1:24" hidden="1" x14ac:dyDescent="0.35">
      <c r="A4788">
        <v>4784</v>
      </c>
      <c r="B4788">
        <v>4785</v>
      </c>
      <c r="C4788">
        <v>146.061995639999</v>
      </c>
      <c r="D4788">
        <v>-17.646611710799899</v>
      </c>
      <c r="G4788" s="92"/>
      <c r="I4788">
        <v>10</v>
      </c>
      <c r="J4788" t="s">
        <v>26</v>
      </c>
      <c r="K4788" s="57"/>
      <c r="S4788" s="57"/>
      <c r="X4788" s="57"/>
    </row>
    <row r="4789" spans="1:24" hidden="1" x14ac:dyDescent="0.35">
      <c r="A4789">
        <v>4785</v>
      </c>
      <c r="B4789">
        <v>4786</v>
      </c>
      <c r="C4789">
        <v>146.062085437999</v>
      </c>
      <c r="D4789">
        <v>-17.646614051099899</v>
      </c>
      <c r="G4789" s="92"/>
      <c r="I4789">
        <v>10</v>
      </c>
      <c r="J4789" t="s">
        <v>26</v>
      </c>
      <c r="K4789" s="57"/>
      <c r="S4789" s="57"/>
      <c r="X4789" s="57"/>
    </row>
    <row r="4790" spans="1:24" hidden="1" x14ac:dyDescent="0.35">
      <c r="A4790">
        <v>4786</v>
      </c>
      <c r="B4790">
        <v>4787</v>
      </c>
      <c r="C4790">
        <v>146.062175236</v>
      </c>
      <c r="D4790">
        <v>-17.646616391399899</v>
      </c>
      <c r="G4790" s="92"/>
      <c r="I4790">
        <v>10</v>
      </c>
      <c r="J4790" t="s">
        <v>26</v>
      </c>
      <c r="K4790" s="57"/>
      <c r="S4790" s="57"/>
      <c r="X4790" s="57"/>
    </row>
    <row r="4791" spans="1:24" hidden="1" x14ac:dyDescent="0.35">
      <c r="A4791">
        <v>4787</v>
      </c>
      <c r="B4791">
        <v>4788</v>
      </c>
      <c r="C4791">
        <v>146.06226436700001</v>
      </c>
      <c r="D4791">
        <v>-17.6466244110999</v>
      </c>
      <c r="G4791" s="92"/>
      <c r="I4791">
        <v>10</v>
      </c>
      <c r="J4791" t="s">
        <v>26</v>
      </c>
      <c r="K4791" s="57"/>
      <c r="S4791" s="57"/>
      <c r="X4791" s="57"/>
    </row>
    <row r="4792" spans="1:24" hidden="1" x14ac:dyDescent="0.35">
      <c r="A4792">
        <v>4788</v>
      </c>
      <c r="B4792">
        <v>4789</v>
      </c>
      <c r="C4792">
        <v>146.06235249100001</v>
      </c>
      <c r="D4792">
        <v>-17.6466410252999</v>
      </c>
      <c r="G4792" s="92"/>
      <c r="I4792">
        <v>10</v>
      </c>
      <c r="J4792" t="s">
        <v>26</v>
      </c>
      <c r="K4792" s="57"/>
      <c r="S4792" s="57"/>
      <c r="X4792" s="57"/>
    </row>
    <row r="4793" spans="1:24" hidden="1" x14ac:dyDescent="0.35">
      <c r="A4793">
        <v>4789</v>
      </c>
      <c r="B4793">
        <v>4790</v>
      </c>
      <c r="C4793">
        <v>146.062440613999</v>
      </c>
      <c r="D4793">
        <v>-17.6466576394999</v>
      </c>
      <c r="G4793" s="92"/>
      <c r="I4793">
        <v>10</v>
      </c>
      <c r="J4793" t="s">
        <v>26</v>
      </c>
      <c r="K4793" s="57"/>
      <c r="S4793" s="57"/>
      <c r="X4793" s="57"/>
    </row>
    <row r="4794" spans="1:24" hidden="1" x14ac:dyDescent="0.35">
      <c r="A4794">
        <v>4790</v>
      </c>
      <c r="B4794">
        <v>4791</v>
      </c>
      <c r="C4794">
        <v>146.06252749500001</v>
      </c>
      <c r="D4794">
        <v>-17.6466787337</v>
      </c>
      <c r="G4794" s="92"/>
      <c r="I4794">
        <v>10</v>
      </c>
      <c r="J4794" t="s">
        <v>26</v>
      </c>
      <c r="K4794" s="57"/>
      <c r="S4794" s="57"/>
      <c r="X4794" s="57"/>
    </row>
    <row r="4795" spans="1:24" hidden="1" x14ac:dyDescent="0.35">
      <c r="A4795">
        <v>4791</v>
      </c>
      <c r="B4795">
        <v>4792</v>
      </c>
      <c r="C4795">
        <v>146.062612723</v>
      </c>
      <c r="D4795">
        <v>-17.6467057875</v>
      </c>
      <c r="G4795" s="92"/>
      <c r="I4795">
        <v>10</v>
      </c>
      <c r="J4795" t="s">
        <v>26</v>
      </c>
      <c r="K4795" s="57"/>
      <c r="S4795" s="57"/>
      <c r="X4795" s="57"/>
    </row>
    <row r="4796" spans="1:24" hidden="1" x14ac:dyDescent="0.35">
      <c r="A4796">
        <v>4792</v>
      </c>
      <c r="B4796">
        <v>4793</v>
      </c>
      <c r="C4796">
        <v>146.06269795</v>
      </c>
      <c r="D4796">
        <v>-17.6467328413</v>
      </c>
      <c r="G4796" s="92"/>
      <c r="I4796">
        <v>10</v>
      </c>
      <c r="J4796" t="s">
        <v>26</v>
      </c>
      <c r="K4796" s="57"/>
      <c r="S4796" s="57"/>
      <c r="X4796" s="57"/>
    </row>
    <row r="4797" spans="1:24" hidden="1" x14ac:dyDescent="0.35">
      <c r="A4797">
        <v>4793</v>
      </c>
      <c r="B4797">
        <v>4794</v>
      </c>
      <c r="C4797">
        <v>146.062779742999</v>
      </c>
      <c r="D4797">
        <v>-17.6467676267999</v>
      </c>
      <c r="G4797" s="92"/>
      <c r="I4797">
        <v>10</v>
      </c>
      <c r="J4797" t="s">
        <v>26</v>
      </c>
      <c r="K4797" s="57"/>
      <c r="S4797" s="57"/>
      <c r="X4797" s="57"/>
    </row>
    <row r="4798" spans="1:24" hidden="1" x14ac:dyDescent="0.35">
      <c r="A4798">
        <v>4794</v>
      </c>
      <c r="B4798">
        <v>4795</v>
      </c>
      <c r="C4798">
        <v>146.06285945600001</v>
      </c>
      <c r="D4798">
        <v>-17.6468070986</v>
      </c>
      <c r="G4798" s="92"/>
      <c r="I4798">
        <v>10</v>
      </c>
      <c r="J4798" t="s">
        <v>26</v>
      </c>
      <c r="K4798" s="57"/>
      <c r="S4798" s="57"/>
      <c r="X4798" s="57"/>
    </row>
    <row r="4799" spans="1:24" hidden="1" x14ac:dyDescent="0.35">
      <c r="A4799">
        <v>4795</v>
      </c>
      <c r="B4799">
        <v>4796</v>
      </c>
      <c r="C4799">
        <v>146.06293916800001</v>
      </c>
      <c r="D4799">
        <v>-17.646846570400001</v>
      </c>
      <c r="G4799" s="92"/>
      <c r="I4799">
        <v>10</v>
      </c>
      <c r="J4799" t="s">
        <v>26</v>
      </c>
      <c r="K4799" s="57"/>
      <c r="S4799" s="57"/>
      <c r="X4799" s="57"/>
    </row>
    <row r="4800" spans="1:24" hidden="1" x14ac:dyDescent="0.35">
      <c r="A4800">
        <v>4796</v>
      </c>
      <c r="B4800">
        <v>4797</v>
      </c>
      <c r="C4800">
        <v>146.063017613</v>
      </c>
      <c r="D4800">
        <v>-17.6468880318</v>
      </c>
      <c r="G4800" s="92"/>
      <c r="I4800">
        <v>10</v>
      </c>
      <c r="J4800" t="s">
        <v>26</v>
      </c>
      <c r="K4800" s="57"/>
      <c r="S4800" s="57"/>
      <c r="X4800" s="57"/>
    </row>
    <row r="4801" spans="1:24" hidden="1" x14ac:dyDescent="0.35">
      <c r="A4801">
        <v>4797</v>
      </c>
      <c r="B4801">
        <v>4798</v>
      </c>
      <c r="C4801">
        <v>146.063091189</v>
      </c>
      <c r="D4801">
        <v>-17.6469371455999</v>
      </c>
      <c r="G4801" s="92"/>
      <c r="I4801">
        <v>10</v>
      </c>
      <c r="J4801" t="s">
        <v>26</v>
      </c>
      <c r="K4801" s="57"/>
      <c r="S4801" s="57"/>
      <c r="X4801" s="57"/>
    </row>
    <row r="4802" spans="1:24" hidden="1" x14ac:dyDescent="0.35">
      <c r="A4802">
        <v>4798</v>
      </c>
      <c r="B4802">
        <v>4799</v>
      </c>
      <c r="C4802">
        <v>146.06316476500001</v>
      </c>
      <c r="D4802">
        <v>-17.646986259399899</v>
      </c>
      <c r="G4802" s="92"/>
      <c r="I4802">
        <v>10</v>
      </c>
      <c r="J4802" t="s">
        <v>26</v>
      </c>
      <c r="K4802" s="57"/>
      <c r="S4802" s="57"/>
      <c r="X4802" s="57"/>
    </row>
    <row r="4803" spans="1:24" hidden="1" x14ac:dyDescent="0.35">
      <c r="A4803">
        <v>4799</v>
      </c>
      <c r="B4803">
        <v>4800</v>
      </c>
      <c r="C4803">
        <v>146.06323834099899</v>
      </c>
      <c r="D4803">
        <v>-17.647035373200001</v>
      </c>
      <c r="G4803" s="92"/>
      <c r="I4803">
        <v>10</v>
      </c>
      <c r="J4803" t="s">
        <v>26</v>
      </c>
      <c r="K4803" s="57"/>
      <c r="S4803" s="57"/>
      <c r="X4803" s="57"/>
    </row>
    <row r="4804" spans="1:24" hidden="1" x14ac:dyDescent="0.35">
      <c r="A4804">
        <v>4800</v>
      </c>
      <c r="B4804">
        <v>4801</v>
      </c>
      <c r="C4804">
        <v>146.063314426999</v>
      </c>
      <c r="D4804">
        <v>-17.647080832699899</v>
      </c>
      <c r="G4804" s="92"/>
      <c r="I4804">
        <v>10</v>
      </c>
      <c r="J4804" t="s">
        <v>26</v>
      </c>
      <c r="K4804" s="57"/>
      <c r="S4804" s="57"/>
      <c r="X4804" s="57"/>
    </row>
    <row r="4805" spans="1:24" hidden="1" x14ac:dyDescent="0.35">
      <c r="A4805">
        <v>4801</v>
      </c>
      <c r="B4805">
        <v>4802</v>
      </c>
      <c r="C4805">
        <v>146.06339110100001</v>
      </c>
      <c r="D4805">
        <v>-17.647125436900001</v>
      </c>
      <c r="G4805" s="92"/>
      <c r="I4805">
        <v>10</v>
      </c>
      <c r="J4805" t="s">
        <v>26</v>
      </c>
      <c r="K4805" s="57"/>
      <c r="S4805" s="57"/>
      <c r="X4805" s="57"/>
    </row>
    <row r="4806" spans="1:24" hidden="1" x14ac:dyDescent="0.35">
      <c r="A4806">
        <v>4802</v>
      </c>
      <c r="B4806">
        <v>4803</v>
      </c>
      <c r="C4806">
        <v>146.063467774</v>
      </c>
      <c r="D4806">
        <v>-17.647170041100001</v>
      </c>
      <c r="G4806" s="92"/>
      <c r="I4806">
        <v>10</v>
      </c>
      <c r="J4806" t="s">
        <v>26</v>
      </c>
      <c r="K4806" s="57"/>
      <c r="S4806" s="57"/>
      <c r="X4806" s="57"/>
    </row>
    <row r="4807" spans="1:24" hidden="1" x14ac:dyDescent="0.35">
      <c r="A4807">
        <v>4803</v>
      </c>
      <c r="B4807">
        <v>4804</v>
      </c>
      <c r="C4807">
        <v>146.063545414999</v>
      </c>
      <c r="D4807">
        <v>-17.647212904</v>
      </c>
      <c r="G4807" s="92"/>
      <c r="I4807">
        <v>10</v>
      </c>
      <c r="J4807" t="s">
        <v>26</v>
      </c>
      <c r="K4807" s="57"/>
      <c r="S4807" s="57"/>
      <c r="X4807" s="57"/>
    </row>
    <row r="4808" spans="1:24" hidden="1" x14ac:dyDescent="0.35">
      <c r="A4808">
        <v>4804</v>
      </c>
      <c r="B4808">
        <v>4805</v>
      </c>
      <c r="C4808">
        <v>146.06362723800001</v>
      </c>
      <c r="D4808">
        <v>-17.647248236900001</v>
      </c>
      <c r="G4808" s="92"/>
      <c r="I4808">
        <v>10</v>
      </c>
      <c r="J4808" t="s">
        <v>26</v>
      </c>
      <c r="K4808" s="57"/>
      <c r="S4808" s="57"/>
      <c r="X4808" s="57"/>
    </row>
    <row r="4809" spans="1:24" hidden="1" x14ac:dyDescent="0.35">
      <c r="A4809">
        <v>4805</v>
      </c>
      <c r="B4809">
        <v>4806</v>
      </c>
      <c r="C4809">
        <v>146.06371186000001</v>
      </c>
      <c r="D4809">
        <v>-17.647269790500001</v>
      </c>
      <c r="G4809" s="92"/>
      <c r="I4809">
        <v>10</v>
      </c>
      <c r="J4809" t="s">
        <v>26</v>
      </c>
      <c r="K4809" s="57"/>
      <c r="S4809" s="57"/>
      <c r="X4809" s="57"/>
    </row>
    <row r="4810" spans="1:24" hidden="1" x14ac:dyDescent="0.35">
      <c r="A4810">
        <v>4806</v>
      </c>
      <c r="B4810">
        <v>4807</v>
      </c>
      <c r="C4810">
        <v>146.06380151600001</v>
      </c>
      <c r="D4810">
        <v>-17.6472654204</v>
      </c>
      <c r="G4810" s="92"/>
      <c r="I4810">
        <v>10</v>
      </c>
      <c r="J4810" t="s">
        <v>26</v>
      </c>
      <c r="K4810" s="57"/>
      <c r="S4810" s="57"/>
      <c r="X4810" s="57"/>
    </row>
    <row r="4811" spans="1:24" hidden="1" x14ac:dyDescent="0.35">
      <c r="A4811">
        <v>4807</v>
      </c>
      <c r="B4811">
        <v>4808</v>
      </c>
      <c r="C4811">
        <v>146.063889367</v>
      </c>
      <c r="D4811">
        <v>-17.647247545500001</v>
      </c>
      <c r="G4811" s="92"/>
      <c r="I4811">
        <v>10</v>
      </c>
      <c r="J4811" t="s">
        <v>26</v>
      </c>
      <c r="K4811" s="57"/>
      <c r="S4811" s="57"/>
      <c r="X4811" s="57"/>
    </row>
    <row r="4812" spans="1:24" hidden="1" x14ac:dyDescent="0.35">
      <c r="A4812">
        <v>4808</v>
      </c>
      <c r="B4812">
        <v>4809</v>
      </c>
      <c r="C4812">
        <v>146.063955370999</v>
      </c>
      <c r="D4812">
        <v>-17.6471985969999</v>
      </c>
      <c r="G4812" s="92"/>
      <c r="I4812">
        <v>10</v>
      </c>
      <c r="J4812" t="s">
        <v>26</v>
      </c>
      <c r="K4812" s="57"/>
      <c r="S4812" s="57"/>
      <c r="X4812" s="57"/>
    </row>
    <row r="4813" spans="1:24" hidden="1" x14ac:dyDescent="0.35">
      <c r="A4813">
        <v>4809</v>
      </c>
      <c r="B4813">
        <v>4810</v>
      </c>
      <c r="C4813">
        <v>146.064006132</v>
      </c>
      <c r="D4813">
        <v>-17.64712797</v>
      </c>
      <c r="G4813" s="92"/>
      <c r="I4813">
        <v>10</v>
      </c>
      <c r="J4813" t="s">
        <v>26</v>
      </c>
      <c r="K4813" s="57"/>
      <c r="S4813" s="57"/>
      <c r="X4813" s="57"/>
    </row>
    <row r="4814" spans="1:24" hidden="1" x14ac:dyDescent="0.35">
      <c r="A4814">
        <v>4810</v>
      </c>
      <c r="B4814">
        <v>4811</v>
      </c>
      <c r="C4814">
        <v>146.06402507000001</v>
      </c>
      <c r="D4814">
        <v>-17.647044770800001</v>
      </c>
      <c r="G4814" s="92"/>
      <c r="I4814">
        <v>10</v>
      </c>
      <c r="J4814" t="s">
        <v>26</v>
      </c>
      <c r="K4814" s="57"/>
      <c r="S4814" s="57"/>
      <c r="X4814" s="57"/>
    </row>
    <row r="4815" spans="1:24" hidden="1" x14ac:dyDescent="0.35">
      <c r="A4815">
        <v>4811</v>
      </c>
      <c r="B4815">
        <v>4812</v>
      </c>
      <c r="C4815">
        <v>146.064041637999</v>
      </c>
      <c r="D4815">
        <v>-17.6469606349999</v>
      </c>
      <c r="G4815" s="92"/>
      <c r="I4815">
        <v>10</v>
      </c>
      <c r="J4815" t="s">
        <v>26</v>
      </c>
      <c r="K4815" s="57"/>
      <c r="S4815" s="57"/>
      <c r="X4815" s="57"/>
    </row>
    <row r="4816" spans="1:24" hidden="1" x14ac:dyDescent="0.35">
      <c r="A4816">
        <v>4812</v>
      </c>
      <c r="B4816">
        <v>4813</v>
      </c>
      <c r="C4816">
        <v>146.064058205999</v>
      </c>
      <c r="D4816">
        <v>-17.646876499200001</v>
      </c>
      <c r="G4816" s="92"/>
      <c r="I4816">
        <v>10</v>
      </c>
      <c r="J4816" t="s">
        <v>26</v>
      </c>
      <c r="K4816" s="57"/>
      <c r="S4816" s="57"/>
      <c r="X4816" s="57"/>
    </row>
    <row r="4817" spans="1:24" hidden="1" x14ac:dyDescent="0.35">
      <c r="A4817">
        <v>4813</v>
      </c>
      <c r="B4817">
        <v>4814</v>
      </c>
      <c r="C4817">
        <v>146.06406151100001</v>
      </c>
      <c r="D4817">
        <v>-17.646791156500001</v>
      </c>
      <c r="G4817" s="92"/>
      <c r="I4817">
        <v>10</v>
      </c>
      <c r="J4817" t="s">
        <v>26</v>
      </c>
      <c r="K4817" s="57"/>
      <c r="S4817" s="57"/>
      <c r="X4817" s="57"/>
    </row>
    <row r="4818" spans="1:24" hidden="1" x14ac:dyDescent="0.35">
      <c r="A4818">
        <v>4814</v>
      </c>
      <c r="B4818">
        <v>4815</v>
      </c>
      <c r="C4818">
        <v>146.064059767</v>
      </c>
      <c r="D4818">
        <v>-17.6467056398</v>
      </c>
      <c r="G4818" s="92"/>
      <c r="I4818">
        <v>10</v>
      </c>
      <c r="J4818" t="s">
        <v>26</v>
      </c>
      <c r="K4818" s="57"/>
      <c r="S4818" s="57"/>
      <c r="X4818" s="57"/>
    </row>
    <row r="4819" spans="1:24" hidden="1" x14ac:dyDescent="0.35">
      <c r="A4819">
        <v>4815</v>
      </c>
      <c r="B4819">
        <v>4816</v>
      </c>
      <c r="C4819">
        <v>146.06405187300001</v>
      </c>
      <c r="D4819">
        <v>-17.646620366499899</v>
      </c>
      <c r="G4819" s="92"/>
      <c r="I4819">
        <v>10</v>
      </c>
      <c r="J4819" t="s">
        <v>26</v>
      </c>
      <c r="K4819" s="57"/>
      <c r="S4819" s="57"/>
      <c r="X4819" s="57"/>
    </row>
    <row r="4820" spans="1:24" hidden="1" x14ac:dyDescent="0.35">
      <c r="A4820">
        <v>4816</v>
      </c>
      <c r="B4820">
        <v>4817</v>
      </c>
      <c r="C4820">
        <v>146.064043838</v>
      </c>
      <c r="D4820">
        <v>-17.6465351055</v>
      </c>
      <c r="G4820" s="92"/>
      <c r="I4820">
        <v>10</v>
      </c>
      <c r="J4820" t="s">
        <v>26</v>
      </c>
      <c r="K4820" s="57"/>
      <c r="S4820" s="57"/>
      <c r="X4820" s="57"/>
    </row>
    <row r="4821" spans="1:24" hidden="1" x14ac:dyDescent="0.35">
      <c r="A4821">
        <v>4817</v>
      </c>
      <c r="B4821">
        <v>4818</v>
      </c>
      <c r="C4821">
        <v>146.06403539300001</v>
      </c>
      <c r="D4821">
        <v>-17.646449879999899</v>
      </c>
      <c r="G4821" s="92"/>
      <c r="I4821">
        <v>10</v>
      </c>
      <c r="J4821" t="s">
        <v>26</v>
      </c>
      <c r="K4821" s="57"/>
      <c r="S4821" s="57"/>
      <c r="X4821" s="57"/>
    </row>
    <row r="4822" spans="1:24" hidden="1" x14ac:dyDescent="0.35">
      <c r="A4822">
        <v>4818</v>
      </c>
      <c r="B4822">
        <v>4819</v>
      </c>
      <c r="C4822">
        <v>146.064030285</v>
      </c>
      <c r="D4822">
        <v>-17.646364512600002</v>
      </c>
      <c r="G4822" s="92"/>
      <c r="I4822">
        <v>10</v>
      </c>
      <c r="J4822" t="s">
        <v>26</v>
      </c>
      <c r="K4822" s="57"/>
      <c r="S4822" s="57"/>
      <c r="X4822" s="57"/>
    </row>
    <row r="4823" spans="1:24" hidden="1" x14ac:dyDescent="0.35">
      <c r="A4823">
        <v>4819</v>
      </c>
      <c r="B4823">
        <v>4820</v>
      </c>
      <c r="C4823">
        <v>146.06403072699899</v>
      </c>
      <c r="D4823">
        <v>-17.646278909100001</v>
      </c>
      <c r="G4823" s="92"/>
      <c r="I4823">
        <v>10</v>
      </c>
      <c r="J4823" t="s">
        <v>26</v>
      </c>
      <c r="K4823" s="57"/>
      <c r="S4823" s="57"/>
      <c r="X4823" s="57"/>
    </row>
    <row r="4824" spans="1:24" hidden="1" x14ac:dyDescent="0.35">
      <c r="A4824">
        <v>4820</v>
      </c>
      <c r="B4824">
        <v>4821</v>
      </c>
      <c r="C4824">
        <v>146.064034464999</v>
      </c>
      <c r="D4824">
        <v>-17.646193549300001</v>
      </c>
      <c r="G4824" s="92"/>
      <c r="I4824">
        <v>10</v>
      </c>
      <c r="J4824" t="s">
        <v>26</v>
      </c>
      <c r="K4824" s="57"/>
      <c r="S4824" s="57"/>
      <c r="X4824" s="57"/>
    </row>
    <row r="4825" spans="1:24" hidden="1" x14ac:dyDescent="0.35">
      <c r="A4825">
        <v>4821</v>
      </c>
      <c r="B4825">
        <v>4822</v>
      </c>
      <c r="C4825">
        <v>146.064047893999</v>
      </c>
      <c r="D4825">
        <v>-17.646108906599899</v>
      </c>
      <c r="G4825" s="92"/>
      <c r="I4825">
        <v>10</v>
      </c>
      <c r="J4825" t="s">
        <v>26</v>
      </c>
      <c r="K4825" s="57"/>
      <c r="S4825" s="57"/>
      <c r="X4825" s="57"/>
    </row>
    <row r="4826" spans="1:24" hidden="1" x14ac:dyDescent="0.35">
      <c r="A4826">
        <v>4822</v>
      </c>
      <c r="B4826">
        <v>4823</v>
      </c>
      <c r="C4826">
        <v>146.06406323100001</v>
      </c>
      <c r="D4826">
        <v>-17.646024728699899</v>
      </c>
      <c r="G4826" s="92"/>
      <c r="I4826">
        <v>10</v>
      </c>
      <c r="J4826" t="s">
        <v>26</v>
      </c>
      <c r="K4826" s="57"/>
      <c r="S4826" s="57"/>
      <c r="X4826" s="57"/>
    </row>
    <row r="4827" spans="1:24" hidden="1" x14ac:dyDescent="0.35">
      <c r="A4827">
        <v>4823</v>
      </c>
      <c r="B4827">
        <v>4824</v>
      </c>
      <c r="C4827">
        <v>146.06409408299899</v>
      </c>
      <c r="D4827">
        <v>-17.645944331100001</v>
      </c>
      <c r="G4827" s="92"/>
      <c r="I4827">
        <v>10</v>
      </c>
      <c r="J4827" t="s">
        <v>26</v>
      </c>
      <c r="K4827" s="57"/>
      <c r="S4827" s="57"/>
      <c r="X4827" s="57"/>
    </row>
    <row r="4828" spans="1:24" hidden="1" x14ac:dyDescent="0.35">
      <c r="A4828">
        <v>4824</v>
      </c>
      <c r="B4828">
        <v>4825</v>
      </c>
      <c r="C4828">
        <v>146.064124934999</v>
      </c>
      <c r="D4828">
        <v>-17.6458639332999</v>
      </c>
      <c r="G4828" s="92"/>
      <c r="I4828">
        <v>10</v>
      </c>
      <c r="J4828" t="s">
        <v>26</v>
      </c>
      <c r="K4828" s="57"/>
      <c r="S4828" s="57"/>
      <c r="X4828" s="57"/>
    </row>
    <row r="4829" spans="1:24" hidden="1" x14ac:dyDescent="0.35">
      <c r="A4829">
        <v>4825</v>
      </c>
      <c r="B4829">
        <v>4826</v>
      </c>
      <c r="C4829">
        <v>146.06416460700001</v>
      </c>
      <c r="D4829">
        <v>-17.64578732</v>
      </c>
      <c r="G4829" s="92"/>
      <c r="I4829">
        <v>10</v>
      </c>
      <c r="J4829" t="s">
        <v>26</v>
      </c>
      <c r="K4829" s="57"/>
      <c r="S4829" s="57"/>
      <c r="X4829" s="57"/>
    </row>
    <row r="4830" spans="1:24" hidden="1" x14ac:dyDescent="0.35">
      <c r="A4830">
        <v>4826</v>
      </c>
      <c r="B4830">
        <v>4827</v>
      </c>
      <c r="C4830">
        <v>146.06420768500001</v>
      </c>
      <c r="D4830">
        <v>-17.645712249300001</v>
      </c>
      <c r="G4830" s="92"/>
      <c r="I4830">
        <v>10</v>
      </c>
      <c r="J4830" t="s">
        <v>26</v>
      </c>
      <c r="K4830" s="57"/>
      <c r="S4830" s="57"/>
      <c r="X4830" s="57"/>
    </row>
    <row r="4831" spans="1:24" hidden="1" x14ac:dyDescent="0.35">
      <c r="A4831">
        <v>4827</v>
      </c>
      <c r="B4831">
        <v>4828</v>
      </c>
      <c r="C4831">
        <v>146.064266277999</v>
      </c>
      <c r="D4831">
        <v>-17.6456473611</v>
      </c>
      <c r="G4831" s="92"/>
      <c r="I4831">
        <v>10</v>
      </c>
      <c r="J4831" t="s">
        <v>26</v>
      </c>
      <c r="K4831" s="57"/>
      <c r="S4831" s="57"/>
      <c r="X4831" s="57"/>
    </row>
    <row r="4832" spans="1:24" hidden="1" x14ac:dyDescent="0.35">
      <c r="A4832">
        <v>4828</v>
      </c>
      <c r="B4832">
        <v>4829</v>
      </c>
      <c r="C4832">
        <v>146.06433479</v>
      </c>
      <c r="D4832">
        <v>-17.6455922325</v>
      </c>
      <c r="G4832" s="92"/>
      <c r="I4832">
        <v>10</v>
      </c>
      <c r="J4832" t="s">
        <v>26</v>
      </c>
      <c r="K4832" s="57"/>
      <c r="S4832" s="57"/>
      <c r="X4832" s="57"/>
    </row>
    <row r="4833" spans="1:24" hidden="1" x14ac:dyDescent="0.35">
      <c r="A4833">
        <v>4829</v>
      </c>
      <c r="B4833">
        <v>4830</v>
      </c>
      <c r="C4833">
        <v>146.064405905999</v>
      </c>
      <c r="D4833">
        <v>-17.645540078900002</v>
      </c>
      <c r="G4833" s="92"/>
      <c r="I4833">
        <v>10</v>
      </c>
      <c r="J4833" t="s">
        <v>26</v>
      </c>
      <c r="K4833" s="57"/>
      <c r="S4833" s="57"/>
      <c r="X4833" s="57"/>
    </row>
    <row r="4834" spans="1:24" hidden="1" x14ac:dyDescent="0.35">
      <c r="A4834">
        <v>4830</v>
      </c>
      <c r="B4834">
        <v>4831</v>
      </c>
      <c r="C4834">
        <v>146.064481903</v>
      </c>
      <c r="D4834">
        <v>-17.6454944352</v>
      </c>
      <c r="G4834" s="92"/>
      <c r="I4834">
        <v>10</v>
      </c>
      <c r="J4834" t="s">
        <v>26</v>
      </c>
      <c r="K4834" s="57"/>
      <c r="S4834" s="57"/>
      <c r="X4834" s="57"/>
    </row>
    <row r="4835" spans="1:24" hidden="1" x14ac:dyDescent="0.35">
      <c r="A4835">
        <v>4831</v>
      </c>
      <c r="B4835">
        <v>4832</v>
      </c>
      <c r="C4835">
        <v>146.06455790000001</v>
      </c>
      <c r="D4835">
        <v>-17.6454487914</v>
      </c>
      <c r="G4835" s="92"/>
      <c r="I4835">
        <v>10</v>
      </c>
      <c r="J4835" t="s">
        <v>26</v>
      </c>
      <c r="K4835" s="57"/>
      <c r="S4835" s="57"/>
      <c r="X4835" s="57"/>
    </row>
    <row r="4836" spans="1:24" hidden="1" x14ac:dyDescent="0.35">
      <c r="A4836">
        <v>4832</v>
      </c>
      <c r="B4836">
        <v>4833</v>
      </c>
      <c r="C4836">
        <v>146.06464495</v>
      </c>
      <c r="D4836">
        <v>-17.6454278498999</v>
      </c>
      <c r="G4836" s="92"/>
      <c r="I4836">
        <v>10</v>
      </c>
      <c r="J4836" t="s">
        <v>26</v>
      </c>
      <c r="K4836" s="57"/>
      <c r="S4836" s="57"/>
      <c r="X4836" s="57"/>
    </row>
    <row r="4837" spans="1:24" hidden="1" x14ac:dyDescent="0.35">
      <c r="A4837">
        <v>4833</v>
      </c>
      <c r="B4837">
        <v>4834</v>
      </c>
      <c r="C4837">
        <v>146.064732125999</v>
      </c>
      <c r="D4837">
        <v>-17.6454071908</v>
      </c>
      <c r="G4837" s="92"/>
      <c r="I4837">
        <v>10</v>
      </c>
      <c r="J4837" t="s">
        <v>26</v>
      </c>
      <c r="K4837" s="57"/>
      <c r="S4837" s="57"/>
      <c r="X4837" s="57"/>
    </row>
    <row r="4838" spans="1:24" hidden="1" x14ac:dyDescent="0.35">
      <c r="A4838">
        <v>4834</v>
      </c>
      <c r="B4838">
        <v>4835</v>
      </c>
      <c r="C4838">
        <v>146.064819905999</v>
      </c>
      <c r="D4838">
        <v>-17.645401701800001</v>
      </c>
      <c r="G4838" s="92"/>
      <c r="I4838">
        <v>10</v>
      </c>
      <c r="J4838" t="s">
        <v>26</v>
      </c>
      <c r="K4838" s="57"/>
      <c r="S4838" s="57"/>
      <c r="X4838" s="57"/>
    </row>
    <row r="4839" spans="1:24" hidden="1" x14ac:dyDescent="0.35">
      <c r="A4839">
        <v>4835</v>
      </c>
      <c r="B4839">
        <v>4836</v>
      </c>
      <c r="C4839">
        <v>146.064908473999</v>
      </c>
      <c r="D4839">
        <v>-17.6454160109</v>
      </c>
      <c r="G4839" s="92"/>
      <c r="I4839">
        <v>10</v>
      </c>
      <c r="J4839" t="s">
        <v>26</v>
      </c>
      <c r="K4839" s="57"/>
      <c r="S4839" s="57"/>
      <c r="X4839" s="57"/>
    </row>
    <row r="4840" spans="1:24" hidden="1" x14ac:dyDescent="0.35">
      <c r="A4840">
        <v>4836</v>
      </c>
      <c r="B4840">
        <v>4837</v>
      </c>
      <c r="C4840">
        <v>146.064994208999</v>
      </c>
      <c r="D4840">
        <v>-17.645439537000001</v>
      </c>
      <c r="G4840" s="92"/>
      <c r="I4840">
        <v>10</v>
      </c>
      <c r="J4840" t="s">
        <v>26</v>
      </c>
      <c r="K4840" s="57"/>
      <c r="S4840" s="57"/>
      <c r="X4840" s="57"/>
    </row>
    <row r="4841" spans="1:24" hidden="1" x14ac:dyDescent="0.35">
      <c r="A4841">
        <v>4837</v>
      </c>
      <c r="B4841">
        <v>4838</v>
      </c>
      <c r="C4841">
        <v>146.06507688100001</v>
      </c>
      <c r="D4841">
        <v>-17.6454730250999</v>
      </c>
      <c r="G4841" s="92"/>
      <c r="I4841">
        <v>10</v>
      </c>
      <c r="J4841" t="s">
        <v>26</v>
      </c>
      <c r="K4841" s="57"/>
      <c r="S4841" s="57"/>
      <c r="X4841" s="57"/>
    </row>
    <row r="4842" spans="1:24" hidden="1" x14ac:dyDescent="0.35">
      <c r="A4842">
        <v>4838</v>
      </c>
      <c r="B4842">
        <v>4839</v>
      </c>
      <c r="C4842">
        <v>146.065147056999</v>
      </c>
      <c r="D4842">
        <v>-17.645525725100001</v>
      </c>
      <c r="G4842" s="92"/>
      <c r="I4842">
        <v>10</v>
      </c>
      <c r="J4842" t="s">
        <v>26</v>
      </c>
      <c r="K4842" s="57"/>
      <c r="S4842" s="57"/>
      <c r="X4842" s="57"/>
    </row>
    <row r="4843" spans="1:24" hidden="1" x14ac:dyDescent="0.35">
      <c r="A4843">
        <v>4839</v>
      </c>
      <c r="B4843">
        <v>4840</v>
      </c>
      <c r="C4843">
        <v>146.06520792699899</v>
      </c>
      <c r="D4843">
        <v>-17.6455872605999</v>
      </c>
      <c r="G4843" s="92"/>
      <c r="I4843">
        <v>10</v>
      </c>
      <c r="J4843" t="s">
        <v>26</v>
      </c>
      <c r="K4843" s="57"/>
      <c r="S4843" s="57"/>
      <c r="X4843" s="57"/>
    </row>
    <row r="4844" spans="1:24" hidden="1" x14ac:dyDescent="0.35">
      <c r="A4844">
        <v>4840</v>
      </c>
      <c r="B4844">
        <v>4841</v>
      </c>
      <c r="C4844">
        <v>146.065253248999</v>
      </c>
      <c r="D4844">
        <v>-17.6456611718</v>
      </c>
      <c r="G4844" s="92"/>
      <c r="I4844">
        <v>10</v>
      </c>
      <c r="J4844" t="s">
        <v>26</v>
      </c>
      <c r="K4844" s="57"/>
      <c r="S4844" s="57"/>
      <c r="X4844" s="57"/>
    </row>
    <row r="4845" spans="1:24" hidden="1" x14ac:dyDescent="0.35">
      <c r="A4845">
        <v>4841</v>
      </c>
      <c r="B4845">
        <v>4842</v>
      </c>
      <c r="C4845">
        <v>146.065298571</v>
      </c>
      <c r="D4845">
        <v>-17.645735083000002</v>
      </c>
      <c r="G4845" s="92"/>
      <c r="I4845">
        <v>10</v>
      </c>
      <c r="J4845" t="s">
        <v>26</v>
      </c>
      <c r="K4845" s="57"/>
      <c r="S4845" s="57"/>
      <c r="X4845" s="57"/>
    </row>
    <row r="4846" spans="1:24" hidden="1" x14ac:dyDescent="0.35">
      <c r="A4846">
        <v>4842</v>
      </c>
      <c r="B4846">
        <v>4843</v>
      </c>
      <c r="C4846">
        <v>146.06532330300001</v>
      </c>
      <c r="D4846">
        <v>-17.645815887000001</v>
      </c>
      <c r="G4846" s="92"/>
      <c r="I4846">
        <v>10</v>
      </c>
      <c r="J4846" t="s">
        <v>26</v>
      </c>
      <c r="K4846" s="57"/>
      <c r="S4846" s="57"/>
      <c r="X4846" s="57"/>
    </row>
    <row r="4847" spans="1:24" hidden="1" x14ac:dyDescent="0.35">
      <c r="A4847">
        <v>4843</v>
      </c>
      <c r="B4847">
        <v>4844</v>
      </c>
      <c r="C4847">
        <v>146.065336443999</v>
      </c>
      <c r="D4847">
        <v>-17.645900570799899</v>
      </c>
      <c r="G4847" s="92"/>
      <c r="I4847">
        <v>10</v>
      </c>
      <c r="J4847" t="s">
        <v>26</v>
      </c>
      <c r="K4847" s="57"/>
      <c r="S4847" s="57"/>
      <c r="X4847" s="57"/>
    </row>
    <row r="4848" spans="1:24" hidden="1" x14ac:dyDescent="0.35">
      <c r="A4848">
        <v>4844</v>
      </c>
      <c r="B4848">
        <v>4845</v>
      </c>
      <c r="C4848">
        <v>146.065348489999</v>
      </c>
      <c r="D4848">
        <v>-17.645985372399899</v>
      </c>
      <c r="G4848" s="92"/>
      <c r="I4848">
        <v>10</v>
      </c>
      <c r="J4848" t="s">
        <v>26</v>
      </c>
      <c r="K4848" s="57"/>
      <c r="S4848" s="57"/>
      <c r="X4848" s="57"/>
    </row>
    <row r="4849" spans="1:24" hidden="1" x14ac:dyDescent="0.35">
      <c r="A4849">
        <v>4845</v>
      </c>
      <c r="B4849">
        <v>4846</v>
      </c>
      <c r="C4849">
        <v>146.065355463999</v>
      </c>
      <c r="D4849">
        <v>-17.6460707186999</v>
      </c>
      <c r="G4849" s="92"/>
      <c r="I4849">
        <v>10</v>
      </c>
      <c r="J4849" t="s">
        <v>26</v>
      </c>
      <c r="K4849" s="57"/>
      <c r="S4849" s="57"/>
      <c r="X4849" s="57"/>
    </row>
    <row r="4850" spans="1:24" hidden="1" x14ac:dyDescent="0.35">
      <c r="A4850">
        <v>4846</v>
      </c>
      <c r="B4850">
        <v>4847</v>
      </c>
      <c r="C4850">
        <v>146.06536243900001</v>
      </c>
      <c r="D4850">
        <v>-17.646156065</v>
      </c>
      <c r="G4850" s="92"/>
      <c r="I4850">
        <v>10</v>
      </c>
      <c r="J4850" t="s">
        <v>26</v>
      </c>
      <c r="K4850" s="57"/>
      <c r="S4850" s="57"/>
      <c r="X4850" s="57"/>
    </row>
    <row r="4851" spans="1:24" hidden="1" x14ac:dyDescent="0.35">
      <c r="A4851">
        <v>4847</v>
      </c>
      <c r="B4851">
        <v>4848</v>
      </c>
      <c r="C4851">
        <v>146.06536631399899</v>
      </c>
      <c r="D4851">
        <v>-17.646241344300002</v>
      </c>
      <c r="G4851" s="92"/>
      <c r="I4851">
        <v>10</v>
      </c>
      <c r="J4851" t="s">
        <v>26</v>
      </c>
      <c r="K4851" s="57"/>
      <c r="S4851" s="57"/>
      <c r="X4851" s="57"/>
    </row>
    <row r="4852" spans="1:24" hidden="1" x14ac:dyDescent="0.35">
      <c r="A4852">
        <v>4848</v>
      </c>
      <c r="B4852">
        <v>4849</v>
      </c>
      <c r="C4852">
        <v>146.065355288999</v>
      </c>
      <c r="D4852">
        <v>-17.6463263017</v>
      </c>
      <c r="G4852" s="92"/>
      <c r="I4852">
        <v>10</v>
      </c>
      <c r="J4852" t="s">
        <v>26</v>
      </c>
      <c r="K4852" s="57"/>
      <c r="S4852" s="57"/>
      <c r="X4852" s="57"/>
    </row>
    <row r="4853" spans="1:24" hidden="1" x14ac:dyDescent="0.35">
      <c r="A4853">
        <v>4849</v>
      </c>
      <c r="B4853">
        <v>4850</v>
      </c>
      <c r="C4853">
        <v>146.065344264</v>
      </c>
      <c r="D4853">
        <v>-17.646411259099899</v>
      </c>
      <c r="G4853" s="92"/>
      <c r="I4853">
        <v>10</v>
      </c>
      <c r="J4853" t="s">
        <v>26</v>
      </c>
      <c r="K4853" s="57"/>
      <c r="S4853" s="57"/>
      <c r="X4853" s="57"/>
    </row>
    <row r="4854" spans="1:24" hidden="1" x14ac:dyDescent="0.35">
      <c r="A4854">
        <v>4850</v>
      </c>
      <c r="B4854">
        <v>4851</v>
      </c>
      <c r="C4854">
        <v>146.065333237999</v>
      </c>
      <c r="D4854">
        <v>-17.6464962163999</v>
      </c>
      <c r="G4854" s="92"/>
      <c r="I4854">
        <v>10</v>
      </c>
      <c r="J4854" t="s">
        <v>26</v>
      </c>
      <c r="K4854" s="57"/>
      <c r="S4854" s="57"/>
      <c r="X4854" s="57"/>
    </row>
    <row r="4855" spans="1:24" hidden="1" x14ac:dyDescent="0.35">
      <c r="A4855">
        <v>4851</v>
      </c>
      <c r="B4855">
        <v>4852</v>
      </c>
      <c r="C4855">
        <v>146.065322213</v>
      </c>
      <c r="D4855">
        <v>-17.6465811737</v>
      </c>
      <c r="G4855" s="92"/>
      <c r="I4855">
        <v>10</v>
      </c>
      <c r="J4855" t="s">
        <v>26</v>
      </c>
      <c r="K4855" s="57"/>
      <c r="S4855" s="57"/>
      <c r="X4855" s="57"/>
    </row>
    <row r="4856" spans="1:24" hidden="1" x14ac:dyDescent="0.35">
      <c r="A4856">
        <v>4852</v>
      </c>
      <c r="B4856">
        <v>4853</v>
      </c>
      <c r="C4856">
        <v>146.065289148999</v>
      </c>
      <c r="D4856">
        <v>-17.646660651200001</v>
      </c>
      <c r="G4856" s="92"/>
      <c r="I4856">
        <v>10</v>
      </c>
      <c r="J4856" t="s">
        <v>26</v>
      </c>
      <c r="K4856" s="57"/>
      <c r="S4856" s="57"/>
      <c r="X4856" s="57"/>
    </row>
    <row r="4857" spans="1:24" hidden="1" x14ac:dyDescent="0.35">
      <c r="A4857">
        <v>4853</v>
      </c>
      <c r="B4857">
        <v>4854</v>
      </c>
      <c r="C4857">
        <v>146.065255210999</v>
      </c>
      <c r="D4857">
        <v>-17.6467399114999</v>
      </c>
      <c r="G4857" s="92"/>
      <c r="I4857">
        <v>10</v>
      </c>
      <c r="J4857" t="s">
        <v>26</v>
      </c>
      <c r="K4857" s="57"/>
      <c r="S4857" s="57"/>
      <c r="X4857" s="57"/>
    </row>
    <row r="4858" spans="1:24" hidden="1" x14ac:dyDescent="0.35">
      <c r="A4858">
        <v>4854</v>
      </c>
      <c r="B4858">
        <v>4855</v>
      </c>
      <c r="C4858">
        <v>146.065220393</v>
      </c>
      <c r="D4858">
        <v>-17.646818790000001</v>
      </c>
      <c r="G4858" s="92"/>
      <c r="I4858">
        <v>10</v>
      </c>
      <c r="J4858" t="s">
        <v>26</v>
      </c>
      <c r="K4858" s="57"/>
      <c r="S4858" s="57"/>
      <c r="X4858" s="57"/>
    </row>
    <row r="4859" spans="1:24" hidden="1" x14ac:dyDescent="0.35">
      <c r="A4859">
        <v>4855</v>
      </c>
      <c r="B4859">
        <v>4856</v>
      </c>
      <c r="C4859">
        <v>146.06518001800001</v>
      </c>
      <c r="D4859">
        <v>-17.646895261000001</v>
      </c>
      <c r="G4859" s="92"/>
      <c r="I4859">
        <v>10</v>
      </c>
      <c r="J4859" t="s">
        <v>26</v>
      </c>
      <c r="K4859" s="57"/>
      <c r="S4859" s="57"/>
      <c r="X4859" s="57"/>
    </row>
    <row r="4860" spans="1:24" hidden="1" x14ac:dyDescent="0.35">
      <c r="A4860">
        <v>4856</v>
      </c>
      <c r="B4860">
        <v>4857</v>
      </c>
      <c r="C4860">
        <v>146.065139643999</v>
      </c>
      <c r="D4860">
        <v>-17.646971732000001</v>
      </c>
      <c r="G4860" s="92"/>
      <c r="I4860">
        <v>10</v>
      </c>
      <c r="J4860" t="s">
        <v>26</v>
      </c>
      <c r="K4860" s="57"/>
      <c r="S4860" s="57"/>
      <c r="X4860" s="57"/>
    </row>
    <row r="4861" spans="1:24" hidden="1" x14ac:dyDescent="0.35">
      <c r="A4861">
        <v>4857</v>
      </c>
      <c r="B4861">
        <v>4858</v>
      </c>
      <c r="C4861">
        <v>146.06507468999899</v>
      </c>
      <c r="D4861">
        <v>-17.6470301017</v>
      </c>
      <c r="G4861" s="92"/>
      <c r="I4861">
        <v>10</v>
      </c>
      <c r="J4861" t="s">
        <v>26</v>
      </c>
      <c r="K4861" s="57"/>
      <c r="S4861" s="57"/>
      <c r="X4861" s="57"/>
    </row>
    <row r="4862" spans="1:24" hidden="1" x14ac:dyDescent="0.35">
      <c r="A4862">
        <v>4858</v>
      </c>
      <c r="B4862">
        <v>4859</v>
      </c>
      <c r="C4862">
        <v>146.06500644100001</v>
      </c>
      <c r="D4862">
        <v>-17.647054183800002</v>
      </c>
      <c r="G4862" s="92"/>
      <c r="I4862">
        <v>10</v>
      </c>
      <c r="J4862" t="s">
        <v>26</v>
      </c>
      <c r="K4862" s="57"/>
      <c r="S4862" s="57"/>
      <c r="X4862" s="57"/>
    </row>
    <row r="4863" spans="1:24" hidden="1" x14ac:dyDescent="0.35">
      <c r="A4863">
        <v>4859</v>
      </c>
      <c r="B4863">
        <v>4860</v>
      </c>
      <c r="C4863">
        <v>146.06498680600001</v>
      </c>
      <c r="D4863">
        <v>-17.646977755599899</v>
      </c>
      <c r="G4863" s="92"/>
      <c r="I4863">
        <v>10</v>
      </c>
      <c r="J4863" t="s">
        <v>26</v>
      </c>
      <c r="K4863" s="57"/>
      <c r="S4863" s="57"/>
      <c r="X4863" s="57"/>
    </row>
    <row r="4864" spans="1:24" hidden="1" x14ac:dyDescent="0.35">
      <c r="A4864">
        <v>4860</v>
      </c>
      <c r="B4864">
        <v>4861</v>
      </c>
      <c r="C4864">
        <v>146.065012486</v>
      </c>
      <c r="D4864">
        <v>-17.646896087799899</v>
      </c>
      <c r="G4864" s="92"/>
      <c r="I4864">
        <v>10</v>
      </c>
      <c r="J4864" t="s">
        <v>26</v>
      </c>
      <c r="K4864" s="57"/>
      <c r="S4864" s="57"/>
      <c r="X4864" s="57"/>
    </row>
    <row r="4865" spans="1:24" hidden="1" x14ac:dyDescent="0.35">
      <c r="A4865">
        <v>4861</v>
      </c>
      <c r="B4865">
        <v>4862</v>
      </c>
      <c r="C4865">
        <v>146.065042191</v>
      </c>
      <c r="D4865">
        <v>-17.6468153317999</v>
      </c>
      <c r="G4865" s="92"/>
      <c r="I4865">
        <v>10</v>
      </c>
      <c r="J4865" t="s">
        <v>26</v>
      </c>
      <c r="K4865" s="57"/>
      <c r="S4865" s="57"/>
      <c r="X4865" s="57"/>
    </row>
    <row r="4866" spans="1:24" hidden="1" x14ac:dyDescent="0.35">
      <c r="A4866">
        <v>4862</v>
      </c>
      <c r="B4866">
        <v>4863</v>
      </c>
      <c r="C4866">
        <v>146.06506770799899</v>
      </c>
      <c r="D4866">
        <v>-17.6467332534999</v>
      </c>
      <c r="G4866" s="92"/>
      <c r="I4866">
        <v>10</v>
      </c>
      <c r="J4866" t="s">
        <v>26</v>
      </c>
      <c r="K4866" s="57"/>
      <c r="S4866" s="57"/>
      <c r="X4866" s="57"/>
    </row>
    <row r="4867" spans="1:24" hidden="1" x14ac:dyDescent="0.35">
      <c r="A4867">
        <v>4863</v>
      </c>
      <c r="B4867">
        <v>4864</v>
      </c>
      <c r="C4867">
        <v>146.06509322400001</v>
      </c>
      <c r="D4867">
        <v>-17.646651175199899</v>
      </c>
      <c r="G4867" s="92"/>
      <c r="I4867">
        <v>10</v>
      </c>
      <c r="J4867" t="s">
        <v>26</v>
      </c>
      <c r="K4867" s="57"/>
      <c r="S4867" s="57"/>
      <c r="X4867" s="57"/>
    </row>
    <row r="4868" spans="1:24" hidden="1" x14ac:dyDescent="0.35">
      <c r="A4868">
        <v>4864</v>
      </c>
      <c r="B4868">
        <v>4865</v>
      </c>
      <c r="C4868">
        <v>146.06511680700001</v>
      </c>
      <c r="D4868">
        <v>-17.646568590200001</v>
      </c>
      <c r="G4868" s="92"/>
      <c r="I4868">
        <v>10</v>
      </c>
      <c r="J4868" t="s">
        <v>26</v>
      </c>
      <c r="K4868" s="57"/>
      <c r="S4868" s="57"/>
      <c r="X4868" s="57"/>
    </row>
    <row r="4869" spans="1:24" hidden="1" x14ac:dyDescent="0.35">
      <c r="A4869">
        <v>4865</v>
      </c>
      <c r="B4869">
        <v>4866</v>
      </c>
      <c r="C4869">
        <v>146.06513889799899</v>
      </c>
      <c r="D4869">
        <v>-17.646485614500001</v>
      </c>
      <c r="G4869" s="92"/>
      <c r="I4869">
        <v>10</v>
      </c>
      <c r="J4869" t="s">
        <v>26</v>
      </c>
      <c r="K4869" s="57"/>
      <c r="S4869" s="57"/>
      <c r="X4869" s="57"/>
    </row>
    <row r="4870" spans="1:24" hidden="1" x14ac:dyDescent="0.35">
      <c r="A4870">
        <v>4866</v>
      </c>
      <c r="B4870">
        <v>4867</v>
      </c>
      <c r="C4870">
        <v>146.065160988999</v>
      </c>
      <c r="D4870">
        <v>-17.646402638800001</v>
      </c>
      <c r="G4870" s="92"/>
      <c r="I4870">
        <v>10</v>
      </c>
      <c r="J4870" t="s">
        <v>26</v>
      </c>
      <c r="K4870" s="57"/>
      <c r="S4870" s="57"/>
      <c r="X4870" s="57"/>
    </row>
    <row r="4871" spans="1:24" hidden="1" x14ac:dyDescent="0.35">
      <c r="A4871">
        <v>4867</v>
      </c>
      <c r="B4871">
        <v>4868</v>
      </c>
      <c r="C4871">
        <v>146.065180314999</v>
      </c>
      <c r="D4871">
        <v>-17.6463190391</v>
      </c>
      <c r="G4871" s="92"/>
      <c r="I4871">
        <v>10</v>
      </c>
      <c r="J4871" t="s">
        <v>26</v>
      </c>
      <c r="K4871" s="57"/>
      <c r="S4871" s="57"/>
      <c r="X4871" s="57"/>
    </row>
    <row r="4872" spans="1:24" hidden="1" x14ac:dyDescent="0.35">
      <c r="A4872">
        <v>4868</v>
      </c>
      <c r="B4872">
        <v>4869</v>
      </c>
      <c r="C4872">
        <v>146.065199621</v>
      </c>
      <c r="D4872">
        <v>-17.6462354346999</v>
      </c>
      <c r="G4872" s="92"/>
      <c r="I4872">
        <v>10</v>
      </c>
      <c r="J4872" t="s">
        <v>26</v>
      </c>
      <c r="K4872" s="57"/>
      <c r="S4872" s="57"/>
      <c r="X4872" s="57"/>
    </row>
    <row r="4873" spans="1:24" hidden="1" x14ac:dyDescent="0.35">
      <c r="A4873">
        <v>4869</v>
      </c>
      <c r="B4873">
        <v>4870</v>
      </c>
      <c r="C4873">
        <v>146.06520890100001</v>
      </c>
      <c r="D4873">
        <v>-17.6461506073999</v>
      </c>
      <c r="G4873" s="92"/>
      <c r="I4873">
        <v>10</v>
      </c>
      <c r="J4873" t="s">
        <v>26</v>
      </c>
      <c r="K4873" s="57"/>
      <c r="S4873" s="57"/>
      <c r="X4873" s="57"/>
    </row>
    <row r="4874" spans="1:24" hidden="1" x14ac:dyDescent="0.35">
      <c r="A4874">
        <v>4870</v>
      </c>
      <c r="B4874">
        <v>4871</v>
      </c>
      <c r="C4874">
        <v>146.065212317999</v>
      </c>
      <c r="D4874">
        <v>-17.646065064599899</v>
      </c>
      <c r="G4874" s="92"/>
      <c r="I4874">
        <v>10</v>
      </c>
      <c r="J4874" t="s">
        <v>26</v>
      </c>
      <c r="K4874" s="57"/>
      <c r="S4874" s="57"/>
      <c r="X4874" s="57"/>
    </row>
    <row r="4875" spans="1:24" hidden="1" x14ac:dyDescent="0.35">
      <c r="A4875">
        <v>4871</v>
      </c>
      <c r="B4875">
        <v>4872</v>
      </c>
      <c r="C4875">
        <v>146.065211366</v>
      </c>
      <c r="D4875">
        <v>-17.645979497100001</v>
      </c>
      <c r="G4875" s="92"/>
      <c r="I4875">
        <v>10</v>
      </c>
      <c r="J4875" t="s">
        <v>26</v>
      </c>
      <c r="K4875" s="57"/>
      <c r="S4875" s="57"/>
      <c r="X4875" s="57"/>
    </row>
    <row r="4876" spans="1:24" hidden="1" x14ac:dyDescent="0.35">
      <c r="A4876">
        <v>4872</v>
      </c>
      <c r="B4876">
        <v>4873</v>
      </c>
      <c r="C4876">
        <v>146.06520901900001</v>
      </c>
      <c r="D4876">
        <v>-17.645893921500001</v>
      </c>
      <c r="G4876" s="92"/>
      <c r="I4876">
        <v>10</v>
      </c>
      <c r="J4876" t="s">
        <v>26</v>
      </c>
      <c r="K4876" s="57"/>
      <c r="S4876" s="57"/>
      <c r="X4876" s="57"/>
    </row>
    <row r="4877" spans="1:24" hidden="1" x14ac:dyDescent="0.35">
      <c r="A4877">
        <v>4873</v>
      </c>
      <c r="B4877">
        <v>4874</v>
      </c>
      <c r="C4877">
        <v>146.065187304999</v>
      </c>
      <c r="D4877">
        <v>-17.645811524700001</v>
      </c>
      <c r="G4877" s="92"/>
      <c r="I4877">
        <v>10</v>
      </c>
      <c r="J4877" t="s">
        <v>26</v>
      </c>
      <c r="K4877" s="57"/>
      <c r="S4877" s="57"/>
      <c r="X4877" s="57"/>
    </row>
    <row r="4878" spans="1:24" hidden="1" x14ac:dyDescent="0.35">
      <c r="A4878">
        <v>4874</v>
      </c>
      <c r="B4878">
        <v>4875</v>
      </c>
      <c r="C4878">
        <v>146.06515306399899</v>
      </c>
      <c r="D4878">
        <v>-17.645733844799899</v>
      </c>
      <c r="G4878" s="92"/>
      <c r="I4878">
        <v>10</v>
      </c>
      <c r="J4878" t="s">
        <v>26</v>
      </c>
      <c r="K4878" s="57"/>
      <c r="S4878" s="57"/>
      <c r="X4878" s="57"/>
    </row>
    <row r="4879" spans="1:24" hidden="1" x14ac:dyDescent="0.35">
      <c r="A4879">
        <v>4875</v>
      </c>
      <c r="B4879">
        <v>4876</v>
      </c>
      <c r="C4879">
        <v>146.06509005300001</v>
      </c>
      <c r="D4879">
        <v>-17.645672831500001</v>
      </c>
      <c r="G4879" s="92"/>
      <c r="I4879">
        <v>10</v>
      </c>
      <c r="J4879" t="s">
        <v>26</v>
      </c>
      <c r="K4879" s="57"/>
      <c r="S4879" s="57"/>
      <c r="X4879" s="57"/>
    </row>
    <row r="4880" spans="1:24" hidden="1" x14ac:dyDescent="0.35">
      <c r="A4880">
        <v>4876</v>
      </c>
      <c r="B4880">
        <v>4877</v>
      </c>
      <c r="C4880">
        <v>146.06501914500001</v>
      </c>
      <c r="D4880">
        <v>-17.6456225624</v>
      </c>
      <c r="G4880" s="92"/>
      <c r="I4880">
        <v>10</v>
      </c>
      <c r="J4880" t="s">
        <v>26</v>
      </c>
      <c r="K4880" s="57"/>
      <c r="S4880" s="57"/>
      <c r="X4880" s="57"/>
    </row>
    <row r="4881" spans="1:24" hidden="1" x14ac:dyDescent="0.35">
      <c r="A4881">
        <v>4877</v>
      </c>
      <c r="B4881">
        <v>4878</v>
      </c>
      <c r="C4881">
        <v>146.06493744100001</v>
      </c>
      <c r="D4881">
        <v>-17.6455869800999</v>
      </c>
      <c r="G4881" s="92"/>
      <c r="I4881">
        <v>10</v>
      </c>
      <c r="J4881" t="s">
        <v>26</v>
      </c>
      <c r="K4881" s="57"/>
      <c r="S4881" s="57"/>
      <c r="X4881" s="57"/>
    </row>
    <row r="4882" spans="1:24" hidden="1" x14ac:dyDescent="0.35">
      <c r="A4882">
        <v>4878</v>
      </c>
      <c r="B4882">
        <v>4879</v>
      </c>
      <c r="C4882">
        <v>146.064852674999</v>
      </c>
      <c r="D4882">
        <v>-17.645560835000001</v>
      </c>
      <c r="G4882" s="92"/>
      <c r="I4882">
        <v>10</v>
      </c>
      <c r="J4882" t="s">
        <v>26</v>
      </c>
      <c r="K4882" s="57"/>
      <c r="S4882" s="57"/>
      <c r="X4882" s="57"/>
    </row>
    <row r="4883" spans="1:24" hidden="1" x14ac:dyDescent="0.35">
      <c r="A4883">
        <v>4879</v>
      </c>
      <c r="B4883">
        <v>4880</v>
      </c>
      <c r="C4883">
        <v>146.06476415500001</v>
      </c>
      <c r="D4883">
        <v>-17.6455462576</v>
      </c>
      <c r="G4883" s="92"/>
      <c r="I4883">
        <v>10</v>
      </c>
      <c r="J4883" t="s">
        <v>26</v>
      </c>
      <c r="K4883" s="57"/>
      <c r="S4883" s="57"/>
      <c r="X4883" s="57"/>
    </row>
    <row r="4884" spans="1:24" hidden="1" x14ac:dyDescent="0.35">
      <c r="A4884">
        <v>4880</v>
      </c>
      <c r="B4884">
        <v>4881</v>
      </c>
      <c r="C4884">
        <v>146.06467651700001</v>
      </c>
      <c r="D4884">
        <v>-17.645551975899899</v>
      </c>
      <c r="G4884" s="92"/>
      <c r="I4884">
        <v>10</v>
      </c>
      <c r="J4884" t="s">
        <v>26</v>
      </c>
      <c r="K4884" s="57"/>
      <c r="S4884" s="57"/>
      <c r="X4884" s="57"/>
    </row>
    <row r="4885" spans="1:24" hidden="1" x14ac:dyDescent="0.35">
      <c r="A4885">
        <v>4881</v>
      </c>
      <c r="B4885">
        <v>4882</v>
      </c>
      <c r="C4885">
        <v>146.064591798999</v>
      </c>
      <c r="D4885">
        <v>-17.645579174600002</v>
      </c>
      <c r="G4885" s="92"/>
      <c r="I4885">
        <v>10</v>
      </c>
      <c r="J4885" t="s">
        <v>26</v>
      </c>
      <c r="K4885" s="57"/>
      <c r="S4885" s="57"/>
      <c r="X4885" s="57"/>
    </row>
    <row r="4886" spans="1:24" hidden="1" x14ac:dyDescent="0.35">
      <c r="A4886">
        <v>4882</v>
      </c>
      <c r="B4886">
        <v>4883</v>
      </c>
      <c r="C4886">
        <v>146.06451135</v>
      </c>
      <c r="D4886">
        <v>-17.645617264999899</v>
      </c>
      <c r="G4886" s="92"/>
      <c r="I4886">
        <v>10</v>
      </c>
      <c r="J4886" t="s">
        <v>26</v>
      </c>
      <c r="K4886" s="57"/>
      <c r="S4886" s="57"/>
      <c r="X4886" s="57"/>
    </row>
    <row r="4887" spans="1:24" hidden="1" x14ac:dyDescent="0.35">
      <c r="A4887">
        <v>4883</v>
      </c>
      <c r="B4887">
        <v>4884</v>
      </c>
      <c r="C4887">
        <v>146.064438773999</v>
      </c>
      <c r="D4887">
        <v>-17.6456668175</v>
      </c>
      <c r="G4887" s="92"/>
      <c r="I4887">
        <v>10</v>
      </c>
      <c r="J4887" t="s">
        <v>26</v>
      </c>
      <c r="K4887" s="57"/>
      <c r="S4887" s="57"/>
      <c r="X4887" s="57"/>
    </row>
    <row r="4888" spans="1:24" hidden="1" x14ac:dyDescent="0.35">
      <c r="A4888">
        <v>4884</v>
      </c>
      <c r="B4888">
        <v>4885</v>
      </c>
      <c r="C4888">
        <v>146.06437196799899</v>
      </c>
      <c r="D4888">
        <v>-17.6457236464</v>
      </c>
      <c r="G4888" s="92"/>
      <c r="I4888">
        <v>10</v>
      </c>
      <c r="J4888" t="s">
        <v>26</v>
      </c>
      <c r="K4888" s="57"/>
      <c r="S4888" s="57"/>
      <c r="X4888" s="57"/>
    </row>
    <row r="4889" spans="1:24" hidden="1" x14ac:dyDescent="0.35">
      <c r="A4889">
        <v>4885</v>
      </c>
      <c r="B4889">
        <v>4886</v>
      </c>
      <c r="C4889">
        <v>146.06431835199899</v>
      </c>
      <c r="D4889">
        <v>-17.6457923315999</v>
      </c>
      <c r="G4889" s="92"/>
      <c r="I4889">
        <v>10</v>
      </c>
      <c r="J4889" t="s">
        <v>26</v>
      </c>
      <c r="K4889" s="57"/>
      <c r="S4889" s="57"/>
      <c r="X4889" s="57"/>
    </row>
    <row r="4890" spans="1:24" hidden="1" x14ac:dyDescent="0.35">
      <c r="A4890">
        <v>4886</v>
      </c>
      <c r="B4890">
        <v>4887</v>
      </c>
      <c r="C4890">
        <v>146.06426540300001</v>
      </c>
      <c r="D4890">
        <v>-17.645861391899899</v>
      </c>
      <c r="G4890" s="92"/>
      <c r="I4890">
        <v>10</v>
      </c>
      <c r="J4890" t="s">
        <v>26</v>
      </c>
      <c r="K4890" s="57"/>
      <c r="S4890" s="57"/>
      <c r="X4890" s="57"/>
    </row>
    <row r="4891" spans="1:24" hidden="1" x14ac:dyDescent="0.35">
      <c r="A4891">
        <v>4887</v>
      </c>
      <c r="B4891">
        <v>4888</v>
      </c>
      <c r="C4891">
        <v>146.06422821300001</v>
      </c>
      <c r="D4891">
        <v>-17.645939316100002</v>
      </c>
      <c r="G4891" s="92"/>
      <c r="I4891">
        <v>10</v>
      </c>
      <c r="J4891" t="s">
        <v>26</v>
      </c>
      <c r="K4891" s="57"/>
      <c r="S4891" s="57"/>
      <c r="X4891" s="57"/>
    </row>
    <row r="4892" spans="1:24" hidden="1" x14ac:dyDescent="0.35">
      <c r="A4892">
        <v>4888</v>
      </c>
      <c r="B4892">
        <v>4889</v>
      </c>
      <c r="C4892">
        <v>146.06419102199899</v>
      </c>
      <c r="D4892">
        <v>-17.6460172401999</v>
      </c>
      <c r="G4892" s="92"/>
      <c r="I4892">
        <v>10</v>
      </c>
      <c r="J4892" t="s">
        <v>26</v>
      </c>
      <c r="K4892" s="57"/>
      <c r="S4892" s="57"/>
      <c r="X4892" s="57"/>
    </row>
    <row r="4893" spans="1:24" hidden="1" x14ac:dyDescent="0.35">
      <c r="A4893">
        <v>4889</v>
      </c>
      <c r="B4893">
        <v>4890</v>
      </c>
      <c r="C4893">
        <v>146.06419344400001</v>
      </c>
      <c r="D4893">
        <v>-17.646102064400001</v>
      </c>
      <c r="G4893" s="92"/>
      <c r="I4893">
        <v>10</v>
      </c>
      <c r="J4893" t="s">
        <v>26</v>
      </c>
      <c r="K4893" s="57"/>
      <c r="S4893" s="57"/>
      <c r="X4893" s="57"/>
    </row>
    <row r="4894" spans="1:24" hidden="1" x14ac:dyDescent="0.35">
      <c r="A4894">
        <v>4890</v>
      </c>
      <c r="B4894">
        <v>4891</v>
      </c>
      <c r="C4894">
        <v>146.064199301</v>
      </c>
      <c r="D4894">
        <v>-17.646187486999899</v>
      </c>
      <c r="G4894" s="92"/>
      <c r="I4894">
        <v>10</v>
      </c>
      <c r="J4894" t="s">
        <v>26</v>
      </c>
      <c r="K4894" s="57"/>
      <c r="S4894" s="57"/>
      <c r="X4894" s="57"/>
    </row>
    <row r="4895" spans="1:24" hidden="1" x14ac:dyDescent="0.35">
      <c r="A4895">
        <v>4891</v>
      </c>
      <c r="B4895">
        <v>4892</v>
      </c>
      <c r="C4895">
        <v>146.064205157</v>
      </c>
      <c r="D4895">
        <v>-17.646272909499899</v>
      </c>
      <c r="G4895" s="92"/>
      <c r="I4895">
        <v>10</v>
      </c>
      <c r="J4895" t="s">
        <v>26</v>
      </c>
      <c r="K4895" s="57"/>
      <c r="S4895" s="57"/>
      <c r="X4895" s="57"/>
    </row>
    <row r="4896" spans="1:24" hidden="1" x14ac:dyDescent="0.35">
      <c r="A4896">
        <v>4892</v>
      </c>
      <c r="B4896">
        <v>4893</v>
      </c>
      <c r="C4896">
        <v>146.064211013999</v>
      </c>
      <c r="D4896">
        <v>-17.6463583319</v>
      </c>
      <c r="G4896" s="92"/>
      <c r="I4896">
        <v>10</v>
      </c>
      <c r="J4896" t="s">
        <v>26</v>
      </c>
      <c r="K4896" s="57"/>
      <c r="S4896" s="57"/>
      <c r="X4896" s="57"/>
    </row>
    <row r="4897" spans="1:24" hidden="1" x14ac:dyDescent="0.35">
      <c r="A4897">
        <v>4893</v>
      </c>
      <c r="B4897">
        <v>4894</v>
      </c>
      <c r="C4897">
        <v>146.064216869999</v>
      </c>
      <c r="D4897">
        <v>-17.6464437544</v>
      </c>
      <c r="G4897" s="92"/>
      <c r="I4897">
        <v>10</v>
      </c>
      <c r="J4897" t="s">
        <v>26</v>
      </c>
      <c r="K4897" s="57"/>
      <c r="S4897" s="57"/>
      <c r="X4897" s="57"/>
    </row>
    <row r="4898" spans="1:24" hidden="1" x14ac:dyDescent="0.35">
      <c r="A4898">
        <v>4894</v>
      </c>
      <c r="B4898">
        <v>4895</v>
      </c>
      <c r="C4898">
        <v>146.06422272699899</v>
      </c>
      <c r="D4898">
        <v>-17.646529176800001</v>
      </c>
      <c r="G4898" s="92"/>
      <c r="I4898">
        <v>10</v>
      </c>
      <c r="J4898" t="s">
        <v>26</v>
      </c>
      <c r="K4898" s="57"/>
      <c r="S4898" s="57"/>
      <c r="X4898" s="57"/>
    </row>
    <row r="4899" spans="1:24" hidden="1" x14ac:dyDescent="0.35">
      <c r="A4899">
        <v>4895</v>
      </c>
      <c r="B4899">
        <v>4896</v>
      </c>
      <c r="C4899">
        <v>146.064228866999</v>
      </c>
      <c r="D4899">
        <v>-17.6466145809</v>
      </c>
      <c r="G4899" s="92"/>
      <c r="I4899">
        <v>10</v>
      </c>
      <c r="J4899" t="s">
        <v>26</v>
      </c>
      <c r="K4899" s="57"/>
      <c r="S4899" s="57"/>
      <c r="X4899" s="57"/>
    </row>
    <row r="4900" spans="1:24" hidden="1" x14ac:dyDescent="0.35">
      <c r="A4900">
        <v>4896</v>
      </c>
      <c r="B4900">
        <v>4897</v>
      </c>
      <c r="C4900">
        <v>146.06423511400001</v>
      </c>
      <c r="D4900">
        <v>-17.646699978000001</v>
      </c>
      <c r="G4900" s="92"/>
      <c r="I4900">
        <v>10</v>
      </c>
      <c r="J4900" t="s">
        <v>26</v>
      </c>
      <c r="K4900" s="57"/>
      <c r="S4900" s="57"/>
      <c r="X4900" s="57"/>
    </row>
    <row r="4901" spans="1:24" hidden="1" x14ac:dyDescent="0.35">
      <c r="A4901">
        <v>4897</v>
      </c>
      <c r="B4901">
        <v>4898</v>
      </c>
      <c r="C4901">
        <v>146.064243433999</v>
      </c>
      <c r="D4901">
        <v>-17.646785144100001</v>
      </c>
      <c r="G4901" s="92"/>
      <c r="I4901">
        <v>10</v>
      </c>
      <c r="J4901" t="s">
        <v>26</v>
      </c>
      <c r="K4901" s="57"/>
      <c r="S4901" s="57"/>
      <c r="X4901" s="57"/>
    </row>
    <row r="4902" spans="1:24" hidden="1" x14ac:dyDescent="0.35">
      <c r="A4902">
        <v>4898</v>
      </c>
      <c r="B4902">
        <v>4899</v>
      </c>
      <c r="C4902">
        <v>146.064253718999</v>
      </c>
      <c r="D4902">
        <v>-17.6468701854999</v>
      </c>
      <c r="G4902" s="92"/>
      <c r="I4902">
        <v>10</v>
      </c>
      <c r="J4902" t="s">
        <v>26</v>
      </c>
      <c r="K4902" s="57"/>
      <c r="S4902" s="57"/>
      <c r="X4902" s="57"/>
    </row>
    <row r="4903" spans="1:24" hidden="1" x14ac:dyDescent="0.35">
      <c r="A4903">
        <v>4899</v>
      </c>
      <c r="B4903">
        <v>4900</v>
      </c>
      <c r="C4903">
        <v>146.064251210999</v>
      </c>
      <c r="D4903">
        <v>-17.646955506000001</v>
      </c>
      <c r="G4903" s="92"/>
      <c r="I4903">
        <v>10</v>
      </c>
      <c r="J4903" t="s">
        <v>26</v>
      </c>
      <c r="K4903" s="57"/>
      <c r="S4903" s="57"/>
      <c r="X4903" s="57"/>
    </row>
    <row r="4904" spans="1:24" hidden="1" x14ac:dyDescent="0.35">
      <c r="A4904">
        <v>4900</v>
      </c>
      <c r="B4904">
        <v>4901</v>
      </c>
      <c r="C4904">
        <v>146.064245021</v>
      </c>
      <c r="D4904">
        <v>-17.647040906800001</v>
      </c>
      <c r="G4904" s="92"/>
      <c r="I4904">
        <v>10</v>
      </c>
      <c r="J4904" t="s">
        <v>26</v>
      </c>
      <c r="K4904" s="57"/>
      <c r="S4904" s="57"/>
      <c r="X4904" s="57"/>
    </row>
    <row r="4905" spans="1:24" hidden="1" x14ac:dyDescent="0.35">
      <c r="A4905">
        <v>4901</v>
      </c>
      <c r="B4905">
        <v>4902</v>
      </c>
      <c r="C4905">
        <v>146.06421449499899</v>
      </c>
      <c r="D4905">
        <v>-17.647120731400001</v>
      </c>
      <c r="G4905" s="92"/>
      <c r="I4905">
        <v>10</v>
      </c>
      <c r="J4905" t="s">
        <v>26</v>
      </c>
      <c r="K4905" s="57"/>
      <c r="S4905" s="57"/>
      <c r="X4905" s="57"/>
    </row>
    <row r="4906" spans="1:24" hidden="1" x14ac:dyDescent="0.35">
      <c r="A4906">
        <v>4902</v>
      </c>
      <c r="B4906">
        <v>4903</v>
      </c>
      <c r="C4906">
        <v>146.064177051</v>
      </c>
      <c r="D4906">
        <v>-17.647198049299899</v>
      </c>
      <c r="G4906" s="92"/>
      <c r="I4906">
        <v>10</v>
      </c>
      <c r="J4906" t="s">
        <v>26</v>
      </c>
      <c r="K4906" s="57"/>
      <c r="S4906" s="57"/>
      <c r="X4906" s="57"/>
    </row>
    <row r="4907" spans="1:24" hidden="1" x14ac:dyDescent="0.35">
      <c r="A4907">
        <v>4903</v>
      </c>
      <c r="B4907">
        <v>4904</v>
      </c>
      <c r="C4907">
        <v>146.064113410999</v>
      </c>
      <c r="D4907">
        <v>-17.647258466299899</v>
      </c>
      <c r="G4907" s="92"/>
      <c r="I4907">
        <v>10</v>
      </c>
      <c r="J4907" t="s">
        <v>26</v>
      </c>
      <c r="K4907" s="57"/>
      <c r="S4907" s="57"/>
      <c r="X4907" s="57"/>
    </row>
    <row r="4908" spans="1:24" hidden="1" x14ac:dyDescent="0.35">
      <c r="A4908">
        <v>4904</v>
      </c>
      <c r="B4908">
        <v>4905</v>
      </c>
      <c r="C4908">
        <v>146.06404535799899</v>
      </c>
      <c r="D4908">
        <v>-17.647312616200001</v>
      </c>
      <c r="G4908" s="92"/>
      <c r="I4908">
        <v>10</v>
      </c>
      <c r="J4908" t="s">
        <v>26</v>
      </c>
      <c r="K4908" s="57"/>
      <c r="S4908" s="57"/>
      <c r="X4908" s="57"/>
    </row>
    <row r="4909" spans="1:24" hidden="1" x14ac:dyDescent="0.35">
      <c r="A4909">
        <v>4905</v>
      </c>
      <c r="B4909">
        <v>4906</v>
      </c>
      <c r="C4909">
        <v>146.06396256400001</v>
      </c>
      <c r="D4909">
        <v>-17.647345829300001</v>
      </c>
      <c r="G4909" s="92"/>
      <c r="I4909">
        <v>10</v>
      </c>
      <c r="J4909" t="s">
        <v>26</v>
      </c>
      <c r="K4909" s="57"/>
      <c r="S4909" s="57"/>
      <c r="X4909" s="57"/>
    </row>
    <row r="4910" spans="1:24" hidden="1" x14ac:dyDescent="0.35">
      <c r="A4910">
        <v>4906</v>
      </c>
      <c r="B4910">
        <v>4907</v>
      </c>
      <c r="C4910">
        <v>146.06387973899899</v>
      </c>
      <c r="D4910">
        <v>-17.6473789383999</v>
      </c>
      <c r="G4910" s="92"/>
      <c r="I4910">
        <v>10</v>
      </c>
      <c r="J4910" t="s">
        <v>26</v>
      </c>
      <c r="K4910" s="57"/>
      <c r="S4910" s="57"/>
      <c r="X4910" s="57"/>
    </row>
    <row r="4911" spans="1:24" hidden="1" x14ac:dyDescent="0.35">
      <c r="A4911">
        <v>4907</v>
      </c>
      <c r="B4911">
        <v>4908</v>
      </c>
      <c r="C4911">
        <v>146.063790823999</v>
      </c>
      <c r="D4911">
        <v>-17.647391137</v>
      </c>
      <c r="G4911" s="92"/>
      <c r="I4911">
        <v>10</v>
      </c>
      <c r="J4911" t="s">
        <v>26</v>
      </c>
      <c r="K4911" s="57"/>
      <c r="S4911" s="57"/>
      <c r="X4911" s="57"/>
    </row>
    <row r="4912" spans="1:24" hidden="1" x14ac:dyDescent="0.35">
      <c r="A4912">
        <v>4908</v>
      </c>
      <c r="B4912">
        <v>4909</v>
      </c>
      <c r="C4912">
        <v>146.063701874999</v>
      </c>
      <c r="D4912">
        <v>-17.6473959632999</v>
      </c>
      <c r="G4912" s="92"/>
      <c r="I4912">
        <v>10</v>
      </c>
      <c r="J4912" t="s">
        <v>26</v>
      </c>
      <c r="K4912" s="57"/>
      <c r="S4912" s="57"/>
      <c r="X4912" s="57"/>
    </row>
    <row r="4913" spans="1:24" hidden="1" x14ac:dyDescent="0.35">
      <c r="A4913">
        <v>4909</v>
      </c>
      <c r="B4913">
        <v>4910</v>
      </c>
      <c r="C4913">
        <v>146.06361284900001</v>
      </c>
      <c r="D4913">
        <v>-17.6473845195999</v>
      </c>
      <c r="G4913" s="92"/>
      <c r="I4913">
        <v>10</v>
      </c>
      <c r="J4913" t="s">
        <v>26</v>
      </c>
      <c r="K4913" s="57"/>
      <c r="S4913" s="57"/>
      <c r="X4913" s="57"/>
    </row>
    <row r="4914" spans="1:24" hidden="1" x14ac:dyDescent="0.35">
      <c r="A4914">
        <v>4910</v>
      </c>
      <c r="B4914">
        <v>4911</v>
      </c>
      <c r="C4914">
        <v>146.06352662800001</v>
      </c>
      <c r="D4914">
        <v>-17.647363921899899</v>
      </c>
      <c r="G4914" s="92"/>
      <c r="I4914">
        <v>10</v>
      </c>
      <c r="J4914" t="s">
        <v>26</v>
      </c>
      <c r="K4914" s="57"/>
      <c r="S4914" s="57"/>
      <c r="X4914" s="57"/>
    </row>
    <row r="4915" spans="1:24" hidden="1" x14ac:dyDescent="0.35">
      <c r="A4915">
        <v>4911</v>
      </c>
      <c r="B4915">
        <v>4912</v>
      </c>
      <c r="C4915">
        <v>146.063445121</v>
      </c>
      <c r="D4915">
        <v>-17.6473279324</v>
      </c>
      <c r="G4915" s="92"/>
      <c r="I4915">
        <v>10</v>
      </c>
      <c r="J4915" t="s">
        <v>26</v>
      </c>
      <c r="K4915" s="57"/>
      <c r="S4915" s="57"/>
      <c r="X4915" s="57"/>
    </row>
    <row r="4916" spans="1:24" hidden="1" x14ac:dyDescent="0.35">
      <c r="A4916">
        <v>4912</v>
      </c>
      <c r="B4916">
        <v>4913</v>
      </c>
      <c r="C4916">
        <v>146.063363613999</v>
      </c>
      <c r="D4916">
        <v>-17.647291942900001</v>
      </c>
      <c r="G4916" s="92"/>
      <c r="I4916">
        <v>10</v>
      </c>
      <c r="J4916" t="s">
        <v>26</v>
      </c>
      <c r="K4916" s="57"/>
      <c r="S4916" s="57"/>
      <c r="X4916" s="57"/>
    </row>
    <row r="4917" spans="1:24" hidden="1" x14ac:dyDescent="0.35">
      <c r="A4917">
        <v>4913</v>
      </c>
      <c r="B4917">
        <v>4914</v>
      </c>
      <c r="C4917">
        <v>146.063282106999</v>
      </c>
      <c r="D4917">
        <v>-17.6472559533</v>
      </c>
      <c r="G4917" s="92"/>
      <c r="I4917">
        <v>10</v>
      </c>
      <c r="J4917" t="s">
        <v>26</v>
      </c>
      <c r="K4917" s="57"/>
      <c r="S4917" s="57"/>
      <c r="X4917" s="57"/>
    </row>
    <row r="4918" spans="1:24" hidden="1" x14ac:dyDescent="0.35">
      <c r="A4918">
        <v>4914</v>
      </c>
      <c r="B4918">
        <v>4915</v>
      </c>
      <c r="C4918">
        <v>146.06320256999899</v>
      </c>
      <c r="D4918">
        <v>-17.6472162932</v>
      </c>
      <c r="G4918" s="92"/>
      <c r="I4918">
        <v>10</v>
      </c>
      <c r="J4918" t="s">
        <v>26</v>
      </c>
      <c r="K4918" s="57"/>
      <c r="S4918" s="57"/>
      <c r="X4918" s="57"/>
    </row>
    <row r="4919" spans="1:24" hidden="1" x14ac:dyDescent="0.35">
      <c r="A4919">
        <v>4915</v>
      </c>
      <c r="B4919">
        <v>4916</v>
      </c>
      <c r="C4919">
        <v>146.06312423099899</v>
      </c>
      <c r="D4919">
        <v>-17.647174399800001</v>
      </c>
      <c r="G4919" s="92"/>
      <c r="I4919">
        <v>10</v>
      </c>
      <c r="J4919" t="s">
        <v>26</v>
      </c>
      <c r="K4919" s="57"/>
      <c r="S4919" s="57"/>
      <c r="X4919" s="57"/>
    </row>
    <row r="4920" spans="1:24" hidden="1" x14ac:dyDescent="0.35">
      <c r="A4920">
        <v>4916</v>
      </c>
      <c r="B4920">
        <v>4917</v>
      </c>
      <c r="C4920">
        <v>146.063045891999</v>
      </c>
      <c r="D4920">
        <v>-17.6471325063</v>
      </c>
      <c r="G4920" s="92"/>
      <c r="I4920">
        <v>10</v>
      </c>
      <c r="J4920" t="s">
        <v>26</v>
      </c>
      <c r="K4920" s="57"/>
      <c r="S4920" s="57"/>
      <c r="X4920" s="57"/>
    </row>
    <row r="4921" spans="1:24" hidden="1" x14ac:dyDescent="0.35">
      <c r="A4921">
        <v>4917</v>
      </c>
      <c r="B4921">
        <v>4918</v>
      </c>
      <c r="C4921">
        <v>146.062967552999</v>
      </c>
      <c r="D4921">
        <v>-17.6470906128</v>
      </c>
      <c r="G4921" s="92"/>
      <c r="I4921">
        <v>10</v>
      </c>
      <c r="J4921" t="s">
        <v>26</v>
      </c>
      <c r="K4921" s="57"/>
      <c r="S4921" s="57"/>
      <c r="X4921" s="57"/>
    </row>
    <row r="4922" spans="1:24" hidden="1" x14ac:dyDescent="0.35">
      <c r="A4922">
        <v>4918</v>
      </c>
      <c r="B4922">
        <v>4919</v>
      </c>
      <c r="C4922">
        <v>146.06288921300001</v>
      </c>
      <c r="D4922">
        <v>-17.647048719299899</v>
      </c>
      <c r="G4922" s="92"/>
      <c r="I4922">
        <v>10</v>
      </c>
      <c r="J4922" t="s">
        <v>26</v>
      </c>
      <c r="K4922" s="57"/>
      <c r="S4922" s="57"/>
      <c r="X4922" s="57"/>
    </row>
    <row r="4923" spans="1:24" hidden="1" x14ac:dyDescent="0.35">
      <c r="A4923">
        <v>4919</v>
      </c>
      <c r="B4923">
        <v>4920</v>
      </c>
      <c r="C4923">
        <v>146.062810702999</v>
      </c>
      <c r="D4923">
        <v>-17.647007131799899</v>
      </c>
      <c r="G4923" s="92"/>
      <c r="I4923">
        <v>10</v>
      </c>
      <c r="J4923" t="s">
        <v>26</v>
      </c>
      <c r="K4923" s="57"/>
      <c r="S4923" s="57"/>
      <c r="X4923" s="57"/>
    </row>
    <row r="4924" spans="1:24" hidden="1" x14ac:dyDescent="0.35">
      <c r="A4924">
        <v>4920</v>
      </c>
      <c r="B4924">
        <v>4921</v>
      </c>
      <c r="C4924">
        <v>146.06273045500001</v>
      </c>
      <c r="D4924">
        <v>-17.646968660599899</v>
      </c>
      <c r="G4924" s="92"/>
      <c r="I4924">
        <v>10</v>
      </c>
      <c r="J4924" t="s">
        <v>26</v>
      </c>
      <c r="K4924" s="57"/>
      <c r="S4924" s="57"/>
      <c r="X4924" s="57"/>
    </row>
    <row r="4925" spans="1:24" hidden="1" x14ac:dyDescent="0.35">
      <c r="A4925">
        <v>4921</v>
      </c>
      <c r="B4925">
        <v>4922</v>
      </c>
      <c r="C4925">
        <v>146.062650206</v>
      </c>
      <c r="D4925">
        <v>-17.6469301893999</v>
      </c>
      <c r="G4925" s="92"/>
      <c r="I4925">
        <v>10</v>
      </c>
      <c r="J4925" t="s">
        <v>26</v>
      </c>
      <c r="K4925" s="57"/>
      <c r="S4925" s="57"/>
      <c r="X4925" s="57"/>
    </row>
    <row r="4926" spans="1:24" hidden="1" x14ac:dyDescent="0.35">
      <c r="A4926">
        <v>4922</v>
      </c>
      <c r="B4926">
        <v>4923</v>
      </c>
      <c r="C4926">
        <v>146.062569956999</v>
      </c>
      <c r="D4926">
        <v>-17.6468917181999</v>
      </c>
      <c r="G4926" s="92"/>
      <c r="I4926">
        <v>10</v>
      </c>
      <c r="J4926" t="s">
        <v>26</v>
      </c>
      <c r="K4926" s="57"/>
      <c r="S4926" s="57"/>
      <c r="X4926" s="57"/>
    </row>
    <row r="4927" spans="1:24" hidden="1" x14ac:dyDescent="0.35">
      <c r="A4927">
        <v>4923</v>
      </c>
      <c r="B4927">
        <v>4924</v>
      </c>
      <c r="C4927">
        <v>146.06248970799899</v>
      </c>
      <c r="D4927">
        <v>-17.646853246900001</v>
      </c>
      <c r="G4927" s="92"/>
      <c r="I4927">
        <v>10</v>
      </c>
      <c r="J4927" t="s">
        <v>26</v>
      </c>
      <c r="K4927" s="57"/>
      <c r="S4927" s="57"/>
      <c r="X4927" s="57"/>
    </row>
    <row r="4928" spans="1:24" hidden="1" x14ac:dyDescent="0.35">
      <c r="A4928">
        <v>4924</v>
      </c>
      <c r="B4928">
        <v>4925</v>
      </c>
      <c r="C4928">
        <v>146.06240945900001</v>
      </c>
      <c r="D4928">
        <v>-17.646814775700001</v>
      </c>
      <c r="G4928" s="92"/>
      <c r="I4928">
        <v>10</v>
      </c>
      <c r="J4928" t="s">
        <v>26</v>
      </c>
      <c r="K4928" s="57"/>
      <c r="S4928" s="57"/>
      <c r="X4928" s="57"/>
    </row>
    <row r="4929" spans="1:24" hidden="1" x14ac:dyDescent="0.35">
      <c r="A4929">
        <v>4925</v>
      </c>
      <c r="B4929">
        <v>4926</v>
      </c>
      <c r="C4929">
        <v>146.062327065999</v>
      </c>
      <c r="D4929">
        <v>-17.646781103199899</v>
      </c>
      <c r="G4929" s="92"/>
      <c r="I4929">
        <v>10</v>
      </c>
      <c r="J4929" t="s">
        <v>26</v>
      </c>
      <c r="K4929" s="57"/>
      <c r="S4929" s="57"/>
      <c r="X4929" s="57"/>
    </row>
    <row r="4930" spans="1:24" hidden="1" x14ac:dyDescent="0.35">
      <c r="A4930">
        <v>4926</v>
      </c>
      <c r="B4930">
        <v>4927</v>
      </c>
      <c r="C4930">
        <v>146.06224234499899</v>
      </c>
      <c r="D4930">
        <v>-17.646752641900001</v>
      </c>
      <c r="G4930" s="92"/>
      <c r="I4930">
        <v>10</v>
      </c>
      <c r="J4930" t="s">
        <v>26</v>
      </c>
      <c r="K4930" s="57"/>
      <c r="S4930" s="57"/>
      <c r="X4930" s="57"/>
    </row>
    <row r="4931" spans="1:24" hidden="1" x14ac:dyDescent="0.35">
      <c r="A4931">
        <v>4927</v>
      </c>
      <c r="B4931">
        <v>4928</v>
      </c>
      <c r="C4931">
        <v>146.06215468299899</v>
      </c>
      <c r="D4931">
        <v>-17.646740313700001</v>
      </c>
      <c r="G4931" s="92"/>
      <c r="I4931">
        <v>10</v>
      </c>
      <c r="J4931" t="s">
        <v>26</v>
      </c>
      <c r="K4931" s="57"/>
      <c r="S4931" s="57"/>
      <c r="X4931" s="57"/>
    </row>
    <row r="4932" spans="1:24" hidden="1" x14ac:dyDescent="0.35">
      <c r="A4932">
        <v>4928</v>
      </c>
      <c r="B4932">
        <v>4929</v>
      </c>
      <c r="C4932">
        <v>146.06206485300001</v>
      </c>
      <c r="D4932">
        <v>-17.646739885900001</v>
      </c>
      <c r="G4932" s="92"/>
      <c r="I4932">
        <v>10</v>
      </c>
      <c r="J4932" t="s">
        <v>26</v>
      </c>
      <c r="K4932" s="57"/>
      <c r="S4932" s="57"/>
      <c r="X4932" s="57"/>
    </row>
    <row r="4933" spans="1:24" hidden="1" x14ac:dyDescent="0.35">
      <c r="A4933">
        <v>4929</v>
      </c>
      <c r="B4933">
        <v>4930</v>
      </c>
      <c r="C4933">
        <v>146.06197534</v>
      </c>
      <c r="D4933">
        <v>-17.6467438068</v>
      </c>
      <c r="G4933" s="92"/>
      <c r="I4933">
        <v>10</v>
      </c>
      <c r="J4933" t="s">
        <v>26</v>
      </c>
      <c r="K4933" s="57"/>
      <c r="S4933" s="57"/>
      <c r="X4933" s="57"/>
    </row>
    <row r="4934" spans="1:24" hidden="1" x14ac:dyDescent="0.35">
      <c r="A4934">
        <v>4930</v>
      </c>
      <c r="B4934">
        <v>4931</v>
      </c>
      <c r="C4934">
        <v>146.061886434999</v>
      </c>
      <c r="D4934">
        <v>-17.646756069999899</v>
      </c>
      <c r="G4934" s="92"/>
      <c r="I4934">
        <v>10</v>
      </c>
      <c r="J4934" t="s">
        <v>26</v>
      </c>
      <c r="K4934" s="57"/>
      <c r="S4934" s="57"/>
      <c r="X4934" s="57"/>
    </row>
    <row r="4935" spans="1:24" hidden="1" x14ac:dyDescent="0.35">
      <c r="A4935">
        <v>4931</v>
      </c>
      <c r="B4935">
        <v>4932</v>
      </c>
      <c r="C4935">
        <v>146.06179753000001</v>
      </c>
      <c r="D4935">
        <v>-17.646768333200001</v>
      </c>
      <c r="G4935" s="92"/>
      <c r="I4935">
        <v>10</v>
      </c>
      <c r="J4935" t="s">
        <v>26</v>
      </c>
      <c r="K4935" s="57"/>
      <c r="S4935" s="57"/>
      <c r="X4935" s="57"/>
    </row>
    <row r="4936" spans="1:24" hidden="1" x14ac:dyDescent="0.35">
      <c r="A4936">
        <v>4932</v>
      </c>
      <c r="B4936">
        <v>4933</v>
      </c>
      <c r="C4936">
        <v>146.061708568</v>
      </c>
      <c r="D4936">
        <v>-17.6467712990999</v>
      </c>
      <c r="G4936" s="92"/>
      <c r="I4936">
        <v>10</v>
      </c>
      <c r="J4936" t="s">
        <v>26</v>
      </c>
      <c r="K4936" s="57"/>
      <c r="S4936" s="57"/>
      <c r="X4936" s="57"/>
    </row>
    <row r="4937" spans="1:24" hidden="1" x14ac:dyDescent="0.35">
      <c r="A4937">
        <v>4933</v>
      </c>
      <c r="B4937">
        <v>4934</v>
      </c>
      <c r="C4937">
        <v>146.06161951799899</v>
      </c>
      <c r="D4937">
        <v>-17.6467600265999</v>
      </c>
      <c r="G4937" s="92"/>
      <c r="I4937">
        <v>10</v>
      </c>
      <c r="J4937" t="s">
        <v>26</v>
      </c>
      <c r="K4937" s="57"/>
      <c r="S4937" s="57"/>
      <c r="X4937" s="57"/>
    </row>
    <row r="4938" spans="1:24" hidden="1" x14ac:dyDescent="0.35">
      <c r="A4938">
        <v>4934</v>
      </c>
      <c r="B4938">
        <v>4935</v>
      </c>
      <c r="C4938">
        <v>146.061530468999</v>
      </c>
      <c r="D4938">
        <v>-17.646748754000001</v>
      </c>
      <c r="G4938" s="92"/>
      <c r="I4938">
        <v>10</v>
      </c>
      <c r="J4938" t="s">
        <v>26</v>
      </c>
      <c r="K4938" s="57"/>
      <c r="S4938" s="57"/>
      <c r="X4938" s="57"/>
    </row>
    <row r="4939" spans="1:24" hidden="1" x14ac:dyDescent="0.35">
      <c r="A4939">
        <v>4935</v>
      </c>
      <c r="B4939">
        <v>4936</v>
      </c>
      <c r="C4939">
        <v>146.061441419999</v>
      </c>
      <c r="D4939">
        <v>-17.646737481399899</v>
      </c>
      <c r="G4939" s="92"/>
      <c r="I4939">
        <v>10</v>
      </c>
      <c r="J4939" t="s">
        <v>26</v>
      </c>
      <c r="K4939" s="57"/>
      <c r="S4939" s="57"/>
      <c r="X4939" s="57"/>
    </row>
    <row r="4940" spans="1:24" hidden="1" x14ac:dyDescent="0.35">
      <c r="A4940">
        <v>4936</v>
      </c>
      <c r="B4940">
        <v>4937</v>
      </c>
      <c r="C4940">
        <v>146.061355827</v>
      </c>
      <c r="D4940">
        <v>-17.6467149042</v>
      </c>
      <c r="G4940" s="92"/>
      <c r="I4940">
        <v>10</v>
      </c>
      <c r="J4940" t="s">
        <v>26</v>
      </c>
      <c r="K4940" s="57"/>
      <c r="S4940" s="57"/>
      <c r="X4940" s="57"/>
    </row>
    <row r="4941" spans="1:24" hidden="1" x14ac:dyDescent="0.35">
      <c r="A4941">
        <v>4937</v>
      </c>
      <c r="B4941">
        <v>4938</v>
      </c>
      <c r="C4941">
        <v>146.061274362999</v>
      </c>
      <c r="D4941">
        <v>-17.646678827100001</v>
      </c>
      <c r="G4941" s="92"/>
      <c r="I4941">
        <v>10</v>
      </c>
      <c r="J4941" t="s">
        <v>26</v>
      </c>
      <c r="K4941" s="57"/>
      <c r="S4941" s="57"/>
      <c r="X4941" s="57"/>
    </row>
    <row r="4942" spans="1:24" hidden="1" x14ac:dyDescent="0.35">
      <c r="A4942">
        <v>4938</v>
      </c>
      <c r="B4942">
        <v>4939</v>
      </c>
      <c r="C4942">
        <v>146.061192898999</v>
      </c>
      <c r="D4942">
        <v>-17.6466427501</v>
      </c>
      <c r="G4942" s="92"/>
      <c r="I4942">
        <v>10</v>
      </c>
      <c r="J4942" t="s">
        <v>26</v>
      </c>
      <c r="K4942" s="57"/>
      <c r="S4942" s="57"/>
      <c r="X4942" s="57"/>
    </row>
    <row r="4943" spans="1:24" hidden="1" x14ac:dyDescent="0.35">
      <c r="A4943">
        <v>4939</v>
      </c>
      <c r="B4943">
        <v>4940</v>
      </c>
      <c r="C4943">
        <v>146.061111433999</v>
      </c>
      <c r="D4943">
        <v>-17.6466066730999</v>
      </c>
      <c r="G4943" s="92"/>
      <c r="I4943">
        <v>10</v>
      </c>
      <c r="J4943" t="s">
        <v>26</v>
      </c>
      <c r="K4943" s="57"/>
      <c r="S4943" s="57"/>
      <c r="X4943" s="57"/>
    </row>
    <row r="4944" spans="1:24" hidden="1" x14ac:dyDescent="0.35">
      <c r="A4944">
        <v>4940</v>
      </c>
      <c r="B4944">
        <v>4941</v>
      </c>
      <c r="C4944">
        <v>146.061029969999</v>
      </c>
      <c r="D4944">
        <v>-17.646570596</v>
      </c>
      <c r="G4944" s="92"/>
      <c r="I4944">
        <v>10</v>
      </c>
      <c r="J4944" t="s">
        <v>26</v>
      </c>
      <c r="K4944" s="57"/>
      <c r="S4944" s="57"/>
      <c r="X4944" s="57"/>
    </row>
    <row r="4945" spans="1:24" hidden="1" x14ac:dyDescent="0.35">
      <c r="A4945">
        <v>4941</v>
      </c>
      <c r="B4945">
        <v>4942</v>
      </c>
      <c r="C4945">
        <v>146.060954511999</v>
      </c>
      <c r="D4945">
        <v>-17.6465244746</v>
      </c>
      <c r="G4945" s="92"/>
      <c r="I4945">
        <v>10</v>
      </c>
      <c r="J4945" t="s">
        <v>26</v>
      </c>
      <c r="K4945" s="57"/>
      <c r="S4945" s="57"/>
      <c r="X4945" s="57"/>
    </row>
    <row r="4946" spans="1:24" hidden="1" x14ac:dyDescent="0.35">
      <c r="A4946">
        <v>4942</v>
      </c>
      <c r="B4946">
        <v>4943</v>
      </c>
      <c r="C4946">
        <v>146.06088041199899</v>
      </c>
      <c r="D4946">
        <v>-17.646476081300001</v>
      </c>
      <c r="G4946" s="92"/>
      <c r="I4946">
        <v>10</v>
      </c>
      <c r="J4946" t="s">
        <v>26</v>
      </c>
      <c r="K4946" s="57"/>
      <c r="S4946" s="57"/>
      <c r="X4946" s="57"/>
    </row>
    <row r="4947" spans="1:24" hidden="1" x14ac:dyDescent="0.35">
      <c r="A4947">
        <v>4943</v>
      </c>
      <c r="B4947">
        <v>4944</v>
      </c>
      <c r="C4947">
        <v>146.06080631200001</v>
      </c>
      <c r="D4947">
        <v>-17.646427687900001</v>
      </c>
      <c r="G4947" s="92"/>
      <c r="I4947">
        <v>10</v>
      </c>
      <c r="J4947" t="s">
        <v>26</v>
      </c>
      <c r="K4947" s="57"/>
      <c r="S4947" s="57"/>
      <c r="X4947" s="57"/>
    </row>
    <row r="4948" spans="1:24" hidden="1" x14ac:dyDescent="0.35">
      <c r="A4948">
        <v>4944</v>
      </c>
      <c r="B4948">
        <v>4945</v>
      </c>
      <c r="C4948">
        <v>146.06073312500001</v>
      </c>
      <c r="D4948">
        <v>-17.6463780875</v>
      </c>
      <c r="G4948" s="92"/>
      <c r="I4948">
        <v>10</v>
      </c>
      <c r="J4948" t="s">
        <v>26</v>
      </c>
      <c r="K4948" s="57"/>
      <c r="S4948" s="57"/>
      <c r="X4948" s="57"/>
    </row>
    <row r="4949" spans="1:24" hidden="1" x14ac:dyDescent="0.35">
      <c r="A4949">
        <v>4945</v>
      </c>
      <c r="B4949">
        <v>4946</v>
      </c>
      <c r="C4949">
        <v>146.06066150199899</v>
      </c>
      <c r="D4949">
        <v>-17.646326417400001</v>
      </c>
      <c r="G4949" s="92"/>
      <c r="I4949">
        <v>10</v>
      </c>
      <c r="J4949" t="s">
        <v>26</v>
      </c>
      <c r="K4949" s="57"/>
      <c r="S4949" s="57"/>
      <c r="X4949" s="57"/>
    </row>
    <row r="4950" spans="1:24" hidden="1" x14ac:dyDescent="0.35">
      <c r="A4950">
        <v>4946</v>
      </c>
      <c r="B4950">
        <v>4947</v>
      </c>
      <c r="C4950">
        <v>146.06058988000001</v>
      </c>
      <c r="D4950">
        <v>-17.646274747300001</v>
      </c>
      <c r="G4950" s="92"/>
      <c r="I4950">
        <v>10</v>
      </c>
      <c r="J4950" t="s">
        <v>26</v>
      </c>
      <c r="K4950" s="57"/>
      <c r="S4950" s="57"/>
      <c r="X4950" s="57"/>
    </row>
    <row r="4951" spans="1:24" hidden="1" x14ac:dyDescent="0.35">
      <c r="A4951">
        <v>4947</v>
      </c>
      <c r="B4951">
        <v>4948</v>
      </c>
      <c r="C4951">
        <v>146.060518258</v>
      </c>
      <c r="D4951">
        <v>-17.646223077199899</v>
      </c>
      <c r="G4951" s="92"/>
      <c r="I4951">
        <v>10</v>
      </c>
      <c r="J4951" t="s">
        <v>26</v>
      </c>
      <c r="K4951" s="57"/>
      <c r="S4951" s="57"/>
      <c r="X4951" s="57"/>
    </row>
    <row r="4952" spans="1:24" hidden="1" x14ac:dyDescent="0.35">
      <c r="A4952">
        <v>4948</v>
      </c>
      <c r="B4952">
        <v>4949</v>
      </c>
      <c r="C4952">
        <v>146.06044106600001</v>
      </c>
      <c r="D4952">
        <v>-17.6461797137</v>
      </c>
      <c r="G4952" s="92"/>
      <c r="I4952">
        <v>10</v>
      </c>
      <c r="J4952" t="s">
        <v>26</v>
      </c>
      <c r="K4952" s="57"/>
      <c r="S4952" s="57"/>
      <c r="X4952" s="57"/>
    </row>
    <row r="4953" spans="1:24" hidden="1" x14ac:dyDescent="0.35">
      <c r="A4953">
        <v>4949</v>
      </c>
      <c r="B4953">
        <v>4950</v>
      </c>
      <c r="C4953">
        <v>146.060361768999</v>
      </c>
      <c r="D4953">
        <v>-17.646139489700001</v>
      </c>
      <c r="G4953" s="92"/>
      <c r="I4953">
        <v>10</v>
      </c>
      <c r="J4953" t="s">
        <v>26</v>
      </c>
      <c r="K4953" s="57"/>
      <c r="S4953" s="57"/>
      <c r="X4953" s="57"/>
    </row>
    <row r="4954" spans="1:24" hidden="1" x14ac:dyDescent="0.35">
      <c r="A4954">
        <v>4950</v>
      </c>
      <c r="B4954">
        <v>4951</v>
      </c>
      <c r="C4954">
        <v>146.06028247200001</v>
      </c>
      <c r="D4954">
        <v>-17.6460992656</v>
      </c>
      <c r="G4954" s="92"/>
      <c r="I4954">
        <v>10</v>
      </c>
      <c r="J4954" t="s">
        <v>26</v>
      </c>
      <c r="K4954" s="57"/>
      <c r="S4954" s="57"/>
      <c r="X4954" s="57"/>
    </row>
    <row r="4955" spans="1:24" hidden="1" x14ac:dyDescent="0.35">
      <c r="A4955">
        <v>4951</v>
      </c>
      <c r="B4955">
        <v>4952</v>
      </c>
      <c r="C4955">
        <v>146.060197805</v>
      </c>
      <c r="D4955">
        <v>-17.646072858299899</v>
      </c>
      <c r="G4955" s="92"/>
      <c r="I4955">
        <v>10</v>
      </c>
      <c r="J4955" t="s">
        <v>26</v>
      </c>
      <c r="K4955" s="57"/>
      <c r="S4955" s="57"/>
      <c r="X4955" s="57"/>
    </row>
    <row r="4956" spans="1:24" hidden="1" x14ac:dyDescent="0.35">
      <c r="A4956">
        <v>4952</v>
      </c>
      <c r="B4956">
        <v>4953</v>
      </c>
      <c r="C4956">
        <v>146.06011014500001</v>
      </c>
      <c r="D4956">
        <v>-17.6460541490999</v>
      </c>
      <c r="G4956" s="92"/>
      <c r="I4956">
        <v>10</v>
      </c>
      <c r="J4956" t="s">
        <v>26</v>
      </c>
      <c r="K4956" s="57"/>
      <c r="S4956" s="57"/>
      <c r="X4956" s="57"/>
    </row>
    <row r="4957" spans="1:24" hidden="1" x14ac:dyDescent="0.35">
      <c r="A4957">
        <v>4953</v>
      </c>
      <c r="B4957">
        <v>4954</v>
      </c>
      <c r="C4957">
        <v>146.060022484999</v>
      </c>
      <c r="D4957">
        <v>-17.646035439999899</v>
      </c>
      <c r="G4957" s="92"/>
      <c r="I4957">
        <v>10</v>
      </c>
      <c r="J4957" t="s">
        <v>26</v>
      </c>
      <c r="K4957" s="57"/>
      <c r="S4957" s="57"/>
      <c r="X4957" s="57"/>
    </row>
    <row r="4958" spans="1:24" hidden="1" x14ac:dyDescent="0.35">
      <c r="A4958">
        <v>4954</v>
      </c>
      <c r="B4958">
        <v>4955</v>
      </c>
      <c r="C4958">
        <v>146.05993870200001</v>
      </c>
      <c r="D4958">
        <v>-17.6460550123</v>
      </c>
      <c r="G4958" s="92"/>
      <c r="I4958">
        <v>10</v>
      </c>
      <c r="J4958" t="s">
        <v>26</v>
      </c>
      <c r="K4958" s="57"/>
      <c r="S4958" s="57"/>
      <c r="X4958" s="57"/>
    </row>
    <row r="4959" spans="1:24" hidden="1" x14ac:dyDescent="0.35">
      <c r="A4959">
        <v>4955</v>
      </c>
      <c r="B4959">
        <v>4956</v>
      </c>
      <c r="C4959">
        <v>146.059856413999</v>
      </c>
      <c r="D4959">
        <v>-17.646089351200001</v>
      </c>
      <c r="G4959" s="92"/>
      <c r="I4959">
        <v>10</v>
      </c>
      <c r="J4959" t="s">
        <v>26</v>
      </c>
      <c r="K4959" s="57"/>
      <c r="S4959" s="57"/>
      <c r="X4959" s="57"/>
    </row>
    <row r="4960" spans="1:24" hidden="1" x14ac:dyDescent="0.35">
      <c r="A4960">
        <v>4956</v>
      </c>
      <c r="B4960">
        <v>4957</v>
      </c>
      <c r="C4960">
        <v>146.05978403399899</v>
      </c>
      <c r="D4960">
        <v>-17.6461364223</v>
      </c>
      <c r="G4960" s="92"/>
      <c r="I4960">
        <v>10</v>
      </c>
      <c r="J4960" t="s">
        <v>26</v>
      </c>
      <c r="K4960" s="57"/>
      <c r="S4960" s="57"/>
      <c r="X4960" s="57"/>
    </row>
    <row r="4961" spans="1:24" hidden="1" x14ac:dyDescent="0.35">
      <c r="A4961">
        <v>4957</v>
      </c>
      <c r="B4961">
        <v>4958</v>
      </c>
      <c r="C4961">
        <v>146.059725646999</v>
      </c>
      <c r="D4961">
        <v>-17.6462014793</v>
      </c>
      <c r="G4961" s="92"/>
      <c r="I4961">
        <v>10</v>
      </c>
      <c r="J4961" t="s">
        <v>26</v>
      </c>
      <c r="K4961" s="57"/>
      <c r="S4961" s="57"/>
      <c r="X4961" s="57"/>
    </row>
    <row r="4962" spans="1:24" hidden="1" x14ac:dyDescent="0.35">
      <c r="A4962">
        <v>4958</v>
      </c>
      <c r="B4962">
        <v>4959</v>
      </c>
      <c r="C4962">
        <v>146.05966868100001</v>
      </c>
      <c r="D4962">
        <v>-17.646267585099899</v>
      </c>
      <c r="G4962" s="92"/>
      <c r="I4962">
        <v>10</v>
      </c>
      <c r="J4962" t="s">
        <v>26</v>
      </c>
      <c r="K4962" s="57"/>
      <c r="S4962" s="57"/>
      <c r="X4962" s="57"/>
    </row>
    <row r="4963" spans="1:24" hidden="1" x14ac:dyDescent="0.35">
      <c r="A4963">
        <v>4959</v>
      </c>
      <c r="B4963">
        <v>4960</v>
      </c>
      <c r="C4963">
        <v>146.05961716100001</v>
      </c>
      <c r="D4963">
        <v>-17.646337711800001</v>
      </c>
      <c r="G4963" s="92"/>
      <c r="I4963">
        <v>10</v>
      </c>
      <c r="J4963" t="s">
        <v>26</v>
      </c>
      <c r="K4963" s="57"/>
      <c r="S4963" s="57"/>
      <c r="X4963" s="57"/>
    </row>
    <row r="4964" spans="1:24" hidden="1" x14ac:dyDescent="0.35">
      <c r="A4964">
        <v>4960</v>
      </c>
      <c r="B4964">
        <v>4961</v>
      </c>
      <c r="C4964">
        <v>146.05956564100001</v>
      </c>
      <c r="D4964">
        <v>-17.646407838399899</v>
      </c>
      <c r="G4964" s="92"/>
      <c r="I4964">
        <v>10</v>
      </c>
      <c r="J4964" t="s">
        <v>26</v>
      </c>
      <c r="K4964" s="57"/>
      <c r="S4964" s="57"/>
      <c r="X4964" s="57"/>
    </row>
    <row r="4965" spans="1:24" hidden="1" x14ac:dyDescent="0.35">
      <c r="A4965">
        <v>4961</v>
      </c>
      <c r="B4965">
        <v>4962</v>
      </c>
      <c r="C4965">
        <v>146.05949800600001</v>
      </c>
      <c r="D4965">
        <v>-17.646462337100001</v>
      </c>
      <c r="G4965" s="92"/>
      <c r="I4965">
        <v>10</v>
      </c>
      <c r="J4965" t="s">
        <v>26</v>
      </c>
      <c r="K4965" s="57"/>
      <c r="S4965" s="57"/>
      <c r="X4965" s="57"/>
    </row>
    <row r="4966" spans="1:24" hidden="1" x14ac:dyDescent="0.35">
      <c r="A4966">
        <v>4962</v>
      </c>
      <c r="B4966">
        <v>4963</v>
      </c>
      <c r="C4966">
        <v>146.059423525</v>
      </c>
      <c r="D4966">
        <v>-17.646510195600001</v>
      </c>
      <c r="G4966" s="92"/>
      <c r="I4966">
        <v>10</v>
      </c>
      <c r="J4966" t="s">
        <v>26</v>
      </c>
      <c r="K4966" s="57"/>
      <c r="S4966" s="57"/>
      <c r="X4966" s="57"/>
    </row>
    <row r="4967" spans="1:24" hidden="1" x14ac:dyDescent="0.35">
      <c r="A4967">
        <v>4963</v>
      </c>
      <c r="B4967">
        <v>4964</v>
      </c>
      <c r="C4967">
        <v>146.059343452999</v>
      </c>
      <c r="D4967">
        <v>-17.646543292699899</v>
      </c>
      <c r="G4967" s="92"/>
      <c r="I4967">
        <v>10</v>
      </c>
      <c r="J4967" t="s">
        <v>26</v>
      </c>
      <c r="K4967" s="57"/>
      <c r="S4967" s="57"/>
      <c r="X4967" s="57"/>
    </row>
    <row r="4968" spans="1:24" hidden="1" x14ac:dyDescent="0.35">
      <c r="A4968">
        <v>4964</v>
      </c>
      <c r="B4968">
        <v>4965</v>
      </c>
      <c r="C4968">
        <v>146.059254065</v>
      </c>
      <c r="D4968">
        <v>-17.6465517892</v>
      </c>
      <c r="G4968" s="92"/>
      <c r="I4968">
        <v>10</v>
      </c>
      <c r="J4968" t="s">
        <v>26</v>
      </c>
      <c r="K4968" s="57"/>
      <c r="S4968" s="57"/>
      <c r="X4968" s="57"/>
    </row>
    <row r="4969" spans="1:24" hidden="1" x14ac:dyDescent="0.35">
      <c r="A4969">
        <v>4965</v>
      </c>
      <c r="B4969">
        <v>4966</v>
      </c>
      <c r="C4969">
        <v>146.05916467700001</v>
      </c>
      <c r="D4969">
        <v>-17.6465602858</v>
      </c>
      <c r="G4969" s="92"/>
      <c r="I4969">
        <v>10</v>
      </c>
      <c r="J4969" t="s">
        <v>26</v>
      </c>
      <c r="K4969" s="57"/>
      <c r="S4969" s="57"/>
      <c r="X4969" s="57"/>
    </row>
    <row r="4970" spans="1:24" hidden="1" x14ac:dyDescent="0.35">
      <c r="A4970">
        <v>4966</v>
      </c>
      <c r="B4970">
        <v>4967</v>
      </c>
      <c r="C4970">
        <v>146.05907512900001</v>
      </c>
      <c r="D4970">
        <v>-17.646566288900001</v>
      </c>
      <c r="G4970" s="92"/>
      <c r="I4970">
        <v>10</v>
      </c>
      <c r="J4970" t="s">
        <v>26</v>
      </c>
      <c r="K4970" s="57"/>
      <c r="S4970" s="57"/>
      <c r="X4970" s="57"/>
    </row>
    <row r="4971" spans="1:24" hidden="1" x14ac:dyDescent="0.35">
      <c r="A4971">
        <v>4967</v>
      </c>
      <c r="B4971">
        <v>4968</v>
      </c>
      <c r="C4971">
        <v>146.058985320999</v>
      </c>
      <c r="D4971">
        <v>-17.6465682513</v>
      </c>
      <c r="G4971" s="92"/>
      <c r="I4971">
        <v>10</v>
      </c>
      <c r="J4971" t="s">
        <v>26</v>
      </c>
      <c r="K4971" s="57"/>
      <c r="S4971" s="57"/>
      <c r="X4971" s="57"/>
    </row>
    <row r="4972" spans="1:24" hidden="1" x14ac:dyDescent="0.35">
      <c r="A4972">
        <v>4968</v>
      </c>
      <c r="B4972">
        <v>4969</v>
      </c>
      <c r="C4972">
        <v>146.05889606599899</v>
      </c>
      <c r="D4972">
        <v>-17.646566297500001</v>
      </c>
      <c r="G4972" s="92"/>
      <c r="I4972">
        <v>10</v>
      </c>
      <c r="J4972" t="s">
        <v>26</v>
      </c>
      <c r="K4972" s="57"/>
      <c r="S4972" s="57"/>
      <c r="X4972" s="57"/>
    </row>
    <row r="4973" spans="1:24" hidden="1" x14ac:dyDescent="0.35">
      <c r="A4973">
        <v>4969</v>
      </c>
      <c r="B4973">
        <v>4970</v>
      </c>
      <c r="C4973">
        <v>146.058809996999</v>
      </c>
      <c r="D4973">
        <v>-17.6465417824</v>
      </c>
      <c r="G4973" s="92"/>
      <c r="I4973">
        <v>10</v>
      </c>
      <c r="J4973" t="s">
        <v>26</v>
      </c>
      <c r="K4973" s="57"/>
      <c r="S4973" s="57"/>
      <c r="X4973" s="57"/>
    </row>
    <row r="4974" spans="1:24" hidden="1" x14ac:dyDescent="0.35">
      <c r="A4974">
        <v>4970</v>
      </c>
      <c r="B4974">
        <v>4971</v>
      </c>
      <c r="C4974">
        <v>146.05872392800001</v>
      </c>
      <c r="D4974">
        <v>-17.646517267299899</v>
      </c>
      <c r="G4974" s="92"/>
      <c r="I4974">
        <v>10</v>
      </c>
      <c r="J4974" t="s">
        <v>26</v>
      </c>
      <c r="K4974" s="57"/>
      <c r="S4974" s="57"/>
      <c r="X4974" s="57"/>
    </row>
    <row r="4975" spans="1:24" hidden="1" x14ac:dyDescent="0.35">
      <c r="A4975">
        <v>4971</v>
      </c>
      <c r="B4975">
        <v>4972</v>
      </c>
      <c r="C4975">
        <v>146.058638317999</v>
      </c>
      <c r="D4975">
        <v>-17.646491791300001</v>
      </c>
      <c r="G4975" s="92"/>
      <c r="I4975">
        <v>10</v>
      </c>
      <c r="J4975" t="s">
        <v>26</v>
      </c>
      <c r="K4975" s="57"/>
      <c r="S4975" s="57"/>
      <c r="X4975" s="57"/>
    </row>
    <row r="4976" spans="1:24" hidden="1" x14ac:dyDescent="0.35">
      <c r="A4976">
        <v>4972</v>
      </c>
      <c r="B4976">
        <v>4973</v>
      </c>
      <c r="C4976">
        <v>146.05856241500001</v>
      </c>
      <c r="D4976">
        <v>-17.646446005600001</v>
      </c>
      <c r="G4976" s="92"/>
      <c r="I4976">
        <v>10</v>
      </c>
      <c r="J4976" t="s">
        <v>26</v>
      </c>
      <c r="K4976" s="57"/>
      <c r="S4976" s="57"/>
      <c r="X4976" s="57"/>
    </row>
    <row r="4977" spans="1:24" hidden="1" x14ac:dyDescent="0.35">
      <c r="A4977">
        <v>4973</v>
      </c>
      <c r="B4977">
        <v>4974</v>
      </c>
      <c r="C4977">
        <v>146.058486512</v>
      </c>
      <c r="D4977">
        <v>-17.646400219899899</v>
      </c>
      <c r="G4977" s="92"/>
      <c r="I4977">
        <v>10</v>
      </c>
      <c r="J4977" t="s">
        <v>26</v>
      </c>
      <c r="K4977" s="57"/>
      <c r="S4977" s="57"/>
      <c r="X4977" s="57"/>
    </row>
    <row r="4978" spans="1:24" hidden="1" x14ac:dyDescent="0.35">
      <c r="A4978">
        <v>4974</v>
      </c>
      <c r="B4978">
        <v>4975</v>
      </c>
      <c r="C4978">
        <v>146.05841061000001</v>
      </c>
      <c r="D4978">
        <v>-17.6463544341999</v>
      </c>
      <c r="G4978" s="92"/>
      <c r="I4978">
        <v>10</v>
      </c>
      <c r="J4978" t="s">
        <v>26</v>
      </c>
      <c r="K4978" s="57"/>
      <c r="S4978" s="57"/>
      <c r="X4978" s="57"/>
    </row>
    <row r="4979" spans="1:24" hidden="1" x14ac:dyDescent="0.35">
      <c r="A4979">
        <v>4975</v>
      </c>
      <c r="B4979">
        <v>4976</v>
      </c>
      <c r="C4979">
        <v>146.058356570999</v>
      </c>
      <c r="D4979">
        <v>-17.646288140900001</v>
      </c>
      <c r="G4979" s="92"/>
      <c r="I4979">
        <v>10</v>
      </c>
      <c r="J4979" t="s">
        <v>26</v>
      </c>
      <c r="K4979" s="57"/>
      <c r="S4979" s="57"/>
      <c r="X4979" s="57"/>
    </row>
    <row r="4980" spans="1:24" hidden="1" x14ac:dyDescent="0.35">
      <c r="A4980">
        <v>4976</v>
      </c>
      <c r="B4980">
        <v>4977</v>
      </c>
      <c r="C4980">
        <v>146.058309734999</v>
      </c>
      <c r="D4980">
        <v>-17.6462150921</v>
      </c>
      <c r="G4980" s="92"/>
      <c r="I4980">
        <v>10</v>
      </c>
      <c r="J4980" t="s">
        <v>26</v>
      </c>
      <c r="K4980" s="57"/>
      <c r="S4980" s="57"/>
      <c r="X4980" s="57"/>
    </row>
    <row r="4981" spans="1:24" hidden="1" x14ac:dyDescent="0.35">
      <c r="A4981">
        <v>4977</v>
      </c>
      <c r="B4981">
        <v>4978</v>
      </c>
      <c r="C4981">
        <v>146.058264016999</v>
      </c>
      <c r="D4981">
        <v>-17.6461416275</v>
      </c>
      <c r="G4981" s="92"/>
      <c r="I4981">
        <v>10</v>
      </c>
      <c r="J4981" t="s">
        <v>26</v>
      </c>
      <c r="K4981" s="57"/>
      <c r="S4981" s="57"/>
      <c r="X4981" s="57"/>
    </row>
    <row r="4982" spans="1:24" hidden="1" x14ac:dyDescent="0.35">
      <c r="A4982">
        <v>4978</v>
      </c>
      <c r="B4982">
        <v>4979</v>
      </c>
      <c r="C4982">
        <v>146.05824650700001</v>
      </c>
      <c r="D4982">
        <v>-17.646057664699899</v>
      </c>
      <c r="G4982" s="92"/>
      <c r="I4982">
        <v>10</v>
      </c>
      <c r="J4982" t="s">
        <v>26</v>
      </c>
      <c r="K4982" s="57"/>
      <c r="S4982" s="57"/>
      <c r="X4982" s="57"/>
    </row>
    <row r="4983" spans="1:24" hidden="1" x14ac:dyDescent="0.35">
      <c r="A4983">
        <v>4979</v>
      </c>
      <c r="B4983">
        <v>4980</v>
      </c>
      <c r="C4983">
        <v>146.058228998</v>
      </c>
      <c r="D4983">
        <v>-17.645973701700001</v>
      </c>
      <c r="G4983" s="92"/>
      <c r="I4983">
        <v>10</v>
      </c>
      <c r="J4983" t="s">
        <v>26</v>
      </c>
      <c r="K4983" s="57"/>
      <c r="S4983" s="57"/>
      <c r="X4983" s="57"/>
    </row>
    <row r="4984" spans="1:24" hidden="1" x14ac:dyDescent="0.35">
      <c r="A4984">
        <v>4980</v>
      </c>
      <c r="B4984">
        <v>4981</v>
      </c>
      <c r="C4984">
        <v>146.058221441</v>
      </c>
      <c r="D4984">
        <v>-17.645888829299899</v>
      </c>
      <c r="G4984" s="92"/>
      <c r="I4984">
        <v>10</v>
      </c>
      <c r="J4984" t="s">
        <v>26</v>
      </c>
      <c r="K4984" s="57"/>
      <c r="S4984" s="57"/>
      <c r="X4984" s="57"/>
    </row>
    <row r="4985" spans="1:24" hidden="1" x14ac:dyDescent="0.35">
      <c r="A4985">
        <v>4981</v>
      </c>
      <c r="B4985">
        <v>4982</v>
      </c>
      <c r="C4985">
        <v>146.058221884999</v>
      </c>
      <c r="D4985">
        <v>-17.645803225600002</v>
      </c>
      <c r="G4985" s="92"/>
      <c r="I4985">
        <v>10</v>
      </c>
      <c r="J4985" t="s">
        <v>26</v>
      </c>
      <c r="K4985" s="57"/>
      <c r="S4985" s="57"/>
      <c r="X4985" s="57"/>
    </row>
    <row r="4986" spans="1:24" hidden="1" x14ac:dyDescent="0.35">
      <c r="A4986">
        <v>4982</v>
      </c>
      <c r="B4986">
        <v>4983</v>
      </c>
      <c r="C4986">
        <v>146.05822233000001</v>
      </c>
      <c r="D4986">
        <v>-17.6457176217999</v>
      </c>
      <c r="G4986" s="92"/>
      <c r="I4986">
        <v>10</v>
      </c>
      <c r="J4986" t="s">
        <v>26</v>
      </c>
      <c r="K4986" s="57"/>
      <c r="S4986" s="57"/>
      <c r="X4986" s="57"/>
    </row>
    <row r="4987" spans="1:24" hidden="1" x14ac:dyDescent="0.35">
      <c r="A4987">
        <v>4983</v>
      </c>
      <c r="B4987">
        <v>4984</v>
      </c>
      <c r="C4987">
        <v>146.058234596999</v>
      </c>
      <c r="D4987">
        <v>-17.645632930400001</v>
      </c>
      <c r="G4987" s="92"/>
      <c r="I4987">
        <v>10</v>
      </c>
      <c r="J4987" t="s">
        <v>26</v>
      </c>
      <c r="K4987" s="57"/>
      <c r="S4987" s="57"/>
      <c r="X4987" s="57"/>
    </row>
    <row r="4988" spans="1:24" hidden="1" x14ac:dyDescent="0.35">
      <c r="A4988">
        <v>4984</v>
      </c>
      <c r="B4988">
        <v>4985</v>
      </c>
      <c r="C4988">
        <v>146.058248614999</v>
      </c>
      <c r="D4988">
        <v>-17.645548374200001</v>
      </c>
      <c r="G4988" s="92"/>
      <c r="I4988">
        <v>10</v>
      </c>
      <c r="J4988" t="s">
        <v>26</v>
      </c>
      <c r="K4988" s="57"/>
      <c r="S4988" s="57"/>
      <c r="X4988" s="57"/>
    </row>
    <row r="4989" spans="1:24" hidden="1" x14ac:dyDescent="0.35">
      <c r="A4989">
        <v>4985</v>
      </c>
      <c r="B4989">
        <v>4986</v>
      </c>
      <c r="C4989">
        <v>146.058262632999</v>
      </c>
      <c r="D4989">
        <v>-17.645463818</v>
      </c>
      <c r="G4989" s="92"/>
      <c r="I4989">
        <v>10</v>
      </c>
      <c r="J4989" t="s">
        <v>26</v>
      </c>
      <c r="K4989" s="57"/>
      <c r="S4989" s="57"/>
      <c r="X4989" s="57"/>
    </row>
    <row r="4990" spans="1:24" hidden="1" x14ac:dyDescent="0.35">
      <c r="A4990">
        <v>4986</v>
      </c>
      <c r="B4990">
        <v>4987</v>
      </c>
      <c r="C4990">
        <v>146.058268666</v>
      </c>
      <c r="D4990">
        <v>-17.6453786452999</v>
      </c>
      <c r="G4990" s="92"/>
      <c r="I4990">
        <v>10</v>
      </c>
      <c r="J4990" t="s">
        <v>26</v>
      </c>
      <c r="K4990" s="57"/>
      <c r="S4990" s="57"/>
      <c r="X4990" s="57"/>
    </row>
    <row r="4991" spans="1:24" hidden="1" x14ac:dyDescent="0.35">
      <c r="A4991">
        <v>4987</v>
      </c>
      <c r="B4991">
        <v>4988</v>
      </c>
      <c r="C4991">
        <v>146.05826911099899</v>
      </c>
      <c r="D4991">
        <v>-17.6452930413</v>
      </c>
      <c r="G4991" s="92"/>
      <c r="I4991">
        <v>10</v>
      </c>
      <c r="J4991" t="s">
        <v>26</v>
      </c>
      <c r="K4991" s="57"/>
      <c r="S4991" s="57"/>
      <c r="X4991" s="57"/>
    </row>
    <row r="4992" spans="1:24" hidden="1" x14ac:dyDescent="0.35">
      <c r="A4992">
        <v>4988</v>
      </c>
      <c r="B4992">
        <v>4989</v>
      </c>
      <c r="C4992">
        <v>146.05824531900001</v>
      </c>
      <c r="D4992">
        <v>-17.6452106097999</v>
      </c>
      <c r="G4992" s="92"/>
      <c r="I4992">
        <v>10</v>
      </c>
      <c r="J4992" t="s">
        <v>26</v>
      </c>
      <c r="K4992" s="57"/>
      <c r="S4992" s="57"/>
      <c r="X4992" s="57"/>
    </row>
    <row r="4993" spans="1:24" hidden="1" x14ac:dyDescent="0.35">
      <c r="A4993">
        <v>4989</v>
      </c>
      <c r="B4993">
        <v>4990</v>
      </c>
      <c r="C4993">
        <v>146.058266269</v>
      </c>
      <c r="D4993">
        <v>-17.6451367991999</v>
      </c>
      <c r="G4993" s="92"/>
      <c r="I4993">
        <v>10</v>
      </c>
      <c r="J4993" t="s">
        <v>26</v>
      </c>
      <c r="K4993" s="57"/>
      <c r="S4993" s="57"/>
      <c r="X4993" s="57"/>
    </row>
    <row r="4994" spans="1:24" hidden="1" x14ac:dyDescent="0.35">
      <c r="A4994">
        <v>4990</v>
      </c>
      <c r="B4994">
        <v>4991</v>
      </c>
      <c r="C4994">
        <v>146.058297584</v>
      </c>
      <c r="D4994">
        <v>-17.6450609782</v>
      </c>
      <c r="G4994" s="92"/>
      <c r="I4994">
        <v>10</v>
      </c>
      <c r="J4994" t="s">
        <v>26</v>
      </c>
      <c r="K4994" s="57"/>
      <c r="S4994" s="57"/>
      <c r="X4994" s="57"/>
    </row>
    <row r="4995" spans="1:24" hidden="1" x14ac:dyDescent="0.35">
      <c r="A4995">
        <v>4991</v>
      </c>
      <c r="B4995">
        <v>4992</v>
      </c>
      <c r="C4995">
        <v>146.05833254999899</v>
      </c>
      <c r="D4995">
        <v>-17.644982123999899</v>
      </c>
      <c r="G4995" s="92"/>
      <c r="I4995">
        <v>10</v>
      </c>
      <c r="J4995" t="s">
        <v>26</v>
      </c>
      <c r="K4995" s="57"/>
      <c r="S4995" s="57"/>
      <c r="X4995" s="57"/>
    </row>
    <row r="4996" spans="1:24" hidden="1" x14ac:dyDescent="0.35">
      <c r="A4996">
        <v>4992</v>
      </c>
      <c r="B4996">
        <v>4993</v>
      </c>
      <c r="C4996">
        <v>146.058367516</v>
      </c>
      <c r="D4996">
        <v>-17.644903269699899</v>
      </c>
      <c r="G4996" s="92"/>
      <c r="I4996">
        <v>10</v>
      </c>
      <c r="J4996" t="s">
        <v>26</v>
      </c>
      <c r="K4996" s="57"/>
      <c r="S4996" s="57"/>
      <c r="X4996" s="57"/>
    </row>
    <row r="4997" spans="1:24" hidden="1" x14ac:dyDescent="0.35">
      <c r="A4997">
        <v>4993</v>
      </c>
      <c r="B4997">
        <v>4994</v>
      </c>
      <c r="C4997">
        <v>146.058409815999</v>
      </c>
      <c r="D4997">
        <v>-17.6448289516999</v>
      </c>
      <c r="G4997" s="92"/>
      <c r="I4997">
        <v>10</v>
      </c>
      <c r="J4997" t="s">
        <v>26</v>
      </c>
      <c r="K4997" s="57"/>
      <c r="S4997" s="57"/>
      <c r="X4997" s="57"/>
    </row>
    <row r="4998" spans="1:24" hidden="1" x14ac:dyDescent="0.35">
      <c r="A4998">
        <v>4994</v>
      </c>
      <c r="B4998">
        <v>4995</v>
      </c>
      <c r="C4998">
        <v>146.058451265999</v>
      </c>
      <c r="D4998">
        <v>-17.644753312700001</v>
      </c>
      <c r="G4998" s="92"/>
      <c r="I4998">
        <v>10</v>
      </c>
      <c r="J4998" t="s">
        <v>26</v>
      </c>
      <c r="K4998" s="57"/>
      <c r="S4998" s="57"/>
      <c r="X4998" s="57"/>
    </row>
    <row r="4999" spans="1:24" hidden="1" x14ac:dyDescent="0.35">
      <c r="A4999">
        <v>4995</v>
      </c>
      <c r="B4999">
        <v>4996</v>
      </c>
      <c r="C4999">
        <v>146.05850157</v>
      </c>
      <c r="D4999">
        <v>-17.644683188199899</v>
      </c>
      <c r="G4999" s="92"/>
      <c r="I4999">
        <v>10</v>
      </c>
      <c r="J4999" t="s">
        <v>26</v>
      </c>
      <c r="K4999" s="57"/>
      <c r="S4999" s="57"/>
      <c r="X4999" s="57"/>
    </row>
    <row r="5000" spans="1:24" hidden="1" x14ac:dyDescent="0.35">
      <c r="A5000">
        <v>4996</v>
      </c>
      <c r="B5000">
        <v>4997</v>
      </c>
      <c r="C5000">
        <v>146.058569583999</v>
      </c>
      <c r="D5000">
        <v>-17.6446273267</v>
      </c>
      <c r="G5000" s="92"/>
      <c r="I5000">
        <v>10</v>
      </c>
      <c r="J5000" t="s">
        <v>26</v>
      </c>
      <c r="K5000" s="57"/>
      <c r="S5000" s="57"/>
      <c r="X5000" s="57"/>
    </row>
    <row r="5001" spans="1:24" hidden="1" x14ac:dyDescent="0.35">
      <c r="A5001">
        <v>4997</v>
      </c>
      <c r="B5001">
        <v>4998</v>
      </c>
      <c r="C5001">
        <v>146.05863322600001</v>
      </c>
      <c r="D5001">
        <v>-17.6445669111</v>
      </c>
      <c r="G5001" s="92"/>
      <c r="I5001">
        <v>10</v>
      </c>
      <c r="J5001" t="s">
        <v>26</v>
      </c>
      <c r="K5001" s="57"/>
      <c r="S5001" s="57"/>
      <c r="X5001" s="57"/>
    </row>
    <row r="5002" spans="1:24" hidden="1" x14ac:dyDescent="0.35">
      <c r="A5002">
        <v>4998</v>
      </c>
      <c r="B5002">
        <v>4999</v>
      </c>
      <c r="C5002">
        <v>146.058696943999</v>
      </c>
      <c r="D5002">
        <v>-17.644506567699899</v>
      </c>
      <c r="G5002" s="92"/>
      <c r="I5002">
        <v>10</v>
      </c>
      <c r="J5002" t="s">
        <v>26</v>
      </c>
      <c r="K5002" s="57"/>
      <c r="S5002" s="57"/>
      <c r="X5002" s="57"/>
    </row>
    <row r="5003" spans="1:24" hidden="1" x14ac:dyDescent="0.35">
      <c r="A5003">
        <v>4999</v>
      </c>
      <c r="B5003">
        <v>5000</v>
      </c>
      <c r="C5003">
        <v>146.05876939000001</v>
      </c>
      <c r="D5003">
        <v>-17.6444563009</v>
      </c>
      <c r="G5003" s="92"/>
      <c r="I5003">
        <v>10</v>
      </c>
      <c r="J5003" t="s">
        <v>26</v>
      </c>
      <c r="K5003" s="57"/>
      <c r="S5003" s="57"/>
      <c r="X5003" s="57"/>
    </row>
    <row r="5004" spans="1:24" hidden="1" x14ac:dyDescent="0.35">
      <c r="A5004">
        <v>5000</v>
      </c>
      <c r="B5004">
        <v>5001</v>
      </c>
      <c r="C5004">
        <v>146.05884363800001</v>
      </c>
      <c r="D5004">
        <v>-17.6444081126999</v>
      </c>
      <c r="G5004" s="92"/>
      <c r="I5004">
        <v>10</v>
      </c>
      <c r="J5004" t="s">
        <v>26</v>
      </c>
      <c r="K5004" s="57"/>
      <c r="S5004" s="57"/>
      <c r="X5004" s="57"/>
    </row>
    <row r="5005" spans="1:24" hidden="1" x14ac:dyDescent="0.35">
      <c r="A5005">
        <v>5001</v>
      </c>
      <c r="B5005">
        <v>5002</v>
      </c>
      <c r="C5005">
        <v>146.058917885</v>
      </c>
      <c r="D5005">
        <v>-17.644359924500002</v>
      </c>
      <c r="G5005" s="92"/>
      <c r="I5005">
        <v>10</v>
      </c>
      <c r="J5005" t="s">
        <v>26</v>
      </c>
      <c r="K5005" s="57"/>
      <c r="S5005" s="57"/>
      <c r="X5005" s="57"/>
    </row>
    <row r="5006" spans="1:24" hidden="1" x14ac:dyDescent="0.35">
      <c r="A5006">
        <v>5002</v>
      </c>
      <c r="B5006">
        <v>5003</v>
      </c>
      <c r="C5006">
        <v>146.058988059</v>
      </c>
      <c r="D5006">
        <v>-17.644306493199899</v>
      </c>
      <c r="G5006" s="92"/>
      <c r="I5006">
        <v>10</v>
      </c>
      <c r="J5006" t="s">
        <v>26</v>
      </c>
      <c r="K5006" s="57"/>
      <c r="S5006" s="57"/>
      <c r="X5006" s="57"/>
    </row>
    <row r="5007" spans="1:24" hidden="1" x14ac:dyDescent="0.35">
      <c r="A5007">
        <v>5003</v>
      </c>
      <c r="B5007">
        <v>5004</v>
      </c>
      <c r="C5007">
        <v>146.05905809800001</v>
      </c>
      <c r="D5007">
        <v>-17.6442528872</v>
      </c>
      <c r="G5007" s="92"/>
      <c r="I5007">
        <v>10</v>
      </c>
      <c r="J5007" t="s">
        <v>26</v>
      </c>
      <c r="K5007" s="57"/>
      <c r="S5007" s="57"/>
      <c r="X5007" s="57"/>
    </row>
    <row r="5008" spans="1:24" hidden="1" x14ac:dyDescent="0.35">
      <c r="A5008">
        <v>5004</v>
      </c>
      <c r="B5008">
        <v>5005</v>
      </c>
      <c r="C5008">
        <v>146.059128135999</v>
      </c>
      <c r="D5008">
        <v>-17.644199281199899</v>
      </c>
      <c r="G5008" s="92"/>
      <c r="I5008">
        <v>10</v>
      </c>
      <c r="J5008" t="s">
        <v>26</v>
      </c>
      <c r="K5008" s="57"/>
      <c r="S5008" s="57"/>
      <c r="X5008" s="57"/>
    </row>
    <row r="5009" spans="1:24" hidden="1" x14ac:dyDescent="0.35">
      <c r="A5009">
        <v>5005</v>
      </c>
      <c r="B5009">
        <v>5006</v>
      </c>
      <c r="C5009">
        <v>146.05919817500001</v>
      </c>
      <c r="D5009">
        <v>-17.644145675200001</v>
      </c>
      <c r="G5009" s="92"/>
      <c r="I5009">
        <v>10</v>
      </c>
      <c r="J5009" t="s">
        <v>26</v>
      </c>
      <c r="K5009" s="57"/>
      <c r="S5009" s="57"/>
      <c r="X5009" s="57"/>
    </row>
    <row r="5010" spans="1:24" hidden="1" x14ac:dyDescent="0.35">
      <c r="A5010">
        <v>5006</v>
      </c>
      <c r="B5010">
        <v>5007</v>
      </c>
      <c r="C5010">
        <v>146.05926824400001</v>
      </c>
      <c r="D5010">
        <v>-17.644092106999899</v>
      </c>
      <c r="G5010" s="92"/>
      <c r="I5010">
        <v>10</v>
      </c>
      <c r="J5010" t="s">
        <v>26</v>
      </c>
      <c r="K5010" s="57"/>
      <c r="S5010" s="57"/>
      <c r="X5010" s="57"/>
    </row>
    <row r="5011" spans="1:24" hidden="1" x14ac:dyDescent="0.35">
      <c r="A5011">
        <v>5007</v>
      </c>
      <c r="B5011">
        <v>5008</v>
      </c>
      <c r="C5011">
        <v>146.059340219999</v>
      </c>
      <c r="D5011">
        <v>-17.644040884599899</v>
      </c>
      <c r="G5011" s="92"/>
      <c r="I5011">
        <v>10</v>
      </c>
      <c r="J5011" t="s">
        <v>26</v>
      </c>
      <c r="K5011" s="57"/>
      <c r="S5011" s="57"/>
      <c r="X5011" s="57"/>
    </row>
    <row r="5012" spans="1:24" hidden="1" x14ac:dyDescent="0.35">
      <c r="A5012">
        <v>5008</v>
      </c>
      <c r="B5012">
        <v>5009</v>
      </c>
      <c r="C5012">
        <v>146.05941219600001</v>
      </c>
      <c r="D5012">
        <v>-17.643989662100001</v>
      </c>
      <c r="G5012" s="92"/>
      <c r="I5012">
        <v>10</v>
      </c>
      <c r="J5012" t="s">
        <v>26</v>
      </c>
      <c r="K5012" s="57"/>
      <c r="S5012" s="57"/>
      <c r="X5012" s="57"/>
    </row>
    <row r="5013" spans="1:24" hidden="1" x14ac:dyDescent="0.35">
      <c r="A5013">
        <v>5009</v>
      </c>
      <c r="B5013">
        <v>5010</v>
      </c>
      <c r="C5013">
        <v>146.059484171999</v>
      </c>
      <c r="D5013">
        <v>-17.643938439700001</v>
      </c>
      <c r="G5013" s="92"/>
      <c r="I5013">
        <v>10</v>
      </c>
      <c r="J5013" t="s">
        <v>26</v>
      </c>
      <c r="K5013" s="57"/>
      <c r="S5013" s="57"/>
      <c r="X5013" s="57"/>
    </row>
    <row r="5014" spans="1:24" hidden="1" x14ac:dyDescent="0.35">
      <c r="A5014">
        <v>5010</v>
      </c>
      <c r="B5014">
        <v>5011</v>
      </c>
      <c r="C5014">
        <v>146.05955614800001</v>
      </c>
      <c r="D5014">
        <v>-17.6438872172</v>
      </c>
      <c r="G5014" s="92"/>
      <c r="I5014">
        <v>10</v>
      </c>
      <c r="J5014" t="s">
        <v>26</v>
      </c>
      <c r="K5014" s="57"/>
      <c r="S5014" s="57"/>
      <c r="X5014" s="57"/>
    </row>
    <row r="5015" spans="1:24" hidden="1" x14ac:dyDescent="0.35">
      <c r="A5015">
        <v>5011</v>
      </c>
      <c r="B5015">
        <v>5012</v>
      </c>
      <c r="C5015">
        <v>146.05962963299899</v>
      </c>
      <c r="D5015">
        <v>-17.6438380116</v>
      </c>
      <c r="G5015" s="92"/>
      <c r="I5015">
        <v>10</v>
      </c>
      <c r="J5015" t="s">
        <v>26</v>
      </c>
      <c r="K5015" s="57"/>
      <c r="S5015" s="57"/>
      <c r="X5015" s="57"/>
    </row>
    <row r="5016" spans="1:24" hidden="1" x14ac:dyDescent="0.35">
      <c r="A5016">
        <v>5012</v>
      </c>
      <c r="B5016">
        <v>5013</v>
      </c>
      <c r="C5016">
        <v>146.05970388</v>
      </c>
      <c r="D5016">
        <v>-17.6437898225</v>
      </c>
      <c r="G5016" s="92"/>
      <c r="I5016">
        <v>10</v>
      </c>
      <c r="J5016" t="s">
        <v>26</v>
      </c>
      <c r="K5016" s="57"/>
      <c r="S5016" s="57"/>
      <c r="X5016" s="57"/>
    </row>
    <row r="5017" spans="1:24" hidden="1" x14ac:dyDescent="0.35">
      <c r="A5017">
        <v>5013</v>
      </c>
      <c r="B5017">
        <v>5014</v>
      </c>
      <c r="C5017">
        <v>146.05977812699899</v>
      </c>
      <c r="D5017">
        <v>-17.6437416334999</v>
      </c>
      <c r="G5017" s="92"/>
      <c r="I5017">
        <v>10</v>
      </c>
      <c r="J5017" t="s">
        <v>26</v>
      </c>
      <c r="K5017" s="57"/>
      <c r="S5017" s="57"/>
      <c r="X5017" s="57"/>
    </row>
    <row r="5018" spans="1:24" hidden="1" x14ac:dyDescent="0.35">
      <c r="A5018">
        <v>5014</v>
      </c>
      <c r="B5018">
        <v>5015</v>
      </c>
      <c r="C5018">
        <v>146.059852374</v>
      </c>
      <c r="D5018">
        <v>-17.643693444499899</v>
      </c>
      <c r="G5018" s="92"/>
      <c r="I5018">
        <v>10</v>
      </c>
      <c r="J5018" t="s">
        <v>26</v>
      </c>
      <c r="K5018" s="57"/>
      <c r="S5018" s="57"/>
      <c r="X5018" s="57"/>
    </row>
    <row r="5019" spans="1:24" hidden="1" x14ac:dyDescent="0.35">
      <c r="A5019">
        <v>5015</v>
      </c>
      <c r="B5019">
        <v>5016</v>
      </c>
      <c r="C5019">
        <v>146.05992662099899</v>
      </c>
      <c r="D5019">
        <v>-17.6436452553999</v>
      </c>
      <c r="G5019" s="92"/>
      <c r="I5019">
        <v>10</v>
      </c>
      <c r="J5019" t="s">
        <v>26</v>
      </c>
      <c r="K5019" s="57"/>
      <c r="S5019" s="57"/>
      <c r="X5019" s="57"/>
    </row>
    <row r="5020" spans="1:24" hidden="1" x14ac:dyDescent="0.35">
      <c r="A5020">
        <v>5016</v>
      </c>
      <c r="B5020">
        <v>5017</v>
      </c>
      <c r="C5020">
        <v>146.060000868</v>
      </c>
      <c r="D5020">
        <v>-17.6435970663</v>
      </c>
      <c r="G5020" s="92"/>
      <c r="I5020">
        <v>10</v>
      </c>
      <c r="J5020" t="s">
        <v>26</v>
      </c>
      <c r="K5020" s="57"/>
      <c r="S5020" s="57"/>
      <c r="X5020" s="57"/>
    </row>
    <row r="5021" spans="1:24" hidden="1" x14ac:dyDescent="0.35">
      <c r="A5021">
        <v>5017</v>
      </c>
      <c r="B5021">
        <v>5018</v>
      </c>
      <c r="C5021">
        <v>146.06007060100001</v>
      </c>
      <c r="D5021">
        <v>-17.643543128600001</v>
      </c>
      <c r="G5021" s="92"/>
      <c r="I5021">
        <v>10</v>
      </c>
      <c r="J5021" t="s">
        <v>26</v>
      </c>
      <c r="K5021" s="57"/>
      <c r="S5021" s="57"/>
      <c r="X5021" s="57"/>
    </row>
    <row r="5022" spans="1:24" hidden="1" x14ac:dyDescent="0.35">
      <c r="A5022">
        <v>5018</v>
      </c>
      <c r="B5022">
        <v>5019</v>
      </c>
      <c r="C5022">
        <v>146.06014005700001</v>
      </c>
      <c r="D5022">
        <v>-17.6434888394</v>
      </c>
      <c r="G5022" s="92"/>
      <c r="I5022">
        <v>10</v>
      </c>
      <c r="J5022" t="s">
        <v>26</v>
      </c>
      <c r="K5022" s="57"/>
      <c r="S5022" s="57"/>
      <c r="X5022" s="57"/>
    </row>
    <row r="5023" spans="1:24" hidden="1" x14ac:dyDescent="0.35">
      <c r="A5023">
        <v>5019</v>
      </c>
      <c r="B5023">
        <v>5020</v>
      </c>
      <c r="C5023">
        <v>146.06021124700001</v>
      </c>
      <c r="D5023">
        <v>-17.6434369457</v>
      </c>
      <c r="G5023" s="92"/>
      <c r="I5023">
        <v>10</v>
      </c>
      <c r="J5023" t="s">
        <v>26</v>
      </c>
      <c r="K5023" s="57"/>
      <c r="S5023" s="57"/>
      <c r="X5023" s="57"/>
    </row>
    <row r="5024" spans="1:24" hidden="1" x14ac:dyDescent="0.35">
      <c r="A5024">
        <v>5020</v>
      </c>
      <c r="B5024">
        <v>5021</v>
      </c>
      <c r="C5024">
        <v>146.06028920200001</v>
      </c>
      <c r="D5024">
        <v>-17.6433944053</v>
      </c>
      <c r="G5024" s="92"/>
      <c r="I5024">
        <v>10</v>
      </c>
      <c r="J5024" t="s">
        <v>26</v>
      </c>
      <c r="K5024" s="57"/>
      <c r="S5024" s="57"/>
      <c r="X5024" s="57"/>
    </row>
    <row r="5025" spans="1:24" hidden="1" x14ac:dyDescent="0.35">
      <c r="A5025">
        <v>5021</v>
      </c>
      <c r="B5025">
        <v>5022</v>
      </c>
      <c r="C5025">
        <v>146.060367157</v>
      </c>
      <c r="D5025">
        <v>-17.643351865</v>
      </c>
      <c r="G5025" s="92"/>
      <c r="I5025">
        <v>10</v>
      </c>
      <c r="J5025" t="s">
        <v>26</v>
      </c>
      <c r="K5025" s="57"/>
      <c r="S5025" s="57"/>
      <c r="X5025" s="57"/>
    </row>
    <row r="5026" spans="1:24" hidden="1" x14ac:dyDescent="0.35">
      <c r="A5026">
        <v>5022</v>
      </c>
      <c r="B5026">
        <v>5023</v>
      </c>
      <c r="C5026">
        <v>146.060445111999</v>
      </c>
      <c r="D5026">
        <v>-17.643309324600001</v>
      </c>
      <c r="G5026" s="92"/>
      <c r="I5026">
        <v>10</v>
      </c>
      <c r="J5026" t="s">
        <v>26</v>
      </c>
      <c r="K5026" s="57"/>
      <c r="S5026" s="57"/>
      <c r="X5026" s="57"/>
    </row>
    <row r="5027" spans="1:24" hidden="1" x14ac:dyDescent="0.35">
      <c r="A5027">
        <v>5023</v>
      </c>
      <c r="B5027">
        <v>5024</v>
      </c>
      <c r="C5027">
        <v>146.060523066</v>
      </c>
      <c r="D5027">
        <v>-17.6432667843</v>
      </c>
      <c r="G5027" s="92"/>
      <c r="I5027">
        <v>10</v>
      </c>
      <c r="J5027" t="s">
        <v>26</v>
      </c>
      <c r="K5027" s="57"/>
      <c r="S5027" s="57"/>
      <c r="X5027" s="57"/>
    </row>
    <row r="5028" spans="1:24" hidden="1" x14ac:dyDescent="0.35">
      <c r="A5028">
        <v>5024</v>
      </c>
      <c r="B5028">
        <v>5025</v>
      </c>
      <c r="C5028">
        <v>146.060601853999</v>
      </c>
      <c r="D5028">
        <v>-17.6432256975</v>
      </c>
      <c r="G5028" s="92"/>
      <c r="I5028">
        <v>10</v>
      </c>
      <c r="J5028" t="s">
        <v>26</v>
      </c>
      <c r="K5028" s="57"/>
      <c r="S5028" s="57"/>
      <c r="X5028" s="57"/>
    </row>
    <row r="5029" spans="1:24" hidden="1" x14ac:dyDescent="0.35">
      <c r="A5029">
        <v>5025</v>
      </c>
      <c r="B5029">
        <v>5026</v>
      </c>
      <c r="C5029">
        <v>146.06068156800001</v>
      </c>
      <c r="D5029">
        <v>-17.6431862282999</v>
      </c>
      <c r="G5029" s="92"/>
      <c r="I5029">
        <v>10</v>
      </c>
      <c r="J5029" t="s">
        <v>26</v>
      </c>
      <c r="K5029" s="57"/>
      <c r="S5029" s="57"/>
      <c r="X5029" s="57"/>
    </row>
    <row r="5030" spans="1:24" hidden="1" x14ac:dyDescent="0.35">
      <c r="A5030">
        <v>5026</v>
      </c>
      <c r="B5030">
        <v>5027</v>
      </c>
      <c r="C5030">
        <v>146.06076128199899</v>
      </c>
      <c r="D5030">
        <v>-17.643146759099899</v>
      </c>
      <c r="G5030" s="92"/>
      <c r="I5030">
        <v>10</v>
      </c>
      <c r="J5030" t="s">
        <v>26</v>
      </c>
      <c r="K5030" s="57"/>
      <c r="S5030" s="57"/>
      <c r="X5030" s="57"/>
    </row>
    <row r="5031" spans="1:24" hidden="1" x14ac:dyDescent="0.35">
      <c r="A5031">
        <v>5027</v>
      </c>
      <c r="B5031">
        <v>5028</v>
      </c>
      <c r="C5031">
        <v>146.06084099500001</v>
      </c>
      <c r="D5031">
        <v>-17.643107289900001</v>
      </c>
      <c r="G5031" s="92"/>
      <c r="I5031">
        <v>10</v>
      </c>
      <c r="J5031" t="s">
        <v>26</v>
      </c>
      <c r="K5031" s="57"/>
      <c r="S5031" s="57"/>
      <c r="X5031" s="57"/>
    </row>
    <row r="5032" spans="1:24" hidden="1" x14ac:dyDescent="0.35">
      <c r="A5032">
        <v>5028</v>
      </c>
      <c r="B5032">
        <v>5029</v>
      </c>
      <c r="C5032">
        <v>146.06092070899899</v>
      </c>
      <c r="D5032">
        <v>-17.643067820599899</v>
      </c>
      <c r="G5032" s="92"/>
      <c r="I5032">
        <v>10</v>
      </c>
      <c r="J5032" t="s">
        <v>26</v>
      </c>
      <c r="K5032" s="57"/>
      <c r="S5032" s="57"/>
      <c r="X5032" s="57"/>
    </row>
    <row r="5033" spans="1:24" hidden="1" x14ac:dyDescent="0.35">
      <c r="A5033">
        <v>5029</v>
      </c>
      <c r="B5033">
        <v>5030</v>
      </c>
      <c r="C5033">
        <v>146.061000422999</v>
      </c>
      <c r="D5033">
        <v>-17.643028351400002</v>
      </c>
      <c r="G5033" s="92"/>
      <c r="I5033">
        <v>10</v>
      </c>
      <c r="J5033" t="s">
        <v>26</v>
      </c>
      <c r="K5033" s="57"/>
      <c r="S5033" s="57"/>
      <c r="X5033" s="57"/>
    </row>
    <row r="5034" spans="1:24" hidden="1" x14ac:dyDescent="0.35">
      <c r="A5034">
        <v>5030</v>
      </c>
      <c r="B5034">
        <v>5031</v>
      </c>
      <c r="C5034">
        <v>146.06108284000001</v>
      </c>
      <c r="D5034">
        <v>-17.642996526400001</v>
      </c>
      <c r="G5034" s="92"/>
      <c r="I5034">
        <v>10</v>
      </c>
      <c r="J5034" t="s">
        <v>26</v>
      </c>
      <c r="K5034" s="57"/>
      <c r="S5034" s="57"/>
      <c r="X5034" s="57"/>
    </row>
    <row r="5035" spans="1:24" hidden="1" x14ac:dyDescent="0.35">
      <c r="A5035">
        <v>5031</v>
      </c>
      <c r="B5035">
        <v>5032</v>
      </c>
      <c r="C5035">
        <v>146.06117136500001</v>
      </c>
      <c r="D5035">
        <v>-17.6429819819</v>
      </c>
      <c r="G5035" s="92"/>
      <c r="I5035">
        <v>10</v>
      </c>
      <c r="J5035" t="s">
        <v>26</v>
      </c>
      <c r="K5035" s="57"/>
      <c r="S5035" s="57"/>
      <c r="X5035" s="57"/>
    </row>
    <row r="5036" spans="1:24" hidden="1" x14ac:dyDescent="0.35">
      <c r="A5036">
        <v>5032</v>
      </c>
      <c r="B5036">
        <v>5033</v>
      </c>
      <c r="C5036">
        <v>146.061259890999</v>
      </c>
      <c r="D5036">
        <v>-17.6429674373999</v>
      </c>
      <c r="G5036" s="92"/>
      <c r="I5036">
        <v>10</v>
      </c>
      <c r="J5036" t="s">
        <v>26</v>
      </c>
      <c r="K5036" s="57"/>
      <c r="S5036" s="57"/>
      <c r="X5036" s="57"/>
    </row>
    <row r="5037" spans="1:24" hidden="1" x14ac:dyDescent="0.35">
      <c r="A5037">
        <v>5033</v>
      </c>
      <c r="B5037">
        <v>5034</v>
      </c>
      <c r="C5037">
        <v>146.06134841599899</v>
      </c>
      <c r="D5037">
        <v>-17.6429528928</v>
      </c>
      <c r="G5037" s="92"/>
      <c r="I5037">
        <v>10</v>
      </c>
      <c r="J5037" t="s">
        <v>26</v>
      </c>
      <c r="K5037" s="57"/>
      <c r="S5037" s="57"/>
      <c r="X5037" s="57"/>
    </row>
    <row r="5038" spans="1:24" hidden="1" x14ac:dyDescent="0.35">
      <c r="A5038">
        <v>5034</v>
      </c>
      <c r="B5038">
        <v>5035</v>
      </c>
      <c r="C5038">
        <v>146.061436837</v>
      </c>
      <c r="D5038">
        <v>-17.642937983100001</v>
      </c>
      <c r="G5038" s="92"/>
      <c r="I5038">
        <v>10</v>
      </c>
      <c r="J5038" t="s">
        <v>26</v>
      </c>
      <c r="K5038" s="57"/>
      <c r="S5038" s="57"/>
      <c r="X5038" s="57"/>
    </row>
    <row r="5039" spans="1:24" hidden="1" x14ac:dyDescent="0.35">
      <c r="A5039">
        <v>5035</v>
      </c>
      <c r="B5039">
        <v>5036</v>
      </c>
      <c r="C5039">
        <v>146.06152087800001</v>
      </c>
      <c r="D5039">
        <v>-17.6429077443</v>
      </c>
      <c r="G5039" s="92"/>
      <c r="I5039">
        <v>10</v>
      </c>
      <c r="J5039" t="s">
        <v>26</v>
      </c>
      <c r="K5039" s="57"/>
      <c r="S5039" s="57"/>
      <c r="X5039" s="57"/>
    </row>
    <row r="5040" spans="1:24" hidden="1" x14ac:dyDescent="0.35">
      <c r="A5040">
        <v>5036</v>
      </c>
      <c r="B5040">
        <v>5037</v>
      </c>
      <c r="C5040">
        <v>146.061604918</v>
      </c>
      <c r="D5040">
        <v>-17.642877505400001</v>
      </c>
      <c r="G5040" s="92"/>
      <c r="I5040">
        <v>10</v>
      </c>
      <c r="J5040" t="s">
        <v>26</v>
      </c>
      <c r="K5040" s="57"/>
      <c r="S5040" s="57"/>
      <c r="X5040" s="57"/>
    </row>
    <row r="5041" spans="1:24" hidden="1" x14ac:dyDescent="0.35">
      <c r="A5041">
        <v>5037</v>
      </c>
      <c r="B5041">
        <v>5038</v>
      </c>
      <c r="C5041">
        <v>146.06168812000001</v>
      </c>
      <c r="D5041">
        <v>-17.6428454325</v>
      </c>
      <c r="G5041" s="92"/>
      <c r="I5041">
        <v>10</v>
      </c>
      <c r="J5041" t="s">
        <v>26</v>
      </c>
      <c r="K5041" s="57"/>
      <c r="S5041" s="57"/>
      <c r="X5041" s="57"/>
    </row>
    <row r="5042" spans="1:24" hidden="1" x14ac:dyDescent="0.35">
      <c r="A5042">
        <v>5038</v>
      </c>
      <c r="B5042">
        <v>5039</v>
      </c>
      <c r="C5042">
        <v>146.061768569999</v>
      </c>
      <c r="D5042">
        <v>-17.6428073428999</v>
      </c>
      <c r="G5042" s="92"/>
      <c r="I5042">
        <v>10</v>
      </c>
      <c r="J5042" t="s">
        <v>26</v>
      </c>
      <c r="K5042" s="57"/>
      <c r="S5042" s="57"/>
      <c r="X5042" s="57"/>
    </row>
    <row r="5043" spans="1:24" hidden="1" x14ac:dyDescent="0.35">
      <c r="A5043">
        <v>5039</v>
      </c>
      <c r="B5043">
        <v>5040</v>
      </c>
      <c r="C5043">
        <v>146.061839483</v>
      </c>
      <c r="D5043">
        <v>-17.642756585800001</v>
      </c>
      <c r="G5043" s="92"/>
      <c r="I5043">
        <v>10</v>
      </c>
      <c r="J5043" t="s">
        <v>26</v>
      </c>
      <c r="K5043" s="57"/>
      <c r="S5043" s="57"/>
      <c r="X5043" s="57"/>
    </row>
    <row r="5044" spans="1:24" hidden="1" x14ac:dyDescent="0.35">
      <c r="A5044">
        <v>5040</v>
      </c>
      <c r="B5044">
        <v>5041</v>
      </c>
      <c r="C5044">
        <v>146.061899339999</v>
      </c>
      <c r="D5044">
        <v>-17.642693100599899</v>
      </c>
      <c r="G5044" s="92"/>
      <c r="I5044">
        <v>10</v>
      </c>
      <c r="J5044" t="s">
        <v>26</v>
      </c>
      <c r="K5044" s="57"/>
      <c r="S5044" s="57"/>
      <c r="X5044" s="57"/>
    </row>
    <row r="5045" spans="1:24" hidden="1" x14ac:dyDescent="0.35">
      <c r="A5045">
        <v>5041</v>
      </c>
      <c r="B5045">
        <v>5042</v>
      </c>
      <c r="C5045">
        <v>146.06194544300001</v>
      </c>
      <c r="D5045">
        <v>-17.642620484799899</v>
      </c>
      <c r="G5045" s="92"/>
      <c r="I5045">
        <v>10</v>
      </c>
      <c r="J5045" t="s">
        <v>26</v>
      </c>
      <c r="K5045" s="57"/>
      <c r="S5045" s="57"/>
      <c r="X5045" s="57"/>
    </row>
    <row r="5046" spans="1:24" hidden="1" x14ac:dyDescent="0.35">
      <c r="A5046">
        <v>5042</v>
      </c>
      <c r="B5046">
        <v>5043</v>
      </c>
      <c r="C5046">
        <v>146.06197411400001</v>
      </c>
      <c r="D5046">
        <v>-17.642539355899899</v>
      </c>
      <c r="G5046" s="92"/>
      <c r="I5046">
        <v>10</v>
      </c>
      <c r="J5046" t="s">
        <v>26</v>
      </c>
      <c r="K5046" s="57"/>
      <c r="S5046" s="57"/>
      <c r="X5046" s="57"/>
    </row>
    <row r="5047" spans="1:24" hidden="1" x14ac:dyDescent="0.35">
      <c r="A5047">
        <v>5043</v>
      </c>
      <c r="B5047">
        <v>5044</v>
      </c>
      <c r="C5047">
        <v>146.061974077999</v>
      </c>
      <c r="D5047">
        <v>-17.6424557847999</v>
      </c>
      <c r="G5047" s="92"/>
      <c r="I5047">
        <v>10</v>
      </c>
      <c r="J5047" t="s">
        <v>26</v>
      </c>
      <c r="K5047" s="57"/>
      <c r="S5047" s="57"/>
      <c r="X5047" s="57"/>
    </row>
    <row r="5048" spans="1:24" hidden="1" x14ac:dyDescent="0.35">
      <c r="A5048">
        <v>5044</v>
      </c>
      <c r="B5048">
        <v>5045</v>
      </c>
      <c r="C5048">
        <v>146.061959016999</v>
      </c>
      <c r="D5048">
        <v>-17.642371888</v>
      </c>
      <c r="G5048" s="92"/>
      <c r="I5048">
        <v>10</v>
      </c>
      <c r="J5048" t="s">
        <v>26</v>
      </c>
      <c r="K5048" s="57"/>
      <c r="S5048" s="57"/>
      <c r="X5048" s="57"/>
    </row>
    <row r="5049" spans="1:24" hidden="1" x14ac:dyDescent="0.35">
      <c r="A5049">
        <v>5045</v>
      </c>
      <c r="B5049">
        <v>5046</v>
      </c>
      <c r="C5049">
        <v>146.061903457</v>
      </c>
      <c r="D5049">
        <v>-17.642304619200001</v>
      </c>
      <c r="G5049" s="92"/>
      <c r="I5049">
        <v>10</v>
      </c>
      <c r="J5049" t="s">
        <v>26</v>
      </c>
      <c r="K5049" s="57"/>
      <c r="S5049" s="57"/>
      <c r="X5049" s="57"/>
    </row>
    <row r="5050" spans="1:24" hidden="1" x14ac:dyDescent="0.35">
      <c r="A5050">
        <v>5046</v>
      </c>
      <c r="B5050">
        <v>5047</v>
      </c>
      <c r="C5050">
        <v>146.06184581900001</v>
      </c>
      <c r="D5050">
        <v>-17.6422390193</v>
      </c>
      <c r="G5050" s="92"/>
      <c r="I5050">
        <v>10</v>
      </c>
      <c r="J5050" t="s">
        <v>26</v>
      </c>
      <c r="K5050" s="57"/>
      <c r="S5050" s="57"/>
      <c r="X5050" s="57"/>
    </row>
    <row r="5051" spans="1:24" hidden="1" x14ac:dyDescent="0.35">
      <c r="A5051">
        <v>5047</v>
      </c>
      <c r="B5051">
        <v>5048</v>
      </c>
      <c r="C5051">
        <v>146.061785649999</v>
      </c>
      <c r="D5051">
        <v>-17.642175453</v>
      </c>
      <c r="G5051" s="92"/>
      <c r="I5051">
        <v>10</v>
      </c>
      <c r="J5051" t="s">
        <v>26</v>
      </c>
      <c r="K5051" s="57"/>
      <c r="S5051" s="57"/>
      <c r="X5051" s="57"/>
    </row>
    <row r="5052" spans="1:24" hidden="1" x14ac:dyDescent="0.35">
      <c r="A5052">
        <v>5048</v>
      </c>
      <c r="B5052">
        <v>5049</v>
      </c>
      <c r="C5052">
        <v>146.06172864600001</v>
      </c>
      <c r="D5052">
        <v>-17.642109445100001</v>
      </c>
      <c r="G5052" s="92"/>
      <c r="I5052">
        <v>10</v>
      </c>
      <c r="J5052" t="s">
        <v>26</v>
      </c>
      <c r="K5052" s="57"/>
      <c r="S5052" s="57"/>
      <c r="X5052" s="57"/>
    </row>
    <row r="5053" spans="1:24" hidden="1" x14ac:dyDescent="0.35">
      <c r="A5053">
        <v>5049</v>
      </c>
      <c r="B5053">
        <v>5050</v>
      </c>
      <c r="C5053">
        <v>146.061675928</v>
      </c>
      <c r="D5053">
        <v>-17.6420401295</v>
      </c>
      <c r="G5053" s="92"/>
      <c r="I5053">
        <v>10</v>
      </c>
      <c r="J5053" t="s">
        <v>26</v>
      </c>
      <c r="K5053" s="57"/>
      <c r="S5053" s="57"/>
      <c r="X5053" s="57"/>
    </row>
    <row r="5054" spans="1:24" hidden="1" x14ac:dyDescent="0.35">
      <c r="A5054">
        <v>5050</v>
      </c>
      <c r="B5054">
        <v>5051</v>
      </c>
      <c r="C5054">
        <v>146.06162321100001</v>
      </c>
      <c r="D5054">
        <v>-17.641970814</v>
      </c>
      <c r="G5054" s="92"/>
      <c r="I5054">
        <v>10</v>
      </c>
      <c r="J5054" t="s">
        <v>26</v>
      </c>
      <c r="K5054" s="57"/>
      <c r="S5054" s="57"/>
      <c r="X5054" s="57"/>
    </row>
    <row r="5055" spans="1:24" hidden="1" x14ac:dyDescent="0.35">
      <c r="A5055">
        <v>5051</v>
      </c>
      <c r="B5055">
        <v>5052</v>
      </c>
      <c r="C5055">
        <v>146.06156874000001</v>
      </c>
      <c r="D5055">
        <v>-17.641902775799899</v>
      </c>
      <c r="G5055" s="92"/>
      <c r="I5055">
        <v>10</v>
      </c>
      <c r="J5055" t="s">
        <v>26</v>
      </c>
      <c r="K5055" s="57"/>
      <c r="S5055" s="57"/>
      <c r="X5055" s="57"/>
    </row>
    <row r="5056" spans="1:24" hidden="1" x14ac:dyDescent="0.35">
      <c r="A5056">
        <v>5052</v>
      </c>
      <c r="B5056">
        <v>5053</v>
      </c>
      <c r="C5056">
        <v>146.06151240899899</v>
      </c>
      <c r="D5056">
        <v>-17.641836091599899</v>
      </c>
      <c r="G5056" s="92"/>
      <c r="I5056">
        <v>10</v>
      </c>
      <c r="J5056" t="s">
        <v>26</v>
      </c>
      <c r="K5056" s="57"/>
      <c r="S5056" s="57"/>
      <c r="X5056" s="57"/>
    </row>
    <row r="5057" spans="1:24" hidden="1" x14ac:dyDescent="0.35">
      <c r="A5057">
        <v>5053</v>
      </c>
      <c r="B5057">
        <v>5054</v>
      </c>
      <c r="C5057">
        <v>146.06144129</v>
      </c>
      <c r="D5057">
        <v>-17.6417855661999</v>
      </c>
      <c r="G5057" s="92"/>
      <c r="I5057">
        <v>10</v>
      </c>
      <c r="J5057" t="s">
        <v>26</v>
      </c>
      <c r="K5057" s="57"/>
      <c r="S5057" s="57"/>
      <c r="X5057" s="57"/>
    </row>
    <row r="5058" spans="1:24" hidden="1" x14ac:dyDescent="0.35">
      <c r="A5058">
        <v>5054</v>
      </c>
      <c r="B5058">
        <v>5055</v>
      </c>
      <c r="C5058">
        <v>146.061364303999</v>
      </c>
      <c r="D5058">
        <v>-17.6417414525</v>
      </c>
      <c r="G5058" s="92"/>
      <c r="I5058">
        <v>10</v>
      </c>
      <c r="J5058" t="s">
        <v>26</v>
      </c>
      <c r="K5058" s="57"/>
      <c r="S5058" s="57"/>
      <c r="X5058" s="57"/>
    </row>
    <row r="5059" spans="1:24" hidden="1" x14ac:dyDescent="0.35">
      <c r="A5059">
        <v>5055</v>
      </c>
      <c r="B5059">
        <v>5056</v>
      </c>
      <c r="C5059">
        <v>146.06128731800001</v>
      </c>
      <c r="D5059">
        <v>-17.641697338699899</v>
      </c>
      <c r="G5059" s="92"/>
      <c r="I5059">
        <v>10</v>
      </c>
      <c r="J5059" t="s">
        <v>26</v>
      </c>
      <c r="K5059" s="57"/>
      <c r="S5059" s="57"/>
      <c r="X5059" s="57"/>
    </row>
    <row r="5060" spans="1:24" hidden="1" x14ac:dyDescent="0.35">
      <c r="A5060">
        <v>5056</v>
      </c>
      <c r="B5060">
        <v>5057</v>
      </c>
      <c r="C5060">
        <v>146.06121597200001</v>
      </c>
      <c r="D5060">
        <v>-17.641645988099899</v>
      </c>
      <c r="G5060" s="92"/>
      <c r="I5060">
        <v>10</v>
      </c>
      <c r="J5060" t="s">
        <v>26</v>
      </c>
      <c r="K5060" s="57"/>
      <c r="S5060" s="57"/>
      <c r="X5060" s="57"/>
    </row>
    <row r="5061" spans="1:24" hidden="1" x14ac:dyDescent="0.35">
      <c r="A5061">
        <v>5057</v>
      </c>
      <c r="B5061">
        <v>5058</v>
      </c>
      <c r="C5061">
        <v>146.061149411999</v>
      </c>
      <c r="D5061">
        <v>-17.6415884974999</v>
      </c>
      <c r="G5061" s="92"/>
      <c r="I5061">
        <v>10</v>
      </c>
      <c r="J5061" t="s">
        <v>26</v>
      </c>
      <c r="K5061" s="57"/>
      <c r="S5061" s="57"/>
      <c r="X5061" s="57"/>
    </row>
    <row r="5062" spans="1:24" hidden="1" x14ac:dyDescent="0.35">
      <c r="A5062">
        <v>5058</v>
      </c>
      <c r="B5062">
        <v>5059</v>
      </c>
      <c r="C5062">
        <v>146.06108285100001</v>
      </c>
      <c r="D5062">
        <v>-17.641531007000001</v>
      </c>
      <c r="G5062" s="92"/>
      <c r="I5062">
        <v>10</v>
      </c>
      <c r="J5062" t="s">
        <v>26</v>
      </c>
      <c r="K5062" s="57"/>
      <c r="S5062" s="57"/>
      <c r="X5062" s="57"/>
    </row>
    <row r="5063" spans="1:24" hidden="1" x14ac:dyDescent="0.35">
      <c r="A5063">
        <v>5059</v>
      </c>
      <c r="B5063">
        <v>5060</v>
      </c>
      <c r="C5063">
        <v>146.06101629099899</v>
      </c>
      <c r="D5063">
        <v>-17.641473516400001</v>
      </c>
      <c r="G5063" s="92"/>
      <c r="I5063">
        <v>10</v>
      </c>
      <c r="J5063" t="s">
        <v>26</v>
      </c>
      <c r="K5063" s="57"/>
      <c r="S5063" s="57"/>
      <c r="X5063" s="57"/>
    </row>
    <row r="5064" spans="1:24" hidden="1" x14ac:dyDescent="0.35">
      <c r="A5064">
        <v>5060</v>
      </c>
      <c r="B5064">
        <v>5061</v>
      </c>
      <c r="C5064">
        <v>146.060949730999</v>
      </c>
      <c r="D5064">
        <v>-17.641416025800002</v>
      </c>
      <c r="G5064" s="92"/>
      <c r="I5064">
        <v>10</v>
      </c>
      <c r="J5064" t="s">
        <v>26</v>
      </c>
      <c r="K5064" s="57"/>
      <c r="S5064" s="57"/>
      <c r="X5064" s="57"/>
    </row>
    <row r="5065" spans="1:24" hidden="1" x14ac:dyDescent="0.35">
      <c r="A5065">
        <v>5061</v>
      </c>
      <c r="B5065">
        <v>5062</v>
      </c>
      <c r="C5065">
        <v>146.060883171</v>
      </c>
      <c r="D5065">
        <v>-17.6413585351</v>
      </c>
      <c r="G5065" s="92"/>
      <c r="I5065">
        <v>10</v>
      </c>
      <c r="J5065" t="s">
        <v>26</v>
      </c>
      <c r="K5065" s="57"/>
      <c r="S5065" s="57"/>
      <c r="X5065" s="57"/>
    </row>
    <row r="5066" spans="1:24" hidden="1" x14ac:dyDescent="0.35">
      <c r="A5066">
        <v>5062</v>
      </c>
      <c r="B5066">
        <v>5063</v>
      </c>
      <c r="C5066">
        <v>146.06082545999899</v>
      </c>
      <c r="D5066">
        <v>-17.641294414200001</v>
      </c>
      <c r="G5066" s="92"/>
      <c r="I5066">
        <v>10</v>
      </c>
      <c r="J5066" t="s">
        <v>26</v>
      </c>
      <c r="K5066" s="57"/>
      <c r="S5066" s="57"/>
      <c r="X5066" s="57"/>
    </row>
    <row r="5067" spans="1:24" hidden="1" x14ac:dyDescent="0.35">
      <c r="A5067">
        <v>5063</v>
      </c>
      <c r="B5067">
        <v>5064</v>
      </c>
      <c r="C5067">
        <v>146.060782547</v>
      </c>
      <c r="D5067">
        <v>-17.641219206900001</v>
      </c>
      <c r="G5067" s="92"/>
      <c r="I5067">
        <v>10</v>
      </c>
      <c r="J5067" t="s">
        <v>26</v>
      </c>
      <c r="K5067" s="57"/>
      <c r="S5067" s="57"/>
      <c r="X5067" s="57"/>
    </row>
    <row r="5068" spans="1:24" hidden="1" x14ac:dyDescent="0.35">
      <c r="A5068">
        <v>5064</v>
      </c>
      <c r="B5068">
        <v>5065</v>
      </c>
      <c r="C5068">
        <v>146.060739632999</v>
      </c>
      <c r="D5068">
        <v>-17.641143999600001</v>
      </c>
      <c r="G5068" s="92"/>
      <c r="I5068">
        <v>10</v>
      </c>
      <c r="J5068" t="s">
        <v>26</v>
      </c>
      <c r="K5068" s="57"/>
      <c r="S5068" s="57"/>
      <c r="X5068" s="57"/>
    </row>
    <row r="5069" spans="1:24" hidden="1" x14ac:dyDescent="0.35">
      <c r="A5069">
        <v>5065</v>
      </c>
      <c r="B5069">
        <v>5066</v>
      </c>
      <c r="C5069">
        <v>146.06069672000001</v>
      </c>
      <c r="D5069">
        <v>-17.6410687923</v>
      </c>
      <c r="G5069" s="92"/>
      <c r="I5069">
        <v>10</v>
      </c>
      <c r="J5069" t="s">
        <v>26</v>
      </c>
      <c r="K5069" s="57"/>
      <c r="S5069" s="57"/>
      <c r="X5069" s="57"/>
    </row>
    <row r="5070" spans="1:24" hidden="1" x14ac:dyDescent="0.35">
      <c r="A5070">
        <v>5066</v>
      </c>
      <c r="B5070">
        <v>5067</v>
      </c>
      <c r="C5070">
        <v>146.060653806999</v>
      </c>
      <c r="D5070">
        <v>-17.640993584899899</v>
      </c>
      <c r="G5070" s="92"/>
      <c r="I5070">
        <v>10</v>
      </c>
      <c r="J5070" t="s">
        <v>26</v>
      </c>
      <c r="K5070" s="57"/>
      <c r="S5070" s="57"/>
      <c r="X5070" s="57"/>
    </row>
    <row r="5071" spans="1:24" hidden="1" x14ac:dyDescent="0.35">
      <c r="A5071">
        <v>5067</v>
      </c>
      <c r="B5071">
        <v>5068</v>
      </c>
      <c r="C5071">
        <v>146.06061089299899</v>
      </c>
      <c r="D5071">
        <v>-17.6409183775</v>
      </c>
      <c r="G5071" s="92"/>
      <c r="I5071">
        <v>10</v>
      </c>
      <c r="J5071" t="s">
        <v>26</v>
      </c>
      <c r="K5071" s="57"/>
      <c r="S5071" s="57"/>
      <c r="X5071" s="57"/>
    </row>
    <row r="5072" spans="1:24" hidden="1" x14ac:dyDescent="0.35">
      <c r="A5072">
        <v>5068</v>
      </c>
      <c r="B5072">
        <v>5069</v>
      </c>
      <c r="C5072">
        <v>146.06056798</v>
      </c>
      <c r="D5072">
        <v>-17.640843170099899</v>
      </c>
      <c r="G5072" s="92"/>
      <c r="I5072">
        <v>10</v>
      </c>
      <c r="J5072" t="s">
        <v>26</v>
      </c>
      <c r="K5072" s="57"/>
      <c r="S5072" s="57"/>
      <c r="X5072" s="57"/>
    </row>
    <row r="5073" spans="1:24" hidden="1" x14ac:dyDescent="0.35">
      <c r="A5073">
        <v>5069</v>
      </c>
      <c r="B5073">
        <v>5070</v>
      </c>
      <c r="C5073">
        <v>146.060525065999</v>
      </c>
      <c r="D5073">
        <v>-17.640767962599899</v>
      </c>
      <c r="G5073" s="92"/>
      <c r="I5073">
        <v>10</v>
      </c>
      <c r="J5073" t="s">
        <v>26</v>
      </c>
      <c r="K5073" s="57"/>
      <c r="S5073" s="57"/>
      <c r="X5073" s="57"/>
    </row>
    <row r="5074" spans="1:24" hidden="1" x14ac:dyDescent="0.35">
      <c r="A5074">
        <v>5070</v>
      </c>
      <c r="B5074">
        <v>5071</v>
      </c>
      <c r="C5074">
        <v>146.060485435</v>
      </c>
      <c r="D5074">
        <v>-17.640691255899899</v>
      </c>
      <c r="G5074" s="92"/>
      <c r="I5074">
        <v>10</v>
      </c>
      <c r="J5074" t="s">
        <v>26</v>
      </c>
      <c r="K5074" s="57"/>
      <c r="S5074" s="57"/>
      <c r="X5074" s="57"/>
    </row>
    <row r="5075" spans="1:24" hidden="1" x14ac:dyDescent="0.35">
      <c r="A5075">
        <v>5071</v>
      </c>
      <c r="B5075">
        <v>5072</v>
      </c>
      <c r="C5075">
        <v>146.06045078700001</v>
      </c>
      <c r="D5075">
        <v>-17.640612272599899</v>
      </c>
      <c r="G5075" s="92"/>
      <c r="I5075">
        <v>10</v>
      </c>
      <c r="J5075" t="s">
        <v>26</v>
      </c>
      <c r="K5075" s="57"/>
      <c r="S5075" s="57"/>
      <c r="X5075" s="57"/>
    </row>
    <row r="5076" spans="1:24" hidden="1" x14ac:dyDescent="0.35">
      <c r="A5076">
        <v>5072</v>
      </c>
      <c r="B5076">
        <v>5073</v>
      </c>
      <c r="C5076">
        <v>146.060416137999</v>
      </c>
      <c r="D5076">
        <v>-17.6405332894</v>
      </c>
      <c r="G5076" s="92"/>
      <c r="I5076">
        <v>10</v>
      </c>
      <c r="J5076" t="s">
        <v>26</v>
      </c>
      <c r="K5076" s="57"/>
      <c r="S5076" s="57"/>
      <c r="X5076" s="57"/>
    </row>
    <row r="5077" spans="1:24" hidden="1" x14ac:dyDescent="0.35">
      <c r="A5077">
        <v>5073</v>
      </c>
      <c r="B5077">
        <v>5074</v>
      </c>
      <c r="C5077">
        <v>146.060381489999</v>
      </c>
      <c r="D5077">
        <v>-17.640454306100001</v>
      </c>
      <c r="G5077" s="92"/>
      <c r="I5077">
        <v>10</v>
      </c>
      <c r="J5077" t="s">
        <v>26</v>
      </c>
      <c r="K5077" s="57"/>
      <c r="S5077" s="57"/>
      <c r="X5077" s="57"/>
    </row>
    <row r="5078" spans="1:24" hidden="1" x14ac:dyDescent="0.35">
      <c r="A5078">
        <v>5074</v>
      </c>
      <c r="B5078">
        <v>5075</v>
      </c>
      <c r="C5078">
        <v>146.060346842</v>
      </c>
      <c r="D5078">
        <v>-17.640375322800001</v>
      </c>
      <c r="G5078" s="92"/>
      <c r="I5078">
        <v>10</v>
      </c>
      <c r="J5078" t="s">
        <v>26</v>
      </c>
      <c r="K5078" s="57"/>
      <c r="S5078" s="57"/>
      <c r="X5078" s="57"/>
    </row>
    <row r="5079" spans="1:24" hidden="1" x14ac:dyDescent="0.35">
      <c r="A5079">
        <v>5075</v>
      </c>
      <c r="B5079">
        <v>5076</v>
      </c>
      <c r="C5079">
        <v>146.06031219299899</v>
      </c>
      <c r="D5079">
        <v>-17.640296339399899</v>
      </c>
      <c r="G5079" s="92"/>
      <c r="I5079">
        <v>10</v>
      </c>
      <c r="J5079" t="s">
        <v>26</v>
      </c>
      <c r="K5079" s="57"/>
      <c r="S5079" s="57"/>
      <c r="X5079" s="57"/>
    </row>
    <row r="5080" spans="1:24" hidden="1" x14ac:dyDescent="0.35">
      <c r="A5080">
        <v>5076</v>
      </c>
      <c r="B5080">
        <v>5077</v>
      </c>
      <c r="C5080">
        <v>146.060277544999</v>
      </c>
      <c r="D5080">
        <v>-17.640217356000001</v>
      </c>
      <c r="G5080" s="92"/>
      <c r="I5080">
        <v>10</v>
      </c>
      <c r="J5080" t="s">
        <v>26</v>
      </c>
      <c r="K5080" s="57"/>
      <c r="S5080" s="57"/>
      <c r="X5080" s="57"/>
    </row>
    <row r="5081" spans="1:24" hidden="1" x14ac:dyDescent="0.35">
      <c r="A5081">
        <v>5077</v>
      </c>
      <c r="B5081">
        <v>5078</v>
      </c>
      <c r="C5081">
        <v>146.06024289600001</v>
      </c>
      <c r="D5081">
        <v>-17.6401383725999</v>
      </c>
      <c r="G5081" s="92"/>
      <c r="I5081">
        <v>10</v>
      </c>
      <c r="J5081" t="s">
        <v>26</v>
      </c>
      <c r="K5081" s="57"/>
      <c r="S5081" s="57"/>
      <c r="X5081" s="57"/>
    </row>
    <row r="5082" spans="1:24" hidden="1" x14ac:dyDescent="0.35">
      <c r="A5082">
        <v>5078</v>
      </c>
      <c r="B5082">
        <v>5079</v>
      </c>
      <c r="C5082">
        <v>146.06020824800001</v>
      </c>
      <c r="D5082">
        <v>-17.6400593890999</v>
      </c>
      <c r="G5082" s="92"/>
      <c r="I5082">
        <v>10</v>
      </c>
      <c r="J5082" t="s">
        <v>26</v>
      </c>
      <c r="K5082" s="57"/>
      <c r="S5082" s="57"/>
      <c r="X5082" s="57"/>
    </row>
    <row r="5083" spans="1:24" hidden="1" x14ac:dyDescent="0.35">
      <c r="A5083">
        <v>5079</v>
      </c>
      <c r="B5083">
        <v>5080</v>
      </c>
      <c r="C5083">
        <v>146.06017703200001</v>
      </c>
      <c r="D5083">
        <v>-17.639979447999899</v>
      </c>
      <c r="G5083" s="92"/>
      <c r="I5083">
        <v>10</v>
      </c>
      <c r="J5083" t="s">
        <v>26</v>
      </c>
      <c r="K5083" s="57"/>
      <c r="S5083" s="57"/>
      <c r="X5083" s="57"/>
    </row>
    <row r="5084" spans="1:24" hidden="1" x14ac:dyDescent="0.35">
      <c r="A5084">
        <v>5080</v>
      </c>
      <c r="B5084">
        <v>5081</v>
      </c>
      <c r="C5084">
        <v>146.060161510999</v>
      </c>
      <c r="D5084">
        <v>-17.6398951277999</v>
      </c>
      <c r="G5084" s="92"/>
      <c r="I5084">
        <v>10</v>
      </c>
      <c r="J5084" t="s">
        <v>26</v>
      </c>
      <c r="K5084" s="57"/>
      <c r="S5084" s="57"/>
      <c r="X5084" s="57"/>
    </row>
    <row r="5085" spans="1:24" hidden="1" x14ac:dyDescent="0.35">
      <c r="A5085">
        <v>5081</v>
      </c>
      <c r="B5085">
        <v>5082</v>
      </c>
      <c r="C5085">
        <v>146.06014599100001</v>
      </c>
      <c r="D5085">
        <v>-17.6398108076</v>
      </c>
      <c r="G5085" s="92"/>
      <c r="I5085">
        <v>10</v>
      </c>
      <c r="J5085" t="s">
        <v>26</v>
      </c>
      <c r="K5085" s="57"/>
      <c r="S5085" s="57"/>
      <c r="X5085" s="57"/>
    </row>
    <row r="5086" spans="1:24" hidden="1" x14ac:dyDescent="0.35">
      <c r="A5086">
        <v>5082</v>
      </c>
      <c r="B5086">
        <v>5083</v>
      </c>
      <c r="C5086">
        <v>146.060130469999</v>
      </c>
      <c r="D5086">
        <v>-17.6397264872999</v>
      </c>
      <c r="G5086" s="92"/>
      <c r="I5086">
        <v>10</v>
      </c>
      <c r="J5086" t="s">
        <v>26</v>
      </c>
      <c r="K5086" s="57"/>
      <c r="S5086" s="57"/>
      <c r="X5086" s="57"/>
    </row>
    <row r="5087" spans="1:24" hidden="1" x14ac:dyDescent="0.35">
      <c r="A5087">
        <v>5083</v>
      </c>
      <c r="B5087">
        <v>5084</v>
      </c>
      <c r="C5087">
        <v>146.06011495000001</v>
      </c>
      <c r="D5087">
        <v>-17.6396421669</v>
      </c>
      <c r="G5087" s="92"/>
      <c r="I5087">
        <v>10</v>
      </c>
      <c r="J5087" t="s">
        <v>26</v>
      </c>
      <c r="K5087" s="57"/>
      <c r="S5087" s="57"/>
      <c r="X5087" s="57"/>
    </row>
    <row r="5088" spans="1:24" hidden="1" x14ac:dyDescent="0.35">
      <c r="A5088">
        <v>5084</v>
      </c>
      <c r="B5088">
        <v>5085</v>
      </c>
      <c r="C5088">
        <v>146.060099428999</v>
      </c>
      <c r="D5088">
        <v>-17.639557846599899</v>
      </c>
      <c r="G5088" s="92"/>
      <c r="I5088">
        <v>10</v>
      </c>
      <c r="J5088" t="s">
        <v>26</v>
      </c>
      <c r="K5088" s="57"/>
      <c r="S5088" s="57"/>
      <c r="X5088" s="57"/>
    </row>
    <row r="5089" spans="1:24" hidden="1" x14ac:dyDescent="0.35">
      <c r="A5089">
        <v>5085</v>
      </c>
      <c r="B5089">
        <v>5086</v>
      </c>
      <c r="C5089">
        <v>146.06008390900001</v>
      </c>
      <c r="D5089">
        <v>-17.639473526100002</v>
      </c>
      <c r="G5089" s="92"/>
      <c r="I5089">
        <v>10</v>
      </c>
      <c r="J5089" t="s">
        <v>26</v>
      </c>
      <c r="K5089" s="57"/>
      <c r="S5089" s="57"/>
      <c r="X5089" s="57"/>
    </row>
    <row r="5090" spans="1:24" hidden="1" x14ac:dyDescent="0.35">
      <c r="A5090">
        <v>5086</v>
      </c>
      <c r="B5090">
        <v>5087</v>
      </c>
      <c r="C5090">
        <v>146.060068387999</v>
      </c>
      <c r="D5090">
        <v>-17.639389205699899</v>
      </c>
      <c r="G5090" s="92"/>
      <c r="I5090">
        <v>10</v>
      </c>
      <c r="J5090" t="s">
        <v>26</v>
      </c>
      <c r="K5090" s="57"/>
      <c r="S5090" s="57"/>
      <c r="X5090" s="57"/>
    </row>
    <row r="5091" spans="1:24" hidden="1" x14ac:dyDescent="0.35">
      <c r="A5091">
        <v>5087</v>
      </c>
      <c r="B5091">
        <v>5088</v>
      </c>
      <c r="C5091">
        <v>146.06005286800001</v>
      </c>
      <c r="D5091">
        <v>-17.639304885200001</v>
      </c>
      <c r="G5091" s="92"/>
      <c r="I5091">
        <v>10</v>
      </c>
      <c r="J5091" t="s">
        <v>26</v>
      </c>
      <c r="K5091" s="57"/>
      <c r="S5091" s="57"/>
      <c r="X5091" s="57"/>
    </row>
    <row r="5092" spans="1:24" hidden="1" x14ac:dyDescent="0.35">
      <c r="A5092">
        <v>5088</v>
      </c>
      <c r="B5092">
        <v>5089</v>
      </c>
      <c r="C5092">
        <v>146.060037346999</v>
      </c>
      <c r="D5092">
        <v>-17.6392205647</v>
      </c>
      <c r="G5092" s="92"/>
      <c r="I5092">
        <v>10</v>
      </c>
      <c r="J5092" t="s">
        <v>26</v>
      </c>
      <c r="K5092" s="57"/>
      <c r="S5092" s="57"/>
      <c r="X5092" s="57"/>
    </row>
    <row r="5093" spans="1:24" hidden="1" x14ac:dyDescent="0.35">
      <c r="A5093">
        <v>5089</v>
      </c>
      <c r="B5093">
        <v>5090</v>
      </c>
      <c r="C5093">
        <v>146.06002182700001</v>
      </c>
      <c r="D5093">
        <v>-17.639136244100001</v>
      </c>
      <c r="G5093" s="92"/>
      <c r="I5093">
        <v>10</v>
      </c>
      <c r="J5093" t="s">
        <v>26</v>
      </c>
      <c r="K5093" s="57"/>
      <c r="S5093" s="57"/>
      <c r="X5093" s="57"/>
    </row>
    <row r="5094" spans="1:24" hidden="1" x14ac:dyDescent="0.35">
      <c r="A5094">
        <v>5090</v>
      </c>
      <c r="B5094">
        <v>5091</v>
      </c>
      <c r="C5094">
        <v>146.060006428999</v>
      </c>
      <c r="D5094">
        <v>-17.639051905700001</v>
      </c>
      <c r="F5094" t="str">
        <f>HYPERLINK("D:\Data From Lucan\2024\Moresby\Frames_for_Analysis/5091_20240611_0006_L_0557.jpg","5091_20240611_0006_L_0557.jpg")</f>
        <v>5091_20240611_0006_L_0557.jpg</v>
      </c>
      <c r="G5094" s="92" t="s">
        <v>5472</v>
      </c>
      <c r="I5094">
        <v>10</v>
      </c>
      <c r="K5094" s="57">
        <v>1</v>
      </c>
      <c r="L5094" t="s">
        <v>3959</v>
      </c>
      <c r="M5094" t="s">
        <v>3959</v>
      </c>
      <c r="N5094" t="s">
        <v>3959</v>
      </c>
      <c r="O5094" t="s">
        <v>3959</v>
      </c>
      <c r="P5094" s="57">
        <v>1</v>
      </c>
      <c r="Q5094" s="57">
        <v>0</v>
      </c>
      <c r="R5094" s="57">
        <v>0</v>
      </c>
      <c r="S5094" s="57">
        <v>0</v>
      </c>
      <c r="T5094" s="57">
        <v>0</v>
      </c>
      <c r="U5094" s="57">
        <v>0</v>
      </c>
      <c r="V5094" s="57">
        <v>0</v>
      </c>
      <c r="W5094" s="57">
        <v>0</v>
      </c>
      <c r="X5094" s="57">
        <v>0</v>
      </c>
    </row>
    <row r="5095" spans="1:24" hidden="1" x14ac:dyDescent="0.35">
      <c r="A5095">
        <v>5091</v>
      </c>
      <c r="B5095">
        <v>5092</v>
      </c>
      <c r="C5095">
        <v>146.059994939999</v>
      </c>
      <c r="D5095">
        <v>-17.6389670006999</v>
      </c>
      <c r="F5095" t="str">
        <f>HYPERLINK("D:\Data From Lucan\2024\Moresby\Frames_for_Analysis/5092_20240611_0006_L_0559.jpg","5092_20240611_0006_L_0559.jpg")</f>
        <v>5092_20240611_0006_L_0559.jpg</v>
      </c>
      <c r="G5095" s="92" t="s">
        <v>5473</v>
      </c>
      <c r="I5095">
        <v>10</v>
      </c>
      <c r="K5095" s="57">
        <v>1</v>
      </c>
      <c r="L5095" t="s">
        <v>3959</v>
      </c>
      <c r="M5095" t="s">
        <v>3959</v>
      </c>
      <c r="N5095" t="s">
        <v>3959</v>
      </c>
      <c r="O5095" t="s">
        <v>3959</v>
      </c>
      <c r="P5095" s="57">
        <v>1</v>
      </c>
      <c r="Q5095" s="57">
        <v>0</v>
      </c>
      <c r="R5095" s="57">
        <v>0</v>
      </c>
      <c r="S5095" s="57">
        <v>0</v>
      </c>
      <c r="T5095" s="57">
        <v>0</v>
      </c>
      <c r="U5095" s="57">
        <v>0</v>
      </c>
      <c r="V5095" s="57">
        <v>0</v>
      </c>
      <c r="W5095" s="57">
        <v>0</v>
      </c>
      <c r="X5095" s="57">
        <v>0</v>
      </c>
    </row>
    <row r="5096" spans="1:24" hidden="1" x14ac:dyDescent="0.35">
      <c r="A5096">
        <v>5092</v>
      </c>
      <c r="B5096">
        <v>5093</v>
      </c>
      <c r="C5096">
        <v>146.059985656999</v>
      </c>
      <c r="D5096">
        <v>-17.638882024000001</v>
      </c>
      <c r="F5096" t="str">
        <f>HYPERLINK("D:\Data From Lucan\2024\Moresby\Frames_for_Analysis/5093_20240611_0006_L_0561.jpg","5093_20240611_0006_L_0561.jpg")</f>
        <v>5093_20240611_0006_L_0561.jpg</v>
      </c>
      <c r="G5096" s="92" t="s">
        <v>5474</v>
      </c>
      <c r="I5096">
        <v>10</v>
      </c>
      <c r="K5096" s="57">
        <v>1</v>
      </c>
      <c r="L5096" t="s">
        <v>3959</v>
      </c>
      <c r="M5096" t="s">
        <v>3959</v>
      </c>
      <c r="N5096" t="s">
        <v>3959</v>
      </c>
      <c r="O5096" t="s">
        <v>3959</v>
      </c>
      <c r="P5096" s="57">
        <v>1</v>
      </c>
      <c r="Q5096" s="57">
        <v>0</v>
      </c>
      <c r="R5096" s="57">
        <v>0</v>
      </c>
      <c r="S5096" s="57">
        <v>0</v>
      </c>
      <c r="T5096" s="57">
        <v>0</v>
      </c>
      <c r="U5096" s="57">
        <v>0</v>
      </c>
      <c r="V5096" s="57">
        <v>0</v>
      </c>
      <c r="W5096" s="57">
        <v>0</v>
      </c>
      <c r="X5096" s="57">
        <v>0</v>
      </c>
    </row>
    <row r="5097" spans="1:24" hidden="1" x14ac:dyDescent="0.35">
      <c r="A5097">
        <v>5093</v>
      </c>
      <c r="B5097">
        <v>5094</v>
      </c>
      <c r="C5097">
        <v>146.05999105199899</v>
      </c>
      <c r="D5097">
        <v>-17.6387965704</v>
      </c>
      <c r="F5097" t="str">
        <f>HYPERLINK("D:\Data From Lucan\2024\Moresby\Frames_for_Analysis/5094_20240611_0006_L_0563.jpg","5094_20240611_0006_L_0563.jpg")</f>
        <v>5094_20240611_0006_L_0563.jpg</v>
      </c>
      <c r="G5097" s="92" t="s">
        <v>5475</v>
      </c>
      <c r="I5097">
        <v>10</v>
      </c>
      <c r="K5097" s="57">
        <v>1</v>
      </c>
      <c r="L5097" t="s">
        <v>3959</v>
      </c>
      <c r="M5097" t="s">
        <v>3959</v>
      </c>
      <c r="N5097" t="s">
        <v>3959</v>
      </c>
      <c r="O5097" t="s">
        <v>3959</v>
      </c>
      <c r="P5097" s="57">
        <v>1</v>
      </c>
      <c r="Q5097" s="57">
        <v>0</v>
      </c>
      <c r="R5097" s="57">
        <v>0</v>
      </c>
      <c r="S5097" s="57">
        <v>0</v>
      </c>
      <c r="T5097" s="57">
        <v>0</v>
      </c>
      <c r="U5097" s="57">
        <v>0</v>
      </c>
      <c r="V5097" s="57">
        <v>0</v>
      </c>
      <c r="W5097" s="57">
        <v>0</v>
      </c>
      <c r="X5097" s="57">
        <v>0</v>
      </c>
    </row>
    <row r="5098" spans="1:24" hidden="1" x14ac:dyDescent="0.35">
      <c r="A5098">
        <v>5094</v>
      </c>
      <c r="B5098">
        <v>5095</v>
      </c>
      <c r="C5098">
        <v>146.059996447999</v>
      </c>
      <c r="D5098">
        <v>-17.638711116700001</v>
      </c>
      <c r="F5098" t="str">
        <f>HYPERLINK("D:\Data From Lucan\2024\Moresby\Frames_for_Analysis/5095_20240611_0006_L_0564.jpg","5095_20240611_0006_L_0564.jpg")</f>
        <v>5095_20240611_0006_L_0564.jpg</v>
      </c>
      <c r="G5098" s="92" t="s">
        <v>5476</v>
      </c>
      <c r="I5098">
        <v>10</v>
      </c>
      <c r="K5098" s="57">
        <v>1</v>
      </c>
      <c r="L5098" t="s">
        <v>3959</v>
      </c>
      <c r="M5098" t="s">
        <v>3959</v>
      </c>
      <c r="N5098" t="s">
        <v>3959</v>
      </c>
      <c r="O5098" t="s">
        <v>3959</v>
      </c>
      <c r="P5098" s="57">
        <v>1</v>
      </c>
      <c r="Q5098" s="57">
        <v>0</v>
      </c>
      <c r="R5098" s="57">
        <v>0</v>
      </c>
      <c r="S5098" s="57">
        <v>0</v>
      </c>
      <c r="T5098" s="57">
        <v>0</v>
      </c>
      <c r="U5098" s="57">
        <v>0</v>
      </c>
      <c r="V5098" s="57">
        <v>0</v>
      </c>
      <c r="W5098" s="57">
        <v>0</v>
      </c>
      <c r="X5098" s="57">
        <v>0</v>
      </c>
    </row>
    <row r="5099" spans="1:24" hidden="1" x14ac:dyDescent="0.35">
      <c r="A5099">
        <v>5095</v>
      </c>
      <c r="B5099">
        <v>5096</v>
      </c>
      <c r="C5099">
        <v>146.060032653999</v>
      </c>
      <c r="D5099">
        <v>-17.638633572500002</v>
      </c>
      <c r="F5099" t="str">
        <f>HYPERLINK("D:\Data From Lucan\2024\Moresby\Frames_for_Analysis/5096_20240611_0006_L_0565.jpg","5096_20240611_0006_L_0565.jpg")</f>
        <v>5096_20240611_0006_L_0565.jpg</v>
      </c>
      <c r="G5099" s="92" t="s">
        <v>5477</v>
      </c>
      <c r="I5099">
        <v>10</v>
      </c>
      <c r="K5099" s="57">
        <v>1</v>
      </c>
      <c r="L5099" t="s">
        <v>3959</v>
      </c>
      <c r="M5099" t="s">
        <v>3959</v>
      </c>
      <c r="N5099" t="s">
        <v>3959</v>
      </c>
      <c r="O5099" t="s">
        <v>3959</v>
      </c>
      <c r="P5099" s="57">
        <v>1</v>
      </c>
      <c r="Q5099" s="57">
        <v>0</v>
      </c>
      <c r="R5099" s="57">
        <v>0</v>
      </c>
      <c r="S5099" s="57">
        <v>0</v>
      </c>
      <c r="T5099" s="57">
        <v>0</v>
      </c>
      <c r="U5099" s="57">
        <v>0</v>
      </c>
      <c r="V5099" s="57">
        <v>0</v>
      </c>
      <c r="W5099" s="57">
        <v>0</v>
      </c>
      <c r="X5099" s="57">
        <v>0</v>
      </c>
    </row>
    <row r="5100" spans="1:24" hidden="1" x14ac:dyDescent="0.35">
      <c r="A5100">
        <v>5096</v>
      </c>
      <c r="B5100">
        <v>5097</v>
      </c>
      <c r="C5100">
        <v>146.06007303000001</v>
      </c>
      <c r="D5100">
        <v>-17.6385570988</v>
      </c>
      <c r="F5100" t="str">
        <f>HYPERLINK("D:\Data From Lucan\2024\Moresby\Frames_for_Analysis/5097_20240611_0006_L_0567.jpg","5097_20240611_0006_L_0567.jpg")</f>
        <v>5097_20240611_0006_L_0567.jpg</v>
      </c>
      <c r="G5100" s="92" t="s">
        <v>5478</v>
      </c>
      <c r="I5100">
        <v>10</v>
      </c>
      <c r="K5100" s="57">
        <v>1</v>
      </c>
      <c r="L5100" t="s">
        <v>3959</v>
      </c>
      <c r="M5100" t="s">
        <v>3959</v>
      </c>
      <c r="N5100" t="s">
        <v>3959</v>
      </c>
      <c r="O5100" t="s">
        <v>3959</v>
      </c>
      <c r="P5100" s="57">
        <v>1</v>
      </c>
      <c r="Q5100" s="57">
        <v>0</v>
      </c>
      <c r="R5100" s="57">
        <v>0</v>
      </c>
      <c r="S5100" s="57">
        <v>0</v>
      </c>
      <c r="T5100" s="57">
        <v>0</v>
      </c>
      <c r="U5100" s="57">
        <v>0</v>
      </c>
      <c r="V5100" s="57">
        <v>0</v>
      </c>
      <c r="W5100" s="57">
        <v>0</v>
      </c>
      <c r="X5100" s="57">
        <v>0</v>
      </c>
    </row>
    <row r="5101" spans="1:24" hidden="1" x14ac:dyDescent="0.35">
      <c r="A5101">
        <v>5097</v>
      </c>
      <c r="B5101">
        <v>5098</v>
      </c>
      <c r="C5101">
        <v>146.060109205</v>
      </c>
      <c r="D5101">
        <v>-17.6384797800999</v>
      </c>
      <c r="F5101" t="str">
        <f>HYPERLINK("D:\Data From Lucan\2024\Moresby\Frames_for_Analysis/5098_20240611_0006_L_0568.jpg","5098_20240611_0006_L_0568.jpg")</f>
        <v>5098_20240611_0006_L_0568.jpg</v>
      </c>
      <c r="G5101" s="92" t="s">
        <v>5479</v>
      </c>
      <c r="I5101">
        <v>4</v>
      </c>
      <c r="K5101" s="57">
        <v>1</v>
      </c>
      <c r="L5101" t="s">
        <v>3959</v>
      </c>
      <c r="M5101" t="s">
        <v>3959</v>
      </c>
      <c r="N5101" t="s">
        <v>3959</v>
      </c>
      <c r="O5101" t="s">
        <v>3959</v>
      </c>
      <c r="P5101" s="57">
        <v>1</v>
      </c>
      <c r="Q5101" s="57">
        <v>0</v>
      </c>
      <c r="R5101" s="57">
        <v>0</v>
      </c>
      <c r="S5101" s="57">
        <v>0</v>
      </c>
      <c r="T5101" s="57">
        <v>0</v>
      </c>
      <c r="U5101" s="57">
        <v>0</v>
      </c>
      <c r="V5101" s="57">
        <v>0</v>
      </c>
      <c r="W5101" s="57">
        <v>0</v>
      </c>
      <c r="X5101" s="57">
        <v>0</v>
      </c>
    </row>
    <row r="5102" spans="1:24" hidden="1" x14ac:dyDescent="0.35">
      <c r="A5102">
        <v>5098</v>
      </c>
      <c r="B5102">
        <v>5099</v>
      </c>
      <c r="C5102">
        <v>146.06010469500001</v>
      </c>
      <c r="D5102">
        <v>-17.638394279700002</v>
      </c>
      <c r="F5102" t="str">
        <f>HYPERLINK("D:\Data From Lucan\2024\Moresby\Frames_for_Analysis/5099_20240611_0006_L_0571.jpg","5099_20240611_0006_L_0571.jpg")</f>
        <v>5099_20240611_0006_L_0571.jpg</v>
      </c>
      <c r="G5102" s="92" t="s">
        <v>5480</v>
      </c>
      <c r="I5102">
        <v>4</v>
      </c>
      <c r="K5102" s="57">
        <v>1</v>
      </c>
      <c r="L5102" t="s">
        <v>3959</v>
      </c>
      <c r="M5102" t="s">
        <v>3959</v>
      </c>
      <c r="N5102" t="s">
        <v>3959</v>
      </c>
      <c r="O5102" t="s">
        <v>3959</v>
      </c>
      <c r="P5102" s="57">
        <v>1</v>
      </c>
      <c r="Q5102" s="57">
        <v>0</v>
      </c>
      <c r="R5102" s="57">
        <v>0</v>
      </c>
      <c r="S5102" s="57">
        <v>0</v>
      </c>
      <c r="T5102" s="57">
        <v>2</v>
      </c>
      <c r="U5102" s="57">
        <v>0</v>
      </c>
      <c r="V5102" s="57">
        <v>0</v>
      </c>
      <c r="W5102" s="57">
        <v>0</v>
      </c>
      <c r="X5102" s="57">
        <v>0</v>
      </c>
    </row>
    <row r="5103" spans="1:24" hidden="1" x14ac:dyDescent="0.35">
      <c r="A5103">
        <v>5099</v>
      </c>
      <c r="B5103">
        <v>5100</v>
      </c>
      <c r="C5103">
        <v>146.060100186</v>
      </c>
      <c r="D5103">
        <v>-17.638308779300001</v>
      </c>
      <c r="F5103" t="str">
        <f>HYPERLINK("D:\Data From Lucan\2024\Moresby\Frames_for_Analysis/5100_20240611_0006_L_0573.jpg","5100_20240611_0006_L_0573.jpg")</f>
        <v>5100_20240611_0006_L_0573.jpg</v>
      </c>
      <c r="G5103" s="92" t="s">
        <v>5481</v>
      </c>
      <c r="I5103">
        <v>4</v>
      </c>
      <c r="K5103" s="57">
        <v>1</v>
      </c>
      <c r="L5103" t="s">
        <v>3959</v>
      </c>
      <c r="M5103" t="s">
        <v>3959</v>
      </c>
      <c r="N5103" t="s">
        <v>3959</v>
      </c>
      <c r="O5103" t="s">
        <v>3959</v>
      </c>
      <c r="P5103" s="57">
        <v>1</v>
      </c>
      <c r="Q5103" s="57">
        <v>0</v>
      </c>
      <c r="R5103" s="57">
        <v>0</v>
      </c>
      <c r="S5103" s="57">
        <v>0</v>
      </c>
      <c r="T5103" s="57">
        <v>0</v>
      </c>
      <c r="U5103" s="57">
        <v>0</v>
      </c>
      <c r="V5103" s="57">
        <v>0</v>
      </c>
      <c r="W5103" s="57">
        <v>0</v>
      </c>
      <c r="X5103" s="57">
        <v>0</v>
      </c>
    </row>
    <row r="5104" spans="1:24" hidden="1" x14ac:dyDescent="0.35">
      <c r="A5104">
        <v>5100</v>
      </c>
      <c r="B5104">
        <v>5101</v>
      </c>
      <c r="C5104">
        <v>146.06006608499899</v>
      </c>
      <c r="D5104">
        <v>-17.6382305769</v>
      </c>
      <c r="F5104" t="str">
        <f>HYPERLINK("D:\Data From Lucan\2024\Moresby\Frames_for_Analysis/5101_20240611_0006_L_0575.jpg","5101_20240611_0006_L_0575.jpg")</f>
        <v>5101_20240611_0006_L_0575.jpg</v>
      </c>
      <c r="G5104" s="92" t="s">
        <v>5482</v>
      </c>
      <c r="I5104">
        <v>4</v>
      </c>
      <c r="K5104" s="57">
        <v>1</v>
      </c>
      <c r="L5104" t="s">
        <v>3959</v>
      </c>
      <c r="M5104" t="s">
        <v>3959</v>
      </c>
      <c r="N5104" t="s">
        <v>3959</v>
      </c>
      <c r="O5104" t="s">
        <v>3959</v>
      </c>
      <c r="P5104" s="57">
        <v>1</v>
      </c>
      <c r="Q5104" s="57">
        <v>0</v>
      </c>
      <c r="R5104" s="57">
        <v>0</v>
      </c>
      <c r="S5104" s="57">
        <v>0</v>
      </c>
      <c r="T5104" s="57">
        <v>0</v>
      </c>
      <c r="U5104" s="57">
        <v>0</v>
      </c>
      <c r="V5104" s="57">
        <v>0</v>
      </c>
      <c r="W5104" s="57">
        <v>0</v>
      </c>
      <c r="X5104" s="57">
        <v>0</v>
      </c>
    </row>
    <row r="5105" spans="1:24" hidden="1" x14ac:dyDescent="0.35">
      <c r="A5105">
        <v>5101</v>
      </c>
      <c r="B5105">
        <v>5102</v>
      </c>
      <c r="C5105">
        <v>146.06002650600001</v>
      </c>
      <c r="D5105">
        <v>-17.638153725799899</v>
      </c>
      <c r="F5105" t="str">
        <f>HYPERLINK("D:\Data From Lucan\2024\Moresby\Frames_for_Analysis/5102_20240611_0006_L_0578.jpg","5102_20240611_0006_L_0578.jpg")</f>
        <v>5102_20240611_0006_L_0578.jpg</v>
      </c>
      <c r="G5105" s="92" t="s">
        <v>5483</v>
      </c>
      <c r="I5105">
        <v>4</v>
      </c>
      <c r="K5105" s="57">
        <v>1</v>
      </c>
      <c r="L5105" t="s">
        <v>3959</v>
      </c>
      <c r="M5105" t="s">
        <v>3959</v>
      </c>
      <c r="N5105" t="s">
        <v>3959</v>
      </c>
      <c r="O5105" t="s">
        <v>3959</v>
      </c>
      <c r="P5105" s="57">
        <v>1</v>
      </c>
      <c r="Q5105" s="57">
        <v>0</v>
      </c>
      <c r="R5105" s="57">
        <v>0</v>
      </c>
      <c r="S5105" s="57">
        <v>0</v>
      </c>
      <c r="T5105" s="57">
        <v>0</v>
      </c>
      <c r="U5105" s="57">
        <v>0</v>
      </c>
      <c r="V5105" s="57">
        <v>0</v>
      </c>
      <c r="W5105" s="57">
        <v>0</v>
      </c>
      <c r="X5105" s="57">
        <v>0</v>
      </c>
    </row>
    <row r="5106" spans="1:24" hidden="1" x14ac:dyDescent="0.35">
      <c r="A5106">
        <v>5102</v>
      </c>
      <c r="B5106">
        <v>5103</v>
      </c>
      <c r="C5106">
        <v>146.05998941799899</v>
      </c>
      <c r="D5106">
        <v>-17.6380758395999</v>
      </c>
      <c r="F5106" t="str">
        <f>HYPERLINK("D:\Data From Lucan\2024\Moresby\Frames_for_Analysis/5103_20240611_0006_L_0581.jpg","5103_20240611_0006_L_0581.jpg")</f>
        <v>5103_20240611_0006_L_0581.jpg</v>
      </c>
      <c r="G5106" s="92" t="s">
        <v>5484</v>
      </c>
      <c r="I5106">
        <v>4</v>
      </c>
      <c r="K5106" s="57">
        <v>1</v>
      </c>
      <c r="L5106" t="s">
        <v>3959</v>
      </c>
      <c r="M5106" t="s">
        <v>3959</v>
      </c>
      <c r="N5106" t="s">
        <v>3959</v>
      </c>
      <c r="O5106" t="s">
        <v>3959</v>
      </c>
      <c r="P5106" s="57">
        <v>1</v>
      </c>
      <c r="Q5106" s="57">
        <v>0</v>
      </c>
      <c r="R5106" s="57">
        <v>0</v>
      </c>
      <c r="S5106" s="57">
        <v>0</v>
      </c>
      <c r="T5106" s="57">
        <v>0</v>
      </c>
      <c r="U5106" s="57">
        <v>0</v>
      </c>
      <c r="V5106" s="57">
        <v>0</v>
      </c>
      <c r="W5106" s="57">
        <v>0</v>
      </c>
      <c r="X5106" s="57">
        <v>0</v>
      </c>
    </row>
    <row r="5107" spans="1:24" hidden="1" x14ac:dyDescent="0.35">
      <c r="A5107">
        <v>5103</v>
      </c>
      <c r="B5107">
        <v>5104</v>
      </c>
      <c r="C5107">
        <v>146.059957271</v>
      </c>
      <c r="D5107">
        <v>-17.637995900300002</v>
      </c>
      <c r="F5107" t="str">
        <f>HYPERLINK("D:\Data From Lucan\2024\Moresby\Frames_for_Analysis/5104_20240611_0006_L_0583.jpg","5104_20240611_0006_L_0583.jpg")</f>
        <v>5104_20240611_0006_L_0583.jpg</v>
      </c>
      <c r="G5107" s="92" t="s">
        <v>5485</v>
      </c>
      <c r="I5107">
        <v>4</v>
      </c>
      <c r="K5107" s="57">
        <v>1</v>
      </c>
      <c r="L5107" t="s">
        <v>3959</v>
      </c>
      <c r="M5107" t="s">
        <v>3959</v>
      </c>
      <c r="N5107" t="s">
        <v>3959</v>
      </c>
      <c r="O5107" t="s">
        <v>3959</v>
      </c>
      <c r="P5107" s="57">
        <v>1</v>
      </c>
      <c r="Q5107" s="57">
        <v>0</v>
      </c>
      <c r="R5107" s="57">
        <v>0</v>
      </c>
      <c r="S5107" s="57">
        <v>0</v>
      </c>
      <c r="T5107" s="57">
        <v>0</v>
      </c>
      <c r="U5107" s="57">
        <v>0</v>
      </c>
      <c r="V5107" s="57">
        <v>0</v>
      </c>
      <c r="W5107" s="57">
        <v>0</v>
      </c>
      <c r="X5107" s="57">
        <v>0</v>
      </c>
    </row>
    <row r="5108" spans="1:24" hidden="1" x14ac:dyDescent="0.35">
      <c r="A5108">
        <v>5104</v>
      </c>
      <c r="B5108">
        <v>5105</v>
      </c>
      <c r="C5108">
        <v>146.05992512399899</v>
      </c>
      <c r="D5108">
        <v>-17.637915961000001</v>
      </c>
      <c r="F5108" t="str">
        <f>HYPERLINK("D:\Data From Lucan\2024\Moresby\Frames_for_Analysis/5105_20240611_0006_L_0585.jpg","5105_20240611_0006_L_0585.jpg")</f>
        <v>5105_20240611_0006_L_0585.jpg</v>
      </c>
      <c r="G5108" s="92" t="s">
        <v>5486</v>
      </c>
      <c r="I5108">
        <v>4</v>
      </c>
      <c r="K5108" s="57">
        <v>1</v>
      </c>
      <c r="L5108" t="s">
        <v>3959</v>
      </c>
      <c r="M5108" t="s">
        <v>3959</v>
      </c>
      <c r="N5108" t="s">
        <v>3959</v>
      </c>
      <c r="O5108" t="s">
        <v>3959</v>
      </c>
      <c r="P5108" s="57">
        <v>1</v>
      </c>
      <c r="Q5108" s="57">
        <v>0</v>
      </c>
      <c r="R5108" s="57">
        <v>0</v>
      </c>
      <c r="S5108" s="57">
        <v>0</v>
      </c>
      <c r="T5108" s="57">
        <v>2</v>
      </c>
      <c r="U5108" s="57">
        <v>0</v>
      </c>
      <c r="V5108" s="57">
        <v>0</v>
      </c>
      <c r="W5108" s="57">
        <v>0</v>
      </c>
      <c r="X5108" s="57">
        <v>0</v>
      </c>
    </row>
    <row r="5109" spans="1:24" hidden="1" x14ac:dyDescent="0.35">
      <c r="A5109">
        <v>5105</v>
      </c>
      <c r="B5109">
        <v>5106</v>
      </c>
      <c r="C5109">
        <v>146.05990381500001</v>
      </c>
      <c r="D5109">
        <v>-17.637834718099899</v>
      </c>
      <c r="F5109" t="str">
        <f>HYPERLINK("D:\Data From Lucan\2024\Moresby\Frames_for_Analysis/5106_20240611_0006_L_0588.jpg","5106_20240611_0006_L_0588.jpg")</f>
        <v>5106_20240611_0006_L_0588.jpg</v>
      </c>
      <c r="G5109" s="92" t="s">
        <v>5487</v>
      </c>
      <c r="I5109">
        <v>4</v>
      </c>
      <c r="K5109" s="57">
        <v>1</v>
      </c>
      <c r="L5109" t="s">
        <v>3959</v>
      </c>
      <c r="M5109" t="s">
        <v>3959</v>
      </c>
      <c r="N5109" t="s">
        <v>3959</v>
      </c>
      <c r="O5109" t="s">
        <v>3959</v>
      </c>
      <c r="P5109" s="57">
        <v>1</v>
      </c>
      <c r="Q5109" s="57">
        <v>0</v>
      </c>
      <c r="R5109" s="57">
        <v>0</v>
      </c>
      <c r="S5109" s="57">
        <v>0</v>
      </c>
      <c r="T5109" s="57">
        <v>0</v>
      </c>
      <c r="U5109" s="57">
        <v>0</v>
      </c>
      <c r="V5109" s="57">
        <v>0</v>
      </c>
      <c r="W5109" s="57">
        <v>0</v>
      </c>
      <c r="X5109" s="57">
        <v>0</v>
      </c>
    </row>
    <row r="5110" spans="1:24" hidden="1" x14ac:dyDescent="0.35">
      <c r="A5110">
        <v>5106</v>
      </c>
      <c r="B5110">
        <v>5107</v>
      </c>
      <c r="C5110">
        <v>146.05991411599899</v>
      </c>
      <c r="D5110">
        <v>-17.637749674199899</v>
      </c>
      <c r="F5110" t="str">
        <f>HYPERLINK("D:\Data From Lucan\2024\Moresby\Frames_for_Analysis/5107_20240611_0006_L_0590.jpg","5107_20240611_0006_L_0590.jpg")</f>
        <v>5107_20240611_0006_L_0590.jpg</v>
      </c>
      <c r="G5110" s="92" t="s">
        <v>5488</v>
      </c>
      <c r="I5110">
        <v>4</v>
      </c>
      <c r="K5110" s="57">
        <v>1</v>
      </c>
      <c r="L5110" t="s">
        <v>3959</v>
      </c>
      <c r="M5110" t="s">
        <v>3959</v>
      </c>
      <c r="N5110" t="s">
        <v>3959</v>
      </c>
      <c r="O5110" t="s">
        <v>3959</v>
      </c>
      <c r="P5110" s="57">
        <v>1</v>
      </c>
      <c r="Q5110" s="57">
        <v>0</v>
      </c>
      <c r="R5110" s="57">
        <v>0</v>
      </c>
      <c r="S5110" s="57">
        <v>0</v>
      </c>
      <c r="T5110" s="57">
        <v>0</v>
      </c>
      <c r="U5110" s="57">
        <v>0</v>
      </c>
      <c r="V5110" s="57">
        <v>0</v>
      </c>
      <c r="W5110" s="57">
        <v>0</v>
      </c>
      <c r="X5110" s="57">
        <v>0</v>
      </c>
    </row>
    <row r="5111" spans="1:24" hidden="1" x14ac:dyDescent="0.35">
      <c r="A5111">
        <v>5107</v>
      </c>
      <c r="B5111">
        <v>5108</v>
      </c>
      <c r="C5111">
        <v>146.05992441800001</v>
      </c>
      <c r="D5111">
        <v>-17.6376646302</v>
      </c>
      <c r="F5111" t="str">
        <f>HYPERLINK("D:\Data From Lucan\2024\Moresby\Frames_for_Analysis/5108_20240611_0006_L_0593.jpg","5108_20240611_0006_L_0593.jpg")</f>
        <v>5108_20240611_0006_L_0593.jpg</v>
      </c>
      <c r="G5111" s="92" t="s">
        <v>5489</v>
      </c>
      <c r="I5111">
        <v>4</v>
      </c>
      <c r="K5111" s="57">
        <v>1</v>
      </c>
      <c r="L5111" t="s">
        <v>3959</v>
      </c>
      <c r="M5111" t="s">
        <v>3959</v>
      </c>
      <c r="N5111" t="s">
        <v>3959</v>
      </c>
      <c r="O5111" t="s">
        <v>3959</v>
      </c>
      <c r="P5111" s="57">
        <v>1</v>
      </c>
      <c r="Q5111" s="57">
        <v>0</v>
      </c>
      <c r="R5111" s="57">
        <v>0</v>
      </c>
      <c r="S5111" s="57">
        <v>0</v>
      </c>
      <c r="T5111" s="57">
        <v>0</v>
      </c>
      <c r="U5111" s="57">
        <v>0</v>
      </c>
      <c r="V5111" s="57">
        <v>0</v>
      </c>
      <c r="W5111" s="57">
        <v>0</v>
      </c>
      <c r="X5111" s="57">
        <v>0</v>
      </c>
    </row>
    <row r="5112" spans="1:24" hidden="1" x14ac:dyDescent="0.35">
      <c r="A5112">
        <v>5108</v>
      </c>
      <c r="B5112">
        <v>5109</v>
      </c>
      <c r="C5112">
        <v>146.05993471900001</v>
      </c>
      <c r="D5112">
        <v>-17.6375795862999</v>
      </c>
      <c r="F5112" t="str">
        <f>HYPERLINK("D:\Data From Lucan\2024\Moresby\Frames_for_Analysis/5109_20240611_0006_L_0596.jpg","5109_20240611_0006_L_0596.jpg")</f>
        <v>5109_20240611_0006_L_0596.jpg</v>
      </c>
      <c r="G5112" s="92" t="s">
        <v>5490</v>
      </c>
      <c r="I5112">
        <v>4</v>
      </c>
      <c r="K5112" s="57">
        <v>1</v>
      </c>
      <c r="L5112" t="s">
        <v>3959</v>
      </c>
      <c r="M5112" t="s">
        <v>3959</v>
      </c>
      <c r="N5112" t="s">
        <v>3959</v>
      </c>
      <c r="O5112" t="s">
        <v>3959</v>
      </c>
      <c r="P5112" s="57">
        <v>1</v>
      </c>
      <c r="Q5112" s="57">
        <v>0</v>
      </c>
      <c r="R5112" s="57">
        <v>0</v>
      </c>
      <c r="S5112" s="57">
        <v>0</v>
      </c>
      <c r="T5112" s="57">
        <v>0</v>
      </c>
      <c r="U5112" s="57">
        <v>0</v>
      </c>
      <c r="V5112" s="57">
        <v>0</v>
      </c>
      <c r="W5112" s="57">
        <v>0</v>
      </c>
      <c r="X5112" s="57">
        <v>0</v>
      </c>
    </row>
    <row r="5113" spans="1:24" hidden="1" x14ac:dyDescent="0.35">
      <c r="A5113">
        <v>5109</v>
      </c>
      <c r="B5113">
        <v>5110</v>
      </c>
      <c r="C5113">
        <v>146.059945021</v>
      </c>
      <c r="D5113">
        <v>-17.637494542399899</v>
      </c>
      <c r="F5113" t="str">
        <f>HYPERLINK("D:\Data From Lucan\2024\Moresby\Frames_for_Analysis/5110_20240611_0006_L_0599.jpg","5110_20240611_0006_L_0599.jpg")</f>
        <v>5110_20240611_0006_L_0599.jpg</v>
      </c>
      <c r="G5113" s="92" t="s">
        <v>5491</v>
      </c>
      <c r="I5113">
        <v>4</v>
      </c>
      <c r="K5113" s="57">
        <v>1</v>
      </c>
      <c r="L5113" t="s">
        <v>3959</v>
      </c>
      <c r="M5113" t="s">
        <v>3959</v>
      </c>
      <c r="N5113" t="s">
        <v>3959</v>
      </c>
      <c r="O5113" t="s">
        <v>3959</v>
      </c>
      <c r="P5113" s="57">
        <v>1</v>
      </c>
      <c r="Q5113" s="57">
        <v>0</v>
      </c>
      <c r="R5113" s="57">
        <v>0</v>
      </c>
      <c r="S5113" s="57">
        <v>0</v>
      </c>
      <c r="T5113" s="57">
        <v>0</v>
      </c>
      <c r="U5113" s="57">
        <v>0</v>
      </c>
      <c r="V5113" s="57">
        <v>0</v>
      </c>
      <c r="W5113" s="57">
        <v>0</v>
      </c>
      <c r="X5113" s="57">
        <v>0</v>
      </c>
    </row>
    <row r="5114" spans="1:24" hidden="1" x14ac:dyDescent="0.35">
      <c r="A5114">
        <v>5110</v>
      </c>
      <c r="B5114">
        <v>5111</v>
      </c>
      <c r="C5114">
        <v>146.05995532399899</v>
      </c>
      <c r="D5114">
        <v>-17.6374094984</v>
      </c>
      <c r="F5114" t="str">
        <f>HYPERLINK("D:\Data From Lucan\2024\Moresby\Frames_for_Analysis/5111_20240611_0006_L_0602.jpg","5111_20240611_0006_L_0602.jpg")</f>
        <v>5111_20240611_0006_L_0602.jpg</v>
      </c>
      <c r="G5114" s="92" t="s">
        <v>5492</v>
      </c>
      <c r="I5114">
        <v>4</v>
      </c>
      <c r="K5114" s="57">
        <v>1</v>
      </c>
      <c r="L5114" t="s">
        <v>3959</v>
      </c>
      <c r="M5114" t="s">
        <v>3959</v>
      </c>
      <c r="N5114" t="s">
        <v>3959</v>
      </c>
      <c r="O5114" t="s">
        <v>3959</v>
      </c>
      <c r="P5114" s="57">
        <v>1</v>
      </c>
      <c r="Q5114" s="57">
        <v>0</v>
      </c>
      <c r="R5114" s="57">
        <v>0</v>
      </c>
      <c r="S5114" s="57">
        <v>0</v>
      </c>
      <c r="T5114" s="57">
        <v>0</v>
      </c>
      <c r="U5114" s="57">
        <v>0</v>
      </c>
      <c r="V5114" s="57">
        <v>0</v>
      </c>
      <c r="W5114" s="57">
        <v>0</v>
      </c>
      <c r="X5114" s="57">
        <v>0</v>
      </c>
    </row>
    <row r="5115" spans="1:24" hidden="1" x14ac:dyDescent="0.35">
      <c r="A5115">
        <v>5111</v>
      </c>
      <c r="B5115">
        <v>5112</v>
      </c>
      <c r="C5115">
        <v>146.059970018999</v>
      </c>
      <c r="D5115">
        <v>-17.637325112300001</v>
      </c>
      <c r="F5115" t="str">
        <f>HYPERLINK("D:\Data From Lucan\2024\Moresby\Frames_for_Analysis/5112_20240611_0006_L_0605.jpg","5112_20240611_0006_L_0605.jpg")</f>
        <v>5112_20240611_0006_L_0605.jpg</v>
      </c>
      <c r="G5115" s="92" t="s">
        <v>5493</v>
      </c>
      <c r="I5115">
        <v>4</v>
      </c>
      <c r="K5115" s="57">
        <v>1</v>
      </c>
      <c r="L5115" t="s">
        <v>3959</v>
      </c>
      <c r="M5115" t="s">
        <v>3959</v>
      </c>
      <c r="N5115" t="s">
        <v>3959</v>
      </c>
      <c r="O5115" t="s">
        <v>3959</v>
      </c>
      <c r="P5115" s="57">
        <v>1</v>
      </c>
      <c r="Q5115" s="57">
        <v>0</v>
      </c>
      <c r="R5115" s="57">
        <v>0</v>
      </c>
      <c r="S5115" s="57">
        <v>0</v>
      </c>
      <c r="T5115" s="57">
        <v>0</v>
      </c>
      <c r="U5115" s="57">
        <v>0</v>
      </c>
      <c r="V5115" s="57">
        <v>0</v>
      </c>
      <c r="W5115" s="57">
        <v>0</v>
      </c>
      <c r="X5115" s="57">
        <v>0</v>
      </c>
    </row>
    <row r="5116" spans="1:24" hidden="1" x14ac:dyDescent="0.35">
      <c r="A5116">
        <v>5112</v>
      </c>
      <c r="B5116">
        <v>5113</v>
      </c>
      <c r="C5116">
        <v>146.059987581</v>
      </c>
      <c r="D5116">
        <v>-17.6372411553</v>
      </c>
      <c r="F5116" t="str">
        <f>HYPERLINK("D:\Data From Lucan\2024\Moresby\Frames_for_Analysis/5113_20240611_0006_L_0608.jpg","5113_20240611_0006_L_0608.jpg")</f>
        <v>5113_20240611_0006_L_0608.jpg</v>
      </c>
      <c r="G5116" s="92" t="s">
        <v>5494</v>
      </c>
      <c r="I5116">
        <v>4</v>
      </c>
      <c r="K5116" s="57">
        <v>1</v>
      </c>
      <c r="L5116" t="s">
        <v>3959</v>
      </c>
      <c r="M5116" t="s">
        <v>3959</v>
      </c>
      <c r="N5116" t="s">
        <v>3959</v>
      </c>
      <c r="O5116" t="s">
        <v>3959</v>
      </c>
      <c r="P5116" s="57">
        <v>1</v>
      </c>
      <c r="Q5116" s="57">
        <v>0</v>
      </c>
      <c r="R5116" s="57">
        <v>0</v>
      </c>
      <c r="S5116" s="57">
        <v>0</v>
      </c>
      <c r="T5116" s="57">
        <v>0</v>
      </c>
      <c r="U5116" s="57">
        <v>0</v>
      </c>
      <c r="V5116" s="57">
        <v>0</v>
      </c>
      <c r="W5116" s="57">
        <v>0</v>
      </c>
      <c r="X5116" s="57">
        <v>0</v>
      </c>
    </row>
    <row r="5117" spans="1:24" hidden="1" x14ac:dyDescent="0.35">
      <c r="A5117">
        <v>5113</v>
      </c>
      <c r="B5117">
        <v>5114</v>
      </c>
      <c r="C5117">
        <v>146.06000514300001</v>
      </c>
      <c r="D5117">
        <v>-17.637157198400001</v>
      </c>
      <c r="F5117" t="str">
        <f>HYPERLINK("D:\Data From Lucan\2024\Moresby\Frames_for_Analysis/5114_20240611_0006_L_0611.jpg","5114_20240611_0006_L_0611.jpg")</f>
        <v>5114_20240611_0006_L_0611.jpg</v>
      </c>
      <c r="G5117" s="92" t="s">
        <v>5495</v>
      </c>
      <c r="I5117">
        <v>4</v>
      </c>
      <c r="K5117" s="57">
        <v>1</v>
      </c>
      <c r="L5117" t="s">
        <v>3959</v>
      </c>
      <c r="M5117" t="s">
        <v>3959</v>
      </c>
      <c r="N5117" t="s">
        <v>3959</v>
      </c>
      <c r="O5117" t="s">
        <v>3959</v>
      </c>
      <c r="P5117" s="57">
        <v>1</v>
      </c>
      <c r="Q5117" s="57">
        <v>0</v>
      </c>
      <c r="R5117" s="57">
        <v>0</v>
      </c>
      <c r="S5117" s="57">
        <v>0</v>
      </c>
      <c r="T5117" s="57">
        <v>0</v>
      </c>
      <c r="U5117" s="57">
        <v>0</v>
      </c>
      <c r="V5117" s="57">
        <v>0</v>
      </c>
      <c r="W5117" s="57">
        <v>0</v>
      </c>
      <c r="X5117" s="57">
        <v>0</v>
      </c>
    </row>
    <row r="5118" spans="1:24" hidden="1" x14ac:dyDescent="0.35">
      <c r="A5118">
        <v>5114</v>
      </c>
      <c r="B5118">
        <v>5115</v>
      </c>
      <c r="C5118">
        <v>146.06002270600001</v>
      </c>
      <c r="D5118">
        <v>-17.6370732414</v>
      </c>
      <c r="F5118" t="str">
        <f>HYPERLINK("D:\Data From Lucan\2024\Moresby\Frames_for_Analysis/5115_20240611_0006_L_0614.jpg","5115_20240611_0006_L_0614.jpg")</f>
        <v>5115_20240611_0006_L_0614.jpg</v>
      </c>
      <c r="G5118" s="92" t="s">
        <v>5496</v>
      </c>
      <c r="I5118">
        <v>4</v>
      </c>
      <c r="K5118" s="57">
        <v>1</v>
      </c>
      <c r="L5118" t="s">
        <v>3959</v>
      </c>
      <c r="M5118" t="s">
        <v>3959</v>
      </c>
      <c r="N5118" t="s">
        <v>3959</v>
      </c>
      <c r="O5118" t="s">
        <v>3959</v>
      </c>
      <c r="P5118" s="57">
        <v>1</v>
      </c>
      <c r="Q5118" s="57">
        <v>0</v>
      </c>
      <c r="R5118" s="57">
        <v>0</v>
      </c>
      <c r="S5118" s="57">
        <v>0</v>
      </c>
      <c r="T5118" s="57">
        <v>0</v>
      </c>
      <c r="U5118" s="57">
        <v>0</v>
      </c>
      <c r="V5118" s="57">
        <v>0</v>
      </c>
      <c r="W5118" s="57">
        <v>0</v>
      </c>
      <c r="X5118" s="57">
        <v>0</v>
      </c>
    </row>
    <row r="5119" spans="1:24" hidden="1" x14ac:dyDescent="0.35">
      <c r="A5119">
        <v>5115</v>
      </c>
      <c r="B5119">
        <v>5116</v>
      </c>
      <c r="C5119">
        <v>146.060040267999</v>
      </c>
      <c r="D5119">
        <v>-17.6369892843</v>
      </c>
      <c r="F5119" t="str">
        <f>HYPERLINK("D:\Data From Lucan\2024\Moresby\Frames_for_Analysis/5116_20240611_0006_L_0616.jpg","5116_20240611_0006_L_0616.jpg")</f>
        <v>5116_20240611_0006_L_0616.jpg</v>
      </c>
      <c r="G5119" s="92" t="s">
        <v>5497</v>
      </c>
      <c r="I5119">
        <v>4</v>
      </c>
      <c r="K5119" s="57">
        <v>1</v>
      </c>
      <c r="L5119" t="s">
        <v>3959</v>
      </c>
      <c r="M5119" t="s">
        <v>3959</v>
      </c>
      <c r="N5119" t="s">
        <v>3959</v>
      </c>
      <c r="O5119" t="s">
        <v>3959</v>
      </c>
      <c r="P5119" s="57">
        <v>1</v>
      </c>
      <c r="Q5119" s="57">
        <v>0</v>
      </c>
      <c r="R5119" s="57">
        <v>0</v>
      </c>
      <c r="S5119" s="57">
        <v>0</v>
      </c>
      <c r="T5119" s="57">
        <v>0</v>
      </c>
      <c r="U5119" s="57">
        <v>0</v>
      </c>
      <c r="V5119" s="57">
        <v>0</v>
      </c>
      <c r="W5119" s="57">
        <v>0</v>
      </c>
      <c r="X5119" s="57">
        <v>0</v>
      </c>
    </row>
    <row r="5120" spans="1:24" hidden="1" x14ac:dyDescent="0.35">
      <c r="A5120">
        <v>5116</v>
      </c>
      <c r="B5120">
        <v>5117</v>
      </c>
      <c r="C5120">
        <v>146.06005783000001</v>
      </c>
      <c r="D5120">
        <v>-17.636905327200001</v>
      </c>
      <c r="F5120" t="str">
        <f>HYPERLINK("D:\Data From Lucan\2024\Moresby\Frames_for_Analysis/5117_20240611_0006_L_0619.jpg","5117_20240611_0006_L_0619.jpg")</f>
        <v>5117_20240611_0006_L_0619.jpg</v>
      </c>
      <c r="G5120" s="92" t="s">
        <v>5498</v>
      </c>
      <c r="I5120">
        <v>4</v>
      </c>
      <c r="K5120" s="57">
        <v>1</v>
      </c>
      <c r="L5120" t="s">
        <v>3959</v>
      </c>
      <c r="M5120" t="s">
        <v>3959</v>
      </c>
      <c r="N5120" t="s">
        <v>3959</v>
      </c>
      <c r="O5120" t="s">
        <v>3959</v>
      </c>
      <c r="P5120" s="57">
        <v>1</v>
      </c>
      <c r="Q5120" s="57">
        <v>0</v>
      </c>
      <c r="R5120" s="57">
        <v>0</v>
      </c>
      <c r="S5120" s="57">
        <v>0</v>
      </c>
      <c r="T5120" s="57">
        <v>0</v>
      </c>
      <c r="U5120" s="57">
        <v>0</v>
      </c>
      <c r="V5120" s="57">
        <v>0</v>
      </c>
      <c r="W5120" s="57">
        <v>0</v>
      </c>
      <c r="X5120" s="57">
        <v>0</v>
      </c>
    </row>
    <row r="5121" spans="1:24" hidden="1" x14ac:dyDescent="0.35">
      <c r="A5121">
        <v>5117</v>
      </c>
      <c r="B5121">
        <v>5118</v>
      </c>
      <c r="C5121">
        <v>146.06007539199899</v>
      </c>
      <c r="D5121">
        <v>-17.636821370100002</v>
      </c>
      <c r="F5121" t="str">
        <f>HYPERLINK("D:\Data From Lucan\2024\Moresby\Frames_for_Analysis/5118_20240611_0006_L_0622.jpg","5118_20240611_0006_L_0622.jpg")</f>
        <v>5118_20240611_0006_L_0622.jpg</v>
      </c>
      <c r="G5121" s="92" t="s">
        <v>5499</v>
      </c>
      <c r="I5121">
        <v>4</v>
      </c>
      <c r="K5121" s="57">
        <v>1</v>
      </c>
      <c r="L5121" t="s">
        <v>3959</v>
      </c>
      <c r="M5121" t="s">
        <v>3959</v>
      </c>
      <c r="N5121" t="s">
        <v>3959</v>
      </c>
      <c r="O5121" t="s">
        <v>3959</v>
      </c>
      <c r="P5121" s="57">
        <v>1</v>
      </c>
      <c r="Q5121" s="57">
        <v>0</v>
      </c>
      <c r="R5121" s="57">
        <v>0</v>
      </c>
      <c r="S5121" s="57">
        <v>0</v>
      </c>
      <c r="T5121" s="57">
        <v>0</v>
      </c>
      <c r="U5121" s="57">
        <v>0</v>
      </c>
      <c r="V5121" s="57">
        <v>0</v>
      </c>
      <c r="W5121" s="57">
        <v>0</v>
      </c>
      <c r="X5121" s="57">
        <v>0</v>
      </c>
    </row>
    <row r="5122" spans="1:24" hidden="1" x14ac:dyDescent="0.35">
      <c r="A5122">
        <v>5118</v>
      </c>
      <c r="B5122">
        <v>5119</v>
      </c>
      <c r="C5122">
        <v>146.060092953999</v>
      </c>
      <c r="D5122">
        <v>-17.636737412900001</v>
      </c>
      <c r="F5122" t="str">
        <f>HYPERLINK("D:\Data From Lucan\2024\Moresby\Frames_for_Analysis/5119_20240611_0006_L_0624.jpg","5119_20240611_0006_L_0624.jpg")</f>
        <v>5119_20240611_0006_L_0624.jpg</v>
      </c>
      <c r="G5122" s="92" t="s">
        <v>5500</v>
      </c>
      <c r="I5122">
        <v>4</v>
      </c>
      <c r="K5122" s="57">
        <v>1</v>
      </c>
      <c r="L5122" t="s">
        <v>3959</v>
      </c>
      <c r="M5122" t="s">
        <v>3959</v>
      </c>
      <c r="N5122" t="s">
        <v>3959</v>
      </c>
      <c r="O5122" t="s">
        <v>3959</v>
      </c>
      <c r="P5122" s="57">
        <v>1</v>
      </c>
      <c r="Q5122" s="57">
        <v>0</v>
      </c>
      <c r="R5122" s="57">
        <v>0</v>
      </c>
      <c r="S5122" s="57">
        <v>0</v>
      </c>
      <c r="T5122" s="57">
        <v>0</v>
      </c>
      <c r="U5122" s="57">
        <v>0</v>
      </c>
      <c r="V5122" s="57">
        <v>0</v>
      </c>
      <c r="W5122" s="57">
        <v>0</v>
      </c>
      <c r="X5122" s="57">
        <v>0</v>
      </c>
    </row>
    <row r="5123" spans="1:24" hidden="1" x14ac:dyDescent="0.35">
      <c r="A5123">
        <v>5119</v>
      </c>
      <c r="B5123">
        <v>5120</v>
      </c>
      <c r="C5123">
        <v>146.06011051600001</v>
      </c>
      <c r="D5123">
        <v>-17.6366534556999</v>
      </c>
      <c r="F5123" t="str">
        <f>HYPERLINK("D:\Data From Lucan\2024\Moresby\Frames_for_Analysis/5120_20240611_0006_L_0627.jpg","5120_20240611_0006_L_0627.jpg")</f>
        <v>5120_20240611_0006_L_0627.jpg</v>
      </c>
      <c r="G5123" s="92" t="s">
        <v>5501</v>
      </c>
      <c r="I5123">
        <v>4</v>
      </c>
      <c r="K5123" s="57">
        <v>1</v>
      </c>
      <c r="L5123" t="s">
        <v>3959</v>
      </c>
      <c r="M5123" t="s">
        <v>3959</v>
      </c>
      <c r="N5123" t="s">
        <v>3959</v>
      </c>
      <c r="O5123" t="s">
        <v>3959</v>
      </c>
      <c r="P5123" s="57">
        <v>1</v>
      </c>
      <c r="Q5123" s="57">
        <v>0</v>
      </c>
      <c r="R5123" s="57">
        <v>0</v>
      </c>
      <c r="S5123" s="57">
        <v>0</v>
      </c>
      <c r="T5123" s="57">
        <v>0</v>
      </c>
      <c r="U5123" s="57">
        <v>0</v>
      </c>
      <c r="V5123" s="57">
        <v>0</v>
      </c>
      <c r="W5123" s="57">
        <v>0</v>
      </c>
      <c r="X5123" s="57">
        <v>0</v>
      </c>
    </row>
    <row r="5124" spans="1:24" hidden="1" x14ac:dyDescent="0.35">
      <c r="A5124">
        <v>5120</v>
      </c>
      <c r="B5124">
        <v>5121</v>
      </c>
      <c r="C5124">
        <v>146.060128077999</v>
      </c>
      <c r="D5124">
        <v>-17.636569498499899</v>
      </c>
      <c r="F5124" t="str">
        <f>HYPERLINK("D:\Data From Lucan\2024\Moresby\Frames_for_Analysis/5121_20240611_0006_L_0630.jpg","5121_20240611_0006_L_0630.jpg")</f>
        <v>5121_20240611_0006_L_0630.jpg</v>
      </c>
      <c r="G5124" s="92" t="s">
        <v>5502</v>
      </c>
      <c r="I5124">
        <v>4</v>
      </c>
      <c r="K5124" s="57">
        <v>1</v>
      </c>
      <c r="L5124" t="s">
        <v>3959</v>
      </c>
      <c r="M5124" t="s">
        <v>3959</v>
      </c>
      <c r="N5124" t="s">
        <v>3959</v>
      </c>
      <c r="O5124" t="s">
        <v>3959</v>
      </c>
      <c r="P5124" s="57">
        <v>1</v>
      </c>
      <c r="Q5124" s="57">
        <v>0</v>
      </c>
      <c r="R5124" s="57">
        <v>0</v>
      </c>
      <c r="S5124" s="57">
        <v>0</v>
      </c>
      <c r="T5124" s="57">
        <v>0</v>
      </c>
      <c r="U5124" s="57">
        <v>0</v>
      </c>
      <c r="V5124" s="57">
        <v>0</v>
      </c>
      <c r="W5124" s="57">
        <v>0</v>
      </c>
      <c r="X5124" s="57">
        <v>0</v>
      </c>
    </row>
    <row r="5125" spans="1:24" hidden="1" x14ac:dyDescent="0.35">
      <c r="A5125">
        <v>5121</v>
      </c>
      <c r="B5125">
        <v>5122</v>
      </c>
      <c r="C5125">
        <v>146.060145640999</v>
      </c>
      <c r="D5125">
        <v>-17.636485541300001</v>
      </c>
      <c r="F5125" t="str">
        <f>HYPERLINK("D:\Data From Lucan\2024\Moresby\Frames_for_Analysis/5122_20240611_0006_L_0632.jpg","5122_20240611_0006_L_0632.jpg")</f>
        <v>5122_20240611_0006_L_0632.jpg</v>
      </c>
      <c r="G5125" s="92" t="s">
        <v>5503</v>
      </c>
      <c r="I5125">
        <v>4</v>
      </c>
      <c r="K5125" s="57">
        <v>1</v>
      </c>
      <c r="L5125" t="s">
        <v>3959</v>
      </c>
      <c r="M5125" t="s">
        <v>3959</v>
      </c>
      <c r="N5125" t="s">
        <v>3959</v>
      </c>
      <c r="O5125" t="s">
        <v>3959</v>
      </c>
      <c r="P5125" s="57">
        <v>1</v>
      </c>
      <c r="Q5125" s="57">
        <v>0</v>
      </c>
      <c r="R5125" s="57">
        <v>0</v>
      </c>
      <c r="S5125" s="57">
        <v>0</v>
      </c>
      <c r="T5125" s="57">
        <v>0</v>
      </c>
      <c r="U5125" s="57">
        <v>0</v>
      </c>
      <c r="V5125" s="57">
        <v>0</v>
      </c>
      <c r="W5125" s="57">
        <v>0</v>
      </c>
      <c r="X5125" s="57">
        <v>0</v>
      </c>
    </row>
    <row r="5126" spans="1:24" hidden="1" x14ac:dyDescent="0.35">
      <c r="A5126">
        <v>5122</v>
      </c>
      <c r="B5126">
        <v>5123</v>
      </c>
      <c r="C5126">
        <v>146.060170647999</v>
      </c>
      <c r="D5126">
        <v>-17.636403592600001</v>
      </c>
      <c r="F5126" t="str">
        <f>HYPERLINK("D:\Data From Lucan\2024\Moresby\Frames_for_Analysis/5123_20240611_0006_L_0635.jpg","5123_20240611_0006_L_0635.jpg")</f>
        <v>5123_20240611_0006_L_0635.jpg</v>
      </c>
      <c r="G5126" s="92" t="s">
        <v>5504</v>
      </c>
      <c r="I5126">
        <v>4</v>
      </c>
      <c r="K5126" s="57">
        <v>1</v>
      </c>
      <c r="L5126" t="s">
        <v>3959</v>
      </c>
      <c r="M5126" t="s">
        <v>3959</v>
      </c>
      <c r="N5126" t="s">
        <v>3959</v>
      </c>
      <c r="O5126" t="s">
        <v>3959</v>
      </c>
      <c r="P5126" s="57">
        <v>1</v>
      </c>
      <c r="Q5126" s="57">
        <v>0</v>
      </c>
      <c r="R5126" s="57">
        <v>0</v>
      </c>
      <c r="S5126" s="57">
        <v>0</v>
      </c>
      <c r="T5126" s="57">
        <v>0</v>
      </c>
      <c r="U5126" s="57">
        <v>0</v>
      </c>
      <c r="V5126" s="57">
        <v>0</v>
      </c>
      <c r="W5126" s="57">
        <v>0</v>
      </c>
      <c r="X5126" s="57">
        <v>0</v>
      </c>
    </row>
    <row r="5127" spans="1:24" hidden="1" x14ac:dyDescent="0.35">
      <c r="A5127">
        <v>5123</v>
      </c>
      <c r="B5127">
        <v>5124</v>
      </c>
      <c r="C5127">
        <v>146.060201874</v>
      </c>
      <c r="D5127">
        <v>-17.636323321900001</v>
      </c>
      <c r="F5127" t="str">
        <f>HYPERLINK("D:\Data From Lucan\2024\Moresby\Frames_for_Analysis/5124_20240611_0006_L_0638.jpg","5124_20240611_0006_L_0638.jpg")</f>
        <v>5124_20240611_0006_L_0638.jpg</v>
      </c>
      <c r="G5127" s="92" t="s">
        <v>5505</v>
      </c>
      <c r="I5127">
        <v>4</v>
      </c>
      <c r="K5127" s="57">
        <v>1</v>
      </c>
      <c r="L5127" t="s">
        <v>3959</v>
      </c>
      <c r="M5127" t="s">
        <v>3959</v>
      </c>
      <c r="N5127" t="s">
        <v>3959</v>
      </c>
      <c r="O5127" t="s">
        <v>3959</v>
      </c>
      <c r="P5127" s="57">
        <v>1</v>
      </c>
      <c r="Q5127" s="57">
        <v>0</v>
      </c>
      <c r="R5127" s="57">
        <v>0</v>
      </c>
      <c r="S5127" s="57">
        <v>0</v>
      </c>
      <c r="T5127" s="57">
        <v>0</v>
      </c>
      <c r="U5127" s="57">
        <v>0</v>
      </c>
      <c r="V5127" s="57">
        <v>0</v>
      </c>
      <c r="W5127" s="57">
        <v>0</v>
      </c>
      <c r="X5127" s="57">
        <v>0</v>
      </c>
    </row>
    <row r="5128" spans="1:24" hidden="1" x14ac:dyDescent="0.35">
      <c r="A5128">
        <v>5124</v>
      </c>
      <c r="B5128">
        <v>5125</v>
      </c>
      <c r="C5128">
        <v>146.0602331</v>
      </c>
      <c r="D5128">
        <v>-17.636243051200001</v>
      </c>
      <c r="F5128" t="str">
        <f>HYPERLINK("D:\Data From Lucan\2024\Moresby\Frames_for_Analysis/5125_20240611_0006_L_0641.jpg","5125_20240611_0006_L_0641.jpg")</f>
        <v>5125_20240611_0006_L_0641.jpg</v>
      </c>
      <c r="G5128" s="92" t="s">
        <v>5506</v>
      </c>
      <c r="I5128">
        <v>4</v>
      </c>
      <c r="K5128" s="57">
        <v>1</v>
      </c>
      <c r="L5128" t="s">
        <v>3959</v>
      </c>
      <c r="M5128" t="s">
        <v>3959</v>
      </c>
      <c r="N5128" t="s">
        <v>3959</v>
      </c>
      <c r="O5128" t="s">
        <v>3959</v>
      </c>
      <c r="P5128" s="57">
        <v>1</v>
      </c>
      <c r="Q5128" s="57">
        <v>0</v>
      </c>
      <c r="R5128" s="57">
        <v>0</v>
      </c>
      <c r="S5128" s="57">
        <v>0</v>
      </c>
      <c r="T5128" s="57">
        <v>0</v>
      </c>
      <c r="U5128" s="57">
        <v>0</v>
      </c>
      <c r="V5128" s="57">
        <v>0</v>
      </c>
      <c r="W5128" s="57">
        <v>0</v>
      </c>
      <c r="X5128" s="57">
        <v>0</v>
      </c>
    </row>
    <row r="5129" spans="1:24" hidden="1" x14ac:dyDescent="0.35">
      <c r="A5129">
        <v>5125</v>
      </c>
      <c r="B5129">
        <v>5126</v>
      </c>
      <c r="C5129">
        <v>146.060264326999</v>
      </c>
      <c r="D5129">
        <v>-17.6361627803999</v>
      </c>
      <c r="F5129" t="str">
        <f>HYPERLINK("D:\Data From Lucan\2024\Moresby\Frames_for_Analysis/5126_20240611_0006_L_0643.jpg","5126_20240611_0006_L_0643.jpg")</f>
        <v>5126_20240611_0006_L_0643.jpg</v>
      </c>
      <c r="G5129" s="92" t="s">
        <v>5507</v>
      </c>
      <c r="I5129">
        <v>4</v>
      </c>
      <c r="K5129" s="57">
        <v>1</v>
      </c>
      <c r="L5129" t="s">
        <v>3959</v>
      </c>
      <c r="M5129" t="s">
        <v>3959</v>
      </c>
      <c r="N5129" t="s">
        <v>3959</v>
      </c>
      <c r="O5129" t="s">
        <v>3959</v>
      </c>
      <c r="P5129" s="57">
        <v>1</v>
      </c>
      <c r="Q5129" s="57">
        <v>0</v>
      </c>
      <c r="R5129" s="57">
        <v>0</v>
      </c>
      <c r="S5129" s="57">
        <v>0</v>
      </c>
      <c r="T5129" s="57">
        <v>0</v>
      </c>
      <c r="U5129" s="57">
        <v>0</v>
      </c>
      <c r="V5129" s="57">
        <v>0</v>
      </c>
      <c r="W5129" s="57">
        <v>0</v>
      </c>
      <c r="X5129" s="57">
        <v>0</v>
      </c>
    </row>
    <row r="5130" spans="1:24" hidden="1" x14ac:dyDescent="0.35">
      <c r="A5130">
        <v>5126</v>
      </c>
      <c r="B5130">
        <v>5127</v>
      </c>
      <c r="C5130">
        <v>146.060295553</v>
      </c>
      <c r="D5130">
        <v>-17.636082509600001</v>
      </c>
      <c r="F5130" t="str">
        <f>HYPERLINK("D:\Data From Lucan\2024\Moresby\Frames_for_Analysis/5127_20240611_0006_L_0646.jpg","5127_20240611_0006_L_0646.jpg")</f>
        <v>5127_20240611_0006_L_0646.jpg</v>
      </c>
      <c r="G5130" s="92" t="s">
        <v>5508</v>
      </c>
      <c r="I5130">
        <v>4</v>
      </c>
      <c r="K5130" s="57">
        <v>1</v>
      </c>
      <c r="L5130" t="s">
        <v>3959</v>
      </c>
      <c r="M5130" t="s">
        <v>3959</v>
      </c>
      <c r="N5130" t="s">
        <v>3959</v>
      </c>
      <c r="O5130" t="s">
        <v>3959</v>
      </c>
      <c r="P5130" s="57">
        <v>1</v>
      </c>
      <c r="Q5130" s="57">
        <v>0</v>
      </c>
      <c r="R5130" s="57">
        <v>0</v>
      </c>
      <c r="S5130" s="57">
        <v>0</v>
      </c>
      <c r="T5130" s="57">
        <v>0</v>
      </c>
      <c r="U5130" s="57">
        <v>0</v>
      </c>
      <c r="V5130" s="57">
        <v>0</v>
      </c>
      <c r="W5130" s="57">
        <v>0</v>
      </c>
      <c r="X5130" s="57">
        <v>0</v>
      </c>
    </row>
    <row r="5131" spans="1:24" hidden="1" x14ac:dyDescent="0.35">
      <c r="A5131">
        <v>5127</v>
      </c>
      <c r="B5131">
        <v>5128</v>
      </c>
      <c r="C5131">
        <v>146.06032677900001</v>
      </c>
      <c r="D5131">
        <v>-17.636002238700001</v>
      </c>
      <c r="F5131" t="str">
        <f>HYPERLINK("D:\Data From Lucan\2024\Moresby\Frames_for_Analysis/5128_20240611_0006_L_0649.jpg","5128_20240611_0006_L_0649.jpg")</f>
        <v>5128_20240611_0006_L_0649.jpg</v>
      </c>
      <c r="G5131" s="92" t="s">
        <v>5509</v>
      </c>
      <c r="I5131">
        <v>4</v>
      </c>
      <c r="K5131" s="57">
        <v>1</v>
      </c>
      <c r="L5131" t="s">
        <v>3959</v>
      </c>
      <c r="M5131" t="s">
        <v>3959</v>
      </c>
      <c r="N5131" t="s">
        <v>3959</v>
      </c>
      <c r="O5131" t="s">
        <v>3959</v>
      </c>
      <c r="P5131" s="57">
        <v>1</v>
      </c>
      <c r="Q5131" s="57">
        <v>0</v>
      </c>
      <c r="R5131" s="57">
        <v>0</v>
      </c>
      <c r="S5131" s="57">
        <v>0</v>
      </c>
      <c r="T5131" s="57">
        <v>0</v>
      </c>
      <c r="U5131" s="57">
        <v>0</v>
      </c>
      <c r="V5131" s="57">
        <v>0</v>
      </c>
      <c r="W5131" s="57">
        <v>0</v>
      </c>
      <c r="X5131" s="57">
        <v>0</v>
      </c>
    </row>
    <row r="5132" spans="1:24" hidden="1" x14ac:dyDescent="0.35">
      <c r="A5132">
        <v>5128</v>
      </c>
      <c r="B5132">
        <v>5129</v>
      </c>
      <c r="C5132">
        <v>146.06035830100001</v>
      </c>
      <c r="D5132">
        <v>-17.635922089200001</v>
      </c>
      <c r="F5132" t="str">
        <f>HYPERLINK("D:\Data From Lucan\2024\Moresby\Frames_for_Analysis/5129_20240611_0006_L_0652.jpg","5129_20240611_0006_L_0652.jpg")</f>
        <v>5129_20240611_0006_L_0652.jpg</v>
      </c>
      <c r="G5132" s="92" t="s">
        <v>5510</v>
      </c>
      <c r="I5132">
        <v>4</v>
      </c>
      <c r="K5132" s="57">
        <v>1</v>
      </c>
      <c r="L5132" t="s">
        <v>3959</v>
      </c>
      <c r="M5132" t="s">
        <v>3959</v>
      </c>
      <c r="N5132" t="s">
        <v>3959</v>
      </c>
      <c r="O5132" t="s">
        <v>3959</v>
      </c>
      <c r="P5132" s="57">
        <v>1</v>
      </c>
      <c r="Q5132" s="57">
        <v>0</v>
      </c>
      <c r="R5132" s="57">
        <v>0</v>
      </c>
      <c r="S5132" s="57">
        <v>0</v>
      </c>
      <c r="T5132" s="57">
        <v>0</v>
      </c>
      <c r="U5132" s="57">
        <v>0</v>
      </c>
      <c r="V5132" s="57">
        <v>0</v>
      </c>
      <c r="W5132" s="57">
        <v>0</v>
      </c>
      <c r="X5132" s="57">
        <v>0</v>
      </c>
    </row>
    <row r="5133" spans="1:24" hidden="1" x14ac:dyDescent="0.35">
      <c r="A5133">
        <v>5129</v>
      </c>
      <c r="B5133">
        <v>5130</v>
      </c>
      <c r="C5133">
        <v>146.060397991999</v>
      </c>
      <c r="D5133">
        <v>-17.635845289300001</v>
      </c>
      <c r="F5133" t="str">
        <f>HYPERLINK("D:\Data From Lucan\2024\Moresby\Frames_for_Analysis/5130_20240611_0006_L_0655.jpg","5130_20240611_0006_L_0655.jpg")</f>
        <v>5130_20240611_0006_L_0655.jpg</v>
      </c>
      <c r="G5133" s="92" t="s">
        <v>5511</v>
      </c>
      <c r="I5133">
        <v>4</v>
      </c>
      <c r="K5133" s="57">
        <v>1</v>
      </c>
      <c r="L5133" t="s">
        <v>3959</v>
      </c>
      <c r="M5133" t="s">
        <v>3959</v>
      </c>
      <c r="N5133" t="s">
        <v>3959</v>
      </c>
      <c r="O5133" t="s">
        <v>3959</v>
      </c>
      <c r="P5133" s="57">
        <v>1</v>
      </c>
      <c r="Q5133" s="57">
        <v>0</v>
      </c>
      <c r="R5133" s="57">
        <v>0</v>
      </c>
      <c r="S5133" s="57">
        <v>0</v>
      </c>
      <c r="T5133" s="57">
        <v>0</v>
      </c>
      <c r="U5133" s="57">
        <v>0</v>
      </c>
      <c r="V5133" s="57">
        <v>0</v>
      </c>
      <c r="W5133" s="57">
        <v>0</v>
      </c>
      <c r="X5133" s="57">
        <v>0</v>
      </c>
    </row>
    <row r="5134" spans="1:24" hidden="1" x14ac:dyDescent="0.35">
      <c r="A5134">
        <v>5130</v>
      </c>
      <c r="B5134">
        <v>5131</v>
      </c>
      <c r="C5134">
        <v>146.060437683</v>
      </c>
      <c r="D5134">
        <v>-17.6357684894</v>
      </c>
      <c r="F5134" t="str">
        <f>HYPERLINK("D:\Data From Lucan\2024\Moresby\Frames_for_Analysis/5131_20240611_0006_L_0658.jpg","5131_20240611_0006_L_0658.jpg")</f>
        <v>5131_20240611_0006_L_0658.jpg</v>
      </c>
      <c r="G5134" s="92" t="s">
        <v>5512</v>
      </c>
      <c r="I5134">
        <v>4</v>
      </c>
      <c r="K5134" s="57">
        <v>1</v>
      </c>
      <c r="L5134" t="s">
        <v>3959</v>
      </c>
      <c r="M5134" t="s">
        <v>3959</v>
      </c>
      <c r="N5134" t="s">
        <v>3959</v>
      </c>
      <c r="O5134" t="s">
        <v>3959</v>
      </c>
      <c r="P5134" s="57">
        <v>1</v>
      </c>
      <c r="Q5134" s="57">
        <v>0</v>
      </c>
      <c r="R5134" s="57">
        <v>0</v>
      </c>
      <c r="S5134" s="57">
        <v>0</v>
      </c>
      <c r="T5134" s="57">
        <v>0</v>
      </c>
      <c r="U5134" s="57">
        <v>0</v>
      </c>
      <c r="V5134" s="57">
        <v>0</v>
      </c>
      <c r="W5134" s="57">
        <v>0</v>
      </c>
      <c r="X5134" s="57">
        <v>0</v>
      </c>
    </row>
    <row r="5135" spans="1:24" hidden="1" x14ac:dyDescent="0.35">
      <c r="A5135">
        <v>5131</v>
      </c>
      <c r="B5135">
        <v>5132</v>
      </c>
      <c r="C5135">
        <v>146.06047737399899</v>
      </c>
      <c r="D5135">
        <v>-17.635691689400002</v>
      </c>
      <c r="F5135" t="str">
        <f>HYPERLINK("D:\Data From Lucan\2024\Moresby\Frames_for_Analysis/5132_20240611_0006_L_0660.jpg","5132_20240611_0006_L_0660.jpg")</f>
        <v>5132_20240611_0006_L_0660.jpg</v>
      </c>
      <c r="G5135" s="92" t="s">
        <v>5513</v>
      </c>
      <c r="I5135">
        <v>4</v>
      </c>
      <c r="K5135" s="57">
        <v>1</v>
      </c>
      <c r="L5135" t="s">
        <v>3959</v>
      </c>
      <c r="M5135" t="s">
        <v>3959</v>
      </c>
      <c r="N5135" t="s">
        <v>3959</v>
      </c>
      <c r="O5135" t="s">
        <v>3959</v>
      </c>
      <c r="P5135" s="57">
        <v>1</v>
      </c>
      <c r="Q5135" s="57">
        <v>0</v>
      </c>
      <c r="R5135" s="57">
        <v>0</v>
      </c>
      <c r="S5135" s="57">
        <v>0</v>
      </c>
      <c r="T5135" s="57">
        <v>0</v>
      </c>
      <c r="U5135" s="57">
        <v>0</v>
      </c>
      <c r="V5135" s="57">
        <v>0</v>
      </c>
      <c r="W5135" s="57">
        <v>0</v>
      </c>
      <c r="X5135" s="57">
        <v>0</v>
      </c>
    </row>
    <row r="5136" spans="1:24" hidden="1" x14ac:dyDescent="0.35">
      <c r="A5136">
        <v>5132</v>
      </c>
      <c r="B5136">
        <v>5133</v>
      </c>
      <c r="C5136">
        <v>146.060517064999</v>
      </c>
      <c r="D5136">
        <v>-17.6356148893999</v>
      </c>
      <c r="F5136" t="str">
        <f>HYPERLINK("D:\Data From Lucan\2024\Moresby\Frames_for_Analysis/5133_20240611_0006_L_0664.jpg","5133_20240611_0006_L_0664.jpg")</f>
        <v>5133_20240611_0006_L_0664.jpg</v>
      </c>
      <c r="G5136" s="92" t="s">
        <v>5514</v>
      </c>
      <c r="I5136">
        <v>4</v>
      </c>
      <c r="K5136" s="57">
        <v>1</v>
      </c>
      <c r="L5136" t="s">
        <v>3959</v>
      </c>
      <c r="M5136" t="s">
        <v>3959</v>
      </c>
      <c r="N5136" t="s">
        <v>3959</v>
      </c>
      <c r="O5136" t="s">
        <v>3959</v>
      </c>
      <c r="P5136" s="57">
        <v>1</v>
      </c>
      <c r="Q5136" s="57">
        <v>0</v>
      </c>
      <c r="R5136" s="57">
        <v>0</v>
      </c>
      <c r="S5136" s="57">
        <v>0</v>
      </c>
      <c r="T5136" s="57">
        <v>0</v>
      </c>
      <c r="U5136" s="57">
        <v>0</v>
      </c>
      <c r="V5136" s="57">
        <v>0</v>
      </c>
      <c r="W5136" s="57">
        <v>0</v>
      </c>
      <c r="X5136" s="57">
        <v>0</v>
      </c>
    </row>
    <row r="5137" spans="1:24" hidden="1" x14ac:dyDescent="0.35">
      <c r="A5137">
        <v>5133</v>
      </c>
      <c r="B5137">
        <v>5134</v>
      </c>
      <c r="C5137">
        <v>146.06055675600001</v>
      </c>
      <c r="D5137">
        <v>-17.635538089400001</v>
      </c>
      <c r="F5137" t="str">
        <f>HYPERLINK("D:\Data From Lucan\2024\Moresby\Frames_for_Analysis/5134_20240611_0006_L_0667.jpg","5134_20240611_0006_L_0667.jpg")</f>
        <v>5134_20240611_0006_L_0667.jpg</v>
      </c>
      <c r="G5137" s="92" t="s">
        <v>5515</v>
      </c>
      <c r="I5137">
        <v>4</v>
      </c>
      <c r="K5137" s="57">
        <v>1</v>
      </c>
      <c r="L5137" t="s">
        <v>3959</v>
      </c>
      <c r="M5137" t="s">
        <v>3959</v>
      </c>
      <c r="N5137" t="s">
        <v>3959</v>
      </c>
      <c r="O5137" t="s">
        <v>3959</v>
      </c>
      <c r="P5137" s="57">
        <v>1</v>
      </c>
      <c r="Q5137" s="57">
        <v>0</v>
      </c>
      <c r="R5137" s="57">
        <v>0</v>
      </c>
      <c r="S5137" s="57">
        <v>0</v>
      </c>
      <c r="T5137" s="57">
        <v>0</v>
      </c>
      <c r="U5137" s="57">
        <v>0</v>
      </c>
      <c r="V5137" s="57">
        <v>0</v>
      </c>
      <c r="W5137" s="57">
        <v>0</v>
      </c>
      <c r="X5137" s="57">
        <v>0</v>
      </c>
    </row>
    <row r="5138" spans="1:24" hidden="1" x14ac:dyDescent="0.35">
      <c r="A5138">
        <v>5134</v>
      </c>
      <c r="B5138">
        <v>5135</v>
      </c>
      <c r="C5138">
        <v>146.060596446999</v>
      </c>
      <c r="D5138">
        <v>-17.6354612893</v>
      </c>
      <c r="F5138" t="str">
        <f>HYPERLINK("D:\Data From Lucan\2024\Moresby\Frames_for_Analysis/5135_20240611_0006_L_0670.jpg","5135_20240611_0006_L_0670.jpg")</f>
        <v>5135_20240611_0006_L_0670.jpg</v>
      </c>
      <c r="G5138" s="92" t="s">
        <v>5516</v>
      </c>
      <c r="I5138">
        <v>4</v>
      </c>
      <c r="K5138" s="57">
        <v>1</v>
      </c>
      <c r="L5138" t="s">
        <v>3959</v>
      </c>
      <c r="M5138" t="s">
        <v>3959</v>
      </c>
      <c r="N5138" t="s">
        <v>3959</v>
      </c>
      <c r="O5138" t="s">
        <v>3959</v>
      </c>
      <c r="P5138" s="57">
        <v>1</v>
      </c>
      <c r="Q5138" s="57">
        <v>0</v>
      </c>
      <c r="R5138" s="57">
        <v>0</v>
      </c>
      <c r="S5138" s="57">
        <v>0</v>
      </c>
      <c r="T5138" s="57">
        <v>0</v>
      </c>
      <c r="U5138" s="57">
        <v>0</v>
      </c>
      <c r="V5138" s="57">
        <v>0</v>
      </c>
      <c r="W5138" s="57">
        <v>0</v>
      </c>
      <c r="X5138" s="57">
        <v>0</v>
      </c>
    </row>
    <row r="5139" spans="1:24" hidden="1" x14ac:dyDescent="0.35">
      <c r="A5139">
        <v>5135</v>
      </c>
      <c r="B5139">
        <v>5136</v>
      </c>
      <c r="C5139">
        <v>146.06064605200001</v>
      </c>
      <c r="D5139">
        <v>-17.6353907791</v>
      </c>
      <c r="F5139" t="str">
        <f>HYPERLINK("D:\Data From Lucan\2024\Moresby\Frames_for_Analysis/5136_20240611_0006_L_0673.jpg","5136_20240611_0006_L_0673.jpg")</f>
        <v>5136_20240611_0006_L_0673.jpg</v>
      </c>
      <c r="G5139" s="92" t="s">
        <v>5517</v>
      </c>
      <c r="I5139">
        <v>4</v>
      </c>
      <c r="K5139" s="57">
        <v>1</v>
      </c>
      <c r="L5139" t="s">
        <v>3959</v>
      </c>
      <c r="M5139" t="s">
        <v>3959</v>
      </c>
      <c r="N5139" t="s">
        <v>3959</v>
      </c>
      <c r="O5139" t="s">
        <v>3959</v>
      </c>
      <c r="P5139" s="57">
        <v>1</v>
      </c>
      <c r="Q5139" s="57">
        <v>0</v>
      </c>
      <c r="R5139" s="57">
        <v>0</v>
      </c>
      <c r="S5139" s="57">
        <v>0</v>
      </c>
      <c r="T5139" s="57">
        <v>0</v>
      </c>
      <c r="U5139" s="57">
        <v>0</v>
      </c>
      <c r="V5139" s="57">
        <v>0</v>
      </c>
      <c r="W5139" s="57">
        <v>0</v>
      </c>
      <c r="X5139" s="57">
        <v>0</v>
      </c>
    </row>
    <row r="5140" spans="1:24" hidden="1" x14ac:dyDescent="0.35">
      <c r="A5140">
        <v>5136</v>
      </c>
      <c r="B5140">
        <v>5137</v>
      </c>
      <c r="C5140">
        <v>146.060705084999</v>
      </c>
      <c r="D5140">
        <v>-17.635326249999899</v>
      </c>
      <c r="F5140" t="str">
        <f>HYPERLINK("D:\Data From Lucan\2024\Moresby\Frames_for_Analysis/5137_20240611_0006_L_0675.jpg","5137_20240611_0006_L_0675.jpg")</f>
        <v>5137_20240611_0006_L_0675.jpg</v>
      </c>
      <c r="G5140" s="92" t="s">
        <v>5518</v>
      </c>
      <c r="I5140">
        <v>4</v>
      </c>
      <c r="K5140" s="57">
        <v>1</v>
      </c>
      <c r="L5140" t="s">
        <v>3959</v>
      </c>
      <c r="M5140" t="s">
        <v>3959</v>
      </c>
      <c r="N5140" t="s">
        <v>3959</v>
      </c>
      <c r="O5140" t="s">
        <v>3959</v>
      </c>
      <c r="P5140" s="57">
        <v>1</v>
      </c>
      <c r="Q5140" s="57">
        <v>0</v>
      </c>
      <c r="R5140" s="57">
        <v>0</v>
      </c>
      <c r="S5140" s="57">
        <v>0</v>
      </c>
      <c r="T5140" s="57">
        <v>0</v>
      </c>
      <c r="U5140" s="57">
        <v>0</v>
      </c>
      <c r="V5140" s="57">
        <v>0</v>
      </c>
      <c r="W5140" s="57">
        <v>0</v>
      </c>
      <c r="X5140" s="57">
        <v>0</v>
      </c>
    </row>
    <row r="5141" spans="1:24" hidden="1" x14ac:dyDescent="0.35">
      <c r="A5141">
        <v>5137</v>
      </c>
      <c r="B5141">
        <v>5138</v>
      </c>
      <c r="C5141">
        <v>146.06076411800001</v>
      </c>
      <c r="D5141">
        <v>-17.6352617207999</v>
      </c>
      <c r="F5141" t="str">
        <f>HYPERLINK("D:\Data From Lucan\2024\Moresby\Frames_for_Analysis/5138_20240611_0006_L_0678.jpg","5138_20240611_0006_L_0678.jpg")</f>
        <v>5138_20240611_0006_L_0678.jpg</v>
      </c>
      <c r="G5141" s="92" t="s">
        <v>5519</v>
      </c>
      <c r="I5141">
        <v>4</v>
      </c>
      <c r="K5141" s="57">
        <v>1</v>
      </c>
      <c r="L5141" t="s">
        <v>3959</v>
      </c>
      <c r="M5141" t="s">
        <v>3959</v>
      </c>
      <c r="N5141" t="s">
        <v>3959</v>
      </c>
      <c r="O5141" t="s">
        <v>3959</v>
      </c>
      <c r="P5141" s="57">
        <v>1</v>
      </c>
      <c r="Q5141" s="57">
        <v>0</v>
      </c>
      <c r="R5141" s="57">
        <v>0</v>
      </c>
      <c r="S5141" s="57">
        <v>0</v>
      </c>
      <c r="T5141" s="57">
        <v>0</v>
      </c>
      <c r="U5141" s="57">
        <v>0</v>
      </c>
      <c r="V5141" s="57">
        <v>0</v>
      </c>
      <c r="W5141" s="57">
        <v>0</v>
      </c>
      <c r="X5141" s="57">
        <v>0</v>
      </c>
    </row>
    <row r="5142" spans="1:24" hidden="1" x14ac:dyDescent="0.35">
      <c r="A5142">
        <v>5138</v>
      </c>
      <c r="B5142">
        <v>5139</v>
      </c>
      <c r="C5142">
        <v>146.060823150999</v>
      </c>
      <c r="D5142">
        <v>-17.635197191700001</v>
      </c>
      <c r="F5142" t="str">
        <f>HYPERLINK("D:\Data From Lucan\2024\Moresby\Frames_for_Analysis/5139_20240611_0006_L_0681.jpg","5139_20240611_0006_L_0681.jpg")</f>
        <v>5139_20240611_0006_L_0681.jpg</v>
      </c>
      <c r="G5142" s="92" t="s">
        <v>5520</v>
      </c>
      <c r="I5142">
        <v>4</v>
      </c>
      <c r="K5142" s="57">
        <v>1</v>
      </c>
      <c r="L5142" t="s">
        <v>3959</v>
      </c>
      <c r="M5142" t="s">
        <v>3959</v>
      </c>
      <c r="N5142" t="s">
        <v>3959</v>
      </c>
      <c r="O5142" t="s">
        <v>3959</v>
      </c>
      <c r="P5142" s="57">
        <v>1</v>
      </c>
      <c r="Q5142" s="57">
        <v>0</v>
      </c>
      <c r="R5142" s="57">
        <v>0</v>
      </c>
      <c r="S5142" s="57">
        <v>0</v>
      </c>
      <c r="T5142" s="57">
        <v>0</v>
      </c>
      <c r="U5142" s="57">
        <v>0</v>
      </c>
      <c r="V5142" s="57">
        <v>0</v>
      </c>
      <c r="W5142" s="57">
        <v>0</v>
      </c>
      <c r="X5142" s="57">
        <v>0</v>
      </c>
    </row>
    <row r="5143" spans="1:24" hidden="1" x14ac:dyDescent="0.35">
      <c r="A5143">
        <v>5139</v>
      </c>
      <c r="B5143">
        <v>5140</v>
      </c>
      <c r="C5143">
        <v>146.06088218400001</v>
      </c>
      <c r="D5143">
        <v>-17.635132662499899</v>
      </c>
      <c r="F5143" t="str">
        <f>HYPERLINK("D:\Data From Lucan\2024\Moresby\Frames_for_Analysis/5140_20240611_0006_L_0684.jpg","5140_20240611_0006_L_0684.jpg")</f>
        <v>5140_20240611_0006_L_0684.jpg</v>
      </c>
      <c r="G5143" s="92" t="s">
        <v>5521</v>
      </c>
      <c r="I5143">
        <v>4</v>
      </c>
      <c r="K5143" s="57">
        <v>1</v>
      </c>
      <c r="L5143" t="s">
        <v>3959</v>
      </c>
      <c r="M5143" t="s">
        <v>3959</v>
      </c>
      <c r="N5143" t="s">
        <v>3959</v>
      </c>
      <c r="O5143" t="s">
        <v>3959</v>
      </c>
      <c r="P5143" s="57">
        <v>1</v>
      </c>
      <c r="Q5143" s="57">
        <v>0</v>
      </c>
      <c r="R5143" s="57">
        <v>0</v>
      </c>
      <c r="S5143" s="57">
        <v>0</v>
      </c>
      <c r="T5143" s="57">
        <v>0</v>
      </c>
      <c r="U5143" s="57">
        <v>0</v>
      </c>
      <c r="V5143" s="57">
        <v>0</v>
      </c>
      <c r="W5143" s="57">
        <v>0</v>
      </c>
      <c r="X5143" s="57">
        <v>0</v>
      </c>
    </row>
    <row r="5144" spans="1:24" hidden="1" x14ac:dyDescent="0.35">
      <c r="A5144">
        <v>5140</v>
      </c>
      <c r="B5144">
        <v>5141</v>
      </c>
      <c r="C5144">
        <v>146.060941216999</v>
      </c>
      <c r="D5144">
        <v>-17.6350681332999</v>
      </c>
      <c r="F5144" t="str">
        <f>HYPERLINK("D:\Data From Lucan\2024\Moresby\Frames_for_Analysis/5141_20240611_0006_L_0686.jpg","5141_20240611_0006_L_0686.jpg")</f>
        <v>5141_20240611_0006_L_0686.jpg</v>
      </c>
      <c r="G5144" s="92" t="s">
        <v>5522</v>
      </c>
      <c r="I5144">
        <v>4</v>
      </c>
      <c r="K5144" s="57">
        <v>1</v>
      </c>
      <c r="L5144" t="s">
        <v>3959</v>
      </c>
      <c r="M5144" t="s">
        <v>3959</v>
      </c>
      <c r="N5144" t="s">
        <v>3959</v>
      </c>
      <c r="O5144" t="s">
        <v>3959</v>
      </c>
      <c r="P5144" s="57">
        <v>1</v>
      </c>
      <c r="Q5144" s="57">
        <v>0</v>
      </c>
      <c r="R5144" s="57">
        <v>0</v>
      </c>
      <c r="S5144" s="57">
        <v>0</v>
      </c>
      <c r="T5144" s="57">
        <v>0</v>
      </c>
      <c r="U5144" s="57">
        <v>0</v>
      </c>
      <c r="V5144" s="57">
        <v>0</v>
      </c>
      <c r="W5144" s="57">
        <v>0</v>
      </c>
      <c r="X5144" s="57">
        <v>0</v>
      </c>
    </row>
    <row r="5145" spans="1:24" hidden="1" x14ac:dyDescent="0.35">
      <c r="A5145">
        <v>5141</v>
      </c>
      <c r="B5145">
        <v>5142</v>
      </c>
      <c r="C5145">
        <v>146.060997455999</v>
      </c>
      <c r="D5145">
        <v>-17.635001626600001</v>
      </c>
      <c r="F5145" t="str">
        <f>HYPERLINK("D:\Data From Lucan\2024\Moresby\Frames_for_Analysis/5142_20240611_0006_L_0689.jpg","5142_20240611_0006_L_0689.jpg")</f>
        <v>5142_20240611_0006_L_0689.jpg</v>
      </c>
      <c r="G5145" s="92" t="s">
        <v>5523</v>
      </c>
      <c r="I5145">
        <v>4</v>
      </c>
      <c r="K5145" s="57">
        <v>1</v>
      </c>
      <c r="L5145" t="s">
        <v>3959</v>
      </c>
      <c r="M5145" t="s">
        <v>3959</v>
      </c>
      <c r="N5145" t="s">
        <v>3959</v>
      </c>
      <c r="O5145" t="s">
        <v>3959</v>
      </c>
      <c r="P5145" s="57">
        <v>1</v>
      </c>
      <c r="Q5145" s="57">
        <v>0</v>
      </c>
      <c r="R5145" s="57">
        <v>0</v>
      </c>
      <c r="S5145" s="57">
        <v>0</v>
      </c>
      <c r="T5145" s="57">
        <v>0</v>
      </c>
      <c r="U5145" s="57">
        <v>0</v>
      </c>
      <c r="V5145" s="57">
        <v>0</v>
      </c>
      <c r="W5145" s="57">
        <v>0</v>
      </c>
      <c r="X5145" s="57">
        <v>0</v>
      </c>
    </row>
    <row r="5146" spans="1:24" hidden="1" x14ac:dyDescent="0.35">
      <c r="A5146">
        <v>5142</v>
      </c>
      <c r="B5146">
        <v>5143</v>
      </c>
      <c r="C5146">
        <v>146.061045234999</v>
      </c>
      <c r="D5146">
        <v>-17.6349291298</v>
      </c>
      <c r="F5146" t="str">
        <f>HYPERLINK("D:\Data From Lucan\2024\Moresby\Frames_for_Analysis/5143_20240611_0006_L_0692.jpg","5143_20240611_0006_L_0692.jpg")</f>
        <v>5143_20240611_0006_L_0692.jpg</v>
      </c>
      <c r="G5146" s="92" t="s">
        <v>5524</v>
      </c>
      <c r="I5146">
        <v>4</v>
      </c>
      <c r="K5146" s="57">
        <v>1</v>
      </c>
      <c r="L5146" t="s">
        <v>3959</v>
      </c>
      <c r="M5146" t="s">
        <v>3959</v>
      </c>
      <c r="N5146" t="s">
        <v>3959</v>
      </c>
      <c r="O5146" t="s">
        <v>3959</v>
      </c>
      <c r="P5146" s="57">
        <v>1</v>
      </c>
      <c r="Q5146" s="57">
        <v>0</v>
      </c>
      <c r="R5146" s="57">
        <v>0</v>
      </c>
      <c r="S5146" s="57">
        <v>0</v>
      </c>
      <c r="T5146" s="57">
        <v>0</v>
      </c>
      <c r="U5146" s="57">
        <v>0</v>
      </c>
      <c r="V5146" s="57">
        <v>0</v>
      </c>
      <c r="W5146" s="57">
        <v>0</v>
      </c>
      <c r="X5146" s="57">
        <v>0</v>
      </c>
    </row>
    <row r="5147" spans="1:24" hidden="1" x14ac:dyDescent="0.35">
      <c r="A5147">
        <v>5143</v>
      </c>
      <c r="B5147">
        <v>5144</v>
      </c>
      <c r="C5147">
        <v>146.061093013999</v>
      </c>
      <c r="D5147">
        <v>-17.6348566329</v>
      </c>
      <c r="F5147" t="str">
        <f>HYPERLINK("D:\Data From Lucan\2024\Moresby\Frames_for_Analysis/5144_20240611_0006_L_0696.jpg","5144_20240611_0006_L_0696.jpg")</f>
        <v>5144_20240611_0006_L_0696.jpg</v>
      </c>
      <c r="G5147" s="92" t="s">
        <v>5525</v>
      </c>
      <c r="I5147">
        <v>4</v>
      </c>
      <c r="K5147" s="57">
        <v>1</v>
      </c>
      <c r="L5147" t="s">
        <v>3959</v>
      </c>
      <c r="M5147" t="s">
        <v>3959</v>
      </c>
      <c r="N5147" t="s">
        <v>3959</v>
      </c>
      <c r="O5147" t="s">
        <v>3959</v>
      </c>
      <c r="P5147" s="57">
        <v>1</v>
      </c>
      <c r="Q5147" s="57">
        <v>0</v>
      </c>
      <c r="R5147" s="57">
        <v>0</v>
      </c>
      <c r="S5147" s="57">
        <v>0</v>
      </c>
      <c r="T5147" s="57">
        <v>0</v>
      </c>
      <c r="U5147" s="57">
        <v>0</v>
      </c>
      <c r="V5147" s="57">
        <v>0</v>
      </c>
      <c r="W5147" s="57">
        <v>0</v>
      </c>
      <c r="X5147" s="57">
        <v>0</v>
      </c>
    </row>
    <row r="5148" spans="1:24" hidden="1" x14ac:dyDescent="0.35">
      <c r="A5148">
        <v>5144</v>
      </c>
      <c r="B5148">
        <v>5145</v>
      </c>
      <c r="C5148">
        <v>146.06115050099899</v>
      </c>
      <c r="D5148">
        <v>-17.634790963099899</v>
      </c>
      <c r="F5148" t="str">
        <f>HYPERLINK("D:\Data From Lucan\2024\Moresby\Frames_for_Analysis/5145_20240611_0006_L_0704.jpg","5145_20240611_0006_L_0704.jpg")</f>
        <v>5145_20240611_0006_L_0704.jpg</v>
      </c>
      <c r="G5148" s="92" t="s">
        <v>5526</v>
      </c>
      <c r="I5148">
        <v>4</v>
      </c>
      <c r="K5148" s="57">
        <v>1</v>
      </c>
      <c r="L5148" t="s">
        <v>3959</v>
      </c>
      <c r="M5148" t="s">
        <v>3959</v>
      </c>
      <c r="N5148" t="s">
        <v>3959</v>
      </c>
      <c r="O5148" t="s">
        <v>3959</v>
      </c>
      <c r="P5148" s="57">
        <v>1</v>
      </c>
      <c r="Q5148" s="57">
        <v>0</v>
      </c>
      <c r="R5148" s="57">
        <v>0</v>
      </c>
      <c r="S5148" s="57">
        <v>0</v>
      </c>
      <c r="T5148" s="57">
        <v>0</v>
      </c>
      <c r="U5148" s="57">
        <v>0</v>
      </c>
      <c r="V5148" s="57">
        <v>0</v>
      </c>
      <c r="W5148" s="57">
        <v>0</v>
      </c>
      <c r="X5148" s="57">
        <v>0</v>
      </c>
    </row>
    <row r="5149" spans="1:24" hidden="1" x14ac:dyDescent="0.35">
      <c r="A5149">
        <v>5145</v>
      </c>
      <c r="B5149">
        <v>5146</v>
      </c>
      <c r="C5149">
        <v>146.06117950999899</v>
      </c>
      <c r="D5149">
        <v>-17.634712008800001</v>
      </c>
      <c r="F5149" t="str">
        <f>HYPERLINK("D:\Data From Lucan\2024\Moresby\Frames_for_Analysis/5146_20240611_0006_L_0708.jpg","5146_20240611_0006_L_0708.jpg")</f>
        <v>5146_20240611_0006_L_0708.jpg</v>
      </c>
      <c r="G5149" s="92" t="s">
        <v>5527</v>
      </c>
      <c r="I5149">
        <v>4</v>
      </c>
      <c r="K5149" s="57">
        <v>1</v>
      </c>
      <c r="L5149" t="s">
        <v>3959</v>
      </c>
      <c r="M5149" t="s">
        <v>3959</v>
      </c>
      <c r="N5149" t="s">
        <v>3959</v>
      </c>
      <c r="O5149" t="s">
        <v>3959</v>
      </c>
      <c r="P5149" s="57">
        <v>1</v>
      </c>
      <c r="Q5149" s="57">
        <v>0</v>
      </c>
      <c r="R5149" s="57">
        <v>0</v>
      </c>
      <c r="S5149" s="57">
        <v>0</v>
      </c>
      <c r="T5149" s="57">
        <v>0</v>
      </c>
      <c r="U5149" s="57">
        <v>0</v>
      </c>
      <c r="V5149" s="57">
        <v>0</v>
      </c>
      <c r="W5149" s="57">
        <v>0</v>
      </c>
      <c r="X5149" s="57">
        <v>0</v>
      </c>
    </row>
    <row r="5150" spans="1:24" hidden="1" x14ac:dyDescent="0.35">
      <c r="A5150">
        <v>5146</v>
      </c>
      <c r="B5150">
        <v>5147</v>
      </c>
      <c r="C5150">
        <v>146.06119865700001</v>
      </c>
      <c r="D5150">
        <v>-17.634628365800001</v>
      </c>
      <c r="F5150" t="str">
        <f>HYPERLINK("D:\Data From Lucan\2024\Moresby\Frames_for_Analysis/5147_20240611_0006_L_0714.jpg","5147_20240611_0006_L_0714.jpg")</f>
        <v>5147_20240611_0006_L_0714.jpg</v>
      </c>
      <c r="G5150" s="92" t="s">
        <v>5528</v>
      </c>
      <c r="I5150">
        <v>4</v>
      </c>
      <c r="K5150" s="57">
        <v>1</v>
      </c>
      <c r="L5150" t="s">
        <v>3959</v>
      </c>
      <c r="M5150" t="s">
        <v>3959</v>
      </c>
      <c r="N5150" t="s">
        <v>3959</v>
      </c>
      <c r="O5150" t="s">
        <v>3959</v>
      </c>
      <c r="P5150" s="57">
        <v>1</v>
      </c>
      <c r="Q5150" s="57">
        <v>0</v>
      </c>
      <c r="R5150" s="57">
        <v>0</v>
      </c>
      <c r="S5150" s="57">
        <v>0</v>
      </c>
      <c r="T5150" s="57">
        <v>0</v>
      </c>
      <c r="U5150" s="57">
        <v>0</v>
      </c>
      <c r="V5150" s="57">
        <v>0</v>
      </c>
      <c r="W5150" s="57">
        <v>0</v>
      </c>
      <c r="X5150" s="57">
        <v>0</v>
      </c>
    </row>
    <row r="5151" spans="1:24" hidden="1" x14ac:dyDescent="0.35">
      <c r="A5151">
        <v>5147</v>
      </c>
      <c r="B5151">
        <v>5148</v>
      </c>
      <c r="C5151">
        <v>146.06118840400001</v>
      </c>
      <c r="D5151">
        <v>-17.6345434897</v>
      </c>
      <c r="F5151" t="str">
        <f>HYPERLINK("D:\Data From Lucan\2024\Moresby\Frames_for_Analysis/5148_20240611_0006_L_0725.jpg","5148_20240611_0006_L_0725.jpg")</f>
        <v>5148_20240611_0006_L_0725.jpg</v>
      </c>
      <c r="G5151" s="92" t="s">
        <v>5529</v>
      </c>
      <c r="I5151">
        <v>4</v>
      </c>
      <c r="K5151" s="57">
        <v>1</v>
      </c>
      <c r="L5151" t="s">
        <v>3959</v>
      </c>
      <c r="M5151" t="s">
        <v>3959</v>
      </c>
      <c r="N5151" t="s">
        <v>3959</v>
      </c>
      <c r="O5151" t="s">
        <v>3959</v>
      </c>
      <c r="P5151" s="57">
        <v>1</v>
      </c>
      <c r="Q5151" s="57">
        <v>0</v>
      </c>
      <c r="R5151" s="57">
        <v>0</v>
      </c>
      <c r="S5151" s="57">
        <v>0</v>
      </c>
      <c r="T5151" s="57">
        <v>0</v>
      </c>
      <c r="U5151" s="57">
        <v>0</v>
      </c>
      <c r="V5151" s="57">
        <v>0</v>
      </c>
      <c r="W5151" s="57">
        <v>0</v>
      </c>
      <c r="X5151" s="57">
        <v>0</v>
      </c>
    </row>
    <row r="5152" spans="1:24" hidden="1" x14ac:dyDescent="0.35">
      <c r="A5152">
        <v>5148</v>
      </c>
      <c r="B5152">
        <v>5149</v>
      </c>
      <c r="C5152">
        <v>146.061171457</v>
      </c>
      <c r="D5152">
        <v>-17.634462996100002</v>
      </c>
      <c r="F5152" t="str">
        <f>HYPERLINK("D:\Data From Lucan\2024\Moresby\Frames_for_Analysis/5149_20240611_0006_L_0733.jpg","5149_20240611_0006_L_0733.jpg")</f>
        <v>5149_20240611_0006_L_0733.jpg</v>
      </c>
      <c r="G5152" s="92" t="s">
        <v>5530</v>
      </c>
      <c r="I5152">
        <v>4</v>
      </c>
      <c r="K5152" s="57">
        <v>1</v>
      </c>
      <c r="L5152" t="s">
        <v>3959</v>
      </c>
      <c r="M5152" t="s">
        <v>3959</v>
      </c>
      <c r="N5152" t="s">
        <v>3959</v>
      </c>
      <c r="O5152" t="s">
        <v>3959</v>
      </c>
      <c r="P5152" s="57">
        <v>1</v>
      </c>
      <c r="Q5152" s="57">
        <v>0</v>
      </c>
      <c r="R5152" s="57">
        <v>0</v>
      </c>
      <c r="S5152" s="57">
        <v>0</v>
      </c>
      <c r="T5152" s="57">
        <v>0</v>
      </c>
      <c r="U5152" s="57">
        <v>0</v>
      </c>
      <c r="V5152" s="57">
        <v>0</v>
      </c>
      <c r="W5152" s="57">
        <v>0</v>
      </c>
      <c r="X5152" s="57">
        <v>0</v>
      </c>
    </row>
    <row r="5153" spans="1:24" hidden="1" x14ac:dyDescent="0.35">
      <c r="A5153">
        <v>5149</v>
      </c>
      <c r="B5153">
        <v>5150</v>
      </c>
      <c r="C5153">
        <v>146.06108589600001</v>
      </c>
      <c r="D5153">
        <v>-17.634436911200002</v>
      </c>
      <c r="F5153" t="str">
        <f>HYPERLINK("D:\Data From Lucan\2024\Moresby\Frames_for_Analysis/5150_20240611_0006_L_0745.jpg","5150_20240611_0006_L_0745.jpg")</f>
        <v>5150_20240611_0006_L_0745.jpg</v>
      </c>
      <c r="G5153" s="92" t="s">
        <v>5531</v>
      </c>
      <c r="I5153">
        <v>4</v>
      </c>
      <c r="K5153" s="57">
        <v>1</v>
      </c>
      <c r="L5153" t="s">
        <v>3959</v>
      </c>
      <c r="M5153" t="s">
        <v>3959</v>
      </c>
      <c r="N5153" t="s">
        <v>3959</v>
      </c>
      <c r="O5153" t="s">
        <v>3959</v>
      </c>
      <c r="P5153" s="57">
        <v>1</v>
      </c>
      <c r="Q5153" s="57">
        <v>0</v>
      </c>
      <c r="R5153" s="57">
        <v>0</v>
      </c>
      <c r="S5153" s="57">
        <v>0</v>
      </c>
      <c r="T5153" s="57">
        <v>0</v>
      </c>
      <c r="U5153" s="57">
        <v>0</v>
      </c>
      <c r="V5153" s="57">
        <v>0</v>
      </c>
      <c r="W5153" s="57">
        <v>0</v>
      </c>
      <c r="X5153" s="57">
        <v>0</v>
      </c>
    </row>
    <row r="5154" spans="1:24" hidden="1" x14ac:dyDescent="0.35">
      <c r="A5154">
        <v>5150</v>
      </c>
      <c r="B5154">
        <v>5151</v>
      </c>
      <c r="C5154">
        <v>146.06100033600001</v>
      </c>
      <c r="D5154">
        <v>-17.634410826300002</v>
      </c>
      <c r="F5154" t="str">
        <f>HYPERLINK("D:\Data From Lucan\2024\Moresby\Frames_for_Analysis/5151_20240611_0006_L_0750.jpg","5151_20240611_0006_L_0750.jpg")</f>
        <v>5151_20240611_0006_L_0750.jpg</v>
      </c>
      <c r="G5154" s="92" t="s">
        <v>5532</v>
      </c>
      <c r="I5154">
        <v>4</v>
      </c>
      <c r="K5154" s="57">
        <v>1</v>
      </c>
      <c r="L5154" t="s">
        <v>3959</v>
      </c>
      <c r="M5154" t="s">
        <v>3959</v>
      </c>
      <c r="N5154" t="s">
        <v>3959</v>
      </c>
      <c r="O5154" t="s">
        <v>3959</v>
      </c>
      <c r="P5154" s="57">
        <v>1</v>
      </c>
      <c r="Q5154" s="57">
        <v>0</v>
      </c>
      <c r="R5154" s="57">
        <v>0</v>
      </c>
      <c r="S5154" s="57">
        <v>0</v>
      </c>
      <c r="T5154" s="57">
        <v>0</v>
      </c>
      <c r="U5154" s="57">
        <v>0</v>
      </c>
      <c r="V5154" s="57">
        <v>0</v>
      </c>
      <c r="W5154" s="57">
        <v>0</v>
      </c>
      <c r="X5154" s="57">
        <v>0</v>
      </c>
    </row>
    <row r="5155" spans="1:24" hidden="1" x14ac:dyDescent="0.35">
      <c r="A5155">
        <v>5151</v>
      </c>
      <c r="B5155">
        <v>5152</v>
      </c>
      <c r="C5155">
        <v>146.060912196</v>
      </c>
      <c r="D5155">
        <v>-17.6344270759</v>
      </c>
      <c r="F5155" t="str">
        <f>HYPERLINK("D:\Data From Lucan\2024\Moresby\Frames_for_Analysis/5152_20240611_0006_L_0754.jpg","5152_20240611_0006_L_0754.jpg")</f>
        <v>5152_20240611_0006_L_0754.jpg</v>
      </c>
      <c r="G5155" s="92" t="s">
        <v>5533</v>
      </c>
      <c r="I5155">
        <v>4</v>
      </c>
      <c r="K5155" s="57">
        <v>1</v>
      </c>
      <c r="L5155" t="s">
        <v>3959</v>
      </c>
      <c r="M5155" t="s">
        <v>3959</v>
      </c>
      <c r="N5155" t="s">
        <v>3959</v>
      </c>
      <c r="O5155" t="s">
        <v>3959</v>
      </c>
      <c r="P5155" s="57">
        <v>1</v>
      </c>
      <c r="Q5155" s="57">
        <v>0</v>
      </c>
      <c r="R5155" s="57">
        <v>0</v>
      </c>
      <c r="S5155" s="57">
        <v>0</v>
      </c>
      <c r="T5155" s="57">
        <v>0</v>
      </c>
      <c r="U5155" s="57">
        <v>0</v>
      </c>
      <c r="V5155" s="57">
        <v>0</v>
      </c>
      <c r="W5155" s="57">
        <v>0</v>
      </c>
      <c r="X5155" s="57">
        <v>0</v>
      </c>
    </row>
    <row r="5156" spans="1:24" hidden="1" x14ac:dyDescent="0.35">
      <c r="A5156">
        <v>5152</v>
      </c>
      <c r="B5156">
        <v>5153</v>
      </c>
      <c r="C5156">
        <v>146.06082404200001</v>
      </c>
      <c r="D5156">
        <v>-17.634443544900002</v>
      </c>
      <c r="F5156" t="str">
        <f>HYPERLINK("D:\Data From Lucan\2024\Moresby\Frames_for_Analysis/5153_20240611_0006_L_0758.jpg","5153_20240611_0006_L_0758.jpg")</f>
        <v>5153_20240611_0006_L_0758.jpg</v>
      </c>
      <c r="G5156" s="92" t="s">
        <v>5534</v>
      </c>
      <c r="I5156">
        <v>4</v>
      </c>
      <c r="K5156" s="57">
        <v>1</v>
      </c>
      <c r="L5156" t="s">
        <v>3959</v>
      </c>
      <c r="M5156" t="s">
        <v>3959</v>
      </c>
      <c r="N5156" t="s">
        <v>3959</v>
      </c>
      <c r="O5156" t="s">
        <v>3959</v>
      </c>
      <c r="P5156" s="57">
        <v>1</v>
      </c>
      <c r="Q5156" s="57">
        <v>0</v>
      </c>
      <c r="R5156" s="57">
        <v>0</v>
      </c>
      <c r="S5156" s="57">
        <v>0</v>
      </c>
      <c r="T5156" s="57">
        <v>0</v>
      </c>
      <c r="U5156" s="57">
        <v>0</v>
      </c>
      <c r="V5156" s="57">
        <v>0</v>
      </c>
      <c r="W5156" s="57">
        <v>0</v>
      </c>
      <c r="X5156" s="57">
        <v>0</v>
      </c>
    </row>
    <row r="5157" spans="1:24" hidden="1" x14ac:dyDescent="0.35">
      <c r="A5157">
        <v>5153</v>
      </c>
      <c r="B5157">
        <v>5154</v>
      </c>
      <c r="C5157">
        <v>146.060735889</v>
      </c>
      <c r="D5157">
        <v>-17.6344600139</v>
      </c>
      <c r="F5157" t="str">
        <f>HYPERLINK("D:\Data From Lucan\2024\Moresby\Frames_for_Analysis/5154_20240611_0006_L_0761.jpg","5154_20240611_0006_L_0761.jpg")</f>
        <v>5154_20240611_0006_L_0761.jpg</v>
      </c>
      <c r="G5157" s="92" t="s">
        <v>5535</v>
      </c>
      <c r="I5157">
        <v>4</v>
      </c>
      <c r="K5157" s="57">
        <v>1</v>
      </c>
      <c r="L5157" t="s">
        <v>3959</v>
      </c>
      <c r="M5157" t="s">
        <v>3959</v>
      </c>
      <c r="N5157" t="s">
        <v>3959</v>
      </c>
      <c r="O5157" t="s">
        <v>3959</v>
      </c>
      <c r="P5157" s="57">
        <v>1</v>
      </c>
      <c r="Q5157" s="57">
        <v>0</v>
      </c>
      <c r="R5157" s="57">
        <v>0</v>
      </c>
      <c r="S5157" s="57">
        <v>0</v>
      </c>
      <c r="T5157" s="57">
        <v>0</v>
      </c>
      <c r="U5157" s="57">
        <v>0</v>
      </c>
      <c r="V5157" s="57">
        <v>0</v>
      </c>
      <c r="W5157" s="57">
        <v>0</v>
      </c>
      <c r="X5157" s="57">
        <v>0</v>
      </c>
    </row>
    <row r="5158" spans="1:24" hidden="1" x14ac:dyDescent="0.35">
      <c r="A5158">
        <v>5154</v>
      </c>
      <c r="B5158">
        <v>5155</v>
      </c>
      <c r="C5158">
        <v>146.06064952899899</v>
      </c>
      <c r="D5158">
        <v>-17.6344833687</v>
      </c>
      <c r="F5158" t="str">
        <f>HYPERLINK("D:\Data From Lucan\2024\Moresby\Frames_for_Analysis/5155_20240611_0006_L_0765.jpg","5155_20240611_0006_L_0765.jpg")</f>
        <v>5155_20240611_0006_L_0765.jpg</v>
      </c>
      <c r="G5158" s="92" t="s">
        <v>5536</v>
      </c>
      <c r="I5158">
        <v>4</v>
      </c>
      <c r="K5158" s="57">
        <v>1</v>
      </c>
      <c r="L5158" t="s">
        <v>3959</v>
      </c>
      <c r="M5158" t="s">
        <v>3959</v>
      </c>
      <c r="N5158" t="s">
        <v>3959</v>
      </c>
      <c r="O5158" t="s">
        <v>3959</v>
      </c>
      <c r="P5158" s="57">
        <v>1</v>
      </c>
      <c r="Q5158" s="57">
        <v>0</v>
      </c>
      <c r="R5158" s="57">
        <v>0</v>
      </c>
      <c r="S5158" s="57">
        <v>0</v>
      </c>
      <c r="T5158" s="57">
        <v>0</v>
      </c>
      <c r="U5158" s="57">
        <v>0</v>
      </c>
      <c r="V5158" s="57">
        <v>0</v>
      </c>
      <c r="W5158" s="57">
        <v>0</v>
      </c>
      <c r="X5158" s="57">
        <v>0</v>
      </c>
    </row>
    <row r="5159" spans="1:24" hidden="1" x14ac:dyDescent="0.35">
      <c r="A5159">
        <v>5155</v>
      </c>
      <c r="B5159">
        <v>5156</v>
      </c>
      <c r="C5159">
        <v>146.060563532999</v>
      </c>
      <c r="D5159">
        <v>-17.634508116500001</v>
      </c>
      <c r="F5159" t="str">
        <f>HYPERLINK("D:\Data From Lucan\2024\Moresby\Frames_for_Analysis/5156_20240611_0006_L_0768.jpg","5156_20240611_0006_L_0768.jpg")</f>
        <v>5156_20240611_0006_L_0768.jpg</v>
      </c>
      <c r="G5159" s="92" t="s">
        <v>5537</v>
      </c>
      <c r="I5159">
        <v>4</v>
      </c>
      <c r="K5159" s="57">
        <v>1</v>
      </c>
      <c r="L5159" t="s">
        <v>3959</v>
      </c>
      <c r="M5159" t="s">
        <v>3959</v>
      </c>
      <c r="N5159" t="s">
        <v>3959</v>
      </c>
      <c r="O5159" t="s">
        <v>3959</v>
      </c>
      <c r="P5159" s="57">
        <v>1</v>
      </c>
      <c r="Q5159" s="57">
        <v>0</v>
      </c>
      <c r="R5159" s="57">
        <v>0</v>
      </c>
      <c r="S5159" s="57">
        <v>0</v>
      </c>
      <c r="T5159" s="57">
        <v>0</v>
      </c>
      <c r="U5159" s="57">
        <v>0</v>
      </c>
      <c r="V5159" s="57">
        <v>0</v>
      </c>
      <c r="W5159" s="57">
        <v>0</v>
      </c>
      <c r="X5159" s="57">
        <v>0</v>
      </c>
    </row>
    <row r="5160" spans="1:24" hidden="1" x14ac:dyDescent="0.35">
      <c r="A5160">
        <v>5156</v>
      </c>
      <c r="B5160">
        <v>5157</v>
      </c>
      <c r="C5160">
        <v>146.060477536999</v>
      </c>
      <c r="D5160">
        <v>-17.634532864299899</v>
      </c>
      <c r="F5160" t="str">
        <f>HYPERLINK("D:\Data From Lucan\2024\Moresby\Frames_for_Analysis/5157_20240611_0006_L_0771.jpg","5157_20240611_0006_L_0771.jpg")</f>
        <v>5157_20240611_0006_L_0771.jpg</v>
      </c>
      <c r="G5160" s="92" t="s">
        <v>5538</v>
      </c>
      <c r="I5160">
        <v>4</v>
      </c>
      <c r="K5160" s="57">
        <v>1</v>
      </c>
      <c r="L5160" t="s">
        <v>3959</v>
      </c>
      <c r="M5160" t="s">
        <v>3959</v>
      </c>
      <c r="N5160" t="s">
        <v>3959</v>
      </c>
      <c r="O5160" t="s">
        <v>3959</v>
      </c>
      <c r="P5160" s="57">
        <v>1</v>
      </c>
      <c r="Q5160" s="57">
        <v>0</v>
      </c>
      <c r="R5160" s="57">
        <v>0</v>
      </c>
      <c r="S5160" s="57">
        <v>0</v>
      </c>
      <c r="T5160" s="57">
        <v>0</v>
      </c>
      <c r="U5160" s="57">
        <v>0</v>
      </c>
      <c r="V5160" s="57">
        <v>0</v>
      </c>
      <c r="W5160" s="57">
        <v>0</v>
      </c>
      <c r="X5160" s="57">
        <v>0</v>
      </c>
    </row>
    <row r="5161" spans="1:24" hidden="1" x14ac:dyDescent="0.35">
      <c r="A5161">
        <v>5157</v>
      </c>
      <c r="B5161">
        <v>5158</v>
      </c>
      <c r="C5161">
        <v>146.060391541</v>
      </c>
      <c r="D5161">
        <v>-17.634557611999899</v>
      </c>
      <c r="F5161" t="str">
        <f>HYPERLINK("D:\Data From Lucan\2024\Moresby\Frames_for_Analysis/5158_20240611_0006_L_0775.jpg","5158_20240611_0006_L_0775.jpg")</f>
        <v>5158_20240611_0006_L_0775.jpg</v>
      </c>
      <c r="G5161" s="92" t="s">
        <v>5539</v>
      </c>
      <c r="I5161">
        <v>4</v>
      </c>
      <c r="K5161" s="57">
        <v>1</v>
      </c>
      <c r="L5161" t="s">
        <v>3959</v>
      </c>
      <c r="M5161" t="s">
        <v>3959</v>
      </c>
      <c r="N5161" t="s">
        <v>3959</v>
      </c>
      <c r="O5161" t="s">
        <v>3959</v>
      </c>
      <c r="P5161" s="57">
        <v>1</v>
      </c>
      <c r="Q5161" s="57">
        <v>0</v>
      </c>
      <c r="R5161" s="57">
        <v>0</v>
      </c>
      <c r="S5161" s="57">
        <v>0</v>
      </c>
      <c r="T5161" s="57">
        <v>0</v>
      </c>
      <c r="U5161" s="57">
        <v>0</v>
      </c>
      <c r="V5161" s="57">
        <v>0</v>
      </c>
      <c r="W5161" s="57">
        <v>0</v>
      </c>
      <c r="X5161" s="57">
        <v>0</v>
      </c>
    </row>
    <row r="5162" spans="1:24" hidden="1" x14ac:dyDescent="0.35">
      <c r="A5162">
        <v>5158</v>
      </c>
      <c r="B5162">
        <v>5159</v>
      </c>
      <c r="C5162">
        <v>146.060305972999</v>
      </c>
      <c r="D5162">
        <v>-17.634583520700001</v>
      </c>
      <c r="F5162" t="str">
        <f>HYPERLINK("D:\Data From Lucan\2024\Moresby\Frames_for_Analysis/5159_20240611_0006_L_0778.jpg","5159_20240611_0006_L_0778.jpg")</f>
        <v>5159_20240611_0006_L_0778.jpg</v>
      </c>
      <c r="G5162" s="92" t="s">
        <v>5540</v>
      </c>
      <c r="I5162">
        <v>4</v>
      </c>
      <c r="K5162" s="57">
        <v>1</v>
      </c>
      <c r="L5162" t="s">
        <v>3959</v>
      </c>
      <c r="M5162" t="s">
        <v>3959</v>
      </c>
      <c r="N5162" t="s">
        <v>3959</v>
      </c>
      <c r="O5162" t="s">
        <v>3959</v>
      </c>
      <c r="P5162" s="57">
        <v>1</v>
      </c>
      <c r="Q5162" s="57">
        <v>0</v>
      </c>
      <c r="R5162" s="57">
        <v>0</v>
      </c>
      <c r="S5162" s="57">
        <v>0</v>
      </c>
      <c r="T5162" s="57">
        <v>0</v>
      </c>
      <c r="U5162" s="57">
        <v>0</v>
      </c>
      <c r="V5162" s="57">
        <v>0</v>
      </c>
      <c r="W5162" s="57">
        <v>0</v>
      </c>
      <c r="X5162" s="57">
        <v>0</v>
      </c>
    </row>
    <row r="5163" spans="1:24" hidden="1" x14ac:dyDescent="0.35">
      <c r="A5163">
        <v>5159</v>
      </c>
      <c r="B5163">
        <v>5160</v>
      </c>
      <c r="C5163">
        <v>146.060222651</v>
      </c>
      <c r="D5163">
        <v>-17.6346155158</v>
      </c>
      <c r="F5163" t="str">
        <f>HYPERLINK("D:\Data From Lucan\2024\Moresby\Frames_for_Analysis/5160_20240611_0006_L_0781.jpg","5160_20240611_0006_L_0781.jpg")</f>
        <v>5160_20240611_0006_L_0781.jpg</v>
      </c>
      <c r="G5163" s="92" t="s">
        <v>5541</v>
      </c>
      <c r="I5163">
        <v>4</v>
      </c>
      <c r="K5163" s="57">
        <v>1</v>
      </c>
      <c r="L5163" t="s">
        <v>3959</v>
      </c>
      <c r="M5163" t="s">
        <v>3959</v>
      </c>
      <c r="N5163" t="s">
        <v>3959</v>
      </c>
      <c r="O5163" t="s">
        <v>3959</v>
      </c>
      <c r="P5163" s="57">
        <v>1</v>
      </c>
      <c r="Q5163" s="57">
        <v>0</v>
      </c>
      <c r="R5163" s="57">
        <v>0</v>
      </c>
      <c r="S5163" s="57">
        <v>0</v>
      </c>
      <c r="T5163" s="57">
        <v>0</v>
      </c>
      <c r="U5163" s="57">
        <v>0</v>
      </c>
      <c r="V5163" s="57">
        <v>0</v>
      </c>
      <c r="W5163" s="57">
        <v>0</v>
      </c>
      <c r="X5163" s="57">
        <v>0</v>
      </c>
    </row>
    <row r="5164" spans="1:24" hidden="1" x14ac:dyDescent="0.35">
      <c r="A5164">
        <v>5160</v>
      </c>
      <c r="B5164">
        <v>5161</v>
      </c>
      <c r="C5164">
        <v>146.060139327999</v>
      </c>
      <c r="D5164">
        <v>-17.634647510899899</v>
      </c>
      <c r="F5164" t="str">
        <f>HYPERLINK("D:\Data From Lucan\2024\Moresby\Frames_for_Analysis/5161_20240611_0006_L_0784.jpg","5161_20240611_0006_L_0784.jpg")</f>
        <v>5161_20240611_0006_L_0784.jpg</v>
      </c>
      <c r="G5164" s="92" t="s">
        <v>5542</v>
      </c>
      <c r="I5164">
        <v>4</v>
      </c>
      <c r="K5164" s="57">
        <v>1</v>
      </c>
      <c r="L5164" t="s">
        <v>3959</v>
      </c>
      <c r="M5164" t="s">
        <v>3959</v>
      </c>
      <c r="N5164" t="s">
        <v>3959</v>
      </c>
      <c r="O5164" t="s">
        <v>3959</v>
      </c>
      <c r="P5164" s="57">
        <v>1</v>
      </c>
      <c r="Q5164" s="57">
        <v>0</v>
      </c>
      <c r="R5164" s="57">
        <v>0</v>
      </c>
      <c r="S5164" s="57">
        <v>0</v>
      </c>
      <c r="T5164" s="57">
        <v>0</v>
      </c>
      <c r="U5164" s="57">
        <v>0</v>
      </c>
      <c r="V5164" s="57">
        <v>0</v>
      </c>
      <c r="W5164" s="57">
        <v>0</v>
      </c>
      <c r="X5164" s="57">
        <v>0</v>
      </c>
    </row>
    <row r="5165" spans="1:24" hidden="1" x14ac:dyDescent="0.35">
      <c r="A5165">
        <v>5161</v>
      </c>
      <c r="B5165">
        <v>5162</v>
      </c>
      <c r="C5165">
        <v>146.060056005999</v>
      </c>
      <c r="D5165">
        <v>-17.634679506000001</v>
      </c>
      <c r="F5165" t="str">
        <f>HYPERLINK("D:\Data From Lucan\2024\Moresby\Frames_for_Analysis/5162_20240611_0006_L_0787.jpg","5162_20240611_0006_L_0787.jpg")</f>
        <v>5162_20240611_0006_L_0787.jpg</v>
      </c>
      <c r="G5165" s="92" t="s">
        <v>5543</v>
      </c>
      <c r="I5165">
        <v>4</v>
      </c>
      <c r="K5165" s="57">
        <v>1</v>
      </c>
      <c r="L5165" t="s">
        <v>3959</v>
      </c>
      <c r="M5165" t="s">
        <v>3959</v>
      </c>
      <c r="N5165" t="s">
        <v>3959</v>
      </c>
      <c r="O5165" t="s">
        <v>3959</v>
      </c>
      <c r="P5165" s="57">
        <v>1</v>
      </c>
      <c r="Q5165" s="57">
        <v>0</v>
      </c>
      <c r="R5165" s="57">
        <v>0</v>
      </c>
      <c r="S5165" s="57">
        <v>0</v>
      </c>
      <c r="T5165" s="57">
        <v>0</v>
      </c>
      <c r="U5165" s="57">
        <v>0</v>
      </c>
      <c r="V5165" s="57">
        <v>0</v>
      </c>
      <c r="W5165" s="57">
        <v>0</v>
      </c>
      <c r="X5165" s="57">
        <v>0</v>
      </c>
    </row>
    <row r="5166" spans="1:24" hidden="1" x14ac:dyDescent="0.35">
      <c r="A5166">
        <v>5162</v>
      </c>
      <c r="B5166">
        <v>5163</v>
      </c>
      <c r="C5166">
        <v>146.059972684</v>
      </c>
      <c r="D5166">
        <v>-17.634711501000002</v>
      </c>
      <c r="F5166" t="str">
        <f>HYPERLINK("D:\Data From Lucan\2024\Moresby\Frames_for_Analysis/5163_20240611_0006_L_0790.jpg","5163_20240611_0006_L_0790.jpg")</f>
        <v>5163_20240611_0006_L_0790.jpg</v>
      </c>
      <c r="G5166" s="92" t="s">
        <v>5544</v>
      </c>
      <c r="I5166">
        <v>4</v>
      </c>
      <c r="K5166" s="57">
        <v>1</v>
      </c>
      <c r="L5166" t="s">
        <v>3959</v>
      </c>
      <c r="M5166" t="s">
        <v>3959</v>
      </c>
      <c r="N5166" t="s">
        <v>3959</v>
      </c>
      <c r="O5166" t="s">
        <v>3959</v>
      </c>
      <c r="P5166" s="57">
        <v>1</v>
      </c>
      <c r="Q5166" s="57">
        <v>0</v>
      </c>
      <c r="R5166" s="57">
        <v>0</v>
      </c>
      <c r="S5166" s="57">
        <v>0</v>
      </c>
      <c r="T5166" s="57">
        <v>0</v>
      </c>
      <c r="U5166" s="57">
        <v>0</v>
      </c>
      <c r="V5166" s="57">
        <v>0</v>
      </c>
      <c r="W5166" s="57">
        <v>0</v>
      </c>
      <c r="X5166" s="57">
        <v>0</v>
      </c>
    </row>
    <row r="5167" spans="1:24" hidden="1" x14ac:dyDescent="0.35">
      <c r="A5167">
        <v>5163</v>
      </c>
      <c r="B5167">
        <v>5164</v>
      </c>
      <c r="C5167">
        <v>146.05989235300001</v>
      </c>
      <c r="D5167">
        <v>-17.634749729500001</v>
      </c>
      <c r="F5167" t="str">
        <f>HYPERLINK("D:\Data From Lucan\2024\Moresby\Frames_for_Analysis/5164_20240611_0006_L_0793.jpg","5164_20240611_0006_L_0793.jpg")</f>
        <v>5164_20240611_0006_L_0793.jpg</v>
      </c>
      <c r="G5167" s="92" t="s">
        <v>5545</v>
      </c>
      <c r="I5167">
        <v>4</v>
      </c>
      <c r="K5167" s="57">
        <v>1</v>
      </c>
      <c r="L5167" t="s">
        <v>3959</v>
      </c>
      <c r="M5167" t="s">
        <v>3959</v>
      </c>
      <c r="N5167" t="s">
        <v>3959</v>
      </c>
      <c r="O5167" t="s">
        <v>3959</v>
      </c>
      <c r="P5167" s="57">
        <v>1</v>
      </c>
      <c r="Q5167" s="57">
        <v>0</v>
      </c>
      <c r="R5167" s="57">
        <v>0</v>
      </c>
      <c r="S5167" s="57">
        <v>0</v>
      </c>
      <c r="T5167" s="57">
        <v>0</v>
      </c>
      <c r="U5167" s="57">
        <v>0</v>
      </c>
      <c r="V5167" s="57">
        <v>0</v>
      </c>
      <c r="W5167" s="57">
        <v>0</v>
      </c>
      <c r="X5167" s="57">
        <v>0</v>
      </c>
    </row>
    <row r="5168" spans="1:24" hidden="1" x14ac:dyDescent="0.35">
      <c r="A5168">
        <v>5164</v>
      </c>
      <c r="B5168">
        <v>5165</v>
      </c>
      <c r="C5168">
        <v>146.05981246100001</v>
      </c>
      <c r="D5168">
        <v>-17.6347888707</v>
      </c>
      <c r="F5168" t="str">
        <f>HYPERLINK("D:\Data From Lucan\2024\Moresby\Frames_for_Analysis/5165_20240611_0006_L_0795.jpg","5165_20240611_0006_L_0795.jpg")</f>
        <v>5165_20240611_0006_L_0795.jpg</v>
      </c>
      <c r="G5168" s="92" t="s">
        <v>5546</v>
      </c>
      <c r="I5168">
        <v>4</v>
      </c>
      <c r="K5168" s="57">
        <v>1</v>
      </c>
      <c r="L5168" t="s">
        <v>3959</v>
      </c>
      <c r="M5168" t="s">
        <v>3959</v>
      </c>
      <c r="N5168" t="s">
        <v>3959</v>
      </c>
      <c r="O5168" t="s">
        <v>3959</v>
      </c>
      <c r="P5168" s="57">
        <v>1</v>
      </c>
      <c r="Q5168" s="57">
        <v>0</v>
      </c>
      <c r="R5168" s="57">
        <v>0</v>
      </c>
      <c r="S5168" s="57">
        <v>0</v>
      </c>
      <c r="T5168" s="57">
        <v>0</v>
      </c>
      <c r="U5168" s="57">
        <v>0</v>
      </c>
      <c r="V5168" s="57">
        <v>0</v>
      </c>
      <c r="W5168" s="57">
        <v>0</v>
      </c>
      <c r="X5168" s="57">
        <v>0</v>
      </c>
    </row>
    <row r="5169" spans="1:24" hidden="1" x14ac:dyDescent="0.35">
      <c r="A5169">
        <v>5165</v>
      </c>
      <c r="B5169">
        <v>5166</v>
      </c>
      <c r="C5169">
        <v>146.05973256799899</v>
      </c>
      <c r="D5169">
        <v>-17.634828012</v>
      </c>
      <c r="F5169" t="str">
        <f>HYPERLINK("D:\Data From Lucan\2024\Moresby\Frames_for_Analysis/5166_20240611_0006_L_0798.jpg","5166_20240611_0006_L_0798.jpg")</f>
        <v>5166_20240611_0006_L_0798.jpg</v>
      </c>
      <c r="G5169" s="92" t="s">
        <v>5547</v>
      </c>
      <c r="I5169">
        <v>4</v>
      </c>
      <c r="K5169" s="57">
        <v>1</v>
      </c>
      <c r="L5169" t="s">
        <v>3959</v>
      </c>
      <c r="M5169" t="s">
        <v>3959</v>
      </c>
      <c r="N5169" t="s">
        <v>3959</v>
      </c>
      <c r="O5169" t="s">
        <v>3959</v>
      </c>
      <c r="P5169" s="57">
        <v>1</v>
      </c>
      <c r="Q5169" s="57">
        <v>0</v>
      </c>
      <c r="R5169" s="57">
        <v>0</v>
      </c>
      <c r="S5169" s="57">
        <v>0</v>
      </c>
      <c r="T5169" s="57">
        <v>0</v>
      </c>
      <c r="U5169" s="57">
        <v>0</v>
      </c>
      <c r="V5169" s="57">
        <v>0</v>
      </c>
      <c r="W5169" s="57">
        <v>0</v>
      </c>
      <c r="X5169" s="57">
        <v>0</v>
      </c>
    </row>
    <row r="5170" spans="1:24" hidden="1" x14ac:dyDescent="0.35">
      <c r="A5170">
        <v>5166</v>
      </c>
      <c r="B5170">
        <v>5167</v>
      </c>
      <c r="C5170">
        <v>146.059652674999</v>
      </c>
      <c r="D5170">
        <v>-17.6348671533</v>
      </c>
      <c r="F5170" t="str">
        <f>HYPERLINK("D:\Data From Lucan\2024\Moresby\Frames_for_Analysis/5167_20240611_0006_L_0800.jpg","5167_20240611_0006_L_0800.jpg")</f>
        <v>5167_20240611_0006_L_0800.jpg</v>
      </c>
      <c r="G5170" s="92" t="s">
        <v>5548</v>
      </c>
      <c r="I5170">
        <v>4</v>
      </c>
      <c r="K5170" s="57">
        <v>1</v>
      </c>
      <c r="L5170" t="s">
        <v>3959</v>
      </c>
      <c r="M5170" t="s">
        <v>3959</v>
      </c>
      <c r="N5170" t="s">
        <v>3959</v>
      </c>
      <c r="O5170" t="s">
        <v>3959</v>
      </c>
      <c r="P5170" s="57">
        <v>1</v>
      </c>
      <c r="Q5170" s="57">
        <v>0</v>
      </c>
      <c r="R5170" s="57">
        <v>0</v>
      </c>
      <c r="S5170" s="57">
        <v>0</v>
      </c>
      <c r="T5170" s="57">
        <v>0</v>
      </c>
      <c r="U5170" s="57">
        <v>0</v>
      </c>
      <c r="V5170" s="57">
        <v>0</v>
      </c>
      <c r="W5170" s="57">
        <v>0</v>
      </c>
      <c r="X5170" s="57">
        <v>0</v>
      </c>
    </row>
    <row r="5171" spans="1:24" hidden="1" x14ac:dyDescent="0.35">
      <c r="A5171">
        <v>5167</v>
      </c>
      <c r="B5171">
        <v>5168</v>
      </c>
      <c r="C5171">
        <v>146.05956966599899</v>
      </c>
      <c r="D5171">
        <v>-17.634899699000002</v>
      </c>
      <c r="F5171" t="str">
        <f>HYPERLINK("D:\Data From Lucan\2024\Moresby\Frames_for_Analysis/5168_20240611_0006_L_0803.jpg","5168_20240611_0006_L_0803.jpg")</f>
        <v>5168_20240611_0006_L_0803.jpg</v>
      </c>
      <c r="G5171" s="92" t="s">
        <v>5549</v>
      </c>
      <c r="I5171">
        <v>4</v>
      </c>
      <c r="K5171" s="57">
        <v>1</v>
      </c>
      <c r="L5171" t="s">
        <v>3959</v>
      </c>
      <c r="M5171" t="s">
        <v>3959</v>
      </c>
      <c r="N5171" t="s">
        <v>3959</v>
      </c>
      <c r="O5171" t="s">
        <v>3959</v>
      </c>
      <c r="P5171" s="57">
        <v>1</v>
      </c>
      <c r="Q5171" s="57">
        <v>0</v>
      </c>
      <c r="R5171" s="57">
        <v>0</v>
      </c>
      <c r="S5171" s="57">
        <v>0</v>
      </c>
      <c r="T5171" s="57">
        <v>0</v>
      </c>
      <c r="U5171" s="57">
        <v>0</v>
      </c>
      <c r="V5171" s="57">
        <v>0</v>
      </c>
      <c r="W5171" s="57">
        <v>0</v>
      </c>
      <c r="X5171" s="57">
        <v>0</v>
      </c>
    </row>
    <row r="5172" spans="1:24" hidden="1" x14ac:dyDescent="0.35">
      <c r="A5172">
        <v>5168</v>
      </c>
      <c r="B5172">
        <v>5169</v>
      </c>
      <c r="C5172">
        <v>146.05948595999899</v>
      </c>
      <c r="D5172">
        <v>-17.634930770099899</v>
      </c>
      <c r="F5172" t="str">
        <f>HYPERLINK("D:\Data From Lucan\2024\Moresby\Frames_for_Analysis/5169_20240611_0006_L_0805.jpg","5169_20240611_0006_L_0805.jpg")</f>
        <v>5169_20240611_0006_L_0805.jpg</v>
      </c>
      <c r="G5172" s="92" t="s">
        <v>5550</v>
      </c>
      <c r="I5172">
        <v>4</v>
      </c>
      <c r="K5172" s="57">
        <v>1</v>
      </c>
      <c r="L5172" t="s">
        <v>3959</v>
      </c>
      <c r="M5172" t="s">
        <v>3959</v>
      </c>
      <c r="N5172" t="s">
        <v>3959</v>
      </c>
      <c r="O5172" t="s">
        <v>3959</v>
      </c>
      <c r="P5172" s="57">
        <v>1</v>
      </c>
      <c r="Q5172" s="57">
        <v>0</v>
      </c>
      <c r="R5172" s="57">
        <v>0</v>
      </c>
      <c r="S5172" s="57">
        <v>0</v>
      </c>
      <c r="T5172" s="57">
        <v>0</v>
      </c>
      <c r="U5172" s="57">
        <v>0</v>
      </c>
      <c r="V5172" s="57">
        <v>0</v>
      </c>
      <c r="W5172" s="57">
        <v>0</v>
      </c>
      <c r="X5172" s="57">
        <v>0</v>
      </c>
    </row>
    <row r="5173" spans="1:24" hidden="1" x14ac:dyDescent="0.35">
      <c r="A5173">
        <v>5169</v>
      </c>
      <c r="B5173">
        <v>5170</v>
      </c>
      <c r="C5173">
        <v>146.059402253</v>
      </c>
      <c r="D5173">
        <v>-17.634961841100001</v>
      </c>
      <c r="F5173" t="str">
        <f>HYPERLINK("D:\Data From Lucan\2024\Moresby\Frames_for_Analysis/5170_20240611_0006_L_0808.jpg","5170_20240611_0006_L_0808.jpg")</f>
        <v>5170_20240611_0006_L_0808.jpg</v>
      </c>
      <c r="G5173" s="92" t="s">
        <v>5551</v>
      </c>
      <c r="I5173">
        <v>4</v>
      </c>
      <c r="K5173" s="57">
        <v>1</v>
      </c>
      <c r="L5173" t="s">
        <v>3959</v>
      </c>
      <c r="M5173" t="s">
        <v>3959</v>
      </c>
      <c r="N5173" t="s">
        <v>3959</v>
      </c>
      <c r="O5173" t="s">
        <v>3959</v>
      </c>
      <c r="P5173" s="57">
        <v>1</v>
      </c>
      <c r="Q5173" s="57">
        <v>0</v>
      </c>
      <c r="R5173" s="57">
        <v>0</v>
      </c>
      <c r="S5173" s="57">
        <v>0</v>
      </c>
      <c r="T5173" s="57">
        <v>0</v>
      </c>
      <c r="U5173" s="57">
        <v>0</v>
      </c>
      <c r="V5173" s="57">
        <v>0</v>
      </c>
      <c r="W5173" s="57">
        <v>0</v>
      </c>
      <c r="X5173" s="57">
        <v>0</v>
      </c>
    </row>
    <row r="5174" spans="1:24" hidden="1" x14ac:dyDescent="0.35">
      <c r="A5174">
        <v>5170</v>
      </c>
      <c r="B5174">
        <v>5171</v>
      </c>
      <c r="C5174">
        <v>146.059318144999</v>
      </c>
      <c r="D5174">
        <v>-17.634991526</v>
      </c>
      <c r="F5174" t="str">
        <f>HYPERLINK("D:\Data From Lucan\2024\Moresby\Frames_for_Analysis/5171_20240611_0006_L_0810.jpg","5171_20240611_0006_L_0810.jpg")</f>
        <v>5171_20240611_0006_L_0810.jpg</v>
      </c>
      <c r="G5174" s="92" t="s">
        <v>5552</v>
      </c>
      <c r="I5174">
        <v>4</v>
      </c>
      <c r="K5174" s="57">
        <v>1</v>
      </c>
      <c r="L5174" t="s">
        <v>3959</v>
      </c>
      <c r="M5174" t="s">
        <v>3959</v>
      </c>
      <c r="N5174" t="s">
        <v>3959</v>
      </c>
      <c r="O5174" t="s">
        <v>3959</v>
      </c>
      <c r="P5174" s="57">
        <v>1</v>
      </c>
      <c r="Q5174" s="57">
        <v>0</v>
      </c>
      <c r="R5174" s="57">
        <v>0</v>
      </c>
      <c r="S5174" s="57">
        <v>0</v>
      </c>
      <c r="T5174" s="57">
        <v>0</v>
      </c>
      <c r="U5174" s="57">
        <v>0</v>
      </c>
      <c r="V5174" s="57">
        <v>0</v>
      </c>
      <c r="W5174" s="57">
        <v>0</v>
      </c>
      <c r="X5174" s="57">
        <v>0</v>
      </c>
    </row>
    <row r="5175" spans="1:24" hidden="1" x14ac:dyDescent="0.35">
      <c r="A5175">
        <v>5171</v>
      </c>
      <c r="B5175">
        <v>5172</v>
      </c>
      <c r="C5175">
        <v>146.05922958100001</v>
      </c>
      <c r="D5175">
        <v>-17.6350058598</v>
      </c>
      <c r="F5175" t="str">
        <f>HYPERLINK("D:\Data From Lucan\2024\Moresby\Frames_for_Analysis/5172_20240611_0006_L_0813.jpg","5172_20240611_0006_L_0813.jpg")</f>
        <v>5172_20240611_0006_L_0813.jpg</v>
      </c>
      <c r="G5175" s="92" t="s">
        <v>5553</v>
      </c>
      <c r="I5175">
        <v>4</v>
      </c>
      <c r="K5175" s="57">
        <v>1</v>
      </c>
      <c r="L5175" t="s">
        <v>3959</v>
      </c>
      <c r="M5175" t="s">
        <v>3959</v>
      </c>
      <c r="N5175" t="s">
        <v>3959</v>
      </c>
      <c r="O5175" t="s">
        <v>3959</v>
      </c>
      <c r="P5175" s="57">
        <v>1</v>
      </c>
      <c r="Q5175" s="57">
        <v>0</v>
      </c>
      <c r="R5175" s="57">
        <v>0</v>
      </c>
      <c r="S5175" s="57">
        <v>0</v>
      </c>
      <c r="T5175" s="57">
        <v>0</v>
      </c>
      <c r="U5175" s="57">
        <v>0</v>
      </c>
      <c r="V5175" s="57">
        <v>0</v>
      </c>
      <c r="W5175" s="57">
        <v>0</v>
      </c>
      <c r="X5175" s="57">
        <v>0</v>
      </c>
    </row>
    <row r="5176" spans="1:24" hidden="1" x14ac:dyDescent="0.35">
      <c r="A5176">
        <v>5172</v>
      </c>
      <c r="B5176">
        <v>5173</v>
      </c>
      <c r="C5176">
        <v>146.059141017999</v>
      </c>
      <c r="D5176">
        <v>-17.635020193500001</v>
      </c>
      <c r="F5176" t="str">
        <f>HYPERLINK("D:\Data From Lucan\2024\Moresby\Frames_for_Analysis/5173_20240611_0006_L_0816.jpg","5173_20240611_0006_L_0816.jpg")</f>
        <v>5173_20240611_0006_L_0816.jpg</v>
      </c>
      <c r="G5176" s="92" t="s">
        <v>5554</v>
      </c>
      <c r="I5176">
        <v>4</v>
      </c>
      <c r="K5176" s="57">
        <v>1</v>
      </c>
      <c r="L5176" t="s">
        <v>3959</v>
      </c>
      <c r="M5176" t="s">
        <v>3959</v>
      </c>
      <c r="N5176" t="s">
        <v>3959</v>
      </c>
      <c r="O5176" t="s">
        <v>3959</v>
      </c>
      <c r="P5176" s="57">
        <v>1</v>
      </c>
      <c r="Q5176" s="57">
        <v>0</v>
      </c>
      <c r="R5176" s="57">
        <v>0</v>
      </c>
      <c r="S5176" s="57">
        <v>0</v>
      </c>
      <c r="T5176" s="57">
        <v>0</v>
      </c>
      <c r="U5176" s="57">
        <v>0</v>
      </c>
      <c r="V5176" s="57">
        <v>0</v>
      </c>
      <c r="W5176" s="57">
        <v>0</v>
      </c>
      <c r="X5176" s="57">
        <v>0</v>
      </c>
    </row>
    <row r="5177" spans="1:24" hidden="1" x14ac:dyDescent="0.35">
      <c r="A5177">
        <v>5173</v>
      </c>
      <c r="B5177">
        <v>5174</v>
      </c>
      <c r="C5177">
        <v>146.05905221800001</v>
      </c>
      <c r="D5177">
        <v>-17.6350317727</v>
      </c>
      <c r="F5177" t="str">
        <f>HYPERLINK("D:\Data From Lucan\2024\Moresby\Frames_for_Analysis/5174_20240611_0006_L_0819.jpg","5174_20240611_0006_L_0819.jpg")</f>
        <v>5174_20240611_0006_L_0819.jpg</v>
      </c>
      <c r="G5177" s="92" t="s">
        <v>5555</v>
      </c>
      <c r="I5177">
        <v>4</v>
      </c>
      <c r="K5177" s="57">
        <v>1</v>
      </c>
      <c r="L5177" t="s">
        <v>3959</v>
      </c>
      <c r="M5177" t="s">
        <v>3959</v>
      </c>
      <c r="N5177" t="s">
        <v>3959</v>
      </c>
      <c r="O5177" t="s">
        <v>3959</v>
      </c>
      <c r="P5177" s="57">
        <v>1</v>
      </c>
      <c r="Q5177" s="57">
        <v>0</v>
      </c>
      <c r="R5177" s="57">
        <v>0</v>
      </c>
      <c r="S5177" s="57">
        <v>0</v>
      </c>
      <c r="T5177" s="57">
        <v>0</v>
      </c>
      <c r="U5177" s="57">
        <v>0</v>
      </c>
      <c r="V5177" s="57">
        <v>0</v>
      </c>
      <c r="W5177" s="57">
        <v>0</v>
      </c>
      <c r="X5177" s="57">
        <v>0</v>
      </c>
    </row>
    <row r="5178" spans="1:24" hidden="1" x14ac:dyDescent="0.35">
      <c r="A5178">
        <v>5174</v>
      </c>
      <c r="B5178">
        <v>5175</v>
      </c>
      <c r="C5178">
        <v>146.058962387999</v>
      </c>
      <c r="D5178">
        <v>-17.635031344000001</v>
      </c>
      <c r="F5178" t="str">
        <f>HYPERLINK("D:\Data From Lucan\2024\Moresby\Frames_for_Analysis/5175_20240611_0006_L_0821.jpg","5175_20240611_0006_L_0821.jpg")</f>
        <v>5175_20240611_0006_L_0821.jpg</v>
      </c>
      <c r="G5178" s="92" t="s">
        <v>5556</v>
      </c>
      <c r="I5178">
        <v>4</v>
      </c>
      <c r="K5178" s="57">
        <v>1</v>
      </c>
      <c r="L5178" t="s">
        <v>3959</v>
      </c>
      <c r="M5178" t="s">
        <v>3959</v>
      </c>
      <c r="N5178" t="s">
        <v>3959</v>
      </c>
      <c r="O5178" t="s">
        <v>3959</v>
      </c>
      <c r="P5178" s="57">
        <v>1</v>
      </c>
      <c r="Q5178" s="57">
        <v>0</v>
      </c>
      <c r="R5178" s="57">
        <v>0</v>
      </c>
      <c r="S5178" s="57">
        <v>0</v>
      </c>
      <c r="T5178" s="57">
        <v>0</v>
      </c>
      <c r="U5178" s="57">
        <v>0</v>
      </c>
      <c r="V5178" s="57">
        <v>0</v>
      </c>
      <c r="W5178" s="57">
        <v>0</v>
      </c>
      <c r="X5178" s="57">
        <v>0</v>
      </c>
    </row>
    <row r="5179" spans="1:24" hidden="1" x14ac:dyDescent="0.35">
      <c r="A5179">
        <v>5175</v>
      </c>
      <c r="B5179">
        <v>5176</v>
      </c>
      <c r="C5179">
        <v>146.058872557</v>
      </c>
      <c r="D5179">
        <v>-17.635030915400002</v>
      </c>
      <c r="F5179" t="str">
        <f>HYPERLINK("D:\Data From Lucan\2024\Moresby\Frames_for_Analysis/5176_20240611_0006_L_0824.jpg","5176_20240611_0006_L_0824.jpg")</f>
        <v>5176_20240611_0006_L_0824.jpg</v>
      </c>
      <c r="G5179" s="92" t="s">
        <v>5557</v>
      </c>
      <c r="I5179">
        <v>4</v>
      </c>
      <c r="K5179" s="57">
        <v>1</v>
      </c>
      <c r="L5179" t="s">
        <v>3959</v>
      </c>
      <c r="M5179" t="s">
        <v>3959</v>
      </c>
      <c r="N5179" t="s">
        <v>3959</v>
      </c>
      <c r="O5179" t="s">
        <v>3959</v>
      </c>
      <c r="P5179" s="57">
        <v>1</v>
      </c>
      <c r="Q5179" s="57">
        <v>0</v>
      </c>
      <c r="R5179" s="57">
        <v>0</v>
      </c>
      <c r="S5179" s="57">
        <v>0</v>
      </c>
      <c r="T5179" s="57">
        <v>0</v>
      </c>
      <c r="U5179" s="57">
        <v>0</v>
      </c>
      <c r="V5179" s="57">
        <v>0</v>
      </c>
      <c r="W5179" s="57">
        <v>0</v>
      </c>
      <c r="X5179" s="57">
        <v>0</v>
      </c>
    </row>
    <row r="5180" spans="1:24" hidden="1" x14ac:dyDescent="0.35">
      <c r="A5180">
        <v>5176</v>
      </c>
      <c r="B5180">
        <v>5177</v>
      </c>
      <c r="C5180">
        <v>146.058782726999</v>
      </c>
      <c r="D5180">
        <v>-17.635030486800002</v>
      </c>
      <c r="F5180" t="str">
        <f>HYPERLINK("D:\Data From Lucan\2024\Moresby\Frames_for_Analysis/5177_20240611_0006_L_0827.jpg","5177_20240611_0006_L_0827.jpg")</f>
        <v>5177_20240611_0006_L_0827.jpg</v>
      </c>
      <c r="G5180" s="92" t="s">
        <v>5558</v>
      </c>
      <c r="I5180">
        <v>4</v>
      </c>
      <c r="K5180" s="57">
        <v>1</v>
      </c>
      <c r="L5180" t="s">
        <v>3959</v>
      </c>
      <c r="M5180" t="s">
        <v>3959</v>
      </c>
      <c r="N5180" t="s">
        <v>3959</v>
      </c>
      <c r="O5180" t="s">
        <v>3959</v>
      </c>
      <c r="P5180" s="57">
        <v>1</v>
      </c>
      <c r="Q5180" s="57">
        <v>0</v>
      </c>
      <c r="R5180" s="57">
        <v>0</v>
      </c>
      <c r="S5180" s="57">
        <v>0</v>
      </c>
      <c r="T5180" s="57">
        <v>0</v>
      </c>
      <c r="U5180" s="57">
        <v>0</v>
      </c>
      <c r="V5180" s="57">
        <v>0</v>
      </c>
      <c r="W5180" s="57">
        <v>0</v>
      </c>
      <c r="X5180" s="57">
        <v>0</v>
      </c>
    </row>
    <row r="5181" spans="1:24" hidden="1" x14ac:dyDescent="0.35">
      <c r="A5181">
        <v>5177</v>
      </c>
      <c r="B5181">
        <v>5178</v>
      </c>
      <c r="C5181">
        <v>146.058692895999</v>
      </c>
      <c r="D5181">
        <v>-17.6350300581</v>
      </c>
      <c r="F5181" t="str">
        <f>HYPERLINK("D:\Data From Lucan\2024\Moresby\Frames_for_Analysis/5178_20240611_0006_L_0829.jpg","5178_20240611_0006_L_0829.jpg")</f>
        <v>5178_20240611_0006_L_0829.jpg</v>
      </c>
      <c r="G5181" s="92" t="s">
        <v>5559</v>
      </c>
      <c r="I5181">
        <v>4</v>
      </c>
      <c r="K5181" s="57">
        <v>1</v>
      </c>
      <c r="L5181" t="s">
        <v>3959</v>
      </c>
      <c r="M5181" t="s">
        <v>3959</v>
      </c>
      <c r="N5181" t="s">
        <v>3959</v>
      </c>
      <c r="O5181" t="s">
        <v>3959</v>
      </c>
      <c r="P5181" s="57">
        <v>1</v>
      </c>
      <c r="Q5181" s="57">
        <v>0</v>
      </c>
      <c r="R5181" s="57">
        <v>0</v>
      </c>
      <c r="S5181" s="57">
        <v>0</v>
      </c>
      <c r="T5181" s="57">
        <v>0</v>
      </c>
      <c r="U5181" s="57">
        <v>0</v>
      </c>
      <c r="V5181" s="57">
        <v>0</v>
      </c>
      <c r="W5181" s="57">
        <v>0</v>
      </c>
      <c r="X5181" s="57">
        <v>0</v>
      </c>
    </row>
    <row r="5182" spans="1:24" hidden="1" x14ac:dyDescent="0.35">
      <c r="A5182">
        <v>5178</v>
      </c>
      <c r="B5182">
        <v>5179</v>
      </c>
      <c r="C5182">
        <v>146.05860306599899</v>
      </c>
      <c r="D5182">
        <v>-17.6350296295</v>
      </c>
      <c r="F5182" t="str">
        <f>HYPERLINK("D:\Data From Lucan\2024\Moresby\Frames_for_Analysis/5179_20240611_0006_L_0832.jpg","5179_20240611_0006_L_0832.jpg")</f>
        <v>5179_20240611_0006_L_0832.jpg</v>
      </c>
      <c r="G5182" s="92" t="s">
        <v>5560</v>
      </c>
      <c r="I5182">
        <v>4</v>
      </c>
      <c r="K5182" s="57">
        <v>1</v>
      </c>
      <c r="L5182" t="s">
        <v>3959</v>
      </c>
      <c r="M5182" t="s">
        <v>3959</v>
      </c>
      <c r="N5182" t="s">
        <v>3959</v>
      </c>
      <c r="O5182" t="s">
        <v>3959</v>
      </c>
      <c r="P5182" s="57">
        <v>1</v>
      </c>
      <c r="Q5182" s="57">
        <v>0</v>
      </c>
      <c r="R5182" s="57">
        <v>0</v>
      </c>
      <c r="S5182" s="57">
        <v>0</v>
      </c>
      <c r="T5182" s="57">
        <v>0</v>
      </c>
      <c r="U5182" s="57">
        <v>0</v>
      </c>
      <c r="V5182" s="57">
        <v>0</v>
      </c>
      <c r="W5182" s="57">
        <v>0</v>
      </c>
      <c r="X5182" s="57">
        <v>0</v>
      </c>
    </row>
    <row r="5183" spans="1:24" hidden="1" x14ac:dyDescent="0.35">
      <c r="A5183">
        <v>5179</v>
      </c>
      <c r="B5183">
        <v>5180</v>
      </c>
      <c r="C5183">
        <v>146.05851607899899</v>
      </c>
      <c r="D5183">
        <v>-17.635050739</v>
      </c>
      <c r="F5183" t="str">
        <f>HYPERLINK("D:\Data From Lucan\2024\Moresby\Frames_for_Analysis/5180_20240611_0006_L_0835.jpg","5180_20240611_0006_L_0835.jpg")</f>
        <v>5180_20240611_0006_L_0835.jpg</v>
      </c>
      <c r="G5183" s="92" t="s">
        <v>5561</v>
      </c>
      <c r="I5183">
        <v>4</v>
      </c>
      <c r="K5183" s="57">
        <v>1</v>
      </c>
      <c r="L5183" t="s">
        <v>3959</v>
      </c>
      <c r="M5183" t="s">
        <v>3959</v>
      </c>
      <c r="N5183" t="s">
        <v>3959</v>
      </c>
      <c r="O5183" t="s">
        <v>3959</v>
      </c>
      <c r="P5183" s="57">
        <v>1</v>
      </c>
      <c r="Q5183" s="57">
        <v>0</v>
      </c>
      <c r="R5183" s="57">
        <v>0</v>
      </c>
      <c r="S5183" s="57">
        <v>0</v>
      </c>
      <c r="T5183" s="57">
        <v>0</v>
      </c>
      <c r="U5183" s="57">
        <v>0</v>
      </c>
      <c r="V5183" s="57">
        <v>0</v>
      </c>
      <c r="W5183" s="57">
        <v>0</v>
      </c>
      <c r="X5183" s="57">
        <v>0</v>
      </c>
    </row>
    <row r="5184" spans="1:24" hidden="1" x14ac:dyDescent="0.35">
      <c r="A5184">
        <v>5180</v>
      </c>
      <c r="B5184">
        <v>5181</v>
      </c>
      <c r="C5184">
        <v>146.058429157999</v>
      </c>
      <c r="D5184">
        <v>-17.635072356599899</v>
      </c>
      <c r="F5184" t="str">
        <f>HYPERLINK("D:\Data From Lucan\2024\Moresby\Frames_for_Analysis/5181_20240611_0006_L_0838.jpg","5181_20240611_0006_L_0838.jpg")</f>
        <v>5181_20240611_0006_L_0838.jpg</v>
      </c>
      <c r="G5184" s="92" t="s">
        <v>5562</v>
      </c>
      <c r="I5184">
        <v>4</v>
      </c>
      <c r="K5184" s="57">
        <v>1</v>
      </c>
      <c r="L5184" t="s">
        <v>3959</v>
      </c>
      <c r="M5184" t="s">
        <v>3959</v>
      </c>
      <c r="N5184" t="s">
        <v>3959</v>
      </c>
      <c r="O5184" t="s">
        <v>3959</v>
      </c>
      <c r="P5184" s="57">
        <v>1</v>
      </c>
      <c r="Q5184" s="57">
        <v>0</v>
      </c>
      <c r="R5184" s="57">
        <v>0</v>
      </c>
      <c r="S5184" s="57">
        <v>0</v>
      </c>
      <c r="T5184" s="57">
        <v>0</v>
      </c>
      <c r="U5184" s="57">
        <v>0</v>
      </c>
      <c r="V5184" s="57">
        <v>0</v>
      </c>
      <c r="W5184" s="57">
        <v>0</v>
      </c>
      <c r="X5184" s="57">
        <v>0</v>
      </c>
    </row>
    <row r="5185" spans="1:24" hidden="1" x14ac:dyDescent="0.35">
      <c r="A5185">
        <v>5181</v>
      </c>
      <c r="B5185">
        <v>5182</v>
      </c>
      <c r="C5185">
        <v>146.058342237999</v>
      </c>
      <c r="D5185">
        <v>-17.6350939742</v>
      </c>
      <c r="F5185" t="str">
        <f>HYPERLINK("D:\Data From Lucan\2024\Moresby\Frames_for_Analysis/5182_20240611_0006_L_0841.jpg","5182_20240611_0006_L_0841.jpg")</f>
        <v>5182_20240611_0006_L_0841.jpg</v>
      </c>
      <c r="G5185" s="92" t="s">
        <v>5563</v>
      </c>
      <c r="I5185">
        <v>4</v>
      </c>
      <c r="K5185" s="57">
        <v>1</v>
      </c>
      <c r="L5185" t="s">
        <v>3959</v>
      </c>
      <c r="M5185" t="s">
        <v>3959</v>
      </c>
      <c r="N5185" t="s">
        <v>3959</v>
      </c>
      <c r="O5185" t="s">
        <v>3959</v>
      </c>
      <c r="P5185" s="57">
        <v>1</v>
      </c>
      <c r="Q5185" s="57">
        <v>0</v>
      </c>
      <c r="R5185" s="57">
        <v>0</v>
      </c>
      <c r="S5185" s="57">
        <v>0</v>
      </c>
      <c r="T5185" s="57">
        <v>0</v>
      </c>
      <c r="U5185" s="57">
        <v>0</v>
      </c>
      <c r="V5185" s="57">
        <v>0</v>
      </c>
      <c r="W5185" s="57">
        <v>0</v>
      </c>
      <c r="X5185" s="57">
        <v>0</v>
      </c>
    </row>
    <row r="5186" spans="1:24" hidden="1" x14ac:dyDescent="0.35">
      <c r="A5186">
        <v>5182</v>
      </c>
      <c r="B5186">
        <v>5183</v>
      </c>
      <c r="C5186">
        <v>146.058255317</v>
      </c>
      <c r="D5186">
        <v>-17.635115591800002</v>
      </c>
      <c r="F5186" t="str">
        <f>HYPERLINK("D:\Data From Lucan\2024\Moresby\Frames_for_Analysis/5183_20240611_0006_L_0844.jpg","5183_20240611_0006_L_0844.jpg")</f>
        <v>5183_20240611_0006_L_0844.jpg</v>
      </c>
      <c r="G5186" s="92" t="s">
        <v>5564</v>
      </c>
      <c r="I5186">
        <v>4</v>
      </c>
      <c r="K5186" s="57">
        <v>1</v>
      </c>
      <c r="L5186" t="s">
        <v>3959</v>
      </c>
      <c r="M5186" t="s">
        <v>3959</v>
      </c>
      <c r="N5186" t="s">
        <v>3959</v>
      </c>
      <c r="O5186" t="s">
        <v>3959</v>
      </c>
      <c r="P5186" s="57">
        <v>1</v>
      </c>
      <c r="Q5186" s="57">
        <v>0</v>
      </c>
      <c r="R5186" s="57">
        <v>0</v>
      </c>
      <c r="S5186" s="57">
        <v>0</v>
      </c>
      <c r="T5186" s="57">
        <v>0</v>
      </c>
      <c r="U5186" s="57">
        <v>0</v>
      </c>
      <c r="V5186" s="57">
        <v>0</v>
      </c>
      <c r="W5186" s="57">
        <v>0</v>
      </c>
      <c r="X5186" s="57">
        <v>0</v>
      </c>
    </row>
    <row r="5187" spans="1:24" hidden="1" x14ac:dyDescent="0.35">
      <c r="A5187">
        <v>5183</v>
      </c>
      <c r="B5187">
        <v>5184</v>
      </c>
      <c r="C5187">
        <v>146.058171213999</v>
      </c>
      <c r="D5187">
        <v>-17.635144957000001</v>
      </c>
      <c r="F5187" t="str">
        <f>HYPERLINK("D:\Data From Lucan\2024\Moresby\Frames_for_Analysis/5184_20240611_0006_L_0846.jpg","5184_20240611_0006_L_0846.jpg")</f>
        <v>5184_20240611_0006_L_0846.jpg</v>
      </c>
      <c r="G5187" s="92" t="s">
        <v>5565</v>
      </c>
      <c r="I5187">
        <v>4</v>
      </c>
      <c r="K5187" s="57">
        <v>1</v>
      </c>
      <c r="L5187" t="s">
        <v>3959</v>
      </c>
      <c r="M5187" t="s">
        <v>3959</v>
      </c>
      <c r="N5187" t="s">
        <v>3959</v>
      </c>
      <c r="O5187" t="s">
        <v>3959</v>
      </c>
      <c r="P5187" s="57">
        <v>1</v>
      </c>
      <c r="Q5187" s="57">
        <v>0</v>
      </c>
      <c r="R5187" s="57">
        <v>0</v>
      </c>
      <c r="S5187" s="57">
        <v>0</v>
      </c>
      <c r="T5187" s="57">
        <v>0</v>
      </c>
      <c r="U5187" s="57">
        <v>0</v>
      </c>
      <c r="V5187" s="57">
        <v>0</v>
      </c>
      <c r="W5187" s="57">
        <v>0</v>
      </c>
      <c r="X5187" s="57">
        <v>0</v>
      </c>
    </row>
    <row r="5188" spans="1:24" hidden="1" x14ac:dyDescent="0.35">
      <c r="A5188">
        <v>5184</v>
      </c>
      <c r="B5188">
        <v>5185</v>
      </c>
      <c r="C5188">
        <v>146.058088889999</v>
      </c>
      <c r="D5188">
        <v>-17.6351792200999</v>
      </c>
      <c r="F5188" t="str">
        <f>HYPERLINK("D:\Data From Lucan\2024\Moresby\Frames_for_Analysis/5185_20240611_0006_L_0849.jpg","5185_20240611_0006_L_0849.jpg")</f>
        <v>5185_20240611_0006_L_0849.jpg</v>
      </c>
      <c r="G5188" s="92" t="s">
        <v>5566</v>
      </c>
      <c r="I5188">
        <v>4</v>
      </c>
      <c r="K5188" s="57">
        <v>1</v>
      </c>
      <c r="L5188" t="s">
        <v>3959</v>
      </c>
      <c r="M5188" t="s">
        <v>3959</v>
      </c>
      <c r="N5188" t="s">
        <v>3959</v>
      </c>
      <c r="O5188" t="s">
        <v>3959</v>
      </c>
      <c r="P5188" s="57">
        <v>1</v>
      </c>
      <c r="Q5188" s="57">
        <v>0</v>
      </c>
      <c r="R5188" s="57">
        <v>0</v>
      </c>
      <c r="S5188" s="57">
        <v>0</v>
      </c>
      <c r="T5188" s="57">
        <v>0</v>
      </c>
      <c r="U5188" s="57">
        <v>0</v>
      </c>
      <c r="V5188" s="57">
        <v>0</v>
      </c>
      <c r="W5188" s="57">
        <v>0</v>
      </c>
      <c r="X5188" s="57">
        <v>0</v>
      </c>
    </row>
    <row r="5189" spans="1:24" hidden="1" x14ac:dyDescent="0.35">
      <c r="A5189">
        <v>5185</v>
      </c>
      <c r="B5189">
        <v>5186</v>
      </c>
      <c r="C5189">
        <v>146.05800656700001</v>
      </c>
      <c r="D5189">
        <v>-17.635213483200001</v>
      </c>
      <c r="F5189" t="str">
        <f>HYPERLINK("D:\Data From Lucan\2024\Moresby\Frames_for_Analysis/5186_20240611_0006_L_0852.jpg","5186_20240611_0006_L_0852.jpg")</f>
        <v>5186_20240611_0006_L_0852.jpg</v>
      </c>
      <c r="G5189" s="92" t="s">
        <v>5567</v>
      </c>
      <c r="I5189">
        <v>4</v>
      </c>
      <c r="K5189" s="57">
        <v>1</v>
      </c>
      <c r="L5189" t="s">
        <v>3959</v>
      </c>
      <c r="M5189" t="s">
        <v>3959</v>
      </c>
      <c r="N5189" t="s">
        <v>3959</v>
      </c>
      <c r="O5189" t="s">
        <v>3959</v>
      </c>
      <c r="P5189" s="57">
        <v>1</v>
      </c>
      <c r="Q5189" s="57">
        <v>0</v>
      </c>
      <c r="R5189" s="57">
        <v>0</v>
      </c>
      <c r="S5189" s="57">
        <v>0</v>
      </c>
      <c r="T5189" s="57">
        <v>0</v>
      </c>
      <c r="U5189" s="57">
        <v>0</v>
      </c>
      <c r="V5189" s="57">
        <v>0</v>
      </c>
      <c r="W5189" s="57">
        <v>0</v>
      </c>
      <c r="X5189" s="57">
        <v>0</v>
      </c>
    </row>
    <row r="5190" spans="1:24" hidden="1" x14ac:dyDescent="0.35">
      <c r="A5190">
        <v>5186</v>
      </c>
      <c r="B5190">
        <v>5187</v>
      </c>
      <c r="C5190">
        <v>146.05792775800001</v>
      </c>
      <c r="D5190">
        <v>-17.635252915500001</v>
      </c>
      <c r="F5190" t="str">
        <f>HYPERLINK("D:\Data From Lucan\2024\Moresby\Frames_for_Analysis/5187_20240611_0006_L_0855.jpg","5187_20240611_0006_L_0855.jpg")</f>
        <v>5187_20240611_0006_L_0855.jpg</v>
      </c>
      <c r="G5190" s="92" t="s">
        <v>5568</v>
      </c>
      <c r="I5190">
        <v>4</v>
      </c>
      <c r="K5190" s="57">
        <v>0</v>
      </c>
      <c r="P5190" s="57">
        <v>1</v>
      </c>
      <c r="Q5190" s="57">
        <v>0</v>
      </c>
      <c r="R5190" s="57">
        <v>0</v>
      </c>
      <c r="S5190" s="57">
        <v>0</v>
      </c>
      <c r="T5190" s="57">
        <v>0</v>
      </c>
      <c r="U5190" s="57">
        <v>0</v>
      </c>
      <c r="V5190" s="57">
        <v>0</v>
      </c>
      <c r="W5190" s="57">
        <v>0</v>
      </c>
      <c r="X5190" s="57">
        <v>0</v>
      </c>
    </row>
    <row r="5191" spans="1:24" hidden="1" x14ac:dyDescent="0.35">
      <c r="A5191">
        <v>5187</v>
      </c>
      <c r="B5191">
        <v>5188</v>
      </c>
      <c r="C5191">
        <v>146.057861301</v>
      </c>
      <c r="D5191">
        <v>-17.635310516499899</v>
      </c>
      <c r="F5191" t="str">
        <f>HYPERLINK("D:\Data From Lucan\2024\Moresby\Frames_for_Analysis/5188_20240611_0006_L_0857.jpg","5188_20240611_0006_L_0857.jpg")</f>
        <v>5188_20240611_0006_L_0857.jpg</v>
      </c>
      <c r="G5191" s="92" t="s">
        <v>5569</v>
      </c>
      <c r="I5191">
        <v>4</v>
      </c>
      <c r="K5191" s="57">
        <v>1</v>
      </c>
      <c r="L5191" t="s">
        <v>3959</v>
      </c>
      <c r="M5191" t="s">
        <v>3959</v>
      </c>
      <c r="N5191" t="s">
        <v>3959</v>
      </c>
      <c r="O5191" t="s">
        <v>3959</v>
      </c>
      <c r="P5191" s="57">
        <v>1</v>
      </c>
      <c r="Q5191" s="57">
        <v>0</v>
      </c>
      <c r="R5191" s="57">
        <v>0</v>
      </c>
      <c r="S5191" s="57">
        <v>0</v>
      </c>
      <c r="T5191" s="57">
        <v>0</v>
      </c>
      <c r="U5191" s="57">
        <v>0</v>
      </c>
      <c r="V5191" s="57">
        <v>0</v>
      </c>
      <c r="W5191" s="57">
        <v>0</v>
      </c>
      <c r="X5191" s="57">
        <v>0</v>
      </c>
    </row>
    <row r="5192" spans="1:24" hidden="1" x14ac:dyDescent="0.35">
      <c r="A5192">
        <v>5188</v>
      </c>
      <c r="B5192">
        <v>5189</v>
      </c>
      <c r="C5192">
        <v>146.057794844</v>
      </c>
      <c r="D5192">
        <v>-17.635368117599899</v>
      </c>
      <c r="F5192" t="str">
        <f>HYPERLINK("D:\Data From Lucan\2024\Moresby\Frames_for_Analysis/5189_20240611_0006_L_0862.jpg","5189_20240611_0006_L_0862.jpg")</f>
        <v>5189_20240611_0006_L_0862.jpg</v>
      </c>
      <c r="G5192" s="92" t="s">
        <v>5570</v>
      </c>
      <c r="I5192">
        <v>4</v>
      </c>
      <c r="K5192" s="57">
        <v>1</v>
      </c>
      <c r="L5192" t="s">
        <v>3959</v>
      </c>
      <c r="M5192" t="s">
        <v>3959</v>
      </c>
      <c r="N5192" t="s">
        <v>3959</v>
      </c>
      <c r="O5192" t="s">
        <v>3959</v>
      </c>
      <c r="P5192" s="57">
        <v>1</v>
      </c>
      <c r="Q5192" s="57">
        <v>0</v>
      </c>
      <c r="R5192" s="57">
        <v>0</v>
      </c>
      <c r="S5192" s="57">
        <v>0</v>
      </c>
      <c r="T5192" s="57">
        <v>0</v>
      </c>
      <c r="U5192" s="57">
        <v>0</v>
      </c>
      <c r="V5192" s="57">
        <v>0</v>
      </c>
      <c r="W5192" s="57">
        <v>0</v>
      </c>
      <c r="X5192" s="57">
        <v>0</v>
      </c>
    </row>
    <row r="5193" spans="1:24" hidden="1" x14ac:dyDescent="0.35">
      <c r="A5193">
        <v>5189</v>
      </c>
      <c r="B5193">
        <v>5190</v>
      </c>
      <c r="C5193">
        <v>146.057728386999</v>
      </c>
      <c r="D5193">
        <v>-17.635425718600001</v>
      </c>
      <c r="F5193" t="str">
        <f>HYPERLINK("D:\Data From Lucan\2024\Moresby\Frames_for_Analysis/5190_20240611_0006_L_0865.jpg","5190_20240611_0006_L_0865.jpg")</f>
        <v>5190_20240611_0006_L_0865.jpg</v>
      </c>
      <c r="G5193" s="92" t="s">
        <v>5571</v>
      </c>
      <c r="I5193">
        <v>4</v>
      </c>
      <c r="K5193" s="57">
        <v>1</v>
      </c>
      <c r="L5193" t="s">
        <v>3959</v>
      </c>
      <c r="M5193" t="s">
        <v>3959</v>
      </c>
      <c r="N5193" t="s">
        <v>3959</v>
      </c>
      <c r="O5193" t="s">
        <v>3959</v>
      </c>
      <c r="P5193" s="57">
        <v>1</v>
      </c>
      <c r="Q5193" s="57">
        <v>0</v>
      </c>
      <c r="R5193" s="57">
        <v>0</v>
      </c>
      <c r="S5193" s="57">
        <v>0</v>
      </c>
      <c r="T5193" s="57">
        <v>0</v>
      </c>
      <c r="U5193" s="57">
        <v>0</v>
      </c>
      <c r="V5193" s="57">
        <v>0</v>
      </c>
      <c r="W5193" s="57">
        <v>0</v>
      </c>
      <c r="X5193" s="57">
        <v>0</v>
      </c>
    </row>
    <row r="5194" spans="1:24" hidden="1" x14ac:dyDescent="0.35">
      <c r="A5194">
        <v>5190</v>
      </c>
      <c r="B5194">
        <v>5191</v>
      </c>
      <c r="C5194">
        <v>146.05766072200001</v>
      </c>
      <c r="D5194">
        <v>-17.6354819744999</v>
      </c>
      <c r="F5194" t="str">
        <f>HYPERLINK("D:\Data From Lucan\2024\Moresby\Frames_for_Analysis/5191_20240611_0006_L_0868.jpg","5191_20240611_0006_L_0868.jpg")</f>
        <v>5191_20240611_0006_L_0868.jpg</v>
      </c>
      <c r="G5194" s="92" t="s">
        <v>5572</v>
      </c>
      <c r="I5194">
        <v>4</v>
      </c>
      <c r="K5194" s="57">
        <v>1</v>
      </c>
      <c r="L5194" t="s">
        <v>3959</v>
      </c>
      <c r="M5194" t="s">
        <v>3959</v>
      </c>
      <c r="N5194" t="s">
        <v>3959</v>
      </c>
      <c r="O5194" t="s">
        <v>3959</v>
      </c>
      <c r="P5194" s="57">
        <v>1</v>
      </c>
      <c r="Q5194" s="57">
        <v>0</v>
      </c>
      <c r="R5194" s="57">
        <v>0</v>
      </c>
      <c r="S5194" s="57">
        <v>0</v>
      </c>
      <c r="T5194" s="57">
        <v>0</v>
      </c>
      <c r="U5194" s="57">
        <v>0</v>
      </c>
      <c r="V5194" s="57">
        <v>0</v>
      </c>
      <c r="W5194" s="57">
        <v>0</v>
      </c>
      <c r="X5194" s="57">
        <v>0</v>
      </c>
    </row>
    <row r="5195" spans="1:24" hidden="1" x14ac:dyDescent="0.35">
      <c r="A5195">
        <v>5191</v>
      </c>
      <c r="B5195">
        <v>5192</v>
      </c>
      <c r="C5195">
        <v>146.05759078700001</v>
      </c>
      <c r="D5195">
        <v>-17.635535706500001</v>
      </c>
      <c r="F5195" t="str">
        <f>HYPERLINK("D:\Data From Lucan\2024\Moresby\Frames_for_Analysis/5192_20240611_0006_L_0872.jpg","5192_20240611_0006_L_0872.jpg")</f>
        <v>5192_20240611_0006_L_0872.jpg</v>
      </c>
      <c r="G5195" s="92" t="s">
        <v>5573</v>
      </c>
      <c r="I5195">
        <v>4</v>
      </c>
      <c r="K5195" s="57">
        <v>1</v>
      </c>
      <c r="L5195" t="s">
        <v>3959</v>
      </c>
      <c r="M5195" t="s">
        <v>3959</v>
      </c>
      <c r="N5195" t="s">
        <v>3959</v>
      </c>
      <c r="O5195" t="s">
        <v>3959</v>
      </c>
      <c r="P5195" s="57">
        <v>1</v>
      </c>
      <c r="Q5195" s="57">
        <v>0</v>
      </c>
      <c r="R5195" s="57">
        <v>0</v>
      </c>
      <c r="S5195" s="57">
        <v>0</v>
      </c>
      <c r="T5195" s="57">
        <v>0</v>
      </c>
      <c r="U5195" s="57">
        <v>0</v>
      </c>
      <c r="V5195" s="57">
        <v>0</v>
      </c>
      <c r="W5195" s="57">
        <v>0</v>
      </c>
      <c r="X5195" s="57">
        <v>0</v>
      </c>
    </row>
    <row r="5196" spans="1:24" hidden="1" x14ac:dyDescent="0.35">
      <c r="A5196">
        <v>5192</v>
      </c>
      <c r="B5196">
        <v>5193</v>
      </c>
      <c r="C5196">
        <v>146.057520853</v>
      </c>
      <c r="D5196">
        <v>-17.635589438499899</v>
      </c>
      <c r="F5196" t="str">
        <f>HYPERLINK("D:\Data From Lucan\2024\Moresby\Frames_for_Analysis/5193_20240611_0006_L_0874.jpg","5193_20240611_0006_L_0874.jpg")</f>
        <v>5193_20240611_0006_L_0874.jpg</v>
      </c>
      <c r="G5196" s="92" t="s">
        <v>5574</v>
      </c>
      <c r="I5196">
        <v>4</v>
      </c>
      <c r="K5196" s="57">
        <v>1</v>
      </c>
      <c r="L5196" t="s">
        <v>3959</v>
      </c>
      <c r="M5196" t="s">
        <v>3959</v>
      </c>
      <c r="N5196" t="s">
        <v>3959</v>
      </c>
      <c r="O5196" t="s">
        <v>3959</v>
      </c>
      <c r="P5196" s="57">
        <v>1</v>
      </c>
      <c r="Q5196" s="57">
        <v>0</v>
      </c>
      <c r="R5196" s="57">
        <v>0</v>
      </c>
      <c r="S5196" s="57">
        <v>0</v>
      </c>
      <c r="T5196" s="57">
        <v>0</v>
      </c>
      <c r="U5196" s="57">
        <v>0</v>
      </c>
      <c r="V5196" s="57">
        <v>0</v>
      </c>
      <c r="W5196" s="57">
        <v>0</v>
      </c>
      <c r="X5196" s="57">
        <v>0</v>
      </c>
    </row>
    <row r="5197" spans="1:24" hidden="1" x14ac:dyDescent="0.35">
      <c r="A5197">
        <v>5193</v>
      </c>
      <c r="B5197">
        <v>5194</v>
      </c>
      <c r="C5197">
        <v>146.057450918999</v>
      </c>
      <c r="D5197">
        <v>-17.6356431705</v>
      </c>
      <c r="F5197" t="str">
        <f>HYPERLINK("D:\Data From Lucan\2024\Moresby\Frames_for_Analysis/5194_20240611_0006_L_0876.jpg","5194_20240611_0006_L_0876.jpg")</f>
        <v>5194_20240611_0006_L_0876.jpg</v>
      </c>
      <c r="G5197" s="92" t="s">
        <v>5575</v>
      </c>
      <c r="I5197">
        <v>4</v>
      </c>
      <c r="K5197" s="57">
        <v>1</v>
      </c>
      <c r="L5197" t="s">
        <v>3959</v>
      </c>
      <c r="M5197" t="s">
        <v>3959</v>
      </c>
      <c r="N5197" t="s">
        <v>3959</v>
      </c>
      <c r="O5197" t="s">
        <v>3959</v>
      </c>
      <c r="P5197" s="57">
        <v>1</v>
      </c>
      <c r="Q5197" s="57">
        <v>0</v>
      </c>
      <c r="R5197" s="57">
        <v>0</v>
      </c>
      <c r="S5197" s="57">
        <v>0</v>
      </c>
      <c r="T5197" s="57">
        <v>0</v>
      </c>
      <c r="U5197" s="57">
        <v>0</v>
      </c>
      <c r="V5197" s="57">
        <v>0</v>
      </c>
      <c r="W5197" s="57">
        <v>0</v>
      </c>
      <c r="X5197" s="57">
        <v>0</v>
      </c>
    </row>
    <row r="5198" spans="1:24" hidden="1" x14ac:dyDescent="0.35">
      <c r="A5198">
        <v>5194</v>
      </c>
      <c r="B5198">
        <v>5195</v>
      </c>
      <c r="C5198">
        <v>146.05738098500001</v>
      </c>
      <c r="D5198">
        <v>-17.635696902500001</v>
      </c>
      <c r="F5198" t="str">
        <f>HYPERLINK("D:\Data From Lucan\2024\Moresby\Frames_for_Analysis/5195_20240611_0006_L_0879.jpg","5195_20240611_0006_L_0879.jpg")</f>
        <v>5195_20240611_0006_L_0879.jpg</v>
      </c>
      <c r="G5198" s="92" t="s">
        <v>5576</v>
      </c>
      <c r="I5198">
        <v>4</v>
      </c>
      <c r="K5198" s="57">
        <v>1</v>
      </c>
      <c r="L5198" t="s">
        <v>3959</v>
      </c>
      <c r="M5198" t="s">
        <v>3959</v>
      </c>
      <c r="N5198" t="s">
        <v>3959</v>
      </c>
      <c r="O5198" t="s">
        <v>3959</v>
      </c>
      <c r="P5198" s="57">
        <v>1</v>
      </c>
      <c r="Q5198" s="57">
        <v>0</v>
      </c>
      <c r="R5198" s="57">
        <v>0</v>
      </c>
      <c r="S5198" s="57">
        <v>0</v>
      </c>
      <c r="T5198" s="57">
        <v>0</v>
      </c>
      <c r="U5198" s="57">
        <v>0</v>
      </c>
      <c r="V5198" s="57">
        <v>0</v>
      </c>
      <c r="W5198" s="57">
        <v>0</v>
      </c>
      <c r="X5198" s="57">
        <v>0</v>
      </c>
    </row>
    <row r="5199" spans="1:24" hidden="1" x14ac:dyDescent="0.35">
      <c r="A5199">
        <v>5195</v>
      </c>
      <c r="B5199">
        <v>5196</v>
      </c>
      <c r="C5199">
        <v>146.05731105000001</v>
      </c>
      <c r="D5199">
        <v>-17.635750634400001</v>
      </c>
      <c r="F5199" t="str">
        <f>HYPERLINK("D:\Data From Lucan\2024\Moresby\Frames_for_Analysis/5196_20240611_0006_L_0883.jpg","5196_20240611_0006_L_0883.jpg")</f>
        <v>5196_20240611_0006_L_0883.jpg</v>
      </c>
      <c r="G5199" s="92" t="s">
        <v>5577</v>
      </c>
      <c r="I5199">
        <v>4</v>
      </c>
      <c r="K5199" s="57">
        <v>0</v>
      </c>
      <c r="P5199" s="57">
        <v>1</v>
      </c>
      <c r="Q5199" s="57">
        <v>0</v>
      </c>
      <c r="R5199" s="57">
        <v>0</v>
      </c>
      <c r="S5199" s="57">
        <v>0</v>
      </c>
      <c r="T5199" s="57">
        <v>0</v>
      </c>
      <c r="U5199" s="57">
        <v>0</v>
      </c>
      <c r="V5199" s="57">
        <v>0</v>
      </c>
      <c r="W5199" s="57">
        <v>0</v>
      </c>
      <c r="X5199" s="57">
        <v>0</v>
      </c>
    </row>
    <row r="5200" spans="1:24" hidden="1" x14ac:dyDescent="0.35">
      <c r="A5200">
        <v>5196</v>
      </c>
      <c r="B5200">
        <v>5197</v>
      </c>
      <c r="C5200">
        <v>146.057241116</v>
      </c>
      <c r="D5200">
        <v>-17.6358043663</v>
      </c>
      <c r="F5200" t="str">
        <f>HYPERLINK("D:\Data From Lucan\2024\Moresby\Frames_for_Analysis/5197_20240611_0006_L_0886.jpg","5197_20240611_0006_L_0886.jpg")</f>
        <v>5197_20240611_0006_L_0886.jpg</v>
      </c>
      <c r="G5200" s="92" t="s">
        <v>5578</v>
      </c>
      <c r="I5200">
        <v>4</v>
      </c>
      <c r="K5200" s="57">
        <v>1</v>
      </c>
      <c r="L5200" t="s">
        <v>3959</v>
      </c>
      <c r="M5200" t="s">
        <v>3959</v>
      </c>
      <c r="N5200" t="s">
        <v>3959</v>
      </c>
      <c r="O5200" t="s">
        <v>3959</v>
      </c>
      <c r="P5200" s="57">
        <v>1</v>
      </c>
      <c r="Q5200" s="57">
        <v>0</v>
      </c>
      <c r="R5200" s="57">
        <v>0</v>
      </c>
      <c r="S5200" s="57">
        <v>0</v>
      </c>
      <c r="T5200" s="57">
        <v>0</v>
      </c>
      <c r="U5200" s="57">
        <v>0</v>
      </c>
      <c r="V5200" s="57">
        <v>0</v>
      </c>
      <c r="W5200" s="57">
        <v>0</v>
      </c>
      <c r="X5200" s="57">
        <v>0</v>
      </c>
    </row>
    <row r="5201" spans="1:24" hidden="1" x14ac:dyDescent="0.35">
      <c r="A5201">
        <v>5197</v>
      </c>
      <c r="B5201">
        <v>5198</v>
      </c>
      <c r="C5201">
        <v>146.057172197</v>
      </c>
      <c r="D5201">
        <v>-17.635859263899899</v>
      </c>
      <c r="F5201" t="str">
        <f>HYPERLINK("D:\Data From Lucan\2024\Moresby\Frames_for_Analysis/5198_20240611_0006_L_0888.jpg","5198_20240611_0006_L_0888.jpg")</f>
        <v>5198_20240611_0006_L_0888.jpg</v>
      </c>
      <c r="G5201" s="92" t="s">
        <v>5579</v>
      </c>
      <c r="I5201">
        <v>4</v>
      </c>
      <c r="K5201" s="57">
        <v>1</v>
      </c>
      <c r="L5201" t="s">
        <v>3959</v>
      </c>
      <c r="M5201" t="s">
        <v>3959</v>
      </c>
      <c r="N5201" t="s">
        <v>3959</v>
      </c>
      <c r="O5201" t="s">
        <v>3959</v>
      </c>
      <c r="P5201" s="57">
        <v>1</v>
      </c>
      <c r="Q5201" s="57">
        <v>0</v>
      </c>
      <c r="R5201" s="57">
        <v>0</v>
      </c>
      <c r="S5201" s="57">
        <v>0</v>
      </c>
      <c r="T5201" s="57">
        <v>0</v>
      </c>
      <c r="U5201" s="57">
        <v>0</v>
      </c>
      <c r="V5201" s="57">
        <v>0</v>
      </c>
      <c r="W5201" s="57">
        <v>0</v>
      </c>
      <c r="X5201" s="57">
        <v>0</v>
      </c>
    </row>
    <row r="5202" spans="1:24" hidden="1" x14ac:dyDescent="0.35">
      <c r="A5202">
        <v>5198</v>
      </c>
      <c r="B5202">
        <v>5199</v>
      </c>
      <c r="C5202">
        <v>146.05710387600001</v>
      </c>
      <c r="D5202">
        <v>-17.635914849300001</v>
      </c>
      <c r="F5202" t="str">
        <f>HYPERLINK("D:\Data From Lucan\2024\Moresby\Frames_for_Analysis/5199_20240611_0006_L_0891.jpg","5199_20240611_0006_L_0891.jpg")</f>
        <v>5199_20240611_0006_L_0891.jpg</v>
      </c>
      <c r="G5202" s="92" t="s">
        <v>5580</v>
      </c>
      <c r="I5202">
        <v>4</v>
      </c>
      <c r="K5202" s="57">
        <v>1</v>
      </c>
      <c r="L5202" t="s">
        <v>3959</v>
      </c>
      <c r="M5202" t="s">
        <v>3959</v>
      </c>
      <c r="N5202" t="s">
        <v>3959</v>
      </c>
      <c r="O5202" t="s">
        <v>3959</v>
      </c>
      <c r="P5202" s="57">
        <v>1</v>
      </c>
      <c r="Q5202" s="57">
        <v>0</v>
      </c>
      <c r="R5202" s="57">
        <v>0</v>
      </c>
      <c r="S5202" s="57">
        <v>0</v>
      </c>
      <c r="T5202" s="57">
        <v>0</v>
      </c>
      <c r="U5202" s="57">
        <v>0</v>
      </c>
      <c r="V5202" s="57">
        <v>0</v>
      </c>
      <c r="W5202" s="57">
        <v>0</v>
      </c>
      <c r="X5202" s="57">
        <v>0</v>
      </c>
    </row>
    <row r="5203" spans="1:24" hidden="1" x14ac:dyDescent="0.35">
      <c r="A5203">
        <v>5199</v>
      </c>
      <c r="B5203">
        <v>5200</v>
      </c>
      <c r="C5203">
        <v>146.05703555599899</v>
      </c>
      <c r="D5203">
        <v>-17.635970434800001</v>
      </c>
      <c r="F5203" t="str">
        <f>HYPERLINK("D:\Data From Lucan\2024\Moresby\Frames_for_Analysis/5200_20240611_0006_L_0894.jpg","5200_20240611_0006_L_0894.jpg")</f>
        <v>5200_20240611_0006_L_0894.jpg</v>
      </c>
      <c r="G5203" s="92" t="s">
        <v>5581</v>
      </c>
      <c r="I5203">
        <v>4</v>
      </c>
      <c r="K5203" s="57">
        <v>1</v>
      </c>
      <c r="L5203" t="s">
        <v>3959</v>
      </c>
      <c r="M5203" t="s">
        <v>3959</v>
      </c>
      <c r="N5203" t="s">
        <v>3959</v>
      </c>
      <c r="O5203" t="s">
        <v>3959</v>
      </c>
      <c r="P5203" s="57">
        <v>1</v>
      </c>
      <c r="Q5203" s="57">
        <v>0</v>
      </c>
      <c r="R5203" s="57">
        <v>0</v>
      </c>
      <c r="S5203" s="57">
        <v>0</v>
      </c>
      <c r="T5203" s="57">
        <v>0</v>
      </c>
      <c r="U5203" s="57">
        <v>0</v>
      </c>
      <c r="V5203" s="57">
        <v>0</v>
      </c>
      <c r="W5203" s="57">
        <v>0</v>
      </c>
      <c r="X5203" s="57">
        <v>0</v>
      </c>
    </row>
    <row r="5204" spans="1:24" hidden="1" x14ac:dyDescent="0.35">
      <c r="A5204">
        <v>5200</v>
      </c>
      <c r="B5204">
        <v>5201</v>
      </c>
      <c r="C5204">
        <v>146.056967235</v>
      </c>
      <c r="D5204">
        <v>-17.636026020100001</v>
      </c>
      <c r="F5204" t="str">
        <f>HYPERLINK("D:\Data From Lucan\2024\Moresby\Frames_for_Analysis/5201_20240611_0006_L_0897.jpg","5201_20240611_0006_L_0897.jpg")</f>
        <v>5201_20240611_0006_L_0897.jpg</v>
      </c>
      <c r="G5204" s="92" t="s">
        <v>5582</v>
      </c>
      <c r="I5204">
        <v>4</v>
      </c>
      <c r="K5204" s="57">
        <v>1</v>
      </c>
      <c r="L5204" t="s">
        <v>3959</v>
      </c>
      <c r="M5204" t="s">
        <v>3959</v>
      </c>
      <c r="N5204" t="s">
        <v>3959</v>
      </c>
      <c r="O5204" t="s">
        <v>3959</v>
      </c>
      <c r="P5204" s="57">
        <v>1</v>
      </c>
      <c r="Q5204" s="57">
        <v>0</v>
      </c>
      <c r="R5204" s="57">
        <v>0</v>
      </c>
      <c r="S5204" s="57">
        <v>0</v>
      </c>
      <c r="T5204" s="57">
        <v>0</v>
      </c>
      <c r="U5204" s="57">
        <v>0</v>
      </c>
      <c r="V5204" s="57">
        <v>0</v>
      </c>
      <c r="W5204" s="57">
        <v>0</v>
      </c>
      <c r="X5204" s="57">
        <v>0</v>
      </c>
    </row>
    <row r="5205" spans="1:24" hidden="1" x14ac:dyDescent="0.35">
      <c r="A5205">
        <v>5201</v>
      </c>
      <c r="B5205">
        <v>5202</v>
      </c>
      <c r="C5205">
        <v>146.056898915</v>
      </c>
      <c r="D5205">
        <v>-17.6360816054999</v>
      </c>
      <c r="F5205" t="str">
        <f>HYPERLINK("D:\Data From Lucan\2024\Moresby\Frames_for_Analysis/5202_20240611_0006_L_0899.jpg","5202_20240611_0006_L_0899.jpg")</f>
        <v>5202_20240611_0006_L_0899.jpg</v>
      </c>
      <c r="G5205" s="92" t="s">
        <v>5583</v>
      </c>
      <c r="I5205">
        <v>4</v>
      </c>
      <c r="K5205" s="57">
        <v>1</v>
      </c>
      <c r="L5205" t="s">
        <v>3959</v>
      </c>
      <c r="M5205" t="s">
        <v>3959</v>
      </c>
      <c r="N5205" t="s">
        <v>3959</v>
      </c>
      <c r="O5205" t="s">
        <v>3959</v>
      </c>
      <c r="P5205" s="57">
        <v>1</v>
      </c>
      <c r="Q5205" s="57">
        <v>0</v>
      </c>
      <c r="R5205" s="57">
        <v>0</v>
      </c>
      <c r="S5205" s="57">
        <v>0</v>
      </c>
      <c r="T5205" s="57">
        <v>0</v>
      </c>
      <c r="U5205" s="57">
        <v>0</v>
      </c>
      <c r="V5205" s="57">
        <v>0</v>
      </c>
      <c r="W5205" s="57">
        <v>0</v>
      </c>
      <c r="X5205" s="57">
        <v>0</v>
      </c>
    </row>
    <row r="5206" spans="1:24" hidden="1" x14ac:dyDescent="0.35">
      <c r="A5206">
        <v>5202</v>
      </c>
      <c r="B5206">
        <v>5203</v>
      </c>
      <c r="C5206">
        <v>146.056830593999</v>
      </c>
      <c r="D5206">
        <v>-17.636137190900001</v>
      </c>
      <c r="F5206" t="str">
        <f>HYPERLINK("D:\Data From Lucan\2024\Moresby\Frames_for_Analysis/5203_20240611_0006_L_0902.jpg","5203_20240611_0006_L_0902.jpg")</f>
        <v>5203_20240611_0006_L_0902.jpg</v>
      </c>
      <c r="G5206" s="92" t="s">
        <v>5584</v>
      </c>
      <c r="I5206">
        <v>4</v>
      </c>
      <c r="K5206" s="57">
        <v>1</v>
      </c>
      <c r="L5206" t="s">
        <v>3959</v>
      </c>
      <c r="M5206" t="s">
        <v>3959</v>
      </c>
      <c r="N5206" t="s">
        <v>3959</v>
      </c>
      <c r="O5206" t="s">
        <v>3959</v>
      </c>
      <c r="P5206" s="57">
        <v>1</v>
      </c>
      <c r="Q5206" s="57">
        <v>0</v>
      </c>
      <c r="R5206" s="57">
        <v>0</v>
      </c>
      <c r="S5206" s="57">
        <v>0</v>
      </c>
      <c r="T5206" s="57">
        <v>0</v>
      </c>
      <c r="U5206" s="57">
        <v>0</v>
      </c>
      <c r="V5206" s="57">
        <v>0</v>
      </c>
      <c r="W5206" s="57">
        <v>0</v>
      </c>
      <c r="X5206" s="57">
        <v>0</v>
      </c>
    </row>
    <row r="5207" spans="1:24" hidden="1" x14ac:dyDescent="0.35">
      <c r="A5207">
        <v>5203</v>
      </c>
      <c r="B5207">
        <v>5204</v>
      </c>
      <c r="C5207">
        <v>146.056752867</v>
      </c>
      <c r="D5207">
        <v>-17.6361797715</v>
      </c>
      <c r="F5207" t="str">
        <f>HYPERLINK("D:\Data From Lucan\2024\Moresby\Frames_for_Analysis/5204_20240611_0006_L_0905.jpg","5204_20240611_0006_L_0905.jpg")</f>
        <v>5204_20240611_0006_L_0905.jpg</v>
      </c>
      <c r="G5207" s="92" t="s">
        <v>5585</v>
      </c>
      <c r="I5207">
        <v>4</v>
      </c>
      <c r="K5207" s="57">
        <v>1</v>
      </c>
      <c r="P5207" s="57">
        <v>1</v>
      </c>
      <c r="Q5207" s="57">
        <v>0</v>
      </c>
      <c r="R5207" s="57">
        <v>0</v>
      </c>
      <c r="S5207" s="57">
        <v>0</v>
      </c>
      <c r="T5207" s="57">
        <v>0</v>
      </c>
      <c r="U5207" s="57">
        <v>0</v>
      </c>
      <c r="V5207" s="57">
        <v>0</v>
      </c>
      <c r="W5207" s="57">
        <v>0</v>
      </c>
      <c r="X5207" s="57">
        <v>0</v>
      </c>
    </row>
    <row r="5208" spans="1:24" hidden="1" x14ac:dyDescent="0.35">
      <c r="A5208">
        <v>5204</v>
      </c>
      <c r="B5208">
        <v>5205</v>
      </c>
      <c r="C5208">
        <v>146.056674049999</v>
      </c>
      <c r="D5208">
        <v>-17.636220846400001</v>
      </c>
      <c r="F5208" t="str">
        <f>HYPERLINK("D:\Data From Lucan\2024\Moresby\Frames_for_Analysis/5205_20240611_0006_L_0908.jpg","5205_20240611_0006_L_0908.jpg")</f>
        <v>5205_20240611_0006_L_0908.jpg</v>
      </c>
      <c r="G5208" s="92" t="s">
        <v>5586</v>
      </c>
      <c r="I5208">
        <v>4</v>
      </c>
      <c r="K5208" s="57">
        <v>1</v>
      </c>
      <c r="P5208" s="57">
        <v>1</v>
      </c>
      <c r="Q5208" s="57">
        <v>0</v>
      </c>
      <c r="R5208" s="57">
        <v>0</v>
      </c>
      <c r="S5208" s="57">
        <v>0</v>
      </c>
      <c r="T5208" s="57">
        <v>0</v>
      </c>
      <c r="U5208" s="57">
        <v>0</v>
      </c>
      <c r="V5208" s="57">
        <v>0</v>
      </c>
      <c r="W5208" s="57">
        <v>0</v>
      </c>
      <c r="X5208" s="57">
        <v>0</v>
      </c>
    </row>
    <row r="5209" spans="1:24" hidden="1" x14ac:dyDescent="0.35">
      <c r="A5209">
        <v>5205</v>
      </c>
      <c r="B5209">
        <v>5206</v>
      </c>
      <c r="C5209">
        <v>146.05659523400001</v>
      </c>
      <c r="D5209">
        <v>-17.6362619211999</v>
      </c>
      <c r="F5209" t="str">
        <f>HYPERLINK("D:\Data From Lucan\2024\Moresby\Frames_for_Analysis/5206_20240611_0006_L_0911.jpg","5206_20240611_0006_L_0911.jpg")</f>
        <v>5206_20240611_0006_L_0911.jpg</v>
      </c>
      <c r="G5209" s="92" t="s">
        <v>5587</v>
      </c>
      <c r="I5209">
        <v>4</v>
      </c>
      <c r="K5209" s="57">
        <v>1</v>
      </c>
      <c r="P5209" s="57">
        <v>1</v>
      </c>
      <c r="Q5209" s="57">
        <v>0</v>
      </c>
      <c r="R5209" s="57">
        <v>0</v>
      </c>
      <c r="S5209" s="57">
        <v>0</v>
      </c>
      <c r="T5209" s="57">
        <v>0</v>
      </c>
      <c r="U5209" s="57">
        <v>0</v>
      </c>
      <c r="V5209" s="57">
        <v>0</v>
      </c>
      <c r="W5209" s="57">
        <v>0</v>
      </c>
      <c r="X5209" s="57">
        <v>0</v>
      </c>
    </row>
    <row r="5210" spans="1:24" hidden="1" x14ac:dyDescent="0.35">
      <c r="A5210">
        <v>5206</v>
      </c>
      <c r="B5210">
        <v>5207</v>
      </c>
      <c r="C5210">
        <v>146.05651641700001</v>
      </c>
      <c r="D5210">
        <v>-17.6363029961</v>
      </c>
      <c r="F5210" t="str">
        <f>HYPERLINK("D:\Data From Lucan\2024\Moresby\Frames_for_Analysis/5207_20240611_0006_L_0914.jpg","5207_20240611_0006_L_0914.jpg")</f>
        <v>5207_20240611_0006_L_0914.jpg</v>
      </c>
      <c r="G5210" s="92" t="s">
        <v>5588</v>
      </c>
      <c r="I5210">
        <v>4</v>
      </c>
      <c r="K5210" s="57">
        <v>1</v>
      </c>
      <c r="L5210" t="s">
        <v>3959</v>
      </c>
      <c r="M5210" t="s">
        <v>3959</v>
      </c>
      <c r="N5210" t="s">
        <v>3959</v>
      </c>
      <c r="O5210" t="s">
        <v>3959</v>
      </c>
      <c r="P5210" s="57">
        <v>1</v>
      </c>
      <c r="Q5210" s="57">
        <v>0</v>
      </c>
      <c r="R5210" s="57">
        <v>0</v>
      </c>
      <c r="S5210" s="57">
        <v>0</v>
      </c>
      <c r="T5210" s="57">
        <v>0</v>
      </c>
      <c r="U5210" s="57">
        <v>0</v>
      </c>
      <c r="V5210" s="57">
        <v>0</v>
      </c>
      <c r="W5210" s="57">
        <v>0</v>
      </c>
      <c r="X5210" s="57">
        <v>0</v>
      </c>
    </row>
    <row r="5211" spans="1:24" hidden="1" x14ac:dyDescent="0.35">
      <c r="A5211">
        <v>5207</v>
      </c>
      <c r="B5211">
        <v>5208</v>
      </c>
      <c r="C5211">
        <v>146.056437600999</v>
      </c>
      <c r="D5211">
        <v>-17.636344071</v>
      </c>
      <c r="F5211" t="str">
        <f>HYPERLINK("D:\Data From Lucan\2024\Moresby\Frames_for_Analysis/5208_20240611_0006_L_0916.jpg","5208_20240611_0006_L_0916.jpg")</f>
        <v>5208_20240611_0006_L_0916.jpg</v>
      </c>
      <c r="G5211" s="92" t="s">
        <v>5589</v>
      </c>
      <c r="I5211">
        <v>4</v>
      </c>
      <c r="K5211" s="57">
        <v>1</v>
      </c>
      <c r="L5211" t="s">
        <v>3959</v>
      </c>
      <c r="M5211" t="s">
        <v>3959</v>
      </c>
      <c r="N5211" t="s">
        <v>3959</v>
      </c>
      <c r="O5211" t="s">
        <v>3959</v>
      </c>
      <c r="P5211" s="57">
        <v>1</v>
      </c>
      <c r="Q5211" s="57">
        <v>0</v>
      </c>
      <c r="R5211" s="57">
        <v>0</v>
      </c>
      <c r="S5211" s="57">
        <v>0</v>
      </c>
      <c r="T5211" s="57">
        <v>0</v>
      </c>
      <c r="U5211" s="57">
        <v>0</v>
      </c>
      <c r="V5211" s="57">
        <v>0</v>
      </c>
      <c r="W5211" s="57">
        <v>0</v>
      </c>
      <c r="X5211" s="57">
        <v>0</v>
      </c>
    </row>
    <row r="5212" spans="1:24" hidden="1" x14ac:dyDescent="0.35">
      <c r="A5212">
        <v>5208</v>
      </c>
      <c r="B5212">
        <v>5209</v>
      </c>
      <c r="C5212">
        <v>146.056358899</v>
      </c>
      <c r="D5212">
        <v>-17.636385342600001</v>
      </c>
      <c r="F5212" t="str">
        <f>HYPERLINK("D:\Data From Lucan\2024\Moresby\Frames_for_Analysis/5209_20240611_0006_L_0919.jpg","5209_20240611_0006_L_0919.jpg")</f>
        <v>5209_20240611_0006_L_0919.jpg</v>
      </c>
      <c r="G5212" s="92" t="s">
        <v>5590</v>
      </c>
      <c r="I5212">
        <v>4</v>
      </c>
      <c r="K5212" s="57">
        <v>1</v>
      </c>
      <c r="P5212" s="57">
        <v>1</v>
      </c>
      <c r="Q5212" s="57">
        <v>0</v>
      </c>
      <c r="R5212" s="57">
        <v>0</v>
      </c>
      <c r="S5212" s="57">
        <v>0</v>
      </c>
      <c r="T5212" s="57">
        <v>0</v>
      </c>
      <c r="U5212" s="57">
        <v>0</v>
      </c>
      <c r="V5212" s="57">
        <v>0</v>
      </c>
      <c r="W5212" s="57">
        <v>0</v>
      </c>
      <c r="X5212" s="57">
        <v>0</v>
      </c>
    </row>
    <row r="5213" spans="1:24" hidden="1" x14ac:dyDescent="0.35">
      <c r="A5213">
        <v>5209</v>
      </c>
      <c r="B5213">
        <v>5210</v>
      </c>
      <c r="C5213">
        <v>146.05628058900001</v>
      </c>
      <c r="D5213">
        <v>-17.636427289</v>
      </c>
      <c r="F5213" t="str">
        <f>HYPERLINK("D:\Data From Lucan\2024\Moresby\Frames_for_Analysis/5210_20240611_0006_L_0922.jpg","5210_20240611_0006_L_0922.jpg")</f>
        <v>5210_20240611_0006_L_0922.jpg</v>
      </c>
      <c r="G5213" s="92" t="s">
        <v>5591</v>
      </c>
      <c r="I5213">
        <v>4</v>
      </c>
      <c r="K5213" s="57">
        <v>1</v>
      </c>
      <c r="P5213" s="57">
        <v>1</v>
      </c>
      <c r="Q5213" s="57">
        <v>0</v>
      </c>
      <c r="R5213" s="57">
        <v>0</v>
      </c>
      <c r="S5213" s="57">
        <v>0</v>
      </c>
      <c r="T5213" s="57">
        <v>0</v>
      </c>
      <c r="U5213" s="57">
        <v>0</v>
      </c>
      <c r="V5213" s="57">
        <v>0</v>
      </c>
      <c r="W5213" s="57">
        <v>0</v>
      </c>
      <c r="X5213" s="57">
        <v>0</v>
      </c>
    </row>
    <row r="5214" spans="1:24" hidden="1" x14ac:dyDescent="0.35">
      <c r="A5214">
        <v>5210</v>
      </c>
      <c r="B5214">
        <v>5211</v>
      </c>
      <c r="C5214">
        <v>146.05620228000001</v>
      </c>
      <c r="D5214">
        <v>-17.636469235300002</v>
      </c>
      <c r="F5214" t="str">
        <f>HYPERLINK("D:\Data From Lucan\2024\Moresby\Frames_for_Analysis/5211_20240611_0006_L_0925.jpg","5211_20240611_0006_L_0925.jpg")</f>
        <v>5211_20240611_0006_L_0925.jpg</v>
      </c>
      <c r="G5214" s="92" t="s">
        <v>5592</v>
      </c>
      <c r="I5214">
        <v>4</v>
      </c>
      <c r="K5214" s="57">
        <v>1</v>
      </c>
      <c r="P5214" s="57">
        <v>1</v>
      </c>
      <c r="Q5214" s="57">
        <v>0</v>
      </c>
      <c r="R5214" s="57">
        <v>0</v>
      </c>
      <c r="S5214" s="57">
        <v>0</v>
      </c>
      <c r="T5214" s="57">
        <v>0</v>
      </c>
      <c r="U5214" s="57">
        <v>0</v>
      </c>
      <c r="V5214" s="57">
        <v>0</v>
      </c>
      <c r="W5214" s="57">
        <v>0</v>
      </c>
      <c r="X5214" s="57">
        <v>0</v>
      </c>
    </row>
    <row r="5215" spans="1:24" hidden="1" x14ac:dyDescent="0.35">
      <c r="A5215">
        <v>5211</v>
      </c>
      <c r="B5215">
        <v>5212</v>
      </c>
      <c r="C5215">
        <v>146.05612396999899</v>
      </c>
      <c r="D5215">
        <v>-17.636511181700001</v>
      </c>
      <c r="F5215" t="str">
        <f>HYPERLINK("D:\Data From Lucan\2024\Moresby\Frames_for_Analysis/5212_20240611_0006_L_0928.jpg","5212_20240611_0006_L_0928.jpg")</f>
        <v>5212_20240611_0006_L_0928.jpg</v>
      </c>
      <c r="G5215" s="92" t="s">
        <v>5593</v>
      </c>
      <c r="I5215">
        <v>4</v>
      </c>
      <c r="K5215" s="57">
        <v>1</v>
      </c>
      <c r="P5215" s="57">
        <v>1</v>
      </c>
      <c r="Q5215" s="57">
        <v>0</v>
      </c>
      <c r="R5215" s="57">
        <v>0</v>
      </c>
      <c r="S5215" s="57">
        <v>0</v>
      </c>
      <c r="T5215" s="57">
        <v>0</v>
      </c>
      <c r="U5215" s="57">
        <v>0</v>
      </c>
      <c r="V5215" s="57">
        <v>0</v>
      </c>
      <c r="W5215" s="57">
        <v>0</v>
      </c>
      <c r="X5215" s="57">
        <v>0</v>
      </c>
    </row>
    <row r="5216" spans="1:24" hidden="1" x14ac:dyDescent="0.35">
      <c r="A5216">
        <v>5212</v>
      </c>
      <c r="B5216">
        <v>5213</v>
      </c>
      <c r="C5216">
        <v>146.05604623599899</v>
      </c>
      <c r="D5216">
        <v>-17.636554087099899</v>
      </c>
      <c r="F5216" t="str">
        <f>HYPERLINK("D:\Data From Lucan\2024\Moresby\Frames_for_Analysis/5213_20240611_0006_L_0931.jpg","5213_20240611_0006_L_0931.jpg")</f>
        <v>5213_20240611_0006_L_0931.jpg</v>
      </c>
      <c r="G5216" s="92" t="s">
        <v>5594</v>
      </c>
      <c r="I5216">
        <v>4</v>
      </c>
      <c r="K5216" s="57">
        <v>1</v>
      </c>
      <c r="L5216" t="s">
        <v>3959</v>
      </c>
      <c r="M5216" t="s">
        <v>3959</v>
      </c>
      <c r="N5216" t="s">
        <v>3959</v>
      </c>
      <c r="O5216" t="s">
        <v>3959</v>
      </c>
      <c r="P5216" s="57">
        <v>1</v>
      </c>
      <c r="Q5216" s="57">
        <v>0</v>
      </c>
      <c r="R5216" s="57">
        <v>0</v>
      </c>
      <c r="S5216" s="57">
        <v>0</v>
      </c>
      <c r="T5216" s="57">
        <v>0</v>
      </c>
      <c r="U5216" s="57">
        <v>0</v>
      </c>
      <c r="V5216" s="57">
        <v>0</v>
      </c>
      <c r="W5216" s="57">
        <v>0</v>
      </c>
      <c r="X5216" s="57">
        <v>0</v>
      </c>
    </row>
    <row r="5217" spans="1:24" hidden="1" x14ac:dyDescent="0.35">
      <c r="A5217">
        <v>5213</v>
      </c>
      <c r="B5217">
        <v>5214</v>
      </c>
      <c r="C5217">
        <v>146.05596853500001</v>
      </c>
      <c r="D5217">
        <v>-17.636597049399899</v>
      </c>
      <c r="F5217" t="str">
        <f>HYPERLINK("D:\Data From Lucan\2024\Moresby\Frames_for_Analysis/5214_20240611_0006_L_0933.jpg","5214_20240611_0006_L_0933.jpg")</f>
        <v>5214_20240611_0006_L_0933.jpg</v>
      </c>
      <c r="G5217" s="92" t="s">
        <v>5595</v>
      </c>
      <c r="I5217">
        <v>4</v>
      </c>
      <c r="K5217" s="57">
        <v>1</v>
      </c>
      <c r="P5217" s="57">
        <v>1</v>
      </c>
      <c r="Q5217" s="57">
        <v>0</v>
      </c>
      <c r="R5217" s="57">
        <v>0</v>
      </c>
      <c r="S5217" s="57">
        <v>0</v>
      </c>
      <c r="T5217" s="57">
        <v>0</v>
      </c>
      <c r="U5217" s="57">
        <v>0</v>
      </c>
      <c r="V5217" s="57">
        <v>0</v>
      </c>
      <c r="W5217" s="57">
        <v>0</v>
      </c>
      <c r="X5217" s="57">
        <v>0</v>
      </c>
    </row>
    <row r="5218" spans="1:24" hidden="1" x14ac:dyDescent="0.35">
      <c r="A5218">
        <v>5214</v>
      </c>
      <c r="B5218">
        <v>5215</v>
      </c>
      <c r="C5218">
        <v>146.055890833999</v>
      </c>
      <c r="D5218">
        <v>-17.6366400116999</v>
      </c>
      <c r="F5218" t="str">
        <f>HYPERLINK("D:\Data From Lucan\2024\Moresby\Frames_for_Analysis/5215_20240611_0006_L_0936.jpg","5215_20240611_0006_L_0936.jpg")</f>
        <v>5215_20240611_0006_L_0936.jpg</v>
      </c>
      <c r="G5218" s="92" t="s">
        <v>5596</v>
      </c>
      <c r="I5218">
        <v>4</v>
      </c>
      <c r="K5218" s="57">
        <v>1</v>
      </c>
      <c r="P5218" s="57">
        <v>1</v>
      </c>
      <c r="Q5218" s="57">
        <v>0</v>
      </c>
      <c r="R5218" s="57">
        <v>0</v>
      </c>
      <c r="S5218" s="57">
        <v>0</v>
      </c>
      <c r="T5218" s="57">
        <v>0</v>
      </c>
      <c r="U5218" s="57">
        <v>0</v>
      </c>
      <c r="V5218" s="57">
        <v>0</v>
      </c>
      <c r="W5218" s="57">
        <v>0</v>
      </c>
      <c r="X5218" s="57">
        <v>0</v>
      </c>
    </row>
    <row r="5219" spans="1:24" hidden="1" x14ac:dyDescent="0.35">
      <c r="A5219">
        <v>5215</v>
      </c>
      <c r="B5219">
        <v>5216</v>
      </c>
      <c r="C5219">
        <v>146.05581926299899</v>
      </c>
      <c r="D5219">
        <v>-17.636690790100001</v>
      </c>
      <c r="F5219" t="str">
        <f>HYPERLINK("D:\Data From Lucan\2024\Moresby\Frames_for_Analysis/5216_20240611_0006_L_0939.jpg","5216_20240611_0006_L_0939.jpg")</f>
        <v>5216_20240611_0006_L_0939.jpg</v>
      </c>
      <c r="G5219" s="92" t="s">
        <v>5597</v>
      </c>
      <c r="I5219">
        <v>4</v>
      </c>
      <c r="K5219" s="57">
        <v>1</v>
      </c>
      <c r="P5219" s="57">
        <v>1</v>
      </c>
      <c r="Q5219" s="57">
        <v>0</v>
      </c>
      <c r="R5219" s="57">
        <v>0</v>
      </c>
      <c r="S5219" s="57">
        <v>0</v>
      </c>
      <c r="T5219" s="57">
        <v>0</v>
      </c>
      <c r="U5219" s="57">
        <v>0</v>
      </c>
      <c r="V5219" s="57">
        <v>0</v>
      </c>
      <c r="W5219" s="57">
        <v>0</v>
      </c>
      <c r="X5219" s="57">
        <v>0</v>
      </c>
    </row>
    <row r="5220" spans="1:24" hidden="1" x14ac:dyDescent="0.35">
      <c r="A5220">
        <v>5216</v>
      </c>
      <c r="B5220">
        <v>5217</v>
      </c>
      <c r="C5220">
        <v>146.055754014999</v>
      </c>
      <c r="D5220">
        <v>-17.636749632400001</v>
      </c>
      <c r="F5220" t="str">
        <f>HYPERLINK("D:\Data From Lucan\2024\Moresby\Frames_for_Analysis/5217_20240611_0006_L_0942.jpg","5217_20240611_0006_L_0942.jpg")</f>
        <v>5217_20240611_0006_L_0942.jpg</v>
      </c>
      <c r="G5220" s="92" t="s">
        <v>5598</v>
      </c>
      <c r="I5220">
        <v>4</v>
      </c>
      <c r="K5220" s="57">
        <v>1</v>
      </c>
      <c r="P5220" s="57">
        <v>1</v>
      </c>
      <c r="Q5220" s="57">
        <v>0</v>
      </c>
      <c r="R5220" s="57">
        <v>0</v>
      </c>
      <c r="S5220" s="57">
        <v>0</v>
      </c>
      <c r="T5220" s="57">
        <v>0</v>
      </c>
      <c r="U5220" s="57">
        <v>0</v>
      </c>
      <c r="V5220" s="57">
        <v>0</v>
      </c>
      <c r="W5220" s="57">
        <v>0</v>
      </c>
      <c r="X5220" s="57">
        <v>0</v>
      </c>
    </row>
    <row r="5221" spans="1:24" hidden="1" x14ac:dyDescent="0.35">
      <c r="A5221">
        <v>5217</v>
      </c>
      <c r="B5221">
        <v>5218</v>
      </c>
      <c r="C5221">
        <v>146.055688766999</v>
      </c>
      <c r="D5221">
        <v>-17.636808474599899</v>
      </c>
      <c r="F5221" t="str">
        <f>HYPERLINK("D:\Data From Lucan\2024\Moresby\Frames_for_Analysis/5218_20240611_0006_L_0944.jpg","5218_20240611_0006_L_0944.jpg")</f>
        <v>5218_20240611_0006_L_0944.jpg</v>
      </c>
      <c r="G5221" s="92" t="s">
        <v>5599</v>
      </c>
      <c r="I5221">
        <v>4</v>
      </c>
      <c r="K5221" s="57">
        <v>1</v>
      </c>
      <c r="P5221" s="57">
        <v>1</v>
      </c>
      <c r="Q5221" s="57">
        <v>0</v>
      </c>
      <c r="R5221" s="57">
        <v>0</v>
      </c>
      <c r="S5221" s="57">
        <v>0</v>
      </c>
      <c r="T5221" s="57">
        <v>0</v>
      </c>
      <c r="U5221" s="57">
        <v>0</v>
      </c>
      <c r="V5221" s="57">
        <v>0</v>
      </c>
      <c r="W5221" s="57">
        <v>0</v>
      </c>
      <c r="X5221" s="57">
        <v>0</v>
      </c>
    </row>
    <row r="5222" spans="1:24" hidden="1" x14ac:dyDescent="0.35">
      <c r="A5222">
        <v>5218</v>
      </c>
      <c r="B5222">
        <v>5219</v>
      </c>
      <c r="C5222">
        <v>146.055623534999</v>
      </c>
      <c r="D5222">
        <v>-17.636867333200001</v>
      </c>
      <c r="F5222" t="str">
        <f>HYPERLINK("D:\Data From Lucan\2024\Moresby\Frames_for_Analysis/5219_20240611_0006_L_0947.jpg","5219_20240611_0006_L_0947.jpg")</f>
        <v>5219_20240611_0006_L_0947.jpg</v>
      </c>
      <c r="G5222" s="92" t="s">
        <v>5600</v>
      </c>
      <c r="I5222">
        <v>4</v>
      </c>
      <c r="K5222" s="57">
        <v>1</v>
      </c>
      <c r="P5222" s="57">
        <v>1</v>
      </c>
      <c r="Q5222" s="57">
        <v>0</v>
      </c>
      <c r="R5222" s="57">
        <v>0</v>
      </c>
      <c r="S5222" s="57">
        <v>0</v>
      </c>
      <c r="T5222" s="57">
        <v>0</v>
      </c>
      <c r="U5222" s="57">
        <v>0</v>
      </c>
      <c r="V5222" s="57">
        <v>0</v>
      </c>
      <c r="W5222" s="57">
        <v>0</v>
      </c>
      <c r="X5222" s="57">
        <v>0</v>
      </c>
    </row>
    <row r="5223" spans="1:24" hidden="1" x14ac:dyDescent="0.35">
      <c r="A5223">
        <v>5219</v>
      </c>
      <c r="B5223">
        <v>5220</v>
      </c>
      <c r="C5223">
        <v>146.055558555999</v>
      </c>
      <c r="D5223">
        <v>-17.636926446</v>
      </c>
      <c r="F5223" t="str">
        <f>HYPERLINK("D:\Data From Lucan\2024\Moresby\Frames_for_Analysis/5220_20240611_0006_L_0950.jpg","5220_20240611_0006_L_0950.jpg")</f>
        <v>5220_20240611_0006_L_0950.jpg</v>
      </c>
      <c r="G5223" s="92" t="s">
        <v>5601</v>
      </c>
      <c r="I5223">
        <v>4</v>
      </c>
      <c r="K5223" s="57">
        <v>1</v>
      </c>
      <c r="P5223" s="57">
        <v>1</v>
      </c>
      <c r="Q5223" s="57">
        <v>0</v>
      </c>
      <c r="R5223" s="57">
        <v>0</v>
      </c>
      <c r="S5223" s="57">
        <v>0</v>
      </c>
      <c r="T5223" s="57">
        <v>0</v>
      </c>
      <c r="U5223" s="57">
        <v>0</v>
      </c>
      <c r="V5223" s="57">
        <v>0</v>
      </c>
      <c r="W5223" s="57">
        <v>0</v>
      </c>
      <c r="X5223" s="57">
        <v>0</v>
      </c>
    </row>
    <row r="5224" spans="1:24" hidden="1" x14ac:dyDescent="0.35">
      <c r="A5224">
        <v>5220</v>
      </c>
      <c r="B5224">
        <v>5221</v>
      </c>
      <c r="C5224">
        <v>146.05549357800001</v>
      </c>
      <c r="D5224">
        <v>-17.6369855587999</v>
      </c>
      <c r="F5224" t="str">
        <f>HYPERLINK("D:\Data From Lucan\2024\Moresby\Frames_for_Analysis/5221_20240611_0006_L_0953.jpg","5221_20240611_0006_L_0953.jpg")</f>
        <v>5221_20240611_0006_L_0953.jpg</v>
      </c>
      <c r="G5224" s="92" t="s">
        <v>5602</v>
      </c>
      <c r="I5224">
        <v>4</v>
      </c>
      <c r="K5224" s="57">
        <v>1</v>
      </c>
      <c r="L5224" t="s">
        <v>3959</v>
      </c>
      <c r="M5224" t="s">
        <v>3959</v>
      </c>
      <c r="N5224" t="s">
        <v>3959</v>
      </c>
      <c r="O5224" t="s">
        <v>3959</v>
      </c>
      <c r="P5224" s="57">
        <v>1</v>
      </c>
      <c r="Q5224" s="57">
        <v>0</v>
      </c>
      <c r="R5224" s="57">
        <v>0</v>
      </c>
      <c r="S5224" s="57">
        <v>0</v>
      </c>
      <c r="T5224" s="57">
        <v>0</v>
      </c>
      <c r="U5224" s="57">
        <v>0</v>
      </c>
      <c r="V5224" s="57">
        <v>0</v>
      </c>
      <c r="W5224" s="57">
        <v>0</v>
      </c>
      <c r="X5224" s="57">
        <v>0</v>
      </c>
    </row>
    <row r="5225" spans="1:24" hidden="1" x14ac:dyDescent="0.35">
      <c r="A5225">
        <v>5221</v>
      </c>
      <c r="B5225">
        <v>5222</v>
      </c>
      <c r="C5225">
        <v>146.055428599999</v>
      </c>
      <c r="D5225">
        <v>-17.6370446715</v>
      </c>
      <c r="F5225" t="str">
        <f>HYPERLINK("D:\Data From Lucan\2024\Moresby\Frames_for_Analysis/5222_20240611_0006_L_0955.jpg","5222_20240611_0006_L_0955.jpg")</f>
        <v>5222_20240611_0006_L_0955.jpg</v>
      </c>
      <c r="G5225" s="92" t="s">
        <v>5603</v>
      </c>
      <c r="I5225">
        <v>4</v>
      </c>
      <c r="K5225" s="57">
        <v>1</v>
      </c>
      <c r="P5225" s="57">
        <v>1</v>
      </c>
      <c r="Q5225" s="57">
        <v>0</v>
      </c>
      <c r="R5225" s="57">
        <v>0</v>
      </c>
      <c r="S5225" s="57">
        <v>0</v>
      </c>
      <c r="T5225" s="57">
        <v>0</v>
      </c>
      <c r="U5225" s="57">
        <v>0</v>
      </c>
      <c r="V5225" s="57">
        <v>0</v>
      </c>
      <c r="W5225" s="57">
        <v>0</v>
      </c>
      <c r="X5225" s="57">
        <v>0</v>
      </c>
    </row>
    <row r="5226" spans="1:24" hidden="1" x14ac:dyDescent="0.35">
      <c r="A5226">
        <v>5222</v>
      </c>
      <c r="B5226">
        <v>5223</v>
      </c>
      <c r="C5226">
        <v>146.055363620999</v>
      </c>
      <c r="D5226">
        <v>-17.637103784299899</v>
      </c>
      <c r="F5226" t="str">
        <f>HYPERLINK("D:\Data From Lucan\2024\Moresby\Frames_for_Analysis/5223_20240611_0006_L_0958.jpg","5223_20240611_0006_L_0958.jpg")</f>
        <v>5223_20240611_0006_L_0958.jpg</v>
      </c>
      <c r="G5226" s="92" t="s">
        <v>5604</v>
      </c>
      <c r="I5226">
        <v>4</v>
      </c>
      <c r="K5226" s="57">
        <v>1</v>
      </c>
      <c r="L5226" t="s">
        <v>3959</v>
      </c>
      <c r="M5226" t="s">
        <v>3959</v>
      </c>
      <c r="N5226" t="s">
        <v>3959</v>
      </c>
      <c r="O5226" t="s">
        <v>3959</v>
      </c>
      <c r="P5226" s="57">
        <v>1</v>
      </c>
      <c r="Q5226" s="57">
        <v>0</v>
      </c>
      <c r="R5226" s="57">
        <v>0</v>
      </c>
      <c r="S5226" s="57">
        <v>0</v>
      </c>
      <c r="T5226" s="57">
        <v>0</v>
      </c>
      <c r="U5226" s="57">
        <v>0</v>
      </c>
      <c r="V5226" s="57">
        <v>0</v>
      </c>
      <c r="W5226" s="57">
        <v>0</v>
      </c>
      <c r="X5226" s="57">
        <v>0</v>
      </c>
    </row>
    <row r="5227" spans="1:24" hidden="1" x14ac:dyDescent="0.35">
      <c r="A5227">
        <v>5223</v>
      </c>
      <c r="B5227">
        <v>5224</v>
      </c>
      <c r="C5227">
        <v>146.055282825999</v>
      </c>
      <c r="D5227">
        <v>-17.6371404056</v>
      </c>
      <c r="F5227" t="str">
        <f>HYPERLINK("D:\Data From Lucan\2024\Moresby\Frames_for_Analysis/5224_20240611_0006_L_0960.jpg","5224_20240611_0006_L_0960.jpg")</f>
        <v>5224_20240611_0006_L_0960.jpg</v>
      </c>
      <c r="G5227" s="92" t="s">
        <v>5605</v>
      </c>
      <c r="I5227">
        <v>4</v>
      </c>
      <c r="K5227" s="57">
        <v>1</v>
      </c>
      <c r="L5227" t="s">
        <v>3959</v>
      </c>
      <c r="M5227" t="s">
        <v>3959</v>
      </c>
      <c r="N5227" t="s">
        <v>3959</v>
      </c>
      <c r="O5227" t="s">
        <v>3959</v>
      </c>
      <c r="P5227" s="57">
        <v>1</v>
      </c>
      <c r="Q5227" s="57">
        <v>0</v>
      </c>
      <c r="R5227" s="57">
        <v>0</v>
      </c>
      <c r="S5227" s="57">
        <v>0</v>
      </c>
      <c r="T5227" s="57">
        <v>0</v>
      </c>
      <c r="U5227" s="57">
        <v>0</v>
      </c>
      <c r="V5227" s="57">
        <v>0</v>
      </c>
      <c r="W5227" s="57">
        <v>0</v>
      </c>
      <c r="X5227" s="57">
        <v>0</v>
      </c>
    </row>
    <row r="5228" spans="1:24" hidden="1" x14ac:dyDescent="0.35">
      <c r="A5228">
        <v>5224</v>
      </c>
      <c r="B5228">
        <v>5225</v>
      </c>
      <c r="C5228">
        <v>146.055200753999</v>
      </c>
      <c r="D5228">
        <v>-17.637175210700001</v>
      </c>
      <c r="F5228" t="str">
        <f>HYPERLINK("D:\Data From Lucan\2024\Moresby\Frames_for_Analysis/5225_20240611_0006_L_0963.jpg","5225_20240611_0006_L_0963.jpg")</f>
        <v>5225_20240611_0006_L_0963.jpg</v>
      </c>
      <c r="G5228" s="92" t="s">
        <v>5606</v>
      </c>
      <c r="I5228">
        <v>4</v>
      </c>
      <c r="K5228" s="57">
        <v>1</v>
      </c>
      <c r="L5228" t="s">
        <v>3959</v>
      </c>
      <c r="M5228" t="s">
        <v>3959</v>
      </c>
      <c r="N5228" t="s">
        <v>3959</v>
      </c>
      <c r="O5228" t="s">
        <v>3959</v>
      </c>
      <c r="P5228" s="57">
        <v>1</v>
      </c>
      <c r="Q5228" s="57">
        <v>0</v>
      </c>
      <c r="R5228" s="57">
        <v>0</v>
      </c>
      <c r="S5228" s="57">
        <v>0</v>
      </c>
      <c r="T5228" s="57">
        <v>0</v>
      </c>
      <c r="U5228" s="57">
        <v>0</v>
      </c>
      <c r="V5228" s="57">
        <v>0</v>
      </c>
      <c r="W5228" s="57">
        <v>0</v>
      </c>
      <c r="X5228" s="57">
        <v>0</v>
      </c>
    </row>
    <row r="5229" spans="1:24" hidden="1" x14ac:dyDescent="0.35">
      <c r="A5229">
        <v>5225</v>
      </c>
      <c r="B5229">
        <v>5226</v>
      </c>
      <c r="C5229">
        <v>146.055118682</v>
      </c>
      <c r="D5229">
        <v>-17.637210015800001</v>
      </c>
      <c r="F5229" t="str">
        <f>HYPERLINK("D:\Data From Lucan\2024\Moresby\Frames_for_Analysis/5226_20240611_0006_L_0965.jpg","5226_20240611_0006_L_0965.jpg")</f>
        <v>5226_20240611_0006_L_0965.jpg</v>
      </c>
      <c r="G5229" s="92" t="s">
        <v>5607</v>
      </c>
      <c r="I5229">
        <v>4</v>
      </c>
      <c r="K5229" s="57">
        <v>1</v>
      </c>
      <c r="L5229" t="s">
        <v>3959</v>
      </c>
      <c r="M5229" t="s">
        <v>3959</v>
      </c>
      <c r="N5229" t="s">
        <v>3959</v>
      </c>
      <c r="O5229" t="s">
        <v>3959</v>
      </c>
      <c r="P5229" s="57">
        <v>1</v>
      </c>
      <c r="Q5229" s="57">
        <v>0</v>
      </c>
      <c r="R5229" s="57">
        <v>0</v>
      </c>
      <c r="S5229" s="57">
        <v>0</v>
      </c>
      <c r="T5229" s="57">
        <v>0</v>
      </c>
      <c r="U5229" s="57">
        <v>0</v>
      </c>
      <c r="V5229" s="57">
        <v>0</v>
      </c>
      <c r="W5229" s="57">
        <v>0</v>
      </c>
      <c r="X5229" s="57">
        <v>0</v>
      </c>
    </row>
    <row r="5230" spans="1:24" hidden="1" x14ac:dyDescent="0.35">
      <c r="A5230">
        <v>5226</v>
      </c>
      <c r="B5230">
        <v>5227</v>
      </c>
      <c r="C5230">
        <v>146.05503660900001</v>
      </c>
      <c r="D5230">
        <v>-17.6372448207999</v>
      </c>
      <c r="F5230" t="str">
        <f>HYPERLINK("D:\Data From Lucan\2024\Moresby\Frames_for_Analysis/5227_20240611_0006_L_0967.jpg","5227_20240611_0006_L_0967.jpg")</f>
        <v>5227_20240611_0006_L_0967.jpg</v>
      </c>
      <c r="G5230" s="92" t="s">
        <v>5608</v>
      </c>
      <c r="I5230">
        <v>4</v>
      </c>
      <c r="K5230" s="57">
        <v>1</v>
      </c>
      <c r="P5230" s="57">
        <v>1</v>
      </c>
      <c r="Q5230" s="57">
        <v>0</v>
      </c>
      <c r="R5230" s="57">
        <v>0</v>
      </c>
      <c r="S5230" s="57">
        <v>0</v>
      </c>
      <c r="T5230" s="57">
        <v>0</v>
      </c>
      <c r="U5230" s="57">
        <v>0</v>
      </c>
      <c r="V5230" s="57">
        <v>0</v>
      </c>
      <c r="W5230" s="57">
        <v>0</v>
      </c>
      <c r="X5230" s="57">
        <v>0</v>
      </c>
    </row>
    <row r="5231" spans="1:24" hidden="1" x14ac:dyDescent="0.35">
      <c r="A5231">
        <v>5227</v>
      </c>
      <c r="B5231">
        <v>5228</v>
      </c>
      <c r="C5231">
        <v>146.054950375</v>
      </c>
      <c r="D5231">
        <v>-17.6372687438</v>
      </c>
      <c r="F5231" t="str">
        <f>HYPERLINK("D:\Data From Lucan\2024\Moresby\Frames_for_Analysis/5228_20240611_0006_L_0970.jpg","5228_20240611_0006_L_0970.jpg")</f>
        <v>5228_20240611_0006_L_0970.jpg</v>
      </c>
      <c r="G5231" s="92" t="s">
        <v>5609</v>
      </c>
      <c r="I5231">
        <v>4</v>
      </c>
      <c r="K5231" s="57">
        <v>1</v>
      </c>
      <c r="P5231" s="57">
        <v>1</v>
      </c>
      <c r="Q5231" s="57">
        <v>0</v>
      </c>
      <c r="R5231" s="57">
        <v>0</v>
      </c>
      <c r="S5231" s="57">
        <v>0</v>
      </c>
      <c r="T5231" s="57">
        <v>0</v>
      </c>
      <c r="U5231" s="57">
        <v>0</v>
      </c>
      <c r="V5231" s="57">
        <v>0</v>
      </c>
      <c r="W5231" s="57">
        <v>0</v>
      </c>
      <c r="X5231" s="57">
        <v>0</v>
      </c>
    </row>
    <row r="5232" spans="1:24" hidden="1" x14ac:dyDescent="0.35">
      <c r="A5232">
        <v>5228</v>
      </c>
      <c r="B5232">
        <v>5229</v>
      </c>
      <c r="C5232">
        <v>146.054864051999</v>
      </c>
      <c r="D5232">
        <v>-17.637292436300001</v>
      </c>
      <c r="F5232" t="str">
        <f>HYPERLINK("D:\Data From Lucan\2024\Moresby\Frames_for_Analysis/5229_20240611_0006_L_0973.jpg","5229_20240611_0006_L_0973.jpg")</f>
        <v>5229_20240611_0006_L_0973.jpg</v>
      </c>
      <c r="G5232" s="92" t="s">
        <v>5610</v>
      </c>
      <c r="I5232">
        <v>4</v>
      </c>
      <c r="K5232" s="57">
        <v>1</v>
      </c>
      <c r="P5232" s="57">
        <v>1</v>
      </c>
      <c r="Q5232" s="57">
        <v>0</v>
      </c>
      <c r="R5232" s="57">
        <v>0</v>
      </c>
      <c r="S5232" s="57">
        <v>0</v>
      </c>
      <c r="T5232" s="57">
        <v>0</v>
      </c>
      <c r="U5232" s="57">
        <v>0</v>
      </c>
      <c r="V5232" s="57">
        <v>0</v>
      </c>
      <c r="W5232" s="57">
        <v>0</v>
      </c>
      <c r="X5232" s="57">
        <v>0</v>
      </c>
    </row>
    <row r="5233" spans="1:24" hidden="1" x14ac:dyDescent="0.35">
      <c r="A5233">
        <v>5229</v>
      </c>
      <c r="B5233">
        <v>5230</v>
      </c>
      <c r="C5233">
        <v>146.054777728999</v>
      </c>
      <c r="D5233">
        <v>-17.637316128799899</v>
      </c>
      <c r="F5233" t="str">
        <f>HYPERLINK("D:\Data From Lucan\2024\Moresby\Frames_for_Analysis/5230_20240611_0006_L_0976.jpg","5230_20240611_0006_L_0976.jpg")</f>
        <v>5230_20240611_0006_L_0976.jpg</v>
      </c>
      <c r="G5233" s="92" t="s">
        <v>5611</v>
      </c>
      <c r="I5233">
        <v>4</v>
      </c>
      <c r="K5233" s="57">
        <v>1</v>
      </c>
      <c r="P5233" s="57">
        <v>1</v>
      </c>
      <c r="Q5233" s="57">
        <v>0</v>
      </c>
      <c r="R5233" s="57">
        <v>0</v>
      </c>
      <c r="S5233" s="57">
        <v>0</v>
      </c>
      <c r="T5233" s="57">
        <v>0</v>
      </c>
      <c r="U5233" s="57">
        <v>0</v>
      </c>
      <c r="V5233" s="57">
        <v>0</v>
      </c>
      <c r="W5233" s="57">
        <v>0</v>
      </c>
      <c r="X5233" s="57">
        <v>0</v>
      </c>
    </row>
    <row r="5234" spans="1:24" hidden="1" x14ac:dyDescent="0.35">
      <c r="A5234">
        <v>5230</v>
      </c>
      <c r="B5234">
        <v>5231</v>
      </c>
      <c r="C5234">
        <v>146.05469140599899</v>
      </c>
      <c r="D5234">
        <v>-17.6373398212999</v>
      </c>
      <c r="F5234" t="str">
        <f>HYPERLINK("D:\Data From Lucan\2024\Moresby\Frames_for_Analysis/5231_20240611_0006_L_0978.jpg","5231_20240611_0006_L_0978.jpg")</f>
        <v>5231_20240611_0006_L_0978.jpg</v>
      </c>
      <c r="G5234" s="92" t="s">
        <v>5612</v>
      </c>
      <c r="I5234">
        <v>4</v>
      </c>
      <c r="K5234" s="57">
        <v>1</v>
      </c>
      <c r="P5234" s="57">
        <v>1</v>
      </c>
      <c r="Q5234" s="57">
        <v>0</v>
      </c>
      <c r="R5234" s="57">
        <v>0</v>
      </c>
      <c r="S5234" s="57">
        <v>0</v>
      </c>
      <c r="T5234" s="57">
        <v>0</v>
      </c>
      <c r="U5234" s="57">
        <v>0</v>
      </c>
      <c r="V5234" s="57">
        <v>0</v>
      </c>
      <c r="W5234" s="57">
        <v>0</v>
      </c>
      <c r="X5234" s="57">
        <v>0</v>
      </c>
    </row>
    <row r="5235" spans="1:24" hidden="1" x14ac:dyDescent="0.35">
      <c r="A5235">
        <v>5231</v>
      </c>
      <c r="B5235">
        <v>5232</v>
      </c>
      <c r="C5235">
        <v>146.054605084</v>
      </c>
      <c r="D5235">
        <v>-17.6373635138</v>
      </c>
      <c r="F5235" t="str">
        <f>HYPERLINK("D:\Data From Lucan\2024\Moresby\Frames_for_Analysis/5232_20240611_0006_L_0981.jpg","5232_20240611_0006_L_0981.jpg")</f>
        <v>5232_20240611_0006_L_0981.jpg</v>
      </c>
      <c r="G5235" s="92" t="s">
        <v>5613</v>
      </c>
      <c r="I5235">
        <v>4</v>
      </c>
      <c r="K5235" s="57">
        <v>1</v>
      </c>
      <c r="P5235" s="57">
        <v>1</v>
      </c>
      <c r="Q5235" s="57">
        <v>0</v>
      </c>
      <c r="R5235" s="57">
        <v>0</v>
      </c>
      <c r="S5235" s="57">
        <v>0</v>
      </c>
      <c r="T5235" s="57">
        <v>0</v>
      </c>
      <c r="U5235" s="57">
        <v>0</v>
      </c>
      <c r="V5235" s="57">
        <v>0</v>
      </c>
      <c r="W5235" s="57">
        <v>0</v>
      </c>
      <c r="X5235" s="57">
        <v>0</v>
      </c>
    </row>
    <row r="5236" spans="1:24" hidden="1" x14ac:dyDescent="0.35">
      <c r="A5236">
        <v>5232</v>
      </c>
      <c r="B5236">
        <v>5233</v>
      </c>
      <c r="C5236">
        <v>146.054518760999</v>
      </c>
      <c r="D5236">
        <v>-17.6373872062</v>
      </c>
      <c r="F5236" t="str">
        <f>HYPERLINK("D:\Data From Lucan\2024\Moresby\Frames_for_Analysis/5233_20240611_0006_L_0984.jpg","5233_20240611_0006_L_0984.jpg")</f>
        <v>5233_20240611_0006_L_0984.jpg</v>
      </c>
      <c r="G5236" s="92" t="s">
        <v>5614</v>
      </c>
      <c r="I5236">
        <v>4</v>
      </c>
      <c r="K5236" s="57">
        <v>1</v>
      </c>
      <c r="P5236" s="57">
        <v>1</v>
      </c>
      <c r="Q5236" s="57">
        <v>0</v>
      </c>
      <c r="R5236" s="57">
        <v>0</v>
      </c>
      <c r="S5236" s="57">
        <v>0</v>
      </c>
      <c r="T5236" s="57">
        <v>0</v>
      </c>
      <c r="U5236" s="57">
        <v>0</v>
      </c>
      <c r="V5236" s="57">
        <v>0</v>
      </c>
      <c r="W5236" s="57">
        <v>0</v>
      </c>
      <c r="X5236" s="57">
        <v>0</v>
      </c>
    </row>
    <row r="5237" spans="1:24" hidden="1" x14ac:dyDescent="0.35">
      <c r="A5237">
        <v>5233</v>
      </c>
      <c r="B5237">
        <v>5234</v>
      </c>
      <c r="C5237">
        <v>146.05442974299899</v>
      </c>
      <c r="D5237">
        <v>-17.637394239199899</v>
      </c>
      <c r="F5237" t="str">
        <f>HYPERLINK("D:\Data From Lucan\2024\Moresby\Frames_for_Analysis/5234_20240611_0006_L_0986.jpg","5234_20240611_0006_L_0986.jpg")</f>
        <v>5234_20240611_0006_L_0986.jpg</v>
      </c>
      <c r="G5237" s="92" t="s">
        <v>5615</v>
      </c>
      <c r="I5237">
        <v>4</v>
      </c>
      <c r="K5237" s="57">
        <v>1</v>
      </c>
      <c r="P5237" s="57">
        <v>1</v>
      </c>
      <c r="Q5237" s="57">
        <v>0</v>
      </c>
      <c r="R5237" s="57">
        <v>0</v>
      </c>
      <c r="S5237" s="57">
        <v>0</v>
      </c>
      <c r="T5237" s="57">
        <v>0</v>
      </c>
      <c r="U5237" s="57">
        <v>0</v>
      </c>
      <c r="V5237" s="57">
        <v>0</v>
      </c>
      <c r="W5237" s="57">
        <v>0</v>
      </c>
      <c r="X5237" s="57">
        <v>0</v>
      </c>
    </row>
    <row r="5238" spans="1:24" hidden="1" x14ac:dyDescent="0.35">
      <c r="A5238">
        <v>5234</v>
      </c>
      <c r="B5238">
        <v>5235</v>
      </c>
      <c r="C5238">
        <v>146.054339940999</v>
      </c>
      <c r="D5238">
        <v>-17.6373964177</v>
      </c>
      <c r="F5238" t="str">
        <f>HYPERLINK("D:\Data From Lucan\2024\Moresby\Frames_for_Analysis/5235_20240611_0006_L_0989.jpg","5235_20240611_0006_L_0989.jpg")</f>
        <v>5235_20240611_0006_L_0989.jpg</v>
      </c>
      <c r="G5238" s="92" t="s">
        <v>5616</v>
      </c>
      <c r="I5238">
        <v>4</v>
      </c>
      <c r="K5238" s="57">
        <v>1</v>
      </c>
      <c r="L5238" t="s">
        <v>3959</v>
      </c>
      <c r="M5238" t="s">
        <v>3959</v>
      </c>
      <c r="N5238" t="s">
        <v>3959</v>
      </c>
      <c r="O5238" t="s">
        <v>3959</v>
      </c>
      <c r="P5238" s="57">
        <v>1</v>
      </c>
      <c r="Q5238" s="57">
        <v>0</v>
      </c>
      <c r="R5238" s="57">
        <v>0</v>
      </c>
      <c r="S5238" s="57">
        <v>0</v>
      </c>
      <c r="T5238" s="57">
        <v>0</v>
      </c>
      <c r="U5238" s="57">
        <v>0</v>
      </c>
      <c r="V5238" s="57">
        <v>0</v>
      </c>
      <c r="W5238" s="57">
        <v>0</v>
      </c>
      <c r="X5238" s="57">
        <v>0</v>
      </c>
    </row>
    <row r="5239" spans="1:24" hidden="1" x14ac:dyDescent="0.35">
      <c r="A5239">
        <v>5235</v>
      </c>
      <c r="B5239">
        <v>5236</v>
      </c>
      <c r="C5239">
        <v>146.054250139</v>
      </c>
      <c r="D5239">
        <v>-17.637398596099899</v>
      </c>
      <c r="F5239" t="str">
        <f>HYPERLINK("D:\Data From Lucan\2024\Moresby\Frames_for_Analysis/5236_20240611_0006_L_0992.jpg","5236_20240611_0006_L_0992.jpg")</f>
        <v>5236_20240611_0006_L_0992.jpg</v>
      </c>
      <c r="G5239" s="92" t="s">
        <v>5617</v>
      </c>
      <c r="I5239">
        <v>4</v>
      </c>
      <c r="K5239" s="57">
        <v>1</v>
      </c>
      <c r="P5239" s="57">
        <v>1</v>
      </c>
      <c r="Q5239" s="57">
        <v>0</v>
      </c>
      <c r="R5239" s="57">
        <v>0</v>
      </c>
      <c r="S5239" s="57">
        <v>0</v>
      </c>
      <c r="T5239" s="57">
        <v>0</v>
      </c>
      <c r="U5239" s="57">
        <v>0</v>
      </c>
      <c r="V5239" s="57">
        <v>0</v>
      </c>
      <c r="W5239" s="57">
        <v>0</v>
      </c>
      <c r="X5239" s="57">
        <v>0</v>
      </c>
    </row>
    <row r="5240" spans="1:24" hidden="1" x14ac:dyDescent="0.35">
      <c r="A5240">
        <v>5236</v>
      </c>
      <c r="B5240">
        <v>5237</v>
      </c>
      <c r="C5240">
        <v>146.054160335999</v>
      </c>
      <c r="D5240">
        <v>-17.6374007746</v>
      </c>
      <c r="F5240" t="str">
        <f>HYPERLINK("D:\Data From Lucan\2024\Moresby\Frames_for_Analysis/5237_20240611_0006_L_0995.jpg","5237_20240611_0006_L_0995.jpg")</f>
        <v>5237_20240611_0006_L_0995.jpg</v>
      </c>
      <c r="G5240" s="92" t="s">
        <v>5618</v>
      </c>
      <c r="I5240">
        <v>4</v>
      </c>
      <c r="K5240" s="57">
        <v>1</v>
      </c>
      <c r="P5240" s="57">
        <v>1</v>
      </c>
      <c r="Q5240" s="57">
        <v>0</v>
      </c>
      <c r="R5240" s="57">
        <v>0</v>
      </c>
      <c r="S5240" s="57">
        <v>0</v>
      </c>
      <c r="T5240" s="57">
        <v>0</v>
      </c>
      <c r="U5240" s="57">
        <v>0</v>
      </c>
      <c r="V5240" s="57">
        <v>0</v>
      </c>
      <c r="W5240" s="57">
        <v>0</v>
      </c>
      <c r="X5240" s="57">
        <v>0</v>
      </c>
    </row>
    <row r="5241" spans="1:24" hidden="1" x14ac:dyDescent="0.35">
      <c r="A5241">
        <v>5237</v>
      </c>
      <c r="B5241">
        <v>5238</v>
      </c>
      <c r="C5241">
        <v>146.05407055200001</v>
      </c>
      <c r="D5241">
        <v>-17.6374035189999</v>
      </c>
      <c r="F5241" t="str">
        <f>HYPERLINK("D:\Data From Lucan\2024\Moresby\Frames_for_Analysis/5238_20240611_0006_L_0998.jpg","5238_20240611_0006_L_0998.jpg")</f>
        <v>5238_20240611_0006_L_0998.jpg</v>
      </c>
      <c r="G5241" s="92" t="s">
        <v>5619</v>
      </c>
      <c r="I5241">
        <v>4</v>
      </c>
      <c r="K5241" s="57">
        <v>1</v>
      </c>
      <c r="P5241" s="57">
        <v>1</v>
      </c>
      <c r="Q5241" s="57">
        <v>0</v>
      </c>
      <c r="R5241" s="57">
        <v>0</v>
      </c>
      <c r="S5241" s="57">
        <v>0</v>
      </c>
      <c r="T5241" s="57">
        <v>0</v>
      </c>
      <c r="U5241" s="57">
        <v>0</v>
      </c>
      <c r="V5241" s="57">
        <v>0</v>
      </c>
      <c r="W5241" s="57">
        <v>0</v>
      </c>
      <c r="X5241" s="57">
        <v>0</v>
      </c>
    </row>
    <row r="5242" spans="1:24" hidden="1" x14ac:dyDescent="0.35">
      <c r="A5242">
        <v>5238</v>
      </c>
      <c r="B5242">
        <v>5239</v>
      </c>
      <c r="C5242">
        <v>146.053980776</v>
      </c>
      <c r="D5242">
        <v>-17.637406531</v>
      </c>
      <c r="F5242" t="str">
        <f>HYPERLINK("D:\Data From Lucan\2024\Moresby\Frames_for_Analysis/5239_20240611_0006_L_1000.jpg","5239_20240611_0006_L_1000.jpg")</f>
        <v>5239_20240611_0006_L_1000.jpg</v>
      </c>
      <c r="G5242" s="92" t="s">
        <v>5620</v>
      </c>
      <c r="I5242">
        <v>4</v>
      </c>
      <c r="K5242" s="57">
        <v>1</v>
      </c>
      <c r="P5242" s="57">
        <v>1</v>
      </c>
      <c r="Q5242" s="57">
        <v>0</v>
      </c>
      <c r="R5242" s="57">
        <v>0</v>
      </c>
      <c r="S5242" s="57">
        <v>0</v>
      </c>
      <c r="T5242" s="57">
        <v>0</v>
      </c>
      <c r="U5242" s="57">
        <v>0</v>
      </c>
      <c r="V5242" s="57">
        <v>0</v>
      </c>
      <c r="W5242" s="57">
        <v>0</v>
      </c>
      <c r="X5242" s="57">
        <v>0</v>
      </c>
    </row>
    <row r="5243" spans="1:24" hidden="1" x14ac:dyDescent="0.35">
      <c r="A5243">
        <v>5239</v>
      </c>
      <c r="B5243">
        <v>5240</v>
      </c>
      <c r="C5243">
        <v>146.053890999999</v>
      </c>
      <c r="D5243">
        <v>-17.637409542899899</v>
      </c>
      <c r="F5243" t="str">
        <f>HYPERLINK("D:\Data From Lucan\2024\Moresby\Frames_for_Analysis/5240_20240611_0006_L_1003.jpg","5240_20240611_0006_L_1003.jpg")</f>
        <v>5240_20240611_0006_L_1003.jpg</v>
      </c>
      <c r="G5243" s="92" t="s">
        <v>5621</v>
      </c>
      <c r="I5243">
        <v>4</v>
      </c>
      <c r="K5243" s="57">
        <v>1</v>
      </c>
      <c r="P5243" s="57">
        <v>1</v>
      </c>
      <c r="Q5243" s="57">
        <v>0</v>
      </c>
      <c r="R5243" s="57">
        <v>0</v>
      </c>
      <c r="S5243" s="57">
        <v>0</v>
      </c>
      <c r="T5243" s="57">
        <v>0</v>
      </c>
      <c r="U5243" s="57">
        <v>0</v>
      </c>
      <c r="V5243" s="57">
        <v>0</v>
      </c>
      <c r="W5243" s="57">
        <v>0</v>
      </c>
      <c r="X5243" s="57">
        <v>0</v>
      </c>
    </row>
    <row r="5244" spans="1:24" hidden="1" x14ac:dyDescent="0.35">
      <c r="A5244">
        <v>5240</v>
      </c>
      <c r="B5244">
        <v>5241</v>
      </c>
      <c r="C5244">
        <v>146.053802966999</v>
      </c>
      <c r="D5244">
        <v>-17.637423620900002</v>
      </c>
      <c r="F5244" t="str">
        <f>HYPERLINK("D:\Data From Lucan\2024\Moresby\Frames_for_Analysis/5241_20240611_0006_L_1005.jpg","5241_20240611_0006_L_1005.jpg")</f>
        <v>5241_20240611_0006_L_1005.jpg</v>
      </c>
      <c r="G5244" s="92" t="s">
        <v>5622</v>
      </c>
      <c r="I5244">
        <v>4</v>
      </c>
      <c r="K5244" s="57">
        <v>1</v>
      </c>
      <c r="P5244" s="57">
        <v>1</v>
      </c>
      <c r="Q5244" s="57">
        <v>0</v>
      </c>
      <c r="R5244" s="57">
        <v>0</v>
      </c>
      <c r="S5244" s="57">
        <v>0</v>
      </c>
      <c r="T5244" s="57">
        <v>0</v>
      </c>
      <c r="U5244" s="57">
        <v>0</v>
      </c>
      <c r="V5244" s="57">
        <v>0</v>
      </c>
      <c r="W5244" s="57">
        <v>0</v>
      </c>
      <c r="X5244" s="57">
        <v>0</v>
      </c>
    </row>
    <row r="5245" spans="1:24" hidden="1" x14ac:dyDescent="0.35">
      <c r="A5245">
        <v>5241</v>
      </c>
      <c r="B5245">
        <v>5242</v>
      </c>
      <c r="C5245">
        <v>146.053715831999</v>
      </c>
      <c r="D5245">
        <v>-17.6374405977</v>
      </c>
      <c r="F5245" t="str">
        <f>HYPERLINK("D:\Data From Lucan\2024\Moresby\Frames_for_Analysis/5242_20240611_0006_L_1008.jpg","5242_20240611_0006_L_1008.jpg")</f>
        <v>5242_20240611_0006_L_1008.jpg</v>
      </c>
      <c r="G5245" s="92" t="s">
        <v>5623</v>
      </c>
      <c r="I5245">
        <v>4</v>
      </c>
      <c r="K5245" s="57">
        <v>1</v>
      </c>
      <c r="P5245" s="57">
        <v>1</v>
      </c>
      <c r="Q5245" s="57">
        <v>0</v>
      </c>
      <c r="R5245" s="57">
        <v>0</v>
      </c>
      <c r="S5245" s="57">
        <v>0</v>
      </c>
      <c r="T5245" s="57">
        <v>0</v>
      </c>
      <c r="U5245" s="57">
        <v>0</v>
      </c>
      <c r="V5245" s="57">
        <v>0</v>
      </c>
      <c r="W5245" s="57">
        <v>0</v>
      </c>
      <c r="X5245" s="57">
        <v>0</v>
      </c>
    </row>
    <row r="5246" spans="1:24" hidden="1" x14ac:dyDescent="0.35">
      <c r="A5246">
        <v>5242</v>
      </c>
      <c r="B5246">
        <v>5243</v>
      </c>
      <c r="C5246">
        <v>146.053626678</v>
      </c>
      <c r="D5246">
        <v>-17.637430107</v>
      </c>
      <c r="F5246" t="str">
        <f>HYPERLINK("D:\Data From Lucan\2024\Moresby\Frames_for_Analysis/5243_20240611_0006_L_1010.jpg","5243_20240611_0006_L_1010.jpg")</f>
        <v>5243_20240611_0006_L_1010.jpg</v>
      </c>
      <c r="G5246" s="92" t="s">
        <v>5624</v>
      </c>
      <c r="I5246">
        <v>4</v>
      </c>
      <c r="K5246" s="57">
        <v>1</v>
      </c>
      <c r="P5246" s="57">
        <v>1</v>
      </c>
      <c r="Q5246" s="57">
        <v>0</v>
      </c>
      <c r="R5246" s="57">
        <v>0</v>
      </c>
      <c r="S5246" s="57">
        <v>0</v>
      </c>
      <c r="T5246" s="57">
        <v>0</v>
      </c>
      <c r="U5246" s="57">
        <v>0</v>
      </c>
      <c r="V5246" s="57">
        <v>0</v>
      </c>
      <c r="W5246" s="57">
        <v>0</v>
      </c>
      <c r="X5246" s="57">
        <v>0</v>
      </c>
    </row>
    <row r="5247" spans="1:24" hidden="1" x14ac:dyDescent="0.35">
      <c r="A5247">
        <v>5243</v>
      </c>
      <c r="B5247">
        <v>5244</v>
      </c>
      <c r="C5247">
        <v>146.05353782</v>
      </c>
      <c r="D5247">
        <v>-17.6374186412</v>
      </c>
      <c r="F5247" t="str">
        <f>HYPERLINK("D:\Data From Lucan\2024\Moresby\Frames_for_Analysis/5244_20240611_0006_L_1012.jpg","5244_20240611_0006_L_1012.jpg")</f>
        <v>5244_20240611_0006_L_1012.jpg</v>
      </c>
      <c r="G5247" s="92" t="s">
        <v>5625</v>
      </c>
      <c r="I5247">
        <v>4</v>
      </c>
      <c r="K5247" s="57">
        <v>1</v>
      </c>
      <c r="P5247" s="57">
        <v>1</v>
      </c>
      <c r="Q5247" s="57">
        <v>0</v>
      </c>
      <c r="R5247" s="57">
        <v>0</v>
      </c>
      <c r="S5247" s="57">
        <v>0</v>
      </c>
      <c r="T5247" s="57">
        <v>0</v>
      </c>
      <c r="U5247" s="57">
        <v>0</v>
      </c>
      <c r="V5247" s="57">
        <v>0</v>
      </c>
      <c r="W5247" s="57">
        <v>0</v>
      </c>
      <c r="X5247" s="57">
        <v>0</v>
      </c>
    </row>
    <row r="5248" spans="1:24" hidden="1" x14ac:dyDescent="0.35">
      <c r="A5248">
        <v>5244</v>
      </c>
      <c r="B5248">
        <v>5245</v>
      </c>
      <c r="C5248">
        <v>146.05345662299899</v>
      </c>
      <c r="D5248">
        <v>-17.637382019699899</v>
      </c>
      <c r="F5248" t="str">
        <f>HYPERLINK("D:\Data From Lucan\2024\Moresby\Frames_for_Analysis/5245_20240611_0006_L_1014.jpg","5245_20240611_0006_L_1014.jpg")</f>
        <v>5245_20240611_0006_L_1014.jpg</v>
      </c>
      <c r="G5248" s="92" t="s">
        <v>5626</v>
      </c>
      <c r="I5248">
        <v>4</v>
      </c>
      <c r="K5248" s="57">
        <v>1</v>
      </c>
      <c r="P5248" s="57">
        <v>1</v>
      </c>
      <c r="Q5248" s="57">
        <v>0</v>
      </c>
      <c r="R5248" s="57">
        <v>0</v>
      </c>
      <c r="S5248" s="57">
        <v>0</v>
      </c>
      <c r="T5248" s="57">
        <v>0</v>
      </c>
      <c r="U5248" s="57">
        <v>0</v>
      </c>
      <c r="V5248" s="57">
        <v>0</v>
      </c>
      <c r="W5248" s="57">
        <v>0</v>
      </c>
      <c r="X5248" s="57">
        <v>0</v>
      </c>
    </row>
    <row r="5249" spans="1:24" hidden="1" x14ac:dyDescent="0.35">
      <c r="A5249">
        <v>5245</v>
      </c>
      <c r="B5249">
        <v>5246</v>
      </c>
      <c r="C5249">
        <v>146.05337542500001</v>
      </c>
      <c r="D5249">
        <v>-17.637345398200001</v>
      </c>
      <c r="F5249" t="str">
        <f>HYPERLINK("D:\Data From Lucan\2024\Moresby\Frames_for_Analysis/5246_20240611_0006_L_1016.jpg","5246_20240611_0006_L_1016.jpg")</f>
        <v>5246_20240611_0006_L_1016.jpg</v>
      </c>
      <c r="G5249" s="92" t="s">
        <v>5627</v>
      </c>
      <c r="I5249">
        <v>4</v>
      </c>
      <c r="K5249" s="57">
        <v>1</v>
      </c>
      <c r="P5249" s="57">
        <v>1</v>
      </c>
      <c r="Q5249" s="57">
        <v>0</v>
      </c>
      <c r="R5249" s="57">
        <v>0</v>
      </c>
      <c r="S5249" s="57">
        <v>0</v>
      </c>
      <c r="T5249" s="57">
        <v>0</v>
      </c>
      <c r="U5249" s="57">
        <v>0</v>
      </c>
      <c r="V5249" s="57">
        <v>0</v>
      </c>
      <c r="W5249" s="57">
        <v>0</v>
      </c>
      <c r="X5249" s="57">
        <v>0</v>
      </c>
    </row>
    <row r="5250" spans="1:24" hidden="1" x14ac:dyDescent="0.35">
      <c r="A5250">
        <v>5246</v>
      </c>
      <c r="B5250">
        <v>5247</v>
      </c>
      <c r="C5250">
        <v>146.053294227999</v>
      </c>
      <c r="D5250">
        <v>-17.6373087766999</v>
      </c>
      <c r="F5250" t="str">
        <f>HYPERLINK("D:\Data From Lucan\2024\Moresby\Frames_for_Analysis/5247_20240611_0006_L_1018.jpg","5247_20240611_0006_L_1018.jpg")</f>
        <v>5247_20240611_0006_L_1018.jpg</v>
      </c>
      <c r="G5250" s="92" t="s">
        <v>5628</v>
      </c>
      <c r="I5250">
        <v>4</v>
      </c>
      <c r="K5250" s="57">
        <v>1</v>
      </c>
      <c r="P5250" s="57">
        <v>1</v>
      </c>
      <c r="Q5250" s="57">
        <v>0</v>
      </c>
      <c r="R5250" s="57">
        <v>0</v>
      </c>
      <c r="S5250" s="57">
        <v>0</v>
      </c>
      <c r="T5250" s="57">
        <v>0</v>
      </c>
      <c r="U5250" s="57">
        <v>0</v>
      </c>
      <c r="V5250" s="57">
        <v>0</v>
      </c>
      <c r="W5250" s="57">
        <v>0</v>
      </c>
      <c r="X5250" s="57">
        <v>0</v>
      </c>
    </row>
    <row r="5251" spans="1:24" hidden="1" x14ac:dyDescent="0.35">
      <c r="A5251">
        <v>5247</v>
      </c>
      <c r="B5251">
        <v>5248</v>
      </c>
      <c r="C5251">
        <v>146.05321708599899</v>
      </c>
      <c r="D5251">
        <v>-17.637266864200001</v>
      </c>
      <c r="F5251" t="str">
        <f>HYPERLINK("D:\Data From Lucan\2024\Moresby\Frames_for_Analysis/5248_20240611_0006_L_1021.jpg","5248_20240611_0006_L_1021.jpg")</f>
        <v>5248_20240611_0006_L_1021.jpg</v>
      </c>
      <c r="G5251" s="92" t="s">
        <v>5629</v>
      </c>
      <c r="I5251">
        <v>4</v>
      </c>
      <c r="K5251" s="57">
        <v>1</v>
      </c>
      <c r="P5251" s="57">
        <v>1</v>
      </c>
      <c r="Q5251" s="57">
        <v>0</v>
      </c>
      <c r="R5251" s="57">
        <v>0</v>
      </c>
      <c r="S5251" s="57">
        <v>0</v>
      </c>
      <c r="T5251" s="57">
        <v>0</v>
      </c>
      <c r="U5251" s="57">
        <v>0</v>
      </c>
      <c r="V5251" s="57">
        <v>0</v>
      </c>
      <c r="W5251" s="57">
        <v>0</v>
      </c>
      <c r="X5251" s="57">
        <v>0</v>
      </c>
    </row>
    <row r="5252" spans="1:24" hidden="1" x14ac:dyDescent="0.35">
      <c r="A5252">
        <v>5248</v>
      </c>
      <c r="B5252">
        <v>5249</v>
      </c>
      <c r="C5252">
        <v>146.053155785999</v>
      </c>
      <c r="D5252">
        <v>-17.637204285700001</v>
      </c>
      <c r="F5252" t="str">
        <f>HYPERLINK("D:\Data From Lucan\2024\Moresby\Frames_for_Analysis/5249_20240611_0006_L_1023.jpg","5249_20240611_0006_L_1023.jpg")</f>
        <v>5249_20240611_0006_L_1023.jpg</v>
      </c>
      <c r="G5252" s="92" t="s">
        <v>5630</v>
      </c>
      <c r="I5252">
        <v>4</v>
      </c>
      <c r="K5252" s="57">
        <v>1</v>
      </c>
      <c r="P5252" s="57">
        <v>1</v>
      </c>
      <c r="Q5252" s="57">
        <v>0</v>
      </c>
      <c r="R5252" s="57">
        <v>0</v>
      </c>
      <c r="S5252" s="57">
        <v>0</v>
      </c>
      <c r="T5252" s="57">
        <v>0</v>
      </c>
      <c r="U5252" s="57">
        <v>0</v>
      </c>
      <c r="V5252" s="57">
        <v>0</v>
      </c>
      <c r="W5252" s="57">
        <v>0</v>
      </c>
      <c r="X5252" s="57">
        <v>0</v>
      </c>
    </row>
    <row r="5253" spans="1:24" hidden="1" x14ac:dyDescent="0.35">
      <c r="A5253">
        <v>5249</v>
      </c>
      <c r="B5253">
        <v>5250</v>
      </c>
      <c r="C5253">
        <v>146.053094485</v>
      </c>
      <c r="D5253">
        <v>-17.6371417071</v>
      </c>
      <c r="F5253" t="str">
        <f>HYPERLINK("D:\Data From Lucan\2024\Moresby\Frames_for_Analysis/5250_20240611_0006_L_1026.jpg","5250_20240611_0006_L_1026.jpg")</f>
        <v>5250_20240611_0006_L_1026.jpg</v>
      </c>
      <c r="G5253" s="92" t="s">
        <v>5631</v>
      </c>
      <c r="I5253">
        <v>4</v>
      </c>
      <c r="K5253" s="57">
        <v>1</v>
      </c>
      <c r="P5253" s="57">
        <v>1</v>
      </c>
      <c r="Q5253" s="57">
        <v>0</v>
      </c>
      <c r="R5253" s="57">
        <v>0</v>
      </c>
      <c r="S5253" s="57">
        <v>0</v>
      </c>
      <c r="T5253" s="57">
        <v>0</v>
      </c>
      <c r="U5253" s="57">
        <v>0</v>
      </c>
      <c r="V5253" s="57">
        <v>0</v>
      </c>
      <c r="W5253" s="57">
        <v>0</v>
      </c>
      <c r="X5253" s="57">
        <v>0</v>
      </c>
    </row>
    <row r="5254" spans="1:24" hidden="1" x14ac:dyDescent="0.35">
      <c r="A5254">
        <v>5250</v>
      </c>
      <c r="B5254">
        <v>5251</v>
      </c>
      <c r="C5254">
        <v>146.05303318399899</v>
      </c>
      <c r="D5254">
        <v>-17.6370791286</v>
      </c>
      <c r="F5254" t="str">
        <f>HYPERLINK("D:\Data From Lucan\2024\Moresby\Frames_for_Analysis/5251_20240611_0006_L_1028.jpg","5251_20240611_0006_L_1028.jpg")</f>
        <v>5251_20240611_0006_L_1028.jpg</v>
      </c>
      <c r="G5254" s="92" t="s">
        <v>5632</v>
      </c>
      <c r="I5254">
        <v>4</v>
      </c>
      <c r="K5254" s="57">
        <v>1</v>
      </c>
      <c r="P5254" s="57">
        <v>1</v>
      </c>
      <c r="Q5254" s="57">
        <v>0</v>
      </c>
      <c r="R5254" s="57">
        <v>0</v>
      </c>
      <c r="S5254" s="57">
        <v>0</v>
      </c>
      <c r="T5254" s="57">
        <v>0</v>
      </c>
      <c r="U5254" s="57">
        <v>0</v>
      </c>
      <c r="V5254" s="57">
        <v>0</v>
      </c>
      <c r="W5254" s="57">
        <v>0</v>
      </c>
      <c r="X5254" s="57">
        <v>0</v>
      </c>
    </row>
    <row r="5255" spans="1:24" hidden="1" x14ac:dyDescent="0.35">
      <c r="A5255">
        <v>5251</v>
      </c>
      <c r="B5255">
        <v>5252</v>
      </c>
      <c r="C5255">
        <v>146.052971882999</v>
      </c>
      <c r="D5255">
        <v>-17.637016549999899</v>
      </c>
      <c r="F5255" t="str">
        <f>HYPERLINK("D:\Data From Lucan\2024\Moresby\Frames_for_Analysis/5252_20240611_0006_L_1031.jpg","5252_20240611_0006_L_1031.jpg")</f>
        <v>5252_20240611_0006_L_1031.jpg</v>
      </c>
      <c r="G5255" s="92" t="s">
        <v>5633</v>
      </c>
      <c r="I5255">
        <v>4</v>
      </c>
      <c r="K5255" s="57">
        <v>1</v>
      </c>
      <c r="P5255" s="57">
        <v>1</v>
      </c>
      <c r="Q5255" s="57">
        <v>0</v>
      </c>
      <c r="R5255" s="57">
        <v>0</v>
      </c>
      <c r="S5255" s="57">
        <v>0</v>
      </c>
      <c r="T5255" s="57">
        <v>0</v>
      </c>
      <c r="U5255" s="57">
        <v>0</v>
      </c>
      <c r="V5255" s="57">
        <v>0</v>
      </c>
      <c r="W5255" s="57">
        <v>0</v>
      </c>
      <c r="X5255" s="57">
        <v>0</v>
      </c>
    </row>
    <row r="5256" spans="1:24" hidden="1" x14ac:dyDescent="0.35">
      <c r="A5256">
        <v>5252</v>
      </c>
      <c r="B5256">
        <v>5253</v>
      </c>
      <c r="C5256">
        <v>146.05291058200001</v>
      </c>
      <c r="D5256">
        <v>-17.636953971400001</v>
      </c>
      <c r="F5256" t="str">
        <f>HYPERLINK("D:\Data From Lucan\2024\Moresby\Frames_for_Analysis/5253_20240611_0006_L_1034.jpg","5253_20240611_0006_L_1034.jpg")</f>
        <v>5253_20240611_0006_L_1034.jpg</v>
      </c>
      <c r="G5256" s="92" t="s">
        <v>5634</v>
      </c>
      <c r="I5256">
        <v>4</v>
      </c>
      <c r="K5256" s="57">
        <v>1</v>
      </c>
      <c r="P5256" s="57">
        <v>1</v>
      </c>
      <c r="Q5256" s="57">
        <v>0</v>
      </c>
      <c r="R5256" s="57">
        <v>0</v>
      </c>
      <c r="S5256" s="57">
        <v>0</v>
      </c>
      <c r="T5256" s="57">
        <v>0</v>
      </c>
      <c r="U5256" s="57">
        <v>0</v>
      </c>
      <c r="V5256" s="57">
        <v>0</v>
      </c>
      <c r="W5256" s="57">
        <v>0</v>
      </c>
      <c r="X5256" s="57">
        <v>0</v>
      </c>
    </row>
    <row r="5257" spans="1:24" hidden="1" x14ac:dyDescent="0.35">
      <c r="A5257">
        <v>5253</v>
      </c>
      <c r="B5257">
        <v>5254</v>
      </c>
      <c r="C5257">
        <v>146.05284928200001</v>
      </c>
      <c r="D5257">
        <v>-17.6368913927999</v>
      </c>
      <c r="F5257" t="str">
        <f>HYPERLINK("D:\Data From Lucan\2024\Moresby\Frames_for_Analysis/5254_20240611_0006_L_1036.jpg","5254_20240611_0006_L_1036.jpg")</f>
        <v>5254_20240611_0006_L_1036.jpg</v>
      </c>
      <c r="G5257" s="92" t="s">
        <v>5635</v>
      </c>
      <c r="I5257">
        <v>4</v>
      </c>
      <c r="K5257" s="57">
        <v>1</v>
      </c>
      <c r="P5257" s="57">
        <v>1</v>
      </c>
      <c r="Q5257" s="57">
        <v>0</v>
      </c>
      <c r="R5257" s="57">
        <v>0</v>
      </c>
      <c r="S5257" s="57">
        <v>0</v>
      </c>
      <c r="T5257" s="57">
        <v>0</v>
      </c>
      <c r="U5257" s="57">
        <v>0</v>
      </c>
      <c r="V5257" s="57">
        <v>0</v>
      </c>
      <c r="W5257" s="57">
        <v>0</v>
      </c>
      <c r="X5257" s="57">
        <v>0</v>
      </c>
    </row>
    <row r="5258" spans="1:24" hidden="1" x14ac:dyDescent="0.35">
      <c r="A5258">
        <v>5254</v>
      </c>
      <c r="B5258">
        <v>5255</v>
      </c>
      <c r="C5258">
        <v>146.052797682999</v>
      </c>
      <c r="D5258">
        <v>-17.636822193099899</v>
      </c>
      <c r="F5258" t="str">
        <f>HYPERLINK("D:\Data From Lucan\2024\Moresby\Frames_for_Analysis/5255_20240611_0006_L_1039.jpg","5255_20240611_0006_L_1039.jpg")</f>
        <v>5255_20240611_0006_L_1039.jpg</v>
      </c>
      <c r="G5258" s="92" t="s">
        <v>5636</v>
      </c>
      <c r="I5258">
        <v>4</v>
      </c>
      <c r="K5258" s="57">
        <v>1</v>
      </c>
      <c r="P5258" s="57">
        <v>1</v>
      </c>
      <c r="Q5258" s="57">
        <v>0</v>
      </c>
      <c r="R5258" s="57">
        <v>0</v>
      </c>
      <c r="S5258" s="57">
        <v>0</v>
      </c>
      <c r="T5258" s="57">
        <v>0</v>
      </c>
      <c r="U5258" s="57">
        <v>0</v>
      </c>
      <c r="V5258" s="57">
        <v>0</v>
      </c>
      <c r="W5258" s="57">
        <v>0</v>
      </c>
      <c r="X5258" s="57">
        <v>0</v>
      </c>
    </row>
    <row r="5259" spans="1:24" hidden="1" x14ac:dyDescent="0.35">
      <c r="A5259">
        <v>5255</v>
      </c>
      <c r="B5259">
        <v>5256</v>
      </c>
      <c r="C5259">
        <v>146.052755265</v>
      </c>
      <c r="D5259">
        <v>-17.6367467297</v>
      </c>
      <c r="F5259" t="str">
        <f>HYPERLINK("D:\Data From Lucan\2024\Moresby\Frames_for_Analysis/5256_20240611_0006_L_1041.jpg","5256_20240611_0006_L_1041.jpg")</f>
        <v>5256_20240611_0006_L_1041.jpg</v>
      </c>
      <c r="G5259" s="92" t="s">
        <v>5637</v>
      </c>
      <c r="I5259">
        <v>4</v>
      </c>
      <c r="K5259" s="57">
        <v>1</v>
      </c>
      <c r="P5259" s="57">
        <v>1</v>
      </c>
      <c r="Q5259" s="57">
        <v>0</v>
      </c>
      <c r="R5259" s="57">
        <v>0</v>
      </c>
      <c r="S5259" s="57">
        <v>0</v>
      </c>
      <c r="T5259" s="57">
        <v>0</v>
      </c>
      <c r="U5259" s="57">
        <v>0</v>
      </c>
      <c r="V5259" s="57">
        <v>0</v>
      </c>
      <c r="W5259" s="57">
        <v>0</v>
      </c>
      <c r="X5259" s="57">
        <v>0</v>
      </c>
    </row>
    <row r="5260" spans="1:24" hidden="1" x14ac:dyDescent="0.35">
      <c r="A5260">
        <v>5256</v>
      </c>
      <c r="B5260">
        <v>5257</v>
      </c>
      <c r="C5260">
        <v>146.052712845999</v>
      </c>
      <c r="D5260">
        <v>-17.6366712662</v>
      </c>
      <c r="F5260" t="str">
        <f>HYPERLINK("D:\Data From Lucan\2024\Moresby\Frames_for_Analysis/5257_20240611_0006_L_1045.jpg","5257_20240611_0006_L_1045.jpg")</f>
        <v>5257_20240611_0006_L_1045.jpg</v>
      </c>
      <c r="G5260" s="92" t="s">
        <v>5638</v>
      </c>
      <c r="I5260">
        <v>4</v>
      </c>
      <c r="K5260" s="57">
        <v>1</v>
      </c>
      <c r="P5260" s="57">
        <v>1</v>
      </c>
      <c r="Q5260" s="57">
        <v>0</v>
      </c>
      <c r="R5260" s="57">
        <v>0</v>
      </c>
      <c r="S5260" s="57">
        <v>0</v>
      </c>
      <c r="T5260" s="57">
        <v>0</v>
      </c>
      <c r="U5260" s="57">
        <v>0</v>
      </c>
      <c r="V5260" s="57">
        <v>0</v>
      </c>
      <c r="W5260" s="57">
        <v>0</v>
      </c>
      <c r="X5260" s="57">
        <v>0</v>
      </c>
    </row>
    <row r="5261" spans="1:24" hidden="1" x14ac:dyDescent="0.35">
      <c r="A5261">
        <v>5257</v>
      </c>
      <c r="B5261">
        <v>5258</v>
      </c>
      <c r="C5261">
        <v>146.05267042700001</v>
      </c>
      <c r="D5261">
        <v>-17.636595802599899</v>
      </c>
      <c r="F5261" t="str">
        <f>HYPERLINK("D:\Data From Lucan\2024\Moresby\Frames_for_Analysis/5258_20240611_0006_L_1047.jpg","5258_20240611_0006_L_1047.jpg")</f>
        <v>5258_20240611_0006_L_1047.jpg</v>
      </c>
      <c r="G5261" s="92" t="s">
        <v>5639</v>
      </c>
      <c r="I5261">
        <v>4</v>
      </c>
      <c r="K5261" s="57">
        <v>1</v>
      </c>
      <c r="P5261" s="57">
        <v>1</v>
      </c>
      <c r="Q5261" s="57">
        <v>0</v>
      </c>
      <c r="R5261" s="57">
        <v>0</v>
      </c>
      <c r="S5261" s="57">
        <v>0</v>
      </c>
      <c r="T5261" s="57">
        <v>0</v>
      </c>
      <c r="U5261" s="57">
        <v>0</v>
      </c>
      <c r="V5261" s="57">
        <v>0</v>
      </c>
      <c r="W5261" s="57">
        <v>0</v>
      </c>
      <c r="X5261" s="57">
        <v>0</v>
      </c>
    </row>
    <row r="5262" spans="1:24" hidden="1" x14ac:dyDescent="0.35">
      <c r="A5262">
        <v>5258</v>
      </c>
      <c r="B5262">
        <v>5259</v>
      </c>
      <c r="C5262">
        <v>146.052628007999</v>
      </c>
      <c r="D5262">
        <v>-17.636520339099899</v>
      </c>
      <c r="F5262" t="str">
        <f>HYPERLINK("D:\Data From Lucan\2024\Moresby\Frames_for_Analysis/5259_20240611_0006_L_1049.jpg","5259_20240611_0006_L_1049.jpg")</f>
        <v>5259_20240611_0006_L_1049.jpg</v>
      </c>
      <c r="G5262" s="92" t="s">
        <v>5640</v>
      </c>
      <c r="I5262">
        <v>4</v>
      </c>
      <c r="K5262" s="57">
        <v>1</v>
      </c>
      <c r="P5262" s="57">
        <v>1</v>
      </c>
      <c r="Q5262" s="57">
        <v>0</v>
      </c>
      <c r="R5262" s="57">
        <v>0</v>
      </c>
      <c r="S5262" s="57">
        <v>0</v>
      </c>
      <c r="T5262" s="57">
        <v>0</v>
      </c>
      <c r="U5262" s="57">
        <v>0</v>
      </c>
      <c r="V5262" s="57">
        <v>0</v>
      </c>
      <c r="W5262" s="57">
        <v>0</v>
      </c>
      <c r="X5262" s="57">
        <v>0</v>
      </c>
    </row>
    <row r="5263" spans="1:24" hidden="1" x14ac:dyDescent="0.35">
      <c r="A5263">
        <v>5259</v>
      </c>
      <c r="B5263">
        <v>5260</v>
      </c>
      <c r="C5263">
        <v>146.05258902400001</v>
      </c>
      <c r="D5263">
        <v>-17.6364432288999</v>
      </c>
      <c r="F5263" t="str">
        <f>HYPERLINK("D:\Data From Lucan\2024\Moresby\Frames_for_Analysis/5260_20240611_0006_L_1052.jpg","5260_20240611_0006_L_1052.jpg")</f>
        <v>5260_20240611_0006_L_1052.jpg</v>
      </c>
      <c r="G5263" s="92" t="s">
        <v>5641</v>
      </c>
      <c r="I5263">
        <v>4</v>
      </c>
      <c r="K5263" s="57">
        <v>1</v>
      </c>
      <c r="P5263" s="57">
        <v>1</v>
      </c>
      <c r="Q5263" s="57">
        <v>0</v>
      </c>
      <c r="R5263" s="57">
        <v>0</v>
      </c>
      <c r="S5263" s="57">
        <v>0</v>
      </c>
      <c r="T5263" s="57">
        <v>0</v>
      </c>
      <c r="U5263" s="57">
        <v>0</v>
      </c>
      <c r="V5263" s="57">
        <v>0</v>
      </c>
      <c r="W5263" s="57">
        <v>0</v>
      </c>
      <c r="X5263" s="57">
        <v>0</v>
      </c>
    </row>
    <row r="5264" spans="1:24" hidden="1" x14ac:dyDescent="0.35">
      <c r="A5264">
        <v>5260</v>
      </c>
      <c r="B5264">
        <v>5261</v>
      </c>
      <c r="C5264">
        <v>146.05255074900001</v>
      </c>
      <c r="D5264">
        <v>-17.6363657793</v>
      </c>
      <c r="F5264" t="str">
        <f>HYPERLINK("D:\Data From Lucan\2024\Moresby\Frames_for_Analysis/5261_20240611_0006_L_1055.jpg","5261_20240611_0006_L_1055.jpg")</f>
        <v>5261_20240611_0006_L_1055.jpg</v>
      </c>
      <c r="G5264" s="92" t="s">
        <v>5642</v>
      </c>
      <c r="I5264">
        <v>4</v>
      </c>
      <c r="K5264" s="57">
        <v>1</v>
      </c>
      <c r="P5264" s="57">
        <v>1</v>
      </c>
      <c r="Q5264" s="57">
        <v>0</v>
      </c>
      <c r="R5264" s="57">
        <v>0</v>
      </c>
      <c r="S5264" s="57">
        <v>0</v>
      </c>
      <c r="T5264" s="57">
        <v>0</v>
      </c>
      <c r="U5264" s="57">
        <v>0</v>
      </c>
      <c r="V5264" s="57">
        <v>0</v>
      </c>
      <c r="W5264" s="57">
        <v>0</v>
      </c>
      <c r="X5264" s="57">
        <v>0</v>
      </c>
    </row>
    <row r="5265" spans="1:24" hidden="1" x14ac:dyDescent="0.35">
      <c r="A5265">
        <v>5261</v>
      </c>
      <c r="B5265">
        <v>5262</v>
      </c>
      <c r="C5265">
        <v>146.052512473999</v>
      </c>
      <c r="D5265">
        <v>-17.636288329700001</v>
      </c>
      <c r="F5265" t="str">
        <f>HYPERLINK("D:\Data From Lucan\2024\Moresby\Frames_for_Analysis/5262_20240611_0006_L_1057.jpg","5262_20240611_0006_L_1057.jpg")</f>
        <v>5262_20240611_0006_L_1057.jpg</v>
      </c>
      <c r="G5265" s="92" t="s">
        <v>5643</v>
      </c>
      <c r="I5265">
        <v>4</v>
      </c>
      <c r="K5265" s="57">
        <v>1</v>
      </c>
      <c r="P5265" s="57">
        <v>1</v>
      </c>
      <c r="Q5265" s="57">
        <v>0</v>
      </c>
      <c r="R5265" s="57">
        <v>0</v>
      </c>
      <c r="S5265" s="57">
        <v>0</v>
      </c>
      <c r="T5265" s="57">
        <v>0</v>
      </c>
      <c r="U5265" s="57">
        <v>0</v>
      </c>
      <c r="V5265" s="57">
        <v>0</v>
      </c>
      <c r="W5265" s="57">
        <v>0</v>
      </c>
      <c r="X5265" s="57">
        <v>0</v>
      </c>
    </row>
    <row r="5266" spans="1:24" hidden="1" x14ac:dyDescent="0.35">
      <c r="A5266">
        <v>5262</v>
      </c>
      <c r="B5266">
        <v>5263</v>
      </c>
      <c r="C5266">
        <v>146.05247419899899</v>
      </c>
      <c r="D5266">
        <v>-17.63621088</v>
      </c>
      <c r="F5266" t="str">
        <f>HYPERLINK("D:\Data From Lucan\2024\Moresby\Frames_for_Analysis/5263_20240611_0006_L_1060.jpg","5263_20240611_0006_L_1060.jpg")</f>
        <v>5263_20240611_0006_L_1060.jpg</v>
      </c>
      <c r="G5266" s="92" t="s">
        <v>5644</v>
      </c>
      <c r="I5266">
        <v>4</v>
      </c>
      <c r="K5266" s="57">
        <v>1</v>
      </c>
      <c r="P5266" s="57">
        <v>1</v>
      </c>
      <c r="Q5266" s="57">
        <v>0</v>
      </c>
      <c r="R5266" s="57">
        <v>0</v>
      </c>
      <c r="S5266" s="57">
        <v>0</v>
      </c>
      <c r="T5266" s="57">
        <v>0</v>
      </c>
      <c r="U5266" s="57">
        <v>0</v>
      </c>
      <c r="V5266" s="57">
        <v>0</v>
      </c>
      <c r="W5266" s="57">
        <v>0</v>
      </c>
      <c r="X5266" s="57">
        <v>0</v>
      </c>
    </row>
    <row r="5267" spans="1:24" hidden="1" x14ac:dyDescent="0.35">
      <c r="A5267">
        <v>5263</v>
      </c>
      <c r="B5267">
        <v>5264</v>
      </c>
      <c r="C5267">
        <v>146.05243592400001</v>
      </c>
      <c r="D5267">
        <v>-17.6361334302999</v>
      </c>
      <c r="F5267" t="str">
        <f>HYPERLINK("D:\Data From Lucan\2024\Moresby\Frames_for_Analysis/5264_20240611_0006_L_1062.jpg","5264_20240611_0006_L_1062.jpg")</f>
        <v>5264_20240611_0006_L_1062.jpg</v>
      </c>
      <c r="G5267" s="92" t="s">
        <v>5645</v>
      </c>
      <c r="I5267">
        <v>4</v>
      </c>
      <c r="K5267" s="57">
        <v>1</v>
      </c>
      <c r="P5267" s="57">
        <v>1</v>
      </c>
      <c r="Q5267" s="57">
        <v>0</v>
      </c>
      <c r="R5267" s="57">
        <v>0</v>
      </c>
      <c r="S5267" s="57">
        <v>0</v>
      </c>
      <c r="T5267" s="57">
        <v>0</v>
      </c>
      <c r="U5267" s="57">
        <v>0</v>
      </c>
      <c r="V5267" s="57">
        <v>0</v>
      </c>
      <c r="W5267" s="57">
        <v>0</v>
      </c>
      <c r="X5267" s="57">
        <v>0</v>
      </c>
    </row>
    <row r="5268" spans="1:24" hidden="1" x14ac:dyDescent="0.35">
      <c r="A5268">
        <v>5264</v>
      </c>
      <c r="B5268">
        <v>5265</v>
      </c>
      <c r="C5268">
        <v>146.052397649</v>
      </c>
      <c r="D5268">
        <v>-17.6360559805</v>
      </c>
      <c r="F5268" t="str">
        <f>HYPERLINK("D:\Data From Lucan\2024\Moresby\Frames_for_Analysis/5265_20240611_0006_L_1065.jpg","5265_20240611_0006_L_1065.jpg")</f>
        <v>5265_20240611_0006_L_1065.jpg</v>
      </c>
      <c r="G5268" s="92" t="s">
        <v>5646</v>
      </c>
      <c r="I5268">
        <v>4</v>
      </c>
      <c r="K5268" s="57">
        <v>1</v>
      </c>
      <c r="P5268" s="57">
        <v>1</v>
      </c>
      <c r="Q5268" s="57">
        <v>0</v>
      </c>
      <c r="R5268" s="57">
        <v>0</v>
      </c>
      <c r="S5268" s="57">
        <v>0</v>
      </c>
      <c r="T5268" s="57">
        <v>0</v>
      </c>
      <c r="U5268" s="57">
        <v>0</v>
      </c>
      <c r="V5268" s="57">
        <v>0</v>
      </c>
      <c r="W5268" s="57">
        <v>0</v>
      </c>
      <c r="X5268" s="57">
        <v>0</v>
      </c>
    </row>
    <row r="5269" spans="1:24" hidden="1" x14ac:dyDescent="0.35">
      <c r="A5269">
        <v>5265</v>
      </c>
      <c r="B5269">
        <v>5266</v>
      </c>
      <c r="C5269">
        <v>146.052359749</v>
      </c>
      <c r="D5269">
        <v>-17.6359783855</v>
      </c>
      <c r="F5269" t="str">
        <f>HYPERLINK("D:\Data From Lucan\2024\Moresby\Frames_for_Analysis/5266_20240611_0006_L_1067.jpg","5266_20240611_0006_L_1067.jpg")</f>
        <v>5266_20240611_0006_L_1067.jpg</v>
      </c>
      <c r="G5269" s="92" t="s">
        <v>5647</v>
      </c>
      <c r="I5269">
        <v>4</v>
      </c>
      <c r="K5269" s="57">
        <v>1</v>
      </c>
      <c r="P5269" s="57">
        <v>1</v>
      </c>
      <c r="Q5269" s="57">
        <v>0</v>
      </c>
      <c r="R5269" s="57">
        <v>0</v>
      </c>
      <c r="S5269" s="57">
        <v>0</v>
      </c>
      <c r="T5269" s="57">
        <v>0</v>
      </c>
      <c r="U5269" s="57">
        <v>0</v>
      </c>
      <c r="V5269" s="57">
        <v>0</v>
      </c>
      <c r="W5269" s="57">
        <v>0</v>
      </c>
      <c r="X5269" s="57">
        <v>0</v>
      </c>
    </row>
    <row r="5270" spans="1:24" hidden="1" x14ac:dyDescent="0.35">
      <c r="A5270">
        <v>5266</v>
      </c>
      <c r="B5270">
        <v>5267</v>
      </c>
      <c r="C5270">
        <v>146.052339654999</v>
      </c>
      <c r="D5270">
        <v>-17.635894989400001</v>
      </c>
      <c r="F5270" t="str">
        <f>HYPERLINK("D:\Data From Lucan\2024\Moresby\Frames_for_Analysis/5267_20240611_0006_L_1071.jpg","5267_20240611_0006_L_1071.jpg")</f>
        <v>5267_20240611_0006_L_1071.jpg</v>
      </c>
      <c r="G5270" s="92" t="s">
        <v>5648</v>
      </c>
      <c r="I5270">
        <v>4</v>
      </c>
      <c r="K5270" s="57">
        <v>1</v>
      </c>
      <c r="P5270" s="57">
        <v>1</v>
      </c>
      <c r="Q5270" s="57">
        <v>0</v>
      </c>
      <c r="R5270" s="57">
        <v>0</v>
      </c>
      <c r="S5270" s="57">
        <v>0</v>
      </c>
      <c r="T5270" s="57">
        <v>0</v>
      </c>
      <c r="U5270" s="57">
        <v>0</v>
      </c>
      <c r="V5270" s="57">
        <v>0</v>
      </c>
      <c r="W5270" s="57">
        <v>0</v>
      </c>
      <c r="X5270" s="57">
        <v>0</v>
      </c>
    </row>
    <row r="5271" spans="1:24" hidden="1" x14ac:dyDescent="0.35">
      <c r="A5271">
        <v>5267</v>
      </c>
      <c r="B5271">
        <v>5268</v>
      </c>
      <c r="C5271">
        <v>146.052320565</v>
      </c>
      <c r="D5271">
        <v>-17.6358113352</v>
      </c>
      <c r="F5271" t="str">
        <f>HYPERLINK("D:\Data From Lucan\2024\Moresby\Frames_for_Analysis/5268_20240611_0006_L_1075.jpg","5268_20240611_0006_L_1075.jpg")</f>
        <v>5268_20240611_0006_L_1075.jpg</v>
      </c>
      <c r="G5271" s="92" t="s">
        <v>5649</v>
      </c>
      <c r="I5271">
        <v>4</v>
      </c>
      <c r="K5271" s="57">
        <v>1</v>
      </c>
      <c r="P5271" s="57">
        <v>1</v>
      </c>
      <c r="Q5271" s="57">
        <v>0</v>
      </c>
      <c r="R5271" s="57">
        <v>0</v>
      </c>
      <c r="S5271" s="57">
        <v>0</v>
      </c>
      <c r="T5271" s="57">
        <v>0</v>
      </c>
      <c r="U5271" s="57">
        <v>0</v>
      </c>
      <c r="V5271" s="57">
        <v>0</v>
      </c>
      <c r="W5271" s="57">
        <v>0</v>
      </c>
      <c r="X5271" s="57">
        <v>0</v>
      </c>
    </row>
    <row r="5272" spans="1:24" hidden="1" x14ac:dyDescent="0.35">
      <c r="A5272">
        <v>5268</v>
      </c>
      <c r="B5272">
        <v>5269</v>
      </c>
      <c r="C5272">
        <v>146.052301475999</v>
      </c>
      <c r="D5272">
        <v>-17.635727680900001</v>
      </c>
      <c r="F5272" t="str">
        <f>HYPERLINK("D:\Data From Lucan\2024\Moresby\Frames_for_Analysis/5269_20240611_0006_L_1077.jpg","5269_20240611_0006_L_1077.jpg")</f>
        <v>5269_20240611_0006_L_1077.jpg</v>
      </c>
      <c r="G5272" s="92" t="s">
        <v>5650</v>
      </c>
      <c r="I5272">
        <v>4</v>
      </c>
      <c r="K5272" s="57">
        <v>1</v>
      </c>
      <c r="P5272" s="57">
        <v>1</v>
      </c>
      <c r="Q5272" s="57">
        <v>0</v>
      </c>
      <c r="R5272" s="57">
        <v>0</v>
      </c>
      <c r="S5272" s="57">
        <v>0</v>
      </c>
      <c r="T5272" s="57">
        <v>0</v>
      </c>
      <c r="U5272" s="57">
        <v>0</v>
      </c>
      <c r="V5272" s="57">
        <v>0</v>
      </c>
      <c r="W5272" s="57">
        <v>0</v>
      </c>
      <c r="X5272" s="57">
        <v>0</v>
      </c>
    </row>
    <row r="5273" spans="1:24" hidden="1" x14ac:dyDescent="0.35">
      <c r="A5273">
        <v>5269</v>
      </c>
      <c r="B5273">
        <v>5270</v>
      </c>
      <c r="C5273">
        <v>146.052282386</v>
      </c>
      <c r="D5273">
        <v>-17.635644026600001</v>
      </c>
      <c r="G5273" s="92"/>
      <c r="I5273">
        <v>4</v>
      </c>
      <c r="J5273" t="s">
        <v>26</v>
      </c>
      <c r="K5273" s="57"/>
      <c r="S5273" s="57"/>
      <c r="X5273" s="57"/>
    </row>
    <row r="5274" spans="1:24" hidden="1" x14ac:dyDescent="0.35">
      <c r="A5274">
        <v>5270</v>
      </c>
      <c r="B5274">
        <v>5271</v>
      </c>
      <c r="C5274">
        <v>146.052264842</v>
      </c>
      <c r="D5274">
        <v>-17.635560094300001</v>
      </c>
      <c r="G5274" s="92"/>
      <c r="I5274">
        <v>4</v>
      </c>
      <c r="J5274" t="s">
        <v>26</v>
      </c>
      <c r="K5274" s="57"/>
      <c r="S5274" s="57"/>
      <c r="X5274" s="57"/>
    </row>
    <row r="5275" spans="1:24" hidden="1" x14ac:dyDescent="0.35">
      <c r="A5275">
        <v>5271</v>
      </c>
      <c r="B5275">
        <v>5272</v>
      </c>
      <c r="C5275">
        <v>146.052250759</v>
      </c>
      <c r="D5275">
        <v>-17.635475543399899</v>
      </c>
      <c r="G5275" s="92"/>
      <c r="I5275">
        <v>4</v>
      </c>
      <c r="J5275" t="s">
        <v>26</v>
      </c>
      <c r="K5275" s="57"/>
      <c r="S5275" s="57"/>
      <c r="X5275" s="57"/>
    </row>
    <row r="5276" spans="1:24" hidden="1" x14ac:dyDescent="0.35">
      <c r="A5276">
        <v>5272</v>
      </c>
      <c r="B5276">
        <v>5273</v>
      </c>
      <c r="C5276">
        <v>146.05223690700001</v>
      </c>
      <c r="D5276">
        <v>-17.6353909575</v>
      </c>
      <c r="G5276" s="92"/>
      <c r="I5276">
        <v>4</v>
      </c>
      <c r="J5276" t="s">
        <v>26</v>
      </c>
      <c r="K5276" s="57"/>
      <c r="S5276" s="57"/>
      <c r="X5276" s="57"/>
    </row>
    <row r="5277" spans="1:24" hidden="1" x14ac:dyDescent="0.35">
      <c r="A5277">
        <v>5273</v>
      </c>
      <c r="B5277">
        <v>5274</v>
      </c>
      <c r="C5277">
        <v>146.05222305500001</v>
      </c>
      <c r="D5277">
        <v>-17.635306371599899</v>
      </c>
      <c r="G5277" s="92"/>
      <c r="I5277">
        <v>4</v>
      </c>
      <c r="J5277" t="s">
        <v>26</v>
      </c>
      <c r="K5277" s="57"/>
      <c r="S5277" s="57"/>
      <c r="X5277" s="57"/>
    </row>
    <row r="5278" spans="1:24" hidden="1" x14ac:dyDescent="0.35">
      <c r="A5278">
        <v>5274</v>
      </c>
      <c r="B5278">
        <v>5275</v>
      </c>
      <c r="C5278">
        <v>146.05220920400001</v>
      </c>
      <c r="D5278">
        <v>-17.635221785599899</v>
      </c>
      <c r="G5278" s="92"/>
      <c r="I5278">
        <v>4</v>
      </c>
      <c r="J5278" t="s">
        <v>26</v>
      </c>
      <c r="K5278" s="57"/>
      <c r="S5278" s="57"/>
      <c r="X5278" s="57"/>
    </row>
    <row r="5279" spans="1:24" hidden="1" x14ac:dyDescent="0.35">
      <c r="A5279">
        <v>5275</v>
      </c>
      <c r="B5279">
        <v>5276</v>
      </c>
      <c r="C5279">
        <v>146.05221363499899</v>
      </c>
      <c r="D5279">
        <v>-17.6351372863999</v>
      </c>
      <c r="G5279" s="92"/>
      <c r="I5279">
        <v>4</v>
      </c>
      <c r="J5279" t="s">
        <v>26</v>
      </c>
      <c r="K5279" s="57"/>
      <c r="S5279" s="57"/>
      <c r="X5279" s="57"/>
    </row>
    <row r="5280" spans="1:24" hidden="1" x14ac:dyDescent="0.35">
      <c r="A5280">
        <v>5276</v>
      </c>
      <c r="B5280">
        <v>5277</v>
      </c>
      <c r="C5280">
        <v>146.052228369999</v>
      </c>
      <c r="D5280">
        <v>-17.635052836100002</v>
      </c>
      <c r="G5280" s="92"/>
      <c r="I5280">
        <v>4</v>
      </c>
      <c r="J5280" t="s">
        <v>26</v>
      </c>
      <c r="K5280" s="57"/>
      <c r="S5280" s="57"/>
      <c r="X5280" s="57"/>
    </row>
    <row r="5281" spans="1:24" hidden="1" x14ac:dyDescent="0.35">
      <c r="A5281">
        <v>5277</v>
      </c>
      <c r="B5281">
        <v>5278</v>
      </c>
      <c r="C5281">
        <v>146.052243105999</v>
      </c>
      <c r="D5281">
        <v>-17.634968385800001</v>
      </c>
      <c r="G5281" s="92"/>
      <c r="I5281">
        <v>4</v>
      </c>
      <c r="J5281" t="s">
        <v>26</v>
      </c>
      <c r="K5281" s="57"/>
      <c r="S5281" s="57"/>
      <c r="X5281" s="57"/>
    </row>
    <row r="5282" spans="1:24" hidden="1" x14ac:dyDescent="0.35">
      <c r="A5282">
        <v>5278</v>
      </c>
      <c r="B5282">
        <v>5279</v>
      </c>
      <c r="C5282">
        <v>146.05225784199899</v>
      </c>
      <c r="D5282">
        <v>-17.634883935400001</v>
      </c>
      <c r="G5282" s="92"/>
      <c r="I5282">
        <v>4</v>
      </c>
      <c r="J5282" t="s">
        <v>26</v>
      </c>
      <c r="K5282" s="57"/>
      <c r="S5282" s="57"/>
      <c r="X5282" s="57"/>
    </row>
    <row r="5283" spans="1:24" hidden="1" x14ac:dyDescent="0.35">
      <c r="A5283">
        <v>5279</v>
      </c>
      <c r="B5283">
        <v>5280</v>
      </c>
      <c r="C5283">
        <v>146.052272576999</v>
      </c>
      <c r="D5283">
        <v>-17.634799484999899</v>
      </c>
      <c r="G5283" s="92"/>
      <c r="I5283">
        <v>4</v>
      </c>
      <c r="J5283" t="s">
        <v>26</v>
      </c>
      <c r="K5283" s="57"/>
      <c r="S5283" s="57"/>
      <c r="X5283" s="57"/>
    </row>
    <row r="5284" spans="1:24" hidden="1" x14ac:dyDescent="0.35">
      <c r="A5284">
        <v>5280</v>
      </c>
      <c r="B5284">
        <v>5281</v>
      </c>
      <c r="C5284">
        <v>146.05232004600001</v>
      </c>
      <c r="D5284">
        <v>-17.6347271042</v>
      </c>
      <c r="G5284" s="92"/>
      <c r="I5284">
        <v>4</v>
      </c>
      <c r="J5284" t="s">
        <v>26</v>
      </c>
      <c r="K5284" s="57"/>
      <c r="S5284" s="57"/>
      <c r="X5284" s="57"/>
    </row>
    <row r="5285" spans="1:24" hidden="1" x14ac:dyDescent="0.35">
      <c r="A5285">
        <v>5281</v>
      </c>
      <c r="B5285">
        <v>5282</v>
      </c>
      <c r="C5285">
        <v>146.052368790999</v>
      </c>
      <c r="D5285">
        <v>-17.634655194099899</v>
      </c>
      <c r="G5285" s="92"/>
      <c r="I5285">
        <v>4</v>
      </c>
      <c r="J5285" t="s">
        <v>26</v>
      </c>
      <c r="K5285" s="57"/>
      <c r="S5285" s="57"/>
      <c r="X5285" s="57"/>
    </row>
    <row r="5286" spans="1:24" hidden="1" x14ac:dyDescent="0.35">
      <c r="A5286">
        <v>5282</v>
      </c>
      <c r="B5286">
        <v>5283</v>
      </c>
      <c r="C5286">
        <v>146.05241753600001</v>
      </c>
      <c r="D5286">
        <v>-17.634583284000001</v>
      </c>
      <c r="G5286" s="92"/>
      <c r="I5286">
        <v>4</v>
      </c>
      <c r="J5286" t="s">
        <v>26</v>
      </c>
      <c r="K5286" s="57"/>
      <c r="S5286" s="57"/>
      <c r="X5286" s="57"/>
    </row>
    <row r="5287" spans="1:24" hidden="1" x14ac:dyDescent="0.35">
      <c r="A5287">
        <v>5283</v>
      </c>
      <c r="B5287">
        <v>5284</v>
      </c>
      <c r="C5287">
        <v>146.052466839999</v>
      </c>
      <c r="D5287">
        <v>-17.634511781699899</v>
      </c>
      <c r="G5287" s="92"/>
      <c r="I5287">
        <v>4</v>
      </c>
      <c r="J5287" t="s">
        <v>26</v>
      </c>
      <c r="K5287" s="57"/>
      <c r="S5287" s="57"/>
      <c r="X5287" s="57"/>
    </row>
    <row r="5288" spans="1:24" hidden="1" x14ac:dyDescent="0.35">
      <c r="A5288">
        <v>5284</v>
      </c>
      <c r="B5288">
        <v>5285</v>
      </c>
      <c r="C5288">
        <v>146.05252697200001</v>
      </c>
      <c r="D5288">
        <v>-17.634448179900001</v>
      </c>
      <c r="G5288" s="92"/>
      <c r="I5288">
        <v>4</v>
      </c>
      <c r="J5288" t="s">
        <v>26</v>
      </c>
      <c r="K5288" s="57"/>
      <c r="S5288" s="57"/>
      <c r="X5288" s="57"/>
    </row>
    <row r="5289" spans="1:24" hidden="1" x14ac:dyDescent="0.35">
      <c r="A5289">
        <v>5285</v>
      </c>
      <c r="B5289">
        <v>5286</v>
      </c>
      <c r="C5289">
        <v>146.05258710300001</v>
      </c>
      <c r="D5289">
        <v>-17.634384577999899</v>
      </c>
      <c r="G5289" s="92"/>
      <c r="I5289">
        <v>4</v>
      </c>
      <c r="J5289" t="s">
        <v>26</v>
      </c>
      <c r="K5289" s="57"/>
      <c r="S5289" s="57"/>
      <c r="X5289" s="57"/>
    </row>
    <row r="5290" spans="1:24" hidden="1" x14ac:dyDescent="0.35">
      <c r="A5290">
        <v>5286</v>
      </c>
      <c r="B5290">
        <v>5287</v>
      </c>
      <c r="C5290">
        <v>146.05265265099899</v>
      </c>
      <c r="D5290">
        <v>-17.634326516800002</v>
      </c>
      <c r="G5290" s="92"/>
      <c r="I5290">
        <v>4</v>
      </c>
      <c r="J5290" t="s">
        <v>26</v>
      </c>
      <c r="K5290" s="57"/>
      <c r="S5290" s="57"/>
      <c r="X5290" s="57"/>
    </row>
    <row r="5291" spans="1:24" hidden="1" x14ac:dyDescent="0.35">
      <c r="A5291">
        <v>5287</v>
      </c>
      <c r="B5291">
        <v>5288</v>
      </c>
      <c r="C5291">
        <v>146.052723466999</v>
      </c>
      <c r="D5291">
        <v>-17.6342738441999</v>
      </c>
      <c r="G5291" s="92"/>
      <c r="I5291">
        <v>4</v>
      </c>
      <c r="J5291" t="s">
        <v>26</v>
      </c>
      <c r="K5291" s="57"/>
      <c r="S5291" s="57"/>
      <c r="X5291" s="57"/>
    </row>
    <row r="5292" spans="1:24" hidden="1" x14ac:dyDescent="0.35">
      <c r="A5292">
        <v>5288</v>
      </c>
      <c r="B5292">
        <v>5289</v>
      </c>
      <c r="C5292">
        <v>146.052794282999</v>
      </c>
      <c r="D5292">
        <v>-17.6342211716</v>
      </c>
      <c r="G5292" s="92"/>
      <c r="I5292">
        <v>4</v>
      </c>
      <c r="J5292" t="s">
        <v>26</v>
      </c>
      <c r="K5292" s="57"/>
      <c r="S5292" s="57"/>
      <c r="X5292" s="57"/>
    </row>
    <row r="5293" spans="1:24" hidden="1" x14ac:dyDescent="0.35">
      <c r="A5293">
        <v>5289</v>
      </c>
      <c r="B5293">
        <v>5290</v>
      </c>
      <c r="C5293">
        <v>146.052868383</v>
      </c>
      <c r="D5293">
        <v>-17.634172995699899</v>
      </c>
      <c r="G5293" s="92"/>
      <c r="I5293">
        <v>4</v>
      </c>
      <c r="J5293" t="s">
        <v>26</v>
      </c>
      <c r="K5293" s="57"/>
      <c r="S5293" s="57"/>
      <c r="X5293" s="57"/>
    </row>
    <row r="5294" spans="1:24" hidden="1" x14ac:dyDescent="0.35">
      <c r="A5294">
        <v>5290</v>
      </c>
      <c r="B5294">
        <v>5291</v>
      </c>
      <c r="C5294">
        <v>146.05294481600001</v>
      </c>
      <c r="D5294">
        <v>-17.634128014000002</v>
      </c>
      <c r="G5294" s="92"/>
      <c r="I5294">
        <v>4</v>
      </c>
      <c r="J5294" t="s">
        <v>26</v>
      </c>
      <c r="K5294" s="57"/>
      <c r="S5294" s="57"/>
      <c r="X5294" s="57"/>
    </row>
    <row r="5295" spans="1:24" hidden="1" x14ac:dyDescent="0.35">
      <c r="A5295">
        <v>5291</v>
      </c>
      <c r="B5295">
        <v>5292</v>
      </c>
      <c r="C5295">
        <v>146.053021247999</v>
      </c>
      <c r="D5295">
        <v>-17.634083032300001</v>
      </c>
      <c r="G5295" s="92"/>
      <c r="I5295">
        <v>4</v>
      </c>
      <c r="J5295" t="s">
        <v>26</v>
      </c>
      <c r="K5295" s="57"/>
      <c r="S5295" s="57"/>
      <c r="X5295" s="57"/>
    </row>
    <row r="5296" spans="1:24" hidden="1" x14ac:dyDescent="0.35">
      <c r="A5296">
        <v>5292</v>
      </c>
      <c r="B5296">
        <v>5293</v>
      </c>
      <c r="C5296">
        <v>146.05309768000001</v>
      </c>
      <c r="D5296">
        <v>-17.6340380504999</v>
      </c>
      <c r="G5296" s="92"/>
      <c r="I5296">
        <v>4</v>
      </c>
      <c r="J5296" t="s">
        <v>26</v>
      </c>
      <c r="K5296" s="57"/>
      <c r="S5296" s="57"/>
      <c r="X5296" s="57"/>
    </row>
    <row r="5297" spans="1:24" hidden="1" x14ac:dyDescent="0.35">
      <c r="A5297">
        <v>5293</v>
      </c>
      <c r="B5297">
        <v>5294</v>
      </c>
      <c r="C5297">
        <v>146.05317411300001</v>
      </c>
      <c r="D5297">
        <v>-17.633993068799899</v>
      </c>
      <c r="G5297" s="92"/>
      <c r="I5297">
        <v>4</v>
      </c>
      <c r="J5297" t="s">
        <v>26</v>
      </c>
      <c r="K5297" s="57"/>
      <c r="S5297" s="57"/>
      <c r="X5297" s="57"/>
    </row>
    <row r="5298" spans="1:24" hidden="1" x14ac:dyDescent="0.35">
      <c r="A5298">
        <v>5294</v>
      </c>
      <c r="B5298">
        <v>5295</v>
      </c>
      <c r="C5298">
        <v>146.053250544999</v>
      </c>
      <c r="D5298">
        <v>-17.633948087</v>
      </c>
      <c r="G5298" s="92"/>
      <c r="I5298">
        <v>4</v>
      </c>
      <c r="J5298" t="s">
        <v>26</v>
      </c>
      <c r="K5298" s="57"/>
      <c r="S5298" s="57"/>
      <c r="X5298" s="57"/>
    </row>
    <row r="5299" spans="1:24" hidden="1" x14ac:dyDescent="0.35">
      <c r="A5299">
        <v>5295</v>
      </c>
      <c r="B5299">
        <v>5296</v>
      </c>
      <c r="C5299">
        <v>146.05332518200001</v>
      </c>
      <c r="D5299">
        <v>-17.6339007549999</v>
      </c>
      <c r="G5299" s="92"/>
      <c r="I5299">
        <v>4</v>
      </c>
      <c r="J5299" t="s">
        <v>26</v>
      </c>
      <c r="K5299" s="57"/>
      <c r="S5299" s="57"/>
      <c r="X5299" s="57"/>
    </row>
    <row r="5300" spans="1:24" hidden="1" x14ac:dyDescent="0.35">
      <c r="A5300">
        <v>5296</v>
      </c>
      <c r="B5300">
        <v>5297</v>
      </c>
      <c r="C5300">
        <v>146.053393580999</v>
      </c>
      <c r="D5300">
        <v>-17.6338452566999</v>
      </c>
      <c r="G5300" s="92"/>
      <c r="I5300">
        <v>4</v>
      </c>
      <c r="J5300" t="s">
        <v>26</v>
      </c>
      <c r="K5300" s="57"/>
      <c r="S5300" s="57"/>
      <c r="X5300" s="57"/>
    </row>
    <row r="5301" spans="1:24" hidden="1" x14ac:dyDescent="0.35">
      <c r="A5301">
        <v>5297</v>
      </c>
      <c r="B5301">
        <v>5298</v>
      </c>
      <c r="C5301">
        <v>146.05346198000001</v>
      </c>
      <c r="D5301">
        <v>-17.633789758500001</v>
      </c>
      <c r="G5301" s="92"/>
      <c r="I5301">
        <v>4</v>
      </c>
      <c r="J5301" t="s">
        <v>26</v>
      </c>
      <c r="K5301" s="57"/>
      <c r="S5301" s="57"/>
      <c r="X5301" s="57"/>
    </row>
    <row r="5302" spans="1:24" hidden="1" x14ac:dyDescent="0.35">
      <c r="A5302">
        <v>5298</v>
      </c>
      <c r="B5302">
        <v>5299</v>
      </c>
      <c r="C5302">
        <v>146.053530378999</v>
      </c>
      <c r="D5302">
        <v>-17.633734260200001</v>
      </c>
      <c r="G5302" s="92"/>
      <c r="I5302">
        <v>4</v>
      </c>
      <c r="J5302" t="s">
        <v>26</v>
      </c>
      <c r="K5302" s="57"/>
      <c r="S5302" s="57"/>
      <c r="X5302" s="57"/>
    </row>
    <row r="5303" spans="1:24" hidden="1" x14ac:dyDescent="0.35">
      <c r="A5303">
        <v>5299</v>
      </c>
      <c r="B5303">
        <v>5300</v>
      </c>
      <c r="C5303">
        <v>146.05359877800001</v>
      </c>
      <c r="D5303">
        <v>-17.633678761799899</v>
      </c>
      <c r="G5303" s="92"/>
      <c r="I5303">
        <v>4</v>
      </c>
      <c r="J5303" t="s">
        <v>26</v>
      </c>
      <c r="K5303" s="57"/>
      <c r="S5303" s="57"/>
      <c r="X5303" s="57"/>
    </row>
    <row r="5304" spans="1:24" hidden="1" x14ac:dyDescent="0.35">
      <c r="A5304">
        <v>5300</v>
      </c>
      <c r="B5304">
        <v>5301</v>
      </c>
      <c r="C5304">
        <v>146.053665886999</v>
      </c>
      <c r="D5304">
        <v>-17.6336220029999</v>
      </c>
      <c r="G5304" s="92"/>
      <c r="I5304">
        <v>4</v>
      </c>
      <c r="J5304" t="s">
        <v>26</v>
      </c>
      <c r="K5304" s="57"/>
      <c r="S5304" s="57"/>
      <c r="X5304" s="57"/>
    </row>
    <row r="5305" spans="1:24" hidden="1" x14ac:dyDescent="0.35">
      <c r="A5305">
        <v>5301</v>
      </c>
      <c r="B5305">
        <v>5302</v>
      </c>
      <c r="C5305">
        <v>146.05372578999899</v>
      </c>
      <c r="D5305">
        <v>-17.633558206</v>
      </c>
      <c r="G5305" s="92"/>
      <c r="I5305">
        <v>4</v>
      </c>
      <c r="J5305" t="s">
        <v>26</v>
      </c>
      <c r="K5305" s="57"/>
      <c r="S5305" s="57"/>
      <c r="X5305" s="57"/>
    </row>
    <row r="5306" spans="1:24" hidden="1" x14ac:dyDescent="0.35">
      <c r="A5306">
        <v>5302</v>
      </c>
      <c r="B5306">
        <v>5303</v>
      </c>
      <c r="C5306">
        <v>146.053785693999</v>
      </c>
      <c r="D5306">
        <v>-17.6334944090999</v>
      </c>
      <c r="G5306" s="92"/>
      <c r="I5306">
        <v>4</v>
      </c>
      <c r="J5306" t="s">
        <v>26</v>
      </c>
      <c r="K5306" s="57"/>
      <c r="S5306" s="57"/>
      <c r="X5306" s="57"/>
    </row>
    <row r="5307" spans="1:24" hidden="1" x14ac:dyDescent="0.35">
      <c r="A5307">
        <v>5303</v>
      </c>
      <c r="B5307">
        <v>5304</v>
      </c>
      <c r="C5307">
        <v>146.053845596999</v>
      </c>
      <c r="D5307">
        <v>-17.6334306121</v>
      </c>
      <c r="G5307" s="92"/>
      <c r="I5307">
        <v>4</v>
      </c>
      <c r="J5307" t="s">
        <v>26</v>
      </c>
      <c r="K5307" s="57"/>
      <c r="S5307" s="57"/>
      <c r="X5307" s="57"/>
    </row>
    <row r="5308" spans="1:24" hidden="1" x14ac:dyDescent="0.35">
      <c r="A5308">
        <v>5304</v>
      </c>
      <c r="B5308">
        <v>5305</v>
      </c>
      <c r="C5308">
        <v>146.053902929999</v>
      </c>
      <c r="D5308">
        <v>-17.6333648650999</v>
      </c>
      <c r="G5308" s="92"/>
      <c r="I5308">
        <v>4</v>
      </c>
      <c r="J5308" t="s">
        <v>26</v>
      </c>
      <c r="K5308" s="57"/>
      <c r="S5308" s="57"/>
      <c r="X5308" s="57"/>
    </row>
    <row r="5309" spans="1:24" hidden="1" x14ac:dyDescent="0.35">
      <c r="A5309">
        <v>5305</v>
      </c>
      <c r="B5309">
        <v>5306</v>
      </c>
      <c r="C5309">
        <v>146.053954734999</v>
      </c>
      <c r="D5309">
        <v>-17.633294923800001</v>
      </c>
      <c r="G5309" s="92"/>
      <c r="I5309">
        <v>4</v>
      </c>
      <c r="J5309" t="s">
        <v>26</v>
      </c>
      <c r="K5309" s="57"/>
      <c r="S5309" s="57"/>
      <c r="X5309" s="57"/>
    </row>
    <row r="5310" spans="1:24" hidden="1" x14ac:dyDescent="0.35">
      <c r="A5310">
        <v>5306</v>
      </c>
      <c r="B5310">
        <v>5307</v>
      </c>
      <c r="C5310">
        <v>146.054006539</v>
      </c>
      <c r="D5310">
        <v>-17.633224982400002</v>
      </c>
      <c r="G5310" s="92"/>
      <c r="I5310">
        <v>4</v>
      </c>
      <c r="J5310" t="s">
        <v>26</v>
      </c>
      <c r="K5310" s="57"/>
      <c r="S5310" s="57"/>
      <c r="X5310" s="57"/>
    </row>
    <row r="5311" spans="1:24" hidden="1" x14ac:dyDescent="0.35">
      <c r="A5311">
        <v>5307</v>
      </c>
      <c r="B5311">
        <v>5308</v>
      </c>
      <c r="C5311">
        <v>146.054047889999</v>
      </c>
      <c r="D5311">
        <v>-17.6331498137999</v>
      </c>
      <c r="G5311" s="92"/>
      <c r="I5311">
        <v>4</v>
      </c>
      <c r="J5311" t="s">
        <v>26</v>
      </c>
      <c r="K5311" s="57"/>
      <c r="S5311" s="57"/>
      <c r="X5311" s="57"/>
    </row>
    <row r="5312" spans="1:24" hidden="1" x14ac:dyDescent="0.35">
      <c r="A5312">
        <v>5308</v>
      </c>
      <c r="B5312">
        <v>5309</v>
      </c>
      <c r="C5312">
        <v>146.054078844999</v>
      </c>
      <c r="D5312">
        <v>-17.6330694462</v>
      </c>
      <c r="G5312" s="92"/>
      <c r="I5312">
        <v>4</v>
      </c>
      <c r="J5312" t="s">
        <v>26</v>
      </c>
      <c r="K5312" s="57"/>
      <c r="S5312" s="57"/>
      <c r="X5312" s="57"/>
    </row>
    <row r="5313" spans="1:24" hidden="1" x14ac:dyDescent="0.35">
      <c r="A5313">
        <v>5309</v>
      </c>
      <c r="B5313">
        <v>5310</v>
      </c>
      <c r="C5313">
        <v>146.054109799</v>
      </c>
      <c r="D5313">
        <v>-17.6329890785</v>
      </c>
      <c r="G5313" s="92"/>
      <c r="I5313">
        <v>4</v>
      </c>
      <c r="J5313" t="s">
        <v>26</v>
      </c>
      <c r="K5313" s="57"/>
      <c r="S5313" s="57"/>
      <c r="X5313" s="57"/>
    </row>
    <row r="5314" spans="1:24" hidden="1" x14ac:dyDescent="0.35">
      <c r="A5314">
        <v>5310</v>
      </c>
      <c r="B5314">
        <v>5311</v>
      </c>
      <c r="C5314">
        <v>146.054135596999</v>
      </c>
      <c r="D5314">
        <v>-17.632907189800001</v>
      </c>
      <c r="G5314" s="92"/>
      <c r="I5314">
        <v>4</v>
      </c>
      <c r="J5314" t="s">
        <v>26</v>
      </c>
      <c r="K5314" s="57"/>
      <c r="S5314" s="57"/>
      <c r="X5314" s="57"/>
    </row>
    <row r="5315" spans="1:24" hidden="1" x14ac:dyDescent="0.35">
      <c r="A5315">
        <v>5311</v>
      </c>
      <c r="B5315">
        <v>5312</v>
      </c>
      <c r="C5315">
        <v>146.05415769300001</v>
      </c>
      <c r="D5315">
        <v>-17.632824208999899</v>
      </c>
      <c r="G5315" s="92"/>
      <c r="I5315">
        <v>4</v>
      </c>
      <c r="J5315" t="s">
        <v>26</v>
      </c>
      <c r="K5315" s="57"/>
      <c r="S5315" s="57"/>
      <c r="X5315" s="57"/>
    </row>
    <row r="5316" spans="1:24" hidden="1" x14ac:dyDescent="0.35">
      <c r="A5316">
        <v>5312</v>
      </c>
      <c r="B5316">
        <v>5313</v>
      </c>
      <c r="C5316">
        <v>146.05416779000001</v>
      </c>
      <c r="D5316">
        <v>-17.63273985</v>
      </c>
      <c r="G5316" s="92"/>
      <c r="I5316">
        <v>4</v>
      </c>
      <c r="J5316" t="s">
        <v>26</v>
      </c>
      <c r="K5316" s="57"/>
      <c r="S5316" s="57"/>
      <c r="X5316" s="57"/>
    </row>
    <row r="5317" spans="1:24" hidden="1" x14ac:dyDescent="0.35">
      <c r="A5317">
        <v>5313</v>
      </c>
      <c r="B5317">
        <v>5314</v>
      </c>
      <c r="C5317">
        <v>146.05416701300001</v>
      </c>
      <c r="D5317">
        <v>-17.6326542420999</v>
      </c>
      <c r="G5317" s="92"/>
      <c r="I5317">
        <v>4</v>
      </c>
      <c r="J5317" t="s">
        <v>26</v>
      </c>
      <c r="K5317" s="57"/>
      <c r="S5317" s="57"/>
      <c r="X5317" s="57"/>
    </row>
    <row r="5318" spans="1:24" hidden="1" x14ac:dyDescent="0.35">
      <c r="A5318">
        <v>5314</v>
      </c>
      <c r="B5318">
        <v>5315</v>
      </c>
      <c r="C5318">
        <v>146.054166237</v>
      </c>
      <c r="D5318">
        <v>-17.632568634199899</v>
      </c>
      <c r="G5318" s="92"/>
      <c r="I5318">
        <v>4</v>
      </c>
      <c r="J5318" t="s">
        <v>26</v>
      </c>
      <c r="K5318" s="57"/>
      <c r="S5318" s="57"/>
      <c r="X5318" s="57"/>
    </row>
    <row r="5319" spans="1:24" hidden="1" x14ac:dyDescent="0.35">
      <c r="A5319">
        <v>5315</v>
      </c>
      <c r="B5319">
        <v>5316</v>
      </c>
      <c r="C5319">
        <v>146.05416546000001</v>
      </c>
      <c r="D5319">
        <v>-17.632483026300001</v>
      </c>
      <c r="G5319" s="92"/>
      <c r="I5319">
        <v>4</v>
      </c>
      <c r="J5319" t="s">
        <v>26</v>
      </c>
      <c r="K5319" s="57"/>
      <c r="S5319" s="57"/>
      <c r="X5319" s="57"/>
    </row>
    <row r="5320" spans="1:24" hidden="1" x14ac:dyDescent="0.35">
      <c r="A5320">
        <v>5316</v>
      </c>
      <c r="B5320">
        <v>5317</v>
      </c>
      <c r="C5320">
        <v>146.054164684</v>
      </c>
      <c r="D5320">
        <v>-17.632397418299899</v>
      </c>
      <c r="G5320" s="92"/>
      <c r="I5320">
        <v>4</v>
      </c>
      <c r="J5320" t="s">
        <v>26</v>
      </c>
      <c r="K5320" s="57"/>
      <c r="S5320" s="57"/>
      <c r="X5320" s="57"/>
    </row>
    <row r="5321" spans="1:24" hidden="1" x14ac:dyDescent="0.35">
      <c r="A5321">
        <v>5317</v>
      </c>
      <c r="B5321">
        <v>5318</v>
      </c>
      <c r="C5321">
        <v>146.05414484100001</v>
      </c>
      <c r="D5321">
        <v>-17.632313985700002</v>
      </c>
      <c r="G5321" s="92"/>
      <c r="I5321">
        <v>5</v>
      </c>
      <c r="J5321" t="s">
        <v>26</v>
      </c>
      <c r="K5321" s="57"/>
      <c r="S5321" s="57"/>
      <c r="X5321" s="57"/>
    </row>
    <row r="5322" spans="1:24" hidden="1" x14ac:dyDescent="0.35">
      <c r="A5322">
        <v>5318</v>
      </c>
      <c r="B5322">
        <v>5319</v>
      </c>
      <c r="C5322">
        <v>146.05412439099899</v>
      </c>
      <c r="D5322">
        <v>-17.632230622400002</v>
      </c>
      <c r="G5322" s="92"/>
      <c r="I5322">
        <v>5</v>
      </c>
      <c r="J5322" t="s">
        <v>26</v>
      </c>
      <c r="K5322" s="57"/>
      <c r="S5322" s="57"/>
      <c r="X5322" s="57"/>
    </row>
    <row r="5323" spans="1:24" hidden="1" x14ac:dyDescent="0.35">
      <c r="A5323">
        <v>5319</v>
      </c>
      <c r="B5323">
        <v>5320</v>
      </c>
      <c r="C5323">
        <v>146.05410394</v>
      </c>
      <c r="D5323">
        <v>-17.632147259100002</v>
      </c>
      <c r="G5323" s="92"/>
      <c r="I5323">
        <v>5</v>
      </c>
      <c r="J5323" t="s">
        <v>26</v>
      </c>
      <c r="K5323" s="57"/>
      <c r="S5323" s="57"/>
      <c r="X5323" s="57"/>
    </row>
    <row r="5324" spans="1:24" hidden="1" x14ac:dyDescent="0.35">
      <c r="A5324">
        <v>5320</v>
      </c>
      <c r="B5324">
        <v>5321</v>
      </c>
      <c r="C5324">
        <v>146.05408349000001</v>
      </c>
      <c r="D5324">
        <v>-17.6320638957</v>
      </c>
      <c r="G5324" s="92"/>
      <c r="I5324">
        <v>5</v>
      </c>
      <c r="J5324" t="s">
        <v>26</v>
      </c>
      <c r="K5324" s="57"/>
      <c r="S5324" s="57"/>
      <c r="X5324" s="57"/>
    </row>
    <row r="5325" spans="1:24" hidden="1" x14ac:dyDescent="0.35">
      <c r="A5325">
        <v>5321</v>
      </c>
      <c r="B5325">
        <v>5322</v>
      </c>
      <c r="C5325">
        <v>146.054063038999</v>
      </c>
      <c r="D5325">
        <v>-17.631980532299899</v>
      </c>
      <c r="G5325" s="92"/>
      <c r="I5325">
        <v>5</v>
      </c>
      <c r="J5325" t="s">
        <v>26</v>
      </c>
      <c r="K5325" s="57"/>
      <c r="S5325" s="57"/>
      <c r="X5325" s="57"/>
    </row>
    <row r="5326" spans="1:24" hidden="1" x14ac:dyDescent="0.35">
      <c r="A5326">
        <v>5322</v>
      </c>
      <c r="B5326">
        <v>5323</v>
      </c>
      <c r="C5326">
        <v>146.054027832999</v>
      </c>
      <c r="D5326">
        <v>-17.631901924000001</v>
      </c>
      <c r="G5326" s="92"/>
      <c r="I5326">
        <v>5</v>
      </c>
      <c r="J5326" t="s">
        <v>26</v>
      </c>
      <c r="K5326" s="57"/>
      <c r="S5326" s="57"/>
      <c r="X5326" s="57"/>
    </row>
    <row r="5327" spans="1:24" hidden="1" x14ac:dyDescent="0.35">
      <c r="A5327">
        <v>5323</v>
      </c>
      <c r="B5327">
        <v>5324</v>
      </c>
      <c r="C5327">
        <v>146.053990999999</v>
      </c>
      <c r="D5327">
        <v>-17.6318238397999</v>
      </c>
      <c r="G5327" s="92"/>
      <c r="I5327">
        <v>5</v>
      </c>
      <c r="J5327" t="s">
        <v>26</v>
      </c>
      <c r="K5327" s="57"/>
      <c r="S5327" s="57"/>
      <c r="X5327" s="57"/>
    </row>
    <row r="5328" spans="1:24" hidden="1" x14ac:dyDescent="0.35">
      <c r="A5328">
        <v>5324</v>
      </c>
      <c r="B5328">
        <v>5325</v>
      </c>
      <c r="C5328">
        <v>146.053954167</v>
      </c>
      <c r="D5328">
        <v>-17.6317457554999</v>
      </c>
      <c r="G5328" s="92"/>
      <c r="I5328">
        <v>5</v>
      </c>
      <c r="J5328" t="s">
        <v>26</v>
      </c>
      <c r="K5328" s="57"/>
      <c r="S5328" s="57"/>
      <c r="X5328" s="57"/>
    </row>
    <row r="5329" spans="1:24" hidden="1" x14ac:dyDescent="0.35">
      <c r="A5329">
        <v>5325</v>
      </c>
      <c r="B5329">
        <v>5326</v>
      </c>
      <c r="C5329">
        <v>146.053917334999</v>
      </c>
      <c r="D5329">
        <v>-17.631667671300001</v>
      </c>
      <c r="G5329" s="92"/>
      <c r="I5329">
        <v>5</v>
      </c>
      <c r="J5329" t="s">
        <v>26</v>
      </c>
      <c r="K5329" s="57"/>
      <c r="S5329" s="57"/>
      <c r="X5329" s="57"/>
    </row>
    <row r="5330" spans="1:24" hidden="1" x14ac:dyDescent="0.35">
      <c r="A5330">
        <v>5326</v>
      </c>
      <c r="B5330">
        <v>5327</v>
      </c>
      <c r="C5330">
        <v>146.053880501999</v>
      </c>
      <c r="D5330">
        <v>-17.631589586899899</v>
      </c>
      <c r="G5330" s="92"/>
      <c r="I5330">
        <v>5</v>
      </c>
      <c r="J5330" t="s">
        <v>26</v>
      </c>
      <c r="K5330" s="57"/>
      <c r="S5330" s="57"/>
      <c r="X5330" s="57"/>
    </row>
    <row r="5331" spans="1:24" hidden="1" x14ac:dyDescent="0.35">
      <c r="A5331">
        <v>5327</v>
      </c>
      <c r="B5331">
        <v>5328</v>
      </c>
      <c r="C5331">
        <v>146.053838114</v>
      </c>
      <c r="D5331">
        <v>-17.631514114400002</v>
      </c>
      <c r="G5331" s="92"/>
      <c r="I5331">
        <v>5</v>
      </c>
      <c r="J5331" t="s">
        <v>26</v>
      </c>
      <c r="K5331" s="57"/>
      <c r="S5331" s="57"/>
      <c r="X5331" s="57"/>
    </row>
    <row r="5332" spans="1:24" hidden="1" x14ac:dyDescent="0.35">
      <c r="A5332">
        <v>5328</v>
      </c>
      <c r="B5332">
        <v>5329</v>
      </c>
      <c r="C5332">
        <v>146.05379551600001</v>
      </c>
      <c r="D5332">
        <v>-17.6314387402</v>
      </c>
      <c r="G5332" s="92"/>
      <c r="I5332">
        <v>5</v>
      </c>
      <c r="J5332" t="s">
        <v>26</v>
      </c>
      <c r="K5332" s="57"/>
      <c r="S5332" s="57"/>
      <c r="X5332" s="57"/>
    </row>
    <row r="5333" spans="1:24" hidden="1" x14ac:dyDescent="0.35">
      <c r="A5333">
        <v>5329</v>
      </c>
      <c r="B5333">
        <v>5330</v>
      </c>
      <c r="C5333">
        <v>146.053752919</v>
      </c>
      <c r="D5333">
        <v>-17.631363365799899</v>
      </c>
      <c r="G5333" s="92"/>
      <c r="I5333">
        <v>5</v>
      </c>
      <c r="J5333" t="s">
        <v>26</v>
      </c>
      <c r="K5333" s="57"/>
      <c r="S5333" s="57"/>
      <c r="X5333" s="57"/>
    </row>
    <row r="5334" spans="1:24" hidden="1" x14ac:dyDescent="0.35">
      <c r="A5334">
        <v>5330</v>
      </c>
      <c r="B5334">
        <v>5331</v>
      </c>
      <c r="C5334">
        <v>146.05371032100001</v>
      </c>
      <c r="D5334">
        <v>-17.631287991499899</v>
      </c>
      <c r="G5334" s="92"/>
      <c r="I5334">
        <v>5</v>
      </c>
      <c r="J5334" t="s">
        <v>26</v>
      </c>
      <c r="K5334" s="57"/>
      <c r="S5334" s="57"/>
      <c r="X5334" s="57"/>
    </row>
    <row r="5335" spans="1:24" hidden="1" x14ac:dyDescent="0.35">
      <c r="A5335">
        <v>5331</v>
      </c>
      <c r="B5335">
        <v>5332</v>
      </c>
      <c r="C5335">
        <v>146.053660218</v>
      </c>
      <c r="D5335">
        <v>-17.631217344300001</v>
      </c>
      <c r="G5335" s="92"/>
      <c r="I5335">
        <v>5</v>
      </c>
      <c r="J5335" t="s">
        <v>26</v>
      </c>
      <c r="K5335" s="57"/>
      <c r="S5335" s="57"/>
      <c r="X5335" s="57"/>
    </row>
    <row r="5336" spans="1:24" hidden="1" x14ac:dyDescent="0.35">
      <c r="A5336">
        <v>5332</v>
      </c>
      <c r="B5336">
        <v>5333</v>
      </c>
      <c r="C5336">
        <v>146.05360463700001</v>
      </c>
      <c r="D5336">
        <v>-17.6311500893</v>
      </c>
      <c r="G5336" s="92"/>
      <c r="I5336">
        <v>5</v>
      </c>
      <c r="J5336" t="s">
        <v>26</v>
      </c>
      <c r="K5336" s="57"/>
      <c r="S5336" s="57"/>
      <c r="X5336" s="57"/>
    </row>
    <row r="5337" spans="1:24" hidden="1" x14ac:dyDescent="0.35">
      <c r="A5337">
        <v>5333</v>
      </c>
      <c r="B5337">
        <v>5334</v>
      </c>
      <c r="C5337">
        <v>146.05354944300001</v>
      </c>
      <c r="D5337">
        <v>-17.631082543000002</v>
      </c>
      <c r="G5337" s="92"/>
      <c r="I5337">
        <v>5</v>
      </c>
      <c r="J5337" t="s">
        <v>26</v>
      </c>
      <c r="K5337" s="57"/>
      <c r="S5337" s="57"/>
      <c r="X5337" s="57"/>
    </row>
    <row r="5338" spans="1:24" hidden="1" x14ac:dyDescent="0.35">
      <c r="A5338">
        <v>5334</v>
      </c>
      <c r="B5338">
        <v>5335</v>
      </c>
      <c r="C5338">
        <v>146.05349424900001</v>
      </c>
      <c r="D5338">
        <v>-17.6310149966999</v>
      </c>
      <c r="G5338" s="92"/>
      <c r="I5338">
        <v>5</v>
      </c>
      <c r="J5338" t="s">
        <v>26</v>
      </c>
      <c r="K5338" s="57"/>
      <c r="S5338" s="57"/>
      <c r="X5338" s="57"/>
    </row>
    <row r="5339" spans="1:24" hidden="1" x14ac:dyDescent="0.35">
      <c r="A5339">
        <v>5335</v>
      </c>
      <c r="B5339">
        <v>5336</v>
      </c>
      <c r="C5339">
        <v>146.053438249999</v>
      </c>
      <c r="D5339">
        <v>-17.6309480757999</v>
      </c>
      <c r="G5339" s="92"/>
      <c r="I5339">
        <v>5</v>
      </c>
      <c r="J5339" t="s">
        <v>26</v>
      </c>
      <c r="K5339" s="57"/>
      <c r="S5339" s="57"/>
      <c r="X5339" s="57"/>
    </row>
    <row r="5340" spans="1:24" hidden="1" x14ac:dyDescent="0.35">
      <c r="A5340">
        <v>5336</v>
      </c>
      <c r="B5340">
        <v>5337</v>
      </c>
      <c r="C5340">
        <v>146.053379962999</v>
      </c>
      <c r="D5340">
        <v>-17.6308829323</v>
      </c>
      <c r="G5340" s="92"/>
      <c r="I5340">
        <v>5</v>
      </c>
      <c r="J5340" t="s">
        <v>26</v>
      </c>
      <c r="K5340" s="57"/>
      <c r="S5340" s="57"/>
      <c r="X5340" s="57"/>
    </row>
    <row r="5341" spans="1:24" hidden="1" x14ac:dyDescent="0.35">
      <c r="A5341">
        <v>5337</v>
      </c>
      <c r="B5341">
        <v>5338</v>
      </c>
      <c r="C5341">
        <v>146.053321675999</v>
      </c>
      <c r="D5341">
        <v>-17.630817788800002</v>
      </c>
      <c r="G5341" s="92"/>
      <c r="I5341">
        <v>5</v>
      </c>
      <c r="J5341" t="s">
        <v>26</v>
      </c>
      <c r="K5341" s="57"/>
      <c r="S5341" s="57"/>
      <c r="X5341" s="57"/>
    </row>
    <row r="5342" spans="1:24" hidden="1" x14ac:dyDescent="0.35">
      <c r="A5342">
        <v>5338</v>
      </c>
      <c r="B5342">
        <v>5339</v>
      </c>
      <c r="C5342">
        <v>146.053263388</v>
      </c>
      <c r="D5342">
        <v>-17.6307526452999</v>
      </c>
      <c r="G5342" s="92"/>
      <c r="I5342">
        <v>5</v>
      </c>
      <c r="J5342" t="s">
        <v>26</v>
      </c>
      <c r="K5342" s="57"/>
      <c r="S5342" s="57"/>
      <c r="X5342" s="57"/>
    </row>
    <row r="5343" spans="1:24" hidden="1" x14ac:dyDescent="0.35">
      <c r="A5343">
        <v>5339</v>
      </c>
      <c r="B5343">
        <v>5340</v>
      </c>
      <c r="C5343">
        <v>146.053195909999</v>
      </c>
      <c r="D5343">
        <v>-17.6306973875</v>
      </c>
      <c r="G5343" s="92"/>
      <c r="I5343">
        <v>5</v>
      </c>
      <c r="J5343" t="s">
        <v>26</v>
      </c>
      <c r="K5343" s="57"/>
      <c r="S5343" s="57"/>
      <c r="X5343" s="57"/>
    </row>
    <row r="5344" spans="1:24" hidden="1" x14ac:dyDescent="0.35">
      <c r="A5344">
        <v>5340</v>
      </c>
      <c r="B5344">
        <v>5341</v>
      </c>
      <c r="C5344">
        <v>146.053121038</v>
      </c>
      <c r="D5344">
        <v>-17.630650080999899</v>
      </c>
      <c r="G5344" s="92"/>
      <c r="I5344">
        <v>5</v>
      </c>
      <c r="J5344" t="s">
        <v>26</v>
      </c>
      <c r="K5344" s="57"/>
      <c r="S5344" s="57"/>
      <c r="X5344" s="57"/>
    </row>
    <row r="5345" spans="1:24" hidden="1" x14ac:dyDescent="0.35">
      <c r="A5345">
        <v>5341</v>
      </c>
      <c r="B5345">
        <v>5342</v>
      </c>
      <c r="C5345">
        <v>146.053046166</v>
      </c>
      <c r="D5345">
        <v>-17.6306027744</v>
      </c>
      <c r="G5345" s="92"/>
      <c r="I5345">
        <v>5</v>
      </c>
      <c r="J5345" t="s">
        <v>26</v>
      </c>
      <c r="K5345" s="57"/>
      <c r="S5345" s="57"/>
      <c r="X5345" s="57"/>
    </row>
    <row r="5346" spans="1:24" hidden="1" x14ac:dyDescent="0.35">
      <c r="A5346">
        <v>5342</v>
      </c>
      <c r="B5346">
        <v>5343</v>
      </c>
      <c r="C5346">
        <v>146.052971294999</v>
      </c>
      <c r="D5346">
        <v>-17.630555467899899</v>
      </c>
      <c r="G5346" s="92"/>
      <c r="I5346">
        <v>5</v>
      </c>
      <c r="J5346" t="s">
        <v>26</v>
      </c>
      <c r="K5346" s="57"/>
      <c r="S5346" s="57"/>
      <c r="X5346" s="57"/>
    </row>
    <row r="5347" spans="1:24" hidden="1" x14ac:dyDescent="0.35">
      <c r="A5347">
        <v>5343</v>
      </c>
      <c r="B5347">
        <v>5344</v>
      </c>
      <c r="C5347">
        <v>146.052896422999</v>
      </c>
      <c r="D5347">
        <v>-17.6305081613</v>
      </c>
      <c r="G5347" s="92"/>
      <c r="I5347">
        <v>5</v>
      </c>
      <c r="J5347" t="s">
        <v>26</v>
      </c>
      <c r="K5347" s="57"/>
      <c r="S5347" s="57"/>
      <c r="X5347" s="57"/>
    </row>
    <row r="5348" spans="1:24" hidden="1" x14ac:dyDescent="0.35">
      <c r="A5348">
        <v>5344</v>
      </c>
      <c r="B5348">
        <v>5345</v>
      </c>
      <c r="C5348">
        <v>146.052821550999</v>
      </c>
      <c r="D5348">
        <v>-17.630460854700001</v>
      </c>
      <c r="G5348" s="92"/>
      <c r="I5348">
        <v>5</v>
      </c>
      <c r="J5348" t="s">
        <v>26</v>
      </c>
      <c r="K5348" s="57"/>
      <c r="S5348" s="57"/>
      <c r="X5348" s="57"/>
    </row>
    <row r="5349" spans="1:24" hidden="1" x14ac:dyDescent="0.35">
      <c r="A5349">
        <v>5345</v>
      </c>
      <c r="B5349">
        <v>5346</v>
      </c>
      <c r="C5349">
        <v>146.05274668000001</v>
      </c>
      <c r="D5349">
        <v>-17.630413548100002</v>
      </c>
      <c r="G5349" s="92"/>
      <c r="I5349">
        <v>5</v>
      </c>
      <c r="J5349" t="s">
        <v>26</v>
      </c>
      <c r="K5349" s="57"/>
      <c r="S5349" s="57"/>
      <c r="X5349" s="57"/>
    </row>
    <row r="5350" spans="1:24" hidden="1" x14ac:dyDescent="0.35">
      <c r="A5350">
        <v>5346</v>
      </c>
      <c r="B5350">
        <v>5347</v>
      </c>
      <c r="C5350">
        <v>146.05267180800001</v>
      </c>
      <c r="D5350">
        <v>-17.6303662414999</v>
      </c>
      <c r="G5350" s="92"/>
      <c r="I5350">
        <v>5</v>
      </c>
      <c r="J5350" t="s">
        <v>26</v>
      </c>
      <c r="K5350" s="57"/>
      <c r="S5350" s="57"/>
      <c r="X5350" s="57"/>
    </row>
    <row r="5351" spans="1:24" hidden="1" x14ac:dyDescent="0.35">
      <c r="A5351">
        <v>5347</v>
      </c>
      <c r="B5351">
        <v>5348</v>
      </c>
      <c r="C5351">
        <v>146.052595964999</v>
      </c>
      <c r="D5351">
        <v>-17.630320468000001</v>
      </c>
      <c r="G5351" s="92"/>
      <c r="I5351">
        <v>5</v>
      </c>
      <c r="J5351" t="s">
        <v>26</v>
      </c>
      <c r="K5351" s="57"/>
      <c r="S5351" s="57"/>
      <c r="X5351" s="57"/>
    </row>
    <row r="5352" spans="1:24" hidden="1" x14ac:dyDescent="0.35">
      <c r="A5352">
        <v>5348</v>
      </c>
      <c r="B5352">
        <v>5349</v>
      </c>
      <c r="C5352">
        <v>146.052517171999</v>
      </c>
      <c r="D5352">
        <v>-17.6302793515</v>
      </c>
      <c r="G5352" s="92"/>
      <c r="I5352">
        <v>5</v>
      </c>
      <c r="J5352" t="s">
        <v>26</v>
      </c>
      <c r="K5352" s="57"/>
      <c r="S5352" s="57"/>
      <c r="X5352" s="57"/>
    </row>
    <row r="5353" spans="1:24" hidden="1" x14ac:dyDescent="0.35">
      <c r="A5353">
        <v>5349</v>
      </c>
      <c r="B5353">
        <v>5350</v>
      </c>
      <c r="C5353">
        <v>146.052438378999</v>
      </c>
      <c r="D5353">
        <v>-17.630238235</v>
      </c>
      <c r="G5353" s="92"/>
      <c r="I5353">
        <v>5</v>
      </c>
      <c r="J5353" t="s">
        <v>26</v>
      </c>
      <c r="K5353" s="57"/>
      <c r="S5353" s="57"/>
      <c r="X5353" s="57"/>
    </row>
    <row r="5354" spans="1:24" hidden="1" x14ac:dyDescent="0.35">
      <c r="A5354">
        <v>5350</v>
      </c>
      <c r="B5354">
        <v>5351</v>
      </c>
      <c r="C5354">
        <v>146.052359585</v>
      </c>
      <c r="D5354">
        <v>-17.6301971185</v>
      </c>
      <c r="G5354" s="92"/>
      <c r="I5354">
        <v>5</v>
      </c>
      <c r="J5354" t="s">
        <v>26</v>
      </c>
      <c r="K5354" s="57"/>
      <c r="S5354" s="57"/>
      <c r="X5354" s="57"/>
    </row>
    <row r="5355" spans="1:24" hidden="1" x14ac:dyDescent="0.35">
      <c r="A5355">
        <v>5351</v>
      </c>
      <c r="B5355">
        <v>5352</v>
      </c>
      <c r="C5355">
        <v>146.052280792</v>
      </c>
      <c r="D5355">
        <v>-17.630156002</v>
      </c>
      <c r="G5355" s="92"/>
      <c r="I5355">
        <v>5</v>
      </c>
      <c r="J5355" t="s">
        <v>26</v>
      </c>
      <c r="K5355" s="57"/>
      <c r="S5355" s="57"/>
      <c r="X5355" s="57"/>
    </row>
    <row r="5356" spans="1:24" hidden="1" x14ac:dyDescent="0.35">
      <c r="A5356">
        <v>5352</v>
      </c>
      <c r="B5356">
        <v>5353</v>
      </c>
      <c r="C5356">
        <v>146.05220199799899</v>
      </c>
      <c r="D5356">
        <v>-17.6301148854999</v>
      </c>
      <c r="G5356" s="92"/>
      <c r="I5356">
        <v>5</v>
      </c>
      <c r="J5356" t="s">
        <v>26</v>
      </c>
      <c r="K5356" s="57"/>
      <c r="S5356" s="57"/>
      <c r="X5356" s="57"/>
    </row>
    <row r="5357" spans="1:24" hidden="1" x14ac:dyDescent="0.35">
      <c r="A5357">
        <v>5353</v>
      </c>
      <c r="B5357">
        <v>5354</v>
      </c>
      <c r="C5357">
        <v>146.05212320499899</v>
      </c>
      <c r="D5357">
        <v>-17.630073768900001</v>
      </c>
      <c r="G5357" s="92"/>
      <c r="I5357">
        <v>5</v>
      </c>
      <c r="J5357" t="s">
        <v>26</v>
      </c>
      <c r="K5357" s="57"/>
      <c r="S5357" s="57"/>
      <c r="X5357" s="57"/>
    </row>
    <row r="5358" spans="1:24" hidden="1" x14ac:dyDescent="0.35">
      <c r="A5358">
        <v>5354</v>
      </c>
      <c r="B5358">
        <v>5355</v>
      </c>
      <c r="C5358">
        <v>146.05204441199899</v>
      </c>
      <c r="D5358">
        <v>-17.630032652400001</v>
      </c>
      <c r="G5358" s="92"/>
      <c r="I5358">
        <v>5</v>
      </c>
      <c r="J5358" t="s">
        <v>26</v>
      </c>
      <c r="K5358" s="57"/>
      <c r="S5358" s="57"/>
      <c r="X5358" s="57"/>
    </row>
    <row r="5359" spans="1:24" hidden="1" x14ac:dyDescent="0.35">
      <c r="A5359">
        <v>5355</v>
      </c>
      <c r="B5359">
        <v>5356</v>
      </c>
      <c r="C5359">
        <v>146.05200661999899</v>
      </c>
      <c r="D5359">
        <v>-17.630002447700001</v>
      </c>
      <c r="G5359" s="92"/>
      <c r="I5359">
        <v>5</v>
      </c>
      <c r="J5359" t="s">
        <v>26</v>
      </c>
      <c r="K5359" s="57"/>
      <c r="S5359" s="57"/>
      <c r="X5359" s="57"/>
    </row>
    <row r="5360" spans="1:24" hidden="1" x14ac:dyDescent="0.35">
      <c r="A5360">
        <v>5356</v>
      </c>
      <c r="B5360">
        <v>5357</v>
      </c>
      <c r="C5360">
        <v>146.052165801</v>
      </c>
      <c r="D5360">
        <v>-17.6299230511</v>
      </c>
      <c r="G5360" s="92"/>
      <c r="I5360">
        <v>5</v>
      </c>
      <c r="J5360" t="s">
        <v>26</v>
      </c>
      <c r="K5360" s="57"/>
      <c r="S5360" s="57"/>
      <c r="X5360" s="57"/>
    </row>
    <row r="5361" spans="1:24" hidden="1" x14ac:dyDescent="0.35">
      <c r="A5361">
        <v>5357</v>
      </c>
      <c r="B5361">
        <v>5358</v>
      </c>
      <c r="C5361">
        <v>146.052244199</v>
      </c>
      <c r="D5361">
        <v>-17.629953153599899</v>
      </c>
      <c r="G5361" s="92"/>
      <c r="I5361">
        <v>5</v>
      </c>
      <c r="J5361" t="s">
        <v>26</v>
      </c>
      <c r="K5361" s="57"/>
      <c r="S5361" s="57"/>
      <c r="X5361" s="57"/>
    </row>
    <row r="5362" spans="1:24" hidden="1" x14ac:dyDescent="0.35">
      <c r="A5362">
        <v>5358</v>
      </c>
      <c r="B5362">
        <v>5359</v>
      </c>
      <c r="C5362">
        <v>146.052322390999</v>
      </c>
      <c r="D5362">
        <v>-17.629995299600001</v>
      </c>
      <c r="G5362" s="92"/>
      <c r="I5362">
        <v>5</v>
      </c>
      <c r="J5362" t="s">
        <v>26</v>
      </c>
      <c r="K5362" s="57"/>
      <c r="S5362" s="57"/>
      <c r="X5362" s="57"/>
    </row>
    <row r="5363" spans="1:24" hidden="1" x14ac:dyDescent="0.35">
      <c r="A5363">
        <v>5359</v>
      </c>
      <c r="B5363">
        <v>5360</v>
      </c>
      <c r="C5363">
        <v>146.05240058300001</v>
      </c>
      <c r="D5363">
        <v>-17.630037445500001</v>
      </c>
      <c r="G5363" s="92"/>
      <c r="I5363">
        <v>5</v>
      </c>
      <c r="J5363" t="s">
        <v>26</v>
      </c>
      <c r="K5363" s="57"/>
      <c r="S5363" s="57"/>
      <c r="X5363" s="57"/>
    </row>
    <row r="5364" spans="1:24" hidden="1" x14ac:dyDescent="0.35">
      <c r="A5364">
        <v>5360</v>
      </c>
      <c r="B5364">
        <v>5361</v>
      </c>
      <c r="C5364">
        <v>146.05247877599899</v>
      </c>
      <c r="D5364">
        <v>-17.6300795908999</v>
      </c>
      <c r="G5364" s="92"/>
      <c r="I5364">
        <v>5</v>
      </c>
      <c r="J5364" t="s">
        <v>26</v>
      </c>
      <c r="K5364" s="57"/>
      <c r="S5364" s="57"/>
      <c r="X5364" s="57"/>
    </row>
    <row r="5365" spans="1:24" hidden="1" x14ac:dyDescent="0.35">
      <c r="A5365">
        <v>5361</v>
      </c>
      <c r="B5365">
        <v>5362</v>
      </c>
      <c r="C5365">
        <v>146.05255780900001</v>
      </c>
      <c r="D5365">
        <v>-17.630120227700001</v>
      </c>
      <c r="G5365" s="92"/>
      <c r="I5365">
        <v>5</v>
      </c>
      <c r="J5365" t="s">
        <v>26</v>
      </c>
      <c r="K5365" s="57"/>
      <c r="S5365" s="57"/>
      <c r="X5365" s="57"/>
    </row>
    <row r="5366" spans="1:24" hidden="1" x14ac:dyDescent="0.35">
      <c r="A5366">
        <v>5362</v>
      </c>
      <c r="B5366">
        <v>5363</v>
      </c>
      <c r="C5366">
        <v>146.05263823300001</v>
      </c>
      <c r="D5366">
        <v>-17.6301583686</v>
      </c>
      <c r="G5366" s="92"/>
      <c r="I5366">
        <v>5</v>
      </c>
      <c r="J5366" t="s">
        <v>26</v>
      </c>
      <c r="K5366" s="57"/>
      <c r="S5366" s="57"/>
      <c r="X5366" s="57"/>
    </row>
    <row r="5367" spans="1:24" hidden="1" x14ac:dyDescent="0.35">
      <c r="A5367">
        <v>5363</v>
      </c>
      <c r="B5367">
        <v>5364</v>
      </c>
      <c r="C5367">
        <v>146.05271865700001</v>
      </c>
      <c r="D5367">
        <v>-17.6301965094999</v>
      </c>
      <c r="G5367" s="92"/>
      <c r="I5367">
        <v>5</v>
      </c>
      <c r="J5367" t="s">
        <v>26</v>
      </c>
      <c r="K5367" s="57"/>
      <c r="S5367" s="57"/>
      <c r="X5367" s="57"/>
    </row>
    <row r="5368" spans="1:24" hidden="1" x14ac:dyDescent="0.35">
      <c r="A5368">
        <v>5364</v>
      </c>
      <c r="B5368">
        <v>5365</v>
      </c>
      <c r="C5368">
        <v>146.05279908200001</v>
      </c>
      <c r="D5368">
        <v>-17.6302346503</v>
      </c>
      <c r="G5368" s="92"/>
      <c r="I5368">
        <v>5</v>
      </c>
      <c r="J5368" t="s">
        <v>26</v>
      </c>
      <c r="K5368" s="57"/>
      <c r="S5368" s="57"/>
      <c r="X5368" s="57"/>
    </row>
    <row r="5369" spans="1:24" hidden="1" x14ac:dyDescent="0.35">
      <c r="A5369">
        <v>5365</v>
      </c>
      <c r="B5369">
        <v>5366</v>
      </c>
      <c r="C5369">
        <v>146.05287950600001</v>
      </c>
      <c r="D5369">
        <v>-17.630272791100001</v>
      </c>
      <c r="G5369" s="92"/>
      <c r="I5369">
        <v>5</v>
      </c>
      <c r="J5369" t="s">
        <v>26</v>
      </c>
      <c r="K5369" s="57"/>
      <c r="S5369" s="57"/>
      <c r="X5369" s="57"/>
    </row>
    <row r="5370" spans="1:24" hidden="1" x14ac:dyDescent="0.35">
      <c r="A5370">
        <v>5366</v>
      </c>
      <c r="B5370">
        <v>5367</v>
      </c>
      <c r="C5370">
        <v>146.05295992999899</v>
      </c>
      <c r="D5370">
        <v>-17.630310932</v>
      </c>
      <c r="G5370" s="92"/>
      <c r="I5370">
        <v>5</v>
      </c>
      <c r="J5370" t="s">
        <v>26</v>
      </c>
      <c r="K5370" s="57"/>
      <c r="S5370" s="57"/>
      <c r="X5370" s="57"/>
    </row>
    <row r="5371" spans="1:24" hidden="1" x14ac:dyDescent="0.35">
      <c r="A5371">
        <v>5367</v>
      </c>
      <c r="B5371">
        <v>5368</v>
      </c>
      <c r="C5371">
        <v>146.05303817800001</v>
      </c>
      <c r="D5371">
        <v>-17.6303527106</v>
      </c>
      <c r="G5371" s="92"/>
      <c r="I5371">
        <v>5</v>
      </c>
      <c r="J5371" t="s">
        <v>26</v>
      </c>
      <c r="K5371" s="57"/>
      <c r="S5371" s="57"/>
      <c r="X5371" s="57"/>
    </row>
    <row r="5372" spans="1:24" hidden="1" x14ac:dyDescent="0.35">
      <c r="A5372">
        <v>5368</v>
      </c>
      <c r="B5372">
        <v>5369</v>
      </c>
      <c r="C5372">
        <v>146.053113588</v>
      </c>
      <c r="D5372">
        <v>-17.630399234999899</v>
      </c>
      <c r="G5372" s="92"/>
      <c r="I5372">
        <v>5</v>
      </c>
      <c r="J5372" t="s">
        <v>26</v>
      </c>
      <c r="K5372" s="57"/>
      <c r="S5372" s="57"/>
      <c r="X5372" s="57"/>
    </row>
    <row r="5373" spans="1:24" hidden="1" x14ac:dyDescent="0.35">
      <c r="A5373">
        <v>5369</v>
      </c>
      <c r="B5373">
        <v>5370</v>
      </c>
      <c r="C5373">
        <v>146.05318899700001</v>
      </c>
      <c r="D5373">
        <v>-17.630445759000001</v>
      </c>
      <c r="G5373" s="92"/>
      <c r="I5373">
        <v>5</v>
      </c>
      <c r="J5373" t="s">
        <v>26</v>
      </c>
      <c r="K5373" s="57"/>
      <c r="S5373" s="57"/>
      <c r="X5373" s="57"/>
    </row>
    <row r="5374" spans="1:24" hidden="1" x14ac:dyDescent="0.35">
      <c r="A5374">
        <v>5370</v>
      </c>
      <c r="B5374">
        <v>5371</v>
      </c>
      <c r="C5374">
        <v>146.053264407</v>
      </c>
      <c r="D5374">
        <v>-17.630492283100001</v>
      </c>
      <c r="G5374" s="92"/>
      <c r="I5374">
        <v>5</v>
      </c>
      <c r="J5374" t="s">
        <v>26</v>
      </c>
      <c r="K5374" s="57"/>
      <c r="S5374" s="57"/>
      <c r="X5374" s="57"/>
    </row>
    <row r="5375" spans="1:24" hidden="1" x14ac:dyDescent="0.35">
      <c r="A5375">
        <v>5371</v>
      </c>
      <c r="B5375">
        <v>5372</v>
      </c>
      <c r="C5375">
        <v>146.05333736399899</v>
      </c>
      <c r="D5375">
        <v>-17.630541981699899</v>
      </c>
      <c r="G5375" s="92"/>
      <c r="I5375">
        <v>5</v>
      </c>
      <c r="J5375" t="s">
        <v>26</v>
      </c>
      <c r="K5375" s="57"/>
      <c r="S5375" s="57"/>
      <c r="X5375" s="57"/>
    </row>
    <row r="5376" spans="1:24" hidden="1" x14ac:dyDescent="0.35">
      <c r="A5376">
        <v>5372</v>
      </c>
      <c r="B5376">
        <v>5373</v>
      </c>
      <c r="C5376">
        <v>146.053406381</v>
      </c>
      <c r="D5376">
        <v>-17.6305967817</v>
      </c>
      <c r="G5376" s="92"/>
      <c r="I5376">
        <v>5</v>
      </c>
      <c r="J5376" t="s">
        <v>26</v>
      </c>
      <c r="K5376" s="57"/>
      <c r="S5376" s="57"/>
      <c r="X5376" s="57"/>
    </row>
    <row r="5377" spans="1:24" hidden="1" x14ac:dyDescent="0.35">
      <c r="A5377">
        <v>5373</v>
      </c>
      <c r="B5377">
        <v>5374</v>
      </c>
      <c r="C5377">
        <v>146.05347539799899</v>
      </c>
      <c r="D5377">
        <v>-17.630651581799899</v>
      </c>
      <c r="G5377" s="92"/>
      <c r="I5377">
        <v>5</v>
      </c>
      <c r="J5377" t="s">
        <v>26</v>
      </c>
      <c r="K5377" s="57"/>
      <c r="S5377" s="57"/>
      <c r="X5377" s="57"/>
    </row>
    <row r="5378" spans="1:24" hidden="1" x14ac:dyDescent="0.35">
      <c r="A5378">
        <v>5374</v>
      </c>
      <c r="B5378">
        <v>5375</v>
      </c>
      <c r="C5378">
        <v>146.053544415</v>
      </c>
      <c r="D5378">
        <v>-17.630706381900001</v>
      </c>
      <c r="G5378" s="92"/>
      <c r="I5378">
        <v>5</v>
      </c>
      <c r="J5378" t="s">
        <v>26</v>
      </c>
      <c r="K5378" s="57"/>
      <c r="S5378" s="57"/>
      <c r="X5378" s="57"/>
    </row>
    <row r="5379" spans="1:24" hidden="1" x14ac:dyDescent="0.35">
      <c r="A5379">
        <v>5375</v>
      </c>
      <c r="B5379">
        <v>5376</v>
      </c>
      <c r="C5379">
        <v>146.053613431999</v>
      </c>
      <c r="D5379">
        <v>-17.630761181899899</v>
      </c>
      <c r="G5379" s="92"/>
      <c r="I5379">
        <v>5</v>
      </c>
      <c r="J5379" t="s">
        <v>26</v>
      </c>
      <c r="K5379" s="57"/>
      <c r="S5379" s="57"/>
      <c r="X5379" s="57"/>
    </row>
    <row r="5380" spans="1:24" hidden="1" x14ac:dyDescent="0.35">
      <c r="A5380">
        <v>5376</v>
      </c>
      <c r="B5380">
        <v>5377</v>
      </c>
      <c r="C5380">
        <v>146.053672804999</v>
      </c>
      <c r="D5380">
        <v>-17.6308241417</v>
      </c>
      <c r="G5380" s="92"/>
      <c r="I5380">
        <v>5</v>
      </c>
      <c r="J5380" t="s">
        <v>26</v>
      </c>
      <c r="K5380" s="57"/>
      <c r="S5380" s="57"/>
      <c r="X5380" s="57"/>
    </row>
    <row r="5381" spans="1:24" hidden="1" x14ac:dyDescent="0.35">
      <c r="A5381">
        <v>5377</v>
      </c>
      <c r="B5381">
        <v>5378</v>
      </c>
      <c r="C5381">
        <v>146.05372172099899</v>
      </c>
      <c r="D5381">
        <v>-17.6308959473999</v>
      </c>
      <c r="G5381" s="92"/>
      <c r="I5381">
        <v>5</v>
      </c>
      <c r="J5381" t="s">
        <v>26</v>
      </c>
      <c r="K5381" s="57"/>
      <c r="S5381" s="57"/>
      <c r="X5381" s="57"/>
    </row>
    <row r="5382" spans="1:24" hidden="1" x14ac:dyDescent="0.35">
      <c r="A5382">
        <v>5378</v>
      </c>
      <c r="B5382">
        <v>5379</v>
      </c>
      <c r="C5382">
        <v>146.053770638</v>
      </c>
      <c r="D5382">
        <v>-17.630967753099899</v>
      </c>
      <c r="G5382" s="92"/>
      <c r="I5382">
        <v>5</v>
      </c>
      <c r="J5382" t="s">
        <v>26</v>
      </c>
      <c r="K5382" s="57"/>
      <c r="S5382" s="57"/>
      <c r="X5382" s="57"/>
    </row>
    <row r="5383" spans="1:24" hidden="1" x14ac:dyDescent="0.35">
      <c r="A5383">
        <v>5379</v>
      </c>
      <c r="B5383">
        <v>5380</v>
      </c>
      <c r="C5383">
        <v>146.053819554999</v>
      </c>
      <c r="D5383">
        <v>-17.631039558800001</v>
      </c>
      <c r="G5383" s="92"/>
      <c r="I5383">
        <v>5</v>
      </c>
      <c r="J5383" t="s">
        <v>26</v>
      </c>
      <c r="K5383" s="57"/>
      <c r="S5383" s="57"/>
      <c r="X5383" s="57"/>
    </row>
    <row r="5384" spans="1:24" hidden="1" x14ac:dyDescent="0.35">
      <c r="A5384">
        <v>5380</v>
      </c>
      <c r="B5384">
        <v>5381</v>
      </c>
      <c r="C5384">
        <v>146.053864844</v>
      </c>
      <c r="D5384">
        <v>-17.6311133954</v>
      </c>
      <c r="G5384" s="92"/>
      <c r="I5384">
        <v>5</v>
      </c>
      <c r="J5384" t="s">
        <v>26</v>
      </c>
      <c r="K5384" s="57"/>
      <c r="S5384" s="57"/>
      <c r="X5384" s="57"/>
    </row>
    <row r="5385" spans="1:24" hidden="1" x14ac:dyDescent="0.35">
      <c r="A5385">
        <v>5381</v>
      </c>
      <c r="B5385">
        <v>5382</v>
      </c>
      <c r="C5385">
        <v>146.053906837</v>
      </c>
      <c r="D5385">
        <v>-17.6311890773</v>
      </c>
      <c r="G5385" s="92"/>
      <c r="I5385">
        <v>5</v>
      </c>
      <c r="J5385" t="s">
        <v>26</v>
      </c>
      <c r="K5385" s="57"/>
      <c r="S5385" s="57"/>
      <c r="X5385" s="57"/>
    </row>
    <row r="5386" spans="1:24" hidden="1" x14ac:dyDescent="0.35">
      <c r="A5386">
        <v>5382</v>
      </c>
      <c r="B5386">
        <v>5383</v>
      </c>
      <c r="C5386">
        <v>146.053948829999</v>
      </c>
      <c r="D5386">
        <v>-17.631264759299899</v>
      </c>
      <c r="G5386" s="92"/>
      <c r="I5386">
        <v>5</v>
      </c>
      <c r="J5386" t="s">
        <v>26</v>
      </c>
      <c r="K5386" s="57"/>
      <c r="S5386" s="57"/>
      <c r="X5386" s="57"/>
    </row>
    <row r="5387" spans="1:24" hidden="1" x14ac:dyDescent="0.35">
      <c r="A5387">
        <v>5383</v>
      </c>
      <c r="B5387">
        <v>5384</v>
      </c>
      <c r="C5387">
        <v>146.053990822999</v>
      </c>
      <c r="D5387">
        <v>-17.6313404411999</v>
      </c>
      <c r="G5387" s="92"/>
      <c r="I5387">
        <v>5</v>
      </c>
      <c r="J5387" t="s">
        <v>26</v>
      </c>
      <c r="K5387" s="57"/>
      <c r="S5387" s="57"/>
      <c r="X5387" s="57"/>
    </row>
    <row r="5388" spans="1:24" hidden="1" x14ac:dyDescent="0.35">
      <c r="A5388">
        <v>5384</v>
      </c>
      <c r="B5388">
        <v>5385</v>
      </c>
      <c r="C5388">
        <v>146.054032814999</v>
      </c>
      <c r="D5388">
        <v>-17.6314161230999</v>
      </c>
      <c r="G5388" s="92"/>
      <c r="I5388">
        <v>5</v>
      </c>
      <c r="J5388" t="s">
        <v>26</v>
      </c>
      <c r="K5388" s="57"/>
      <c r="S5388" s="57"/>
      <c r="X5388" s="57"/>
    </row>
    <row r="5389" spans="1:24" hidden="1" x14ac:dyDescent="0.35">
      <c r="A5389">
        <v>5385</v>
      </c>
      <c r="B5389">
        <v>5386</v>
      </c>
      <c r="C5389">
        <v>146.05406973000001</v>
      </c>
      <c r="D5389">
        <v>-17.631494156900001</v>
      </c>
      <c r="G5389" s="92"/>
      <c r="I5389">
        <v>5</v>
      </c>
      <c r="J5389" t="s">
        <v>26</v>
      </c>
      <c r="K5389" s="57"/>
      <c r="S5389" s="57"/>
      <c r="X5389" s="57"/>
    </row>
    <row r="5390" spans="1:24" hidden="1" x14ac:dyDescent="0.35">
      <c r="A5390">
        <v>5386</v>
      </c>
      <c r="B5390">
        <v>5387</v>
      </c>
      <c r="C5390">
        <v>146.054106224999</v>
      </c>
      <c r="D5390">
        <v>-17.631572385199899</v>
      </c>
      <c r="G5390" s="92"/>
      <c r="I5390">
        <v>5</v>
      </c>
      <c r="J5390" t="s">
        <v>26</v>
      </c>
      <c r="K5390" s="57"/>
      <c r="S5390" s="57"/>
      <c r="X5390" s="57"/>
    </row>
    <row r="5391" spans="1:24" hidden="1" x14ac:dyDescent="0.35">
      <c r="A5391">
        <v>5387</v>
      </c>
      <c r="B5391">
        <v>5388</v>
      </c>
      <c r="C5391">
        <v>146.05414271999899</v>
      </c>
      <c r="D5391">
        <v>-17.631650613600002</v>
      </c>
      <c r="G5391" s="92"/>
      <c r="I5391">
        <v>5</v>
      </c>
      <c r="J5391" t="s">
        <v>26</v>
      </c>
      <c r="K5391" s="57"/>
      <c r="S5391" s="57"/>
      <c r="X5391" s="57"/>
    </row>
    <row r="5392" spans="1:24" hidden="1" x14ac:dyDescent="0.35">
      <c r="A5392">
        <v>5388</v>
      </c>
      <c r="B5392">
        <v>5389</v>
      </c>
      <c r="C5392">
        <v>146.05417921399899</v>
      </c>
      <c r="D5392">
        <v>-17.631728842000001</v>
      </c>
      <c r="G5392" s="92"/>
      <c r="I5392">
        <v>5</v>
      </c>
      <c r="J5392" t="s">
        <v>26</v>
      </c>
      <c r="K5392" s="57"/>
      <c r="S5392" s="57"/>
      <c r="X5392" s="57"/>
    </row>
    <row r="5393" spans="1:24" hidden="1" x14ac:dyDescent="0.35">
      <c r="A5393">
        <v>5389</v>
      </c>
      <c r="B5393">
        <v>5390</v>
      </c>
      <c r="C5393">
        <v>146.054215709</v>
      </c>
      <c r="D5393">
        <v>-17.631807070400001</v>
      </c>
      <c r="G5393" s="92"/>
      <c r="I5393">
        <v>5</v>
      </c>
      <c r="J5393" t="s">
        <v>26</v>
      </c>
      <c r="K5393" s="57"/>
      <c r="S5393" s="57"/>
      <c r="X5393" s="57"/>
    </row>
    <row r="5394" spans="1:24" hidden="1" x14ac:dyDescent="0.35">
      <c r="A5394">
        <v>5390</v>
      </c>
      <c r="B5394">
        <v>5391</v>
      </c>
      <c r="C5394">
        <v>146.054238322999</v>
      </c>
      <c r="D5394">
        <v>-17.631889614399899</v>
      </c>
      <c r="G5394" s="92"/>
      <c r="I5394">
        <v>5</v>
      </c>
      <c r="J5394" t="s">
        <v>26</v>
      </c>
      <c r="K5394" s="57"/>
      <c r="S5394" s="57"/>
      <c r="X5394" s="57"/>
    </row>
    <row r="5395" spans="1:24" hidden="1" x14ac:dyDescent="0.35">
      <c r="A5395">
        <v>5391</v>
      </c>
      <c r="B5395">
        <v>5392</v>
      </c>
      <c r="C5395">
        <v>146.054257261</v>
      </c>
      <c r="D5395">
        <v>-17.631973301799899</v>
      </c>
      <c r="G5395" s="92"/>
      <c r="I5395">
        <v>5</v>
      </c>
      <c r="J5395" t="s">
        <v>26</v>
      </c>
      <c r="K5395" s="57"/>
      <c r="S5395" s="57"/>
      <c r="X5395" s="57"/>
    </row>
    <row r="5396" spans="1:24" hidden="1" x14ac:dyDescent="0.35">
      <c r="A5396">
        <v>5392</v>
      </c>
      <c r="B5396">
        <v>5393</v>
      </c>
      <c r="C5396">
        <v>146.05427619899899</v>
      </c>
      <c r="D5396">
        <v>-17.632056989199899</v>
      </c>
      <c r="G5396" s="92"/>
      <c r="I5396">
        <v>5</v>
      </c>
      <c r="J5396" t="s">
        <v>26</v>
      </c>
      <c r="K5396" s="57"/>
      <c r="S5396" s="57"/>
      <c r="X5396" s="57"/>
    </row>
    <row r="5397" spans="1:24" hidden="1" x14ac:dyDescent="0.35">
      <c r="A5397">
        <v>5393</v>
      </c>
      <c r="B5397">
        <v>5394</v>
      </c>
      <c r="C5397">
        <v>146.054291938999</v>
      </c>
      <c r="D5397">
        <v>-17.632141166299899</v>
      </c>
      <c r="G5397" s="92"/>
      <c r="I5397">
        <v>5</v>
      </c>
      <c r="J5397" t="s">
        <v>26</v>
      </c>
      <c r="K5397" s="57"/>
      <c r="S5397" s="57"/>
      <c r="X5397" s="57"/>
    </row>
    <row r="5398" spans="1:24" hidden="1" x14ac:dyDescent="0.35">
      <c r="A5398">
        <v>5394</v>
      </c>
      <c r="B5398">
        <v>5395</v>
      </c>
      <c r="C5398">
        <v>146.05430146500001</v>
      </c>
      <c r="D5398">
        <v>-17.632226294799899</v>
      </c>
      <c r="G5398" s="92"/>
      <c r="I5398">
        <v>5</v>
      </c>
      <c r="J5398" t="s">
        <v>26</v>
      </c>
      <c r="K5398" s="57"/>
      <c r="S5398" s="57"/>
      <c r="X5398" s="57"/>
    </row>
    <row r="5399" spans="1:24" hidden="1" x14ac:dyDescent="0.35">
      <c r="A5399">
        <v>5395</v>
      </c>
      <c r="B5399">
        <v>5396</v>
      </c>
      <c r="C5399">
        <v>146.054310990999</v>
      </c>
      <c r="D5399">
        <v>-17.6323114232999</v>
      </c>
      <c r="G5399" s="92"/>
      <c r="I5399">
        <v>4</v>
      </c>
      <c r="J5399" t="s">
        <v>26</v>
      </c>
      <c r="K5399" s="57"/>
      <c r="S5399" s="57"/>
      <c r="X5399" s="57"/>
    </row>
    <row r="5400" spans="1:24" hidden="1" x14ac:dyDescent="0.35">
      <c r="A5400">
        <v>5396</v>
      </c>
      <c r="B5400">
        <v>5397</v>
      </c>
      <c r="C5400">
        <v>146.05432051700001</v>
      </c>
      <c r="D5400">
        <v>-17.6323965517999</v>
      </c>
      <c r="G5400" s="92"/>
      <c r="I5400">
        <v>4</v>
      </c>
      <c r="J5400" t="s">
        <v>26</v>
      </c>
      <c r="K5400" s="57"/>
      <c r="S5400" s="57"/>
      <c r="X5400" s="57"/>
    </row>
    <row r="5401" spans="1:24" hidden="1" x14ac:dyDescent="0.35">
      <c r="A5401">
        <v>5397</v>
      </c>
      <c r="B5401">
        <v>5398</v>
      </c>
      <c r="C5401">
        <v>146.05433004400001</v>
      </c>
      <c r="D5401">
        <v>-17.6324816803</v>
      </c>
      <c r="G5401" s="92"/>
      <c r="I5401">
        <v>4</v>
      </c>
      <c r="J5401" t="s">
        <v>26</v>
      </c>
      <c r="K5401" s="57"/>
      <c r="S5401" s="57"/>
      <c r="X5401" s="57"/>
    </row>
    <row r="5402" spans="1:24" hidden="1" x14ac:dyDescent="0.35">
      <c r="A5402">
        <v>5398</v>
      </c>
      <c r="B5402">
        <v>5399</v>
      </c>
      <c r="C5402">
        <v>146.054339569999</v>
      </c>
      <c r="D5402">
        <v>-17.632566808699899</v>
      </c>
      <c r="G5402" s="92"/>
      <c r="I5402">
        <v>4</v>
      </c>
      <c r="J5402" t="s">
        <v>26</v>
      </c>
      <c r="K5402" s="57"/>
      <c r="S5402" s="57"/>
      <c r="X5402" s="57"/>
    </row>
    <row r="5403" spans="1:24" hidden="1" x14ac:dyDescent="0.35">
      <c r="A5403">
        <v>5399</v>
      </c>
      <c r="B5403">
        <v>5400</v>
      </c>
      <c r="C5403">
        <v>146.05433427700001</v>
      </c>
      <c r="D5403">
        <v>-17.6326518849</v>
      </c>
      <c r="G5403" s="92"/>
      <c r="I5403">
        <v>4</v>
      </c>
      <c r="J5403" t="s">
        <v>26</v>
      </c>
      <c r="K5403" s="57"/>
      <c r="S5403" s="57"/>
      <c r="X5403" s="57"/>
    </row>
    <row r="5404" spans="1:24" hidden="1" x14ac:dyDescent="0.35">
      <c r="A5404">
        <v>5400</v>
      </c>
      <c r="B5404">
        <v>5401</v>
      </c>
      <c r="C5404">
        <v>146.05432409100001</v>
      </c>
      <c r="D5404">
        <v>-17.6327369438999</v>
      </c>
      <c r="G5404" s="92"/>
      <c r="I5404">
        <v>4</v>
      </c>
      <c r="J5404" t="s">
        <v>26</v>
      </c>
      <c r="K5404" s="57"/>
      <c r="S5404" s="57"/>
      <c r="X5404" s="57"/>
    </row>
    <row r="5405" spans="1:24" hidden="1" x14ac:dyDescent="0.35">
      <c r="A5405">
        <v>5401</v>
      </c>
      <c r="B5405">
        <v>5402</v>
      </c>
      <c r="C5405">
        <v>146.054313906</v>
      </c>
      <c r="D5405">
        <v>-17.632822002800001</v>
      </c>
      <c r="G5405" s="92"/>
      <c r="I5405">
        <v>4</v>
      </c>
      <c r="J5405" t="s">
        <v>26</v>
      </c>
      <c r="K5405" s="57"/>
      <c r="S5405" s="57"/>
      <c r="X5405" s="57"/>
    </row>
    <row r="5406" spans="1:24" hidden="1" x14ac:dyDescent="0.35">
      <c r="A5406">
        <v>5402</v>
      </c>
      <c r="B5406">
        <v>5403</v>
      </c>
      <c r="C5406">
        <v>146.05430372000001</v>
      </c>
      <c r="D5406">
        <v>-17.6329070616999</v>
      </c>
      <c r="G5406" s="92"/>
      <c r="I5406">
        <v>4</v>
      </c>
      <c r="J5406" t="s">
        <v>26</v>
      </c>
      <c r="K5406" s="57"/>
      <c r="S5406" s="57"/>
      <c r="X5406" s="57"/>
    </row>
    <row r="5407" spans="1:24" hidden="1" x14ac:dyDescent="0.35">
      <c r="A5407">
        <v>5403</v>
      </c>
      <c r="B5407">
        <v>5404</v>
      </c>
      <c r="C5407">
        <v>146.054293534999</v>
      </c>
      <c r="D5407">
        <v>-17.6329921204999</v>
      </c>
      <c r="G5407" s="92"/>
      <c r="I5407">
        <v>4</v>
      </c>
      <c r="J5407" t="s">
        <v>26</v>
      </c>
      <c r="K5407" s="57"/>
      <c r="S5407" s="57"/>
      <c r="X5407" s="57"/>
    </row>
    <row r="5408" spans="1:24" hidden="1" x14ac:dyDescent="0.35">
      <c r="A5408">
        <v>5404</v>
      </c>
      <c r="B5408">
        <v>5405</v>
      </c>
      <c r="C5408">
        <v>146.054271362999</v>
      </c>
      <c r="D5408">
        <v>-17.633074539900001</v>
      </c>
      <c r="G5408" s="92"/>
      <c r="I5408">
        <v>4</v>
      </c>
      <c r="J5408" t="s">
        <v>26</v>
      </c>
      <c r="K5408" s="57"/>
      <c r="S5408" s="57"/>
      <c r="X5408" s="57"/>
    </row>
    <row r="5409" spans="1:24" hidden="1" x14ac:dyDescent="0.35">
      <c r="A5409">
        <v>5405</v>
      </c>
      <c r="B5409">
        <v>5406</v>
      </c>
      <c r="C5409">
        <v>146.054241359999</v>
      </c>
      <c r="D5409">
        <v>-17.633155234699899</v>
      </c>
      <c r="G5409" s="92"/>
      <c r="I5409">
        <v>4</v>
      </c>
      <c r="J5409" t="s">
        <v>26</v>
      </c>
      <c r="K5409" s="57"/>
      <c r="S5409" s="57"/>
      <c r="X5409" s="57"/>
    </row>
    <row r="5410" spans="1:24" hidden="1" x14ac:dyDescent="0.35">
      <c r="A5410">
        <v>5406</v>
      </c>
      <c r="B5410">
        <v>5407</v>
      </c>
      <c r="C5410">
        <v>146.054211358</v>
      </c>
      <c r="D5410">
        <v>-17.6332359295</v>
      </c>
      <c r="G5410" s="92"/>
      <c r="I5410">
        <v>4</v>
      </c>
      <c r="J5410" t="s">
        <v>26</v>
      </c>
      <c r="K5410" s="57"/>
      <c r="S5410" s="57"/>
      <c r="X5410" s="57"/>
    </row>
    <row r="5411" spans="1:24" hidden="1" x14ac:dyDescent="0.35">
      <c r="A5411">
        <v>5407</v>
      </c>
      <c r="B5411">
        <v>5408</v>
      </c>
      <c r="C5411">
        <v>146.054181354999</v>
      </c>
      <c r="D5411">
        <v>-17.6333166241999</v>
      </c>
      <c r="G5411" s="92"/>
      <c r="I5411">
        <v>4</v>
      </c>
      <c r="J5411" t="s">
        <v>26</v>
      </c>
      <c r="K5411" s="57"/>
      <c r="S5411" s="57"/>
      <c r="X5411" s="57"/>
    </row>
    <row r="5412" spans="1:24" hidden="1" x14ac:dyDescent="0.35">
      <c r="A5412">
        <v>5408</v>
      </c>
      <c r="B5412">
        <v>5409</v>
      </c>
      <c r="C5412">
        <v>146.054136204</v>
      </c>
      <c r="D5412">
        <v>-17.633390298599899</v>
      </c>
      <c r="G5412" s="92"/>
      <c r="I5412">
        <v>4</v>
      </c>
      <c r="J5412" t="s">
        <v>26</v>
      </c>
      <c r="K5412" s="57"/>
      <c r="S5412" s="57"/>
      <c r="X5412" s="57"/>
    </row>
    <row r="5413" spans="1:24" hidden="1" x14ac:dyDescent="0.35">
      <c r="A5413">
        <v>5409</v>
      </c>
      <c r="B5413">
        <v>5410</v>
      </c>
      <c r="C5413">
        <v>146.054088127</v>
      </c>
      <c r="D5413">
        <v>-17.633462616700001</v>
      </c>
      <c r="G5413" s="92"/>
      <c r="I5413">
        <v>4</v>
      </c>
      <c r="J5413" t="s">
        <v>26</v>
      </c>
      <c r="K5413" s="57"/>
      <c r="S5413" s="57"/>
      <c r="X5413" s="57"/>
    </row>
    <row r="5414" spans="1:24" hidden="1" x14ac:dyDescent="0.35">
      <c r="A5414">
        <v>5410</v>
      </c>
      <c r="B5414">
        <v>5411</v>
      </c>
      <c r="C5414">
        <v>146.054040049999</v>
      </c>
      <c r="D5414">
        <v>-17.633534934699899</v>
      </c>
      <c r="G5414" s="92"/>
      <c r="I5414">
        <v>4</v>
      </c>
      <c r="J5414" t="s">
        <v>26</v>
      </c>
      <c r="K5414" s="57"/>
      <c r="S5414" s="57"/>
      <c r="X5414" s="57"/>
    </row>
    <row r="5415" spans="1:24" hidden="1" x14ac:dyDescent="0.35">
      <c r="A5415">
        <v>5411</v>
      </c>
      <c r="B5415">
        <v>5412</v>
      </c>
      <c r="C5415">
        <v>146.053984364</v>
      </c>
      <c r="D5415">
        <v>-17.633601310900001</v>
      </c>
      <c r="G5415" s="92"/>
      <c r="I5415">
        <v>4</v>
      </c>
      <c r="J5415" t="s">
        <v>26</v>
      </c>
      <c r="K5415" s="57"/>
      <c r="S5415" s="57"/>
      <c r="X5415" s="57"/>
    </row>
    <row r="5416" spans="1:24" hidden="1" x14ac:dyDescent="0.35">
      <c r="A5416">
        <v>5412</v>
      </c>
      <c r="B5416">
        <v>5413</v>
      </c>
      <c r="C5416">
        <v>146.05391941299899</v>
      </c>
      <c r="D5416">
        <v>-17.6336604516999</v>
      </c>
      <c r="G5416" s="92"/>
      <c r="I5416">
        <v>4</v>
      </c>
      <c r="J5416" t="s">
        <v>26</v>
      </c>
      <c r="K5416" s="57"/>
      <c r="S5416" s="57"/>
      <c r="X5416" s="57"/>
    </row>
    <row r="5417" spans="1:24" hidden="1" x14ac:dyDescent="0.35">
      <c r="A5417">
        <v>5413</v>
      </c>
      <c r="B5417">
        <v>5414</v>
      </c>
      <c r="C5417">
        <v>146.053854462</v>
      </c>
      <c r="D5417">
        <v>-17.6337195925</v>
      </c>
      <c r="G5417" s="92"/>
      <c r="I5417">
        <v>4</v>
      </c>
      <c r="J5417" t="s">
        <v>26</v>
      </c>
      <c r="K5417" s="57"/>
      <c r="S5417" s="57"/>
      <c r="X5417" s="57"/>
    </row>
    <row r="5418" spans="1:24" hidden="1" x14ac:dyDescent="0.35">
      <c r="A5418">
        <v>5414</v>
      </c>
      <c r="B5418">
        <v>5415</v>
      </c>
      <c r="C5418">
        <v>146.05378951</v>
      </c>
      <c r="D5418">
        <v>-17.633778733300002</v>
      </c>
      <c r="G5418" s="92"/>
      <c r="I5418">
        <v>4</v>
      </c>
      <c r="J5418" t="s">
        <v>26</v>
      </c>
      <c r="K5418" s="57"/>
      <c r="S5418" s="57"/>
      <c r="X5418" s="57"/>
    </row>
    <row r="5419" spans="1:24" hidden="1" x14ac:dyDescent="0.35">
      <c r="A5419">
        <v>5415</v>
      </c>
      <c r="B5419">
        <v>5416</v>
      </c>
      <c r="C5419">
        <v>146.053724243</v>
      </c>
      <c r="D5419">
        <v>-17.6338375515999</v>
      </c>
      <c r="G5419" s="92"/>
      <c r="I5419">
        <v>4</v>
      </c>
      <c r="J5419" t="s">
        <v>26</v>
      </c>
      <c r="K5419" s="57"/>
      <c r="S5419" s="57"/>
      <c r="X5419" s="57"/>
    </row>
    <row r="5420" spans="1:24" hidden="1" x14ac:dyDescent="0.35">
      <c r="A5420">
        <v>5416</v>
      </c>
      <c r="B5420">
        <v>5417</v>
      </c>
      <c r="C5420">
        <v>146.053657904</v>
      </c>
      <c r="D5420">
        <v>-17.633895276499899</v>
      </c>
      <c r="G5420" s="92"/>
      <c r="I5420">
        <v>4</v>
      </c>
      <c r="J5420" t="s">
        <v>26</v>
      </c>
      <c r="K5420" s="57"/>
      <c r="S5420" s="57"/>
      <c r="X5420" s="57"/>
    </row>
    <row r="5421" spans="1:24" hidden="1" x14ac:dyDescent="0.35">
      <c r="A5421">
        <v>5417</v>
      </c>
      <c r="B5421">
        <v>5418</v>
      </c>
      <c r="C5421">
        <v>146.053591565</v>
      </c>
      <c r="D5421">
        <v>-17.6339530015</v>
      </c>
      <c r="G5421" s="92"/>
      <c r="I5421">
        <v>4</v>
      </c>
      <c r="J5421" t="s">
        <v>26</v>
      </c>
      <c r="K5421" s="57"/>
      <c r="S5421" s="57"/>
      <c r="X5421" s="57"/>
    </row>
    <row r="5422" spans="1:24" hidden="1" x14ac:dyDescent="0.35">
      <c r="A5422">
        <v>5418</v>
      </c>
      <c r="B5422">
        <v>5419</v>
      </c>
      <c r="C5422">
        <v>146.053525226</v>
      </c>
      <c r="D5422">
        <v>-17.6340107264</v>
      </c>
      <c r="G5422" s="92"/>
      <c r="I5422">
        <v>4</v>
      </c>
      <c r="J5422" t="s">
        <v>26</v>
      </c>
      <c r="K5422" s="57"/>
      <c r="S5422" s="57"/>
      <c r="X5422" s="57"/>
    </row>
    <row r="5423" spans="1:24" hidden="1" x14ac:dyDescent="0.35">
      <c r="A5423">
        <v>5419</v>
      </c>
      <c r="B5423">
        <v>5420</v>
      </c>
      <c r="C5423">
        <v>146.053458887999</v>
      </c>
      <c r="D5423">
        <v>-17.6340684512999</v>
      </c>
      <c r="G5423" s="92"/>
      <c r="I5423">
        <v>4</v>
      </c>
      <c r="J5423" t="s">
        <v>26</v>
      </c>
      <c r="K5423" s="57"/>
      <c r="S5423" s="57"/>
      <c r="X5423" s="57"/>
    </row>
    <row r="5424" spans="1:24" hidden="1" x14ac:dyDescent="0.35">
      <c r="A5424">
        <v>5420</v>
      </c>
      <c r="B5424">
        <v>5421</v>
      </c>
      <c r="C5424">
        <v>146.053392548999</v>
      </c>
      <c r="D5424">
        <v>-17.634126176199899</v>
      </c>
      <c r="G5424" s="92"/>
      <c r="I5424">
        <v>4</v>
      </c>
      <c r="J5424" t="s">
        <v>26</v>
      </c>
      <c r="K5424" s="57"/>
      <c r="S5424" s="57"/>
      <c r="X5424" s="57"/>
    </row>
    <row r="5425" spans="1:24" hidden="1" x14ac:dyDescent="0.35">
      <c r="A5425">
        <v>5421</v>
      </c>
      <c r="B5425">
        <v>5422</v>
      </c>
      <c r="C5425">
        <v>146.053326209999</v>
      </c>
      <c r="D5425">
        <v>-17.634183901099899</v>
      </c>
      <c r="G5425" s="92"/>
      <c r="I5425">
        <v>4</v>
      </c>
      <c r="J5425" t="s">
        <v>26</v>
      </c>
      <c r="K5425" s="57"/>
      <c r="S5425" s="57"/>
      <c r="X5425" s="57"/>
    </row>
    <row r="5426" spans="1:24" hidden="1" x14ac:dyDescent="0.35">
      <c r="A5426">
        <v>5422</v>
      </c>
      <c r="B5426">
        <v>5423</v>
      </c>
      <c r="C5426">
        <v>146.053258881999</v>
      </c>
      <c r="D5426">
        <v>-17.634240454899899</v>
      </c>
      <c r="G5426" s="92"/>
      <c r="I5426">
        <v>4</v>
      </c>
      <c r="J5426" t="s">
        <v>26</v>
      </c>
      <c r="K5426" s="57"/>
      <c r="S5426" s="57"/>
      <c r="X5426" s="57"/>
    </row>
    <row r="5427" spans="1:24" hidden="1" x14ac:dyDescent="0.35">
      <c r="A5427">
        <v>5423</v>
      </c>
      <c r="B5427">
        <v>5424</v>
      </c>
      <c r="C5427">
        <v>146.05318552899899</v>
      </c>
      <c r="D5427">
        <v>-17.634289874299899</v>
      </c>
      <c r="G5427" s="92"/>
      <c r="I5427">
        <v>4</v>
      </c>
      <c r="J5427" t="s">
        <v>26</v>
      </c>
      <c r="K5427" s="57"/>
      <c r="S5427" s="57"/>
      <c r="X5427" s="57"/>
    </row>
    <row r="5428" spans="1:24" hidden="1" x14ac:dyDescent="0.35">
      <c r="A5428">
        <v>5424</v>
      </c>
      <c r="B5428">
        <v>5425</v>
      </c>
      <c r="C5428">
        <v>146.05311217600001</v>
      </c>
      <c r="D5428">
        <v>-17.634339293699899</v>
      </c>
      <c r="G5428" s="92"/>
      <c r="I5428">
        <v>4</v>
      </c>
      <c r="J5428" t="s">
        <v>26</v>
      </c>
      <c r="K5428" s="57"/>
      <c r="S5428" s="57"/>
      <c r="X5428" s="57"/>
    </row>
    <row r="5429" spans="1:24" hidden="1" x14ac:dyDescent="0.35">
      <c r="A5429">
        <v>5425</v>
      </c>
      <c r="B5429">
        <v>5426</v>
      </c>
      <c r="C5429">
        <v>146.05303882300001</v>
      </c>
      <c r="D5429">
        <v>-17.634388713100002</v>
      </c>
      <c r="G5429" s="92"/>
      <c r="I5429">
        <v>4</v>
      </c>
      <c r="J5429" t="s">
        <v>26</v>
      </c>
      <c r="K5429" s="57"/>
      <c r="S5429" s="57"/>
      <c r="X5429" s="57"/>
    </row>
    <row r="5430" spans="1:24" hidden="1" x14ac:dyDescent="0.35">
      <c r="A5430">
        <v>5426</v>
      </c>
      <c r="B5430">
        <v>5427</v>
      </c>
      <c r="C5430">
        <v>146.052965470999</v>
      </c>
      <c r="D5430">
        <v>-17.634438132500001</v>
      </c>
      <c r="G5430" s="92"/>
      <c r="I5430">
        <v>4</v>
      </c>
      <c r="J5430" t="s">
        <v>26</v>
      </c>
      <c r="K5430" s="57"/>
      <c r="S5430" s="57"/>
      <c r="X5430" s="57"/>
    </row>
    <row r="5431" spans="1:24" hidden="1" x14ac:dyDescent="0.35">
      <c r="A5431">
        <v>5427</v>
      </c>
      <c r="B5431">
        <v>5428</v>
      </c>
      <c r="C5431">
        <v>146.05289211799899</v>
      </c>
      <c r="D5431">
        <v>-17.634487551900001</v>
      </c>
      <c r="G5431" s="92"/>
      <c r="I5431">
        <v>4</v>
      </c>
      <c r="J5431" t="s">
        <v>26</v>
      </c>
      <c r="K5431" s="57"/>
      <c r="S5431" s="57"/>
      <c r="X5431" s="57"/>
    </row>
    <row r="5432" spans="1:24" hidden="1" x14ac:dyDescent="0.35">
      <c r="A5432">
        <v>5428</v>
      </c>
      <c r="B5432">
        <v>5429</v>
      </c>
      <c r="C5432">
        <v>146.052828943999</v>
      </c>
      <c r="D5432">
        <v>-17.634548173799899</v>
      </c>
      <c r="G5432" s="92"/>
      <c r="I5432">
        <v>4</v>
      </c>
      <c r="J5432" t="s">
        <v>26</v>
      </c>
      <c r="K5432" s="57"/>
      <c r="S5432" s="57"/>
      <c r="X5432" s="57"/>
    </row>
    <row r="5433" spans="1:24" hidden="1" x14ac:dyDescent="0.35">
      <c r="A5433">
        <v>5429</v>
      </c>
      <c r="B5433">
        <v>5430</v>
      </c>
      <c r="C5433">
        <v>146.052767136</v>
      </c>
      <c r="D5433">
        <v>-17.634610297999899</v>
      </c>
      <c r="G5433" s="92"/>
      <c r="I5433">
        <v>4</v>
      </c>
      <c r="J5433" t="s">
        <v>26</v>
      </c>
      <c r="K5433" s="57"/>
      <c r="S5433" s="57"/>
      <c r="X5433" s="57"/>
    </row>
    <row r="5434" spans="1:24" hidden="1" x14ac:dyDescent="0.35">
      <c r="A5434">
        <v>5430</v>
      </c>
      <c r="B5434">
        <v>5431</v>
      </c>
      <c r="C5434">
        <v>146.05270532700001</v>
      </c>
      <c r="D5434">
        <v>-17.6346724221</v>
      </c>
      <c r="G5434" s="92"/>
      <c r="I5434">
        <v>4</v>
      </c>
      <c r="J5434" t="s">
        <v>26</v>
      </c>
      <c r="K5434" s="57"/>
      <c r="S5434" s="57"/>
      <c r="X5434" s="57"/>
    </row>
    <row r="5435" spans="1:24" hidden="1" x14ac:dyDescent="0.35">
      <c r="A5435">
        <v>5431</v>
      </c>
      <c r="B5435">
        <v>5432</v>
      </c>
      <c r="C5435">
        <v>146.052643517999</v>
      </c>
      <c r="D5435">
        <v>-17.634734546200001</v>
      </c>
      <c r="G5435" s="92"/>
      <c r="I5435">
        <v>4</v>
      </c>
      <c r="J5435" t="s">
        <v>26</v>
      </c>
      <c r="K5435" s="57"/>
      <c r="S5435" s="57"/>
      <c r="X5435" s="57"/>
    </row>
    <row r="5436" spans="1:24" hidden="1" x14ac:dyDescent="0.35">
      <c r="A5436">
        <v>5432</v>
      </c>
      <c r="B5436">
        <v>5433</v>
      </c>
      <c r="C5436">
        <v>146.052581709999</v>
      </c>
      <c r="D5436">
        <v>-17.634796670299899</v>
      </c>
      <c r="G5436" s="92"/>
      <c r="I5436">
        <v>4</v>
      </c>
      <c r="J5436" t="s">
        <v>26</v>
      </c>
      <c r="K5436" s="57"/>
      <c r="S5436" s="57"/>
      <c r="X5436" s="57"/>
    </row>
    <row r="5437" spans="1:24" hidden="1" x14ac:dyDescent="0.35">
      <c r="A5437">
        <v>5433</v>
      </c>
      <c r="B5437">
        <v>5434</v>
      </c>
      <c r="C5437">
        <v>146.05251990100001</v>
      </c>
      <c r="D5437">
        <v>-17.6348587943999</v>
      </c>
      <c r="G5437" s="92"/>
      <c r="I5437">
        <v>4</v>
      </c>
      <c r="J5437" t="s">
        <v>26</v>
      </c>
      <c r="K5437" s="57"/>
      <c r="S5437" s="57"/>
      <c r="X5437" s="57"/>
    </row>
    <row r="5438" spans="1:24" hidden="1" x14ac:dyDescent="0.35">
      <c r="A5438">
        <v>5434</v>
      </c>
      <c r="B5438">
        <v>5435</v>
      </c>
      <c r="C5438">
        <v>146.05248722799899</v>
      </c>
      <c r="D5438">
        <v>-17.634936062800001</v>
      </c>
      <c r="G5438" s="92"/>
      <c r="I5438">
        <v>4</v>
      </c>
      <c r="J5438" t="s">
        <v>26</v>
      </c>
      <c r="K5438" s="57"/>
      <c r="S5438" s="57"/>
      <c r="X5438" s="57"/>
    </row>
    <row r="5439" spans="1:24" hidden="1" x14ac:dyDescent="0.35">
      <c r="A5439">
        <v>5435</v>
      </c>
      <c r="B5439">
        <v>5436</v>
      </c>
      <c r="C5439">
        <v>146.052465888999</v>
      </c>
      <c r="D5439">
        <v>-17.6350192222</v>
      </c>
      <c r="G5439" s="92"/>
      <c r="I5439">
        <v>4</v>
      </c>
      <c r="J5439" t="s">
        <v>26</v>
      </c>
      <c r="K5439" s="57"/>
      <c r="S5439" s="57"/>
      <c r="X5439" s="57"/>
    </row>
    <row r="5440" spans="1:24" hidden="1" x14ac:dyDescent="0.35">
      <c r="A5440">
        <v>5436</v>
      </c>
      <c r="B5440">
        <v>5437</v>
      </c>
      <c r="C5440">
        <v>146.052444549999</v>
      </c>
      <c r="D5440">
        <v>-17.6351023815999</v>
      </c>
      <c r="G5440" s="92"/>
      <c r="I5440">
        <v>4</v>
      </c>
      <c r="J5440" t="s">
        <v>26</v>
      </c>
      <c r="K5440" s="57"/>
      <c r="S5440" s="57"/>
      <c r="X5440" s="57"/>
    </row>
    <row r="5441" spans="1:24" hidden="1" x14ac:dyDescent="0.35">
      <c r="A5441">
        <v>5437</v>
      </c>
      <c r="B5441">
        <v>5438</v>
      </c>
      <c r="C5441">
        <v>146.052430608999</v>
      </c>
      <c r="D5441">
        <v>-17.635186087600001</v>
      </c>
      <c r="G5441" s="92"/>
      <c r="I5441">
        <v>4</v>
      </c>
      <c r="J5441" t="s">
        <v>26</v>
      </c>
      <c r="K5441" s="57"/>
      <c r="S5441" s="57"/>
      <c r="X5441" s="57"/>
    </row>
    <row r="5442" spans="1:24" hidden="1" x14ac:dyDescent="0.35">
      <c r="A5442">
        <v>5438</v>
      </c>
      <c r="B5442">
        <v>5439</v>
      </c>
      <c r="C5442">
        <v>146.052438246999</v>
      </c>
      <c r="D5442">
        <v>-17.6352713874</v>
      </c>
      <c r="G5442" s="92"/>
      <c r="I5442">
        <v>4</v>
      </c>
      <c r="J5442" t="s">
        <v>26</v>
      </c>
      <c r="K5442" s="57"/>
      <c r="S5442" s="57"/>
      <c r="X5442" s="57"/>
    </row>
    <row r="5443" spans="1:24" hidden="1" x14ac:dyDescent="0.35">
      <c r="A5443">
        <v>5439</v>
      </c>
      <c r="B5443">
        <v>5440</v>
      </c>
      <c r="C5443">
        <v>146.052445884999</v>
      </c>
      <c r="D5443">
        <v>-17.635356687200002</v>
      </c>
      <c r="G5443" s="92"/>
      <c r="I5443">
        <v>4</v>
      </c>
      <c r="J5443" t="s">
        <v>26</v>
      </c>
      <c r="K5443" s="57"/>
      <c r="S5443" s="57"/>
      <c r="X5443" s="57"/>
    </row>
    <row r="5444" spans="1:24" hidden="1" x14ac:dyDescent="0.35">
      <c r="A5444">
        <v>5440</v>
      </c>
      <c r="B5444">
        <v>5441</v>
      </c>
      <c r="C5444">
        <v>146.052459988999</v>
      </c>
      <c r="D5444">
        <v>-17.635441003299899</v>
      </c>
      <c r="G5444" s="92"/>
      <c r="I5444">
        <v>4</v>
      </c>
      <c r="J5444" t="s">
        <v>26</v>
      </c>
      <c r="K5444" s="57"/>
      <c r="S5444" s="57"/>
      <c r="X5444" s="57"/>
    </row>
    <row r="5445" spans="1:24" hidden="1" x14ac:dyDescent="0.35">
      <c r="A5445">
        <v>5441</v>
      </c>
      <c r="B5445">
        <v>5442</v>
      </c>
      <c r="C5445">
        <v>146.052480596999</v>
      </c>
      <c r="D5445">
        <v>-17.6355243299999</v>
      </c>
      <c r="F5445" t="str">
        <f>HYPERLINK("D:\Data From Lucan\2024\Moresby\Frames_for_Analysis/5442_20240611_0007_L_0006.jpg","5442_20240611_0007_L_0006.jpg")</f>
        <v>5442_20240611_0007_L_0006.jpg</v>
      </c>
      <c r="G5445" s="92" t="s">
        <v>5651</v>
      </c>
      <c r="I5445">
        <v>4</v>
      </c>
      <c r="K5445" s="57">
        <v>1</v>
      </c>
      <c r="P5445" s="57">
        <v>1</v>
      </c>
      <c r="S5445" s="57"/>
      <c r="X5445" s="57">
        <v>0</v>
      </c>
    </row>
    <row r="5446" spans="1:24" hidden="1" x14ac:dyDescent="0.35">
      <c r="A5446">
        <v>5442</v>
      </c>
      <c r="B5446">
        <v>5443</v>
      </c>
      <c r="C5446">
        <v>146.05250120400001</v>
      </c>
      <c r="D5446">
        <v>-17.6356076567</v>
      </c>
      <c r="F5446" t="str">
        <f>HYPERLINK("D:\Data From Lucan\2024\Moresby\Frames_for_Analysis/5443_20240611_0007_L_0011.jpg","5443_20240611_0007_L_0011.jpg")</f>
        <v>5443_20240611_0007_L_0011.jpg</v>
      </c>
      <c r="G5446" s="92" t="s">
        <v>5652</v>
      </c>
      <c r="I5446">
        <v>4</v>
      </c>
      <c r="K5446" s="57">
        <v>1</v>
      </c>
      <c r="P5446" s="57">
        <v>1</v>
      </c>
      <c r="S5446" s="57"/>
      <c r="X5446" s="57">
        <v>0</v>
      </c>
    </row>
    <row r="5447" spans="1:24" hidden="1" x14ac:dyDescent="0.35">
      <c r="A5447">
        <v>5443</v>
      </c>
      <c r="B5447">
        <v>5444</v>
      </c>
      <c r="C5447">
        <v>146.052521810999</v>
      </c>
      <c r="D5447">
        <v>-17.6356909834</v>
      </c>
      <c r="F5447" t="str">
        <f>HYPERLINK("D:\Data From Lucan\2024\Moresby\Frames_for_Analysis/5444_20240611_0007_L_0019.jpg","5444_20240611_0007_L_0019.jpg")</f>
        <v>5444_20240611_0007_L_0019.jpg</v>
      </c>
      <c r="G5447" s="92" t="s">
        <v>5653</v>
      </c>
      <c r="I5447">
        <v>4</v>
      </c>
      <c r="K5447" s="57">
        <v>1</v>
      </c>
      <c r="P5447" s="57">
        <v>1</v>
      </c>
      <c r="S5447" s="57"/>
      <c r="X5447" s="57">
        <v>0</v>
      </c>
    </row>
    <row r="5448" spans="1:24" hidden="1" x14ac:dyDescent="0.35">
      <c r="A5448">
        <v>5444</v>
      </c>
      <c r="B5448">
        <v>5445</v>
      </c>
      <c r="C5448">
        <v>146.052546237</v>
      </c>
      <c r="D5448">
        <v>-17.635773116900001</v>
      </c>
      <c r="F5448" t="str">
        <f>HYPERLINK("D:\Data From Lucan\2024\Moresby\Frames_for_Analysis/5445_20240611_0007_L_0023.jpg","5445_20240611_0007_L_0023.jpg")</f>
        <v>5445_20240611_0007_L_0023.jpg</v>
      </c>
      <c r="G5448" s="92" t="s">
        <v>5654</v>
      </c>
      <c r="I5448">
        <v>4</v>
      </c>
      <c r="K5448" s="57">
        <v>1</v>
      </c>
      <c r="P5448" s="57">
        <v>1</v>
      </c>
      <c r="S5448" s="57"/>
      <c r="X5448" s="57">
        <v>0</v>
      </c>
    </row>
    <row r="5449" spans="1:24" hidden="1" x14ac:dyDescent="0.35">
      <c r="A5449">
        <v>5445</v>
      </c>
      <c r="B5449">
        <v>5446</v>
      </c>
      <c r="C5449">
        <v>146.05258140199899</v>
      </c>
      <c r="D5449">
        <v>-17.635851894200002</v>
      </c>
      <c r="F5449" t="str">
        <f>HYPERLINK("D:\Data From Lucan\2024\Moresby\Frames_for_Analysis/5446_20240611_0007_L_0027.jpg","5446_20240611_0007_L_0027.jpg")</f>
        <v>5446_20240611_0007_L_0027.jpg</v>
      </c>
      <c r="G5449" s="92" t="s">
        <v>5655</v>
      </c>
      <c r="I5449">
        <v>4</v>
      </c>
      <c r="K5449" s="57">
        <v>1</v>
      </c>
      <c r="P5449" s="57">
        <v>1</v>
      </c>
      <c r="S5449" s="57"/>
      <c r="X5449" s="57">
        <v>0</v>
      </c>
    </row>
    <row r="5450" spans="1:24" hidden="1" x14ac:dyDescent="0.35">
      <c r="A5450">
        <v>5446</v>
      </c>
      <c r="B5450">
        <v>5447</v>
      </c>
      <c r="C5450">
        <v>146.052616567999</v>
      </c>
      <c r="D5450">
        <v>-17.635930671600001</v>
      </c>
      <c r="F5450" t="str">
        <f>HYPERLINK("D:\Data From Lucan\2024\Moresby\Frames_for_Analysis/5447_20240611_0007_L_0031.jpg","5447_20240611_0007_L_0031.jpg")</f>
        <v>5447_20240611_0007_L_0031.jpg</v>
      </c>
      <c r="G5450" s="92" t="s">
        <v>5656</v>
      </c>
      <c r="I5450">
        <v>4</v>
      </c>
      <c r="K5450" s="57">
        <v>1</v>
      </c>
      <c r="P5450" s="57">
        <v>1</v>
      </c>
      <c r="S5450" s="57"/>
      <c r="X5450" s="57">
        <v>0</v>
      </c>
    </row>
    <row r="5451" spans="1:24" hidden="1" x14ac:dyDescent="0.35">
      <c r="A5451">
        <v>5447</v>
      </c>
      <c r="B5451">
        <v>5448</v>
      </c>
      <c r="C5451">
        <v>146.052651733999</v>
      </c>
      <c r="D5451">
        <v>-17.636009448900001</v>
      </c>
      <c r="F5451" t="str">
        <f>HYPERLINK("D:\Data From Lucan\2024\Moresby\Frames_for_Analysis/5448_20240611_0007_L_0035.jpg","5448_20240611_0007_L_0035.jpg")</f>
        <v>5448_20240611_0007_L_0035.jpg</v>
      </c>
      <c r="G5451" s="92" t="s">
        <v>5657</v>
      </c>
      <c r="I5451">
        <v>4</v>
      </c>
      <c r="K5451" s="57">
        <v>1</v>
      </c>
      <c r="P5451" s="57">
        <v>1</v>
      </c>
      <c r="S5451" s="57"/>
      <c r="X5451" s="57">
        <v>0</v>
      </c>
    </row>
    <row r="5452" spans="1:24" hidden="1" x14ac:dyDescent="0.35">
      <c r="A5452">
        <v>5448</v>
      </c>
      <c r="B5452">
        <v>5449</v>
      </c>
      <c r="C5452">
        <v>146.052690842</v>
      </c>
      <c r="D5452">
        <v>-17.636086462600002</v>
      </c>
      <c r="F5452" t="str">
        <f>HYPERLINK("D:\Data From Lucan\2024\Moresby\Frames_for_Analysis/5449_20240611_0007_L_0038.jpg","5449_20240611_0007_L_0038.jpg")</f>
        <v>5449_20240611_0007_L_0038.jpg</v>
      </c>
      <c r="G5452" s="92" t="s">
        <v>5658</v>
      </c>
      <c r="I5452">
        <v>4</v>
      </c>
      <c r="K5452" s="57">
        <v>1</v>
      </c>
      <c r="P5452" s="57">
        <v>1</v>
      </c>
      <c r="S5452" s="57"/>
      <c r="X5452" s="57">
        <v>0</v>
      </c>
    </row>
    <row r="5453" spans="1:24" hidden="1" x14ac:dyDescent="0.35">
      <c r="A5453">
        <v>5449</v>
      </c>
      <c r="B5453">
        <v>5450</v>
      </c>
      <c r="C5453">
        <v>146.052731975</v>
      </c>
      <c r="D5453">
        <v>-17.6361625698</v>
      </c>
      <c r="F5453" t="str">
        <f>HYPERLINK("D:\Data From Lucan\2024\Moresby\Frames_for_Analysis/5450_20240611_0007_L_0041.jpg","5450_20240611_0007_L_0041.jpg")</f>
        <v>5450_20240611_0007_L_0041.jpg</v>
      </c>
      <c r="G5453" s="92" t="s">
        <v>5659</v>
      </c>
      <c r="I5453">
        <v>4</v>
      </c>
      <c r="K5453" s="57">
        <v>1</v>
      </c>
      <c r="P5453" s="57">
        <v>1</v>
      </c>
      <c r="S5453" s="57"/>
      <c r="X5453" s="57">
        <v>0</v>
      </c>
    </row>
    <row r="5454" spans="1:24" hidden="1" x14ac:dyDescent="0.35">
      <c r="A5454">
        <v>5450</v>
      </c>
      <c r="B5454">
        <v>5451</v>
      </c>
      <c r="C5454">
        <v>146.05277310899899</v>
      </c>
      <c r="D5454">
        <v>-17.6362386771</v>
      </c>
      <c r="F5454" t="str">
        <f>HYPERLINK("D:\Data From Lucan\2024\Moresby\Frames_for_Analysis/5451_20240611_0007_L_0044.jpg","5451_20240611_0007_L_0044.jpg")</f>
        <v>5451_20240611_0007_L_0044.jpg</v>
      </c>
      <c r="G5454" s="92" t="s">
        <v>5660</v>
      </c>
      <c r="I5454">
        <v>4</v>
      </c>
      <c r="K5454" s="57">
        <v>1</v>
      </c>
      <c r="P5454" s="57">
        <v>1</v>
      </c>
      <c r="S5454" s="57"/>
      <c r="X5454" s="57">
        <v>0</v>
      </c>
    </row>
    <row r="5455" spans="1:24" hidden="1" x14ac:dyDescent="0.35">
      <c r="A5455">
        <v>5451</v>
      </c>
      <c r="B5455">
        <v>5452</v>
      </c>
      <c r="C5455">
        <v>146.05281424200001</v>
      </c>
      <c r="D5455">
        <v>-17.636314784300001</v>
      </c>
      <c r="F5455" t="str">
        <f>HYPERLINK("D:\Data From Lucan\2024\Moresby\Frames_for_Analysis/5452_20240611_0007_L_0048.jpg","5452_20240611_0007_L_0048.jpg")</f>
        <v>5452_20240611_0007_L_0048.jpg</v>
      </c>
      <c r="G5455" s="92" t="s">
        <v>5661</v>
      </c>
      <c r="I5455">
        <v>4</v>
      </c>
      <c r="K5455" s="57">
        <v>1</v>
      </c>
      <c r="P5455" s="57">
        <v>1</v>
      </c>
      <c r="S5455" s="57"/>
      <c r="X5455" s="57">
        <v>0</v>
      </c>
    </row>
    <row r="5456" spans="1:24" hidden="1" x14ac:dyDescent="0.35">
      <c r="A5456">
        <v>5452</v>
      </c>
      <c r="B5456">
        <v>5453</v>
      </c>
      <c r="C5456">
        <v>146.05285835800001</v>
      </c>
      <c r="D5456">
        <v>-17.6363892339999</v>
      </c>
      <c r="F5456" t="str">
        <f>HYPERLINK("D:\Data From Lucan\2024\Moresby\Frames_for_Analysis/5453_20240611_0007_L_0051.jpg","5453_20240611_0007_L_0051.jpg")</f>
        <v>5453_20240611_0007_L_0051.jpg</v>
      </c>
      <c r="G5456" s="92" t="s">
        <v>5662</v>
      </c>
      <c r="I5456">
        <v>4</v>
      </c>
      <c r="K5456" s="57">
        <v>1</v>
      </c>
      <c r="P5456" s="57">
        <v>1</v>
      </c>
      <c r="S5456" s="57"/>
      <c r="X5456" s="57">
        <v>0</v>
      </c>
    </row>
    <row r="5457" spans="1:24" hidden="1" x14ac:dyDescent="0.35">
      <c r="A5457">
        <v>5453</v>
      </c>
      <c r="B5457">
        <v>5454</v>
      </c>
      <c r="C5457">
        <v>146.052907602999</v>
      </c>
      <c r="D5457">
        <v>-17.636460833800001</v>
      </c>
      <c r="F5457" t="str">
        <f>HYPERLINK("D:\Data From Lucan\2024\Moresby\Frames_for_Analysis/5454_20240611_0007_L_0054.jpg","5454_20240611_0007_L_0054.jpg")</f>
        <v>5454_20240611_0007_L_0054.jpg</v>
      </c>
      <c r="G5457" s="92" t="s">
        <v>5663</v>
      </c>
      <c r="I5457">
        <v>4</v>
      </c>
      <c r="K5457" s="57">
        <v>1</v>
      </c>
      <c r="P5457" s="57">
        <v>1</v>
      </c>
      <c r="S5457" s="57"/>
      <c r="X5457" s="57">
        <v>0</v>
      </c>
    </row>
    <row r="5458" spans="1:24" hidden="1" x14ac:dyDescent="0.35">
      <c r="A5458">
        <v>5454</v>
      </c>
      <c r="B5458">
        <v>5455</v>
      </c>
      <c r="C5458">
        <v>146.052956846999</v>
      </c>
      <c r="D5458">
        <v>-17.6365324335999</v>
      </c>
      <c r="F5458" t="str">
        <f>HYPERLINK("D:\Data From Lucan\2024\Moresby\Frames_for_Analysis/5455_20240611_0007_L_0057.jpg","5455_20240611_0007_L_0057.jpg")</f>
        <v>5455_20240611_0007_L_0057.jpg</v>
      </c>
      <c r="G5458" s="92" t="s">
        <v>5664</v>
      </c>
      <c r="I5458">
        <v>4</v>
      </c>
      <c r="K5458" s="57">
        <v>1</v>
      </c>
      <c r="P5458" s="57">
        <v>1</v>
      </c>
      <c r="S5458" s="57"/>
      <c r="X5458" s="57">
        <v>0</v>
      </c>
    </row>
    <row r="5459" spans="1:24" hidden="1" x14ac:dyDescent="0.35">
      <c r="A5459">
        <v>5455</v>
      </c>
      <c r="B5459">
        <v>5456</v>
      </c>
      <c r="C5459">
        <v>146.053006092</v>
      </c>
      <c r="D5459">
        <v>-17.6366040332999</v>
      </c>
      <c r="F5459" t="str">
        <f>HYPERLINK("D:\Data From Lucan\2024\Moresby\Frames_for_Analysis/5456_20240611_0007_L_0061.jpg","5456_20240611_0007_L_0061.jpg")</f>
        <v>5456_20240611_0007_L_0061.jpg</v>
      </c>
      <c r="G5459" s="92" t="s">
        <v>5665</v>
      </c>
      <c r="I5459">
        <v>4</v>
      </c>
      <c r="K5459" s="57">
        <v>1</v>
      </c>
      <c r="P5459" s="57">
        <v>1</v>
      </c>
      <c r="S5459" s="57"/>
      <c r="X5459" s="57">
        <v>0</v>
      </c>
    </row>
    <row r="5460" spans="1:24" hidden="1" x14ac:dyDescent="0.35">
      <c r="A5460">
        <v>5456</v>
      </c>
      <c r="B5460">
        <v>5457</v>
      </c>
      <c r="C5460">
        <v>146.053055336</v>
      </c>
      <c r="D5460">
        <v>-17.6366756329999</v>
      </c>
      <c r="F5460" t="str">
        <f>HYPERLINK("D:\Data From Lucan\2024\Moresby\Frames_for_Analysis/5457_20240611_0007_L_0064.jpg","5457_20240611_0007_L_0064.jpg")</f>
        <v>5457_20240611_0007_L_0064.jpg</v>
      </c>
      <c r="G5460" s="92" t="s">
        <v>5666</v>
      </c>
      <c r="I5460">
        <v>4</v>
      </c>
      <c r="K5460" s="57">
        <v>1</v>
      </c>
      <c r="P5460" s="57">
        <v>1</v>
      </c>
      <c r="S5460" s="57"/>
      <c r="X5460" s="57">
        <v>0</v>
      </c>
    </row>
    <row r="5461" spans="1:24" hidden="1" x14ac:dyDescent="0.35">
      <c r="A5461">
        <v>5457</v>
      </c>
      <c r="B5461">
        <v>5458</v>
      </c>
      <c r="C5461">
        <v>146.05310458100001</v>
      </c>
      <c r="D5461">
        <v>-17.6367472326999</v>
      </c>
      <c r="F5461" t="str">
        <f>HYPERLINK("D:\Data From Lucan\2024\Moresby\Frames_for_Analysis/5458_20240611_0007_L_0067.jpg","5458_20240611_0007_L_0067.jpg")</f>
        <v>5458_20240611_0007_L_0067.jpg</v>
      </c>
      <c r="G5461" s="92" t="s">
        <v>5667</v>
      </c>
      <c r="I5461">
        <v>4</v>
      </c>
      <c r="K5461" s="57">
        <v>1</v>
      </c>
      <c r="P5461" s="57">
        <v>1</v>
      </c>
      <c r="S5461" s="57"/>
      <c r="X5461" s="57">
        <v>0</v>
      </c>
    </row>
    <row r="5462" spans="1:24" hidden="1" x14ac:dyDescent="0.35">
      <c r="A5462">
        <v>5458</v>
      </c>
      <c r="B5462">
        <v>5459</v>
      </c>
      <c r="C5462">
        <v>146.05315449099899</v>
      </c>
      <c r="D5462">
        <v>-17.636818362100001</v>
      </c>
      <c r="F5462" t="str">
        <f>HYPERLINK("D:\Data From Lucan\2024\Moresby\Frames_for_Analysis/5459_20240611_0007_L_0071.jpg","5459_20240611_0007_L_0071.jpg")</f>
        <v>5459_20240611_0007_L_0071.jpg</v>
      </c>
      <c r="G5462" s="92" t="s">
        <v>5668</v>
      </c>
      <c r="I5462">
        <v>4</v>
      </c>
      <c r="K5462" s="57">
        <v>1</v>
      </c>
      <c r="P5462" s="57">
        <v>1</v>
      </c>
      <c r="S5462" s="57"/>
      <c r="X5462" s="57">
        <v>0</v>
      </c>
    </row>
    <row r="5463" spans="1:24" hidden="1" x14ac:dyDescent="0.35">
      <c r="A5463">
        <v>5459</v>
      </c>
      <c r="B5463">
        <v>5460</v>
      </c>
      <c r="C5463">
        <v>146.05321208199899</v>
      </c>
      <c r="D5463">
        <v>-17.636884063099899</v>
      </c>
      <c r="F5463" t="str">
        <f>HYPERLINK("D:\Data From Lucan\2024\Moresby\Frames_for_Analysis/5460_20240611_0007_L_0074.jpg","5460_20240611_0007_L_0074.jpg")</f>
        <v>5460_20240611_0007_L_0074.jpg</v>
      </c>
      <c r="G5463" s="92" t="s">
        <v>5669</v>
      </c>
      <c r="I5463">
        <v>4</v>
      </c>
      <c r="K5463" s="57">
        <v>1</v>
      </c>
      <c r="P5463" s="57">
        <v>1</v>
      </c>
      <c r="S5463" s="57"/>
      <c r="X5463" s="57">
        <v>0</v>
      </c>
    </row>
    <row r="5464" spans="1:24" hidden="1" x14ac:dyDescent="0.35">
      <c r="A5464">
        <v>5460</v>
      </c>
      <c r="B5464">
        <v>5461</v>
      </c>
      <c r="C5464">
        <v>146.05326967400001</v>
      </c>
      <c r="D5464">
        <v>-17.636949764200001</v>
      </c>
      <c r="F5464" t="str">
        <f>HYPERLINK("D:\Data From Lucan\2024\Moresby\Frames_for_Analysis/5461_20240611_0007_L_0077.jpg","5461_20240611_0007_L_0077.jpg")</f>
        <v>5461_20240611_0007_L_0077.jpg</v>
      </c>
      <c r="G5464" s="92" t="s">
        <v>5670</v>
      </c>
      <c r="I5464">
        <v>4</v>
      </c>
      <c r="K5464" s="57">
        <v>1</v>
      </c>
      <c r="P5464" s="57">
        <v>1</v>
      </c>
      <c r="S5464" s="57"/>
      <c r="X5464" s="57">
        <v>0</v>
      </c>
    </row>
    <row r="5465" spans="1:24" hidden="1" x14ac:dyDescent="0.35">
      <c r="A5465">
        <v>5461</v>
      </c>
      <c r="B5465">
        <v>5462</v>
      </c>
      <c r="C5465">
        <v>146.05332726500001</v>
      </c>
      <c r="D5465">
        <v>-17.637015465200001</v>
      </c>
      <c r="F5465" t="str">
        <f>HYPERLINK("D:\Data From Lucan\2024\Moresby\Frames_for_Analysis/5462_20240611_0007_L_0080.jpg","5462_20240611_0007_L_0080.jpg")</f>
        <v>5462_20240611_0007_L_0080.jpg</v>
      </c>
      <c r="G5465" s="92" t="s">
        <v>5671</v>
      </c>
      <c r="I5465">
        <v>4</v>
      </c>
      <c r="K5465" s="57">
        <v>1</v>
      </c>
      <c r="P5465" s="57">
        <v>1</v>
      </c>
      <c r="S5465" s="57"/>
      <c r="X5465" s="57">
        <v>0</v>
      </c>
    </row>
    <row r="5466" spans="1:24" hidden="1" x14ac:dyDescent="0.35">
      <c r="A5466">
        <v>5462</v>
      </c>
      <c r="B5466">
        <v>5463</v>
      </c>
      <c r="C5466">
        <v>146.05338485600001</v>
      </c>
      <c r="D5466">
        <v>-17.6370811661</v>
      </c>
      <c r="F5466" t="str">
        <f>HYPERLINK("D:\Data From Lucan\2024\Moresby\Frames_for_Analysis/5463_20240611_0007_L_0083.jpg","5463_20240611_0007_L_0083.jpg")</f>
        <v>5463_20240611_0007_L_0083.jpg</v>
      </c>
      <c r="G5466" s="92" t="s">
        <v>5672</v>
      </c>
      <c r="I5466">
        <v>4</v>
      </c>
      <c r="K5466" s="57">
        <v>1</v>
      </c>
      <c r="P5466" s="57">
        <v>1</v>
      </c>
      <c r="S5466" s="57"/>
      <c r="X5466" s="57">
        <v>0</v>
      </c>
    </row>
    <row r="5467" spans="1:24" hidden="1" x14ac:dyDescent="0.35">
      <c r="A5467">
        <v>5463</v>
      </c>
      <c r="B5467">
        <v>5464</v>
      </c>
      <c r="C5467">
        <v>146.05345979800001</v>
      </c>
      <c r="D5467">
        <v>-17.637125797100001</v>
      </c>
      <c r="F5467" t="str">
        <f>HYPERLINK("D:\Data From Lucan\2024\Moresby\Frames_for_Analysis/5464_20240611_0007_L_0085.jpg","5464_20240611_0007_L_0085.jpg")</f>
        <v>5464_20240611_0007_L_0085.jpg</v>
      </c>
      <c r="G5467" s="92" t="s">
        <v>5673</v>
      </c>
      <c r="I5467">
        <v>4</v>
      </c>
      <c r="K5467" s="57">
        <v>1</v>
      </c>
      <c r="P5467" s="57">
        <v>1</v>
      </c>
      <c r="S5467" s="57"/>
      <c r="X5467" s="57">
        <v>0</v>
      </c>
    </row>
    <row r="5468" spans="1:24" hidden="1" x14ac:dyDescent="0.35">
      <c r="A5468">
        <v>5464</v>
      </c>
      <c r="B5468">
        <v>5465</v>
      </c>
      <c r="C5468">
        <v>146.05354045600001</v>
      </c>
      <c r="D5468">
        <v>-17.6371634857</v>
      </c>
      <c r="F5468" t="str">
        <f>HYPERLINK("D:\Data From Lucan\2024\Moresby\Frames_for_Analysis/5465_20240611_0007_L_0090.jpg","5465_20240611_0007_L_0090.jpg")</f>
        <v>5465_20240611_0007_L_0090.jpg</v>
      </c>
      <c r="G5468" s="92" t="s">
        <v>5674</v>
      </c>
      <c r="I5468">
        <v>4</v>
      </c>
      <c r="K5468" s="57">
        <v>1</v>
      </c>
      <c r="P5468" s="57">
        <v>1</v>
      </c>
      <c r="S5468" s="57"/>
      <c r="X5468" s="57">
        <v>0</v>
      </c>
    </row>
    <row r="5469" spans="1:24" hidden="1" x14ac:dyDescent="0.35">
      <c r="A5469">
        <v>5465</v>
      </c>
      <c r="B5469">
        <v>5466</v>
      </c>
      <c r="C5469">
        <v>146.05362166699899</v>
      </c>
      <c r="D5469">
        <v>-17.6372000265</v>
      </c>
      <c r="F5469" t="str">
        <f>HYPERLINK("D:\Data From Lucan\2024\Moresby\Frames_for_Analysis/5466_20240611_0007_L_0095.jpg","5466_20240611_0007_L_0095.jpg")</f>
        <v>5466_20240611_0007_L_0095.jpg</v>
      </c>
      <c r="G5469" s="92" t="s">
        <v>5675</v>
      </c>
      <c r="I5469">
        <v>4</v>
      </c>
      <c r="K5469" s="57">
        <v>1</v>
      </c>
      <c r="P5469" s="57">
        <v>1</v>
      </c>
      <c r="S5469" s="57"/>
      <c r="X5469" s="57">
        <v>0</v>
      </c>
    </row>
    <row r="5470" spans="1:24" hidden="1" x14ac:dyDescent="0.35">
      <c r="A5470">
        <v>5466</v>
      </c>
      <c r="B5470">
        <v>5467</v>
      </c>
      <c r="C5470">
        <v>146.05371134800001</v>
      </c>
      <c r="D5470">
        <v>-17.637204983699899</v>
      </c>
      <c r="F5470" t="str">
        <f>HYPERLINK("D:\Data From Lucan\2024\Moresby\Frames_for_Analysis/5467_20240611_0007_L_0098.jpg","5467_20240611_0007_L_0098.jpg")</f>
        <v>5467_20240611_0007_L_0098.jpg</v>
      </c>
      <c r="G5470" s="92" t="s">
        <v>5676</v>
      </c>
      <c r="I5470">
        <v>4</v>
      </c>
      <c r="K5470" s="57">
        <v>1</v>
      </c>
      <c r="P5470" s="57">
        <v>1</v>
      </c>
      <c r="S5470" s="57"/>
      <c r="X5470" s="57">
        <v>0</v>
      </c>
    </row>
    <row r="5471" spans="1:24" hidden="1" x14ac:dyDescent="0.35">
      <c r="A5471">
        <v>5467</v>
      </c>
      <c r="B5471">
        <v>5468</v>
      </c>
      <c r="C5471">
        <v>146.053801028999</v>
      </c>
      <c r="D5471">
        <v>-17.637209940799899</v>
      </c>
      <c r="F5471" t="str">
        <f>HYPERLINK("D:\Data From Lucan\2024\Moresby\Frames_for_Analysis/5468_20240611_0007_L_0101.jpg","5468_20240611_0007_L_0101.jpg")</f>
        <v>5468_20240611_0007_L_0101.jpg</v>
      </c>
      <c r="G5471" s="92" t="s">
        <v>5677</v>
      </c>
      <c r="I5471">
        <v>4</v>
      </c>
      <c r="K5471" s="57">
        <v>1</v>
      </c>
      <c r="P5471" s="57">
        <v>1</v>
      </c>
      <c r="S5471" s="57"/>
      <c r="X5471" s="57">
        <v>0</v>
      </c>
    </row>
    <row r="5472" spans="1:24" hidden="1" x14ac:dyDescent="0.35">
      <c r="A5472">
        <v>5468</v>
      </c>
      <c r="B5472">
        <v>5469</v>
      </c>
      <c r="C5472">
        <v>146.05388657</v>
      </c>
      <c r="D5472">
        <v>-17.637191032600001</v>
      </c>
      <c r="F5472" t="str">
        <f>HYPERLINK("D:\Data From Lucan\2024\Moresby\Frames_for_Analysis/5469_20240611_0007_L_0104.jpg","5469_20240611_0007_L_0104.jpg")</f>
        <v>5469_20240611_0007_L_0104.jpg</v>
      </c>
      <c r="G5472" s="92" t="s">
        <v>5678</v>
      </c>
      <c r="I5472">
        <v>4</v>
      </c>
      <c r="K5472" s="57">
        <v>1</v>
      </c>
      <c r="P5472" s="57">
        <v>1</v>
      </c>
      <c r="S5472" s="57"/>
      <c r="X5472" s="57">
        <v>0</v>
      </c>
    </row>
    <row r="5473" spans="1:24" hidden="1" x14ac:dyDescent="0.35">
      <c r="A5473">
        <v>5469</v>
      </c>
      <c r="B5473">
        <v>5470</v>
      </c>
      <c r="C5473">
        <v>146.05396980500001</v>
      </c>
      <c r="D5473">
        <v>-17.637158834400001</v>
      </c>
      <c r="F5473" t="str">
        <f>HYPERLINK("D:\Data From Lucan\2024\Moresby\Frames_for_Analysis/5470_20240611_0007_L_0107.jpg","5470_20240611_0007_L_0107.jpg")</f>
        <v>5470_20240611_0007_L_0107.jpg</v>
      </c>
      <c r="G5473" s="92" t="s">
        <v>5679</v>
      </c>
      <c r="I5473">
        <v>4</v>
      </c>
      <c r="K5473" s="57">
        <v>1</v>
      </c>
      <c r="P5473" s="57">
        <v>1</v>
      </c>
      <c r="S5473" s="57"/>
      <c r="X5473" s="57">
        <v>0</v>
      </c>
    </row>
    <row r="5474" spans="1:24" hidden="1" x14ac:dyDescent="0.35">
      <c r="A5474">
        <v>5470</v>
      </c>
      <c r="B5474">
        <v>5471</v>
      </c>
      <c r="C5474">
        <v>146.054056083999</v>
      </c>
      <c r="D5474">
        <v>-17.637135355600002</v>
      </c>
      <c r="F5474" t="str">
        <f>HYPERLINK("D:\Data From Lucan\2024\Moresby\Frames_for_Analysis/5471_20240611_0007_L_0110.jpg","5471_20240611_0007_L_0110.jpg")</f>
        <v>5471_20240611_0007_L_0110.jpg</v>
      </c>
      <c r="G5474" s="92" t="s">
        <v>5680</v>
      </c>
      <c r="I5474">
        <v>4</v>
      </c>
      <c r="K5474" s="57">
        <v>1</v>
      </c>
      <c r="P5474" s="57">
        <v>1</v>
      </c>
      <c r="S5474" s="57"/>
      <c r="X5474" s="57">
        <v>0</v>
      </c>
    </row>
    <row r="5475" spans="1:24" hidden="1" x14ac:dyDescent="0.35">
      <c r="A5475">
        <v>5471</v>
      </c>
      <c r="B5475">
        <v>5472</v>
      </c>
      <c r="C5475">
        <v>146.05414297600001</v>
      </c>
      <c r="D5475">
        <v>-17.6371136343</v>
      </c>
      <c r="F5475" t="str">
        <f>HYPERLINK("D:\Data From Lucan\2024\Moresby\Frames_for_Analysis/5472_20240611_0007_L_0112.jpg","5472_20240611_0007_L_0112.jpg")</f>
        <v>5472_20240611_0007_L_0112.jpg</v>
      </c>
      <c r="G5475" s="92" t="s">
        <v>5681</v>
      </c>
      <c r="I5475">
        <v>4</v>
      </c>
      <c r="K5475" s="57">
        <v>1</v>
      </c>
      <c r="P5475" s="57">
        <v>1</v>
      </c>
      <c r="S5475" s="57"/>
      <c r="X5475" s="57">
        <v>0</v>
      </c>
    </row>
    <row r="5476" spans="1:24" hidden="1" x14ac:dyDescent="0.35">
      <c r="A5476">
        <v>5472</v>
      </c>
      <c r="B5476">
        <v>5473</v>
      </c>
      <c r="C5476">
        <v>146.054230189999</v>
      </c>
      <c r="D5476">
        <v>-17.637093537399899</v>
      </c>
      <c r="F5476" t="str">
        <f>HYPERLINK("D:\Data From Lucan\2024\Moresby\Frames_for_Analysis/5473_20240611_0007_L_0115.jpg","5473_20240611_0007_L_0115.jpg")</f>
        <v>5473_20240611_0007_L_0115.jpg</v>
      </c>
      <c r="G5476" s="92" t="s">
        <v>5682</v>
      </c>
      <c r="I5476">
        <v>4</v>
      </c>
      <c r="K5476" s="57">
        <v>1</v>
      </c>
      <c r="P5476" s="57">
        <v>1</v>
      </c>
      <c r="S5476" s="57"/>
      <c r="X5476" s="57">
        <v>0</v>
      </c>
    </row>
    <row r="5477" spans="1:24" hidden="1" x14ac:dyDescent="0.35">
      <c r="A5477">
        <v>5473</v>
      </c>
      <c r="B5477">
        <v>5474</v>
      </c>
      <c r="C5477">
        <v>146.054319405999</v>
      </c>
      <c r="D5477">
        <v>-17.6370835337</v>
      </c>
      <c r="F5477" t="str">
        <f>HYPERLINK("D:\Data From Lucan\2024\Moresby\Frames_for_Analysis/5474_20240611_0007_L_0118.jpg","5474_20240611_0007_L_0118.jpg")</f>
        <v>5474_20240611_0007_L_0118.jpg</v>
      </c>
      <c r="G5477" s="92" t="s">
        <v>5683</v>
      </c>
      <c r="I5477">
        <v>4</v>
      </c>
      <c r="K5477" s="57">
        <v>1</v>
      </c>
      <c r="P5477" s="57">
        <v>1</v>
      </c>
      <c r="S5477" s="57"/>
      <c r="X5477" s="57">
        <v>0</v>
      </c>
    </row>
    <row r="5478" spans="1:24" hidden="1" x14ac:dyDescent="0.35">
      <c r="A5478">
        <v>5474</v>
      </c>
      <c r="B5478">
        <v>5475</v>
      </c>
      <c r="C5478">
        <v>146.05440862200001</v>
      </c>
      <c r="D5478">
        <v>-17.6370735299</v>
      </c>
      <c r="F5478" t="str">
        <f>HYPERLINK("D:\Data From Lucan\2024\Moresby\Frames_for_Analysis/5475_20240611_0007_L_0121.jpg","5475_20240611_0007_L_0121.jpg")</f>
        <v>5475_20240611_0007_L_0121.jpg</v>
      </c>
      <c r="G5478" s="92" t="s">
        <v>5684</v>
      </c>
      <c r="I5478">
        <v>4</v>
      </c>
      <c r="K5478" s="57">
        <v>1</v>
      </c>
      <c r="P5478" s="57">
        <v>1</v>
      </c>
      <c r="S5478" s="57"/>
      <c r="X5478" s="57">
        <v>0</v>
      </c>
    </row>
    <row r="5479" spans="1:24" hidden="1" x14ac:dyDescent="0.35">
      <c r="A5479">
        <v>5475</v>
      </c>
      <c r="B5479">
        <v>5476</v>
      </c>
      <c r="C5479">
        <v>146.054497838</v>
      </c>
      <c r="D5479">
        <v>-17.6370635261</v>
      </c>
      <c r="F5479" t="str">
        <f>HYPERLINK("D:\Data From Lucan\2024\Moresby\Frames_for_Analysis/5476_20240611_0007_L_0124.jpg","5476_20240611_0007_L_0124.jpg")</f>
        <v>5476_20240611_0007_L_0124.jpg</v>
      </c>
      <c r="G5479" s="92" t="s">
        <v>5685</v>
      </c>
      <c r="I5479">
        <v>4</v>
      </c>
      <c r="K5479" s="57">
        <v>1</v>
      </c>
      <c r="P5479" s="57">
        <v>1</v>
      </c>
      <c r="S5479" s="57"/>
      <c r="X5479" s="57">
        <v>0</v>
      </c>
    </row>
    <row r="5480" spans="1:24" hidden="1" x14ac:dyDescent="0.35">
      <c r="A5480">
        <v>5476</v>
      </c>
      <c r="B5480">
        <v>5477</v>
      </c>
      <c r="C5480">
        <v>146.054587053999</v>
      </c>
      <c r="D5480">
        <v>-17.6370535223</v>
      </c>
      <c r="F5480" t="str">
        <f>HYPERLINK("D:\Data From Lucan\2024\Moresby\Frames_for_Analysis/5477_20240611_0007_L_0127.jpg","5477_20240611_0007_L_0127.jpg")</f>
        <v>5477_20240611_0007_L_0127.jpg</v>
      </c>
      <c r="G5480" s="92" t="s">
        <v>5686</v>
      </c>
      <c r="I5480">
        <v>4</v>
      </c>
      <c r="K5480" s="57">
        <v>1</v>
      </c>
      <c r="P5480" s="57">
        <v>1</v>
      </c>
      <c r="S5480" s="57"/>
      <c r="X5480" s="57">
        <v>0</v>
      </c>
    </row>
    <row r="5481" spans="1:24" hidden="1" x14ac:dyDescent="0.35">
      <c r="A5481">
        <v>5477</v>
      </c>
      <c r="B5481">
        <v>5478</v>
      </c>
      <c r="C5481">
        <v>146.05467489200001</v>
      </c>
      <c r="D5481">
        <v>-17.637036434500001</v>
      </c>
      <c r="F5481" t="str">
        <f>HYPERLINK("D:\Data From Lucan\2024\Moresby\Frames_for_Analysis/5478_20240611_0007_L_0130.jpg","5478_20240611_0007_L_0130.jpg")</f>
        <v>5478_20240611_0007_L_0130.jpg</v>
      </c>
      <c r="G5481" s="92" t="s">
        <v>5687</v>
      </c>
      <c r="I5481">
        <v>4</v>
      </c>
      <c r="K5481" s="57">
        <v>1</v>
      </c>
      <c r="P5481" s="57">
        <v>1</v>
      </c>
      <c r="S5481" s="57"/>
      <c r="X5481" s="57">
        <v>0</v>
      </c>
    </row>
    <row r="5482" spans="1:24" hidden="1" x14ac:dyDescent="0.35">
      <c r="A5482">
        <v>5478</v>
      </c>
      <c r="B5482">
        <v>5479</v>
      </c>
      <c r="C5482">
        <v>146.05476194100001</v>
      </c>
      <c r="D5482">
        <v>-17.6370152934999</v>
      </c>
      <c r="F5482" t="str">
        <f>HYPERLINK("D:\Data From Lucan\2024\Moresby\Frames_for_Analysis/5479_20240611_0007_L_0133.jpg","5479_20240611_0007_L_0133.jpg")</f>
        <v>5479_20240611_0007_L_0133.jpg</v>
      </c>
      <c r="G5482" s="92" t="s">
        <v>5688</v>
      </c>
      <c r="I5482">
        <v>4</v>
      </c>
      <c r="K5482" s="57">
        <v>1</v>
      </c>
      <c r="P5482" s="57">
        <v>1</v>
      </c>
      <c r="S5482" s="57"/>
      <c r="X5482" s="57">
        <v>0</v>
      </c>
    </row>
    <row r="5483" spans="1:24" hidden="1" x14ac:dyDescent="0.35">
      <c r="A5483">
        <v>5479</v>
      </c>
      <c r="B5483">
        <v>5480</v>
      </c>
      <c r="C5483">
        <v>146.054848991</v>
      </c>
      <c r="D5483">
        <v>-17.6369941524</v>
      </c>
      <c r="F5483" t="str">
        <f>HYPERLINK("D:\Data From Lucan\2024\Moresby\Frames_for_Analysis/5480_20240611_0007_L_0136.jpg","5480_20240611_0007_L_0136.jpg")</f>
        <v>5480_20240611_0007_L_0136.jpg</v>
      </c>
      <c r="G5483" s="92" t="s">
        <v>5689</v>
      </c>
      <c r="I5483">
        <v>4</v>
      </c>
      <c r="K5483" s="57">
        <v>1</v>
      </c>
      <c r="P5483" s="57">
        <v>1</v>
      </c>
      <c r="S5483" s="57"/>
      <c r="X5483" s="57">
        <v>0</v>
      </c>
    </row>
    <row r="5484" spans="1:24" hidden="1" x14ac:dyDescent="0.35">
      <c r="A5484">
        <v>5480</v>
      </c>
      <c r="B5484">
        <v>5481</v>
      </c>
      <c r="C5484">
        <v>146.05493604</v>
      </c>
      <c r="D5484">
        <v>-17.6369730113</v>
      </c>
      <c r="F5484" t="str">
        <f>HYPERLINK("D:\Data From Lucan\2024\Moresby\Frames_for_Analysis/5481_20240611_0007_L_0140.jpg","5481_20240611_0007_L_0140.jpg")</f>
        <v>5481_20240611_0007_L_0140.jpg</v>
      </c>
      <c r="G5484" s="92" t="s">
        <v>5690</v>
      </c>
      <c r="I5484">
        <v>4</v>
      </c>
      <c r="K5484" s="57">
        <v>1</v>
      </c>
      <c r="P5484" s="57">
        <v>1</v>
      </c>
      <c r="S5484" s="57"/>
      <c r="X5484" s="57">
        <v>0</v>
      </c>
    </row>
    <row r="5485" spans="1:24" hidden="1" x14ac:dyDescent="0.35">
      <c r="A5485">
        <v>5481</v>
      </c>
      <c r="B5485">
        <v>5482</v>
      </c>
      <c r="C5485">
        <v>146.055012156999</v>
      </c>
      <c r="D5485">
        <v>-17.6369281982</v>
      </c>
      <c r="F5485" t="str">
        <f>HYPERLINK("D:\Data From Lucan\2024\Moresby\Frames_for_Analysis/5482_20240611_0007_L_0143.jpg","5482_20240611_0007_L_0143.jpg")</f>
        <v>5482_20240611_0007_L_0143.jpg</v>
      </c>
      <c r="G5485" s="92" t="s">
        <v>5691</v>
      </c>
      <c r="I5485">
        <v>4</v>
      </c>
      <c r="K5485" s="57">
        <v>1</v>
      </c>
      <c r="P5485" s="57">
        <v>1</v>
      </c>
      <c r="S5485" s="57"/>
      <c r="X5485" s="57">
        <v>0</v>
      </c>
    </row>
    <row r="5486" spans="1:24" hidden="1" x14ac:dyDescent="0.35">
      <c r="A5486">
        <v>5482</v>
      </c>
      <c r="B5486">
        <v>5483</v>
      </c>
      <c r="C5486">
        <v>146.05508731200001</v>
      </c>
      <c r="D5486">
        <v>-17.6368813037999</v>
      </c>
      <c r="F5486" t="str">
        <f>HYPERLINK("D:\Data From Lucan\2024\Moresby\Frames_for_Analysis/5483_20240611_0007_L_0147.jpg","5483_20240611_0007_L_0147.jpg")</f>
        <v>5483_20240611_0007_L_0147.jpg</v>
      </c>
      <c r="G5486" s="92" t="s">
        <v>5692</v>
      </c>
      <c r="I5486">
        <v>4</v>
      </c>
      <c r="K5486" s="57">
        <v>1</v>
      </c>
      <c r="P5486" s="57">
        <v>1</v>
      </c>
      <c r="S5486" s="57"/>
      <c r="X5486" s="57">
        <v>0</v>
      </c>
    </row>
    <row r="5487" spans="1:24" hidden="1" x14ac:dyDescent="0.35">
      <c r="A5487">
        <v>5483</v>
      </c>
      <c r="B5487">
        <v>5484</v>
      </c>
      <c r="C5487">
        <v>146.055161814999</v>
      </c>
      <c r="D5487">
        <v>-17.6368335819</v>
      </c>
      <c r="F5487" t="str">
        <f>HYPERLINK("D:\Data From Lucan\2024\Moresby\Frames_for_Analysis/5484_20240611_0007_L_0151.jpg","5484_20240611_0007_L_0151.jpg")</f>
        <v>5484_20240611_0007_L_0151.jpg</v>
      </c>
      <c r="G5487" s="92" t="s">
        <v>5693</v>
      </c>
      <c r="I5487">
        <v>4</v>
      </c>
      <c r="K5487" s="57">
        <v>1</v>
      </c>
      <c r="P5487" s="57">
        <v>1</v>
      </c>
      <c r="S5487" s="57"/>
      <c r="X5487" s="57">
        <v>0</v>
      </c>
    </row>
    <row r="5488" spans="1:24" hidden="1" x14ac:dyDescent="0.35">
      <c r="A5488">
        <v>5484</v>
      </c>
      <c r="B5488">
        <v>5485</v>
      </c>
      <c r="C5488">
        <v>146.05522994699899</v>
      </c>
      <c r="D5488">
        <v>-17.6367777876</v>
      </c>
      <c r="F5488" t="str">
        <f>HYPERLINK("D:\Data From Lucan\2024\Moresby\Frames_for_Analysis/5485_20240611_0007_L_0153.jpg","5485_20240611_0007_L_0153.jpg")</f>
        <v>5485_20240611_0007_L_0153.jpg</v>
      </c>
      <c r="G5488" s="92" t="s">
        <v>5694</v>
      </c>
      <c r="I5488">
        <v>4</v>
      </c>
      <c r="K5488" s="57">
        <v>1</v>
      </c>
      <c r="P5488" s="57">
        <v>1</v>
      </c>
      <c r="S5488" s="57"/>
      <c r="X5488" s="57">
        <v>0</v>
      </c>
    </row>
    <row r="5489" spans="1:24" hidden="1" x14ac:dyDescent="0.35">
      <c r="A5489">
        <v>5485</v>
      </c>
      <c r="B5489">
        <v>5486</v>
      </c>
      <c r="C5489">
        <v>146.05529808</v>
      </c>
      <c r="D5489">
        <v>-17.636721993199899</v>
      </c>
      <c r="F5489" t="str">
        <f>HYPERLINK("D:\Data From Lucan\2024\Moresby\Frames_for_Analysis/5486_20240611_0007_L_0157.jpg","5486_20240611_0007_L_0157.jpg")</f>
        <v>5486_20240611_0007_L_0157.jpg</v>
      </c>
      <c r="G5489" s="92" t="s">
        <v>5695</v>
      </c>
      <c r="I5489">
        <v>4</v>
      </c>
      <c r="K5489" s="57">
        <v>1</v>
      </c>
      <c r="L5489" t="s">
        <v>3959</v>
      </c>
      <c r="M5489" t="s">
        <v>3959</v>
      </c>
      <c r="N5489" t="s">
        <v>3959</v>
      </c>
      <c r="O5489" t="s">
        <v>3959</v>
      </c>
      <c r="P5489" s="57">
        <v>1</v>
      </c>
      <c r="Q5489" s="57">
        <v>0</v>
      </c>
      <c r="R5489" s="57">
        <v>0</v>
      </c>
      <c r="S5489" s="57">
        <v>0</v>
      </c>
      <c r="T5489" s="57">
        <v>0</v>
      </c>
      <c r="U5489" s="57">
        <v>0</v>
      </c>
      <c r="V5489" s="57">
        <v>0</v>
      </c>
      <c r="W5489" s="57">
        <v>0</v>
      </c>
      <c r="X5489" s="57">
        <v>0</v>
      </c>
    </row>
    <row r="5490" spans="1:24" hidden="1" x14ac:dyDescent="0.35">
      <c r="A5490">
        <v>5486</v>
      </c>
      <c r="B5490">
        <v>5487</v>
      </c>
      <c r="C5490">
        <v>146.055366211999</v>
      </c>
      <c r="D5490">
        <v>-17.636666198899899</v>
      </c>
      <c r="F5490" t="str">
        <f>HYPERLINK("D:\Data From Lucan\2024\Moresby\Frames_for_Analysis/5487_20240611_0007_L_0159.jpg","5487_20240611_0007_L_0159.jpg")</f>
        <v>5487_20240611_0007_L_0159.jpg</v>
      </c>
      <c r="G5490" s="92" t="s">
        <v>5696</v>
      </c>
      <c r="I5490">
        <v>4</v>
      </c>
      <c r="K5490" s="57">
        <v>1</v>
      </c>
      <c r="L5490" t="s">
        <v>3959</v>
      </c>
      <c r="M5490" t="s">
        <v>3959</v>
      </c>
      <c r="N5490" t="s">
        <v>3959</v>
      </c>
      <c r="O5490" t="s">
        <v>3959</v>
      </c>
      <c r="P5490" s="57">
        <v>1</v>
      </c>
      <c r="Q5490" s="57">
        <v>0</v>
      </c>
      <c r="R5490" s="57">
        <v>0</v>
      </c>
      <c r="S5490" s="57">
        <v>0</v>
      </c>
      <c r="T5490" s="57">
        <v>0</v>
      </c>
      <c r="U5490" s="57">
        <v>0</v>
      </c>
      <c r="V5490" s="57">
        <v>0</v>
      </c>
      <c r="W5490" s="57">
        <v>0</v>
      </c>
      <c r="X5490" s="57">
        <v>0</v>
      </c>
    </row>
    <row r="5491" spans="1:24" hidden="1" x14ac:dyDescent="0.35">
      <c r="A5491">
        <v>5487</v>
      </c>
      <c r="B5491">
        <v>5488</v>
      </c>
      <c r="C5491">
        <v>146.05543434500001</v>
      </c>
      <c r="D5491">
        <v>-17.636610404500001</v>
      </c>
      <c r="F5491" t="str">
        <f>HYPERLINK("D:\Data From Lucan\2024\Moresby\Frames_for_Analysis/5488_20240611_0007_L_0162.jpg","5488_20240611_0007_L_0162.jpg")</f>
        <v>5488_20240611_0007_L_0162.jpg</v>
      </c>
      <c r="G5491" s="92" t="s">
        <v>5697</v>
      </c>
      <c r="I5491">
        <v>4</v>
      </c>
      <c r="K5491" s="57">
        <v>1</v>
      </c>
      <c r="L5491" t="s">
        <v>3959</v>
      </c>
      <c r="M5491" t="s">
        <v>3959</v>
      </c>
      <c r="N5491" t="s">
        <v>3959</v>
      </c>
      <c r="O5491" t="s">
        <v>3959</v>
      </c>
      <c r="P5491" s="57">
        <v>1</v>
      </c>
      <c r="Q5491" s="57">
        <v>0</v>
      </c>
      <c r="R5491" s="57">
        <v>0</v>
      </c>
      <c r="S5491" s="57">
        <v>0</v>
      </c>
      <c r="T5491" s="57">
        <v>0</v>
      </c>
      <c r="U5491" s="57">
        <v>0</v>
      </c>
      <c r="V5491" s="57">
        <v>0</v>
      </c>
      <c r="W5491" s="57">
        <v>0</v>
      </c>
      <c r="X5491" s="57">
        <v>0</v>
      </c>
    </row>
    <row r="5492" spans="1:24" hidden="1" x14ac:dyDescent="0.35">
      <c r="A5492">
        <v>5488</v>
      </c>
      <c r="B5492">
        <v>5489</v>
      </c>
      <c r="C5492">
        <v>146.05550264799899</v>
      </c>
      <c r="D5492">
        <v>-17.636554799900001</v>
      </c>
      <c r="F5492" t="str">
        <f>HYPERLINK("D:\Data From Lucan\2024\Moresby\Frames_for_Analysis/5489_20240611_0007_L_0165.jpg","5489_20240611_0007_L_0165.jpg")</f>
        <v>5489_20240611_0007_L_0165.jpg</v>
      </c>
      <c r="G5492" s="92" t="s">
        <v>5698</v>
      </c>
      <c r="I5492">
        <v>4</v>
      </c>
      <c r="K5492" s="57">
        <v>1</v>
      </c>
      <c r="L5492" t="s">
        <v>3959</v>
      </c>
      <c r="M5492" t="s">
        <v>3959</v>
      </c>
      <c r="N5492" t="s">
        <v>3959</v>
      </c>
      <c r="O5492" t="s">
        <v>3959</v>
      </c>
      <c r="P5492" s="57">
        <v>1</v>
      </c>
      <c r="Q5492" s="57">
        <v>0</v>
      </c>
      <c r="R5492" s="57">
        <v>0</v>
      </c>
      <c r="S5492" s="57">
        <v>0</v>
      </c>
      <c r="T5492" s="57">
        <v>0</v>
      </c>
      <c r="U5492" s="57">
        <v>0</v>
      </c>
      <c r="V5492" s="57">
        <v>0</v>
      </c>
      <c r="W5492" s="57">
        <v>0</v>
      </c>
      <c r="X5492" s="57">
        <v>0</v>
      </c>
    </row>
    <row r="5493" spans="1:24" hidden="1" x14ac:dyDescent="0.35">
      <c r="A5493">
        <v>5489</v>
      </c>
      <c r="B5493">
        <v>5490</v>
      </c>
      <c r="C5493">
        <v>146.055570969</v>
      </c>
      <c r="D5493">
        <v>-17.636499215200001</v>
      </c>
      <c r="F5493" t="str">
        <f>HYPERLINK("D:\Data From Lucan\2024\Moresby\Frames_for_Analysis/5490_20240611_0007_L_0168.jpg","5490_20240611_0007_L_0168.jpg")</f>
        <v>5490_20240611_0007_L_0168.jpg</v>
      </c>
      <c r="G5493" s="92" t="s">
        <v>5699</v>
      </c>
      <c r="I5493">
        <v>4</v>
      </c>
      <c r="K5493" s="57">
        <v>1</v>
      </c>
      <c r="L5493" t="s">
        <v>3959</v>
      </c>
      <c r="M5493" t="s">
        <v>3959</v>
      </c>
      <c r="N5493" t="s">
        <v>3959</v>
      </c>
      <c r="O5493" t="s">
        <v>3959</v>
      </c>
      <c r="P5493" s="57">
        <v>1</v>
      </c>
      <c r="Q5493" s="57">
        <v>0</v>
      </c>
      <c r="R5493" s="57">
        <v>0</v>
      </c>
      <c r="S5493" s="57">
        <v>0</v>
      </c>
      <c r="T5493" s="57">
        <v>0</v>
      </c>
      <c r="U5493" s="57">
        <v>0</v>
      </c>
      <c r="V5493" s="57">
        <v>0</v>
      </c>
      <c r="W5493" s="57">
        <v>0</v>
      </c>
      <c r="X5493" s="57">
        <v>0</v>
      </c>
    </row>
    <row r="5494" spans="1:24" hidden="1" x14ac:dyDescent="0.35">
      <c r="A5494">
        <v>5490</v>
      </c>
      <c r="B5494">
        <v>5491</v>
      </c>
      <c r="C5494">
        <v>146.05563928999899</v>
      </c>
      <c r="D5494">
        <v>-17.636443630599899</v>
      </c>
      <c r="F5494" t="str">
        <f>HYPERLINK("D:\Data From Lucan\2024\Moresby\Frames_for_Analysis/5491_20240611_0007_L_0171.jpg","5491_20240611_0007_L_0171.jpg")</f>
        <v>5491_20240611_0007_L_0171.jpg</v>
      </c>
      <c r="G5494" s="92" t="s">
        <v>5700</v>
      </c>
      <c r="I5494">
        <v>4</v>
      </c>
      <c r="K5494" s="57">
        <v>1</v>
      </c>
      <c r="L5494" t="s">
        <v>3959</v>
      </c>
      <c r="M5494" t="s">
        <v>3959</v>
      </c>
      <c r="N5494" t="s">
        <v>3959</v>
      </c>
      <c r="O5494" t="s">
        <v>3959</v>
      </c>
      <c r="P5494" s="57">
        <v>1</v>
      </c>
      <c r="Q5494" s="57">
        <v>0</v>
      </c>
      <c r="R5494" s="57">
        <v>0</v>
      </c>
      <c r="S5494" s="57">
        <v>0</v>
      </c>
      <c r="T5494" s="57">
        <v>0</v>
      </c>
      <c r="U5494" s="57">
        <v>0</v>
      </c>
      <c r="V5494" s="57">
        <v>0</v>
      </c>
      <c r="W5494" s="57">
        <v>0</v>
      </c>
      <c r="X5494" s="57">
        <v>0</v>
      </c>
    </row>
    <row r="5495" spans="1:24" hidden="1" x14ac:dyDescent="0.35">
      <c r="A5495">
        <v>5491</v>
      </c>
      <c r="B5495">
        <v>5492</v>
      </c>
      <c r="C5495">
        <v>146.055707611</v>
      </c>
      <c r="D5495">
        <v>-17.636388045899899</v>
      </c>
      <c r="F5495" t="str">
        <f>HYPERLINK("D:\Data From Lucan\2024\Moresby\Frames_for_Analysis/5492_20240611_0007_L_0173.jpg","5492_20240611_0007_L_0173.jpg")</f>
        <v>5492_20240611_0007_L_0173.jpg</v>
      </c>
      <c r="G5495" s="92" t="s">
        <v>5701</v>
      </c>
      <c r="I5495">
        <v>4</v>
      </c>
      <c r="K5495" s="57">
        <v>1</v>
      </c>
      <c r="L5495" t="s">
        <v>3959</v>
      </c>
      <c r="M5495" t="s">
        <v>3959</v>
      </c>
      <c r="N5495" t="s">
        <v>3959</v>
      </c>
      <c r="O5495" t="s">
        <v>3959</v>
      </c>
      <c r="P5495" s="57">
        <v>1</v>
      </c>
      <c r="Q5495" s="57">
        <v>0</v>
      </c>
      <c r="R5495" s="57">
        <v>0</v>
      </c>
      <c r="S5495" s="57">
        <v>0</v>
      </c>
      <c r="T5495" s="57">
        <v>0</v>
      </c>
      <c r="U5495" s="57">
        <v>0</v>
      </c>
      <c r="V5495" s="57">
        <v>0</v>
      </c>
      <c r="W5495" s="57">
        <v>0</v>
      </c>
      <c r="X5495" s="57">
        <v>0</v>
      </c>
    </row>
    <row r="5496" spans="1:24" hidden="1" x14ac:dyDescent="0.35">
      <c r="A5496">
        <v>5492</v>
      </c>
      <c r="B5496">
        <v>5493</v>
      </c>
      <c r="C5496">
        <v>146.055776452</v>
      </c>
      <c r="D5496">
        <v>-17.6363330585</v>
      </c>
      <c r="F5496" t="str">
        <f>HYPERLINK("D:\Data From Lucan\2024\Moresby\Frames_for_Analysis/5493_20240611_0007_L_0176.jpg","5493_20240611_0007_L_0176.jpg")</f>
        <v>5493_20240611_0007_L_0176.jpg</v>
      </c>
      <c r="G5496" s="92" t="s">
        <v>5702</v>
      </c>
      <c r="I5496">
        <v>4</v>
      </c>
      <c r="K5496" s="57">
        <v>1</v>
      </c>
      <c r="L5496" t="s">
        <v>3959</v>
      </c>
      <c r="M5496" t="s">
        <v>3959</v>
      </c>
      <c r="N5496" t="s">
        <v>3959</v>
      </c>
      <c r="O5496" t="s">
        <v>3959</v>
      </c>
      <c r="P5496" s="57">
        <v>1</v>
      </c>
      <c r="Q5496" s="57">
        <v>0</v>
      </c>
      <c r="R5496" s="57">
        <v>0</v>
      </c>
      <c r="S5496" s="57">
        <v>0</v>
      </c>
      <c r="T5496" s="57">
        <v>0</v>
      </c>
      <c r="U5496" s="57">
        <v>0</v>
      </c>
      <c r="V5496" s="57">
        <v>0</v>
      </c>
      <c r="W5496" s="57">
        <v>0</v>
      </c>
      <c r="X5496" s="57">
        <v>0</v>
      </c>
    </row>
    <row r="5497" spans="1:24" hidden="1" x14ac:dyDescent="0.35">
      <c r="A5497">
        <v>5493</v>
      </c>
      <c r="B5497">
        <v>5494</v>
      </c>
      <c r="C5497">
        <v>146.05584640500001</v>
      </c>
      <c r="D5497">
        <v>-17.636279348799899</v>
      </c>
      <c r="F5497" t="str">
        <f>HYPERLINK("D:\Data From Lucan\2024\Moresby\Frames_for_Analysis/5494_20240611_0007_L_0179.jpg","5494_20240611_0007_L_0179.jpg")</f>
        <v>5494_20240611_0007_L_0179.jpg</v>
      </c>
      <c r="G5497" s="92" t="s">
        <v>5703</v>
      </c>
      <c r="I5497">
        <v>4</v>
      </c>
      <c r="K5497" s="57">
        <v>1</v>
      </c>
      <c r="L5497" t="s">
        <v>3959</v>
      </c>
      <c r="M5497" t="s">
        <v>3959</v>
      </c>
      <c r="N5497" t="s">
        <v>3959</v>
      </c>
      <c r="O5497" t="s">
        <v>3959</v>
      </c>
      <c r="P5497" s="57">
        <v>1</v>
      </c>
      <c r="Q5497" s="57">
        <v>0</v>
      </c>
      <c r="R5497" s="57">
        <v>0</v>
      </c>
      <c r="S5497" s="57">
        <v>0</v>
      </c>
      <c r="T5497" s="57">
        <v>0</v>
      </c>
      <c r="U5497" s="57">
        <v>0</v>
      </c>
      <c r="V5497" s="57">
        <v>0</v>
      </c>
      <c r="W5497" s="57">
        <v>0</v>
      </c>
      <c r="X5497" s="57">
        <v>0</v>
      </c>
    </row>
    <row r="5498" spans="1:24" hidden="1" x14ac:dyDescent="0.35">
      <c r="A5498">
        <v>5494</v>
      </c>
      <c r="B5498">
        <v>5495</v>
      </c>
      <c r="C5498">
        <v>146.055916357999</v>
      </c>
      <c r="D5498">
        <v>-17.6362256389999</v>
      </c>
      <c r="F5498" t="str">
        <f>HYPERLINK("D:\Data From Lucan\2024\Moresby\Frames_for_Analysis/5495_20240611_0007_L_0182.jpg","5495_20240611_0007_L_0182.jpg")</f>
        <v>5495_20240611_0007_L_0182.jpg</v>
      </c>
      <c r="G5498" s="92" t="s">
        <v>5704</v>
      </c>
      <c r="I5498">
        <v>4</v>
      </c>
      <c r="K5498" s="57">
        <v>1</v>
      </c>
      <c r="L5498" t="s">
        <v>3959</v>
      </c>
      <c r="M5498" t="s">
        <v>3959</v>
      </c>
      <c r="N5498" t="s">
        <v>3959</v>
      </c>
      <c r="O5498" t="s">
        <v>3959</v>
      </c>
      <c r="P5498" s="57">
        <v>1</v>
      </c>
      <c r="Q5498" s="57">
        <v>0</v>
      </c>
      <c r="R5498" s="57">
        <v>0</v>
      </c>
      <c r="S5498" s="57">
        <v>0</v>
      </c>
      <c r="T5498" s="57">
        <v>0</v>
      </c>
      <c r="U5498" s="57">
        <v>0</v>
      </c>
      <c r="V5498" s="57">
        <v>0</v>
      </c>
      <c r="W5498" s="57">
        <v>0</v>
      </c>
      <c r="X5498" s="57">
        <v>0</v>
      </c>
    </row>
    <row r="5499" spans="1:24" hidden="1" x14ac:dyDescent="0.35">
      <c r="A5499">
        <v>5495</v>
      </c>
      <c r="B5499">
        <v>5496</v>
      </c>
      <c r="C5499">
        <v>146.055986310999</v>
      </c>
      <c r="D5499">
        <v>-17.6361719292</v>
      </c>
      <c r="F5499" t="str">
        <f>HYPERLINK("D:\Data From Lucan\2024\Moresby\Frames_for_Analysis/5496_20240611_0007_L_0185.jpg","5496_20240611_0007_L_0185.jpg")</f>
        <v>5496_20240611_0007_L_0185.jpg</v>
      </c>
      <c r="G5499" s="92" t="s">
        <v>5705</v>
      </c>
      <c r="I5499">
        <v>4</v>
      </c>
      <c r="K5499" s="57">
        <v>1</v>
      </c>
      <c r="L5499" t="s">
        <v>3959</v>
      </c>
      <c r="M5499" t="s">
        <v>3959</v>
      </c>
      <c r="N5499" t="s">
        <v>3959</v>
      </c>
      <c r="O5499" t="s">
        <v>3959</v>
      </c>
      <c r="P5499" s="57">
        <v>1</v>
      </c>
      <c r="Q5499" s="57">
        <v>0</v>
      </c>
      <c r="R5499" s="57">
        <v>0</v>
      </c>
      <c r="S5499" s="57">
        <v>0</v>
      </c>
      <c r="T5499" s="57">
        <v>0</v>
      </c>
      <c r="U5499" s="57">
        <v>0</v>
      </c>
      <c r="V5499" s="57">
        <v>0</v>
      </c>
      <c r="W5499" s="57">
        <v>0</v>
      </c>
      <c r="X5499" s="57">
        <v>0</v>
      </c>
    </row>
    <row r="5500" spans="1:24" hidden="1" x14ac:dyDescent="0.35">
      <c r="A5500">
        <v>5496</v>
      </c>
      <c r="B5500">
        <v>5497</v>
      </c>
      <c r="C5500">
        <v>146.05605626299899</v>
      </c>
      <c r="D5500">
        <v>-17.6361182194</v>
      </c>
      <c r="F5500" t="str">
        <f>HYPERLINK("D:\Data From Lucan\2024\Moresby\Frames_for_Analysis/5497_20240611_0007_L_0187.jpg","5497_20240611_0007_L_0187.jpg")</f>
        <v>5497_20240611_0007_L_0187.jpg</v>
      </c>
      <c r="G5500" s="92" t="s">
        <v>5706</v>
      </c>
      <c r="I5500">
        <v>4</v>
      </c>
      <c r="K5500" s="57">
        <v>1</v>
      </c>
      <c r="L5500" t="s">
        <v>3959</v>
      </c>
      <c r="M5500" t="s">
        <v>3959</v>
      </c>
      <c r="N5500" t="s">
        <v>3959</v>
      </c>
      <c r="O5500" t="s">
        <v>3959</v>
      </c>
      <c r="P5500" s="57">
        <v>1</v>
      </c>
      <c r="Q5500" s="57">
        <v>0</v>
      </c>
      <c r="R5500" s="57">
        <v>0</v>
      </c>
      <c r="S5500" s="57">
        <v>0</v>
      </c>
      <c r="T5500" s="57">
        <v>0</v>
      </c>
      <c r="U5500" s="57">
        <v>0</v>
      </c>
      <c r="V5500" s="57">
        <v>0</v>
      </c>
      <c r="W5500" s="57">
        <v>0</v>
      </c>
      <c r="X5500" s="57">
        <v>0</v>
      </c>
    </row>
    <row r="5501" spans="1:24" hidden="1" x14ac:dyDescent="0.35">
      <c r="A5501">
        <v>5497</v>
      </c>
      <c r="B5501">
        <v>5498</v>
      </c>
      <c r="C5501">
        <v>146.056126215999</v>
      </c>
      <c r="D5501">
        <v>-17.636064509600001</v>
      </c>
      <c r="F5501" t="str">
        <f>HYPERLINK("D:\Data From Lucan\2024\Moresby\Frames_for_Analysis/5498_20240611_0007_L_0190.jpg","5498_20240611_0007_L_0190.jpg")</f>
        <v>5498_20240611_0007_L_0190.jpg</v>
      </c>
      <c r="G5501" s="92" t="s">
        <v>5707</v>
      </c>
      <c r="I5501">
        <v>4</v>
      </c>
      <c r="K5501" s="57">
        <v>1</v>
      </c>
      <c r="L5501" t="s">
        <v>3959</v>
      </c>
      <c r="M5501" t="s">
        <v>3959</v>
      </c>
      <c r="N5501" t="s">
        <v>3959</v>
      </c>
      <c r="O5501" t="s">
        <v>3959</v>
      </c>
      <c r="P5501" s="57">
        <v>1</v>
      </c>
      <c r="Q5501" s="57">
        <v>0</v>
      </c>
      <c r="R5501" s="57">
        <v>0</v>
      </c>
      <c r="S5501" s="57">
        <v>0</v>
      </c>
      <c r="T5501" s="57">
        <v>0</v>
      </c>
      <c r="U5501" s="57">
        <v>0</v>
      </c>
      <c r="V5501" s="57">
        <v>0</v>
      </c>
      <c r="W5501" s="57">
        <v>0</v>
      </c>
      <c r="X5501" s="57">
        <v>0</v>
      </c>
    </row>
    <row r="5502" spans="1:24" hidden="1" x14ac:dyDescent="0.35">
      <c r="A5502">
        <v>5498</v>
      </c>
      <c r="B5502">
        <v>5499</v>
      </c>
      <c r="C5502">
        <v>146.056196169</v>
      </c>
      <c r="D5502">
        <v>-17.636010799800001</v>
      </c>
      <c r="F5502" t="str">
        <f>HYPERLINK("D:\Data From Lucan\2024\Moresby\Frames_for_Analysis/5499_20240611_0007_L_0193.jpg","5499_20240611_0007_L_0193.jpg")</f>
        <v>5499_20240611_0007_L_0193.jpg</v>
      </c>
      <c r="G5502" s="92" t="s">
        <v>5708</v>
      </c>
      <c r="I5502">
        <v>4</v>
      </c>
      <c r="K5502" s="57">
        <v>1</v>
      </c>
      <c r="L5502" t="s">
        <v>3959</v>
      </c>
      <c r="M5502" t="s">
        <v>3959</v>
      </c>
      <c r="N5502" t="s">
        <v>3959</v>
      </c>
      <c r="O5502" t="s">
        <v>3959</v>
      </c>
      <c r="P5502" s="57">
        <v>1</v>
      </c>
      <c r="Q5502" s="57">
        <v>0</v>
      </c>
      <c r="R5502" s="57">
        <v>0</v>
      </c>
      <c r="S5502" s="57">
        <v>0</v>
      </c>
      <c r="T5502" s="57">
        <v>0</v>
      </c>
      <c r="U5502" s="57">
        <v>0</v>
      </c>
      <c r="V5502" s="57">
        <v>0</v>
      </c>
      <c r="W5502" s="57">
        <v>0</v>
      </c>
      <c r="X5502" s="57">
        <v>0</v>
      </c>
    </row>
    <row r="5503" spans="1:24" hidden="1" x14ac:dyDescent="0.35">
      <c r="A5503">
        <v>5499</v>
      </c>
      <c r="B5503">
        <v>5500</v>
      </c>
      <c r="C5503">
        <v>146.056266856999</v>
      </c>
      <c r="D5503">
        <v>-17.635958021299899</v>
      </c>
      <c r="F5503" t="str">
        <f>HYPERLINK("D:\Data From Lucan\2024\Moresby\Frames_for_Analysis/5500_20240611_0007_L_0196.jpg","5500_20240611_0007_L_0196.jpg")</f>
        <v>5500_20240611_0007_L_0196.jpg</v>
      </c>
      <c r="G5503" s="92" t="s">
        <v>5709</v>
      </c>
      <c r="I5503">
        <v>4</v>
      </c>
      <c r="K5503" s="57">
        <v>1</v>
      </c>
      <c r="L5503" t="s">
        <v>3959</v>
      </c>
      <c r="M5503" t="s">
        <v>3959</v>
      </c>
      <c r="N5503" t="s">
        <v>3959</v>
      </c>
      <c r="O5503" t="s">
        <v>3959</v>
      </c>
      <c r="P5503" s="57">
        <v>1</v>
      </c>
      <c r="Q5503" s="57">
        <v>0</v>
      </c>
      <c r="R5503" s="57">
        <v>0</v>
      </c>
      <c r="S5503" s="57">
        <v>0</v>
      </c>
      <c r="T5503" s="57">
        <v>0</v>
      </c>
      <c r="U5503" s="57">
        <v>0</v>
      </c>
      <c r="V5503" s="57">
        <v>0</v>
      </c>
      <c r="W5503" s="57">
        <v>0</v>
      </c>
      <c r="X5503" s="57">
        <v>0</v>
      </c>
    </row>
    <row r="5504" spans="1:24" hidden="1" x14ac:dyDescent="0.35">
      <c r="A5504">
        <v>5500</v>
      </c>
      <c r="B5504">
        <v>5501</v>
      </c>
      <c r="C5504">
        <v>146.05634045100001</v>
      </c>
      <c r="D5504">
        <v>-17.635908929700001</v>
      </c>
      <c r="F5504" t="str">
        <f>HYPERLINK("D:\Data From Lucan\2024\Moresby\Frames_for_Analysis/5501_20240611_0007_L_0199.jpg","5501_20240611_0007_L_0199.jpg")</f>
        <v>5501_20240611_0007_L_0199.jpg</v>
      </c>
      <c r="G5504" s="92" t="s">
        <v>5710</v>
      </c>
      <c r="I5504">
        <v>4</v>
      </c>
      <c r="K5504" s="57">
        <v>1</v>
      </c>
      <c r="L5504" t="s">
        <v>3959</v>
      </c>
      <c r="M5504" t="s">
        <v>3959</v>
      </c>
      <c r="N5504" t="s">
        <v>3959</v>
      </c>
      <c r="O5504" t="s">
        <v>3959</v>
      </c>
      <c r="P5504" s="57">
        <v>1</v>
      </c>
      <c r="Q5504" s="57">
        <v>0</v>
      </c>
      <c r="R5504" s="57">
        <v>0</v>
      </c>
      <c r="S5504" s="57">
        <v>0</v>
      </c>
      <c r="T5504" s="57">
        <v>0</v>
      </c>
      <c r="U5504" s="57">
        <v>0</v>
      </c>
      <c r="V5504" s="57">
        <v>0</v>
      </c>
      <c r="W5504" s="57">
        <v>0</v>
      </c>
      <c r="X5504" s="57">
        <v>0</v>
      </c>
    </row>
    <row r="5505" spans="1:24" hidden="1" x14ac:dyDescent="0.35">
      <c r="A5505">
        <v>5501</v>
      </c>
      <c r="B5505">
        <v>5502</v>
      </c>
      <c r="C5505">
        <v>146.05641404599899</v>
      </c>
      <c r="D5505">
        <v>-17.6358598381</v>
      </c>
      <c r="F5505" t="str">
        <f>HYPERLINK("D:\Data From Lucan\2024\Moresby\Frames_for_Analysis/5502_20240611_0007_L_0202.jpg","5502_20240611_0007_L_0202.jpg")</f>
        <v>5502_20240611_0007_L_0202.jpg</v>
      </c>
      <c r="G5505" s="92" t="s">
        <v>5711</v>
      </c>
      <c r="I5505">
        <v>4</v>
      </c>
      <c r="K5505" s="57">
        <v>1</v>
      </c>
      <c r="L5505" t="s">
        <v>3959</v>
      </c>
      <c r="M5505" t="s">
        <v>3959</v>
      </c>
      <c r="N5505" t="s">
        <v>3959</v>
      </c>
      <c r="O5505" t="s">
        <v>3959</v>
      </c>
      <c r="P5505" s="57">
        <v>1</v>
      </c>
      <c r="Q5505" s="57">
        <v>0</v>
      </c>
      <c r="R5505" s="57">
        <v>0</v>
      </c>
      <c r="S5505" s="57">
        <v>0</v>
      </c>
      <c r="T5505" s="57">
        <v>0</v>
      </c>
      <c r="U5505" s="57">
        <v>0</v>
      </c>
      <c r="V5505" s="57">
        <v>0</v>
      </c>
      <c r="W5505" s="57">
        <v>0</v>
      </c>
      <c r="X5505" s="57">
        <v>0</v>
      </c>
    </row>
    <row r="5506" spans="1:24" hidden="1" x14ac:dyDescent="0.35">
      <c r="A5506">
        <v>5502</v>
      </c>
      <c r="B5506">
        <v>5503</v>
      </c>
      <c r="C5506">
        <v>146.05648764</v>
      </c>
      <c r="D5506">
        <v>-17.635810746499899</v>
      </c>
      <c r="F5506" t="str">
        <f>HYPERLINK("D:\Data From Lucan\2024\Moresby\Frames_for_Analysis/5503_20240611_0007_L_0205.jpg","5503_20240611_0007_L_0205.jpg")</f>
        <v>5503_20240611_0007_L_0205.jpg</v>
      </c>
      <c r="G5506" s="92" t="s">
        <v>5712</v>
      </c>
      <c r="I5506">
        <v>4</v>
      </c>
      <c r="K5506" s="57">
        <v>1</v>
      </c>
      <c r="L5506" t="s">
        <v>3959</v>
      </c>
      <c r="M5506" t="s">
        <v>3959</v>
      </c>
      <c r="N5506" t="s">
        <v>3959</v>
      </c>
      <c r="O5506" t="s">
        <v>3959</v>
      </c>
      <c r="P5506" s="57">
        <v>1</v>
      </c>
      <c r="Q5506" s="57">
        <v>0</v>
      </c>
      <c r="R5506" s="57">
        <v>0</v>
      </c>
      <c r="S5506" s="57">
        <v>0</v>
      </c>
      <c r="T5506" s="57">
        <v>0</v>
      </c>
      <c r="U5506" s="57">
        <v>0</v>
      </c>
      <c r="V5506" s="57">
        <v>0</v>
      </c>
      <c r="W5506" s="57">
        <v>0</v>
      </c>
      <c r="X5506" s="57">
        <v>0</v>
      </c>
    </row>
    <row r="5507" spans="1:24" hidden="1" x14ac:dyDescent="0.35">
      <c r="A5507">
        <v>5503</v>
      </c>
      <c r="B5507">
        <v>5504</v>
      </c>
      <c r="C5507">
        <v>146.056561235</v>
      </c>
      <c r="D5507">
        <v>-17.635761654900001</v>
      </c>
      <c r="F5507" t="str">
        <f>HYPERLINK("D:\Data From Lucan\2024\Moresby\Frames_for_Analysis/5504_20240611_0007_L_0208.jpg","5504_20240611_0007_L_0208.jpg")</f>
        <v>5504_20240611_0007_L_0208.jpg</v>
      </c>
      <c r="G5507" s="92" t="s">
        <v>5713</v>
      </c>
      <c r="I5507">
        <v>4</v>
      </c>
      <c r="K5507" s="57">
        <v>1</v>
      </c>
      <c r="L5507" t="s">
        <v>3959</v>
      </c>
      <c r="M5507" t="s">
        <v>3959</v>
      </c>
      <c r="N5507" t="s">
        <v>3959</v>
      </c>
      <c r="O5507" t="s">
        <v>3959</v>
      </c>
      <c r="P5507" s="57">
        <v>1</v>
      </c>
      <c r="Q5507" s="57">
        <v>0</v>
      </c>
      <c r="R5507" s="57">
        <v>0</v>
      </c>
      <c r="S5507" s="57">
        <v>0</v>
      </c>
      <c r="T5507" s="57">
        <v>0</v>
      </c>
      <c r="U5507" s="57">
        <v>0</v>
      </c>
      <c r="V5507" s="57">
        <v>0</v>
      </c>
      <c r="W5507" s="57">
        <v>0</v>
      </c>
      <c r="X5507" s="57">
        <v>0</v>
      </c>
    </row>
    <row r="5508" spans="1:24" hidden="1" x14ac:dyDescent="0.35">
      <c r="A5508">
        <v>5504</v>
      </c>
      <c r="B5508">
        <v>5505</v>
      </c>
      <c r="C5508">
        <v>146.05663427900001</v>
      </c>
      <c r="D5508">
        <v>-17.635711838700001</v>
      </c>
      <c r="F5508" t="str">
        <f>HYPERLINK("D:\Data From Lucan\2024\Moresby\Frames_for_Analysis/5505_20240611_0007_L_0211.jpg","5505_20240611_0007_L_0211.jpg")</f>
        <v>5505_20240611_0007_L_0211.jpg</v>
      </c>
      <c r="G5508" s="92" t="s">
        <v>5714</v>
      </c>
      <c r="I5508">
        <v>4</v>
      </c>
      <c r="K5508" s="57">
        <v>1</v>
      </c>
      <c r="L5508" t="s">
        <v>3959</v>
      </c>
      <c r="M5508" t="s">
        <v>3959</v>
      </c>
      <c r="N5508" t="s">
        <v>3959</v>
      </c>
      <c r="O5508" t="s">
        <v>3959</v>
      </c>
      <c r="P5508" s="57">
        <v>1</v>
      </c>
      <c r="Q5508" s="57">
        <v>0</v>
      </c>
      <c r="R5508" s="57">
        <v>0</v>
      </c>
      <c r="S5508" s="57">
        <v>0</v>
      </c>
      <c r="T5508" s="57">
        <v>0</v>
      </c>
      <c r="U5508" s="57">
        <v>0</v>
      </c>
      <c r="V5508" s="57">
        <v>0</v>
      </c>
      <c r="W5508" s="57">
        <v>0</v>
      </c>
      <c r="X5508" s="57">
        <v>0</v>
      </c>
    </row>
    <row r="5509" spans="1:24" hidden="1" x14ac:dyDescent="0.35">
      <c r="A5509">
        <v>5505</v>
      </c>
      <c r="B5509">
        <v>5506</v>
      </c>
      <c r="C5509">
        <v>146.05670625600001</v>
      </c>
      <c r="D5509">
        <v>-17.635660614300001</v>
      </c>
      <c r="F5509" t="str">
        <f>HYPERLINK("D:\Data From Lucan\2024\Moresby\Frames_for_Analysis/5506_20240611_0007_L_0214.jpg","5506_20240611_0007_L_0214.jpg")</f>
        <v>5506_20240611_0007_L_0214.jpg</v>
      </c>
      <c r="G5509" s="92" t="s">
        <v>5715</v>
      </c>
      <c r="I5509">
        <v>4</v>
      </c>
      <c r="K5509" s="57">
        <v>1</v>
      </c>
      <c r="L5509" t="s">
        <v>3959</v>
      </c>
      <c r="M5509" t="s">
        <v>3959</v>
      </c>
      <c r="N5509" t="s">
        <v>3959</v>
      </c>
      <c r="O5509" t="s">
        <v>3959</v>
      </c>
      <c r="P5509" s="57">
        <v>1</v>
      </c>
      <c r="Q5509" s="57">
        <v>0</v>
      </c>
      <c r="R5509" s="57">
        <v>0</v>
      </c>
      <c r="S5509" s="57">
        <v>0</v>
      </c>
      <c r="T5509" s="57">
        <v>0</v>
      </c>
      <c r="U5509" s="57">
        <v>0</v>
      </c>
      <c r="V5509" s="57">
        <v>0</v>
      </c>
      <c r="W5509" s="57">
        <v>0</v>
      </c>
      <c r="X5509" s="57">
        <v>0</v>
      </c>
    </row>
    <row r="5510" spans="1:24" hidden="1" x14ac:dyDescent="0.35">
      <c r="A5510">
        <v>5506</v>
      </c>
      <c r="B5510">
        <v>5507</v>
      </c>
      <c r="C5510">
        <v>146.056778231999</v>
      </c>
      <c r="D5510">
        <v>-17.6356093899999</v>
      </c>
      <c r="F5510" t="str">
        <f>HYPERLINK("D:\Data From Lucan\2024\Moresby\Frames_for_Analysis/5507_20240611_0007_L_0218.jpg","5507_20240611_0007_L_0218.jpg")</f>
        <v>5507_20240611_0007_L_0218.jpg</v>
      </c>
      <c r="G5510" s="92" t="s">
        <v>5716</v>
      </c>
      <c r="I5510">
        <v>4</v>
      </c>
      <c r="K5510" s="57">
        <v>1</v>
      </c>
      <c r="L5510" t="s">
        <v>3959</v>
      </c>
      <c r="M5510" t="s">
        <v>3959</v>
      </c>
      <c r="N5510" t="s">
        <v>3959</v>
      </c>
      <c r="O5510" t="s">
        <v>3959</v>
      </c>
      <c r="P5510" s="57">
        <v>1</v>
      </c>
      <c r="Q5510" s="57">
        <v>0</v>
      </c>
      <c r="R5510" s="57">
        <v>0</v>
      </c>
      <c r="S5510" s="57">
        <v>0</v>
      </c>
      <c r="T5510" s="57">
        <v>0</v>
      </c>
      <c r="U5510" s="57">
        <v>0</v>
      </c>
      <c r="V5510" s="57">
        <v>0</v>
      </c>
      <c r="W5510" s="57">
        <v>0</v>
      </c>
      <c r="X5510" s="57">
        <v>0</v>
      </c>
    </row>
    <row r="5511" spans="1:24" hidden="1" x14ac:dyDescent="0.35">
      <c r="A5511">
        <v>5507</v>
      </c>
      <c r="B5511">
        <v>5508</v>
      </c>
      <c r="C5511">
        <v>146.05685020799899</v>
      </c>
      <c r="D5511">
        <v>-17.6355581655999</v>
      </c>
      <c r="F5511" t="str">
        <f>HYPERLINK("D:\Data From Lucan\2024\Moresby\Frames_for_Analysis/5508_20240611_0007_L_0221.jpg","5508_20240611_0007_L_0221.jpg")</f>
        <v>5508_20240611_0007_L_0221.jpg</v>
      </c>
      <c r="G5511" s="92" t="s">
        <v>5717</v>
      </c>
      <c r="I5511">
        <v>4</v>
      </c>
      <c r="K5511" s="57">
        <v>1</v>
      </c>
      <c r="L5511" t="s">
        <v>3959</v>
      </c>
      <c r="M5511" t="s">
        <v>3959</v>
      </c>
      <c r="N5511" t="s">
        <v>3959</v>
      </c>
      <c r="O5511" t="s">
        <v>3959</v>
      </c>
      <c r="P5511" s="57">
        <v>1</v>
      </c>
      <c r="Q5511" s="57">
        <v>0</v>
      </c>
      <c r="R5511" s="57">
        <v>0</v>
      </c>
      <c r="S5511" s="57">
        <v>0</v>
      </c>
      <c r="T5511" s="57">
        <v>0</v>
      </c>
      <c r="U5511" s="57">
        <v>0</v>
      </c>
      <c r="V5511" s="57">
        <v>0</v>
      </c>
      <c r="W5511" s="57">
        <v>0</v>
      </c>
      <c r="X5511" s="57">
        <v>0</v>
      </c>
    </row>
    <row r="5512" spans="1:24" hidden="1" x14ac:dyDescent="0.35">
      <c r="A5512">
        <v>5508</v>
      </c>
      <c r="B5512">
        <v>5509</v>
      </c>
      <c r="C5512">
        <v>146.056920590999</v>
      </c>
      <c r="D5512">
        <v>-17.6355050935999</v>
      </c>
      <c r="F5512" t="str">
        <f>HYPERLINK("D:\Data From Lucan\2024\Moresby\Frames_for_Analysis/5509_20240611_0007_L_0223.jpg","5509_20240611_0007_L_0223.jpg")</f>
        <v>5509_20240611_0007_L_0223.jpg</v>
      </c>
      <c r="G5512" s="92" t="s">
        <v>5718</v>
      </c>
      <c r="I5512">
        <v>4</v>
      </c>
      <c r="K5512" s="57">
        <v>1</v>
      </c>
      <c r="L5512" t="s">
        <v>3959</v>
      </c>
      <c r="M5512" t="s">
        <v>3959</v>
      </c>
      <c r="N5512" t="s">
        <v>3959</v>
      </c>
      <c r="O5512" t="s">
        <v>3959</v>
      </c>
      <c r="P5512" s="57">
        <v>1</v>
      </c>
      <c r="Q5512" s="57">
        <v>0</v>
      </c>
      <c r="R5512" s="57">
        <v>0</v>
      </c>
      <c r="S5512" s="57">
        <v>0</v>
      </c>
      <c r="T5512" s="57">
        <v>0</v>
      </c>
      <c r="U5512" s="57">
        <v>0</v>
      </c>
      <c r="V5512" s="57">
        <v>0</v>
      </c>
      <c r="W5512" s="57">
        <v>0</v>
      </c>
      <c r="X5512" s="57">
        <v>0</v>
      </c>
    </row>
    <row r="5513" spans="1:24" hidden="1" x14ac:dyDescent="0.35">
      <c r="A5513">
        <v>5509</v>
      </c>
      <c r="B5513">
        <v>5510</v>
      </c>
      <c r="C5513">
        <v>146.05698724800001</v>
      </c>
      <c r="D5513">
        <v>-17.635447703699899</v>
      </c>
      <c r="F5513" t="str">
        <f>HYPERLINK("D:\Data From Lucan\2024\Moresby\Frames_for_Analysis/5510_20240611_0007_L_0226.jpg","5510_20240611_0007_L_0226.jpg")</f>
        <v>5510_20240611_0007_L_0226.jpg</v>
      </c>
      <c r="G5513" s="92" t="s">
        <v>5719</v>
      </c>
      <c r="I5513">
        <v>4</v>
      </c>
      <c r="K5513" s="57">
        <v>1</v>
      </c>
      <c r="L5513" t="s">
        <v>3959</v>
      </c>
      <c r="M5513" t="s">
        <v>3959</v>
      </c>
      <c r="N5513" t="s">
        <v>3959</v>
      </c>
      <c r="O5513" t="s">
        <v>3959</v>
      </c>
      <c r="P5513" s="57">
        <v>1</v>
      </c>
      <c r="Q5513" s="57">
        <v>0</v>
      </c>
      <c r="R5513" s="57">
        <v>0</v>
      </c>
      <c r="S5513" s="57">
        <v>0</v>
      </c>
      <c r="T5513" s="57">
        <v>0</v>
      </c>
      <c r="U5513" s="57">
        <v>0</v>
      </c>
      <c r="V5513" s="57">
        <v>0</v>
      </c>
      <c r="W5513" s="57">
        <v>0</v>
      </c>
      <c r="X5513" s="57">
        <v>0</v>
      </c>
    </row>
    <row r="5514" spans="1:24" hidden="1" x14ac:dyDescent="0.35">
      <c r="A5514">
        <v>5510</v>
      </c>
      <c r="B5514">
        <v>5511</v>
      </c>
      <c r="C5514">
        <v>146.057053905999</v>
      </c>
      <c r="D5514">
        <v>-17.6353903137</v>
      </c>
      <c r="F5514" t="str">
        <f>HYPERLINK("D:\Data From Lucan\2024\Moresby\Frames_for_Analysis/5511_20240611_0007_L_0229.jpg","5511_20240611_0007_L_0229.jpg")</f>
        <v>5511_20240611_0007_L_0229.jpg</v>
      </c>
      <c r="G5514" s="92" t="s">
        <v>5720</v>
      </c>
      <c r="I5514">
        <v>4</v>
      </c>
      <c r="K5514" s="57">
        <v>1</v>
      </c>
      <c r="L5514" t="s">
        <v>3959</v>
      </c>
      <c r="M5514" t="s">
        <v>3959</v>
      </c>
      <c r="N5514" t="s">
        <v>3959</v>
      </c>
      <c r="O5514" t="s">
        <v>3959</v>
      </c>
      <c r="P5514" s="57">
        <v>1</v>
      </c>
      <c r="Q5514" s="57">
        <v>0</v>
      </c>
      <c r="R5514" s="57">
        <v>0</v>
      </c>
      <c r="S5514" s="57">
        <v>0</v>
      </c>
      <c r="T5514" s="57">
        <v>0</v>
      </c>
      <c r="U5514" s="57">
        <v>0</v>
      </c>
      <c r="V5514" s="57">
        <v>0</v>
      </c>
      <c r="W5514" s="57">
        <v>0</v>
      </c>
      <c r="X5514" s="57">
        <v>0</v>
      </c>
    </row>
    <row r="5515" spans="1:24" hidden="1" x14ac:dyDescent="0.35">
      <c r="A5515">
        <v>5511</v>
      </c>
      <c r="B5515">
        <v>5512</v>
      </c>
      <c r="C5515">
        <v>146.057120564</v>
      </c>
      <c r="D5515">
        <v>-17.6353329238</v>
      </c>
      <c r="F5515" t="str">
        <f>HYPERLINK("D:\Data From Lucan\2024\Moresby\Frames_for_Analysis/5512_20240611_0007_L_0232.jpg","5512_20240611_0007_L_0232.jpg")</f>
        <v>5512_20240611_0007_L_0232.jpg</v>
      </c>
      <c r="G5515" s="92" t="s">
        <v>5721</v>
      </c>
      <c r="I5515">
        <v>4</v>
      </c>
      <c r="K5515" s="57">
        <v>1</v>
      </c>
      <c r="L5515" t="s">
        <v>3959</v>
      </c>
      <c r="M5515" t="s">
        <v>3959</v>
      </c>
      <c r="N5515" t="s">
        <v>3959</v>
      </c>
      <c r="O5515" t="s">
        <v>3959</v>
      </c>
      <c r="P5515" s="57">
        <v>1</v>
      </c>
      <c r="Q5515" s="57">
        <v>0</v>
      </c>
      <c r="R5515" s="57">
        <v>0</v>
      </c>
      <c r="S5515" s="57">
        <v>0</v>
      </c>
      <c r="T5515" s="57">
        <v>0</v>
      </c>
      <c r="U5515" s="57">
        <v>0</v>
      </c>
      <c r="V5515" s="57">
        <v>0</v>
      </c>
      <c r="W5515" s="57">
        <v>0</v>
      </c>
      <c r="X5515" s="57">
        <v>0</v>
      </c>
    </row>
    <row r="5516" spans="1:24" hidden="1" x14ac:dyDescent="0.35">
      <c r="A5516">
        <v>5512</v>
      </c>
      <c r="B5516">
        <v>5513</v>
      </c>
      <c r="C5516">
        <v>146.05719063800001</v>
      </c>
      <c r="D5516">
        <v>-17.635279466899899</v>
      </c>
      <c r="F5516" t="str">
        <f>HYPERLINK("D:\Data From Lucan\2024\Moresby\Frames_for_Analysis/5513_20240611_0007_L_0235.jpg","5513_20240611_0007_L_0235.jpg")</f>
        <v>5513_20240611_0007_L_0235.jpg</v>
      </c>
      <c r="G5516" s="92" t="s">
        <v>5722</v>
      </c>
      <c r="I5516">
        <v>4</v>
      </c>
      <c r="K5516" s="57">
        <v>1</v>
      </c>
      <c r="L5516" t="s">
        <v>3959</v>
      </c>
      <c r="M5516" t="s">
        <v>3959</v>
      </c>
      <c r="N5516" t="s">
        <v>3959</v>
      </c>
      <c r="O5516" t="s">
        <v>3959</v>
      </c>
      <c r="P5516" s="57">
        <v>1</v>
      </c>
      <c r="Q5516" s="57">
        <v>0</v>
      </c>
      <c r="R5516" s="57">
        <v>0</v>
      </c>
      <c r="S5516" s="57">
        <v>0</v>
      </c>
      <c r="T5516" s="57">
        <v>0</v>
      </c>
      <c r="U5516" s="57">
        <v>0</v>
      </c>
      <c r="V5516" s="57">
        <v>0</v>
      </c>
      <c r="W5516" s="57">
        <v>0</v>
      </c>
      <c r="X5516" s="57">
        <v>0</v>
      </c>
    </row>
    <row r="5517" spans="1:24" hidden="1" x14ac:dyDescent="0.35">
      <c r="A5517">
        <v>5513</v>
      </c>
      <c r="B5517">
        <v>5514</v>
      </c>
      <c r="C5517">
        <v>146.05726225000001</v>
      </c>
      <c r="D5517">
        <v>-17.6352277814999</v>
      </c>
      <c r="F5517" t="str">
        <f>HYPERLINK("D:\Data From Lucan\2024\Moresby\Frames_for_Analysis/5514_20240611_0007_L_0238.jpg","5514_20240611_0007_L_0238.jpg")</f>
        <v>5514_20240611_0007_L_0238.jpg</v>
      </c>
      <c r="G5517" s="92" t="s">
        <v>5723</v>
      </c>
      <c r="I5517">
        <v>4</v>
      </c>
      <c r="K5517" s="57">
        <v>1</v>
      </c>
      <c r="L5517" t="s">
        <v>3959</v>
      </c>
      <c r="M5517" t="s">
        <v>3959</v>
      </c>
      <c r="N5517" t="s">
        <v>3959</v>
      </c>
      <c r="O5517" t="s">
        <v>3959</v>
      </c>
      <c r="P5517" s="57">
        <v>1</v>
      </c>
      <c r="Q5517" s="57">
        <v>0</v>
      </c>
      <c r="R5517" s="57">
        <v>0</v>
      </c>
      <c r="S5517" s="57">
        <v>0</v>
      </c>
      <c r="T5517" s="57">
        <v>0</v>
      </c>
      <c r="U5517" s="57">
        <v>0</v>
      </c>
      <c r="V5517" s="57">
        <v>0</v>
      </c>
      <c r="W5517" s="57">
        <v>0</v>
      </c>
      <c r="X5517" s="57">
        <v>0</v>
      </c>
    </row>
    <row r="5518" spans="1:24" hidden="1" x14ac:dyDescent="0.35">
      <c r="A5518">
        <v>5514</v>
      </c>
      <c r="B5518">
        <v>5515</v>
      </c>
      <c r="C5518">
        <v>146.057333862999</v>
      </c>
      <c r="D5518">
        <v>-17.6351760959</v>
      </c>
      <c r="F5518" t="str">
        <f>HYPERLINK("D:\Data From Lucan\2024\Moresby\Frames_for_Analysis/5515_20240611_0007_L_0240.jpg","5515_20240611_0007_L_0240.jpg")</f>
        <v>5515_20240611_0007_L_0240.jpg</v>
      </c>
      <c r="G5518" s="92" t="s">
        <v>5724</v>
      </c>
      <c r="I5518">
        <v>4</v>
      </c>
      <c r="K5518" s="57">
        <v>1</v>
      </c>
      <c r="L5518" t="s">
        <v>3959</v>
      </c>
      <c r="M5518" t="s">
        <v>3959</v>
      </c>
      <c r="N5518" t="s">
        <v>3959</v>
      </c>
      <c r="O5518" t="s">
        <v>3959</v>
      </c>
      <c r="P5518" s="57">
        <v>1</v>
      </c>
      <c r="Q5518" s="57">
        <v>0</v>
      </c>
      <c r="R5518" s="57">
        <v>0</v>
      </c>
      <c r="S5518" s="57">
        <v>0</v>
      </c>
      <c r="T5518" s="57">
        <v>0</v>
      </c>
      <c r="U5518" s="57">
        <v>0</v>
      </c>
      <c r="V5518" s="57">
        <v>0</v>
      </c>
      <c r="W5518" s="57">
        <v>0</v>
      </c>
      <c r="X5518" s="57">
        <v>0</v>
      </c>
    </row>
    <row r="5519" spans="1:24" hidden="1" x14ac:dyDescent="0.35">
      <c r="A5519">
        <v>5515</v>
      </c>
      <c r="B5519">
        <v>5516</v>
      </c>
      <c r="C5519">
        <v>146.057405474999</v>
      </c>
      <c r="D5519">
        <v>-17.6351244104</v>
      </c>
      <c r="F5519" t="str">
        <f>HYPERLINK("D:\Data From Lucan\2024\Moresby\Frames_for_Analysis/5516_20240611_0007_L_0244.jpg","5516_20240611_0007_L_0244.jpg")</f>
        <v>5516_20240611_0007_L_0244.jpg</v>
      </c>
      <c r="G5519" s="92" t="s">
        <v>5725</v>
      </c>
      <c r="I5519">
        <v>4</v>
      </c>
      <c r="K5519" s="57">
        <v>1</v>
      </c>
      <c r="L5519" t="s">
        <v>3959</v>
      </c>
      <c r="M5519" t="s">
        <v>3959</v>
      </c>
      <c r="N5519" t="s">
        <v>3959</v>
      </c>
      <c r="O5519" t="s">
        <v>3959</v>
      </c>
      <c r="P5519" s="57">
        <v>1</v>
      </c>
      <c r="Q5519" s="57">
        <v>0</v>
      </c>
      <c r="R5519" s="57">
        <v>0</v>
      </c>
      <c r="S5519" s="57">
        <v>0</v>
      </c>
      <c r="T5519" s="57">
        <v>0</v>
      </c>
      <c r="U5519" s="57">
        <v>0</v>
      </c>
      <c r="V5519" s="57">
        <v>0</v>
      </c>
      <c r="W5519" s="57">
        <v>0</v>
      </c>
      <c r="X5519" s="57">
        <v>0</v>
      </c>
    </row>
    <row r="5520" spans="1:24" hidden="1" x14ac:dyDescent="0.35">
      <c r="A5520">
        <v>5516</v>
      </c>
      <c r="B5520">
        <v>5517</v>
      </c>
      <c r="C5520">
        <v>146.05747708800001</v>
      </c>
      <c r="D5520">
        <v>-17.635072724899899</v>
      </c>
      <c r="F5520" t="str">
        <f>HYPERLINK("D:\Data From Lucan\2024\Moresby\Frames_for_Analysis/5517_20240611_0007_L_0247.jpg","5517_20240611_0007_L_0247.jpg")</f>
        <v>5517_20240611_0007_L_0247.jpg</v>
      </c>
      <c r="G5520" s="92" t="s">
        <v>5726</v>
      </c>
      <c r="I5520">
        <v>4</v>
      </c>
      <c r="K5520" s="57">
        <v>1</v>
      </c>
      <c r="L5520" t="s">
        <v>3959</v>
      </c>
      <c r="M5520" t="s">
        <v>3959</v>
      </c>
      <c r="N5520" t="s">
        <v>3959</v>
      </c>
      <c r="O5520" t="s">
        <v>3959</v>
      </c>
      <c r="P5520" s="57">
        <v>1</v>
      </c>
      <c r="Q5520" s="57">
        <v>0</v>
      </c>
      <c r="R5520" s="57">
        <v>0</v>
      </c>
      <c r="S5520" s="57">
        <v>0</v>
      </c>
      <c r="T5520" s="57">
        <v>0</v>
      </c>
      <c r="U5520" s="57">
        <v>0</v>
      </c>
      <c r="V5520" s="57">
        <v>0</v>
      </c>
      <c r="W5520" s="57">
        <v>0</v>
      </c>
      <c r="X5520" s="57">
        <v>0</v>
      </c>
    </row>
    <row r="5521" spans="1:24" hidden="1" x14ac:dyDescent="0.35">
      <c r="A5521">
        <v>5517</v>
      </c>
      <c r="B5521">
        <v>5518</v>
      </c>
      <c r="C5521">
        <v>146.057550262999</v>
      </c>
      <c r="D5521">
        <v>-17.635023588100001</v>
      </c>
      <c r="F5521" t="str">
        <f>HYPERLINK("D:\Data From Lucan\2024\Moresby\Frames_for_Analysis/5518_20240611_0007_L_0249.jpg","5518_20240611_0007_L_0249.jpg")</f>
        <v>5518_20240611_0007_L_0249.jpg</v>
      </c>
      <c r="G5521" s="92" t="s">
        <v>5727</v>
      </c>
      <c r="I5521">
        <v>4</v>
      </c>
      <c r="K5521" s="57">
        <v>1</v>
      </c>
      <c r="L5521" t="s">
        <v>3959</v>
      </c>
      <c r="M5521" t="s">
        <v>3959</v>
      </c>
      <c r="N5521" t="s">
        <v>3959</v>
      </c>
      <c r="O5521" t="s">
        <v>3959</v>
      </c>
      <c r="P5521" s="57">
        <v>1</v>
      </c>
      <c r="Q5521" s="57">
        <v>0</v>
      </c>
      <c r="R5521" s="57">
        <v>0</v>
      </c>
      <c r="S5521" s="57">
        <v>0</v>
      </c>
      <c r="T5521" s="57">
        <v>0</v>
      </c>
      <c r="U5521" s="57">
        <v>0</v>
      </c>
      <c r="V5521" s="57">
        <v>0</v>
      </c>
      <c r="W5521" s="57">
        <v>0</v>
      </c>
      <c r="X5521" s="57">
        <v>0</v>
      </c>
    </row>
    <row r="5522" spans="1:24" hidden="1" x14ac:dyDescent="0.35">
      <c r="A5522">
        <v>5518</v>
      </c>
      <c r="B5522">
        <v>5519</v>
      </c>
      <c r="C5522">
        <v>146.057632662</v>
      </c>
      <c r="D5522">
        <v>-17.634989490199899</v>
      </c>
      <c r="F5522" t="str">
        <f>HYPERLINK("D:\Data From Lucan\2024\Moresby\Frames_for_Analysis/5519_20240611_0007_L_0252.jpg","5519_20240611_0007_L_0252.jpg")</f>
        <v>5519_20240611_0007_L_0252.jpg</v>
      </c>
      <c r="G5522" s="92" t="s">
        <v>5728</v>
      </c>
      <c r="I5522">
        <v>4</v>
      </c>
      <c r="K5522" s="57">
        <v>1</v>
      </c>
      <c r="L5522" t="s">
        <v>3959</v>
      </c>
      <c r="M5522" t="s">
        <v>3959</v>
      </c>
      <c r="N5522" t="s">
        <v>3959</v>
      </c>
      <c r="O5522" t="s">
        <v>3959</v>
      </c>
      <c r="P5522" s="57">
        <v>1</v>
      </c>
      <c r="Q5522" s="57">
        <v>0</v>
      </c>
      <c r="R5522" s="57">
        <v>0</v>
      </c>
      <c r="S5522" s="57">
        <v>0</v>
      </c>
      <c r="T5522" s="57">
        <v>0</v>
      </c>
      <c r="U5522" s="57">
        <v>0</v>
      </c>
      <c r="V5522" s="57">
        <v>0</v>
      </c>
      <c r="W5522" s="57">
        <v>0</v>
      </c>
      <c r="X5522" s="57">
        <v>0</v>
      </c>
    </row>
    <row r="5523" spans="1:24" hidden="1" x14ac:dyDescent="0.35">
      <c r="A5523">
        <v>5519</v>
      </c>
      <c r="B5523">
        <v>5520</v>
      </c>
      <c r="C5523">
        <v>146.05771506100001</v>
      </c>
      <c r="D5523">
        <v>-17.6349553923</v>
      </c>
      <c r="F5523" t="str">
        <f>HYPERLINK("D:\Data From Lucan\2024\Moresby\Frames_for_Analysis/5520_20240611_0007_L_0254.jpg","5520_20240611_0007_L_0254.jpg")</f>
        <v>5520_20240611_0007_L_0254.jpg</v>
      </c>
      <c r="G5523" s="92" t="s">
        <v>5729</v>
      </c>
      <c r="I5523">
        <v>4</v>
      </c>
      <c r="K5523" s="57">
        <v>1</v>
      </c>
      <c r="L5523" t="s">
        <v>3959</v>
      </c>
      <c r="M5523" t="s">
        <v>3959</v>
      </c>
      <c r="N5523" t="s">
        <v>3959</v>
      </c>
      <c r="O5523" t="s">
        <v>3959</v>
      </c>
      <c r="P5523" s="57">
        <v>1</v>
      </c>
      <c r="Q5523" s="57">
        <v>0</v>
      </c>
      <c r="R5523" s="57">
        <v>0</v>
      </c>
      <c r="S5523" s="57">
        <v>0</v>
      </c>
      <c r="T5523" s="57">
        <v>0</v>
      </c>
      <c r="U5523" s="57">
        <v>0</v>
      </c>
      <c r="V5523" s="57">
        <v>0</v>
      </c>
      <c r="W5523" s="57">
        <v>0</v>
      </c>
      <c r="X5523" s="57">
        <v>0</v>
      </c>
    </row>
    <row r="5524" spans="1:24" hidden="1" x14ac:dyDescent="0.35">
      <c r="A5524">
        <v>5520</v>
      </c>
      <c r="B5524">
        <v>5521</v>
      </c>
      <c r="C5524">
        <v>146.057797459</v>
      </c>
      <c r="D5524">
        <v>-17.6349212943</v>
      </c>
      <c r="F5524" t="str">
        <f>HYPERLINK("D:\Data From Lucan\2024\Moresby\Frames_for_Analysis/5521_20240611_0007_L_0256.jpg","5521_20240611_0007_L_0256.jpg")</f>
        <v>5521_20240611_0007_L_0256.jpg</v>
      </c>
      <c r="G5524" s="92" t="s">
        <v>5730</v>
      </c>
      <c r="I5524">
        <v>4</v>
      </c>
      <c r="K5524" s="57">
        <v>1</v>
      </c>
      <c r="L5524" t="s">
        <v>3959</v>
      </c>
      <c r="M5524" t="s">
        <v>3959</v>
      </c>
      <c r="N5524" t="s">
        <v>3959</v>
      </c>
      <c r="O5524" t="s">
        <v>3959</v>
      </c>
      <c r="P5524" s="57">
        <v>1</v>
      </c>
      <c r="Q5524" s="57">
        <v>0</v>
      </c>
      <c r="R5524" s="57">
        <v>0</v>
      </c>
      <c r="S5524" s="57">
        <v>0</v>
      </c>
      <c r="T5524" s="57">
        <v>0</v>
      </c>
      <c r="U5524" s="57">
        <v>0</v>
      </c>
      <c r="V5524" s="57">
        <v>0</v>
      </c>
      <c r="W5524" s="57">
        <v>0</v>
      </c>
      <c r="X5524" s="57">
        <v>0</v>
      </c>
    </row>
    <row r="5525" spans="1:24" hidden="1" x14ac:dyDescent="0.35">
      <c r="A5525">
        <v>5521</v>
      </c>
      <c r="B5525">
        <v>5522</v>
      </c>
      <c r="C5525">
        <v>146.05787985800001</v>
      </c>
      <c r="D5525">
        <v>-17.634887196400001</v>
      </c>
      <c r="F5525" t="str">
        <f>HYPERLINK("D:\Data From Lucan\2024\Moresby\Frames_for_Analysis/5522_20240611_0007_L_0259.jpg","5522_20240611_0007_L_0259.jpg")</f>
        <v>5522_20240611_0007_L_0259.jpg</v>
      </c>
      <c r="G5525" s="92" t="s">
        <v>5731</v>
      </c>
      <c r="I5525">
        <v>4</v>
      </c>
      <c r="K5525" s="57">
        <v>1</v>
      </c>
      <c r="L5525" t="s">
        <v>3959</v>
      </c>
      <c r="M5525" t="s">
        <v>3959</v>
      </c>
      <c r="N5525" t="s">
        <v>3959</v>
      </c>
      <c r="O5525" t="s">
        <v>3959</v>
      </c>
      <c r="P5525" s="57">
        <v>1</v>
      </c>
      <c r="Q5525" s="57">
        <v>0</v>
      </c>
      <c r="R5525" s="57">
        <v>0</v>
      </c>
      <c r="S5525" s="57">
        <v>0</v>
      </c>
      <c r="T5525" s="57">
        <v>0</v>
      </c>
      <c r="U5525" s="57">
        <v>0</v>
      </c>
      <c r="V5525" s="57">
        <v>0</v>
      </c>
      <c r="W5525" s="57">
        <v>0</v>
      </c>
      <c r="X5525" s="57">
        <v>0</v>
      </c>
    </row>
    <row r="5526" spans="1:24" hidden="1" x14ac:dyDescent="0.35">
      <c r="A5526">
        <v>5522</v>
      </c>
      <c r="B5526">
        <v>5523</v>
      </c>
      <c r="C5526">
        <v>146.05796225700001</v>
      </c>
      <c r="D5526">
        <v>-17.634853098400001</v>
      </c>
      <c r="F5526" t="str">
        <f>HYPERLINK("D:\Data From Lucan\2024\Moresby\Frames_for_Analysis/5523_20240611_0007_L_0261.jpg","5523_20240611_0007_L_0261.jpg")</f>
        <v>5523_20240611_0007_L_0261.jpg</v>
      </c>
      <c r="G5526" s="92" t="s">
        <v>5732</v>
      </c>
      <c r="I5526">
        <v>4</v>
      </c>
      <c r="K5526" s="57">
        <v>1</v>
      </c>
      <c r="L5526" t="s">
        <v>3959</v>
      </c>
      <c r="M5526" t="s">
        <v>3959</v>
      </c>
      <c r="N5526" t="s">
        <v>3959</v>
      </c>
      <c r="O5526" t="s">
        <v>3959</v>
      </c>
      <c r="P5526" s="57">
        <v>1</v>
      </c>
      <c r="Q5526" s="57">
        <v>0</v>
      </c>
      <c r="R5526" s="57">
        <v>0</v>
      </c>
      <c r="S5526" s="57">
        <v>0</v>
      </c>
      <c r="T5526" s="57">
        <v>0</v>
      </c>
      <c r="U5526" s="57">
        <v>0</v>
      </c>
      <c r="V5526" s="57">
        <v>0</v>
      </c>
      <c r="W5526" s="57">
        <v>0</v>
      </c>
      <c r="X5526" s="57">
        <v>0</v>
      </c>
    </row>
    <row r="5527" spans="1:24" hidden="1" x14ac:dyDescent="0.35">
      <c r="A5527">
        <v>5523</v>
      </c>
      <c r="B5527">
        <v>5524</v>
      </c>
      <c r="C5527">
        <v>146.058044655</v>
      </c>
      <c r="D5527">
        <v>-17.634819000499899</v>
      </c>
      <c r="F5527" t="str">
        <f>HYPERLINK("D:\Data From Lucan\2024\Moresby\Frames_for_Analysis/5524_20240611_0007_L_0264.jpg","5524_20240611_0007_L_0264.jpg")</f>
        <v>5524_20240611_0007_L_0264.jpg</v>
      </c>
      <c r="G5527" s="92" t="s">
        <v>5733</v>
      </c>
      <c r="I5527">
        <v>4</v>
      </c>
      <c r="K5527" s="57">
        <v>1</v>
      </c>
      <c r="L5527" t="s">
        <v>3959</v>
      </c>
      <c r="M5527" t="s">
        <v>3959</v>
      </c>
      <c r="N5527" t="s">
        <v>3959</v>
      </c>
      <c r="O5527" t="s">
        <v>3959</v>
      </c>
      <c r="P5527" s="57">
        <v>1</v>
      </c>
      <c r="Q5527" s="57">
        <v>0</v>
      </c>
      <c r="R5527" s="57">
        <v>0</v>
      </c>
      <c r="S5527" s="57">
        <v>0</v>
      </c>
      <c r="T5527" s="57">
        <v>0</v>
      </c>
      <c r="U5527" s="57">
        <v>0</v>
      </c>
      <c r="V5527" s="57">
        <v>0</v>
      </c>
      <c r="W5527" s="57">
        <v>0</v>
      </c>
      <c r="X5527" s="57">
        <v>0</v>
      </c>
    </row>
    <row r="5528" spans="1:24" hidden="1" x14ac:dyDescent="0.35">
      <c r="A5528">
        <v>5524</v>
      </c>
      <c r="B5528">
        <v>5525</v>
      </c>
      <c r="C5528">
        <v>146.05813094600001</v>
      </c>
      <c r="D5528">
        <v>-17.634797257199899</v>
      </c>
      <c r="F5528" t="str">
        <f>HYPERLINK("D:\Data From Lucan\2024\Moresby\Frames_for_Analysis/5525_20240611_0007_L_0266.jpg","5525_20240611_0007_L_0266.jpg")</f>
        <v>5525_20240611_0007_L_0266.jpg</v>
      </c>
      <c r="G5528" s="92" t="s">
        <v>5734</v>
      </c>
      <c r="I5528">
        <v>4</v>
      </c>
      <c r="K5528" s="57">
        <v>1</v>
      </c>
      <c r="L5528" t="s">
        <v>3959</v>
      </c>
      <c r="M5528" t="s">
        <v>3959</v>
      </c>
      <c r="N5528" t="s">
        <v>3959</v>
      </c>
      <c r="O5528" t="s">
        <v>3959</v>
      </c>
      <c r="P5528" s="57">
        <v>1</v>
      </c>
      <c r="Q5528" s="57">
        <v>0</v>
      </c>
      <c r="R5528" s="57">
        <v>0</v>
      </c>
      <c r="S5528" s="57">
        <v>0</v>
      </c>
      <c r="T5528" s="57">
        <v>0</v>
      </c>
      <c r="U5528" s="57">
        <v>0</v>
      </c>
      <c r="V5528" s="57">
        <v>0</v>
      </c>
      <c r="W5528" s="57">
        <v>0</v>
      </c>
      <c r="X5528" s="57">
        <v>0</v>
      </c>
    </row>
    <row r="5529" spans="1:24" hidden="1" x14ac:dyDescent="0.35">
      <c r="A5529">
        <v>5525</v>
      </c>
      <c r="B5529">
        <v>5526</v>
      </c>
      <c r="C5529">
        <v>146.058219425999</v>
      </c>
      <c r="D5529">
        <v>-17.634782465699899</v>
      </c>
      <c r="F5529" t="str">
        <f>HYPERLINK("D:\Data From Lucan\2024\Moresby\Frames_for_Analysis/5526_20240611_0007_L_0269.jpg","5526_20240611_0007_L_0269.jpg")</f>
        <v>5526_20240611_0007_L_0269.jpg</v>
      </c>
      <c r="G5529" s="92" t="s">
        <v>5735</v>
      </c>
      <c r="I5529">
        <v>4</v>
      </c>
      <c r="K5529" s="57">
        <v>1</v>
      </c>
      <c r="L5529" t="s">
        <v>3959</v>
      </c>
      <c r="M5529" t="s">
        <v>3959</v>
      </c>
      <c r="N5529" t="s">
        <v>3959</v>
      </c>
      <c r="O5529" t="s">
        <v>3959</v>
      </c>
      <c r="P5529" s="57">
        <v>1</v>
      </c>
      <c r="Q5529" s="57">
        <v>0</v>
      </c>
      <c r="R5529" s="57">
        <v>0</v>
      </c>
      <c r="S5529" s="57">
        <v>0</v>
      </c>
      <c r="T5529" s="57">
        <v>0</v>
      </c>
      <c r="U5529" s="57">
        <v>0</v>
      </c>
      <c r="V5529" s="57">
        <v>0</v>
      </c>
      <c r="W5529" s="57">
        <v>0</v>
      </c>
      <c r="X5529" s="57">
        <v>0</v>
      </c>
    </row>
    <row r="5530" spans="1:24" hidden="1" x14ac:dyDescent="0.35">
      <c r="A5530">
        <v>5526</v>
      </c>
      <c r="B5530">
        <v>5527</v>
      </c>
      <c r="C5530">
        <v>146.058307907</v>
      </c>
      <c r="D5530">
        <v>-17.6347676741999</v>
      </c>
      <c r="F5530" t="str">
        <f>HYPERLINK("D:\Data From Lucan\2024\Moresby\Frames_for_Analysis/5527_20240611_0007_L_0272.jpg","5527_20240611_0007_L_0272.jpg")</f>
        <v>5527_20240611_0007_L_0272.jpg</v>
      </c>
      <c r="G5530" s="92" t="s">
        <v>5736</v>
      </c>
      <c r="I5530">
        <v>4</v>
      </c>
      <c r="K5530" s="57">
        <v>1</v>
      </c>
      <c r="L5530" t="s">
        <v>3959</v>
      </c>
      <c r="M5530" t="s">
        <v>3959</v>
      </c>
      <c r="N5530" t="s">
        <v>3959</v>
      </c>
      <c r="O5530" t="s">
        <v>3959</v>
      </c>
      <c r="P5530" s="57">
        <v>1</v>
      </c>
      <c r="Q5530" s="57">
        <v>0</v>
      </c>
      <c r="R5530" s="57">
        <v>0</v>
      </c>
      <c r="S5530" s="57">
        <v>0</v>
      </c>
      <c r="T5530" s="57">
        <v>0</v>
      </c>
      <c r="U5530" s="57">
        <v>0</v>
      </c>
      <c r="V5530" s="57">
        <v>0</v>
      </c>
      <c r="W5530" s="57">
        <v>0</v>
      </c>
      <c r="X5530" s="57">
        <v>0</v>
      </c>
    </row>
    <row r="5531" spans="1:24" hidden="1" x14ac:dyDescent="0.35">
      <c r="A5531">
        <v>5527</v>
      </c>
      <c r="B5531">
        <v>5528</v>
      </c>
      <c r="C5531">
        <v>146.05839638699899</v>
      </c>
      <c r="D5531">
        <v>-17.634752882600001</v>
      </c>
      <c r="F5531" t="str">
        <f>HYPERLINK("D:\Data From Lucan\2024\Moresby\Frames_for_Analysis/5528_20240611_0007_L_0274.jpg","5528_20240611_0007_L_0274.jpg")</f>
        <v>5528_20240611_0007_L_0274.jpg</v>
      </c>
      <c r="G5531" s="92" t="s">
        <v>5737</v>
      </c>
      <c r="I5531">
        <v>4</v>
      </c>
      <c r="K5531" s="57">
        <v>1</v>
      </c>
      <c r="L5531" t="s">
        <v>3959</v>
      </c>
      <c r="M5531" t="s">
        <v>3959</v>
      </c>
      <c r="N5531" t="s">
        <v>3959</v>
      </c>
      <c r="O5531" t="s">
        <v>3959</v>
      </c>
      <c r="P5531" s="57">
        <v>1</v>
      </c>
      <c r="Q5531" s="57">
        <v>0</v>
      </c>
      <c r="R5531" s="57">
        <v>0</v>
      </c>
      <c r="S5531" s="57">
        <v>0</v>
      </c>
      <c r="T5531" s="57">
        <v>0</v>
      </c>
      <c r="U5531" s="57">
        <v>0</v>
      </c>
      <c r="V5531" s="57">
        <v>0</v>
      </c>
      <c r="W5531" s="57">
        <v>0</v>
      </c>
      <c r="X5531" s="57">
        <v>0</v>
      </c>
    </row>
    <row r="5532" spans="1:24" hidden="1" x14ac:dyDescent="0.35">
      <c r="A5532">
        <v>5528</v>
      </c>
      <c r="B5532">
        <v>5529</v>
      </c>
      <c r="C5532">
        <v>146.058484867999</v>
      </c>
      <c r="D5532">
        <v>-17.634738091100001</v>
      </c>
      <c r="F5532" t="str">
        <f>HYPERLINK("D:\Data From Lucan\2024\Moresby\Frames_for_Analysis/5529_20240611_0007_L_0278.jpg","5529_20240611_0007_L_0278.jpg")</f>
        <v>5529_20240611_0007_L_0278.jpg</v>
      </c>
      <c r="G5532" s="92" t="s">
        <v>5738</v>
      </c>
      <c r="I5532">
        <v>4</v>
      </c>
      <c r="K5532" s="57">
        <v>1</v>
      </c>
      <c r="L5532" t="s">
        <v>3959</v>
      </c>
      <c r="M5532" t="s">
        <v>3959</v>
      </c>
      <c r="N5532" t="s">
        <v>3959</v>
      </c>
      <c r="O5532" t="s">
        <v>3959</v>
      </c>
      <c r="P5532" s="57">
        <v>1</v>
      </c>
      <c r="Q5532" s="57">
        <v>0</v>
      </c>
      <c r="R5532" s="57">
        <v>0</v>
      </c>
      <c r="S5532" s="57">
        <v>0</v>
      </c>
      <c r="T5532" s="57">
        <v>0</v>
      </c>
      <c r="U5532" s="57">
        <v>0</v>
      </c>
      <c r="V5532" s="57">
        <v>0</v>
      </c>
      <c r="W5532" s="57">
        <v>0</v>
      </c>
      <c r="X5532" s="57">
        <v>0</v>
      </c>
    </row>
    <row r="5533" spans="1:24" hidden="1" x14ac:dyDescent="0.35">
      <c r="A5533">
        <v>5529</v>
      </c>
      <c r="B5533">
        <v>5530</v>
      </c>
      <c r="C5533">
        <v>146.058572397999</v>
      </c>
      <c r="D5533">
        <v>-17.634719025700001</v>
      </c>
      <c r="F5533" t="str">
        <f>HYPERLINK("D:\Data From Lucan\2024\Moresby\Frames_for_Analysis/5530_20240611_0007_L_0281.jpg","5530_20240611_0007_L_0281.jpg")</f>
        <v>5530_20240611_0007_L_0281.jpg</v>
      </c>
      <c r="G5533" s="92" t="s">
        <v>5739</v>
      </c>
      <c r="I5533">
        <v>4</v>
      </c>
      <c r="K5533" s="57">
        <v>1</v>
      </c>
      <c r="L5533" t="s">
        <v>3959</v>
      </c>
      <c r="M5533" t="s">
        <v>3959</v>
      </c>
      <c r="N5533" t="s">
        <v>3959</v>
      </c>
      <c r="O5533" t="s">
        <v>3959</v>
      </c>
      <c r="P5533" s="57">
        <v>1</v>
      </c>
      <c r="Q5533" s="57">
        <v>0</v>
      </c>
      <c r="R5533" s="57">
        <v>0</v>
      </c>
      <c r="S5533" s="57">
        <v>0</v>
      </c>
      <c r="T5533" s="57">
        <v>0</v>
      </c>
      <c r="U5533" s="57">
        <v>0</v>
      </c>
      <c r="V5533" s="57">
        <v>0</v>
      </c>
      <c r="W5533" s="57">
        <v>0</v>
      </c>
      <c r="X5533" s="57">
        <v>0</v>
      </c>
    </row>
    <row r="5534" spans="1:24" hidden="1" x14ac:dyDescent="0.35">
      <c r="A5534">
        <v>5530</v>
      </c>
      <c r="B5534">
        <v>5531</v>
      </c>
      <c r="C5534">
        <v>146.05865956599899</v>
      </c>
      <c r="D5534">
        <v>-17.6346983325999</v>
      </c>
      <c r="F5534" t="str">
        <f>HYPERLINK("D:\Data From Lucan\2024\Moresby\Frames_for_Analysis/5531_20240611_0007_L_0283.jpg","5531_20240611_0007_L_0283.jpg")</f>
        <v>5531_20240611_0007_L_0283.jpg</v>
      </c>
      <c r="G5534" s="92" t="s">
        <v>5740</v>
      </c>
      <c r="I5534">
        <v>4</v>
      </c>
      <c r="K5534" s="57">
        <v>1</v>
      </c>
      <c r="L5534" t="s">
        <v>3959</v>
      </c>
      <c r="M5534" t="s">
        <v>3959</v>
      </c>
      <c r="N5534" t="s">
        <v>3959</v>
      </c>
      <c r="O5534" t="s">
        <v>3959</v>
      </c>
      <c r="P5534" s="57">
        <v>1</v>
      </c>
      <c r="Q5534" s="57">
        <v>0</v>
      </c>
      <c r="R5534" s="57">
        <v>0</v>
      </c>
      <c r="S5534" s="57">
        <v>0</v>
      </c>
      <c r="T5534" s="57">
        <v>0</v>
      </c>
      <c r="U5534" s="57">
        <v>0</v>
      </c>
      <c r="V5534" s="57">
        <v>0</v>
      </c>
      <c r="W5534" s="57">
        <v>0</v>
      </c>
      <c r="X5534" s="57">
        <v>0</v>
      </c>
    </row>
    <row r="5535" spans="1:24" hidden="1" x14ac:dyDescent="0.35">
      <c r="A5535">
        <v>5531</v>
      </c>
      <c r="B5535">
        <v>5532</v>
      </c>
      <c r="C5535">
        <v>146.05874673400001</v>
      </c>
      <c r="D5535">
        <v>-17.634677639500001</v>
      </c>
      <c r="F5535" t="str">
        <f>HYPERLINK("D:\Data From Lucan\2024\Moresby\Frames_for_Analysis/5532_20240611_0007_L_0286.jpg","5532_20240611_0007_L_0286.jpg")</f>
        <v>5532_20240611_0007_L_0286.jpg</v>
      </c>
      <c r="G5535" s="92" t="s">
        <v>5741</v>
      </c>
      <c r="I5535">
        <v>4</v>
      </c>
      <c r="K5535" s="57">
        <v>1</v>
      </c>
      <c r="L5535" t="s">
        <v>3959</v>
      </c>
      <c r="M5535" t="s">
        <v>3959</v>
      </c>
      <c r="N5535" t="s">
        <v>3959</v>
      </c>
      <c r="O5535" t="s">
        <v>3959</v>
      </c>
      <c r="P5535" s="57">
        <v>1</v>
      </c>
      <c r="Q5535" s="57">
        <v>0</v>
      </c>
      <c r="R5535" s="57">
        <v>0</v>
      </c>
      <c r="S5535" s="57">
        <v>0</v>
      </c>
      <c r="T5535" s="57">
        <v>0</v>
      </c>
      <c r="U5535" s="57">
        <v>0</v>
      </c>
      <c r="V5535" s="57">
        <v>0</v>
      </c>
      <c r="W5535" s="57">
        <v>0</v>
      </c>
      <c r="X5535" s="57">
        <v>0</v>
      </c>
    </row>
    <row r="5536" spans="1:24" hidden="1" x14ac:dyDescent="0.35">
      <c r="A5536">
        <v>5532</v>
      </c>
      <c r="B5536">
        <v>5533</v>
      </c>
      <c r="C5536">
        <v>146.05883390100001</v>
      </c>
      <c r="D5536">
        <v>-17.6346569464</v>
      </c>
      <c r="F5536" t="str">
        <f>HYPERLINK("D:\Data From Lucan\2024\Moresby\Frames_for_Analysis/5533_20240611_0007_L_0289.jpg","5533_20240611_0007_L_0289.jpg")</f>
        <v>5533_20240611_0007_L_0289.jpg</v>
      </c>
      <c r="G5536" s="92" t="s">
        <v>5742</v>
      </c>
      <c r="I5536">
        <v>4</v>
      </c>
      <c r="K5536" s="57">
        <v>1</v>
      </c>
      <c r="L5536" t="s">
        <v>3959</v>
      </c>
      <c r="M5536" t="s">
        <v>3959</v>
      </c>
      <c r="N5536" t="s">
        <v>3959</v>
      </c>
      <c r="O5536" t="s">
        <v>3959</v>
      </c>
      <c r="P5536" s="57">
        <v>1</v>
      </c>
      <c r="Q5536" s="57">
        <v>0</v>
      </c>
      <c r="R5536" s="57">
        <v>0</v>
      </c>
      <c r="S5536" s="57">
        <v>0</v>
      </c>
      <c r="T5536" s="57">
        <v>0</v>
      </c>
      <c r="U5536" s="57">
        <v>0</v>
      </c>
      <c r="V5536" s="57">
        <v>0</v>
      </c>
      <c r="W5536" s="57">
        <v>0</v>
      </c>
      <c r="X5536" s="57">
        <v>0</v>
      </c>
    </row>
    <row r="5537" spans="1:24" hidden="1" x14ac:dyDescent="0.35">
      <c r="A5537">
        <v>5533</v>
      </c>
      <c r="B5537">
        <v>5534</v>
      </c>
      <c r="C5537">
        <v>146.05892106900001</v>
      </c>
      <c r="D5537">
        <v>-17.634636253299899</v>
      </c>
      <c r="F5537" t="str">
        <f>HYPERLINK("D:\Data From Lucan\2024\Moresby\Frames_for_Analysis/5534_20240611_0007_L_0292.jpg","5534_20240611_0007_L_0292.jpg")</f>
        <v>5534_20240611_0007_L_0292.jpg</v>
      </c>
      <c r="G5537" s="92" t="s">
        <v>5743</v>
      </c>
      <c r="I5537">
        <v>4</v>
      </c>
      <c r="K5537" s="57">
        <v>1</v>
      </c>
      <c r="L5537" t="s">
        <v>3959</v>
      </c>
      <c r="M5537" t="s">
        <v>3959</v>
      </c>
      <c r="N5537" t="s">
        <v>3959</v>
      </c>
      <c r="O5537" t="s">
        <v>3959</v>
      </c>
      <c r="P5537" s="57">
        <v>1</v>
      </c>
      <c r="Q5537" s="57">
        <v>0</v>
      </c>
      <c r="R5537" s="57">
        <v>0</v>
      </c>
      <c r="S5537" s="57">
        <v>0</v>
      </c>
      <c r="T5537" s="57">
        <v>0</v>
      </c>
      <c r="U5537" s="57">
        <v>0</v>
      </c>
      <c r="V5537" s="57">
        <v>0</v>
      </c>
      <c r="W5537" s="57">
        <v>0</v>
      </c>
      <c r="X5537" s="57">
        <v>0</v>
      </c>
    </row>
    <row r="5538" spans="1:24" hidden="1" x14ac:dyDescent="0.35">
      <c r="A5538">
        <v>5534</v>
      </c>
      <c r="B5538">
        <v>5535</v>
      </c>
      <c r="C5538">
        <v>146.05900819799899</v>
      </c>
      <c r="D5538">
        <v>-17.634615415300001</v>
      </c>
      <c r="F5538" t="str">
        <f>HYPERLINK("D:\Data From Lucan\2024\Moresby\Frames_for_Analysis/5535_20240611_0007_L_0295.jpg","5535_20240611_0007_L_0295.jpg")</f>
        <v>5535_20240611_0007_L_0295.jpg</v>
      </c>
      <c r="G5538" s="92" t="s">
        <v>5744</v>
      </c>
      <c r="I5538">
        <v>4</v>
      </c>
      <c r="K5538" s="57">
        <v>1</v>
      </c>
      <c r="L5538" t="s">
        <v>3959</v>
      </c>
      <c r="M5538" t="s">
        <v>3959</v>
      </c>
      <c r="N5538" t="s">
        <v>3959</v>
      </c>
      <c r="O5538" t="s">
        <v>3959</v>
      </c>
      <c r="P5538" s="57">
        <v>1</v>
      </c>
      <c r="Q5538" s="57">
        <v>0</v>
      </c>
      <c r="R5538" s="57">
        <v>0</v>
      </c>
      <c r="S5538" s="57">
        <v>0</v>
      </c>
      <c r="T5538" s="57">
        <v>0</v>
      </c>
      <c r="U5538" s="57">
        <v>0</v>
      </c>
      <c r="V5538" s="57">
        <v>0</v>
      </c>
      <c r="W5538" s="57">
        <v>0</v>
      </c>
      <c r="X5538" s="57">
        <v>0</v>
      </c>
    </row>
    <row r="5539" spans="1:24" hidden="1" x14ac:dyDescent="0.35">
      <c r="A5539">
        <v>5535</v>
      </c>
      <c r="B5539">
        <v>5536</v>
      </c>
      <c r="C5539">
        <v>146.05909511799899</v>
      </c>
      <c r="D5539">
        <v>-17.634593797200001</v>
      </c>
      <c r="F5539" t="str">
        <f>HYPERLINK("D:\Data From Lucan\2024\Moresby\Frames_for_Analysis/5536_20240611_0007_L_0297.jpg","5536_20240611_0007_L_0297.jpg")</f>
        <v>5536_20240611_0007_L_0297.jpg</v>
      </c>
      <c r="G5539" s="92" t="s">
        <v>5745</v>
      </c>
      <c r="I5539">
        <v>4</v>
      </c>
      <c r="K5539" s="57">
        <v>1</v>
      </c>
      <c r="L5539" t="s">
        <v>3959</v>
      </c>
      <c r="M5539" t="s">
        <v>3959</v>
      </c>
      <c r="N5539" t="s">
        <v>3959</v>
      </c>
      <c r="O5539" t="s">
        <v>3959</v>
      </c>
      <c r="P5539" s="57">
        <v>1</v>
      </c>
      <c r="Q5539" s="57">
        <v>0</v>
      </c>
      <c r="R5539" s="57">
        <v>0</v>
      </c>
      <c r="S5539" s="57">
        <v>0</v>
      </c>
      <c r="T5539" s="57">
        <v>0</v>
      </c>
      <c r="U5539" s="57">
        <v>0</v>
      </c>
      <c r="V5539" s="57">
        <v>0</v>
      </c>
      <c r="W5539" s="57">
        <v>0</v>
      </c>
      <c r="X5539" s="57">
        <v>0</v>
      </c>
    </row>
    <row r="5540" spans="1:24" hidden="1" x14ac:dyDescent="0.35">
      <c r="A5540">
        <v>5536</v>
      </c>
      <c r="B5540">
        <v>5537</v>
      </c>
      <c r="C5540">
        <v>146.05918203900001</v>
      </c>
      <c r="D5540">
        <v>-17.634572179100001</v>
      </c>
      <c r="F5540" t="str">
        <f>HYPERLINK("D:\Data From Lucan\2024\Moresby\Frames_for_Analysis/5537_20240611_0007_L_0301.jpg","5537_20240611_0007_L_0301.jpg")</f>
        <v>5537_20240611_0007_L_0301.jpg</v>
      </c>
      <c r="G5540" s="92" t="s">
        <v>5746</v>
      </c>
      <c r="I5540">
        <v>4</v>
      </c>
      <c r="K5540" s="57">
        <v>1</v>
      </c>
      <c r="L5540" t="s">
        <v>3959</v>
      </c>
      <c r="M5540" t="s">
        <v>3959</v>
      </c>
      <c r="N5540" t="s">
        <v>3959</v>
      </c>
      <c r="O5540" t="s">
        <v>3959</v>
      </c>
      <c r="P5540" s="57">
        <v>1</v>
      </c>
      <c r="Q5540" s="57">
        <v>0</v>
      </c>
      <c r="R5540" s="57">
        <v>0</v>
      </c>
      <c r="S5540" s="57">
        <v>0</v>
      </c>
      <c r="T5540" s="57">
        <v>0</v>
      </c>
      <c r="U5540" s="57">
        <v>0</v>
      </c>
      <c r="V5540" s="57">
        <v>0</v>
      </c>
      <c r="W5540" s="57">
        <v>0</v>
      </c>
      <c r="X5540" s="57">
        <v>0</v>
      </c>
    </row>
    <row r="5541" spans="1:24" hidden="1" x14ac:dyDescent="0.35">
      <c r="A5541">
        <v>5537</v>
      </c>
      <c r="B5541">
        <v>5538</v>
      </c>
      <c r="C5541">
        <v>146.05926895900001</v>
      </c>
      <c r="D5541">
        <v>-17.634550561000001</v>
      </c>
      <c r="F5541" t="str">
        <f>HYPERLINK("D:\Data From Lucan\2024\Moresby\Frames_for_Analysis/5538_20240611_0007_L_0303.jpg","5538_20240611_0007_L_0303.jpg")</f>
        <v>5538_20240611_0007_L_0303.jpg</v>
      </c>
      <c r="G5541" s="92" t="s">
        <v>5747</v>
      </c>
      <c r="I5541">
        <v>4</v>
      </c>
      <c r="K5541" s="57">
        <v>1</v>
      </c>
      <c r="L5541" t="s">
        <v>3959</v>
      </c>
      <c r="M5541" t="s">
        <v>3959</v>
      </c>
      <c r="N5541" t="s">
        <v>3959</v>
      </c>
      <c r="O5541" t="s">
        <v>3959</v>
      </c>
      <c r="P5541" s="57">
        <v>1</v>
      </c>
      <c r="Q5541" s="57">
        <v>0</v>
      </c>
      <c r="R5541" s="57">
        <v>0</v>
      </c>
      <c r="S5541" s="57">
        <v>0</v>
      </c>
      <c r="T5541" s="57">
        <v>0</v>
      </c>
      <c r="U5541" s="57">
        <v>0</v>
      </c>
      <c r="V5541" s="57">
        <v>0</v>
      </c>
      <c r="W5541" s="57">
        <v>0</v>
      </c>
      <c r="X5541" s="57">
        <v>0</v>
      </c>
    </row>
    <row r="5542" spans="1:24" hidden="1" x14ac:dyDescent="0.35">
      <c r="A5542">
        <v>5538</v>
      </c>
      <c r="B5542">
        <v>5539</v>
      </c>
      <c r="C5542">
        <v>146.05935587900001</v>
      </c>
      <c r="D5542">
        <v>-17.6345289429999</v>
      </c>
      <c r="F5542" t="str">
        <f>HYPERLINK("D:\Data From Lucan\2024\Moresby\Frames_for_Analysis/5539_20240611_0007_L_0307.jpg","5539_20240611_0007_L_0307.jpg")</f>
        <v>5539_20240611_0007_L_0307.jpg</v>
      </c>
      <c r="G5542" s="92" t="s">
        <v>5748</v>
      </c>
      <c r="I5542">
        <v>4</v>
      </c>
      <c r="K5542" s="57">
        <v>1</v>
      </c>
      <c r="L5542" t="s">
        <v>3959</v>
      </c>
      <c r="M5542" t="s">
        <v>3959</v>
      </c>
      <c r="N5542" t="s">
        <v>3959</v>
      </c>
      <c r="O5542" t="s">
        <v>3959</v>
      </c>
      <c r="P5542" s="57">
        <v>1</v>
      </c>
      <c r="Q5542" s="57">
        <v>0</v>
      </c>
      <c r="R5542" s="57">
        <v>0</v>
      </c>
      <c r="S5542" s="57">
        <v>0</v>
      </c>
      <c r="T5542" s="57">
        <v>0</v>
      </c>
      <c r="U5542" s="57">
        <v>0</v>
      </c>
      <c r="V5542" s="57">
        <v>0</v>
      </c>
      <c r="W5542" s="57">
        <v>0</v>
      </c>
      <c r="X5542" s="57">
        <v>0</v>
      </c>
    </row>
    <row r="5543" spans="1:24" hidden="1" x14ac:dyDescent="0.35">
      <c r="A5543">
        <v>5539</v>
      </c>
      <c r="B5543">
        <v>5540</v>
      </c>
      <c r="C5543">
        <v>146.05943068400001</v>
      </c>
      <c r="D5543">
        <v>-17.6344835164</v>
      </c>
      <c r="F5543" t="str">
        <f>HYPERLINK("D:\Data From Lucan\2024\Moresby\Frames_for_Analysis/5540_20240611_0007_L_0310.jpg","5540_20240611_0007_L_0310.jpg")</f>
        <v>5540_20240611_0007_L_0310.jpg</v>
      </c>
      <c r="G5543" s="92" t="s">
        <v>5749</v>
      </c>
      <c r="I5543">
        <v>4</v>
      </c>
      <c r="K5543" s="57">
        <v>1</v>
      </c>
      <c r="L5543" t="s">
        <v>3959</v>
      </c>
      <c r="M5543" t="s">
        <v>3959</v>
      </c>
      <c r="N5543" t="s">
        <v>3959</v>
      </c>
      <c r="O5543" t="s">
        <v>3959</v>
      </c>
      <c r="P5543" s="57">
        <v>1</v>
      </c>
      <c r="Q5543" s="57">
        <v>0</v>
      </c>
      <c r="R5543" s="57">
        <v>0</v>
      </c>
      <c r="S5543" s="57">
        <v>0</v>
      </c>
      <c r="T5543" s="57">
        <v>0</v>
      </c>
      <c r="U5543" s="57">
        <v>0</v>
      </c>
      <c r="V5543" s="57">
        <v>0</v>
      </c>
      <c r="W5543" s="57">
        <v>0</v>
      </c>
      <c r="X5543" s="57">
        <v>0</v>
      </c>
    </row>
    <row r="5544" spans="1:24" hidden="1" x14ac:dyDescent="0.35">
      <c r="A5544">
        <v>5540</v>
      </c>
      <c r="B5544">
        <v>5541</v>
      </c>
      <c r="C5544">
        <v>146.059502315</v>
      </c>
      <c r="D5544">
        <v>-17.634431853900001</v>
      </c>
      <c r="F5544" t="str">
        <f>HYPERLINK("D:\Data From Lucan\2024\Moresby\Frames_for_Analysis/5541_20240611_0007_L_0314.jpg","5541_20240611_0007_L_0314.jpg")</f>
        <v>5541_20240611_0007_L_0314.jpg</v>
      </c>
      <c r="G5544" s="92" t="s">
        <v>5750</v>
      </c>
      <c r="I5544">
        <v>4</v>
      </c>
      <c r="K5544" s="57">
        <v>1</v>
      </c>
      <c r="L5544" t="s">
        <v>3959</v>
      </c>
      <c r="M5544" t="s">
        <v>3959</v>
      </c>
      <c r="N5544" t="s">
        <v>3959</v>
      </c>
      <c r="O5544" t="s">
        <v>3959</v>
      </c>
      <c r="P5544" s="57">
        <v>1</v>
      </c>
      <c r="Q5544" s="57">
        <v>0</v>
      </c>
      <c r="R5544" s="57">
        <v>0</v>
      </c>
      <c r="S5544" s="57">
        <v>0</v>
      </c>
      <c r="T5544" s="57">
        <v>0</v>
      </c>
      <c r="U5544" s="57">
        <v>0</v>
      </c>
      <c r="V5544" s="57">
        <v>0</v>
      </c>
      <c r="W5544" s="57">
        <v>0</v>
      </c>
      <c r="X5544" s="57">
        <v>0</v>
      </c>
    </row>
    <row r="5545" spans="1:24" hidden="1" x14ac:dyDescent="0.35">
      <c r="A5545">
        <v>5541</v>
      </c>
      <c r="B5545">
        <v>5542</v>
      </c>
      <c r="C5545">
        <v>146.05957026900001</v>
      </c>
      <c r="D5545">
        <v>-17.6343759132</v>
      </c>
      <c r="F5545" t="str">
        <f>HYPERLINK("D:\Data From Lucan\2024\Moresby\Frames_for_Analysis/5542_20240611_0007_L_0317.jpg","5542_20240611_0007_L_0317.jpg")</f>
        <v>5542_20240611_0007_L_0317.jpg</v>
      </c>
      <c r="G5545" s="92" t="s">
        <v>5751</v>
      </c>
      <c r="I5545">
        <v>4</v>
      </c>
      <c r="K5545" s="57">
        <v>1</v>
      </c>
      <c r="L5545" t="s">
        <v>3959</v>
      </c>
      <c r="M5545" t="s">
        <v>3959</v>
      </c>
      <c r="N5545" t="s">
        <v>3959</v>
      </c>
      <c r="O5545" t="s">
        <v>3959</v>
      </c>
      <c r="P5545" s="57">
        <v>1</v>
      </c>
      <c r="Q5545" s="57">
        <v>0</v>
      </c>
      <c r="R5545" s="57">
        <v>0</v>
      </c>
      <c r="S5545" s="57">
        <v>0</v>
      </c>
      <c r="T5545" s="57">
        <v>0</v>
      </c>
      <c r="U5545" s="57">
        <v>0</v>
      </c>
      <c r="V5545" s="57">
        <v>0</v>
      </c>
      <c r="W5545" s="57">
        <v>0</v>
      </c>
      <c r="X5545" s="57">
        <v>0</v>
      </c>
    </row>
    <row r="5546" spans="1:24" hidden="1" x14ac:dyDescent="0.35">
      <c r="A5546">
        <v>5542</v>
      </c>
      <c r="B5546">
        <v>5543</v>
      </c>
      <c r="C5546">
        <v>146.05963752599899</v>
      </c>
      <c r="D5546">
        <v>-17.634319161600001</v>
      </c>
      <c r="F5546" t="str">
        <f>HYPERLINK("D:\Data From Lucan\2024\Moresby\Frames_for_Analysis/5543_20240611_0007_L_0319.jpg","5543_20240611_0007_L_0319.jpg")</f>
        <v>5543_20240611_0007_L_0319.jpg</v>
      </c>
      <c r="G5546" s="92" t="s">
        <v>5752</v>
      </c>
      <c r="I5546">
        <v>4</v>
      </c>
      <c r="K5546" s="57">
        <v>1</v>
      </c>
      <c r="L5546" t="s">
        <v>3959</v>
      </c>
      <c r="M5546" t="s">
        <v>3959</v>
      </c>
      <c r="N5546" t="s">
        <v>3959</v>
      </c>
      <c r="O5546" t="s">
        <v>3959</v>
      </c>
      <c r="P5546" s="57">
        <v>1</v>
      </c>
      <c r="Q5546" s="57">
        <v>0</v>
      </c>
      <c r="R5546" s="57">
        <v>0</v>
      </c>
      <c r="S5546" s="57">
        <v>0</v>
      </c>
      <c r="T5546" s="57">
        <v>0</v>
      </c>
      <c r="U5546" s="57">
        <v>0</v>
      </c>
      <c r="V5546" s="57">
        <v>0</v>
      </c>
      <c r="W5546" s="57">
        <v>0</v>
      </c>
      <c r="X5546" s="57">
        <v>0</v>
      </c>
    </row>
    <row r="5547" spans="1:24" hidden="1" x14ac:dyDescent="0.35">
      <c r="A5547">
        <v>5543</v>
      </c>
      <c r="B5547">
        <v>5544</v>
      </c>
      <c r="C5547">
        <v>146.05970822699899</v>
      </c>
      <c r="D5547">
        <v>-17.6342665289</v>
      </c>
      <c r="F5547" t="str">
        <f>HYPERLINK("D:\Data From Lucan\2024\Moresby\Frames_for_Analysis/5544_20240611_0007_L_0322.jpg","5544_20240611_0007_L_0322.jpg")</f>
        <v>5544_20240611_0007_L_0322.jpg</v>
      </c>
      <c r="G5547" s="92" t="s">
        <v>5753</v>
      </c>
      <c r="I5547">
        <v>4</v>
      </c>
      <c r="K5547" s="57">
        <v>1</v>
      </c>
      <c r="L5547" t="s">
        <v>3959</v>
      </c>
      <c r="M5547" t="s">
        <v>3959</v>
      </c>
      <c r="N5547" t="s">
        <v>3959</v>
      </c>
      <c r="O5547" t="s">
        <v>3959</v>
      </c>
      <c r="P5547" s="57">
        <v>1</v>
      </c>
      <c r="Q5547" s="57">
        <v>0</v>
      </c>
      <c r="R5547" s="57">
        <v>0</v>
      </c>
      <c r="S5547" s="57">
        <v>0</v>
      </c>
      <c r="T5547" s="57">
        <v>0</v>
      </c>
      <c r="U5547" s="57">
        <v>0</v>
      </c>
      <c r="V5547" s="57">
        <v>0</v>
      </c>
      <c r="W5547" s="57">
        <v>0</v>
      </c>
      <c r="X5547" s="57">
        <v>0</v>
      </c>
    </row>
    <row r="5548" spans="1:24" hidden="1" x14ac:dyDescent="0.35">
      <c r="A5548">
        <v>5544</v>
      </c>
      <c r="B5548">
        <v>5545</v>
      </c>
      <c r="C5548">
        <v>146.059781280999</v>
      </c>
      <c r="D5548">
        <v>-17.634216708299899</v>
      </c>
      <c r="F5548" t="str">
        <f>HYPERLINK("D:\Data From Lucan\2024\Moresby\Frames_for_Analysis/5545_20240611_0007_L_0324.jpg","5545_20240611_0007_L_0324.jpg")</f>
        <v>5545_20240611_0007_L_0324.jpg</v>
      </c>
      <c r="G5548" s="92" t="s">
        <v>5754</v>
      </c>
      <c r="I5548">
        <v>4</v>
      </c>
      <c r="K5548" s="57">
        <v>1</v>
      </c>
      <c r="L5548" t="s">
        <v>3959</v>
      </c>
      <c r="M5548" t="s">
        <v>3959</v>
      </c>
      <c r="N5548" t="s">
        <v>3959</v>
      </c>
      <c r="O5548" t="s">
        <v>3959</v>
      </c>
      <c r="P5548" s="57">
        <v>1</v>
      </c>
      <c r="Q5548" s="57">
        <v>0</v>
      </c>
      <c r="R5548" s="57">
        <v>0</v>
      </c>
      <c r="S5548" s="57">
        <v>0</v>
      </c>
      <c r="T5548" s="57">
        <v>0</v>
      </c>
      <c r="U5548" s="57">
        <v>0</v>
      </c>
      <c r="V5548" s="57">
        <v>0</v>
      </c>
      <c r="W5548" s="57">
        <v>0</v>
      </c>
      <c r="X5548" s="57">
        <v>0</v>
      </c>
    </row>
    <row r="5549" spans="1:24" hidden="1" x14ac:dyDescent="0.35">
      <c r="A5549">
        <v>5545</v>
      </c>
      <c r="B5549">
        <v>5546</v>
      </c>
      <c r="C5549">
        <v>146.059856295</v>
      </c>
      <c r="D5549">
        <v>-17.6341707953999</v>
      </c>
      <c r="F5549" t="str">
        <f>HYPERLINK("D:\Data From Lucan\2024\Moresby\Frames_for_Analysis/5546_20240611_0007_L_0326.jpg","5546_20240611_0007_L_0326.jpg")</f>
        <v>5546_20240611_0007_L_0326.jpg</v>
      </c>
      <c r="G5549" s="92" t="s">
        <v>5755</v>
      </c>
      <c r="I5549">
        <v>4</v>
      </c>
      <c r="K5549" s="57">
        <v>1</v>
      </c>
      <c r="L5549" t="s">
        <v>3959</v>
      </c>
      <c r="M5549" t="s">
        <v>3959</v>
      </c>
      <c r="N5549" t="s">
        <v>3959</v>
      </c>
      <c r="O5549" t="s">
        <v>3959</v>
      </c>
      <c r="P5549" s="57">
        <v>1</v>
      </c>
      <c r="Q5549" s="57">
        <v>0</v>
      </c>
      <c r="R5549" s="57">
        <v>0</v>
      </c>
      <c r="S5549" s="57">
        <v>0</v>
      </c>
      <c r="T5549" s="57">
        <v>0</v>
      </c>
      <c r="U5549" s="57">
        <v>0</v>
      </c>
      <c r="V5549" s="57">
        <v>0</v>
      </c>
      <c r="W5549" s="57">
        <v>0</v>
      </c>
      <c r="X5549" s="57">
        <v>0</v>
      </c>
    </row>
    <row r="5550" spans="1:24" hidden="1" x14ac:dyDescent="0.35">
      <c r="A5550">
        <v>5546</v>
      </c>
      <c r="B5550">
        <v>5547</v>
      </c>
      <c r="C5550">
        <v>146.059942852999</v>
      </c>
      <c r="D5550">
        <v>-17.6341478975</v>
      </c>
      <c r="F5550" t="str">
        <f>HYPERLINK("D:\Data From Lucan\2024\Moresby\Frames_for_Analysis/5547_20240611_0007_L_0329.jpg","5547_20240611_0007_L_0329.jpg")</f>
        <v>5547_20240611_0007_L_0329.jpg</v>
      </c>
      <c r="G5550" s="92" t="s">
        <v>5756</v>
      </c>
      <c r="I5550">
        <v>4</v>
      </c>
      <c r="K5550" s="57">
        <v>1</v>
      </c>
      <c r="L5550" t="s">
        <v>3959</v>
      </c>
      <c r="M5550" t="s">
        <v>3959</v>
      </c>
      <c r="N5550" t="s">
        <v>3959</v>
      </c>
      <c r="O5550" t="s">
        <v>3959</v>
      </c>
      <c r="P5550" s="57">
        <v>1</v>
      </c>
      <c r="Q5550" s="57">
        <v>0</v>
      </c>
      <c r="R5550" s="57">
        <v>0</v>
      </c>
      <c r="S5550" s="57">
        <v>0</v>
      </c>
      <c r="T5550" s="57">
        <v>0</v>
      </c>
      <c r="U5550" s="57">
        <v>0</v>
      </c>
      <c r="V5550" s="57">
        <v>0</v>
      </c>
      <c r="W5550" s="57">
        <v>0</v>
      </c>
      <c r="X5550" s="57">
        <v>0</v>
      </c>
    </row>
    <row r="5551" spans="1:24" hidden="1" x14ac:dyDescent="0.35">
      <c r="A5551">
        <v>5547</v>
      </c>
      <c r="B5551">
        <v>5548</v>
      </c>
      <c r="C5551">
        <v>146.06002941200001</v>
      </c>
      <c r="D5551">
        <v>-17.6341249996999</v>
      </c>
      <c r="F5551" t="str">
        <f>HYPERLINK("D:\Data From Lucan\2024\Moresby\Frames_for_Analysis/5548_20240611_0007_L_0331.jpg","5548_20240611_0007_L_0331.jpg")</f>
        <v>5548_20240611_0007_L_0331.jpg</v>
      </c>
      <c r="G5551" s="92" t="s">
        <v>5757</v>
      </c>
      <c r="I5551">
        <v>4</v>
      </c>
      <c r="K5551" s="57">
        <v>1</v>
      </c>
      <c r="L5551" t="s">
        <v>3959</v>
      </c>
      <c r="M5551" t="s">
        <v>3959</v>
      </c>
      <c r="N5551" t="s">
        <v>3959</v>
      </c>
      <c r="O5551" t="s">
        <v>3959</v>
      </c>
      <c r="P5551" s="57">
        <v>1</v>
      </c>
      <c r="Q5551" s="57">
        <v>0</v>
      </c>
      <c r="R5551" s="57">
        <v>0</v>
      </c>
      <c r="S5551" s="57">
        <v>0</v>
      </c>
      <c r="T5551" s="57">
        <v>0</v>
      </c>
      <c r="U5551" s="57">
        <v>0</v>
      </c>
      <c r="V5551" s="57">
        <v>0</v>
      </c>
      <c r="W5551" s="57">
        <v>0</v>
      </c>
      <c r="X5551" s="57">
        <v>0</v>
      </c>
    </row>
    <row r="5552" spans="1:24" hidden="1" x14ac:dyDescent="0.35">
      <c r="A5552">
        <v>5548</v>
      </c>
      <c r="B5552">
        <v>5549</v>
      </c>
      <c r="C5552">
        <v>146.06011597099899</v>
      </c>
      <c r="D5552">
        <v>-17.6341021018</v>
      </c>
      <c r="F5552" t="str">
        <f>HYPERLINK("D:\Data From Lucan\2024\Moresby\Frames_for_Analysis/5549_20240611_0007_L_0334.jpg","5549_20240611_0007_L_0334.jpg")</f>
        <v>5549_20240611_0007_L_0334.jpg</v>
      </c>
      <c r="G5552" s="92" t="s">
        <v>5758</v>
      </c>
      <c r="I5552">
        <v>4</v>
      </c>
      <c r="K5552" s="57">
        <v>1</v>
      </c>
      <c r="L5552" t="s">
        <v>3959</v>
      </c>
      <c r="M5552" t="s">
        <v>3959</v>
      </c>
      <c r="N5552" t="s">
        <v>3959</v>
      </c>
      <c r="O5552" t="s">
        <v>3959</v>
      </c>
      <c r="P5552" s="57">
        <v>1</v>
      </c>
      <c r="Q5552" s="57">
        <v>0</v>
      </c>
      <c r="R5552" s="57">
        <v>0</v>
      </c>
      <c r="S5552" s="57">
        <v>0</v>
      </c>
      <c r="T5552" s="57">
        <v>0</v>
      </c>
      <c r="U5552" s="57">
        <v>0</v>
      </c>
      <c r="V5552" s="57">
        <v>0</v>
      </c>
      <c r="W5552" s="57">
        <v>0</v>
      </c>
      <c r="X5552" s="57">
        <v>0</v>
      </c>
    </row>
    <row r="5553" spans="1:24" hidden="1" x14ac:dyDescent="0.35">
      <c r="A5553">
        <v>5549</v>
      </c>
      <c r="B5553">
        <v>5550</v>
      </c>
      <c r="C5553">
        <v>146.06020257700001</v>
      </c>
      <c r="D5553">
        <v>-17.6340794211999</v>
      </c>
      <c r="F5553" t="str">
        <f>HYPERLINK("D:\Data From Lucan\2024\Moresby\Frames_for_Analysis/5550_20240611_0007_L_0337.jpg","5550_20240611_0007_L_0337.jpg")</f>
        <v>5550_20240611_0007_L_0337.jpg</v>
      </c>
      <c r="G5553" s="92" t="s">
        <v>5759</v>
      </c>
      <c r="I5553">
        <v>4</v>
      </c>
      <c r="K5553" s="57">
        <v>1</v>
      </c>
      <c r="L5553" t="s">
        <v>3959</v>
      </c>
      <c r="M5553" t="s">
        <v>3959</v>
      </c>
      <c r="N5553" t="s">
        <v>3959</v>
      </c>
      <c r="O5553" t="s">
        <v>3959</v>
      </c>
      <c r="P5553" s="57">
        <v>1</v>
      </c>
      <c r="Q5553" s="57">
        <v>0</v>
      </c>
      <c r="R5553" s="57">
        <v>0</v>
      </c>
      <c r="S5553" s="57">
        <v>0</v>
      </c>
      <c r="T5553" s="57">
        <v>0</v>
      </c>
      <c r="U5553" s="57">
        <v>0</v>
      </c>
      <c r="V5553" s="57">
        <v>0</v>
      </c>
      <c r="W5553" s="57">
        <v>0</v>
      </c>
      <c r="X5553" s="57">
        <v>0</v>
      </c>
    </row>
    <row r="5554" spans="1:24" hidden="1" x14ac:dyDescent="0.35">
      <c r="A5554">
        <v>5550</v>
      </c>
      <c r="B5554">
        <v>5551</v>
      </c>
      <c r="C5554">
        <v>146.060291505999</v>
      </c>
      <c r="D5554">
        <v>-17.634067313900001</v>
      </c>
      <c r="F5554" t="str">
        <f>HYPERLINK("D:\Data From Lucan\2024\Moresby\Frames_for_Analysis/5551_20240611_0007_L_0339.jpg","5551_20240611_0007_L_0339.jpg")</f>
        <v>5551_20240611_0007_L_0339.jpg</v>
      </c>
      <c r="G5554" s="92" t="s">
        <v>5760</v>
      </c>
      <c r="I5554">
        <v>4</v>
      </c>
      <c r="K5554" s="57">
        <v>1</v>
      </c>
      <c r="L5554" t="s">
        <v>3959</v>
      </c>
      <c r="M5554" t="s">
        <v>3959</v>
      </c>
      <c r="N5554" t="s">
        <v>3959</v>
      </c>
      <c r="O5554" t="s">
        <v>3959</v>
      </c>
      <c r="P5554" s="57">
        <v>1</v>
      </c>
      <c r="Q5554" s="57">
        <v>0</v>
      </c>
      <c r="R5554" s="57">
        <v>0</v>
      </c>
      <c r="S5554" s="57">
        <v>0</v>
      </c>
      <c r="T5554" s="57">
        <v>0</v>
      </c>
      <c r="U5554" s="57">
        <v>0</v>
      </c>
      <c r="V5554" s="57">
        <v>0</v>
      </c>
      <c r="W5554" s="57">
        <v>0</v>
      </c>
      <c r="X5554" s="57">
        <v>0</v>
      </c>
    </row>
    <row r="5555" spans="1:24" hidden="1" x14ac:dyDescent="0.35">
      <c r="A5555">
        <v>5551</v>
      </c>
      <c r="B5555">
        <v>5552</v>
      </c>
      <c r="C5555">
        <v>146.06038043500001</v>
      </c>
      <c r="D5555">
        <v>-17.6340552065999</v>
      </c>
      <c r="F5555" t="str">
        <f>HYPERLINK("D:\Data From Lucan\2024\Moresby\Frames_for_Analysis/5552_20240611_0007_L_0343.jpg","5552_20240611_0007_L_0343.jpg")</f>
        <v>5552_20240611_0007_L_0343.jpg</v>
      </c>
      <c r="G5555" s="92" t="s">
        <v>5761</v>
      </c>
      <c r="I5555">
        <v>4</v>
      </c>
      <c r="K5555" s="57">
        <v>1</v>
      </c>
      <c r="L5555" t="s">
        <v>3959</v>
      </c>
      <c r="M5555" t="s">
        <v>3959</v>
      </c>
      <c r="N5555" t="s">
        <v>3959</v>
      </c>
      <c r="O5555" t="s">
        <v>3959</v>
      </c>
      <c r="P5555" s="57">
        <v>1</v>
      </c>
      <c r="Q5555" s="57">
        <v>0</v>
      </c>
      <c r="R5555" s="57">
        <v>0</v>
      </c>
      <c r="S5555" s="57">
        <v>0</v>
      </c>
      <c r="T5555" s="57">
        <v>0</v>
      </c>
      <c r="U5555" s="57">
        <v>0</v>
      </c>
      <c r="V5555" s="57">
        <v>0</v>
      </c>
      <c r="W5555" s="57">
        <v>0</v>
      </c>
      <c r="X5555" s="57">
        <v>0</v>
      </c>
    </row>
    <row r="5556" spans="1:24" hidden="1" x14ac:dyDescent="0.35">
      <c r="A5556">
        <v>5552</v>
      </c>
      <c r="B5556">
        <v>5553</v>
      </c>
      <c r="C5556">
        <v>146.06047016400001</v>
      </c>
      <c r="D5556">
        <v>-17.6340542370999</v>
      </c>
      <c r="F5556" t="str">
        <f>HYPERLINK("D:\Data From Lucan\2024\Moresby\Frames_for_Analysis/5553_20240611_0007_L_0345.jpg","5553_20240611_0007_L_0345.jpg")</f>
        <v>5553_20240611_0007_L_0345.jpg</v>
      </c>
      <c r="G5556" s="92" t="s">
        <v>5762</v>
      </c>
      <c r="I5556">
        <v>4</v>
      </c>
      <c r="K5556" s="57">
        <v>1</v>
      </c>
      <c r="L5556" t="s">
        <v>3959</v>
      </c>
      <c r="M5556" t="s">
        <v>3959</v>
      </c>
      <c r="N5556" t="s">
        <v>3959</v>
      </c>
      <c r="O5556" t="s">
        <v>3959</v>
      </c>
      <c r="P5556" s="57">
        <v>1</v>
      </c>
      <c r="Q5556" s="57">
        <v>0</v>
      </c>
      <c r="R5556" s="57">
        <v>0</v>
      </c>
      <c r="S5556" s="57">
        <v>0</v>
      </c>
      <c r="T5556" s="57">
        <v>0</v>
      </c>
      <c r="U5556" s="57">
        <v>0</v>
      </c>
      <c r="V5556" s="57">
        <v>0</v>
      </c>
      <c r="W5556" s="57">
        <v>0</v>
      </c>
      <c r="X5556" s="57">
        <v>0</v>
      </c>
    </row>
    <row r="5557" spans="1:24" hidden="1" x14ac:dyDescent="0.35">
      <c r="A5557">
        <v>5553</v>
      </c>
      <c r="B5557">
        <v>5554</v>
      </c>
      <c r="C5557">
        <v>146.06055999500001</v>
      </c>
      <c r="D5557">
        <v>-17.634054664899899</v>
      </c>
      <c r="F5557" t="str">
        <f>HYPERLINK("D:\Data From Lucan\2024\Moresby\Frames_for_Analysis/5554_20240611_0007_L_0347.jpg","5554_20240611_0007_L_0347.jpg")</f>
        <v>5554_20240611_0007_L_0347.jpg</v>
      </c>
      <c r="G5557" s="92" t="s">
        <v>5763</v>
      </c>
      <c r="I5557">
        <v>4</v>
      </c>
      <c r="K5557" s="57">
        <v>1</v>
      </c>
      <c r="L5557" t="s">
        <v>3959</v>
      </c>
      <c r="M5557" t="s">
        <v>3959</v>
      </c>
      <c r="N5557" t="s">
        <v>3959</v>
      </c>
      <c r="O5557" t="s">
        <v>3959</v>
      </c>
      <c r="P5557" s="57">
        <v>1</v>
      </c>
      <c r="Q5557" s="57">
        <v>0</v>
      </c>
      <c r="R5557" s="57">
        <v>0</v>
      </c>
      <c r="S5557" s="57">
        <v>0</v>
      </c>
      <c r="T5557" s="57">
        <v>0</v>
      </c>
      <c r="U5557" s="57">
        <v>0</v>
      </c>
      <c r="V5557" s="57">
        <v>0</v>
      </c>
      <c r="W5557" s="57">
        <v>0</v>
      </c>
      <c r="X5557" s="57">
        <v>0</v>
      </c>
    </row>
    <row r="5558" spans="1:24" hidden="1" x14ac:dyDescent="0.35">
      <c r="A5558">
        <v>5554</v>
      </c>
      <c r="B5558">
        <v>5555</v>
      </c>
      <c r="C5558">
        <v>146.06064982500001</v>
      </c>
      <c r="D5558">
        <v>-17.634055092699899</v>
      </c>
      <c r="F5558" t="str">
        <f>HYPERLINK("D:\Data From Lucan\2024\Moresby\Frames_for_Analysis/5555_20240611_0007_L_0349.jpg","5555_20240611_0007_L_0349.jpg")</f>
        <v>5555_20240611_0007_L_0349.jpg</v>
      </c>
      <c r="G5558" s="92" t="s">
        <v>5764</v>
      </c>
      <c r="I5558">
        <v>4</v>
      </c>
      <c r="K5558" s="57">
        <v>1</v>
      </c>
      <c r="L5558" t="s">
        <v>3959</v>
      </c>
      <c r="M5558" t="s">
        <v>3959</v>
      </c>
      <c r="N5558" t="s">
        <v>3959</v>
      </c>
      <c r="O5558" t="s">
        <v>3959</v>
      </c>
      <c r="P5558" s="57">
        <v>1</v>
      </c>
      <c r="Q5558" s="57">
        <v>0</v>
      </c>
      <c r="R5558" s="57">
        <v>0</v>
      </c>
      <c r="S5558" s="57">
        <v>0</v>
      </c>
      <c r="T5558" s="57">
        <v>0</v>
      </c>
      <c r="U5558" s="57">
        <v>0</v>
      </c>
      <c r="V5558" s="57">
        <v>0</v>
      </c>
      <c r="W5558" s="57">
        <v>0</v>
      </c>
      <c r="X5558" s="57">
        <v>0</v>
      </c>
    </row>
    <row r="5559" spans="1:24" hidden="1" x14ac:dyDescent="0.35">
      <c r="A5559">
        <v>5555</v>
      </c>
      <c r="B5559">
        <v>5556</v>
      </c>
      <c r="C5559">
        <v>146.06073965600001</v>
      </c>
      <c r="D5559">
        <v>-17.6340555208</v>
      </c>
      <c r="F5559" t="str">
        <f>HYPERLINK("D:\Data From Lucan\2024\Moresby\Frames_for_Analysis/5556_20240611_0007_L_0352.jpg","5556_20240611_0007_L_0352.jpg")</f>
        <v>5556_20240611_0007_L_0352.jpg</v>
      </c>
      <c r="G5559" s="92" t="s">
        <v>5765</v>
      </c>
      <c r="I5559">
        <v>4</v>
      </c>
      <c r="K5559" s="57">
        <v>0</v>
      </c>
      <c r="L5559" t="s">
        <v>3959</v>
      </c>
      <c r="M5559" t="s">
        <v>3959</v>
      </c>
      <c r="N5559" t="s">
        <v>3959</v>
      </c>
      <c r="O5559" t="s">
        <v>3959</v>
      </c>
      <c r="P5559" s="57">
        <v>1</v>
      </c>
      <c r="Q5559" s="57">
        <v>0</v>
      </c>
      <c r="R5559" s="57">
        <v>0</v>
      </c>
      <c r="S5559" s="57">
        <v>0</v>
      </c>
      <c r="T5559" s="57">
        <v>0</v>
      </c>
      <c r="U5559" s="57">
        <v>0</v>
      </c>
      <c r="V5559" s="57">
        <v>0</v>
      </c>
      <c r="W5559" s="57">
        <v>0</v>
      </c>
      <c r="X5559" s="57">
        <v>0</v>
      </c>
    </row>
    <row r="5560" spans="1:24" hidden="1" x14ac:dyDescent="0.35">
      <c r="A5560">
        <v>5556</v>
      </c>
      <c r="B5560">
        <v>5557</v>
      </c>
      <c r="C5560">
        <v>146.060828966</v>
      </c>
      <c r="D5560">
        <v>-17.634064100300002</v>
      </c>
      <c r="F5560" t="str">
        <f>HYPERLINK("D:\Data From Lucan\2024\Moresby\Frames_for_Analysis/5557_20240611_0007_L_0354.jpg","5557_20240611_0007_L_0354.jpg")</f>
        <v>5557_20240611_0007_L_0354.jpg</v>
      </c>
      <c r="G5560" s="92" t="s">
        <v>5766</v>
      </c>
      <c r="I5560">
        <v>4</v>
      </c>
      <c r="K5560" s="57">
        <v>0</v>
      </c>
      <c r="L5560" t="s">
        <v>3959</v>
      </c>
      <c r="M5560" t="s">
        <v>3959</v>
      </c>
      <c r="N5560" t="s">
        <v>3959</v>
      </c>
      <c r="O5560" t="s">
        <v>3959</v>
      </c>
      <c r="P5560" s="57">
        <v>1</v>
      </c>
      <c r="Q5560" s="57">
        <v>0</v>
      </c>
      <c r="R5560" s="57">
        <v>0</v>
      </c>
      <c r="S5560" s="57">
        <v>0</v>
      </c>
      <c r="T5560" s="57">
        <v>0</v>
      </c>
      <c r="U5560" s="57">
        <v>0</v>
      </c>
      <c r="V5560" s="57">
        <v>0</v>
      </c>
      <c r="W5560" s="57">
        <v>0</v>
      </c>
      <c r="X5560" s="57">
        <v>0</v>
      </c>
    </row>
    <row r="5561" spans="1:24" hidden="1" x14ac:dyDescent="0.35">
      <c r="A5561">
        <v>5557</v>
      </c>
      <c r="B5561">
        <v>5558</v>
      </c>
      <c r="C5561">
        <v>146.06091819100001</v>
      </c>
      <c r="D5561">
        <v>-17.6340740367</v>
      </c>
      <c r="F5561" t="str">
        <f>HYPERLINK("D:\Data From Lucan\2024\Moresby\Frames_for_Analysis/5558_20240611_0007_L_0357.jpg","5558_20240611_0007_L_0357.jpg")</f>
        <v>5558_20240611_0007_L_0357.jpg</v>
      </c>
      <c r="G5561" s="92" t="s">
        <v>5767</v>
      </c>
      <c r="I5561">
        <v>4</v>
      </c>
      <c r="K5561" s="57">
        <v>0</v>
      </c>
      <c r="L5561" t="s">
        <v>3959</v>
      </c>
      <c r="M5561" t="s">
        <v>3959</v>
      </c>
      <c r="N5561" t="s">
        <v>3959</v>
      </c>
      <c r="O5561" t="s">
        <v>3959</v>
      </c>
      <c r="P5561" s="57">
        <v>1</v>
      </c>
      <c r="Q5561" s="57">
        <v>0</v>
      </c>
      <c r="R5561" s="57">
        <v>0</v>
      </c>
      <c r="S5561" s="57">
        <v>0</v>
      </c>
      <c r="T5561" s="57">
        <v>0</v>
      </c>
      <c r="U5561" s="57">
        <v>0</v>
      </c>
      <c r="V5561" s="57">
        <v>0</v>
      </c>
      <c r="W5561" s="57">
        <v>0</v>
      </c>
      <c r="X5561" s="57">
        <v>0</v>
      </c>
    </row>
    <row r="5562" spans="1:24" hidden="1" x14ac:dyDescent="0.35">
      <c r="A5562">
        <v>5558</v>
      </c>
      <c r="B5562">
        <v>5559</v>
      </c>
      <c r="C5562">
        <v>146.061007195</v>
      </c>
      <c r="D5562">
        <v>-17.6340848812</v>
      </c>
      <c r="F5562" t="str">
        <f>HYPERLINK("D:\Data From Lucan\2024\Moresby\Frames_for_Analysis/5559_20240611_0007_L_0361.jpg","5559_20240611_0007_L_0361.jpg")</f>
        <v>5559_20240611_0007_L_0361.jpg</v>
      </c>
      <c r="G5562" s="92" t="s">
        <v>5768</v>
      </c>
      <c r="I5562">
        <v>4</v>
      </c>
      <c r="K5562" s="57">
        <v>0</v>
      </c>
      <c r="L5562" t="s">
        <v>3959</v>
      </c>
      <c r="M5562" t="s">
        <v>3959</v>
      </c>
      <c r="N5562" t="s">
        <v>3959</v>
      </c>
      <c r="O5562" t="s">
        <v>3959</v>
      </c>
      <c r="P5562" s="57">
        <v>1</v>
      </c>
      <c r="Q5562" s="57">
        <v>0</v>
      </c>
      <c r="R5562" s="57">
        <v>0</v>
      </c>
      <c r="S5562" s="57">
        <v>0</v>
      </c>
      <c r="T5562" s="57">
        <v>0</v>
      </c>
      <c r="U5562" s="57">
        <v>0</v>
      </c>
      <c r="V5562" s="57">
        <v>0</v>
      </c>
      <c r="W5562" s="57">
        <v>0</v>
      </c>
      <c r="X5562" s="57">
        <v>0</v>
      </c>
    </row>
    <row r="5563" spans="1:24" hidden="1" x14ac:dyDescent="0.35">
      <c r="A5563">
        <v>5559</v>
      </c>
      <c r="B5563">
        <v>5560</v>
      </c>
      <c r="C5563">
        <v>146.06109191600001</v>
      </c>
      <c r="D5563">
        <v>-17.634113344300001</v>
      </c>
      <c r="F5563" t="str">
        <f>HYPERLINK("D:\Data From Lucan\2024\Moresby\Frames_for_Analysis/5560_20240611_0007_L_0364.jpg","5560_20240611_0007_L_0364.jpg")</f>
        <v>5560_20240611_0007_L_0364.jpg</v>
      </c>
      <c r="G5563" s="92" t="s">
        <v>5769</v>
      </c>
      <c r="I5563">
        <v>4</v>
      </c>
      <c r="K5563" s="57">
        <v>0</v>
      </c>
      <c r="L5563" t="s">
        <v>3959</v>
      </c>
      <c r="M5563" t="s">
        <v>3959</v>
      </c>
      <c r="N5563" t="s">
        <v>3959</v>
      </c>
      <c r="O5563" t="s">
        <v>3959</v>
      </c>
      <c r="P5563" s="57">
        <v>1</v>
      </c>
      <c r="Q5563" s="57">
        <v>0</v>
      </c>
      <c r="R5563" s="57">
        <v>0</v>
      </c>
      <c r="S5563" s="57">
        <v>0</v>
      </c>
      <c r="T5563" s="57">
        <v>0</v>
      </c>
      <c r="U5563" s="57">
        <v>0</v>
      </c>
      <c r="V5563" s="57">
        <v>0</v>
      </c>
      <c r="W5563" s="57">
        <v>0</v>
      </c>
      <c r="X5563" s="57">
        <v>0</v>
      </c>
    </row>
    <row r="5564" spans="1:24" hidden="1" x14ac:dyDescent="0.35">
      <c r="A5564">
        <v>5560</v>
      </c>
      <c r="B5564">
        <v>5561</v>
      </c>
      <c r="C5564">
        <v>146.061177334999</v>
      </c>
      <c r="D5564">
        <v>-17.634138694499899</v>
      </c>
      <c r="F5564" t="str">
        <f>HYPERLINK("D:\Data From Lucan\2024\Moresby\Frames_for_Analysis/5561_20240611_0007_L_0368.jpg","5561_20240611_0007_L_0368.jpg")</f>
        <v>5561_20240611_0007_L_0368.jpg</v>
      </c>
      <c r="G5564" s="92" t="s">
        <v>5770</v>
      </c>
      <c r="I5564">
        <v>4</v>
      </c>
      <c r="K5564" s="57">
        <v>0</v>
      </c>
      <c r="L5564" t="s">
        <v>3959</v>
      </c>
      <c r="M5564" t="s">
        <v>3959</v>
      </c>
      <c r="N5564" t="s">
        <v>3959</v>
      </c>
      <c r="O5564" t="s">
        <v>3959</v>
      </c>
      <c r="P5564" s="57">
        <v>1</v>
      </c>
      <c r="Q5564" s="57">
        <v>0</v>
      </c>
      <c r="R5564" s="57">
        <v>0</v>
      </c>
      <c r="S5564" s="57">
        <v>0</v>
      </c>
      <c r="T5564" s="57">
        <v>0</v>
      </c>
      <c r="U5564" s="57">
        <v>0</v>
      </c>
      <c r="V5564" s="57">
        <v>0</v>
      </c>
      <c r="W5564" s="57">
        <v>0</v>
      </c>
      <c r="X5564" s="57">
        <v>0</v>
      </c>
    </row>
    <row r="5565" spans="1:24" hidden="1" x14ac:dyDescent="0.35">
      <c r="A5565">
        <v>5561</v>
      </c>
      <c r="B5565">
        <v>5562</v>
      </c>
      <c r="C5565">
        <v>146.06126621600001</v>
      </c>
      <c r="D5565">
        <v>-17.634136983000001</v>
      </c>
      <c r="F5565" t="str">
        <f>HYPERLINK("D:\Data From Lucan\2024\Moresby\Frames_for_Analysis/5562_20240611_0007_L_0370.jpg","5562_20240611_0007_L_0370.jpg")</f>
        <v>5562_20240611_0007_L_0370.jpg</v>
      </c>
      <c r="G5565" s="92" t="s">
        <v>5771</v>
      </c>
      <c r="I5565">
        <v>4</v>
      </c>
      <c r="K5565" s="57">
        <v>0</v>
      </c>
      <c r="L5565" t="s">
        <v>3959</v>
      </c>
      <c r="M5565" t="s">
        <v>3959</v>
      </c>
      <c r="N5565" t="s">
        <v>3959</v>
      </c>
      <c r="O5565" t="s">
        <v>3959</v>
      </c>
      <c r="P5565" s="57">
        <v>1</v>
      </c>
      <c r="Q5565" s="57">
        <v>0</v>
      </c>
      <c r="R5565" s="57">
        <v>0</v>
      </c>
      <c r="S5565" s="57">
        <v>0</v>
      </c>
      <c r="T5565" s="57">
        <v>0</v>
      </c>
      <c r="U5565" s="57">
        <v>0</v>
      </c>
      <c r="V5565" s="57">
        <v>0</v>
      </c>
      <c r="W5565" s="57">
        <v>0</v>
      </c>
      <c r="X5565" s="57">
        <v>0</v>
      </c>
    </row>
    <row r="5566" spans="1:24" hidden="1" x14ac:dyDescent="0.35">
      <c r="A5566">
        <v>5562</v>
      </c>
      <c r="B5566">
        <v>5563</v>
      </c>
      <c r="C5566">
        <v>146.06135017899899</v>
      </c>
      <c r="D5566">
        <v>-17.634108294000001</v>
      </c>
      <c r="F5566" t="str">
        <f>HYPERLINK("D:\Data From Lucan\2024\Moresby\Frames_for_Analysis/5563_20240611_0007_L_0372.jpg","5563_20240611_0007_L_0372.jpg")</f>
        <v>5563_20240611_0007_L_0372.jpg</v>
      </c>
      <c r="G5566" s="92" t="s">
        <v>5772</v>
      </c>
      <c r="I5566">
        <v>4</v>
      </c>
      <c r="K5566" s="57">
        <v>0</v>
      </c>
      <c r="L5566" t="s">
        <v>3959</v>
      </c>
      <c r="M5566" t="s">
        <v>3959</v>
      </c>
      <c r="N5566" t="s">
        <v>3959</v>
      </c>
      <c r="O5566" t="s">
        <v>3959</v>
      </c>
      <c r="P5566" s="57">
        <v>1</v>
      </c>
      <c r="Q5566" s="57">
        <v>0</v>
      </c>
      <c r="R5566" s="57">
        <v>0</v>
      </c>
      <c r="S5566" s="57">
        <v>0</v>
      </c>
      <c r="T5566" s="57">
        <v>0</v>
      </c>
      <c r="U5566" s="57">
        <v>0</v>
      </c>
      <c r="V5566" s="57">
        <v>0</v>
      </c>
      <c r="W5566" s="57">
        <v>1</v>
      </c>
      <c r="X5566" s="57">
        <v>0</v>
      </c>
    </row>
    <row r="5567" spans="1:24" hidden="1" x14ac:dyDescent="0.35">
      <c r="A5567">
        <v>5563</v>
      </c>
      <c r="B5567">
        <v>5564</v>
      </c>
      <c r="C5567">
        <v>146.061399993999</v>
      </c>
      <c r="D5567">
        <v>-17.634171923299899</v>
      </c>
      <c r="F5567" t="str">
        <f>HYPERLINK("D:\Data From Lucan\2024\Moresby\Frames_for_Analysis/5564_20240611_0007_L_0374.jpg","5564_20240611_0007_L_0374.jpg")</f>
        <v>5564_20240611_0007_L_0374.jpg</v>
      </c>
      <c r="G5567" s="92" t="s">
        <v>5773</v>
      </c>
      <c r="I5567">
        <v>4</v>
      </c>
      <c r="K5567" s="57">
        <v>0</v>
      </c>
      <c r="L5567" t="s">
        <v>3959</v>
      </c>
      <c r="M5567" t="s">
        <v>3959</v>
      </c>
      <c r="N5567" t="s">
        <v>3959</v>
      </c>
      <c r="O5567" t="s">
        <v>3959</v>
      </c>
      <c r="P5567" s="57">
        <v>1</v>
      </c>
      <c r="Q5567" s="57">
        <v>0</v>
      </c>
      <c r="R5567" s="57">
        <v>0</v>
      </c>
      <c r="S5567" s="57">
        <v>0</v>
      </c>
      <c r="T5567" s="57">
        <v>0</v>
      </c>
      <c r="U5567" s="57">
        <v>0</v>
      </c>
      <c r="V5567" s="57">
        <v>0</v>
      </c>
      <c r="W5567" s="57">
        <v>1</v>
      </c>
      <c r="X5567" s="57">
        <v>0</v>
      </c>
    </row>
    <row r="5568" spans="1:24" hidden="1" x14ac:dyDescent="0.35">
      <c r="A5568">
        <v>5564</v>
      </c>
      <c r="B5568">
        <v>5565</v>
      </c>
      <c r="C5568">
        <v>146.06147300800001</v>
      </c>
      <c r="D5568">
        <v>-17.634221796199899</v>
      </c>
      <c r="F5568" t="str">
        <f>HYPERLINK("D:\Data From Lucan\2024\Moresby\Frames_for_Analysis/5565_20240611_0007_L_0376.jpg","5565_20240611_0007_L_0376.jpg")</f>
        <v>5565_20240611_0007_L_0376.jpg</v>
      </c>
      <c r="G5568" s="92" t="s">
        <v>5774</v>
      </c>
      <c r="I5568">
        <v>4</v>
      </c>
      <c r="K5568" s="57">
        <v>0</v>
      </c>
      <c r="L5568" t="s">
        <v>3959</v>
      </c>
      <c r="M5568" t="s">
        <v>3959</v>
      </c>
      <c r="N5568" t="s">
        <v>3959</v>
      </c>
      <c r="O5568" t="s">
        <v>3959</v>
      </c>
      <c r="P5568" s="57">
        <v>1</v>
      </c>
      <c r="Q5568" s="57">
        <v>0</v>
      </c>
      <c r="R5568" s="57">
        <v>0</v>
      </c>
      <c r="S5568" s="57">
        <v>0</v>
      </c>
      <c r="T5568" s="57">
        <v>0</v>
      </c>
      <c r="U5568" s="57">
        <v>0</v>
      </c>
      <c r="V5568" s="57">
        <v>0</v>
      </c>
      <c r="W5568" s="57">
        <v>1</v>
      </c>
      <c r="X5568" s="57">
        <v>0</v>
      </c>
    </row>
    <row r="5569" spans="1:24" hidden="1" x14ac:dyDescent="0.35">
      <c r="A5569">
        <v>5565</v>
      </c>
      <c r="B5569">
        <v>5566</v>
      </c>
      <c r="C5569">
        <v>146.06154602300001</v>
      </c>
      <c r="D5569">
        <v>-17.634271669099899</v>
      </c>
      <c r="F5569" t="str">
        <f>HYPERLINK("D:\Data From Lucan\2024\Moresby\Frames_for_Analysis/5566_20240611_0007_L_0378.jpg","5566_20240611_0007_L_0378.jpg")</f>
        <v>5566_20240611_0007_L_0378.jpg</v>
      </c>
      <c r="G5569" s="92" t="s">
        <v>5775</v>
      </c>
      <c r="I5569">
        <v>4</v>
      </c>
      <c r="K5569" s="57">
        <v>0</v>
      </c>
      <c r="L5569" t="s">
        <v>3959</v>
      </c>
      <c r="M5569" t="s">
        <v>3959</v>
      </c>
      <c r="N5569" t="s">
        <v>3959</v>
      </c>
      <c r="O5569" t="s">
        <v>3959</v>
      </c>
      <c r="P5569" s="57">
        <v>1</v>
      </c>
      <c r="Q5569" s="57">
        <v>0</v>
      </c>
      <c r="R5569" s="57">
        <v>0</v>
      </c>
      <c r="S5569" s="57">
        <v>0</v>
      </c>
      <c r="T5569" s="57">
        <v>0</v>
      </c>
      <c r="U5569" s="57">
        <v>0</v>
      </c>
      <c r="V5569" s="57">
        <v>0</v>
      </c>
      <c r="W5569" s="57">
        <v>1</v>
      </c>
      <c r="X5569" s="57">
        <v>0</v>
      </c>
    </row>
    <row r="5570" spans="1:24" hidden="1" x14ac:dyDescent="0.35">
      <c r="A5570">
        <v>5566</v>
      </c>
      <c r="B5570">
        <v>5567</v>
      </c>
      <c r="C5570">
        <v>146.06161903700001</v>
      </c>
      <c r="D5570">
        <v>-17.634321541999899</v>
      </c>
      <c r="F5570" t="str">
        <f>HYPERLINK("D:\Data From Lucan\2024\Moresby\Frames_for_Analysis/5567_20240611_0007_L_0379.jpg","5567_20240611_0007_L_0379.jpg")</f>
        <v>5567_20240611_0007_L_0379.jpg</v>
      </c>
      <c r="G5570" s="92" t="s">
        <v>5776</v>
      </c>
      <c r="I5570">
        <v>4</v>
      </c>
      <c r="K5570" s="57">
        <v>0</v>
      </c>
      <c r="L5570" t="s">
        <v>3959</v>
      </c>
      <c r="M5570" t="s">
        <v>3959</v>
      </c>
      <c r="N5570" t="s">
        <v>3959</v>
      </c>
      <c r="O5570" t="s">
        <v>3959</v>
      </c>
      <c r="P5570" s="57">
        <v>1</v>
      </c>
      <c r="Q5570" s="57">
        <v>0</v>
      </c>
      <c r="R5570" s="57">
        <v>0</v>
      </c>
      <c r="S5570" s="57">
        <v>0</v>
      </c>
      <c r="T5570" s="57">
        <v>0</v>
      </c>
      <c r="U5570" s="57">
        <v>0</v>
      </c>
      <c r="V5570" s="57">
        <v>0</v>
      </c>
      <c r="W5570" s="57">
        <v>0</v>
      </c>
      <c r="X5570" s="57">
        <v>0</v>
      </c>
    </row>
    <row r="5571" spans="1:24" hidden="1" x14ac:dyDescent="0.35">
      <c r="A5571">
        <v>5567</v>
      </c>
      <c r="B5571">
        <v>5568</v>
      </c>
      <c r="C5571">
        <v>146.061601547999</v>
      </c>
      <c r="D5571">
        <v>-17.6343998450999</v>
      </c>
      <c r="F5571" t="str">
        <f>HYPERLINK("D:\Data From Lucan\2024\Moresby\Frames_for_Analysis/5568_20240611_0007_L_0382.jpg","5568_20240611_0007_L_0382.jpg")</f>
        <v>5568_20240611_0007_L_0382.jpg</v>
      </c>
      <c r="G5571" s="92" t="s">
        <v>5777</v>
      </c>
      <c r="I5571">
        <v>4</v>
      </c>
      <c r="K5571" s="57">
        <v>0</v>
      </c>
      <c r="L5571" t="s">
        <v>3959</v>
      </c>
      <c r="M5571" t="s">
        <v>3959</v>
      </c>
      <c r="N5571" t="s">
        <v>3959</v>
      </c>
      <c r="O5571" t="s">
        <v>3959</v>
      </c>
      <c r="P5571" s="57">
        <v>1</v>
      </c>
      <c r="Q5571" s="57">
        <v>0</v>
      </c>
      <c r="R5571" s="57">
        <v>0</v>
      </c>
      <c r="S5571" s="57">
        <v>0</v>
      </c>
      <c r="T5571" s="57">
        <v>0</v>
      </c>
      <c r="U5571" s="57">
        <v>0</v>
      </c>
      <c r="V5571" s="57">
        <v>0</v>
      </c>
      <c r="W5571" s="57">
        <v>0</v>
      </c>
      <c r="X5571" s="57">
        <v>0</v>
      </c>
    </row>
    <row r="5572" spans="1:24" hidden="1" x14ac:dyDescent="0.35">
      <c r="A5572">
        <v>5568</v>
      </c>
      <c r="B5572">
        <v>5569</v>
      </c>
      <c r="C5572">
        <v>146.061573963999</v>
      </c>
      <c r="D5572">
        <v>-17.634481319500001</v>
      </c>
      <c r="F5572" t="str">
        <f>HYPERLINK("D:\Data From Lucan\2024\Moresby\Frames_for_Analysis/5569_20240611_0007_L_0383.jpg","5569_20240611_0007_L_0383.jpg")</f>
        <v>5569_20240611_0007_L_0383.jpg</v>
      </c>
      <c r="G5572" s="92" t="s">
        <v>5778</v>
      </c>
      <c r="I5572">
        <v>4</v>
      </c>
      <c r="K5572" s="57">
        <v>0</v>
      </c>
      <c r="L5572" t="s">
        <v>3959</v>
      </c>
      <c r="M5572" t="s">
        <v>3959</v>
      </c>
      <c r="N5572" t="s">
        <v>3959</v>
      </c>
      <c r="O5572" t="s">
        <v>3959</v>
      </c>
      <c r="P5572" s="57">
        <v>1</v>
      </c>
      <c r="Q5572" s="57">
        <v>0</v>
      </c>
      <c r="R5572" s="57">
        <v>0</v>
      </c>
      <c r="S5572" s="57">
        <v>0</v>
      </c>
      <c r="T5572" s="57">
        <v>0</v>
      </c>
      <c r="U5572" s="57">
        <v>0</v>
      </c>
      <c r="V5572" s="57">
        <v>0</v>
      </c>
      <c r="W5572" s="57">
        <v>0</v>
      </c>
      <c r="X5572" s="57">
        <v>0</v>
      </c>
    </row>
    <row r="5573" spans="1:24" hidden="1" x14ac:dyDescent="0.35">
      <c r="A5573">
        <v>5569</v>
      </c>
      <c r="B5573">
        <v>5570</v>
      </c>
      <c r="C5573">
        <v>146.06154638000001</v>
      </c>
      <c r="D5573">
        <v>-17.634562793800001</v>
      </c>
      <c r="F5573" t="str">
        <f>HYPERLINK("D:\Data From Lucan\2024\Moresby\Frames_for_Analysis/5570_20240611_0007_L_0387.jpg","5570_20240611_0007_L_0387.jpg")</f>
        <v>5570_20240611_0007_L_0387.jpg</v>
      </c>
      <c r="G5573" s="92" t="s">
        <v>5779</v>
      </c>
      <c r="I5573">
        <v>4</v>
      </c>
      <c r="K5573" s="57">
        <v>0</v>
      </c>
      <c r="L5573" t="s">
        <v>3959</v>
      </c>
      <c r="M5573" t="s">
        <v>3959</v>
      </c>
      <c r="N5573" t="s">
        <v>3959</v>
      </c>
      <c r="O5573" t="s">
        <v>3959</v>
      </c>
      <c r="P5573" s="57">
        <v>1</v>
      </c>
      <c r="Q5573" s="57">
        <v>0</v>
      </c>
      <c r="R5573" s="57">
        <v>0</v>
      </c>
      <c r="S5573" s="57">
        <v>0</v>
      </c>
      <c r="T5573" s="57">
        <v>0</v>
      </c>
      <c r="U5573" s="57">
        <v>0</v>
      </c>
      <c r="V5573" s="57">
        <v>0</v>
      </c>
      <c r="W5573" s="57">
        <v>0</v>
      </c>
      <c r="X5573" s="57">
        <v>0</v>
      </c>
    </row>
    <row r="5574" spans="1:24" hidden="1" x14ac:dyDescent="0.35">
      <c r="A5574">
        <v>5570</v>
      </c>
      <c r="B5574">
        <v>5571</v>
      </c>
      <c r="C5574">
        <v>146.061518796</v>
      </c>
      <c r="D5574">
        <v>-17.634644267999899</v>
      </c>
      <c r="F5574" t="str">
        <f>HYPERLINK("D:\Data From Lucan\2024\Moresby\Frames_for_Analysis/5571_20240611_0007_L_0389.jpg","5571_20240611_0007_L_0389.jpg")</f>
        <v>5571_20240611_0007_L_0389.jpg</v>
      </c>
      <c r="G5574" s="92" t="s">
        <v>5780</v>
      </c>
      <c r="I5574">
        <v>4</v>
      </c>
      <c r="K5574" s="57">
        <v>0</v>
      </c>
      <c r="L5574" t="s">
        <v>3959</v>
      </c>
      <c r="M5574" t="s">
        <v>3959</v>
      </c>
      <c r="N5574" t="s">
        <v>3959</v>
      </c>
      <c r="O5574" t="s">
        <v>3959</v>
      </c>
      <c r="P5574" s="57">
        <v>1</v>
      </c>
      <c r="Q5574" s="57">
        <v>0</v>
      </c>
      <c r="R5574" s="57">
        <v>0</v>
      </c>
      <c r="S5574" s="57">
        <v>0</v>
      </c>
      <c r="T5574" s="57">
        <v>0</v>
      </c>
      <c r="U5574" s="57">
        <v>0</v>
      </c>
      <c r="V5574" s="57">
        <v>0</v>
      </c>
      <c r="W5574" s="57">
        <v>0</v>
      </c>
      <c r="X5574" s="57">
        <v>0</v>
      </c>
    </row>
    <row r="5575" spans="1:24" hidden="1" x14ac:dyDescent="0.35">
      <c r="A5575">
        <v>5571</v>
      </c>
      <c r="B5575">
        <v>5572</v>
      </c>
      <c r="C5575">
        <v>146.061491211999</v>
      </c>
      <c r="D5575">
        <v>-17.634725742299899</v>
      </c>
      <c r="F5575" t="str">
        <f>HYPERLINK("D:\Data From Lucan\2024\Moresby\Frames_for_Analysis/5572_20240611_0007_L_0392.jpg","5572_20240611_0007_L_0392.jpg")</f>
        <v>5572_20240611_0007_L_0392.jpg</v>
      </c>
      <c r="G5575" s="92" t="s">
        <v>5781</v>
      </c>
      <c r="I5575">
        <v>4</v>
      </c>
      <c r="K5575" s="57">
        <v>0</v>
      </c>
      <c r="L5575" t="s">
        <v>3959</v>
      </c>
      <c r="M5575" t="s">
        <v>3959</v>
      </c>
      <c r="N5575" t="s">
        <v>3959</v>
      </c>
      <c r="O5575" t="s">
        <v>3959</v>
      </c>
      <c r="P5575" s="57">
        <v>1</v>
      </c>
      <c r="Q5575" s="57">
        <v>0</v>
      </c>
      <c r="R5575" s="57">
        <v>0</v>
      </c>
      <c r="S5575" s="57">
        <v>0</v>
      </c>
      <c r="T5575" s="57">
        <v>0</v>
      </c>
      <c r="U5575" s="57">
        <v>0</v>
      </c>
      <c r="V5575" s="57">
        <v>0</v>
      </c>
      <c r="W5575" s="57">
        <v>0</v>
      </c>
      <c r="X5575" s="57">
        <v>0</v>
      </c>
    </row>
    <row r="5576" spans="1:24" hidden="1" x14ac:dyDescent="0.35">
      <c r="A5576">
        <v>5572</v>
      </c>
      <c r="B5576">
        <v>5573</v>
      </c>
      <c r="C5576">
        <v>146.061463629</v>
      </c>
      <c r="D5576">
        <v>-17.6348072165</v>
      </c>
      <c r="F5576" t="str">
        <f>HYPERLINK("D:\Data From Lucan\2024\Moresby\Frames_for_Analysis/5573_20240611_0007_L_0394.jpg","5573_20240611_0007_L_0394.jpg")</f>
        <v>5573_20240611_0007_L_0394.jpg</v>
      </c>
      <c r="G5576" s="92" t="s">
        <v>5782</v>
      </c>
      <c r="I5576">
        <v>4</v>
      </c>
      <c r="K5576" s="57">
        <v>0</v>
      </c>
      <c r="L5576" t="s">
        <v>3959</v>
      </c>
      <c r="M5576" t="s">
        <v>3959</v>
      </c>
      <c r="N5576" t="s">
        <v>3959</v>
      </c>
      <c r="O5576" t="s">
        <v>3959</v>
      </c>
      <c r="P5576" s="57">
        <v>1</v>
      </c>
      <c r="Q5576" s="57">
        <v>0</v>
      </c>
      <c r="R5576" s="57">
        <v>0</v>
      </c>
      <c r="S5576" s="57">
        <v>0</v>
      </c>
      <c r="T5576" s="57">
        <v>0</v>
      </c>
      <c r="U5576" s="57">
        <v>0</v>
      </c>
      <c r="V5576" s="57">
        <v>0</v>
      </c>
      <c r="W5576" s="57">
        <v>0</v>
      </c>
      <c r="X5576" s="57">
        <v>0</v>
      </c>
    </row>
    <row r="5577" spans="1:24" hidden="1" x14ac:dyDescent="0.35">
      <c r="A5577">
        <v>5573</v>
      </c>
      <c r="B5577">
        <v>5574</v>
      </c>
      <c r="C5577">
        <v>146.061436044</v>
      </c>
      <c r="D5577">
        <v>-17.634888690499899</v>
      </c>
      <c r="F5577" t="str">
        <f>HYPERLINK("D:\Data From Lucan\2024\Moresby\Frames_for_Analysis/5574_20240611_0007_L_0397.jpg","5574_20240611_0007_L_0397.jpg")</f>
        <v>5574_20240611_0007_L_0397.jpg</v>
      </c>
      <c r="G5577" s="92" t="s">
        <v>5783</v>
      </c>
      <c r="I5577">
        <v>4</v>
      </c>
      <c r="K5577" s="57">
        <v>0</v>
      </c>
      <c r="L5577" t="s">
        <v>3959</v>
      </c>
      <c r="M5577" t="s">
        <v>3959</v>
      </c>
      <c r="N5577" t="s">
        <v>3959</v>
      </c>
      <c r="O5577" t="s">
        <v>3959</v>
      </c>
      <c r="P5577" s="57">
        <v>1</v>
      </c>
      <c r="Q5577" s="57">
        <v>0</v>
      </c>
      <c r="R5577" s="57">
        <v>0</v>
      </c>
      <c r="S5577" s="57">
        <v>0</v>
      </c>
      <c r="T5577" s="57">
        <v>0</v>
      </c>
      <c r="U5577" s="57">
        <v>0</v>
      </c>
      <c r="V5577" s="57">
        <v>0</v>
      </c>
      <c r="W5577" s="57">
        <v>0</v>
      </c>
      <c r="X5577" s="57">
        <v>0</v>
      </c>
    </row>
    <row r="5578" spans="1:24" hidden="1" x14ac:dyDescent="0.35">
      <c r="A5578">
        <v>5574</v>
      </c>
      <c r="B5578">
        <v>5575</v>
      </c>
      <c r="C5578">
        <v>146.061408459999</v>
      </c>
      <c r="D5578">
        <v>-17.634970164399899</v>
      </c>
      <c r="F5578" t="str">
        <f>HYPERLINK("D:\Data From Lucan\2024\Moresby\Frames_for_Analysis/5575_20240611_0007_L_0399.jpg","5575_20240611_0007_L_0399.jpg")</f>
        <v>5575_20240611_0007_L_0399.jpg</v>
      </c>
      <c r="G5578" s="92" t="s">
        <v>5784</v>
      </c>
      <c r="I5578">
        <v>4</v>
      </c>
      <c r="K5578" s="57">
        <v>0</v>
      </c>
      <c r="L5578" t="s">
        <v>3959</v>
      </c>
      <c r="M5578" t="s">
        <v>3959</v>
      </c>
      <c r="N5578" t="s">
        <v>3959</v>
      </c>
      <c r="O5578" t="s">
        <v>3959</v>
      </c>
      <c r="P5578" s="57">
        <v>1</v>
      </c>
      <c r="Q5578" s="57">
        <v>0</v>
      </c>
      <c r="R5578" s="57">
        <v>0</v>
      </c>
      <c r="S5578" s="57">
        <v>0</v>
      </c>
      <c r="T5578" s="57">
        <v>0</v>
      </c>
      <c r="U5578" s="57">
        <v>0</v>
      </c>
      <c r="V5578" s="57">
        <v>0</v>
      </c>
      <c r="W5578" s="57">
        <v>0</v>
      </c>
      <c r="X5578" s="57">
        <v>0</v>
      </c>
    </row>
    <row r="5579" spans="1:24" hidden="1" x14ac:dyDescent="0.35">
      <c r="A5579">
        <v>5575</v>
      </c>
      <c r="B5579">
        <v>5576</v>
      </c>
      <c r="C5579">
        <v>146.061380874999</v>
      </c>
      <c r="D5579">
        <v>-17.635051638299899</v>
      </c>
      <c r="F5579" t="str">
        <f>HYPERLINK("D:\Data From Lucan\2024\Moresby\Frames_for_Analysis/5576_20240611_0007_L_0402.jpg","5576_20240611_0007_L_0402.jpg")</f>
        <v>5576_20240611_0007_L_0402.jpg</v>
      </c>
      <c r="G5579" s="92" t="s">
        <v>5785</v>
      </c>
      <c r="I5579">
        <v>4</v>
      </c>
      <c r="K5579" s="57">
        <v>0</v>
      </c>
      <c r="L5579" t="s">
        <v>3959</v>
      </c>
      <c r="M5579" t="s">
        <v>3959</v>
      </c>
      <c r="N5579" t="s">
        <v>3959</v>
      </c>
      <c r="O5579" t="s">
        <v>3959</v>
      </c>
      <c r="P5579" s="57">
        <v>1</v>
      </c>
      <c r="Q5579" s="57">
        <v>0</v>
      </c>
      <c r="R5579" s="57">
        <v>0</v>
      </c>
      <c r="S5579" s="57">
        <v>0</v>
      </c>
      <c r="T5579" s="57">
        <v>0</v>
      </c>
      <c r="U5579" s="57">
        <v>0</v>
      </c>
      <c r="V5579" s="57">
        <v>0</v>
      </c>
      <c r="W5579" s="57">
        <v>0</v>
      </c>
      <c r="X5579" s="57">
        <v>0</v>
      </c>
    </row>
    <row r="5580" spans="1:24" hidden="1" x14ac:dyDescent="0.35">
      <c r="A5580">
        <v>5576</v>
      </c>
      <c r="B5580">
        <v>5577</v>
      </c>
      <c r="C5580">
        <v>146.061342862999</v>
      </c>
      <c r="D5580">
        <v>-17.635129031799899</v>
      </c>
      <c r="F5580" t="str">
        <f>HYPERLINK("D:\Data From Lucan\2024\Moresby\Frames_for_Analysis/5577_20240611_0007_L_0406.jpg","5577_20240611_0007_L_0406.jpg")</f>
        <v>5577_20240611_0007_L_0406.jpg</v>
      </c>
      <c r="G5580" s="92" t="s">
        <v>5786</v>
      </c>
      <c r="I5580">
        <v>4</v>
      </c>
      <c r="K5580" s="57">
        <v>0</v>
      </c>
      <c r="L5580" t="s">
        <v>3959</v>
      </c>
      <c r="M5580" t="s">
        <v>3959</v>
      </c>
      <c r="N5580" t="s">
        <v>3959</v>
      </c>
      <c r="O5580" t="s">
        <v>3959</v>
      </c>
      <c r="P5580" s="57">
        <v>1</v>
      </c>
      <c r="Q5580" s="57">
        <v>0</v>
      </c>
      <c r="R5580" s="57">
        <v>0</v>
      </c>
      <c r="S5580" s="57">
        <v>0</v>
      </c>
      <c r="T5580" s="57">
        <v>0</v>
      </c>
      <c r="U5580" s="57">
        <v>0</v>
      </c>
      <c r="V5580" s="57">
        <v>0</v>
      </c>
      <c r="W5580" s="57">
        <v>0</v>
      </c>
      <c r="X5580" s="57">
        <v>0</v>
      </c>
    </row>
    <row r="5581" spans="1:24" hidden="1" x14ac:dyDescent="0.35">
      <c r="A5581">
        <v>5577</v>
      </c>
      <c r="B5581">
        <v>5578</v>
      </c>
      <c r="C5581">
        <v>146.061302409999</v>
      </c>
      <c r="D5581">
        <v>-17.635205470300001</v>
      </c>
      <c r="F5581" t="str">
        <f>HYPERLINK("D:\Data From Lucan\2024\Moresby\Frames_for_Analysis/5578_20240611_0007_L_0408.jpg","5578_20240611_0007_L_0408.jpg")</f>
        <v>5578_20240611_0007_L_0408.jpg</v>
      </c>
      <c r="G5581" s="92" t="s">
        <v>5787</v>
      </c>
      <c r="I5581">
        <v>4</v>
      </c>
      <c r="K5581" s="57">
        <v>0</v>
      </c>
      <c r="L5581" t="s">
        <v>3959</v>
      </c>
      <c r="M5581" t="s">
        <v>3959</v>
      </c>
      <c r="N5581" t="s">
        <v>3959</v>
      </c>
      <c r="O5581" t="s">
        <v>3959</v>
      </c>
      <c r="P5581" s="57">
        <v>1</v>
      </c>
      <c r="Q5581" s="57">
        <v>0</v>
      </c>
      <c r="R5581" s="57">
        <v>0</v>
      </c>
      <c r="S5581" s="57">
        <v>0</v>
      </c>
      <c r="T5581" s="57">
        <v>0</v>
      </c>
      <c r="U5581" s="57">
        <v>0</v>
      </c>
      <c r="V5581" s="57">
        <v>0</v>
      </c>
      <c r="W5581" s="57">
        <v>0</v>
      </c>
      <c r="X5581" s="57">
        <v>0</v>
      </c>
    </row>
    <row r="5582" spans="1:24" hidden="1" x14ac:dyDescent="0.35">
      <c r="A5582">
        <v>5578</v>
      </c>
      <c r="B5582">
        <v>5579</v>
      </c>
      <c r="C5582">
        <v>146.061261002999</v>
      </c>
      <c r="D5582">
        <v>-17.6352813717</v>
      </c>
      <c r="F5582" t="str">
        <f>HYPERLINK("D:\Data From Lucan\2024\Moresby\Frames_for_Analysis/5579_20240611_0007_L_0411.jpg","5579_20240611_0007_L_0411.jpg")</f>
        <v>5579_20240611_0007_L_0411.jpg</v>
      </c>
      <c r="G5582" s="92" t="s">
        <v>5788</v>
      </c>
      <c r="I5582">
        <v>4</v>
      </c>
      <c r="K5582" s="57">
        <v>0</v>
      </c>
      <c r="L5582" t="s">
        <v>3959</v>
      </c>
      <c r="M5582" t="s">
        <v>3959</v>
      </c>
      <c r="N5582" t="s">
        <v>3959</v>
      </c>
      <c r="O5582" t="s">
        <v>3959</v>
      </c>
      <c r="P5582" s="57">
        <v>1</v>
      </c>
      <c r="Q5582" s="57">
        <v>0</v>
      </c>
      <c r="R5582" s="57">
        <v>0</v>
      </c>
      <c r="S5582" s="57">
        <v>0</v>
      </c>
      <c r="T5582" s="57">
        <v>0</v>
      </c>
      <c r="U5582" s="57">
        <v>0</v>
      </c>
      <c r="V5582" s="57">
        <v>0</v>
      </c>
      <c r="W5582" s="57">
        <v>0</v>
      </c>
      <c r="X5582" s="57">
        <v>0</v>
      </c>
    </row>
    <row r="5583" spans="1:24" hidden="1" x14ac:dyDescent="0.35">
      <c r="A5583">
        <v>5579</v>
      </c>
      <c r="B5583">
        <v>5580</v>
      </c>
      <c r="C5583">
        <v>146.06121036100001</v>
      </c>
      <c r="D5583">
        <v>-17.635352081400001</v>
      </c>
      <c r="F5583" t="str">
        <f>HYPERLINK("D:\Data From Lucan\2024\Moresby\Frames_for_Analysis/5580_20240611_0007_L_0413.jpg","5580_20240611_0007_L_0413.jpg")</f>
        <v>5580_20240611_0007_L_0413.jpg</v>
      </c>
      <c r="G5583" s="92" t="s">
        <v>5789</v>
      </c>
      <c r="I5583">
        <v>4</v>
      </c>
      <c r="K5583" s="57">
        <v>0</v>
      </c>
      <c r="L5583" t="s">
        <v>3959</v>
      </c>
      <c r="M5583" t="s">
        <v>3959</v>
      </c>
      <c r="N5583" t="s">
        <v>3959</v>
      </c>
      <c r="O5583" t="s">
        <v>3959</v>
      </c>
      <c r="P5583" s="57">
        <v>1</v>
      </c>
      <c r="Q5583" s="57">
        <v>0</v>
      </c>
      <c r="R5583" s="57">
        <v>0</v>
      </c>
      <c r="S5583" s="57">
        <v>0</v>
      </c>
      <c r="T5583" s="57">
        <v>0</v>
      </c>
      <c r="U5583" s="57">
        <v>0</v>
      </c>
      <c r="V5583" s="57">
        <v>0</v>
      </c>
      <c r="W5583" s="57">
        <v>0</v>
      </c>
      <c r="X5583" s="57">
        <v>0</v>
      </c>
    </row>
    <row r="5584" spans="1:24" hidden="1" x14ac:dyDescent="0.35">
      <c r="A5584">
        <v>5580</v>
      </c>
      <c r="B5584">
        <v>5581</v>
      </c>
      <c r="C5584">
        <v>146.06115972000001</v>
      </c>
      <c r="D5584">
        <v>-17.635422791100002</v>
      </c>
      <c r="F5584" t="str">
        <f>HYPERLINK("D:\Data From Lucan\2024\Moresby\Frames_for_Analysis/5581_20240611_0007_L_0415.jpg","5581_20240611_0007_L_0415.jpg")</f>
        <v>5581_20240611_0007_L_0415.jpg</v>
      </c>
      <c r="G5584" s="92" t="s">
        <v>5790</v>
      </c>
      <c r="I5584">
        <v>4</v>
      </c>
      <c r="K5584" s="57">
        <v>0</v>
      </c>
      <c r="L5584" t="s">
        <v>3959</v>
      </c>
      <c r="M5584" t="s">
        <v>3959</v>
      </c>
      <c r="N5584" t="s">
        <v>3959</v>
      </c>
      <c r="O5584" t="s">
        <v>3959</v>
      </c>
      <c r="P5584" s="57">
        <v>1</v>
      </c>
      <c r="Q5584" s="57">
        <v>0</v>
      </c>
      <c r="R5584" s="57">
        <v>0</v>
      </c>
      <c r="S5584" s="57">
        <v>0</v>
      </c>
      <c r="T5584" s="57">
        <v>0</v>
      </c>
      <c r="U5584" s="57">
        <v>0</v>
      </c>
      <c r="V5584" s="57">
        <v>0</v>
      </c>
      <c r="W5584" s="57">
        <v>0</v>
      </c>
      <c r="X5584" s="57">
        <v>0</v>
      </c>
    </row>
    <row r="5585" spans="1:24" hidden="1" x14ac:dyDescent="0.35">
      <c r="A5585">
        <v>5581</v>
      </c>
      <c r="B5585">
        <v>5582</v>
      </c>
      <c r="C5585">
        <v>146.06110907799899</v>
      </c>
      <c r="D5585">
        <v>-17.635493500700001</v>
      </c>
      <c r="F5585" t="str">
        <f>HYPERLINK("D:\Data From Lucan\2024\Moresby\Frames_for_Analysis/5582_20240611_0007_L_0418.jpg","5582_20240611_0007_L_0418.jpg")</f>
        <v>5582_20240611_0007_L_0418.jpg</v>
      </c>
      <c r="G5585" s="92" t="s">
        <v>5791</v>
      </c>
      <c r="I5585">
        <v>4</v>
      </c>
      <c r="K5585" s="57">
        <v>0</v>
      </c>
      <c r="L5585" t="s">
        <v>3959</v>
      </c>
      <c r="M5585" t="s">
        <v>3959</v>
      </c>
      <c r="N5585" t="s">
        <v>3959</v>
      </c>
      <c r="O5585" t="s">
        <v>3959</v>
      </c>
      <c r="P5585" s="57">
        <v>1</v>
      </c>
      <c r="Q5585" s="57">
        <v>0</v>
      </c>
      <c r="R5585" s="57">
        <v>0</v>
      </c>
      <c r="S5585" s="57">
        <v>0</v>
      </c>
      <c r="T5585" s="57">
        <v>0</v>
      </c>
      <c r="U5585" s="57">
        <v>0</v>
      </c>
      <c r="V5585" s="57">
        <v>0</v>
      </c>
      <c r="W5585" s="57">
        <v>0</v>
      </c>
      <c r="X5585" s="57">
        <v>0</v>
      </c>
    </row>
    <row r="5586" spans="1:24" hidden="1" x14ac:dyDescent="0.35">
      <c r="A5586">
        <v>5582</v>
      </c>
      <c r="B5586">
        <v>5583</v>
      </c>
      <c r="C5586">
        <v>146.06105843700001</v>
      </c>
      <c r="D5586">
        <v>-17.635564210399899</v>
      </c>
      <c r="F5586" t="str">
        <f>HYPERLINK("D:\Data From Lucan\2024\Moresby\Frames_for_Analysis/5583_20240611_0007_L_0422.jpg","5583_20240611_0007_L_0422.jpg")</f>
        <v>5583_20240611_0007_L_0422.jpg</v>
      </c>
      <c r="G5586" s="92" t="s">
        <v>5792</v>
      </c>
      <c r="I5586">
        <v>4</v>
      </c>
      <c r="K5586" s="57">
        <v>1</v>
      </c>
      <c r="L5586" t="s">
        <v>3959</v>
      </c>
      <c r="M5586" t="s">
        <v>3959</v>
      </c>
      <c r="N5586" t="s">
        <v>3959</v>
      </c>
      <c r="O5586" t="s">
        <v>3959</v>
      </c>
      <c r="P5586" s="57">
        <v>1</v>
      </c>
      <c r="Q5586" s="57">
        <v>0</v>
      </c>
      <c r="R5586" s="57">
        <v>0</v>
      </c>
      <c r="S5586" s="57">
        <v>0</v>
      </c>
      <c r="T5586" s="57">
        <v>0</v>
      </c>
      <c r="U5586" s="57">
        <v>0</v>
      </c>
      <c r="V5586" s="57">
        <v>0</v>
      </c>
      <c r="W5586" s="57">
        <v>0</v>
      </c>
      <c r="X5586" s="57">
        <v>0</v>
      </c>
    </row>
    <row r="5587" spans="1:24" hidden="1" x14ac:dyDescent="0.35">
      <c r="A5587">
        <v>5583</v>
      </c>
      <c r="B5587">
        <v>5584</v>
      </c>
      <c r="C5587">
        <v>146.061007794999</v>
      </c>
      <c r="D5587">
        <v>-17.635634920000001</v>
      </c>
      <c r="F5587" t="str">
        <f>HYPERLINK("D:\Data From Lucan\2024\Moresby\Frames_for_Analysis/5584_20240611_0007_L_0426.jpg","5584_20240611_0007_L_0426.jpg")</f>
        <v>5584_20240611_0007_L_0426.jpg</v>
      </c>
      <c r="G5587" s="92" t="s">
        <v>5793</v>
      </c>
      <c r="I5587">
        <v>4</v>
      </c>
      <c r="K5587" s="57">
        <v>1</v>
      </c>
      <c r="L5587" t="s">
        <v>3959</v>
      </c>
      <c r="M5587" t="s">
        <v>3959</v>
      </c>
      <c r="N5587" t="s">
        <v>3959</v>
      </c>
      <c r="O5587" t="s">
        <v>3959</v>
      </c>
      <c r="P5587" s="57">
        <v>1</v>
      </c>
      <c r="Q5587" s="57">
        <v>0</v>
      </c>
      <c r="R5587" s="57">
        <v>0</v>
      </c>
      <c r="S5587" s="57">
        <v>0</v>
      </c>
      <c r="T5587" s="57">
        <v>0</v>
      </c>
      <c r="U5587" s="57">
        <v>0</v>
      </c>
      <c r="V5587" s="57">
        <v>0</v>
      </c>
      <c r="W5587" s="57">
        <v>0</v>
      </c>
      <c r="X5587" s="57">
        <v>0</v>
      </c>
    </row>
    <row r="5588" spans="1:24" hidden="1" x14ac:dyDescent="0.35">
      <c r="A5588">
        <v>5584</v>
      </c>
      <c r="B5588">
        <v>5585</v>
      </c>
      <c r="C5588">
        <v>146.06096029099899</v>
      </c>
      <c r="D5588">
        <v>-17.635707521400001</v>
      </c>
      <c r="F5588" t="str">
        <f>HYPERLINK("D:\Data From Lucan\2024\Moresby\Frames_for_Analysis/5585_20240611_0007_L_0429.jpg","5585_20240611_0007_L_0429.jpg")</f>
        <v>5585_20240611_0007_L_0429.jpg</v>
      </c>
      <c r="G5588" s="92" t="s">
        <v>5794</v>
      </c>
      <c r="I5588">
        <v>4</v>
      </c>
      <c r="K5588" s="57">
        <v>1</v>
      </c>
      <c r="L5588" t="s">
        <v>3959</v>
      </c>
      <c r="M5588" t="s">
        <v>3959</v>
      </c>
      <c r="N5588" t="s">
        <v>3959</v>
      </c>
      <c r="O5588" t="s">
        <v>3959</v>
      </c>
      <c r="P5588" s="57">
        <v>1</v>
      </c>
      <c r="Q5588" s="57">
        <v>0</v>
      </c>
      <c r="R5588" s="57">
        <v>0</v>
      </c>
      <c r="S5588" s="57">
        <v>0</v>
      </c>
      <c r="T5588" s="57">
        <v>0</v>
      </c>
      <c r="U5588" s="57">
        <v>0</v>
      </c>
      <c r="V5588" s="57">
        <v>0</v>
      </c>
      <c r="W5588" s="57">
        <v>0</v>
      </c>
      <c r="X5588" s="57">
        <v>0</v>
      </c>
    </row>
    <row r="5589" spans="1:24" hidden="1" x14ac:dyDescent="0.35">
      <c r="A5589">
        <v>5585</v>
      </c>
      <c r="B5589">
        <v>5586</v>
      </c>
      <c r="C5589">
        <v>146.06091491999899</v>
      </c>
      <c r="D5589">
        <v>-17.6357814092</v>
      </c>
      <c r="F5589" t="str">
        <f>HYPERLINK("D:\Data From Lucan\2024\Moresby\Frames_for_Analysis/5586_20240611_0007_L_0432.jpg","5586_20240611_0007_L_0432.jpg")</f>
        <v>5586_20240611_0007_L_0432.jpg</v>
      </c>
      <c r="G5589" s="92" t="s">
        <v>5795</v>
      </c>
      <c r="I5589">
        <v>4</v>
      </c>
      <c r="K5589" s="57">
        <v>1</v>
      </c>
      <c r="L5589" t="s">
        <v>3959</v>
      </c>
      <c r="M5589" t="s">
        <v>3959</v>
      </c>
      <c r="N5589" t="s">
        <v>3959</v>
      </c>
      <c r="O5589" t="s">
        <v>3959</v>
      </c>
      <c r="P5589" s="57">
        <v>1</v>
      </c>
      <c r="Q5589" s="57">
        <v>0</v>
      </c>
      <c r="R5589" s="57">
        <v>0</v>
      </c>
      <c r="S5589" s="57">
        <v>0</v>
      </c>
      <c r="T5589" s="57">
        <v>0</v>
      </c>
      <c r="U5589" s="57">
        <v>0</v>
      </c>
      <c r="V5589" s="57">
        <v>0</v>
      </c>
      <c r="W5589" s="57">
        <v>0</v>
      </c>
      <c r="X5589" s="57">
        <v>0</v>
      </c>
    </row>
    <row r="5590" spans="1:24" hidden="1" x14ac:dyDescent="0.35">
      <c r="A5590">
        <v>5586</v>
      </c>
      <c r="B5590">
        <v>5587</v>
      </c>
      <c r="C5590">
        <v>146.060869547999</v>
      </c>
      <c r="D5590">
        <v>-17.635855296900001</v>
      </c>
      <c r="F5590" t="str">
        <f>HYPERLINK("D:\Data From Lucan\2024\Moresby\Frames_for_Analysis/5587_20240611_0007_L_0436.jpg","5587_20240611_0007_L_0436.jpg")</f>
        <v>5587_20240611_0007_L_0436.jpg</v>
      </c>
      <c r="G5590" s="92" t="s">
        <v>5796</v>
      </c>
      <c r="I5590">
        <v>4</v>
      </c>
      <c r="K5590" s="57">
        <v>1</v>
      </c>
      <c r="L5590" t="s">
        <v>3959</v>
      </c>
      <c r="M5590" t="s">
        <v>3959</v>
      </c>
      <c r="N5590" t="s">
        <v>3959</v>
      </c>
      <c r="O5590" t="s">
        <v>3959</v>
      </c>
      <c r="P5590" s="57">
        <v>1</v>
      </c>
      <c r="Q5590" s="57">
        <v>0</v>
      </c>
      <c r="R5590" s="57">
        <v>0</v>
      </c>
      <c r="S5590" s="57">
        <v>0</v>
      </c>
      <c r="T5590" s="57">
        <v>0</v>
      </c>
      <c r="U5590" s="57">
        <v>0</v>
      </c>
      <c r="V5590" s="57">
        <v>0</v>
      </c>
      <c r="W5590" s="57">
        <v>0</v>
      </c>
      <c r="X5590" s="57">
        <v>0</v>
      </c>
    </row>
    <row r="5591" spans="1:24" hidden="1" x14ac:dyDescent="0.35">
      <c r="A5591">
        <v>5587</v>
      </c>
      <c r="B5591">
        <v>5588</v>
      </c>
      <c r="C5591">
        <v>146.060824177</v>
      </c>
      <c r="D5591">
        <v>-17.635929184599899</v>
      </c>
      <c r="F5591" t="str">
        <f>HYPERLINK("D:\Data From Lucan\2024\Moresby\Frames_for_Analysis/5588_20240611_0007_L_0439.jpg","5588_20240611_0007_L_0439.jpg")</f>
        <v>5588_20240611_0007_L_0439.jpg</v>
      </c>
      <c r="G5591" s="92" t="s">
        <v>5797</v>
      </c>
      <c r="I5591">
        <v>4</v>
      </c>
      <c r="K5591" s="57">
        <v>1</v>
      </c>
      <c r="L5591" t="s">
        <v>3959</v>
      </c>
      <c r="M5591" t="s">
        <v>3959</v>
      </c>
      <c r="N5591" t="s">
        <v>3959</v>
      </c>
      <c r="O5591" t="s">
        <v>3959</v>
      </c>
      <c r="P5591" s="57">
        <v>1</v>
      </c>
      <c r="Q5591" s="57">
        <v>0</v>
      </c>
      <c r="R5591" s="57">
        <v>0</v>
      </c>
      <c r="S5591" s="57">
        <v>0</v>
      </c>
      <c r="T5591" s="57">
        <v>0</v>
      </c>
      <c r="U5591" s="57">
        <v>0</v>
      </c>
      <c r="V5591" s="57">
        <v>0</v>
      </c>
      <c r="W5591" s="57">
        <v>0</v>
      </c>
      <c r="X5591" s="57">
        <v>0</v>
      </c>
    </row>
    <row r="5592" spans="1:24" hidden="1" x14ac:dyDescent="0.35">
      <c r="A5592">
        <v>5588</v>
      </c>
      <c r="B5592">
        <v>5589</v>
      </c>
      <c r="C5592">
        <v>146.060778806</v>
      </c>
      <c r="D5592">
        <v>-17.636003072200001</v>
      </c>
      <c r="F5592" t="str">
        <f>HYPERLINK("D:\Data From Lucan\2024\Moresby\Frames_for_Analysis/5589_20240611_0007_L_0442.jpg","5589_20240611_0007_L_0442.jpg")</f>
        <v>5589_20240611_0007_L_0442.jpg</v>
      </c>
      <c r="G5592" s="92" t="s">
        <v>5798</v>
      </c>
      <c r="I5592">
        <v>4</v>
      </c>
      <c r="K5592" s="57">
        <v>1</v>
      </c>
      <c r="L5592" t="s">
        <v>3959</v>
      </c>
      <c r="M5592" t="s">
        <v>3959</v>
      </c>
      <c r="N5592" t="s">
        <v>3959</v>
      </c>
      <c r="O5592" t="s">
        <v>3959</v>
      </c>
      <c r="P5592" s="57">
        <v>1</v>
      </c>
      <c r="Q5592" s="57">
        <v>0</v>
      </c>
      <c r="R5592" s="57">
        <v>0</v>
      </c>
      <c r="S5592" s="57">
        <v>0</v>
      </c>
      <c r="T5592" s="57">
        <v>0</v>
      </c>
      <c r="U5592" s="57">
        <v>0</v>
      </c>
      <c r="V5592" s="57">
        <v>0</v>
      </c>
      <c r="W5592" s="57">
        <v>0</v>
      </c>
      <c r="X5592" s="57">
        <v>0</v>
      </c>
    </row>
    <row r="5593" spans="1:24" hidden="1" x14ac:dyDescent="0.35">
      <c r="A5593">
        <v>5589</v>
      </c>
      <c r="B5593">
        <v>5590</v>
      </c>
      <c r="C5593">
        <v>146.060733435</v>
      </c>
      <c r="D5593">
        <v>-17.636076959899899</v>
      </c>
      <c r="F5593" t="str">
        <f>HYPERLINK("D:\Data From Lucan\2024\Moresby\Frames_for_Analysis/5590_20240611_0007_L_0445.jpg","5590_20240611_0007_L_0445.jpg")</f>
        <v>5590_20240611_0007_L_0445.jpg</v>
      </c>
      <c r="G5593" s="92" t="s">
        <v>5799</v>
      </c>
      <c r="I5593">
        <v>4</v>
      </c>
      <c r="K5593" s="57">
        <v>1</v>
      </c>
      <c r="L5593" t="s">
        <v>3959</v>
      </c>
      <c r="M5593" t="s">
        <v>3959</v>
      </c>
      <c r="N5593" t="s">
        <v>3959</v>
      </c>
      <c r="O5593" t="s">
        <v>3959</v>
      </c>
      <c r="P5593" s="57">
        <v>1</v>
      </c>
      <c r="Q5593" s="57">
        <v>0</v>
      </c>
      <c r="R5593" s="57">
        <v>0</v>
      </c>
      <c r="S5593" s="57">
        <v>0</v>
      </c>
      <c r="T5593" s="57">
        <v>0</v>
      </c>
      <c r="U5593" s="57">
        <v>0</v>
      </c>
      <c r="V5593" s="57">
        <v>0</v>
      </c>
      <c r="W5593" s="57">
        <v>0</v>
      </c>
      <c r="X5593" s="57">
        <v>0</v>
      </c>
    </row>
    <row r="5594" spans="1:24" hidden="1" x14ac:dyDescent="0.35">
      <c r="A5594">
        <v>5590</v>
      </c>
      <c r="B5594">
        <v>5591</v>
      </c>
      <c r="C5594">
        <v>146.060689214999</v>
      </c>
      <c r="D5594">
        <v>-17.6361514751</v>
      </c>
      <c r="F5594" t="str">
        <f>HYPERLINK("D:\Data From Lucan\2024\Moresby\Frames_for_Analysis/5591_20240611_0007_L_0448.jpg","5591_20240611_0007_L_0448.jpg")</f>
        <v>5591_20240611_0007_L_0448.jpg</v>
      </c>
      <c r="G5594" s="92" t="s">
        <v>5800</v>
      </c>
      <c r="I5594">
        <v>4</v>
      </c>
      <c r="K5594" s="57">
        <v>1</v>
      </c>
      <c r="L5594" t="s">
        <v>3959</v>
      </c>
      <c r="M5594" t="s">
        <v>3959</v>
      </c>
      <c r="N5594" t="s">
        <v>3959</v>
      </c>
      <c r="O5594" t="s">
        <v>3959</v>
      </c>
      <c r="P5594" s="57">
        <v>1</v>
      </c>
      <c r="Q5594" s="57">
        <v>0</v>
      </c>
      <c r="R5594" s="57">
        <v>0</v>
      </c>
      <c r="S5594" s="57">
        <v>0</v>
      </c>
      <c r="T5594" s="57">
        <v>0</v>
      </c>
      <c r="U5594" s="57">
        <v>0</v>
      </c>
      <c r="V5594" s="57">
        <v>0</v>
      </c>
      <c r="W5594" s="57">
        <v>0</v>
      </c>
      <c r="X5594" s="57">
        <v>0</v>
      </c>
    </row>
    <row r="5595" spans="1:24" hidden="1" x14ac:dyDescent="0.35">
      <c r="A5595">
        <v>5591</v>
      </c>
      <c r="B5595">
        <v>5592</v>
      </c>
      <c r="C5595">
        <v>146.060645405</v>
      </c>
      <c r="D5595">
        <v>-17.636226213400001</v>
      </c>
      <c r="F5595" t="str">
        <f>HYPERLINK("D:\Data From Lucan\2024\Moresby\Frames_for_Analysis/5592_20240611_0007_L_0451.jpg","5592_20240611_0007_L_0451.jpg")</f>
        <v>5592_20240611_0007_L_0451.jpg</v>
      </c>
      <c r="G5595" s="92" t="s">
        <v>5801</v>
      </c>
      <c r="I5595">
        <v>4</v>
      </c>
      <c r="K5595" s="57">
        <v>1</v>
      </c>
      <c r="L5595" t="s">
        <v>3959</v>
      </c>
      <c r="M5595" t="s">
        <v>3959</v>
      </c>
      <c r="N5595" t="s">
        <v>3959</v>
      </c>
      <c r="O5595" t="s">
        <v>3959</v>
      </c>
      <c r="P5595" s="57">
        <v>1</v>
      </c>
      <c r="Q5595" s="57">
        <v>0</v>
      </c>
      <c r="R5595" s="57">
        <v>0</v>
      </c>
      <c r="S5595" s="57">
        <v>0</v>
      </c>
      <c r="T5595" s="57">
        <v>0</v>
      </c>
      <c r="U5595" s="57">
        <v>0</v>
      </c>
      <c r="V5595" s="57">
        <v>0</v>
      </c>
      <c r="W5595" s="57">
        <v>0</v>
      </c>
      <c r="X5595" s="57">
        <v>0</v>
      </c>
    </row>
    <row r="5596" spans="1:24" hidden="1" x14ac:dyDescent="0.35">
      <c r="A5596">
        <v>5592</v>
      </c>
      <c r="B5596">
        <v>5593</v>
      </c>
      <c r="C5596">
        <v>146.060601593999</v>
      </c>
      <c r="D5596">
        <v>-17.6363009515999</v>
      </c>
      <c r="F5596" t="str">
        <f>HYPERLINK("D:\Data From Lucan\2024\Moresby\Frames_for_Analysis/5593_20240611_0007_L_0454.jpg","5593_20240611_0007_L_0454.jpg")</f>
        <v>5593_20240611_0007_L_0454.jpg</v>
      </c>
      <c r="G5596" s="92" t="s">
        <v>5802</v>
      </c>
      <c r="I5596">
        <v>4</v>
      </c>
      <c r="K5596" s="57">
        <v>1</v>
      </c>
      <c r="L5596" t="s">
        <v>3959</v>
      </c>
      <c r="M5596" t="s">
        <v>3959</v>
      </c>
      <c r="N5596" t="s">
        <v>3959</v>
      </c>
      <c r="O5596" t="s">
        <v>3959</v>
      </c>
      <c r="P5596" s="57">
        <v>1</v>
      </c>
      <c r="Q5596" s="57">
        <v>0</v>
      </c>
      <c r="R5596" s="57">
        <v>0</v>
      </c>
      <c r="S5596" s="57">
        <v>0</v>
      </c>
      <c r="T5596" s="57">
        <v>0</v>
      </c>
      <c r="U5596" s="57">
        <v>0</v>
      </c>
      <c r="V5596" s="57">
        <v>0</v>
      </c>
      <c r="W5596" s="57">
        <v>0</v>
      </c>
      <c r="X5596" s="57">
        <v>0</v>
      </c>
    </row>
    <row r="5597" spans="1:24" hidden="1" x14ac:dyDescent="0.35">
      <c r="A5597">
        <v>5593</v>
      </c>
      <c r="B5597">
        <v>5594</v>
      </c>
      <c r="C5597">
        <v>146.060557783999</v>
      </c>
      <c r="D5597">
        <v>-17.636375689800001</v>
      </c>
      <c r="F5597" t="str">
        <f>HYPERLINK("D:\Data From Lucan\2024\Moresby\Frames_for_Analysis/5594_20240611_0007_L_0458.jpg","5594_20240611_0007_L_0458.jpg")</f>
        <v>5594_20240611_0007_L_0458.jpg</v>
      </c>
      <c r="G5597" s="92" t="s">
        <v>5803</v>
      </c>
      <c r="I5597">
        <v>4</v>
      </c>
      <c r="K5597" s="57">
        <v>1</v>
      </c>
      <c r="L5597" t="s">
        <v>3959</v>
      </c>
      <c r="M5597" t="s">
        <v>3959</v>
      </c>
      <c r="N5597" t="s">
        <v>3959</v>
      </c>
      <c r="O5597" t="s">
        <v>3959</v>
      </c>
      <c r="P5597" s="57">
        <v>1</v>
      </c>
      <c r="Q5597" s="57">
        <v>0</v>
      </c>
      <c r="R5597" s="57">
        <v>0</v>
      </c>
      <c r="S5597" s="57">
        <v>0</v>
      </c>
      <c r="T5597" s="57">
        <v>0</v>
      </c>
      <c r="U5597" s="57">
        <v>0</v>
      </c>
      <c r="V5597" s="57">
        <v>0</v>
      </c>
      <c r="W5597" s="57">
        <v>0</v>
      </c>
      <c r="X5597" s="57">
        <v>0</v>
      </c>
    </row>
    <row r="5598" spans="1:24" hidden="1" x14ac:dyDescent="0.35">
      <c r="A5598">
        <v>5594</v>
      </c>
      <c r="B5598">
        <v>5595</v>
      </c>
      <c r="C5598">
        <v>146.060513974</v>
      </c>
      <c r="D5598">
        <v>-17.636450428</v>
      </c>
      <c r="F5598" t="str">
        <f>HYPERLINK("D:\Data From Lucan\2024\Moresby\Frames_for_Analysis/5595_20240611_0007_L_0461.jpg","5595_20240611_0007_L_0461.jpg")</f>
        <v>5595_20240611_0007_L_0461.jpg</v>
      </c>
      <c r="G5598" s="92" t="s">
        <v>5804</v>
      </c>
      <c r="I5598">
        <v>4</v>
      </c>
      <c r="K5598" s="57">
        <v>1</v>
      </c>
      <c r="L5598" t="s">
        <v>3959</v>
      </c>
      <c r="M5598" t="s">
        <v>3959</v>
      </c>
      <c r="N5598" t="s">
        <v>3959</v>
      </c>
      <c r="O5598" t="s">
        <v>3959</v>
      </c>
      <c r="P5598" s="57">
        <v>1</v>
      </c>
      <c r="Q5598" s="57">
        <v>0</v>
      </c>
      <c r="R5598" s="57">
        <v>0</v>
      </c>
      <c r="S5598" s="57">
        <v>0</v>
      </c>
      <c r="T5598" s="57">
        <v>0</v>
      </c>
      <c r="U5598" s="57">
        <v>0</v>
      </c>
      <c r="V5598" s="57">
        <v>0</v>
      </c>
      <c r="W5598" s="57">
        <v>0</v>
      </c>
      <c r="X5598" s="57">
        <v>0</v>
      </c>
    </row>
    <row r="5599" spans="1:24" hidden="1" x14ac:dyDescent="0.35">
      <c r="A5599">
        <v>5595</v>
      </c>
      <c r="B5599">
        <v>5596</v>
      </c>
      <c r="C5599">
        <v>146.060473774999</v>
      </c>
      <c r="D5599">
        <v>-17.6365266649</v>
      </c>
      <c r="F5599" t="str">
        <f>HYPERLINK("D:\Data From Lucan\2024\Moresby\Frames_for_Analysis/5596_20240611_0007_L_0465.jpg","5596_20240611_0007_L_0465.jpg")</f>
        <v>5596_20240611_0007_L_0465.jpg</v>
      </c>
      <c r="G5599" s="92" t="s">
        <v>5805</v>
      </c>
      <c r="I5599">
        <v>4</v>
      </c>
      <c r="K5599" s="57">
        <v>1</v>
      </c>
      <c r="L5599" t="s">
        <v>3959</v>
      </c>
      <c r="M5599" t="s">
        <v>3959</v>
      </c>
      <c r="N5599" t="s">
        <v>3959</v>
      </c>
      <c r="O5599" t="s">
        <v>3959</v>
      </c>
      <c r="P5599" s="57">
        <v>1</v>
      </c>
      <c r="Q5599" s="57">
        <v>0</v>
      </c>
      <c r="R5599" s="57">
        <v>0</v>
      </c>
      <c r="S5599" s="57">
        <v>0</v>
      </c>
      <c r="T5599" s="57">
        <v>0</v>
      </c>
      <c r="U5599" s="57">
        <v>0</v>
      </c>
      <c r="V5599" s="57">
        <v>0</v>
      </c>
      <c r="W5599" s="57">
        <v>0</v>
      </c>
      <c r="X5599" s="57">
        <v>0</v>
      </c>
    </row>
    <row r="5600" spans="1:24" hidden="1" x14ac:dyDescent="0.35">
      <c r="A5600">
        <v>5596</v>
      </c>
      <c r="B5600">
        <v>5597</v>
      </c>
      <c r="C5600">
        <v>146.060446194999</v>
      </c>
      <c r="D5600">
        <v>-17.636608139700002</v>
      </c>
      <c r="F5600" t="str">
        <f>HYPERLINK("D:\Data From Lucan\2024\Moresby\Frames_for_Analysis/5597_20240611_0007_L_0467.jpg","5597_20240611_0007_L_0467.jpg")</f>
        <v>5597_20240611_0007_L_0467.jpg</v>
      </c>
      <c r="G5600" s="92" t="s">
        <v>5806</v>
      </c>
      <c r="I5600">
        <v>4</v>
      </c>
      <c r="K5600" s="57">
        <v>1</v>
      </c>
      <c r="L5600" t="s">
        <v>3959</v>
      </c>
      <c r="M5600" t="s">
        <v>3959</v>
      </c>
      <c r="N5600" t="s">
        <v>3959</v>
      </c>
      <c r="O5600" t="s">
        <v>3959</v>
      </c>
      <c r="P5600" s="57">
        <v>1</v>
      </c>
      <c r="Q5600" s="57">
        <v>0</v>
      </c>
      <c r="R5600" s="57">
        <v>0</v>
      </c>
      <c r="S5600" s="57">
        <v>0</v>
      </c>
      <c r="T5600" s="57">
        <v>0</v>
      </c>
      <c r="U5600" s="57">
        <v>0</v>
      </c>
      <c r="V5600" s="57">
        <v>0</v>
      </c>
      <c r="W5600" s="57">
        <v>0</v>
      </c>
      <c r="X5600" s="57">
        <v>0</v>
      </c>
    </row>
    <row r="5601" spans="1:24" hidden="1" x14ac:dyDescent="0.35">
      <c r="A5601">
        <v>5597</v>
      </c>
      <c r="B5601">
        <v>5598</v>
      </c>
      <c r="C5601">
        <v>146.060418615999</v>
      </c>
      <c r="D5601">
        <v>-17.636689614400002</v>
      </c>
      <c r="F5601" t="str">
        <f>HYPERLINK("D:\Data From Lucan\2024\Moresby\Frames_for_Analysis/5598_20240611_0007_L_0470.jpg","5598_20240611_0007_L_0470.jpg")</f>
        <v>5598_20240611_0007_L_0470.jpg</v>
      </c>
      <c r="G5601" s="92" t="s">
        <v>5807</v>
      </c>
      <c r="I5601">
        <v>4</v>
      </c>
      <c r="K5601" s="57">
        <v>1</v>
      </c>
      <c r="L5601" t="s">
        <v>3959</v>
      </c>
      <c r="M5601" t="s">
        <v>3959</v>
      </c>
      <c r="N5601" t="s">
        <v>3959</v>
      </c>
      <c r="O5601" t="s">
        <v>3959</v>
      </c>
      <c r="P5601" s="57">
        <v>1</v>
      </c>
      <c r="Q5601" s="57">
        <v>0</v>
      </c>
      <c r="R5601" s="57">
        <v>0</v>
      </c>
      <c r="S5601" s="57">
        <v>0</v>
      </c>
      <c r="T5601" s="57">
        <v>0</v>
      </c>
      <c r="U5601" s="57">
        <v>0</v>
      </c>
      <c r="V5601" s="57">
        <v>0</v>
      </c>
      <c r="W5601" s="57">
        <v>0</v>
      </c>
      <c r="X5601" s="57">
        <v>0</v>
      </c>
    </row>
    <row r="5602" spans="1:24" hidden="1" x14ac:dyDescent="0.35">
      <c r="A5602">
        <v>5598</v>
      </c>
      <c r="B5602">
        <v>5599</v>
      </c>
      <c r="C5602">
        <v>146.060391035999</v>
      </c>
      <c r="D5602">
        <v>-17.636771089</v>
      </c>
      <c r="F5602" t="str">
        <f>HYPERLINK("D:\Data From Lucan\2024\Moresby\Frames_for_Analysis/5599_20240611_0007_L_0473.jpg","5599_20240611_0007_L_0473.jpg")</f>
        <v>5599_20240611_0007_L_0473.jpg</v>
      </c>
      <c r="G5602" s="92" t="s">
        <v>5808</v>
      </c>
      <c r="I5602">
        <v>4</v>
      </c>
      <c r="K5602" s="57">
        <v>1</v>
      </c>
      <c r="L5602" t="s">
        <v>3959</v>
      </c>
      <c r="M5602" t="s">
        <v>3959</v>
      </c>
      <c r="N5602" t="s">
        <v>3959</v>
      </c>
      <c r="O5602" t="s">
        <v>3959</v>
      </c>
      <c r="P5602" s="57">
        <v>1</v>
      </c>
      <c r="Q5602" s="57">
        <v>0</v>
      </c>
      <c r="R5602" s="57">
        <v>0</v>
      </c>
      <c r="S5602" s="57">
        <v>0</v>
      </c>
      <c r="T5602" s="57">
        <v>0</v>
      </c>
      <c r="U5602" s="57">
        <v>0</v>
      </c>
      <c r="V5602" s="57">
        <v>0</v>
      </c>
      <c r="W5602" s="57">
        <v>0</v>
      </c>
      <c r="X5602" s="57">
        <v>0</v>
      </c>
    </row>
    <row r="5603" spans="1:24" hidden="1" x14ac:dyDescent="0.35">
      <c r="A5603">
        <v>5599</v>
      </c>
      <c r="B5603">
        <v>5600</v>
      </c>
      <c r="C5603">
        <v>146.060363456999</v>
      </c>
      <c r="D5603">
        <v>-17.636852563600002</v>
      </c>
      <c r="F5603" t="str">
        <f>HYPERLINK("D:\Data From Lucan\2024\Moresby\Frames_for_Analysis/5600_20240611_0007_L_0476.jpg","5600_20240611_0007_L_0476.jpg")</f>
        <v>5600_20240611_0007_L_0476.jpg</v>
      </c>
      <c r="G5603" s="92" t="s">
        <v>5809</v>
      </c>
      <c r="I5603">
        <v>4</v>
      </c>
      <c r="K5603" s="57">
        <v>1</v>
      </c>
      <c r="L5603" t="s">
        <v>3959</v>
      </c>
      <c r="M5603" t="s">
        <v>3959</v>
      </c>
      <c r="N5603" t="s">
        <v>3959</v>
      </c>
      <c r="O5603" t="s">
        <v>3959</v>
      </c>
      <c r="P5603" s="57">
        <v>1</v>
      </c>
      <c r="Q5603" s="57">
        <v>0</v>
      </c>
      <c r="R5603" s="57">
        <v>0</v>
      </c>
      <c r="S5603" s="57">
        <v>0</v>
      </c>
      <c r="T5603" s="57">
        <v>0</v>
      </c>
      <c r="U5603" s="57">
        <v>0</v>
      </c>
      <c r="V5603" s="57">
        <v>0</v>
      </c>
      <c r="W5603" s="57">
        <v>0</v>
      </c>
      <c r="X5603" s="57">
        <v>0</v>
      </c>
    </row>
    <row r="5604" spans="1:24" hidden="1" x14ac:dyDescent="0.35">
      <c r="A5604">
        <v>5600</v>
      </c>
      <c r="B5604">
        <v>5601</v>
      </c>
      <c r="C5604">
        <v>146.06034227000001</v>
      </c>
      <c r="D5604">
        <v>-17.636935383200001</v>
      </c>
      <c r="F5604" t="str">
        <f>HYPERLINK("D:\Data From Lucan\2024\Moresby\Frames_for_Analysis/5601_20240611_0007_L_0479.jpg","5601_20240611_0007_L_0479.jpg")</f>
        <v>5601_20240611_0007_L_0479.jpg</v>
      </c>
      <c r="G5604" s="92" t="s">
        <v>5810</v>
      </c>
      <c r="I5604">
        <v>4</v>
      </c>
      <c r="K5604" s="57">
        <v>1</v>
      </c>
      <c r="L5604" t="s">
        <v>3959</v>
      </c>
      <c r="M5604" t="s">
        <v>3959</v>
      </c>
      <c r="N5604" t="s">
        <v>3959</v>
      </c>
      <c r="O5604" t="s">
        <v>3959</v>
      </c>
      <c r="P5604" s="57">
        <v>1</v>
      </c>
      <c r="Q5604" s="57">
        <v>0</v>
      </c>
      <c r="R5604" s="57">
        <v>0</v>
      </c>
      <c r="S5604" s="57">
        <v>0</v>
      </c>
      <c r="T5604" s="57">
        <v>0</v>
      </c>
      <c r="U5604" s="57">
        <v>0</v>
      </c>
      <c r="V5604" s="57">
        <v>0</v>
      </c>
      <c r="W5604" s="57">
        <v>0</v>
      </c>
      <c r="X5604" s="57">
        <v>0</v>
      </c>
    </row>
    <row r="5605" spans="1:24" hidden="1" x14ac:dyDescent="0.35">
      <c r="A5605">
        <v>5601</v>
      </c>
      <c r="B5605">
        <v>5602</v>
      </c>
      <c r="C5605">
        <v>146.06033129400001</v>
      </c>
      <c r="D5605">
        <v>-17.6370203508</v>
      </c>
      <c r="F5605" t="str">
        <f>HYPERLINK("D:\Data From Lucan\2024\Moresby\Frames_for_Analysis/5602_20240611_0007_L_0482.jpg","5602_20240611_0007_L_0482.jpg")</f>
        <v>5602_20240611_0007_L_0482.jpg</v>
      </c>
      <c r="G5605" s="92" t="s">
        <v>5811</v>
      </c>
      <c r="I5605">
        <v>4</v>
      </c>
      <c r="K5605" s="57">
        <v>1</v>
      </c>
      <c r="L5605" t="s">
        <v>3959</v>
      </c>
      <c r="M5605" t="s">
        <v>3959</v>
      </c>
      <c r="N5605" t="s">
        <v>3959</v>
      </c>
      <c r="O5605" t="s">
        <v>3959</v>
      </c>
      <c r="P5605" s="57">
        <v>1</v>
      </c>
      <c r="Q5605" s="57">
        <v>0</v>
      </c>
      <c r="R5605" s="57">
        <v>0</v>
      </c>
      <c r="S5605" s="57">
        <v>0</v>
      </c>
      <c r="T5605" s="57">
        <v>0</v>
      </c>
      <c r="U5605" s="57">
        <v>0</v>
      </c>
      <c r="V5605" s="57">
        <v>0</v>
      </c>
      <c r="W5605" s="57">
        <v>0</v>
      </c>
      <c r="X5605" s="57">
        <v>0</v>
      </c>
    </row>
    <row r="5606" spans="1:24" hidden="1" x14ac:dyDescent="0.35">
      <c r="A5606">
        <v>5602</v>
      </c>
      <c r="B5606">
        <v>5603</v>
      </c>
      <c r="C5606">
        <v>146.06032031800001</v>
      </c>
      <c r="D5606">
        <v>-17.6371053184</v>
      </c>
      <c r="F5606" t="str">
        <f>HYPERLINK("D:\Data From Lucan\2024\Moresby\Frames_for_Analysis/5603_20240611_0007_L_0485.jpg","5603_20240611_0007_L_0485.jpg")</f>
        <v>5603_20240611_0007_L_0485.jpg</v>
      </c>
      <c r="G5606" s="92" t="s">
        <v>5812</v>
      </c>
      <c r="I5606">
        <v>4</v>
      </c>
      <c r="K5606" s="57">
        <v>1</v>
      </c>
      <c r="L5606" t="s">
        <v>3959</v>
      </c>
      <c r="M5606" t="s">
        <v>3959</v>
      </c>
      <c r="N5606" t="s">
        <v>3959</v>
      </c>
      <c r="O5606" t="s">
        <v>3959</v>
      </c>
      <c r="P5606" s="57">
        <v>1</v>
      </c>
      <c r="Q5606" s="57">
        <v>0</v>
      </c>
      <c r="R5606" s="57">
        <v>0</v>
      </c>
      <c r="S5606" s="57">
        <v>0</v>
      </c>
      <c r="T5606" s="57">
        <v>0</v>
      </c>
      <c r="U5606" s="57">
        <v>0</v>
      </c>
      <c r="V5606" s="57">
        <v>0</v>
      </c>
      <c r="W5606" s="57">
        <v>0</v>
      </c>
      <c r="X5606" s="57">
        <v>0</v>
      </c>
    </row>
    <row r="5607" spans="1:24" hidden="1" x14ac:dyDescent="0.35">
      <c r="A5607">
        <v>5603</v>
      </c>
      <c r="B5607">
        <v>5604</v>
      </c>
      <c r="C5607">
        <v>146.06030934200001</v>
      </c>
      <c r="D5607">
        <v>-17.637190285900001</v>
      </c>
      <c r="F5607" t="str">
        <f>HYPERLINK("D:\Data From Lucan\2024\Moresby\Frames_for_Analysis/5604_20240611_0007_L_0488.jpg","5604_20240611_0007_L_0488.jpg")</f>
        <v>5604_20240611_0007_L_0488.jpg</v>
      </c>
      <c r="G5607" s="92" t="s">
        <v>5813</v>
      </c>
      <c r="I5607">
        <v>4</v>
      </c>
      <c r="K5607" s="57">
        <v>1</v>
      </c>
      <c r="L5607" t="s">
        <v>3959</v>
      </c>
      <c r="M5607" t="s">
        <v>3959</v>
      </c>
      <c r="N5607" t="s">
        <v>3959</v>
      </c>
      <c r="O5607" t="s">
        <v>3959</v>
      </c>
      <c r="P5607" s="57">
        <v>1</v>
      </c>
      <c r="Q5607" s="57">
        <v>0</v>
      </c>
      <c r="R5607" s="57">
        <v>0</v>
      </c>
      <c r="S5607" s="57">
        <v>0</v>
      </c>
      <c r="T5607" s="57">
        <v>0</v>
      </c>
      <c r="U5607" s="57">
        <v>0</v>
      </c>
      <c r="V5607" s="57">
        <v>0</v>
      </c>
      <c r="W5607" s="57">
        <v>0</v>
      </c>
      <c r="X5607" s="57">
        <v>0</v>
      </c>
    </row>
    <row r="5608" spans="1:24" hidden="1" x14ac:dyDescent="0.35">
      <c r="A5608">
        <v>5604</v>
      </c>
      <c r="B5608">
        <v>5605</v>
      </c>
      <c r="C5608">
        <v>146.06029836600001</v>
      </c>
      <c r="D5608">
        <v>-17.6372752533</v>
      </c>
      <c r="F5608" t="str">
        <f>HYPERLINK("D:\Data From Lucan\2024\Moresby\Frames_for_Analysis/5605_20240611_0007_L_0491.jpg","5605_20240611_0007_L_0491.jpg")</f>
        <v>5605_20240611_0007_L_0491.jpg</v>
      </c>
      <c r="G5608" s="92" t="s">
        <v>5814</v>
      </c>
      <c r="I5608">
        <v>4</v>
      </c>
      <c r="K5608" s="57">
        <v>1</v>
      </c>
      <c r="L5608" t="s">
        <v>3959</v>
      </c>
      <c r="M5608" t="s">
        <v>3959</v>
      </c>
      <c r="N5608" t="s">
        <v>3959</v>
      </c>
      <c r="O5608" t="s">
        <v>3959</v>
      </c>
      <c r="P5608" s="57">
        <v>1</v>
      </c>
      <c r="Q5608" s="57">
        <v>0</v>
      </c>
      <c r="R5608" s="57">
        <v>0</v>
      </c>
      <c r="S5608" s="57">
        <v>0</v>
      </c>
      <c r="T5608" s="57">
        <v>0</v>
      </c>
      <c r="U5608" s="57">
        <v>0</v>
      </c>
      <c r="V5608" s="57">
        <v>0</v>
      </c>
      <c r="W5608" s="57">
        <v>0</v>
      </c>
      <c r="X5608" s="57">
        <v>0</v>
      </c>
    </row>
    <row r="5609" spans="1:24" hidden="1" x14ac:dyDescent="0.35">
      <c r="A5609">
        <v>5605</v>
      </c>
      <c r="B5609">
        <v>5606</v>
      </c>
      <c r="C5609">
        <v>146.06028739000001</v>
      </c>
      <c r="D5609">
        <v>-17.637360220800002</v>
      </c>
      <c r="F5609" t="str">
        <f>HYPERLINK("D:\Data From Lucan\2024\Moresby\Frames_for_Analysis/5606_20240611_0007_L_0494.jpg","5606_20240611_0007_L_0494.jpg")</f>
        <v>5606_20240611_0007_L_0494.jpg</v>
      </c>
      <c r="G5609" s="92" t="s">
        <v>5815</v>
      </c>
      <c r="I5609">
        <v>4</v>
      </c>
      <c r="K5609" s="57">
        <v>1</v>
      </c>
      <c r="L5609" t="s">
        <v>3959</v>
      </c>
      <c r="M5609" t="s">
        <v>3959</v>
      </c>
      <c r="N5609" t="s">
        <v>3959</v>
      </c>
      <c r="O5609" t="s">
        <v>3959</v>
      </c>
      <c r="P5609" s="57">
        <v>1</v>
      </c>
      <c r="Q5609" s="57">
        <v>0</v>
      </c>
      <c r="R5609" s="57">
        <v>0</v>
      </c>
      <c r="S5609" s="57">
        <v>0</v>
      </c>
      <c r="T5609" s="57">
        <v>0</v>
      </c>
      <c r="U5609" s="57">
        <v>0</v>
      </c>
      <c r="V5609" s="57">
        <v>0</v>
      </c>
      <c r="W5609" s="57">
        <v>0</v>
      </c>
      <c r="X5609" s="57">
        <v>0</v>
      </c>
    </row>
    <row r="5610" spans="1:24" hidden="1" x14ac:dyDescent="0.35">
      <c r="A5610">
        <v>5606</v>
      </c>
      <c r="B5610">
        <v>5607</v>
      </c>
      <c r="C5610">
        <v>146.06027248000001</v>
      </c>
      <c r="D5610">
        <v>-17.6374446228</v>
      </c>
      <c r="F5610" t="str">
        <f>HYPERLINK("D:\Data From Lucan\2024\Moresby\Frames_for_Analysis/5607_20240611_0007_L_0497.jpg","5607_20240611_0007_L_0497.jpg")</f>
        <v>5607_20240611_0007_L_0497.jpg</v>
      </c>
      <c r="G5610" s="92" t="s">
        <v>5816</v>
      </c>
      <c r="I5610">
        <v>4</v>
      </c>
      <c r="K5610" s="57">
        <v>1</v>
      </c>
      <c r="L5610" t="s">
        <v>3959</v>
      </c>
      <c r="M5610" t="s">
        <v>3959</v>
      </c>
      <c r="N5610" t="s">
        <v>3959</v>
      </c>
      <c r="O5610" t="s">
        <v>3959</v>
      </c>
      <c r="P5610" s="57">
        <v>1</v>
      </c>
      <c r="Q5610" s="57">
        <v>0</v>
      </c>
      <c r="R5610" s="57">
        <v>0</v>
      </c>
      <c r="S5610" s="57">
        <v>0</v>
      </c>
      <c r="T5610" s="57">
        <v>0</v>
      </c>
      <c r="U5610" s="57">
        <v>0</v>
      </c>
      <c r="V5610" s="57">
        <v>0</v>
      </c>
      <c r="W5610" s="57">
        <v>0</v>
      </c>
      <c r="X5610" s="57">
        <v>0</v>
      </c>
    </row>
    <row r="5611" spans="1:24" hidden="1" x14ac:dyDescent="0.35">
      <c r="A5611">
        <v>5607</v>
      </c>
      <c r="B5611">
        <v>5608</v>
      </c>
      <c r="C5611">
        <v>146.060256678999</v>
      </c>
      <c r="D5611">
        <v>-17.6375288969999</v>
      </c>
      <c r="F5611" t="str">
        <f>HYPERLINK("D:\Data From Lucan\2024\Moresby\Frames_for_Analysis/5608_20240611_0007_L_0500.jpg","5608_20240611_0007_L_0500.jpg")</f>
        <v>5608_20240611_0007_L_0500.jpg</v>
      </c>
      <c r="G5611" s="92" t="s">
        <v>5817</v>
      </c>
      <c r="I5611">
        <v>4</v>
      </c>
      <c r="K5611" s="57">
        <v>1</v>
      </c>
      <c r="L5611" t="s">
        <v>3959</v>
      </c>
      <c r="M5611" t="s">
        <v>3959</v>
      </c>
      <c r="N5611" t="s">
        <v>3959</v>
      </c>
      <c r="O5611" t="s">
        <v>3959</v>
      </c>
      <c r="P5611" s="57">
        <v>1</v>
      </c>
      <c r="Q5611" s="57">
        <v>0</v>
      </c>
      <c r="R5611" s="57">
        <v>0</v>
      </c>
      <c r="S5611" s="57">
        <v>0</v>
      </c>
      <c r="T5611" s="57">
        <v>0</v>
      </c>
      <c r="U5611" s="57">
        <v>0</v>
      </c>
      <c r="V5611" s="57">
        <v>0</v>
      </c>
      <c r="W5611" s="57">
        <v>0</v>
      </c>
      <c r="X5611" s="57">
        <v>0</v>
      </c>
    </row>
    <row r="5612" spans="1:24" hidden="1" x14ac:dyDescent="0.35">
      <c r="A5612">
        <v>5608</v>
      </c>
      <c r="B5612">
        <v>5609</v>
      </c>
      <c r="C5612">
        <v>146.060240878999</v>
      </c>
      <c r="D5612">
        <v>-17.6376131711</v>
      </c>
      <c r="F5612" t="str">
        <f>HYPERLINK("D:\Data From Lucan\2024\Moresby\Frames_for_Analysis/5609_20240611_0007_L_0503.jpg","5609_20240611_0007_L_0503.jpg")</f>
        <v>5609_20240611_0007_L_0503.jpg</v>
      </c>
      <c r="G5612" s="92" t="s">
        <v>5818</v>
      </c>
      <c r="I5612">
        <v>4</v>
      </c>
      <c r="K5612" s="57">
        <v>1</v>
      </c>
      <c r="L5612" t="s">
        <v>3959</v>
      </c>
      <c r="M5612" t="s">
        <v>3959</v>
      </c>
      <c r="N5612" t="s">
        <v>3959</v>
      </c>
      <c r="O5612" t="s">
        <v>3959</v>
      </c>
      <c r="P5612" s="57">
        <v>1</v>
      </c>
      <c r="Q5612" s="57">
        <v>0</v>
      </c>
      <c r="R5612" s="57">
        <v>0</v>
      </c>
      <c r="S5612" s="57">
        <v>0</v>
      </c>
      <c r="T5612" s="57">
        <v>0</v>
      </c>
      <c r="U5612" s="57">
        <v>0</v>
      </c>
      <c r="V5612" s="57">
        <v>0</v>
      </c>
      <c r="W5612" s="57">
        <v>0</v>
      </c>
      <c r="X5612" s="57">
        <v>0</v>
      </c>
    </row>
    <row r="5613" spans="1:24" hidden="1" x14ac:dyDescent="0.35">
      <c r="A5613">
        <v>5609</v>
      </c>
      <c r="B5613">
        <v>5610</v>
      </c>
      <c r="C5613">
        <v>146.060225078999</v>
      </c>
      <c r="D5613">
        <v>-17.637697445200001</v>
      </c>
      <c r="F5613" t="str">
        <f>HYPERLINK("D:\Data From Lucan\2024\Moresby\Frames_for_Analysis/5610_20240611_0007_L_0506.jpg","5610_20240611_0007_L_0506.jpg")</f>
        <v>5610_20240611_0007_L_0506.jpg</v>
      </c>
      <c r="G5613" s="92" t="s">
        <v>5819</v>
      </c>
      <c r="I5613">
        <v>4</v>
      </c>
      <c r="K5613" s="57">
        <v>1</v>
      </c>
      <c r="L5613" t="s">
        <v>3959</v>
      </c>
      <c r="M5613" t="s">
        <v>3959</v>
      </c>
      <c r="N5613" t="s">
        <v>3959</v>
      </c>
      <c r="O5613" t="s">
        <v>3959</v>
      </c>
      <c r="P5613" s="57">
        <v>1</v>
      </c>
      <c r="Q5613" s="57">
        <v>0</v>
      </c>
      <c r="R5613" s="57">
        <v>0</v>
      </c>
      <c r="S5613" s="57">
        <v>0</v>
      </c>
      <c r="T5613" s="57">
        <v>0</v>
      </c>
      <c r="U5613" s="57">
        <v>0</v>
      </c>
      <c r="V5613" s="57">
        <v>0</v>
      </c>
      <c r="W5613" s="57">
        <v>0</v>
      </c>
      <c r="X5613" s="57">
        <v>0</v>
      </c>
    </row>
    <row r="5614" spans="1:24" hidden="1" x14ac:dyDescent="0.35">
      <c r="A5614">
        <v>5610</v>
      </c>
      <c r="B5614">
        <v>5611</v>
      </c>
      <c r="C5614">
        <v>146.060209278</v>
      </c>
      <c r="D5614">
        <v>-17.6377817191999</v>
      </c>
      <c r="F5614" t="str">
        <f>HYPERLINK("D:\Data From Lucan\2024\Moresby\Frames_for_Analysis/5611_20240611_0007_L_0509.jpg","5611_20240611_0007_L_0509.jpg")</f>
        <v>5611_20240611_0007_L_0509.jpg</v>
      </c>
      <c r="G5614" s="92" t="s">
        <v>5820</v>
      </c>
      <c r="I5614">
        <v>4</v>
      </c>
      <c r="K5614" s="57">
        <v>1</v>
      </c>
      <c r="L5614" t="s">
        <v>3959</v>
      </c>
      <c r="M5614" t="s">
        <v>3959</v>
      </c>
      <c r="N5614" t="s">
        <v>3959</v>
      </c>
      <c r="O5614" t="s">
        <v>3959</v>
      </c>
      <c r="P5614" s="57">
        <v>1</v>
      </c>
      <c r="Q5614" s="57">
        <v>0</v>
      </c>
      <c r="R5614" s="57">
        <v>0</v>
      </c>
      <c r="S5614" s="57">
        <v>0</v>
      </c>
      <c r="T5614" s="57">
        <v>0</v>
      </c>
      <c r="U5614" s="57">
        <v>0</v>
      </c>
      <c r="V5614" s="57">
        <v>0</v>
      </c>
      <c r="W5614" s="57">
        <v>0</v>
      </c>
      <c r="X5614" s="57">
        <v>0</v>
      </c>
    </row>
    <row r="5615" spans="1:24" hidden="1" x14ac:dyDescent="0.35">
      <c r="A5615">
        <v>5611</v>
      </c>
      <c r="B5615">
        <v>5612</v>
      </c>
      <c r="C5615">
        <v>146.060193478</v>
      </c>
      <c r="D5615">
        <v>-17.637865993199899</v>
      </c>
      <c r="F5615" t="str">
        <f>HYPERLINK("D:\Data From Lucan\2024\Moresby\Frames_for_Analysis/5612_20240611_0007_L_0512.jpg","5612_20240611_0007_L_0512.jpg")</f>
        <v>5612_20240611_0007_L_0512.jpg</v>
      </c>
      <c r="G5615" s="92" t="s">
        <v>5821</v>
      </c>
      <c r="I5615">
        <v>4</v>
      </c>
      <c r="K5615" s="57">
        <v>1</v>
      </c>
      <c r="L5615" t="s">
        <v>3959</v>
      </c>
      <c r="M5615" t="s">
        <v>3959</v>
      </c>
      <c r="N5615" t="s">
        <v>3959</v>
      </c>
      <c r="O5615" t="s">
        <v>3959</v>
      </c>
      <c r="P5615" s="57">
        <v>1</v>
      </c>
      <c r="Q5615" s="57">
        <v>0</v>
      </c>
      <c r="R5615" s="57">
        <v>0</v>
      </c>
      <c r="S5615" s="57">
        <v>0</v>
      </c>
      <c r="T5615" s="57">
        <v>0</v>
      </c>
      <c r="U5615" s="57">
        <v>0</v>
      </c>
      <c r="V5615" s="57">
        <v>0</v>
      </c>
      <c r="W5615" s="57">
        <v>0</v>
      </c>
      <c r="X5615" s="57">
        <v>0</v>
      </c>
    </row>
    <row r="5616" spans="1:24" hidden="1" x14ac:dyDescent="0.35">
      <c r="A5616">
        <v>5612</v>
      </c>
      <c r="B5616">
        <v>5613</v>
      </c>
      <c r="C5616">
        <v>146.060213922</v>
      </c>
      <c r="D5616">
        <v>-17.637946835400001</v>
      </c>
      <c r="F5616" t="str">
        <f>HYPERLINK("D:\Data From Lucan\2024\Moresby\Frames_for_Analysis/5613_20240611_0007_L_0515.jpg","5613_20240611_0007_L_0515.jpg")</f>
        <v>5613_20240611_0007_L_0515.jpg</v>
      </c>
      <c r="G5616" s="92" t="s">
        <v>5822</v>
      </c>
      <c r="I5616">
        <v>4</v>
      </c>
      <c r="K5616" s="57">
        <v>1</v>
      </c>
      <c r="L5616" t="s">
        <v>3959</v>
      </c>
      <c r="M5616" t="s">
        <v>3959</v>
      </c>
      <c r="N5616" t="s">
        <v>3959</v>
      </c>
      <c r="O5616" t="s">
        <v>3959</v>
      </c>
      <c r="P5616" s="57">
        <v>1</v>
      </c>
      <c r="Q5616" s="57">
        <v>0</v>
      </c>
      <c r="R5616" s="57">
        <v>0</v>
      </c>
      <c r="S5616" s="57">
        <v>0</v>
      </c>
      <c r="T5616" s="57">
        <v>0</v>
      </c>
      <c r="U5616" s="57">
        <v>0</v>
      </c>
      <c r="V5616" s="57">
        <v>0</v>
      </c>
      <c r="W5616" s="57">
        <v>0</v>
      </c>
      <c r="X5616" s="57">
        <v>0</v>
      </c>
    </row>
    <row r="5617" spans="1:24" hidden="1" x14ac:dyDescent="0.35">
      <c r="A5617">
        <v>5613</v>
      </c>
      <c r="B5617">
        <v>5614</v>
      </c>
      <c r="C5617">
        <v>146.060246812999</v>
      </c>
      <c r="D5617">
        <v>-17.638026498999899</v>
      </c>
      <c r="F5617" t="str">
        <f>HYPERLINK("D:\Data From Lucan\2024\Moresby\Frames_for_Analysis/5614_20240611_0007_L_0518.jpg","5614_20240611_0007_L_0518.jpg")</f>
        <v>5614_20240611_0007_L_0518.jpg</v>
      </c>
      <c r="G5617" s="92" t="s">
        <v>5823</v>
      </c>
      <c r="I5617">
        <v>4</v>
      </c>
      <c r="K5617" s="57">
        <v>1</v>
      </c>
      <c r="L5617" t="s">
        <v>3959</v>
      </c>
      <c r="M5617" t="s">
        <v>3959</v>
      </c>
      <c r="N5617" t="s">
        <v>3959</v>
      </c>
      <c r="O5617" t="s">
        <v>3959</v>
      </c>
      <c r="P5617" s="57">
        <v>1</v>
      </c>
      <c r="Q5617" s="57">
        <v>0</v>
      </c>
      <c r="R5617" s="57">
        <v>0</v>
      </c>
      <c r="S5617" s="57">
        <v>0</v>
      </c>
      <c r="T5617" s="57">
        <v>0</v>
      </c>
      <c r="U5617" s="57">
        <v>0</v>
      </c>
      <c r="V5617" s="57">
        <v>0</v>
      </c>
      <c r="W5617" s="57">
        <v>0</v>
      </c>
      <c r="X5617" s="57">
        <v>0</v>
      </c>
    </row>
    <row r="5618" spans="1:24" hidden="1" x14ac:dyDescent="0.35">
      <c r="A5618">
        <v>5614</v>
      </c>
      <c r="B5618">
        <v>5615</v>
      </c>
      <c r="C5618">
        <v>146.060279704999</v>
      </c>
      <c r="D5618">
        <v>-17.6381061626</v>
      </c>
      <c r="F5618" t="str">
        <f>HYPERLINK("D:\Data From Lucan\2024\Moresby\Frames_for_Analysis/5615_20240611_0007_L_0522.jpg","5615_20240611_0007_L_0522.jpg")</f>
        <v>5615_20240611_0007_L_0522.jpg</v>
      </c>
      <c r="G5618" s="92" t="s">
        <v>5824</v>
      </c>
      <c r="I5618">
        <v>4</v>
      </c>
      <c r="K5618" s="57">
        <v>1</v>
      </c>
      <c r="L5618" t="s">
        <v>3959</v>
      </c>
      <c r="M5618" t="s">
        <v>3959</v>
      </c>
      <c r="N5618" t="s">
        <v>3959</v>
      </c>
      <c r="O5618" t="s">
        <v>3959</v>
      </c>
      <c r="P5618" s="57">
        <v>1</v>
      </c>
      <c r="Q5618" s="57">
        <v>0</v>
      </c>
      <c r="R5618" s="57">
        <v>0</v>
      </c>
      <c r="S5618" s="57">
        <v>0</v>
      </c>
      <c r="T5618" s="57">
        <v>0</v>
      </c>
      <c r="U5618" s="57">
        <v>0</v>
      </c>
      <c r="V5618" s="57">
        <v>0</v>
      </c>
      <c r="W5618" s="57">
        <v>0</v>
      </c>
      <c r="X5618" s="57">
        <v>0</v>
      </c>
    </row>
    <row r="5619" spans="1:24" hidden="1" x14ac:dyDescent="0.35">
      <c r="A5619">
        <v>5615</v>
      </c>
      <c r="B5619">
        <v>5616</v>
      </c>
      <c r="C5619">
        <v>146.06031259700001</v>
      </c>
      <c r="D5619">
        <v>-17.6381858260999</v>
      </c>
      <c r="F5619" t="str">
        <f>HYPERLINK("D:\Data From Lucan\2024\Moresby\Frames_for_Analysis/5616_20240611_0007_L_0524.jpg","5616_20240611_0007_L_0524.jpg")</f>
        <v>5616_20240611_0007_L_0524.jpg</v>
      </c>
      <c r="G5619" s="92" t="s">
        <v>5825</v>
      </c>
      <c r="I5619">
        <v>4</v>
      </c>
      <c r="K5619" s="57">
        <v>1</v>
      </c>
      <c r="L5619" t="s">
        <v>3959</v>
      </c>
      <c r="M5619" t="s">
        <v>3959</v>
      </c>
      <c r="N5619" t="s">
        <v>3959</v>
      </c>
      <c r="O5619" t="s">
        <v>3959</v>
      </c>
      <c r="P5619" s="57">
        <v>1</v>
      </c>
      <c r="Q5619" s="57">
        <v>0</v>
      </c>
      <c r="R5619" s="57">
        <v>0</v>
      </c>
      <c r="S5619" s="57">
        <v>0</v>
      </c>
      <c r="T5619" s="57">
        <v>0</v>
      </c>
      <c r="U5619" s="57">
        <v>0</v>
      </c>
      <c r="V5619" s="57">
        <v>0</v>
      </c>
      <c r="W5619" s="57">
        <v>0</v>
      </c>
      <c r="X5619" s="57">
        <v>0</v>
      </c>
    </row>
    <row r="5620" spans="1:24" hidden="1" x14ac:dyDescent="0.35">
      <c r="A5620">
        <v>5616</v>
      </c>
      <c r="B5620">
        <v>5617</v>
      </c>
      <c r="C5620">
        <v>146.060348363</v>
      </c>
      <c r="D5620">
        <v>-17.638263200200001</v>
      </c>
      <c r="F5620" t="str">
        <f>HYPERLINK("D:\Data From Lucan\2024\Moresby\Frames_for_Analysis/5617_20240611_0007_L_0527.jpg","5617_20240611_0007_L_0527.jpg")</f>
        <v>5617_20240611_0007_L_0527.jpg</v>
      </c>
      <c r="G5620" s="92" t="s">
        <v>5826</v>
      </c>
      <c r="I5620">
        <v>4</v>
      </c>
      <c r="K5620" s="57">
        <v>1</v>
      </c>
      <c r="L5620" t="s">
        <v>3959</v>
      </c>
      <c r="M5620" t="s">
        <v>3959</v>
      </c>
      <c r="N5620" t="s">
        <v>3959</v>
      </c>
      <c r="O5620" t="s">
        <v>3959</v>
      </c>
      <c r="P5620" s="57">
        <v>1</v>
      </c>
      <c r="Q5620" s="57">
        <v>0</v>
      </c>
      <c r="R5620" s="57">
        <v>0</v>
      </c>
      <c r="S5620" s="57">
        <v>0</v>
      </c>
      <c r="T5620" s="57">
        <v>0</v>
      </c>
      <c r="U5620" s="57">
        <v>0</v>
      </c>
      <c r="V5620" s="57">
        <v>0</v>
      </c>
      <c r="W5620" s="57">
        <v>0</v>
      </c>
      <c r="X5620" s="57">
        <v>0</v>
      </c>
    </row>
    <row r="5621" spans="1:24" hidden="1" x14ac:dyDescent="0.35">
      <c r="A5621">
        <v>5617</v>
      </c>
      <c r="B5621">
        <v>5618</v>
      </c>
      <c r="C5621">
        <v>146.06042478699899</v>
      </c>
      <c r="D5621">
        <v>-17.6383081936</v>
      </c>
      <c r="F5621" t="str">
        <f>HYPERLINK("D:\Data From Lucan\2024\Moresby\Frames_for_Analysis/5618_20240611_0007_L_0530.jpg","5618_20240611_0007_L_0530.jpg")</f>
        <v>5618_20240611_0007_L_0530.jpg</v>
      </c>
      <c r="G5621" s="92" t="s">
        <v>5827</v>
      </c>
      <c r="I5621">
        <v>4</v>
      </c>
      <c r="K5621" s="57">
        <v>1</v>
      </c>
      <c r="L5621" t="s">
        <v>3959</v>
      </c>
      <c r="M5621" t="s">
        <v>3959</v>
      </c>
      <c r="N5621" t="s">
        <v>3959</v>
      </c>
      <c r="O5621" t="s">
        <v>3959</v>
      </c>
      <c r="P5621" s="57">
        <v>1</v>
      </c>
      <c r="Q5621" s="57">
        <v>0</v>
      </c>
      <c r="R5621" s="57">
        <v>0</v>
      </c>
      <c r="S5621" s="57">
        <v>0</v>
      </c>
      <c r="T5621" s="57">
        <v>0</v>
      </c>
      <c r="U5621" s="57">
        <v>0</v>
      </c>
      <c r="V5621" s="57">
        <v>0</v>
      </c>
      <c r="W5621" s="57">
        <v>0</v>
      </c>
      <c r="X5621" s="57">
        <v>0</v>
      </c>
    </row>
    <row r="5622" spans="1:24" hidden="1" x14ac:dyDescent="0.35">
      <c r="A5622">
        <v>5618</v>
      </c>
      <c r="B5622">
        <v>5619</v>
      </c>
      <c r="C5622">
        <v>146.06050087700001</v>
      </c>
      <c r="D5622">
        <v>-17.638353623</v>
      </c>
      <c r="F5622" t="str">
        <f>HYPERLINK("D:\Data From Lucan\2024\Moresby\Frames_for_Analysis/5619_20240611_0007_L_0532.jpg","5619_20240611_0007_L_0532.jpg")</f>
        <v>5619_20240611_0007_L_0532.jpg</v>
      </c>
      <c r="G5622" s="92" t="s">
        <v>5828</v>
      </c>
      <c r="I5622">
        <v>4</v>
      </c>
      <c r="K5622" s="57">
        <v>1</v>
      </c>
      <c r="L5622" t="s">
        <v>3959</v>
      </c>
      <c r="M5622" t="s">
        <v>3959</v>
      </c>
      <c r="N5622" t="s">
        <v>3959</v>
      </c>
      <c r="O5622" t="s">
        <v>3959</v>
      </c>
      <c r="P5622" s="57">
        <v>1</v>
      </c>
      <c r="Q5622" s="57">
        <v>0</v>
      </c>
      <c r="R5622" s="57">
        <v>0</v>
      </c>
      <c r="S5622" s="57">
        <v>0</v>
      </c>
      <c r="T5622" s="57">
        <v>0</v>
      </c>
      <c r="U5622" s="57">
        <v>0</v>
      </c>
      <c r="V5622" s="57">
        <v>0</v>
      </c>
      <c r="W5622" s="57">
        <v>0</v>
      </c>
      <c r="X5622" s="57">
        <v>0</v>
      </c>
    </row>
    <row r="5623" spans="1:24" hidden="1" x14ac:dyDescent="0.35">
      <c r="A5623">
        <v>5619</v>
      </c>
      <c r="B5623">
        <v>5620</v>
      </c>
      <c r="C5623">
        <v>146.060569157</v>
      </c>
      <c r="D5623">
        <v>-17.638409253100001</v>
      </c>
      <c r="F5623" t="str">
        <f>HYPERLINK("D:\Data From Lucan\2024\Moresby\Frames_for_Analysis/5620_20240611_0007_L_0535.jpg","5620_20240611_0007_L_0535.jpg")</f>
        <v>5620_20240611_0007_L_0535.jpg</v>
      </c>
      <c r="G5623" s="92" t="s">
        <v>5829</v>
      </c>
      <c r="I5623">
        <v>4</v>
      </c>
      <c r="K5623" s="57">
        <v>1</v>
      </c>
      <c r="L5623" t="s">
        <v>3959</v>
      </c>
      <c r="M5623" t="s">
        <v>3959</v>
      </c>
      <c r="N5623" t="s">
        <v>3959</v>
      </c>
      <c r="O5623" t="s">
        <v>3959</v>
      </c>
      <c r="P5623" s="57">
        <v>1</v>
      </c>
      <c r="Q5623" s="57">
        <v>0</v>
      </c>
      <c r="R5623" s="57">
        <v>0</v>
      </c>
      <c r="S5623" s="57">
        <v>0</v>
      </c>
      <c r="T5623" s="57">
        <v>0</v>
      </c>
      <c r="U5623" s="57">
        <v>0</v>
      </c>
      <c r="V5623" s="57">
        <v>0</v>
      </c>
      <c r="W5623" s="57">
        <v>0</v>
      </c>
      <c r="X5623" s="57">
        <v>0</v>
      </c>
    </row>
    <row r="5624" spans="1:24" hidden="1" x14ac:dyDescent="0.35">
      <c r="A5624">
        <v>5620</v>
      </c>
      <c r="B5624">
        <v>5621</v>
      </c>
      <c r="C5624">
        <v>146.060637436999</v>
      </c>
      <c r="D5624">
        <v>-17.638464883200001</v>
      </c>
      <c r="F5624" t="str">
        <f>HYPERLINK("D:\Data From Lucan\2024\Moresby\Frames_for_Analysis/5621_20240611_0007_L_0538.jpg","5621_20240611_0007_L_0538.jpg")</f>
        <v>5621_20240611_0007_L_0538.jpg</v>
      </c>
      <c r="G5624" s="92" t="s">
        <v>5830</v>
      </c>
      <c r="I5624">
        <v>4</v>
      </c>
      <c r="K5624" s="57">
        <v>1</v>
      </c>
      <c r="L5624" t="s">
        <v>3959</v>
      </c>
      <c r="M5624" t="s">
        <v>3959</v>
      </c>
      <c r="N5624" t="s">
        <v>3959</v>
      </c>
      <c r="O5624" t="s">
        <v>3959</v>
      </c>
      <c r="P5624" s="57">
        <v>1</v>
      </c>
      <c r="Q5624" s="57">
        <v>0</v>
      </c>
      <c r="R5624" s="57">
        <v>0</v>
      </c>
      <c r="S5624" s="57">
        <v>0</v>
      </c>
      <c r="T5624" s="57">
        <v>0</v>
      </c>
      <c r="U5624" s="57">
        <v>0</v>
      </c>
      <c r="V5624" s="57">
        <v>0</v>
      </c>
      <c r="W5624" s="57">
        <v>0</v>
      </c>
      <c r="X5624" s="57">
        <v>0</v>
      </c>
    </row>
    <row r="5625" spans="1:24" hidden="1" x14ac:dyDescent="0.35">
      <c r="A5625">
        <v>5621</v>
      </c>
      <c r="B5625">
        <v>5622</v>
      </c>
      <c r="C5625">
        <v>146.060705716999</v>
      </c>
      <c r="D5625">
        <v>-17.638520513300001</v>
      </c>
      <c r="F5625" t="str">
        <f>HYPERLINK("D:\Data From Lucan\2024\Moresby\Frames_for_Analysis/5622_20240611_0007_L_0540.jpg","5622_20240611_0007_L_0540.jpg")</f>
        <v>5622_20240611_0007_L_0540.jpg</v>
      </c>
      <c r="G5625" s="92" t="s">
        <v>5831</v>
      </c>
      <c r="I5625">
        <v>4</v>
      </c>
      <c r="K5625" s="57">
        <v>1</v>
      </c>
      <c r="L5625" t="s">
        <v>3959</v>
      </c>
      <c r="M5625" t="s">
        <v>3959</v>
      </c>
      <c r="N5625" t="s">
        <v>3959</v>
      </c>
      <c r="O5625" t="s">
        <v>3959</v>
      </c>
      <c r="P5625" s="57">
        <v>1</v>
      </c>
      <c r="Q5625" s="57">
        <v>0</v>
      </c>
      <c r="R5625" s="57">
        <v>0</v>
      </c>
      <c r="S5625" s="57">
        <v>0</v>
      </c>
      <c r="T5625" s="57">
        <v>0</v>
      </c>
      <c r="U5625" s="57">
        <v>0</v>
      </c>
      <c r="V5625" s="57">
        <v>0</v>
      </c>
      <c r="W5625" s="57">
        <v>0</v>
      </c>
      <c r="X5625" s="57">
        <v>0</v>
      </c>
    </row>
    <row r="5626" spans="1:24" hidden="1" x14ac:dyDescent="0.35">
      <c r="A5626">
        <v>5622</v>
      </c>
      <c r="B5626">
        <v>5623</v>
      </c>
      <c r="C5626">
        <v>146.06077457000001</v>
      </c>
      <c r="D5626">
        <v>-17.638575230400001</v>
      </c>
      <c r="F5626" t="str">
        <f>HYPERLINK("D:\Data From Lucan\2024\Moresby\Frames_for_Analysis/5623_20240611_0007_L_0543.jpg","5623_20240611_0007_L_0543.jpg")</f>
        <v>5623_20240611_0007_L_0543.jpg</v>
      </c>
      <c r="G5626" s="92" t="s">
        <v>5832</v>
      </c>
      <c r="I5626">
        <v>4</v>
      </c>
      <c r="K5626" s="57">
        <v>1</v>
      </c>
      <c r="L5626" t="s">
        <v>3959</v>
      </c>
      <c r="M5626" t="s">
        <v>3959</v>
      </c>
      <c r="N5626" t="s">
        <v>3959</v>
      </c>
      <c r="O5626" t="s">
        <v>3959</v>
      </c>
      <c r="P5626" s="57">
        <v>1</v>
      </c>
      <c r="Q5626" s="57">
        <v>0</v>
      </c>
      <c r="R5626" s="57">
        <v>0</v>
      </c>
      <c r="S5626" s="57">
        <v>0</v>
      </c>
      <c r="T5626" s="57">
        <v>0</v>
      </c>
      <c r="U5626" s="57">
        <v>0</v>
      </c>
      <c r="V5626" s="57">
        <v>0</v>
      </c>
      <c r="W5626" s="57">
        <v>0</v>
      </c>
      <c r="X5626" s="57">
        <v>0</v>
      </c>
    </row>
    <row r="5627" spans="1:24" hidden="1" x14ac:dyDescent="0.35">
      <c r="A5627">
        <v>5623</v>
      </c>
      <c r="B5627">
        <v>5624</v>
      </c>
      <c r="C5627">
        <v>146.06085826399899</v>
      </c>
      <c r="D5627">
        <v>-17.6386063321</v>
      </c>
      <c r="F5627" t="str">
        <f>HYPERLINK("D:\Data From Lucan\2024\Moresby\Frames_for_Analysis/5624_20240611_0007_L_0545.jpg","5624_20240611_0007_L_0545.jpg")</f>
        <v>5624_20240611_0007_L_0545.jpg</v>
      </c>
      <c r="G5627" s="92" t="s">
        <v>5833</v>
      </c>
      <c r="I5627">
        <v>4</v>
      </c>
      <c r="K5627" s="57">
        <v>1</v>
      </c>
      <c r="L5627" t="s">
        <v>3959</v>
      </c>
      <c r="M5627" t="s">
        <v>3959</v>
      </c>
      <c r="N5627" t="s">
        <v>3959</v>
      </c>
      <c r="O5627" t="s">
        <v>3959</v>
      </c>
      <c r="P5627" s="57">
        <v>1</v>
      </c>
      <c r="Q5627" s="57">
        <v>0</v>
      </c>
      <c r="R5627" s="57">
        <v>0</v>
      </c>
      <c r="S5627" s="57">
        <v>0</v>
      </c>
      <c r="T5627" s="57">
        <v>0</v>
      </c>
      <c r="U5627" s="57">
        <v>0</v>
      </c>
      <c r="V5627" s="57">
        <v>0</v>
      </c>
      <c r="W5627" s="57">
        <v>0</v>
      </c>
      <c r="X5627" s="57">
        <v>0</v>
      </c>
    </row>
    <row r="5628" spans="1:24" hidden="1" x14ac:dyDescent="0.35">
      <c r="A5628">
        <v>5624</v>
      </c>
      <c r="B5628">
        <v>5625</v>
      </c>
      <c r="C5628">
        <v>146.06094195700001</v>
      </c>
      <c r="D5628">
        <v>-17.6386374338</v>
      </c>
      <c r="F5628" t="str">
        <f>HYPERLINK("D:\Data From Lucan\2024\Moresby\Frames_for_Analysis/5625_20240611_0007_L_0548.jpg","5625_20240611_0007_L_0548.jpg")</f>
        <v>5625_20240611_0007_L_0548.jpg</v>
      </c>
      <c r="G5628" s="92" t="s">
        <v>5834</v>
      </c>
      <c r="I5628">
        <v>4</v>
      </c>
      <c r="K5628" s="57">
        <v>1</v>
      </c>
      <c r="L5628" t="s">
        <v>3959</v>
      </c>
      <c r="M5628" t="s">
        <v>3959</v>
      </c>
      <c r="N5628" t="s">
        <v>3959</v>
      </c>
      <c r="O5628" t="s">
        <v>3959</v>
      </c>
      <c r="P5628" s="57">
        <v>1</v>
      </c>
      <c r="Q5628" s="57">
        <v>0</v>
      </c>
      <c r="R5628" s="57">
        <v>0</v>
      </c>
      <c r="S5628" s="57">
        <v>0</v>
      </c>
      <c r="T5628" s="57">
        <v>0</v>
      </c>
      <c r="U5628" s="57">
        <v>0</v>
      </c>
      <c r="V5628" s="57">
        <v>0</v>
      </c>
      <c r="W5628" s="57">
        <v>0</v>
      </c>
      <c r="X5628" s="57">
        <v>0</v>
      </c>
    </row>
    <row r="5629" spans="1:24" hidden="1" x14ac:dyDescent="0.35">
      <c r="A5629">
        <v>5625</v>
      </c>
      <c r="B5629">
        <v>5626</v>
      </c>
      <c r="C5629">
        <v>146.061025650999</v>
      </c>
      <c r="D5629">
        <v>-17.6386685354999</v>
      </c>
      <c r="F5629" t="str">
        <f>HYPERLINK("D:\Data From Lucan\2024\Moresby\Frames_for_Analysis/5626_20240611_0007_L_0550.jpg","5626_20240611_0007_L_0550.jpg")</f>
        <v>5626_20240611_0007_L_0550.jpg</v>
      </c>
      <c r="G5629" s="92" t="s">
        <v>5835</v>
      </c>
      <c r="I5629">
        <v>4</v>
      </c>
      <c r="K5629" s="57">
        <v>1</v>
      </c>
      <c r="L5629" t="s">
        <v>3959</v>
      </c>
      <c r="M5629" t="s">
        <v>3959</v>
      </c>
      <c r="N5629" t="s">
        <v>3959</v>
      </c>
      <c r="O5629" t="s">
        <v>3959</v>
      </c>
      <c r="P5629" s="57">
        <v>1</v>
      </c>
      <c r="Q5629" s="57">
        <v>0</v>
      </c>
      <c r="R5629" s="57">
        <v>0</v>
      </c>
      <c r="S5629" s="57">
        <v>0</v>
      </c>
      <c r="T5629" s="57">
        <v>0</v>
      </c>
      <c r="U5629" s="57">
        <v>0</v>
      </c>
      <c r="V5629" s="57">
        <v>0</v>
      </c>
      <c r="W5629" s="57">
        <v>0</v>
      </c>
      <c r="X5629" s="57">
        <v>0</v>
      </c>
    </row>
    <row r="5630" spans="1:24" hidden="1" x14ac:dyDescent="0.35">
      <c r="A5630">
        <v>5626</v>
      </c>
      <c r="B5630">
        <v>5627</v>
      </c>
      <c r="C5630">
        <v>146.06110934399899</v>
      </c>
      <c r="D5630">
        <v>-17.638699637199899</v>
      </c>
      <c r="F5630" t="str">
        <f>HYPERLINK("D:\Data From Lucan\2024\Moresby\Frames_for_Analysis/5627_20240611_0007_L_0553.jpg","5627_20240611_0007_L_0553.jpg")</f>
        <v>5627_20240611_0007_L_0553.jpg</v>
      </c>
      <c r="G5630" s="92" t="s">
        <v>5836</v>
      </c>
      <c r="I5630">
        <v>4</v>
      </c>
      <c r="K5630" s="57">
        <v>1</v>
      </c>
      <c r="L5630" t="s">
        <v>3959</v>
      </c>
      <c r="M5630" t="s">
        <v>3959</v>
      </c>
      <c r="N5630" t="s">
        <v>3959</v>
      </c>
      <c r="O5630" t="s">
        <v>3959</v>
      </c>
      <c r="P5630" s="57">
        <v>1</v>
      </c>
      <c r="Q5630" s="57">
        <v>0</v>
      </c>
      <c r="R5630" s="57">
        <v>0</v>
      </c>
      <c r="S5630" s="57">
        <v>0</v>
      </c>
      <c r="T5630" s="57">
        <v>0</v>
      </c>
      <c r="U5630" s="57">
        <v>0</v>
      </c>
      <c r="V5630" s="57">
        <v>0</v>
      </c>
      <c r="W5630" s="57">
        <v>0</v>
      </c>
      <c r="X5630" s="57">
        <v>0</v>
      </c>
    </row>
    <row r="5631" spans="1:24" hidden="1" x14ac:dyDescent="0.35">
      <c r="A5631">
        <v>5627</v>
      </c>
      <c r="B5631">
        <v>5628</v>
      </c>
      <c r="C5631">
        <v>146.061189522999</v>
      </c>
      <c r="D5631">
        <v>-17.638737761400002</v>
      </c>
      <c r="F5631" t="str">
        <f>HYPERLINK("D:\Data From Lucan\2024\Moresby\Frames_for_Analysis/5628_20240611_0007_L_0556.jpg","5628_20240611_0007_L_0556.jpg")</f>
        <v>5628_20240611_0007_L_0556.jpg</v>
      </c>
      <c r="G5631" s="92" t="s">
        <v>5837</v>
      </c>
      <c r="I5631">
        <v>4</v>
      </c>
      <c r="K5631" s="57">
        <v>1</v>
      </c>
      <c r="L5631" t="s">
        <v>3959</v>
      </c>
      <c r="M5631" t="s">
        <v>3959</v>
      </c>
      <c r="N5631" t="s">
        <v>3959</v>
      </c>
      <c r="O5631" t="s">
        <v>3959</v>
      </c>
      <c r="P5631" s="57">
        <v>1</v>
      </c>
      <c r="Q5631" s="57">
        <v>0</v>
      </c>
      <c r="R5631" s="57">
        <v>0</v>
      </c>
      <c r="S5631" s="57">
        <v>0</v>
      </c>
      <c r="T5631" s="57">
        <v>0</v>
      </c>
      <c r="U5631" s="57">
        <v>0</v>
      </c>
      <c r="V5631" s="57">
        <v>0</v>
      </c>
      <c r="W5631" s="57">
        <v>0</v>
      </c>
      <c r="X5631" s="57">
        <v>0</v>
      </c>
    </row>
    <row r="5632" spans="1:24" hidden="1" x14ac:dyDescent="0.35">
      <c r="A5632">
        <v>5628</v>
      </c>
      <c r="B5632">
        <v>5629</v>
      </c>
      <c r="C5632">
        <v>146.061267563999</v>
      </c>
      <c r="D5632">
        <v>-17.638780159100001</v>
      </c>
      <c r="F5632" t="str">
        <f>HYPERLINK("D:\Data From Lucan\2024\Moresby\Frames_for_Analysis/5629_20240611_0007_L_0560.jpg","5629_20240611_0007_L_0560.jpg")</f>
        <v>5629_20240611_0007_L_0560.jpg</v>
      </c>
      <c r="G5632" s="92" t="s">
        <v>5838</v>
      </c>
      <c r="I5632">
        <v>4</v>
      </c>
      <c r="K5632" s="57">
        <v>1</v>
      </c>
      <c r="L5632" t="s">
        <v>3959</v>
      </c>
      <c r="M5632" t="s">
        <v>3959</v>
      </c>
      <c r="N5632" t="s">
        <v>3959</v>
      </c>
      <c r="O5632" t="s">
        <v>3959</v>
      </c>
      <c r="P5632" s="57">
        <v>1</v>
      </c>
      <c r="Q5632" s="57">
        <v>0</v>
      </c>
      <c r="R5632" s="57">
        <v>0</v>
      </c>
      <c r="S5632" s="57">
        <v>0</v>
      </c>
      <c r="T5632" s="57">
        <v>0</v>
      </c>
      <c r="U5632" s="57">
        <v>0</v>
      </c>
      <c r="V5632" s="57">
        <v>0</v>
      </c>
      <c r="W5632" s="57">
        <v>0</v>
      </c>
      <c r="X5632" s="57">
        <v>0</v>
      </c>
    </row>
    <row r="5633" spans="1:24" hidden="1" x14ac:dyDescent="0.35">
      <c r="A5633">
        <v>5629</v>
      </c>
      <c r="B5633">
        <v>5630</v>
      </c>
      <c r="C5633">
        <v>146.061345606</v>
      </c>
      <c r="D5633">
        <v>-17.6388225566999</v>
      </c>
      <c r="F5633" t="str">
        <f>HYPERLINK("D:\Data From Lucan\2024\Moresby\Frames_for_Analysis/5630_20240611_0007_L_0563.jpg","5630_20240611_0007_L_0563.jpg")</f>
        <v>5630_20240611_0007_L_0563.jpg</v>
      </c>
      <c r="G5633" s="92" t="s">
        <v>5839</v>
      </c>
      <c r="I5633">
        <v>4</v>
      </c>
      <c r="K5633" s="57">
        <v>0</v>
      </c>
      <c r="L5633" t="s">
        <v>3959</v>
      </c>
      <c r="M5633" t="s">
        <v>3959</v>
      </c>
      <c r="N5633" t="s">
        <v>3959</v>
      </c>
      <c r="O5633" t="s">
        <v>3959</v>
      </c>
      <c r="P5633" s="57">
        <v>1</v>
      </c>
      <c r="Q5633" s="57">
        <v>0</v>
      </c>
      <c r="R5633" s="57">
        <v>0</v>
      </c>
      <c r="S5633" s="57">
        <v>0</v>
      </c>
      <c r="T5633" s="57">
        <v>0</v>
      </c>
      <c r="U5633" s="57">
        <v>0</v>
      </c>
      <c r="V5633" s="57">
        <v>0</v>
      </c>
      <c r="W5633" s="57">
        <v>1</v>
      </c>
      <c r="X5633" s="57">
        <v>0</v>
      </c>
    </row>
    <row r="5634" spans="1:24" hidden="1" x14ac:dyDescent="0.35">
      <c r="A5634">
        <v>5630</v>
      </c>
      <c r="B5634">
        <v>5631</v>
      </c>
      <c r="C5634">
        <v>146.061423646999</v>
      </c>
      <c r="D5634">
        <v>-17.638864954399899</v>
      </c>
      <c r="F5634" t="str">
        <f>HYPERLINK("D:\Data From Lucan\2024\Moresby\Frames_for_Analysis/5631_20240611_0007_L_0565.jpg","5631_20240611_0007_L_0565.jpg")</f>
        <v>5631_20240611_0007_L_0565.jpg</v>
      </c>
      <c r="G5634" s="92" t="s">
        <v>5840</v>
      </c>
      <c r="I5634">
        <v>4</v>
      </c>
      <c r="K5634" s="57">
        <v>0</v>
      </c>
      <c r="L5634" t="s">
        <v>3959</v>
      </c>
      <c r="M5634" t="s">
        <v>3959</v>
      </c>
      <c r="N5634" t="s">
        <v>3959</v>
      </c>
      <c r="O5634" t="s">
        <v>3959</v>
      </c>
      <c r="P5634" s="57">
        <v>2</v>
      </c>
      <c r="Q5634" s="57">
        <v>0</v>
      </c>
      <c r="R5634" s="57">
        <v>1</v>
      </c>
      <c r="S5634" s="57">
        <v>0</v>
      </c>
      <c r="T5634" s="57">
        <v>0</v>
      </c>
      <c r="U5634" s="57">
        <v>0</v>
      </c>
      <c r="V5634" s="57">
        <v>0</v>
      </c>
      <c r="W5634" s="57">
        <v>1</v>
      </c>
      <c r="X5634" s="57">
        <v>1</v>
      </c>
    </row>
    <row r="5635" spans="1:24" hidden="1" x14ac:dyDescent="0.35">
      <c r="A5635">
        <v>5631</v>
      </c>
      <c r="B5635">
        <v>5632</v>
      </c>
      <c r="C5635">
        <v>146.061499634</v>
      </c>
      <c r="D5635">
        <v>-17.638909591600001</v>
      </c>
      <c r="F5635" t="str">
        <f>HYPERLINK("D:\Data From Lucan\2024\Moresby\Frames_for_Analysis/5632_20240611_0007_L_0568.jpg","5632_20240611_0007_L_0568.jpg")</f>
        <v>5632_20240611_0007_L_0568.jpg</v>
      </c>
      <c r="G5635" s="92" t="s">
        <v>5841</v>
      </c>
      <c r="I5635">
        <v>4</v>
      </c>
      <c r="K5635" s="57">
        <v>0</v>
      </c>
      <c r="L5635" t="s">
        <v>3959</v>
      </c>
      <c r="M5635" t="s">
        <v>3959</v>
      </c>
      <c r="N5635" t="s">
        <v>3959</v>
      </c>
      <c r="O5635" t="s">
        <v>3959</v>
      </c>
      <c r="P5635" s="57">
        <v>2</v>
      </c>
      <c r="Q5635" s="57">
        <v>0</v>
      </c>
      <c r="R5635" s="57">
        <v>0</v>
      </c>
      <c r="S5635" s="57">
        <v>0</v>
      </c>
      <c r="T5635" s="57">
        <v>0</v>
      </c>
      <c r="U5635" s="57">
        <v>0</v>
      </c>
      <c r="V5635" s="57">
        <v>0</v>
      </c>
      <c r="W5635" s="57">
        <v>0</v>
      </c>
      <c r="X5635" s="57">
        <v>1</v>
      </c>
    </row>
    <row r="5636" spans="1:24" hidden="1" x14ac:dyDescent="0.35">
      <c r="A5636">
        <v>5632</v>
      </c>
      <c r="B5636">
        <v>5633</v>
      </c>
      <c r="C5636">
        <v>146.06155418700001</v>
      </c>
      <c r="D5636">
        <v>-17.6389776064999</v>
      </c>
      <c r="F5636" t="str">
        <f>HYPERLINK("D:\Data From Lucan\2024\Moresby\Frames_for_Analysis/5633_20240611_0007_L_0571.jpg","5633_20240611_0007_L_0571.jpg")</f>
        <v>5633_20240611_0007_L_0571.jpg</v>
      </c>
      <c r="G5636" s="92" t="s">
        <v>5842</v>
      </c>
      <c r="I5636">
        <v>4</v>
      </c>
      <c r="K5636" s="57">
        <v>0</v>
      </c>
      <c r="L5636" t="s">
        <v>3959</v>
      </c>
      <c r="M5636" t="s">
        <v>3959</v>
      </c>
      <c r="N5636" t="s">
        <v>3959</v>
      </c>
      <c r="O5636" t="s">
        <v>3959</v>
      </c>
      <c r="P5636" s="57">
        <v>1</v>
      </c>
      <c r="Q5636" s="57">
        <v>0</v>
      </c>
      <c r="R5636" s="57">
        <v>0</v>
      </c>
      <c r="S5636" s="57">
        <v>0</v>
      </c>
      <c r="T5636" s="57">
        <v>0</v>
      </c>
      <c r="U5636" s="57">
        <v>0</v>
      </c>
      <c r="V5636" s="57">
        <v>0</v>
      </c>
      <c r="W5636" s="57">
        <v>0</v>
      </c>
      <c r="X5636" s="57">
        <v>0</v>
      </c>
    </row>
    <row r="5637" spans="1:24" hidden="1" x14ac:dyDescent="0.35">
      <c r="A5637">
        <v>5633</v>
      </c>
      <c r="B5637">
        <v>5634</v>
      </c>
      <c r="C5637">
        <v>146.06160873900001</v>
      </c>
      <c r="D5637">
        <v>-17.6390456212999</v>
      </c>
      <c r="F5637" t="str">
        <f>HYPERLINK("D:\Data From Lucan\2024\Moresby\Frames_for_Analysis/5634_20240611_0007_L_0575.jpg","5634_20240611_0007_L_0575.jpg")</f>
        <v>5634_20240611_0007_L_0575.jpg</v>
      </c>
      <c r="G5637" s="92" t="s">
        <v>5843</v>
      </c>
      <c r="I5637">
        <v>4</v>
      </c>
      <c r="K5637" s="57">
        <v>0</v>
      </c>
      <c r="L5637" t="s">
        <v>3959</v>
      </c>
      <c r="M5637" t="s">
        <v>3959</v>
      </c>
      <c r="N5637" t="s">
        <v>3959</v>
      </c>
      <c r="O5637" t="s">
        <v>3959</v>
      </c>
      <c r="P5637" s="57">
        <v>1</v>
      </c>
      <c r="Q5637" s="57">
        <v>0</v>
      </c>
      <c r="R5637" s="57">
        <v>0</v>
      </c>
      <c r="S5637" s="57">
        <v>0</v>
      </c>
      <c r="T5637" s="57">
        <v>0</v>
      </c>
      <c r="U5637" s="57">
        <v>0</v>
      </c>
      <c r="V5637" s="57">
        <v>0</v>
      </c>
      <c r="W5637" s="57">
        <v>0</v>
      </c>
      <c r="X5637" s="57">
        <v>0</v>
      </c>
    </row>
    <row r="5638" spans="1:24" hidden="1" x14ac:dyDescent="0.35">
      <c r="A5638">
        <v>5634</v>
      </c>
      <c r="B5638">
        <v>5635</v>
      </c>
      <c r="C5638">
        <v>146.061671203999</v>
      </c>
      <c r="D5638">
        <v>-17.6391050693999</v>
      </c>
      <c r="F5638" t="str">
        <f>HYPERLINK("D:\Data From Lucan\2024\Moresby\Frames_for_Analysis/5635_20240611_0007_L_0578.jpg","5635_20240611_0007_L_0578.jpg")</f>
        <v>5635_20240611_0007_L_0578.jpg</v>
      </c>
      <c r="G5638" s="92" t="s">
        <v>5844</v>
      </c>
      <c r="I5638">
        <v>4</v>
      </c>
      <c r="K5638" s="57">
        <v>1</v>
      </c>
      <c r="L5638" t="s">
        <v>3959</v>
      </c>
      <c r="M5638" t="s">
        <v>3959</v>
      </c>
      <c r="N5638" t="s">
        <v>3959</v>
      </c>
      <c r="O5638" t="s">
        <v>3959</v>
      </c>
      <c r="P5638" s="57">
        <v>1</v>
      </c>
      <c r="Q5638" s="57">
        <v>0</v>
      </c>
      <c r="R5638" s="57">
        <v>0</v>
      </c>
      <c r="S5638" s="57">
        <v>0</v>
      </c>
      <c r="T5638" s="57">
        <v>0</v>
      </c>
      <c r="U5638" s="57">
        <v>0</v>
      </c>
      <c r="V5638" s="57">
        <v>0</v>
      </c>
      <c r="W5638" s="57">
        <v>0</v>
      </c>
      <c r="X5638" s="57">
        <v>0</v>
      </c>
    </row>
    <row r="5639" spans="1:24" hidden="1" x14ac:dyDescent="0.35">
      <c r="A5639">
        <v>5635</v>
      </c>
      <c r="B5639">
        <v>5636</v>
      </c>
      <c r="C5639">
        <v>146.061742922999</v>
      </c>
      <c r="D5639">
        <v>-17.639156619400001</v>
      </c>
      <c r="F5639" t="str">
        <f>HYPERLINK("D:\Data From Lucan\2024\Moresby\Frames_for_Analysis/5636_20240611_0007_L_0581.jpg","5636_20240611_0007_L_0581.jpg")</f>
        <v>5636_20240611_0007_L_0581.jpg</v>
      </c>
      <c r="G5639" s="92" t="s">
        <v>5845</v>
      </c>
      <c r="I5639">
        <v>4</v>
      </c>
      <c r="K5639" s="57">
        <v>1</v>
      </c>
      <c r="L5639" t="s">
        <v>3959</v>
      </c>
      <c r="M5639" t="s">
        <v>3959</v>
      </c>
      <c r="N5639" t="s">
        <v>3959</v>
      </c>
      <c r="O5639" t="s">
        <v>3959</v>
      </c>
      <c r="P5639" s="57">
        <v>1</v>
      </c>
      <c r="Q5639" s="57">
        <v>0</v>
      </c>
      <c r="R5639" s="57">
        <v>0</v>
      </c>
      <c r="S5639" s="57">
        <v>0</v>
      </c>
      <c r="T5639" s="57">
        <v>0</v>
      </c>
      <c r="U5639" s="57">
        <v>0</v>
      </c>
      <c r="V5639" s="57">
        <v>0</v>
      </c>
      <c r="W5639" s="57">
        <v>0</v>
      </c>
      <c r="X5639" s="57">
        <v>0</v>
      </c>
    </row>
    <row r="5640" spans="1:24" hidden="1" x14ac:dyDescent="0.35">
      <c r="A5640">
        <v>5636</v>
      </c>
      <c r="B5640">
        <v>5637</v>
      </c>
      <c r="C5640">
        <v>146.061814642</v>
      </c>
      <c r="D5640">
        <v>-17.639208169300002</v>
      </c>
      <c r="F5640" t="str">
        <f>HYPERLINK("D:\Data From Lucan\2024\Moresby\Frames_for_Analysis/5637_20240611_0007_L_0584.jpg","5637_20240611_0007_L_0584.jpg")</f>
        <v>5637_20240611_0007_L_0584.jpg</v>
      </c>
      <c r="G5640" s="92" t="s">
        <v>5846</v>
      </c>
      <c r="I5640">
        <v>4</v>
      </c>
      <c r="K5640" s="57">
        <v>1</v>
      </c>
      <c r="L5640" t="s">
        <v>3959</v>
      </c>
      <c r="M5640" t="s">
        <v>3959</v>
      </c>
      <c r="N5640" t="s">
        <v>3959</v>
      </c>
      <c r="O5640" t="s">
        <v>3959</v>
      </c>
      <c r="P5640" s="57">
        <v>1</v>
      </c>
      <c r="Q5640" s="57">
        <v>0</v>
      </c>
      <c r="R5640" s="57">
        <v>0</v>
      </c>
      <c r="S5640" s="57">
        <v>0</v>
      </c>
      <c r="T5640" s="57">
        <v>0</v>
      </c>
      <c r="U5640" s="57">
        <v>0</v>
      </c>
      <c r="V5640" s="57">
        <v>0</v>
      </c>
      <c r="W5640" s="57">
        <v>0</v>
      </c>
      <c r="X5640" s="57">
        <v>0</v>
      </c>
    </row>
    <row r="5641" spans="1:24" hidden="1" x14ac:dyDescent="0.35">
      <c r="A5641">
        <v>5637</v>
      </c>
      <c r="B5641">
        <v>5638</v>
      </c>
      <c r="C5641">
        <v>146.061884698</v>
      </c>
      <c r="D5641">
        <v>-17.639261543100002</v>
      </c>
      <c r="F5641" t="str">
        <f>HYPERLINK("D:\Data From Lucan\2024\Moresby\Frames_for_Analysis/5638_20240611_0007_L_0587.jpg","5638_20240611_0007_L_0587.jpg")</f>
        <v>5638_20240611_0007_L_0587.jpg</v>
      </c>
      <c r="G5641" s="92" t="s">
        <v>5847</v>
      </c>
      <c r="I5641">
        <v>4</v>
      </c>
      <c r="K5641" s="57">
        <v>1</v>
      </c>
      <c r="L5641" t="s">
        <v>3959</v>
      </c>
      <c r="M5641" t="s">
        <v>3959</v>
      </c>
      <c r="N5641" t="s">
        <v>3959</v>
      </c>
      <c r="O5641" t="s">
        <v>3959</v>
      </c>
      <c r="P5641" s="57">
        <v>1</v>
      </c>
      <c r="Q5641" s="57">
        <v>0</v>
      </c>
      <c r="R5641" s="57">
        <v>0</v>
      </c>
      <c r="S5641" s="57">
        <v>0</v>
      </c>
      <c r="T5641" s="57">
        <v>0</v>
      </c>
      <c r="U5641" s="57">
        <v>0</v>
      </c>
      <c r="V5641" s="57">
        <v>0</v>
      </c>
      <c r="W5641" s="57">
        <v>0</v>
      </c>
      <c r="X5641" s="57">
        <v>0</v>
      </c>
    </row>
    <row r="5642" spans="1:24" hidden="1" x14ac:dyDescent="0.35">
      <c r="A5642">
        <v>5638</v>
      </c>
      <c r="B5642">
        <v>5639</v>
      </c>
      <c r="C5642">
        <v>146.061948233999</v>
      </c>
      <c r="D5642">
        <v>-17.639322062200002</v>
      </c>
      <c r="F5642" t="str">
        <f>HYPERLINK("D:\Data From Lucan\2024\Moresby\Frames_for_Analysis/5639_20240611_0007_L_0589.jpg","5639_20240611_0007_L_0589.jpg")</f>
        <v>5639_20240611_0007_L_0589.jpg</v>
      </c>
      <c r="G5642" s="92" t="s">
        <v>5848</v>
      </c>
      <c r="I5642">
        <v>4</v>
      </c>
      <c r="K5642" s="57">
        <v>1</v>
      </c>
      <c r="L5642" t="s">
        <v>3959</v>
      </c>
      <c r="M5642" t="s">
        <v>3959</v>
      </c>
      <c r="N5642" t="s">
        <v>3959</v>
      </c>
      <c r="O5642" t="s">
        <v>3959</v>
      </c>
      <c r="P5642" s="57">
        <v>1</v>
      </c>
      <c r="Q5642" s="57">
        <v>0</v>
      </c>
      <c r="R5642" s="57">
        <v>0</v>
      </c>
      <c r="S5642" s="57">
        <v>0</v>
      </c>
      <c r="T5642" s="57">
        <v>0</v>
      </c>
      <c r="U5642" s="57">
        <v>0</v>
      </c>
      <c r="V5642" s="57">
        <v>0</v>
      </c>
      <c r="W5642" s="57">
        <v>0</v>
      </c>
      <c r="X5642" s="57">
        <v>0</v>
      </c>
    </row>
    <row r="5643" spans="1:24" hidden="1" x14ac:dyDescent="0.35">
      <c r="A5643">
        <v>5639</v>
      </c>
      <c r="B5643">
        <v>5640</v>
      </c>
      <c r="C5643">
        <v>146.062011769999</v>
      </c>
      <c r="D5643">
        <v>-17.639382581100001</v>
      </c>
      <c r="F5643" t="str">
        <f>HYPERLINK("D:\Data From Lucan\2024\Moresby\Frames_for_Analysis/5640_20240611_0008_L_0003.jpg","5640_20240611_0008_L_0003.jpg")</f>
        <v>5640_20240611_0008_L_0003.jpg</v>
      </c>
      <c r="G5643" s="92" t="s">
        <v>5849</v>
      </c>
      <c r="I5643">
        <v>4</v>
      </c>
      <c r="K5643" s="57">
        <v>1</v>
      </c>
      <c r="L5643" t="s">
        <v>3959</v>
      </c>
      <c r="M5643" t="s">
        <v>3959</v>
      </c>
      <c r="N5643" t="s">
        <v>3959</v>
      </c>
      <c r="O5643" t="s">
        <v>3959</v>
      </c>
      <c r="P5643" s="57">
        <v>1</v>
      </c>
      <c r="Q5643" s="57">
        <v>0</v>
      </c>
      <c r="R5643" s="57">
        <v>0</v>
      </c>
      <c r="S5643" s="57">
        <v>0</v>
      </c>
      <c r="T5643" s="57">
        <v>0</v>
      </c>
      <c r="U5643" s="57">
        <v>0</v>
      </c>
      <c r="V5643" s="57">
        <v>0</v>
      </c>
      <c r="W5643" s="57">
        <v>0</v>
      </c>
      <c r="X5643" s="57">
        <v>0</v>
      </c>
    </row>
    <row r="5644" spans="1:24" hidden="1" x14ac:dyDescent="0.35">
      <c r="A5644">
        <v>5640</v>
      </c>
      <c r="B5644">
        <v>5641</v>
      </c>
      <c r="C5644">
        <v>146.062075305999</v>
      </c>
      <c r="D5644">
        <v>-17.6394430998999</v>
      </c>
      <c r="F5644" t="str">
        <f>HYPERLINK("D:\Data From Lucan\2024\Moresby\Frames_for_Analysis/5641_20240611_0008_L_0005.jpg","5641_20240611_0008_L_0005.jpg")</f>
        <v>5641_20240611_0008_L_0005.jpg</v>
      </c>
      <c r="G5644" s="92" t="s">
        <v>5850</v>
      </c>
      <c r="I5644">
        <v>4</v>
      </c>
      <c r="K5644" s="57">
        <v>1</v>
      </c>
      <c r="L5644" t="s">
        <v>3959</v>
      </c>
      <c r="M5644" t="s">
        <v>3959</v>
      </c>
      <c r="N5644" t="s">
        <v>3959</v>
      </c>
      <c r="O5644" t="s">
        <v>3959</v>
      </c>
      <c r="P5644" s="57">
        <v>1</v>
      </c>
      <c r="Q5644" s="57">
        <v>0</v>
      </c>
      <c r="R5644" s="57">
        <v>0</v>
      </c>
      <c r="S5644" s="57">
        <v>0</v>
      </c>
      <c r="T5644" s="57">
        <v>0</v>
      </c>
      <c r="U5644" s="57">
        <v>0</v>
      </c>
      <c r="V5644" s="57">
        <v>0</v>
      </c>
      <c r="W5644" s="57">
        <v>0</v>
      </c>
      <c r="X5644" s="57">
        <v>0</v>
      </c>
    </row>
    <row r="5645" spans="1:24" hidden="1" x14ac:dyDescent="0.35">
      <c r="A5645">
        <v>5641</v>
      </c>
      <c r="B5645">
        <v>5642</v>
      </c>
      <c r="C5645">
        <v>146.062138941</v>
      </c>
      <c r="D5645">
        <v>-17.639503524199899</v>
      </c>
      <c r="F5645" t="str">
        <f>HYPERLINK("D:\Data From Lucan\2024\Moresby\Frames_for_Analysis/5642_20240611_0008_L_0009.jpg","5642_20240611_0008_L_0009.jpg")</f>
        <v>5642_20240611_0008_L_0009.jpg</v>
      </c>
      <c r="G5645" s="92" t="s">
        <v>5851</v>
      </c>
      <c r="I5645">
        <v>4</v>
      </c>
      <c r="K5645" s="57">
        <v>0</v>
      </c>
      <c r="L5645" t="s">
        <v>3959</v>
      </c>
      <c r="M5645" t="s">
        <v>3959</v>
      </c>
      <c r="N5645" t="s">
        <v>3959</v>
      </c>
      <c r="O5645" t="s">
        <v>3959</v>
      </c>
      <c r="P5645" s="57">
        <v>1</v>
      </c>
      <c r="Q5645" s="57">
        <v>0</v>
      </c>
      <c r="R5645" s="57">
        <v>0</v>
      </c>
      <c r="S5645" s="57">
        <v>0</v>
      </c>
      <c r="T5645" s="57">
        <v>0</v>
      </c>
      <c r="U5645" s="57">
        <v>0</v>
      </c>
      <c r="V5645" s="57">
        <v>0</v>
      </c>
      <c r="W5645" s="57">
        <v>0</v>
      </c>
      <c r="X5645" s="57">
        <v>0</v>
      </c>
    </row>
    <row r="5646" spans="1:24" hidden="1" x14ac:dyDescent="0.35">
      <c r="A5646">
        <v>5642</v>
      </c>
      <c r="B5646">
        <v>5643</v>
      </c>
      <c r="C5646">
        <v>146.06220288</v>
      </c>
      <c r="D5646">
        <v>-17.6395636562</v>
      </c>
      <c r="F5646" t="str">
        <f>HYPERLINK("D:\Data From Lucan\2024\Moresby\Frames_for_Analysis/5643_20240611_0008_L_0011.jpg","5643_20240611_0008_L_0011.jpg")</f>
        <v>5643_20240611_0008_L_0011.jpg</v>
      </c>
      <c r="G5646" s="92" t="s">
        <v>5852</v>
      </c>
      <c r="I5646">
        <v>4</v>
      </c>
      <c r="K5646" s="57">
        <v>0</v>
      </c>
      <c r="L5646" t="s">
        <v>3959</v>
      </c>
      <c r="M5646" t="s">
        <v>3959</v>
      </c>
      <c r="N5646" t="s">
        <v>3959</v>
      </c>
      <c r="O5646" t="s">
        <v>3959</v>
      </c>
      <c r="P5646" s="57">
        <v>1</v>
      </c>
      <c r="Q5646" s="57">
        <v>0</v>
      </c>
      <c r="R5646" s="57">
        <v>0</v>
      </c>
      <c r="S5646" s="57">
        <v>0</v>
      </c>
      <c r="T5646" s="57">
        <v>0</v>
      </c>
      <c r="U5646" s="57">
        <v>0</v>
      </c>
      <c r="V5646" s="57">
        <v>0</v>
      </c>
      <c r="W5646" s="57">
        <v>0</v>
      </c>
      <c r="X5646" s="57">
        <v>0</v>
      </c>
    </row>
    <row r="5647" spans="1:24" hidden="1" x14ac:dyDescent="0.35">
      <c r="A5647">
        <v>5643</v>
      </c>
      <c r="B5647">
        <v>5644</v>
      </c>
      <c r="C5647">
        <v>146.06226647400001</v>
      </c>
      <c r="D5647">
        <v>-17.6396241116</v>
      </c>
      <c r="F5647" t="str">
        <f>HYPERLINK("D:\Data From Lucan\2024\Moresby\Frames_for_Analysis/5644_20240611_0008_L_0014.jpg","5644_20240611_0008_L_0014.jpg")</f>
        <v>5644_20240611_0008_L_0014.jpg</v>
      </c>
      <c r="G5647" s="92" t="s">
        <v>5853</v>
      </c>
      <c r="I5647">
        <v>4</v>
      </c>
      <c r="K5647" s="57">
        <v>1</v>
      </c>
      <c r="L5647" t="s">
        <v>3959</v>
      </c>
      <c r="M5647" t="s">
        <v>3959</v>
      </c>
      <c r="N5647" t="s">
        <v>3959</v>
      </c>
      <c r="O5647" t="s">
        <v>3959</v>
      </c>
      <c r="P5647" s="57">
        <v>1</v>
      </c>
      <c r="Q5647" s="57">
        <v>0</v>
      </c>
      <c r="R5647" s="57">
        <v>0</v>
      </c>
      <c r="S5647" s="57">
        <v>0</v>
      </c>
      <c r="T5647" s="57">
        <v>0</v>
      </c>
      <c r="U5647" s="57">
        <v>0</v>
      </c>
      <c r="V5647" s="57">
        <v>0</v>
      </c>
      <c r="W5647" s="57">
        <v>0</v>
      </c>
      <c r="X5647" s="57">
        <v>0</v>
      </c>
    </row>
    <row r="5648" spans="1:24" hidden="1" x14ac:dyDescent="0.35">
      <c r="A5648">
        <v>5644</v>
      </c>
      <c r="B5648">
        <v>5645</v>
      </c>
      <c r="C5648">
        <v>146.062321451999</v>
      </c>
      <c r="D5648">
        <v>-17.6396915421</v>
      </c>
      <c r="F5648" t="str">
        <f>HYPERLINK("D:\Data From Lucan\2024\Moresby\Frames_for_Analysis/5645_20240611_0008_L_0016.jpg","5645_20240611_0008_L_0016.jpg")</f>
        <v>5645_20240611_0008_L_0016.jpg</v>
      </c>
      <c r="G5648" s="92" t="s">
        <v>5854</v>
      </c>
      <c r="I5648">
        <v>4</v>
      </c>
      <c r="K5648" s="57">
        <v>1</v>
      </c>
      <c r="L5648" t="s">
        <v>3959</v>
      </c>
      <c r="M5648" t="s">
        <v>3959</v>
      </c>
      <c r="N5648" t="s">
        <v>3959</v>
      </c>
      <c r="O5648" t="s">
        <v>3959</v>
      </c>
      <c r="P5648" s="57">
        <v>1</v>
      </c>
      <c r="Q5648" s="57">
        <v>0</v>
      </c>
      <c r="R5648" s="57">
        <v>0</v>
      </c>
      <c r="S5648" s="57">
        <v>0</v>
      </c>
      <c r="T5648" s="57">
        <v>0</v>
      </c>
      <c r="U5648" s="57">
        <v>0</v>
      </c>
      <c r="V5648" s="57">
        <v>0</v>
      </c>
      <c r="W5648" s="57">
        <v>0</v>
      </c>
      <c r="X5648" s="57">
        <v>0</v>
      </c>
    </row>
    <row r="5649" spans="1:24" hidden="1" x14ac:dyDescent="0.35">
      <c r="A5649">
        <v>5645</v>
      </c>
      <c r="B5649">
        <v>5646</v>
      </c>
      <c r="C5649">
        <v>146.062372052999</v>
      </c>
      <c r="D5649">
        <v>-17.639762273399899</v>
      </c>
      <c r="F5649" t="str">
        <f>HYPERLINK("D:\Data From Lucan\2024\Moresby\Frames_for_Analysis/5646_20240611_0008_L_0019.jpg","5646_20240611_0008_L_0019.jpg")</f>
        <v>5646_20240611_0008_L_0019.jpg</v>
      </c>
      <c r="G5649" s="92" t="s">
        <v>5855</v>
      </c>
      <c r="I5649">
        <v>4</v>
      </c>
      <c r="K5649" s="57">
        <v>1</v>
      </c>
      <c r="L5649" t="s">
        <v>3959</v>
      </c>
      <c r="M5649" t="s">
        <v>3959</v>
      </c>
      <c r="N5649" t="s">
        <v>3959</v>
      </c>
      <c r="O5649" t="s">
        <v>3959</v>
      </c>
      <c r="P5649" s="57">
        <v>1</v>
      </c>
      <c r="Q5649" s="57">
        <v>0</v>
      </c>
      <c r="R5649" s="57">
        <v>0</v>
      </c>
      <c r="S5649" s="57">
        <v>0</v>
      </c>
      <c r="T5649" s="57">
        <v>0</v>
      </c>
      <c r="U5649" s="57">
        <v>0</v>
      </c>
      <c r="V5649" s="57">
        <v>0</v>
      </c>
      <c r="W5649" s="57">
        <v>0</v>
      </c>
      <c r="X5649" s="57">
        <v>0</v>
      </c>
    </row>
    <row r="5650" spans="1:24" hidden="1" x14ac:dyDescent="0.35">
      <c r="A5650">
        <v>5646</v>
      </c>
      <c r="B5650">
        <v>5647</v>
      </c>
      <c r="C5650">
        <v>146.062422991999</v>
      </c>
      <c r="D5650">
        <v>-17.6398327872</v>
      </c>
      <c r="F5650" t="str">
        <f>HYPERLINK("D:\Data From Lucan\2024\Moresby\Frames_for_Analysis/5647_20240611_0008_L_0022.jpg","5647_20240611_0008_L_0022.jpg")</f>
        <v>5647_20240611_0008_L_0022.jpg</v>
      </c>
      <c r="G5650" s="92" t="s">
        <v>5856</v>
      </c>
      <c r="I5650">
        <v>4</v>
      </c>
      <c r="K5650" s="57">
        <v>1</v>
      </c>
      <c r="L5650" t="s">
        <v>3959</v>
      </c>
      <c r="M5650" t="s">
        <v>3959</v>
      </c>
      <c r="N5650" t="s">
        <v>3959</v>
      </c>
      <c r="O5650" t="s">
        <v>3959</v>
      </c>
      <c r="P5650" s="57">
        <v>1</v>
      </c>
      <c r="Q5650" s="57">
        <v>0</v>
      </c>
      <c r="R5650" s="57">
        <v>0</v>
      </c>
      <c r="S5650" s="57">
        <v>0</v>
      </c>
      <c r="T5650" s="57">
        <v>0</v>
      </c>
      <c r="U5650" s="57">
        <v>0</v>
      </c>
      <c r="V5650" s="57">
        <v>0</v>
      </c>
      <c r="W5650" s="57">
        <v>0</v>
      </c>
      <c r="X5650" s="57">
        <v>0</v>
      </c>
    </row>
    <row r="5651" spans="1:24" hidden="1" x14ac:dyDescent="0.35">
      <c r="A5651">
        <v>5647</v>
      </c>
      <c r="B5651">
        <v>5648</v>
      </c>
      <c r="C5651">
        <v>146.062473931</v>
      </c>
      <c r="D5651">
        <v>-17.639903300899899</v>
      </c>
      <c r="F5651" t="str">
        <f>HYPERLINK("D:\Data From Lucan\2024\Moresby\Frames_for_Analysis/5648_20240611_0008_L_0025.jpg","5648_20240611_0008_L_0025.jpg")</f>
        <v>5648_20240611_0008_L_0025.jpg</v>
      </c>
      <c r="G5651" s="92" t="s">
        <v>5857</v>
      </c>
      <c r="I5651">
        <v>4</v>
      </c>
      <c r="K5651" s="57">
        <v>1</v>
      </c>
      <c r="L5651" t="s">
        <v>3959</v>
      </c>
      <c r="M5651" t="s">
        <v>3959</v>
      </c>
      <c r="N5651" t="s">
        <v>3959</v>
      </c>
      <c r="O5651" t="s">
        <v>3959</v>
      </c>
      <c r="P5651" s="57">
        <v>1</v>
      </c>
      <c r="Q5651" s="57">
        <v>0</v>
      </c>
      <c r="R5651" s="57">
        <v>0</v>
      </c>
      <c r="S5651" s="57">
        <v>0</v>
      </c>
      <c r="T5651" s="57">
        <v>0</v>
      </c>
      <c r="U5651" s="57">
        <v>0</v>
      </c>
      <c r="V5651" s="57">
        <v>0</v>
      </c>
      <c r="W5651" s="57">
        <v>0</v>
      </c>
      <c r="X5651" s="57">
        <v>0</v>
      </c>
    </row>
    <row r="5652" spans="1:24" hidden="1" x14ac:dyDescent="0.35">
      <c r="A5652">
        <v>5648</v>
      </c>
      <c r="B5652">
        <v>5649</v>
      </c>
      <c r="C5652">
        <v>146.06252486899899</v>
      </c>
      <c r="D5652">
        <v>-17.6399738146999</v>
      </c>
      <c r="F5652" t="str">
        <f>HYPERLINK("D:\Data From Lucan\2024\Moresby\Frames_for_Analysis/5649_20240611_0008_L_0029.jpg","5649_20240611_0008_L_0029.jpg")</f>
        <v>5649_20240611_0008_L_0029.jpg</v>
      </c>
      <c r="G5652" s="92" t="s">
        <v>5858</v>
      </c>
      <c r="I5652">
        <v>4</v>
      </c>
      <c r="K5652" s="57">
        <v>1</v>
      </c>
      <c r="L5652" t="s">
        <v>3959</v>
      </c>
      <c r="M5652" t="s">
        <v>3959</v>
      </c>
      <c r="N5652" t="s">
        <v>3959</v>
      </c>
      <c r="O5652" t="s">
        <v>3959</v>
      </c>
      <c r="P5652" s="57">
        <v>1</v>
      </c>
      <c r="Q5652" s="57">
        <v>0</v>
      </c>
      <c r="R5652" s="57">
        <v>0</v>
      </c>
      <c r="S5652" s="57">
        <v>0</v>
      </c>
      <c r="T5652" s="57">
        <v>0</v>
      </c>
      <c r="U5652" s="57">
        <v>0</v>
      </c>
      <c r="V5652" s="57">
        <v>0</v>
      </c>
      <c r="W5652" s="57">
        <v>0</v>
      </c>
      <c r="X5652" s="57">
        <v>0</v>
      </c>
    </row>
    <row r="5653" spans="1:24" hidden="1" x14ac:dyDescent="0.35">
      <c r="A5653">
        <v>5649</v>
      </c>
      <c r="B5653">
        <v>5650</v>
      </c>
      <c r="C5653">
        <v>146.062575691999</v>
      </c>
      <c r="D5653">
        <v>-17.640044402200001</v>
      </c>
      <c r="F5653" t="str">
        <f>HYPERLINK("D:\Data From Lucan\2024\Moresby\Frames_for_Analysis/5650_20240611_0008_L_0032.jpg","5650_20240611_0008_L_0032.jpg")</f>
        <v>5650_20240611_0008_L_0032.jpg</v>
      </c>
      <c r="G5653" s="92" t="s">
        <v>5859</v>
      </c>
      <c r="I5653">
        <v>4</v>
      </c>
      <c r="K5653" s="57">
        <v>1</v>
      </c>
      <c r="L5653" t="s">
        <v>3959</v>
      </c>
      <c r="M5653" t="s">
        <v>3959</v>
      </c>
      <c r="N5653" t="s">
        <v>3959</v>
      </c>
      <c r="O5653" t="s">
        <v>3959</v>
      </c>
      <c r="P5653" s="57">
        <v>1</v>
      </c>
      <c r="Q5653" s="57">
        <v>0</v>
      </c>
      <c r="R5653" s="57">
        <v>0</v>
      </c>
      <c r="S5653" s="57">
        <v>0</v>
      </c>
      <c r="T5653" s="57">
        <v>0</v>
      </c>
      <c r="U5653" s="57">
        <v>0</v>
      </c>
      <c r="V5653" s="57">
        <v>0</v>
      </c>
      <c r="W5653" s="57">
        <v>0</v>
      </c>
      <c r="X5653" s="57">
        <v>0</v>
      </c>
    </row>
    <row r="5654" spans="1:24" hidden="1" x14ac:dyDescent="0.35">
      <c r="A5654">
        <v>5650</v>
      </c>
      <c r="B5654">
        <v>5651</v>
      </c>
      <c r="C5654">
        <v>146.06262448199899</v>
      </c>
      <c r="D5654">
        <v>-17.640116282400001</v>
      </c>
      <c r="F5654" t="str">
        <f>HYPERLINK("D:\Data From Lucan\2024\Moresby\Frames_for_Analysis/5651_20240611_0008_L_0036.jpg","5651_20240611_0008_L_0036.jpg")</f>
        <v>5651_20240611_0008_L_0036.jpg</v>
      </c>
      <c r="G5654" s="92" t="s">
        <v>5860</v>
      </c>
      <c r="I5654">
        <v>4</v>
      </c>
      <c r="K5654" s="57">
        <v>1</v>
      </c>
      <c r="L5654" t="s">
        <v>3959</v>
      </c>
      <c r="M5654" t="s">
        <v>3959</v>
      </c>
      <c r="N5654" t="s">
        <v>3959</v>
      </c>
      <c r="O5654" t="s">
        <v>3959</v>
      </c>
      <c r="P5654" s="57">
        <v>1</v>
      </c>
      <c r="Q5654" s="57">
        <v>0</v>
      </c>
      <c r="R5654" s="57">
        <v>0</v>
      </c>
      <c r="S5654" s="57">
        <v>0</v>
      </c>
      <c r="T5654" s="57">
        <v>0</v>
      </c>
      <c r="U5654" s="57">
        <v>0</v>
      </c>
      <c r="V5654" s="57">
        <v>0</v>
      </c>
      <c r="W5654" s="57">
        <v>0</v>
      </c>
      <c r="X5654" s="57">
        <v>0</v>
      </c>
    </row>
    <row r="5655" spans="1:24" hidden="1" x14ac:dyDescent="0.35">
      <c r="A5655">
        <v>5651</v>
      </c>
      <c r="B5655">
        <v>5652</v>
      </c>
      <c r="C5655">
        <v>146.062673273</v>
      </c>
      <c r="D5655">
        <v>-17.640188162600001</v>
      </c>
      <c r="F5655" t="str">
        <f>HYPERLINK("D:\Data From Lucan\2024\Moresby\Frames_for_Analysis/5652_20240611_0008_L_0039.jpg","5652_20240611_0008_L_0039.jpg")</f>
        <v>5652_20240611_0008_L_0039.jpg</v>
      </c>
      <c r="G5655" s="92" t="s">
        <v>5861</v>
      </c>
      <c r="I5655">
        <v>4</v>
      </c>
      <c r="K5655" s="57">
        <v>1</v>
      </c>
      <c r="L5655" t="s">
        <v>3959</v>
      </c>
      <c r="M5655" t="s">
        <v>3959</v>
      </c>
      <c r="N5655" t="s">
        <v>3959</v>
      </c>
      <c r="O5655" t="s">
        <v>3959</v>
      </c>
      <c r="P5655" s="57">
        <v>1</v>
      </c>
      <c r="Q5655" s="57">
        <v>0</v>
      </c>
      <c r="R5655" s="57">
        <v>0</v>
      </c>
      <c r="S5655" s="57">
        <v>0</v>
      </c>
      <c r="T5655" s="57">
        <v>0</v>
      </c>
      <c r="U5655" s="57">
        <v>0</v>
      </c>
      <c r="V5655" s="57">
        <v>0</v>
      </c>
      <c r="W5655" s="57">
        <v>0</v>
      </c>
      <c r="X5655" s="57">
        <v>0</v>
      </c>
    </row>
    <row r="5656" spans="1:24" hidden="1" x14ac:dyDescent="0.35">
      <c r="A5656">
        <v>5652</v>
      </c>
      <c r="B5656">
        <v>5653</v>
      </c>
      <c r="C5656">
        <v>146.062722062999</v>
      </c>
      <c r="D5656">
        <v>-17.6402600427</v>
      </c>
      <c r="F5656" t="str">
        <f>HYPERLINK("D:\Data From Lucan\2024\Moresby\Frames_for_Analysis/5653_20240611_0008_L_0042.jpg","5653_20240611_0008_L_0042.jpg")</f>
        <v>5653_20240611_0008_L_0042.jpg</v>
      </c>
      <c r="G5656" s="92" t="s">
        <v>5862</v>
      </c>
      <c r="I5656">
        <v>4</v>
      </c>
      <c r="K5656" s="57">
        <v>1</v>
      </c>
      <c r="L5656" t="s">
        <v>3959</v>
      </c>
      <c r="M5656" t="s">
        <v>3959</v>
      </c>
      <c r="N5656" t="s">
        <v>3959</v>
      </c>
      <c r="O5656" t="s">
        <v>3959</v>
      </c>
      <c r="P5656" s="57">
        <v>1</v>
      </c>
      <c r="Q5656" s="57">
        <v>0</v>
      </c>
      <c r="R5656" s="57">
        <v>0</v>
      </c>
      <c r="S5656" s="57">
        <v>0</v>
      </c>
      <c r="T5656" s="57">
        <v>0</v>
      </c>
      <c r="U5656" s="57">
        <v>0</v>
      </c>
      <c r="V5656" s="57">
        <v>0</v>
      </c>
      <c r="W5656" s="57">
        <v>0</v>
      </c>
      <c r="X5656" s="57">
        <v>0</v>
      </c>
    </row>
    <row r="5657" spans="1:24" hidden="1" x14ac:dyDescent="0.35">
      <c r="A5657">
        <v>5653</v>
      </c>
      <c r="B5657">
        <v>5654</v>
      </c>
      <c r="C5657">
        <v>146.06277085299899</v>
      </c>
      <c r="D5657">
        <v>-17.640331922800002</v>
      </c>
      <c r="F5657" t="str">
        <f>HYPERLINK("D:\Data From Lucan\2024\Moresby\Frames_for_Analysis/5654_20240611_0008_L_0045.jpg","5654_20240611_0008_L_0045.jpg")</f>
        <v>5654_20240611_0008_L_0045.jpg</v>
      </c>
      <c r="G5657" s="92" t="s">
        <v>5863</v>
      </c>
      <c r="I5657">
        <v>4</v>
      </c>
      <c r="K5657" s="57">
        <v>1</v>
      </c>
      <c r="L5657" t="s">
        <v>3959</v>
      </c>
      <c r="M5657" t="s">
        <v>3959</v>
      </c>
      <c r="N5657" t="s">
        <v>3959</v>
      </c>
      <c r="O5657" t="s">
        <v>3959</v>
      </c>
      <c r="P5657" s="57">
        <v>1</v>
      </c>
      <c r="Q5657" s="57">
        <v>0</v>
      </c>
      <c r="R5657" s="57">
        <v>0</v>
      </c>
      <c r="S5657" s="57">
        <v>0</v>
      </c>
      <c r="T5657" s="57">
        <v>0</v>
      </c>
      <c r="U5657" s="57">
        <v>0</v>
      </c>
      <c r="V5657" s="57">
        <v>0</v>
      </c>
      <c r="W5657" s="57">
        <v>0</v>
      </c>
      <c r="X5657" s="57">
        <v>0</v>
      </c>
    </row>
    <row r="5658" spans="1:24" hidden="1" x14ac:dyDescent="0.35">
      <c r="A5658">
        <v>5654</v>
      </c>
      <c r="B5658">
        <v>5655</v>
      </c>
      <c r="C5658">
        <v>146.062819644</v>
      </c>
      <c r="D5658">
        <v>-17.6404038029</v>
      </c>
      <c r="F5658" t="str">
        <f>HYPERLINK("D:\Data From Lucan\2024\Moresby\Frames_for_Analysis/5655_20240611_0008_L_0048.jpg","5655_20240611_0008_L_0048.jpg")</f>
        <v>5655_20240611_0008_L_0048.jpg</v>
      </c>
      <c r="G5658" s="92" t="s">
        <v>5864</v>
      </c>
      <c r="I5658">
        <v>4</v>
      </c>
      <c r="K5658" s="57">
        <v>1</v>
      </c>
      <c r="L5658" t="s">
        <v>3959</v>
      </c>
      <c r="M5658" t="s">
        <v>3959</v>
      </c>
      <c r="N5658" t="s">
        <v>3959</v>
      </c>
      <c r="O5658" t="s">
        <v>3959</v>
      </c>
      <c r="P5658" s="57">
        <v>1</v>
      </c>
      <c r="Q5658" s="57">
        <v>0</v>
      </c>
      <c r="R5658" s="57">
        <v>0</v>
      </c>
      <c r="S5658" s="57">
        <v>0</v>
      </c>
      <c r="T5658" s="57">
        <v>0</v>
      </c>
      <c r="U5658" s="57">
        <v>0</v>
      </c>
      <c r="V5658" s="57">
        <v>0</v>
      </c>
      <c r="W5658" s="57">
        <v>0</v>
      </c>
      <c r="X5658" s="57">
        <v>0</v>
      </c>
    </row>
    <row r="5659" spans="1:24" hidden="1" x14ac:dyDescent="0.35">
      <c r="A5659">
        <v>5655</v>
      </c>
      <c r="B5659">
        <v>5656</v>
      </c>
      <c r="C5659">
        <v>146.062868433999</v>
      </c>
      <c r="D5659">
        <v>-17.640475682999899</v>
      </c>
      <c r="F5659" t="str">
        <f>HYPERLINK("D:\Data From Lucan\2024\Moresby\Frames_for_Analysis/5656_20240611_0008_L_0051.jpg","5656_20240611_0008_L_0051.jpg")</f>
        <v>5656_20240611_0008_L_0051.jpg</v>
      </c>
      <c r="G5659" s="92" t="s">
        <v>5865</v>
      </c>
      <c r="I5659">
        <v>4</v>
      </c>
      <c r="K5659" s="57">
        <v>1</v>
      </c>
      <c r="L5659" t="s">
        <v>3959</v>
      </c>
      <c r="M5659" t="s">
        <v>3959</v>
      </c>
      <c r="N5659" t="s">
        <v>3959</v>
      </c>
      <c r="O5659" t="s">
        <v>3959</v>
      </c>
      <c r="P5659" s="57">
        <v>1</v>
      </c>
      <c r="Q5659" s="57">
        <v>0</v>
      </c>
      <c r="R5659" s="57">
        <v>0</v>
      </c>
      <c r="S5659" s="57">
        <v>0</v>
      </c>
      <c r="T5659" s="57">
        <v>0</v>
      </c>
      <c r="U5659" s="57">
        <v>0</v>
      </c>
      <c r="V5659" s="57">
        <v>0</v>
      </c>
      <c r="W5659" s="57">
        <v>0</v>
      </c>
      <c r="X5659" s="57">
        <v>0</v>
      </c>
    </row>
    <row r="5660" spans="1:24" hidden="1" x14ac:dyDescent="0.35">
      <c r="A5660">
        <v>5656</v>
      </c>
      <c r="B5660">
        <v>5657</v>
      </c>
      <c r="C5660">
        <v>146.062917943</v>
      </c>
      <c r="D5660">
        <v>-17.640547063900001</v>
      </c>
      <c r="F5660" t="str">
        <f>HYPERLINK("D:\Data From Lucan\2024\Moresby\Frames_for_Analysis/5657_20240611_0008_L_0054.jpg","5657_20240611_0008_L_0054.jpg")</f>
        <v>5657_20240611_0008_L_0054.jpg</v>
      </c>
      <c r="G5660" s="92" t="s">
        <v>5866</v>
      </c>
      <c r="I5660">
        <v>4</v>
      </c>
      <c r="K5660" s="57">
        <v>1</v>
      </c>
      <c r="L5660" t="s">
        <v>3959</v>
      </c>
      <c r="M5660" t="s">
        <v>3959</v>
      </c>
      <c r="N5660" t="s">
        <v>3959</v>
      </c>
      <c r="O5660" t="s">
        <v>3959</v>
      </c>
      <c r="P5660" s="57">
        <v>1</v>
      </c>
      <c r="Q5660" s="57">
        <v>0</v>
      </c>
      <c r="R5660" s="57">
        <v>0</v>
      </c>
      <c r="S5660" s="57">
        <v>0</v>
      </c>
      <c r="T5660" s="57">
        <v>0</v>
      </c>
      <c r="U5660" s="57">
        <v>0</v>
      </c>
      <c r="V5660" s="57">
        <v>0</v>
      </c>
      <c r="W5660" s="57">
        <v>0</v>
      </c>
      <c r="X5660" s="57">
        <v>0</v>
      </c>
    </row>
    <row r="5661" spans="1:24" hidden="1" x14ac:dyDescent="0.35">
      <c r="A5661">
        <v>5657</v>
      </c>
      <c r="B5661">
        <v>5658</v>
      </c>
      <c r="C5661">
        <v>146.062974811999</v>
      </c>
      <c r="D5661">
        <v>-17.640613332200001</v>
      </c>
      <c r="F5661" t="str">
        <f>HYPERLINK("D:\Data From Lucan\2024\Moresby\Frames_for_Analysis/5658_20240611_0008_L_0057.jpg","5658_20240611_0008_L_0057.jpg")</f>
        <v>5658_20240611_0008_L_0057.jpg</v>
      </c>
      <c r="G5661" s="92" t="s">
        <v>5867</v>
      </c>
      <c r="I5661">
        <v>4</v>
      </c>
      <c r="K5661" s="57">
        <v>1</v>
      </c>
      <c r="L5661" t="s">
        <v>3959</v>
      </c>
      <c r="M5661" t="s">
        <v>3959</v>
      </c>
      <c r="N5661" t="s">
        <v>3959</v>
      </c>
      <c r="O5661" t="s">
        <v>3959</v>
      </c>
      <c r="P5661" s="57">
        <v>1</v>
      </c>
      <c r="Q5661" s="57">
        <v>0</v>
      </c>
      <c r="R5661" s="57">
        <v>0</v>
      </c>
      <c r="S5661" s="57">
        <v>0</v>
      </c>
      <c r="T5661" s="57">
        <v>0</v>
      </c>
      <c r="U5661" s="57">
        <v>0</v>
      </c>
      <c r="V5661" s="57">
        <v>0</v>
      </c>
      <c r="W5661" s="57">
        <v>0</v>
      </c>
      <c r="X5661" s="57">
        <v>0</v>
      </c>
    </row>
    <row r="5662" spans="1:24" hidden="1" x14ac:dyDescent="0.35">
      <c r="A5662">
        <v>5658</v>
      </c>
      <c r="B5662">
        <v>5659</v>
      </c>
      <c r="C5662">
        <v>146.063031682</v>
      </c>
      <c r="D5662">
        <v>-17.640679600399899</v>
      </c>
      <c r="F5662" t="str">
        <f>HYPERLINK("D:\Data From Lucan\2024\Moresby\Frames_for_Analysis/5659_20240611_0008_L_0061.jpg","5659_20240611_0008_L_0061.jpg")</f>
        <v>5659_20240611_0008_L_0061.jpg</v>
      </c>
      <c r="G5662" s="92" t="s">
        <v>5868</v>
      </c>
      <c r="I5662">
        <v>4</v>
      </c>
      <c r="K5662" s="57">
        <v>1</v>
      </c>
      <c r="L5662" t="s">
        <v>3959</v>
      </c>
      <c r="M5662" t="s">
        <v>3959</v>
      </c>
      <c r="N5662" t="s">
        <v>3959</v>
      </c>
      <c r="O5662" t="s">
        <v>3959</v>
      </c>
      <c r="P5662" s="57">
        <v>1</v>
      </c>
      <c r="Q5662" s="57">
        <v>0</v>
      </c>
      <c r="R5662" s="57">
        <v>0</v>
      </c>
      <c r="S5662" s="57">
        <v>0</v>
      </c>
      <c r="T5662" s="57">
        <v>0</v>
      </c>
      <c r="U5662" s="57">
        <v>0</v>
      </c>
      <c r="V5662" s="57">
        <v>0</v>
      </c>
      <c r="W5662" s="57">
        <v>0</v>
      </c>
      <c r="X5662" s="57">
        <v>0</v>
      </c>
    </row>
    <row r="5663" spans="1:24" hidden="1" x14ac:dyDescent="0.35">
      <c r="A5663">
        <v>5659</v>
      </c>
      <c r="B5663">
        <v>5660</v>
      </c>
      <c r="C5663">
        <v>146.063088550999</v>
      </c>
      <c r="D5663">
        <v>-17.640745868700002</v>
      </c>
      <c r="F5663" t="str">
        <f>HYPERLINK("D:\Data From Lucan\2024\Moresby\Frames_for_Analysis/5660_20240611_0008_L_0064.jpg","5660_20240611_0008_L_0064.jpg")</f>
        <v>5660_20240611_0008_L_0064.jpg</v>
      </c>
      <c r="G5663" s="92" t="s">
        <v>5869</v>
      </c>
      <c r="I5663">
        <v>4</v>
      </c>
      <c r="K5663" s="57">
        <v>1</v>
      </c>
      <c r="L5663" t="s">
        <v>3959</v>
      </c>
      <c r="M5663" t="s">
        <v>3959</v>
      </c>
      <c r="N5663" t="s">
        <v>3959</v>
      </c>
      <c r="O5663" t="s">
        <v>3959</v>
      </c>
      <c r="P5663" s="57">
        <v>1</v>
      </c>
      <c r="Q5663" s="57">
        <v>0</v>
      </c>
      <c r="R5663" s="57">
        <v>0</v>
      </c>
      <c r="S5663" s="57">
        <v>0</v>
      </c>
      <c r="T5663" s="57">
        <v>0</v>
      </c>
      <c r="U5663" s="57">
        <v>0</v>
      </c>
      <c r="V5663" s="57">
        <v>0</v>
      </c>
      <c r="W5663" s="57">
        <v>0</v>
      </c>
      <c r="X5663" s="57">
        <v>0</v>
      </c>
    </row>
    <row r="5664" spans="1:24" hidden="1" x14ac:dyDescent="0.35">
      <c r="A5664">
        <v>5660</v>
      </c>
      <c r="B5664">
        <v>5661</v>
      </c>
      <c r="C5664">
        <v>146.063145421</v>
      </c>
      <c r="D5664">
        <v>-17.6408121368999</v>
      </c>
      <c r="F5664" t="str">
        <f>HYPERLINK("D:\Data From Lucan\2024\Moresby\Frames_for_Analysis/5661_20240611_0008_L_0067.jpg","5661_20240611_0008_L_0067.jpg")</f>
        <v>5661_20240611_0008_L_0067.jpg</v>
      </c>
      <c r="G5664" s="92" t="s">
        <v>5870</v>
      </c>
      <c r="I5664">
        <v>4</v>
      </c>
      <c r="K5664" s="57">
        <v>1</v>
      </c>
      <c r="L5664" t="s">
        <v>3959</v>
      </c>
      <c r="M5664" t="s">
        <v>3959</v>
      </c>
      <c r="N5664" t="s">
        <v>3959</v>
      </c>
      <c r="O5664" t="s">
        <v>3959</v>
      </c>
      <c r="P5664" s="57">
        <v>1</v>
      </c>
      <c r="Q5664" s="57">
        <v>0</v>
      </c>
      <c r="R5664" s="57">
        <v>0</v>
      </c>
      <c r="S5664" s="57">
        <v>0</v>
      </c>
      <c r="T5664" s="57">
        <v>0</v>
      </c>
      <c r="U5664" s="57">
        <v>0</v>
      </c>
      <c r="V5664" s="57">
        <v>0</v>
      </c>
      <c r="W5664" s="57">
        <v>0</v>
      </c>
      <c r="X5664" s="57">
        <v>0</v>
      </c>
    </row>
    <row r="5665" spans="1:24" hidden="1" x14ac:dyDescent="0.35">
      <c r="A5665">
        <v>5661</v>
      </c>
      <c r="B5665">
        <v>5662</v>
      </c>
      <c r="C5665">
        <v>146.063202289999</v>
      </c>
      <c r="D5665">
        <v>-17.6408784051</v>
      </c>
      <c r="F5665" t="str">
        <f>HYPERLINK("D:\Data From Lucan\2024\Moresby\Frames_for_Analysis/5662_20240611_0008_L_0070.jpg","5662_20240611_0008_L_0070.jpg")</f>
        <v>5662_20240611_0008_L_0070.jpg</v>
      </c>
      <c r="G5665" s="92" t="s">
        <v>5871</v>
      </c>
      <c r="I5665">
        <v>4</v>
      </c>
      <c r="K5665" s="57">
        <v>1</v>
      </c>
      <c r="L5665" t="s">
        <v>3959</v>
      </c>
      <c r="M5665" t="s">
        <v>3959</v>
      </c>
      <c r="N5665" t="s">
        <v>3959</v>
      </c>
      <c r="O5665" t="s">
        <v>3959</v>
      </c>
      <c r="P5665" s="57">
        <v>1</v>
      </c>
      <c r="Q5665" s="57">
        <v>0</v>
      </c>
      <c r="R5665" s="57">
        <v>0</v>
      </c>
      <c r="S5665" s="57">
        <v>0</v>
      </c>
      <c r="T5665" s="57">
        <v>0</v>
      </c>
      <c r="U5665" s="57">
        <v>0</v>
      </c>
      <c r="V5665" s="57">
        <v>0</v>
      </c>
      <c r="W5665" s="57">
        <v>0</v>
      </c>
      <c r="X5665" s="57">
        <v>0</v>
      </c>
    </row>
    <row r="5666" spans="1:24" hidden="1" x14ac:dyDescent="0.35">
      <c r="A5666">
        <v>5662</v>
      </c>
      <c r="B5666">
        <v>5663</v>
      </c>
      <c r="C5666">
        <v>146.06325916</v>
      </c>
      <c r="D5666">
        <v>-17.6409446732</v>
      </c>
      <c r="F5666" t="str">
        <f>HYPERLINK("D:\Data From Lucan\2024\Moresby\Frames_for_Analysis/5663_20240611_0008_L_0073.jpg","5663_20240611_0008_L_0073.jpg")</f>
        <v>5663_20240611_0008_L_0073.jpg</v>
      </c>
      <c r="G5666" s="92" t="s">
        <v>5872</v>
      </c>
      <c r="I5666">
        <v>4</v>
      </c>
      <c r="K5666" s="57">
        <v>1</v>
      </c>
      <c r="L5666" t="s">
        <v>3959</v>
      </c>
      <c r="M5666" t="s">
        <v>3959</v>
      </c>
      <c r="N5666" t="s">
        <v>3959</v>
      </c>
      <c r="O5666" t="s">
        <v>3959</v>
      </c>
      <c r="P5666" s="57">
        <v>1</v>
      </c>
      <c r="Q5666" s="57">
        <v>0</v>
      </c>
      <c r="R5666" s="57">
        <v>0</v>
      </c>
      <c r="S5666" s="57">
        <v>0</v>
      </c>
      <c r="T5666" s="57">
        <v>0</v>
      </c>
      <c r="U5666" s="57">
        <v>0</v>
      </c>
      <c r="V5666" s="57">
        <v>0</v>
      </c>
      <c r="W5666" s="57">
        <v>0</v>
      </c>
      <c r="X5666" s="57">
        <v>0</v>
      </c>
    </row>
    <row r="5667" spans="1:24" hidden="1" x14ac:dyDescent="0.35">
      <c r="A5667">
        <v>5663</v>
      </c>
      <c r="B5667">
        <v>5664</v>
      </c>
      <c r="C5667">
        <v>146.063316028999</v>
      </c>
      <c r="D5667">
        <v>-17.641010941400001</v>
      </c>
      <c r="F5667" t="str">
        <f>HYPERLINK("D:\Data From Lucan\2024\Moresby\Frames_for_Analysis/5664_20240611_0008_L_0076.jpg","5664_20240611_0008_L_0076.jpg")</f>
        <v>5664_20240611_0008_L_0076.jpg</v>
      </c>
      <c r="G5667" s="92" t="s">
        <v>5873</v>
      </c>
      <c r="I5667">
        <v>4</v>
      </c>
      <c r="K5667" s="57">
        <v>1</v>
      </c>
      <c r="L5667" t="s">
        <v>3959</v>
      </c>
      <c r="M5667" t="s">
        <v>3959</v>
      </c>
      <c r="N5667" t="s">
        <v>3959</v>
      </c>
      <c r="O5667" t="s">
        <v>3959</v>
      </c>
      <c r="P5667" s="57">
        <v>1</v>
      </c>
      <c r="Q5667" s="57">
        <v>0</v>
      </c>
      <c r="R5667" s="57">
        <v>0</v>
      </c>
      <c r="S5667" s="57">
        <v>0</v>
      </c>
      <c r="T5667" s="57">
        <v>0</v>
      </c>
      <c r="U5667" s="57">
        <v>0</v>
      </c>
      <c r="V5667" s="57">
        <v>0</v>
      </c>
      <c r="W5667" s="57">
        <v>0</v>
      </c>
      <c r="X5667" s="57">
        <v>0</v>
      </c>
    </row>
    <row r="5668" spans="1:24" hidden="1" x14ac:dyDescent="0.35">
      <c r="A5668">
        <v>5664</v>
      </c>
      <c r="B5668">
        <v>5665</v>
      </c>
      <c r="C5668">
        <v>146.063377583999</v>
      </c>
      <c r="D5668">
        <v>-17.6410728749999</v>
      </c>
      <c r="F5668" t="str">
        <f>HYPERLINK("D:\Data From Lucan\2024\Moresby\Frames_for_Analysis/5665_20240611_0008_L_0078.jpg","5665_20240611_0008_L_0078.jpg")</f>
        <v>5665_20240611_0008_L_0078.jpg</v>
      </c>
      <c r="G5668" s="92" t="s">
        <v>5874</v>
      </c>
      <c r="I5668">
        <v>4</v>
      </c>
      <c r="K5668" s="57">
        <v>1</v>
      </c>
      <c r="L5668" t="s">
        <v>3959</v>
      </c>
      <c r="M5668" t="s">
        <v>3959</v>
      </c>
      <c r="N5668" t="s">
        <v>3959</v>
      </c>
      <c r="O5668" t="s">
        <v>3959</v>
      </c>
      <c r="P5668" s="57">
        <v>1</v>
      </c>
      <c r="Q5668" s="57">
        <v>0</v>
      </c>
      <c r="R5668" s="57">
        <v>0</v>
      </c>
      <c r="S5668" s="57">
        <v>0</v>
      </c>
      <c r="T5668" s="57">
        <v>0</v>
      </c>
      <c r="U5668" s="57">
        <v>0</v>
      </c>
      <c r="V5668" s="57">
        <v>0</v>
      </c>
      <c r="W5668" s="57">
        <v>0</v>
      </c>
      <c r="X5668" s="57">
        <v>0</v>
      </c>
    </row>
    <row r="5669" spans="1:24" hidden="1" x14ac:dyDescent="0.35">
      <c r="A5669">
        <v>5665</v>
      </c>
      <c r="B5669">
        <v>5666</v>
      </c>
      <c r="C5669">
        <v>146.06344540000001</v>
      </c>
      <c r="D5669">
        <v>-17.641129017600001</v>
      </c>
      <c r="F5669" t="str">
        <f>HYPERLINK("D:\Data From Lucan\2024\Moresby\Frames_for_Analysis/5666_20240611_0008_L_0081.jpg","5666_20240611_0008_L_0081.jpg")</f>
        <v>5666_20240611_0008_L_0081.jpg</v>
      </c>
      <c r="G5669" s="92" t="s">
        <v>5875</v>
      </c>
      <c r="I5669">
        <v>4</v>
      </c>
      <c r="K5669" s="57">
        <v>1</v>
      </c>
      <c r="L5669" t="s">
        <v>3959</v>
      </c>
      <c r="M5669" t="s">
        <v>3959</v>
      </c>
      <c r="N5669" t="s">
        <v>3959</v>
      </c>
      <c r="O5669" t="s">
        <v>3959</v>
      </c>
      <c r="P5669" s="57">
        <v>1</v>
      </c>
      <c r="Q5669" s="57">
        <v>0</v>
      </c>
      <c r="R5669" s="57">
        <v>0</v>
      </c>
      <c r="S5669" s="57">
        <v>0</v>
      </c>
      <c r="T5669" s="57">
        <v>0</v>
      </c>
      <c r="U5669" s="57">
        <v>0</v>
      </c>
      <c r="V5669" s="57">
        <v>0</v>
      </c>
      <c r="W5669" s="57">
        <v>0</v>
      </c>
      <c r="X5669" s="57">
        <v>0</v>
      </c>
    </row>
    <row r="5670" spans="1:24" hidden="1" x14ac:dyDescent="0.35">
      <c r="A5670">
        <v>5666</v>
      </c>
      <c r="B5670">
        <v>5667</v>
      </c>
      <c r="C5670">
        <v>146.063513215</v>
      </c>
      <c r="D5670">
        <v>-17.6411851601999</v>
      </c>
      <c r="F5670" t="str">
        <f>HYPERLINK("D:\Data From Lucan\2024\Moresby\Frames_for_Analysis/5667_20240611_0008_L_0084.jpg","5667_20240611_0008_L_0084.jpg")</f>
        <v>5667_20240611_0008_L_0084.jpg</v>
      </c>
      <c r="G5670" s="92" t="s">
        <v>5876</v>
      </c>
      <c r="I5670">
        <v>4</v>
      </c>
      <c r="K5670" s="57">
        <v>1</v>
      </c>
      <c r="L5670" t="s">
        <v>3959</v>
      </c>
      <c r="M5670" t="s">
        <v>3959</v>
      </c>
      <c r="N5670" t="s">
        <v>3959</v>
      </c>
      <c r="O5670" t="s">
        <v>3959</v>
      </c>
      <c r="P5670" s="57">
        <v>1</v>
      </c>
      <c r="Q5670" s="57">
        <v>0</v>
      </c>
      <c r="R5670" s="57">
        <v>0</v>
      </c>
      <c r="S5670" s="57">
        <v>0</v>
      </c>
      <c r="T5670" s="57">
        <v>0</v>
      </c>
      <c r="U5670" s="57">
        <v>0</v>
      </c>
      <c r="V5670" s="57">
        <v>0</v>
      </c>
      <c r="W5670" s="57">
        <v>0</v>
      </c>
      <c r="X5670" s="57">
        <v>0</v>
      </c>
    </row>
    <row r="5671" spans="1:24" hidden="1" x14ac:dyDescent="0.35">
      <c r="A5671">
        <v>5667</v>
      </c>
      <c r="B5671">
        <v>5668</v>
      </c>
      <c r="C5671">
        <v>146.06358103100001</v>
      </c>
      <c r="D5671">
        <v>-17.641241302800001</v>
      </c>
      <c r="F5671" t="str">
        <f>HYPERLINK("D:\Data From Lucan\2024\Moresby\Frames_for_Analysis/5668_20240611_0008_L_0087.jpg","5668_20240611_0008_L_0087.jpg")</f>
        <v>5668_20240611_0008_L_0087.jpg</v>
      </c>
      <c r="G5671" s="92" t="s">
        <v>5877</v>
      </c>
      <c r="I5671">
        <v>4</v>
      </c>
      <c r="K5671" s="57">
        <v>1</v>
      </c>
      <c r="L5671" t="s">
        <v>3959</v>
      </c>
      <c r="M5671" t="s">
        <v>3959</v>
      </c>
      <c r="N5671" t="s">
        <v>3959</v>
      </c>
      <c r="O5671" t="s">
        <v>3959</v>
      </c>
      <c r="P5671" s="57">
        <v>1</v>
      </c>
      <c r="Q5671" s="57">
        <v>0</v>
      </c>
      <c r="R5671" s="57">
        <v>0</v>
      </c>
      <c r="S5671" s="57">
        <v>0</v>
      </c>
      <c r="T5671" s="57">
        <v>0</v>
      </c>
      <c r="U5671" s="57">
        <v>0</v>
      </c>
      <c r="V5671" s="57">
        <v>0</v>
      </c>
      <c r="W5671" s="57">
        <v>0</v>
      </c>
      <c r="X5671" s="57">
        <v>0</v>
      </c>
    </row>
    <row r="5672" spans="1:24" hidden="1" x14ac:dyDescent="0.35">
      <c r="A5672">
        <v>5668</v>
      </c>
      <c r="B5672">
        <v>5669</v>
      </c>
      <c r="C5672">
        <v>146.063648846999</v>
      </c>
      <c r="D5672">
        <v>-17.6412974453999</v>
      </c>
      <c r="F5672" t="str">
        <f>HYPERLINK("D:\Data From Lucan\2024\Moresby\Frames_for_Analysis/5669_20240611_0008_L_0091.jpg","5669_20240611_0008_L_0091.jpg")</f>
        <v>5669_20240611_0008_L_0091.jpg</v>
      </c>
      <c r="G5672" s="92" t="s">
        <v>5878</v>
      </c>
      <c r="I5672">
        <v>4</v>
      </c>
      <c r="K5672" s="57">
        <v>1</v>
      </c>
      <c r="L5672" t="s">
        <v>3959</v>
      </c>
      <c r="M5672" t="s">
        <v>3959</v>
      </c>
      <c r="N5672" t="s">
        <v>3959</v>
      </c>
      <c r="O5672" t="s">
        <v>3959</v>
      </c>
      <c r="P5672" s="57">
        <v>1</v>
      </c>
      <c r="Q5672" s="57">
        <v>0</v>
      </c>
      <c r="R5672" s="57">
        <v>0</v>
      </c>
      <c r="S5672" s="57">
        <v>0</v>
      </c>
      <c r="T5672" s="57">
        <v>0</v>
      </c>
      <c r="U5672" s="57">
        <v>0</v>
      </c>
      <c r="V5672" s="57">
        <v>0</v>
      </c>
      <c r="W5672" s="57">
        <v>0</v>
      </c>
      <c r="X5672" s="57">
        <v>0</v>
      </c>
    </row>
    <row r="5673" spans="1:24" hidden="1" x14ac:dyDescent="0.35">
      <c r="A5673">
        <v>5669</v>
      </c>
      <c r="B5673">
        <v>5670</v>
      </c>
      <c r="C5673">
        <v>146.063716661999</v>
      </c>
      <c r="D5673">
        <v>-17.641353588000001</v>
      </c>
      <c r="F5673" t="str">
        <f>HYPERLINK("D:\Data From Lucan\2024\Moresby\Frames_for_Analysis/5670_20240611_0008_L_0095.jpg","5670_20240611_0008_L_0095.jpg")</f>
        <v>5670_20240611_0008_L_0095.jpg</v>
      </c>
      <c r="G5673" s="92" t="s">
        <v>5879</v>
      </c>
      <c r="I5673">
        <v>4</v>
      </c>
      <c r="K5673" s="57">
        <v>1</v>
      </c>
      <c r="L5673" t="s">
        <v>3959</v>
      </c>
      <c r="M5673" t="s">
        <v>3959</v>
      </c>
      <c r="N5673" t="s">
        <v>3959</v>
      </c>
      <c r="O5673" t="s">
        <v>3959</v>
      </c>
      <c r="P5673" s="57">
        <v>1</v>
      </c>
      <c r="Q5673" s="57">
        <v>0</v>
      </c>
      <c r="R5673" s="57">
        <v>0</v>
      </c>
      <c r="S5673" s="57">
        <v>0</v>
      </c>
      <c r="T5673" s="57">
        <v>0</v>
      </c>
      <c r="U5673" s="57">
        <v>0</v>
      </c>
      <c r="V5673" s="57">
        <v>0</v>
      </c>
      <c r="W5673" s="57">
        <v>0</v>
      </c>
      <c r="X5673" s="57">
        <v>0</v>
      </c>
    </row>
    <row r="5674" spans="1:24" hidden="1" x14ac:dyDescent="0.35">
      <c r="A5674">
        <v>5670</v>
      </c>
      <c r="B5674">
        <v>5671</v>
      </c>
      <c r="C5674">
        <v>146.06378782600001</v>
      </c>
      <c r="D5674">
        <v>-17.6414041638999</v>
      </c>
      <c r="F5674" t="str">
        <f>HYPERLINK("D:\Data From Lucan\2024\Moresby\Frames_for_Analysis/5671_20240611_0008_L_0098.jpg","5671_20240611_0008_L_0098.jpg")</f>
        <v>5671_20240611_0008_L_0098.jpg</v>
      </c>
      <c r="G5674" s="92" t="s">
        <v>5880</v>
      </c>
      <c r="I5674">
        <v>4</v>
      </c>
      <c r="K5674" s="57">
        <v>1</v>
      </c>
      <c r="L5674" t="s">
        <v>3959</v>
      </c>
      <c r="M5674" t="s">
        <v>3959</v>
      </c>
      <c r="N5674" t="s">
        <v>3959</v>
      </c>
      <c r="O5674" t="s">
        <v>3959</v>
      </c>
      <c r="P5674" s="57">
        <v>1</v>
      </c>
      <c r="Q5674" s="57">
        <v>0</v>
      </c>
      <c r="R5674" s="57">
        <v>0</v>
      </c>
      <c r="S5674" s="57">
        <v>0</v>
      </c>
      <c r="T5674" s="57">
        <v>0</v>
      </c>
      <c r="U5674" s="57">
        <v>0</v>
      </c>
      <c r="V5674" s="57">
        <v>0</v>
      </c>
      <c r="W5674" s="57">
        <v>0</v>
      </c>
      <c r="X5674" s="57">
        <v>0</v>
      </c>
    </row>
    <row r="5675" spans="1:24" hidden="1" x14ac:dyDescent="0.35">
      <c r="A5675">
        <v>5671</v>
      </c>
      <c r="B5675">
        <v>5672</v>
      </c>
      <c r="C5675">
        <v>146.06387293200001</v>
      </c>
      <c r="D5675">
        <v>-17.641431563200001</v>
      </c>
      <c r="F5675" t="str">
        <f>HYPERLINK("D:\Data From Lucan\2024\Moresby\Frames_for_Analysis/5672_20240611_0008_L_0101.jpg","5672_20240611_0008_L_0101.jpg")</f>
        <v>5672_20240611_0008_L_0101.jpg</v>
      </c>
      <c r="G5675" s="92" t="s">
        <v>5881</v>
      </c>
      <c r="I5675">
        <v>4</v>
      </c>
      <c r="K5675" s="57">
        <v>1</v>
      </c>
      <c r="L5675" t="s">
        <v>3959</v>
      </c>
      <c r="M5675" t="s">
        <v>3959</v>
      </c>
      <c r="N5675" t="s">
        <v>3959</v>
      </c>
      <c r="O5675" t="s">
        <v>3959</v>
      </c>
      <c r="P5675" s="57">
        <v>1</v>
      </c>
      <c r="Q5675" s="57">
        <v>0</v>
      </c>
      <c r="R5675" s="57">
        <v>0</v>
      </c>
      <c r="S5675" s="57">
        <v>0</v>
      </c>
      <c r="T5675" s="57">
        <v>0</v>
      </c>
      <c r="U5675" s="57">
        <v>0</v>
      </c>
      <c r="V5675" s="57">
        <v>0</v>
      </c>
      <c r="W5675" s="57">
        <v>0</v>
      </c>
      <c r="X5675" s="57">
        <v>0</v>
      </c>
    </row>
    <row r="5676" spans="1:24" hidden="1" x14ac:dyDescent="0.35">
      <c r="A5676">
        <v>5672</v>
      </c>
      <c r="B5676">
        <v>5673</v>
      </c>
      <c r="C5676">
        <v>146.063958038999</v>
      </c>
      <c r="D5676">
        <v>-17.6414589625</v>
      </c>
      <c r="F5676" t="str">
        <f>HYPERLINK("D:\Data From Lucan\2024\Moresby\Frames_for_Analysis/5673_20240611_0008_L_0104.jpg","5673_20240611_0008_L_0104.jpg")</f>
        <v>5673_20240611_0008_L_0104.jpg</v>
      </c>
      <c r="G5676" s="92" t="s">
        <v>5882</v>
      </c>
      <c r="I5676">
        <v>4</v>
      </c>
      <c r="K5676" s="57">
        <v>1</v>
      </c>
      <c r="L5676" t="s">
        <v>3959</v>
      </c>
      <c r="M5676" t="s">
        <v>3959</v>
      </c>
      <c r="N5676" t="s">
        <v>3959</v>
      </c>
      <c r="O5676" t="s">
        <v>3959</v>
      </c>
      <c r="P5676" s="57">
        <v>1</v>
      </c>
      <c r="Q5676" s="57">
        <v>0</v>
      </c>
      <c r="R5676" s="57">
        <v>0</v>
      </c>
      <c r="S5676" s="57">
        <v>0</v>
      </c>
      <c r="T5676" s="57">
        <v>0</v>
      </c>
      <c r="U5676" s="57">
        <v>0</v>
      </c>
      <c r="V5676" s="57">
        <v>0</v>
      </c>
      <c r="W5676" s="57">
        <v>0</v>
      </c>
      <c r="X5676" s="57">
        <v>0</v>
      </c>
    </row>
    <row r="5677" spans="1:24" hidden="1" x14ac:dyDescent="0.35">
      <c r="A5677">
        <v>5673</v>
      </c>
      <c r="B5677">
        <v>5674</v>
      </c>
      <c r="C5677">
        <v>146.064043144999</v>
      </c>
      <c r="D5677">
        <v>-17.641486361799899</v>
      </c>
      <c r="F5677" t="str">
        <f>HYPERLINK("D:\Data From Lucan\2024\Moresby\Frames_for_Analysis/5674_20240611_0008_L_0107.jpg","5674_20240611_0008_L_0107.jpg")</f>
        <v>5674_20240611_0008_L_0107.jpg</v>
      </c>
      <c r="G5677" s="92" t="s">
        <v>5883</v>
      </c>
      <c r="I5677">
        <v>4</v>
      </c>
      <c r="K5677" s="57">
        <v>1</v>
      </c>
      <c r="L5677" t="s">
        <v>3959</v>
      </c>
      <c r="M5677" t="s">
        <v>3959</v>
      </c>
      <c r="N5677" t="s">
        <v>3959</v>
      </c>
      <c r="O5677" t="s">
        <v>3959</v>
      </c>
      <c r="P5677" s="57">
        <v>1</v>
      </c>
      <c r="Q5677" s="57">
        <v>0</v>
      </c>
      <c r="R5677" s="57">
        <v>0</v>
      </c>
      <c r="S5677" s="57">
        <v>0</v>
      </c>
      <c r="T5677" s="57">
        <v>0</v>
      </c>
      <c r="U5677" s="57">
        <v>0</v>
      </c>
      <c r="V5677" s="57">
        <v>0</v>
      </c>
      <c r="W5677" s="57">
        <v>0</v>
      </c>
      <c r="X5677" s="57">
        <v>0</v>
      </c>
    </row>
    <row r="5678" spans="1:24" hidden="1" x14ac:dyDescent="0.35">
      <c r="A5678">
        <v>5674</v>
      </c>
      <c r="B5678">
        <v>5675</v>
      </c>
      <c r="C5678">
        <v>146.064128251</v>
      </c>
      <c r="D5678">
        <v>-17.641513760999899</v>
      </c>
      <c r="F5678" t="str">
        <f>HYPERLINK("D:\Data From Lucan\2024\Moresby\Frames_for_Analysis/5675_20240611_0008_L_0111.jpg","5675_20240611_0008_L_0111.jpg")</f>
        <v>5675_20240611_0008_L_0111.jpg</v>
      </c>
      <c r="G5678" s="92" t="s">
        <v>5884</v>
      </c>
      <c r="I5678">
        <v>4</v>
      </c>
      <c r="K5678" s="57">
        <v>1</v>
      </c>
      <c r="L5678" t="s">
        <v>3959</v>
      </c>
      <c r="M5678" t="s">
        <v>3959</v>
      </c>
      <c r="N5678" t="s">
        <v>3959</v>
      </c>
      <c r="O5678" t="s">
        <v>3959</v>
      </c>
      <c r="P5678" s="57">
        <v>1</v>
      </c>
      <c r="Q5678" s="57">
        <v>0</v>
      </c>
      <c r="R5678" s="57">
        <v>0</v>
      </c>
      <c r="S5678" s="57">
        <v>0</v>
      </c>
      <c r="T5678" s="57">
        <v>0</v>
      </c>
      <c r="U5678" s="57">
        <v>0</v>
      </c>
      <c r="V5678" s="57">
        <v>0</v>
      </c>
      <c r="W5678" s="57">
        <v>0</v>
      </c>
      <c r="X5678" s="57">
        <v>0</v>
      </c>
    </row>
    <row r="5679" spans="1:24" hidden="1" x14ac:dyDescent="0.35">
      <c r="A5679">
        <v>5675</v>
      </c>
      <c r="B5679">
        <v>5676</v>
      </c>
      <c r="C5679">
        <v>146.064213357</v>
      </c>
      <c r="D5679">
        <v>-17.641541160300001</v>
      </c>
      <c r="F5679" t="str">
        <f>HYPERLINK("D:\Data From Lucan\2024\Moresby\Frames_for_Analysis/5676_20240611_0008_L_0114.jpg","5676_20240611_0008_L_0114.jpg")</f>
        <v>5676_20240611_0008_L_0114.jpg</v>
      </c>
      <c r="G5679" s="92" t="s">
        <v>5885</v>
      </c>
      <c r="I5679">
        <v>4</v>
      </c>
      <c r="K5679" s="57">
        <v>1</v>
      </c>
      <c r="L5679" t="s">
        <v>3959</v>
      </c>
      <c r="M5679" t="s">
        <v>3959</v>
      </c>
      <c r="N5679" t="s">
        <v>3959</v>
      </c>
      <c r="O5679" t="s">
        <v>3959</v>
      </c>
      <c r="P5679" s="57">
        <v>1</v>
      </c>
      <c r="Q5679" s="57">
        <v>0</v>
      </c>
      <c r="R5679" s="57">
        <v>0</v>
      </c>
      <c r="S5679" s="57">
        <v>0</v>
      </c>
      <c r="T5679" s="57">
        <v>0</v>
      </c>
      <c r="U5679" s="57">
        <v>0</v>
      </c>
      <c r="V5679" s="57">
        <v>0</v>
      </c>
      <c r="W5679" s="57">
        <v>0</v>
      </c>
      <c r="X5679" s="57">
        <v>0</v>
      </c>
    </row>
    <row r="5680" spans="1:24" hidden="1" x14ac:dyDescent="0.35">
      <c r="A5680">
        <v>5676</v>
      </c>
      <c r="B5680">
        <v>5677</v>
      </c>
      <c r="C5680">
        <v>146.064298463</v>
      </c>
      <c r="D5680">
        <v>-17.6415685596</v>
      </c>
      <c r="F5680" t="str">
        <f>HYPERLINK("D:\Data From Lucan\2024\Moresby\Frames_for_Analysis/5677_20240611_0008_L_0117.jpg","5677_20240611_0008_L_0117.jpg")</f>
        <v>5677_20240611_0008_L_0117.jpg</v>
      </c>
      <c r="G5680" s="92" t="s">
        <v>5886</v>
      </c>
      <c r="I5680">
        <v>4</v>
      </c>
      <c r="K5680" s="57">
        <v>1</v>
      </c>
      <c r="L5680" t="s">
        <v>3959</v>
      </c>
      <c r="M5680" t="s">
        <v>3959</v>
      </c>
      <c r="N5680" t="s">
        <v>3959</v>
      </c>
      <c r="O5680" t="s">
        <v>3959</v>
      </c>
      <c r="P5680" s="57">
        <v>1</v>
      </c>
      <c r="Q5680" s="57">
        <v>0</v>
      </c>
      <c r="R5680" s="57">
        <v>0</v>
      </c>
      <c r="S5680" s="57">
        <v>0</v>
      </c>
      <c r="T5680" s="57">
        <v>0</v>
      </c>
      <c r="U5680" s="57">
        <v>0</v>
      </c>
      <c r="V5680" s="57">
        <v>0</v>
      </c>
      <c r="W5680" s="57">
        <v>0</v>
      </c>
      <c r="X5680" s="57">
        <v>0</v>
      </c>
    </row>
    <row r="5681" spans="1:24" hidden="1" x14ac:dyDescent="0.35">
      <c r="A5681">
        <v>5677</v>
      </c>
      <c r="B5681">
        <v>5678</v>
      </c>
      <c r="C5681">
        <v>146.064383569</v>
      </c>
      <c r="D5681">
        <v>-17.6415959588</v>
      </c>
      <c r="F5681" t="str">
        <f>HYPERLINK("D:\Data From Lucan\2024\Moresby\Frames_for_Analysis/5678_20240611_0008_L_0120.jpg","5678_20240611_0008_L_0120.jpg")</f>
        <v>5678_20240611_0008_L_0120.jpg</v>
      </c>
      <c r="G5681" s="92" t="s">
        <v>5887</v>
      </c>
      <c r="I5681">
        <v>4</v>
      </c>
      <c r="K5681" s="57">
        <v>1</v>
      </c>
      <c r="L5681" t="s">
        <v>3959</v>
      </c>
      <c r="M5681" t="s">
        <v>3959</v>
      </c>
      <c r="N5681" t="s">
        <v>3959</v>
      </c>
      <c r="O5681" t="s">
        <v>3959</v>
      </c>
      <c r="P5681" s="57">
        <v>1</v>
      </c>
      <c r="Q5681" s="57">
        <v>0</v>
      </c>
      <c r="R5681" s="57">
        <v>0</v>
      </c>
      <c r="S5681" s="57">
        <v>0</v>
      </c>
      <c r="T5681" s="57">
        <v>0</v>
      </c>
      <c r="U5681" s="57">
        <v>0</v>
      </c>
      <c r="V5681" s="57">
        <v>0</v>
      </c>
      <c r="W5681" s="57">
        <v>0</v>
      </c>
      <c r="X5681" s="57">
        <v>0</v>
      </c>
    </row>
    <row r="5682" spans="1:24" hidden="1" x14ac:dyDescent="0.35">
      <c r="A5682">
        <v>5678</v>
      </c>
      <c r="B5682">
        <v>5679</v>
      </c>
      <c r="C5682">
        <v>146.064468675999</v>
      </c>
      <c r="D5682">
        <v>-17.641623358099899</v>
      </c>
      <c r="F5682" t="str">
        <f>HYPERLINK("D:\Data From Lucan\2024\Moresby\Frames_for_Analysis/5679_20240611_0008_L_0123.jpg","5679_20240611_0008_L_0123.jpg")</f>
        <v>5679_20240611_0008_L_0123.jpg</v>
      </c>
      <c r="G5682" s="92" t="s">
        <v>5888</v>
      </c>
      <c r="I5682">
        <v>4</v>
      </c>
      <c r="K5682" s="57">
        <v>1</v>
      </c>
      <c r="L5682" t="s">
        <v>3959</v>
      </c>
      <c r="M5682" t="s">
        <v>3959</v>
      </c>
      <c r="N5682" t="s">
        <v>3959</v>
      </c>
      <c r="O5682" t="s">
        <v>3959</v>
      </c>
      <c r="P5682" s="57">
        <v>1</v>
      </c>
      <c r="Q5682" s="57">
        <v>0</v>
      </c>
      <c r="R5682" s="57">
        <v>0</v>
      </c>
      <c r="S5682" s="57">
        <v>0</v>
      </c>
      <c r="T5682" s="57">
        <v>0</v>
      </c>
      <c r="U5682" s="57">
        <v>0</v>
      </c>
      <c r="V5682" s="57">
        <v>0</v>
      </c>
      <c r="W5682" s="57">
        <v>0</v>
      </c>
      <c r="X5682" s="57">
        <v>0</v>
      </c>
    </row>
    <row r="5683" spans="1:24" hidden="1" x14ac:dyDescent="0.35">
      <c r="A5683">
        <v>5679</v>
      </c>
      <c r="B5683">
        <v>5680</v>
      </c>
      <c r="C5683">
        <v>146.064555495999</v>
      </c>
      <c r="D5683">
        <v>-17.6416437733</v>
      </c>
      <c r="F5683" t="str">
        <f>HYPERLINK("D:\Data From Lucan\2024\Moresby\Frames_for_Analysis/5680_20240611_0008_L_0126.jpg","5680_20240611_0008_L_0126.jpg")</f>
        <v>5680_20240611_0008_L_0126.jpg</v>
      </c>
      <c r="G5683" s="92" t="s">
        <v>5889</v>
      </c>
      <c r="I5683">
        <v>4</v>
      </c>
      <c r="K5683" s="57">
        <v>1</v>
      </c>
      <c r="L5683" t="s">
        <v>3959</v>
      </c>
      <c r="M5683" t="s">
        <v>3959</v>
      </c>
      <c r="N5683" t="s">
        <v>3959</v>
      </c>
      <c r="O5683" t="s">
        <v>3959</v>
      </c>
      <c r="P5683" s="57">
        <v>1</v>
      </c>
      <c r="Q5683" s="57">
        <v>0</v>
      </c>
      <c r="R5683" s="57">
        <v>0</v>
      </c>
      <c r="S5683" s="57">
        <v>0</v>
      </c>
      <c r="T5683" s="57">
        <v>0</v>
      </c>
      <c r="U5683" s="57">
        <v>0</v>
      </c>
      <c r="V5683" s="57">
        <v>0</v>
      </c>
      <c r="W5683" s="57">
        <v>0</v>
      </c>
      <c r="X5683" s="57">
        <v>0</v>
      </c>
    </row>
    <row r="5684" spans="1:24" hidden="1" x14ac:dyDescent="0.35">
      <c r="A5684">
        <v>5680</v>
      </c>
      <c r="B5684">
        <v>5681</v>
      </c>
      <c r="C5684">
        <v>146.06464452500001</v>
      </c>
      <c r="D5684">
        <v>-17.6416551963</v>
      </c>
      <c r="F5684" t="str">
        <f>HYPERLINK("D:\Data From Lucan\2024\Moresby\Frames_for_Analysis/5681_20240611_0008_L_0129.jpg","5681_20240611_0008_L_0129.jpg")</f>
        <v>5681_20240611_0008_L_0129.jpg</v>
      </c>
      <c r="G5684" s="92" t="s">
        <v>5890</v>
      </c>
      <c r="I5684">
        <v>4</v>
      </c>
      <c r="K5684" s="57">
        <v>1</v>
      </c>
      <c r="L5684" t="s">
        <v>3959</v>
      </c>
      <c r="M5684" t="s">
        <v>3959</v>
      </c>
      <c r="N5684" t="s">
        <v>3959</v>
      </c>
      <c r="O5684" t="s">
        <v>3959</v>
      </c>
      <c r="P5684" s="57">
        <v>1</v>
      </c>
      <c r="Q5684" s="57">
        <v>0</v>
      </c>
      <c r="R5684" s="57">
        <v>0</v>
      </c>
      <c r="S5684" s="57">
        <v>0</v>
      </c>
      <c r="T5684" s="57">
        <v>0</v>
      </c>
      <c r="U5684" s="57">
        <v>0</v>
      </c>
      <c r="V5684" s="57">
        <v>0</v>
      </c>
      <c r="W5684" s="57">
        <v>0</v>
      </c>
      <c r="X5684" s="57">
        <v>0</v>
      </c>
    </row>
    <row r="5685" spans="1:24" hidden="1" x14ac:dyDescent="0.35">
      <c r="A5685">
        <v>5681</v>
      </c>
      <c r="B5685">
        <v>5682</v>
      </c>
      <c r="C5685">
        <v>146.064733552999</v>
      </c>
      <c r="D5685">
        <v>-17.6416666193</v>
      </c>
      <c r="F5685" t="str">
        <f>HYPERLINK("D:\Data From Lucan\2024\Moresby\Frames_for_Analysis/5682_20240611_0008_L_0132.jpg","5682_20240611_0008_L_0132.jpg")</f>
        <v>5682_20240611_0008_L_0132.jpg</v>
      </c>
      <c r="G5685" s="92" t="s">
        <v>5891</v>
      </c>
      <c r="I5685">
        <v>4</v>
      </c>
      <c r="K5685" s="57">
        <v>1</v>
      </c>
      <c r="L5685" t="s">
        <v>3959</v>
      </c>
      <c r="M5685" t="s">
        <v>3959</v>
      </c>
      <c r="N5685" t="s">
        <v>3959</v>
      </c>
      <c r="O5685" t="s">
        <v>3959</v>
      </c>
      <c r="P5685" s="57">
        <v>1</v>
      </c>
      <c r="Q5685" s="57">
        <v>0</v>
      </c>
      <c r="R5685" s="57">
        <v>0</v>
      </c>
      <c r="S5685" s="57">
        <v>0</v>
      </c>
      <c r="T5685" s="57">
        <v>0</v>
      </c>
      <c r="U5685" s="57">
        <v>0</v>
      </c>
      <c r="V5685" s="57">
        <v>0</v>
      </c>
      <c r="W5685" s="57">
        <v>0</v>
      </c>
      <c r="X5685" s="57">
        <v>0</v>
      </c>
    </row>
    <row r="5686" spans="1:24" hidden="1" x14ac:dyDescent="0.35">
      <c r="A5686">
        <v>5682</v>
      </c>
      <c r="B5686">
        <v>5683</v>
      </c>
      <c r="C5686">
        <v>146.06482258099899</v>
      </c>
      <c r="D5686">
        <v>-17.641678042399899</v>
      </c>
      <c r="F5686" t="str">
        <f>HYPERLINK("D:\Data From Lucan\2024\Moresby\Frames_for_Analysis/5683_20240611_0008_L_0135.jpg","5683_20240611_0008_L_0135.jpg")</f>
        <v>5683_20240611_0008_L_0135.jpg</v>
      </c>
      <c r="G5686" s="92" t="s">
        <v>5892</v>
      </c>
      <c r="I5686">
        <v>4</v>
      </c>
      <c r="K5686" s="57">
        <v>1</v>
      </c>
      <c r="L5686" t="s">
        <v>3959</v>
      </c>
      <c r="M5686" t="s">
        <v>3959</v>
      </c>
      <c r="N5686" t="s">
        <v>3959</v>
      </c>
      <c r="O5686" t="s">
        <v>3959</v>
      </c>
      <c r="P5686" s="57">
        <v>1</v>
      </c>
      <c r="Q5686" s="57">
        <v>0</v>
      </c>
      <c r="R5686" s="57">
        <v>0</v>
      </c>
      <c r="S5686" s="57">
        <v>0</v>
      </c>
      <c r="T5686" s="57">
        <v>0</v>
      </c>
      <c r="U5686" s="57">
        <v>0</v>
      </c>
      <c r="V5686" s="57">
        <v>0</v>
      </c>
      <c r="W5686" s="57">
        <v>0</v>
      </c>
      <c r="X5686" s="57">
        <v>0</v>
      </c>
    </row>
    <row r="5687" spans="1:24" hidden="1" x14ac:dyDescent="0.35">
      <c r="A5687">
        <v>5683</v>
      </c>
      <c r="B5687">
        <v>5684</v>
      </c>
      <c r="C5687">
        <v>146.06491160900001</v>
      </c>
      <c r="D5687">
        <v>-17.641689465399899</v>
      </c>
      <c r="F5687" t="str">
        <f>HYPERLINK("D:\Data From Lucan\2024\Moresby\Frames_for_Analysis/5684_20240611_0008_L_0138.jpg","5684_20240611_0008_L_0138.jpg")</f>
        <v>5684_20240611_0008_L_0138.jpg</v>
      </c>
      <c r="G5687" s="92" t="s">
        <v>5893</v>
      </c>
      <c r="I5687">
        <v>4</v>
      </c>
      <c r="K5687" s="57">
        <v>1</v>
      </c>
      <c r="L5687" t="s">
        <v>3959</v>
      </c>
      <c r="M5687" t="s">
        <v>3959</v>
      </c>
      <c r="N5687" t="s">
        <v>3959</v>
      </c>
      <c r="O5687" t="s">
        <v>3959</v>
      </c>
      <c r="P5687" s="57">
        <v>1</v>
      </c>
      <c r="Q5687" s="57">
        <v>0</v>
      </c>
      <c r="R5687" s="57">
        <v>0</v>
      </c>
      <c r="S5687" s="57">
        <v>0</v>
      </c>
      <c r="T5687" s="57">
        <v>0</v>
      </c>
      <c r="U5687" s="57">
        <v>0</v>
      </c>
      <c r="V5687" s="57">
        <v>0</v>
      </c>
      <c r="W5687" s="57">
        <v>0</v>
      </c>
      <c r="X5687" s="57">
        <v>0</v>
      </c>
    </row>
    <row r="5688" spans="1:24" hidden="1" x14ac:dyDescent="0.35">
      <c r="A5688">
        <v>5684</v>
      </c>
      <c r="B5688">
        <v>5685</v>
      </c>
      <c r="C5688">
        <v>146.065000636999</v>
      </c>
      <c r="D5688">
        <v>-17.6417008883999</v>
      </c>
      <c r="F5688" t="str">
        <f>HYPERLINK("D:\Data From Lucan\2024\Moresby\Frames_for_Analysis/5685_20240611_0008_L_0141.jpg","5685_20240611_0008_L_0141.jpg")</f>
        <v>5685_20240611_0008_L_0141.jpg</v>
      </c>
      <c r="G5688" s="92" t="s">
        <v>5894</v>
      </c>
      <c r="I5688">
        <v>4</v>
      </c>
      <c r="K5688" s="57">
        <v>1</v>
      </c>
      <c r="L5688" t="s">
        <v>3959</v>
      </c>
      <c r="M5688" t="s">
        <v>3959</v>
      </c>
      <c r="N5688" t="s">
        <v>3959</v>
      </c>
      <c r="O5688" t="s">
        <v>3959</v>
      </c>
      <c r="P5688" s="57">
        <v>1</v>
      </c>
      <c r="Q5688" s="57">
        <v>0</v>
      </c>
      <c r="R5688" s="57">
        <v>0</v>
      </c>
      <c r="S5688" s="57">
        <v>0</v>
      </c>
      <c r="T5688" s="57">
        <v>0</v>
      </c>
      <c r="U5688" s="57">
        <v>0</v>
      </c>
      <c r="V5688" s="57">
        <v>0</v>
      </c>
      <c r="W5688" s="57">
        <v>0</v>
      </c>
      <c r="X5688" s="57">
        <v>0</v>
      </c>
    </row>
    <row r="5689" spans="1:24" hidden="1" x14ac:dyDescent="0.35">
      <c r="A5689">
        <v>5685</v>
      </c>
      <c r="B5689">
        <v>5686</v>
      </c>
      <c r="C5689">
        <v>146.06508966600001</v>
      </c>
      <c r="D5689">
        <v>-17.641712311500001</v>
      </c>
      <c r="F5689" t="str">
        <f>HYPERLINK("D:\Data From Lucan\2024\Moresby\Frames_for_Analysis/5686_20240611_0008_L_0143.jpg","5686_20240611_0008_L_0143.jpg")</f>
        <v>5686_20240611_0008_L_0143.jpg</v>
      </c>
      <c r="G5689" s="92" t="s">
        <v>5895</v>
      </c>
      <c r="I5689">
        <v>4</v>
      </c>
      <c r="K5689" s="57">
        <v>1</v>
      </c>
      <c r="L5689" t="s">
        <v>3959</v>
      </c>
      <c r="M5689" t="s">
        <v>3959</v>
      </c>
      <c r="N5689" t="s">
        <v>3959</v>
      </c>
      <c r="O5689" t="s">
        <v>3959</v>
      </c>
      <c r="P5689" s="57">
        <v>1</v>
      </c>
      <c r="Q5689" s="57">
        <v>0</v>
      </c>
      <c r="R5689" s="57">
        <v>0</v>
      </c>
      <c r="S5689" s="57">
        <v>0</v>
      </c>
      <c r="T5689" s="57">
        <v>0</v>
      </c>
      <c r="U5689" s="57">
        <v>0</v>
      </c>
      <c r="V5689" s="57">
        <v>0</v>
      </c>
      <c r="W5689" s="57">
        <v>0</v>
      </c>
      <c r="X5689" s="57">
        <v>0</v>
      </c>
    </row>
    <row r="5690" spans="1:24" hidden="1" x14ac:dyDescent="0.35">
      <c r="A5690">
        <v>5686</v>
      </c>
      <c r="B5690">
        <v>5687</v>
      </c>
      <c r="C5690">
        <v>146.065178693999</v>
      </c>
      <c r="D5690">
        <v>-17.641723734500001</v>
      </c>
      <c r="F5690" t="str">
        <f>HYPERLINK("D:\Data From Lucan\2024\Moresby\Frames_for_Analysis/5687_20240611_0008_L_0147.jpg","5687_20240611_0008_L_0147.jpg")</f>
        <v>5687_20240611_0008_L_0147.jpg</v>
      </c>
      <c r="G5690" s="92" t="s">
        <v>5896</v>
      </c>
      <c r="I5690">
        <v>4</v>
      </c>
      <c r="K5690" s="57">
        <v>1</v>
      </c>
      <c r="L5690" t="s">
        <v>3959</v>
      </c>
      <c r="M5690" t="s">
        <v>3959</v>
      </c>
      <c r="N5690" t="s">
        <v>3959</v>
      </c>
      <c r="O5690" t="s">
        <v>3959</v>
      </c>
      <c r="P5690" s="57">
        <v>1</v>
      </c>
      <c r="Q5690" s="57">
        <v>0</v>
      </c>
      <c r="R5690" s="57">
        <v>0</v>
      </c>
      <c r="S5690" s="57">
        <v>0</v>
      </c>
      <c r="T5690" s="57">
        <v>0</v>
      </c>
      <c r="U5690" s="57">
        <v>0</v>
      </c>
      <c r="V5690" s="57">
        <v>0</v>
      </c>
      <c r="W5690" s="57">
        <v>0</v>
      </c>
      <c r="X5690" s="57">
        <v>0</v>
      </c>
    </row>
    <row r="5691" spans="1:24" hidden="1" x14ac:dyDescent="0.35">
      <c r="A5691">
        <v>5687</v>
      </c>
      <c r="B5691">
        <v>5688</v>
      </c>
      <c r="C5691">
        <v>146.06526772199899</v>
      </c>
      <c r="D5691">
        <v>-17.641735157500001</v>
      </c>
      <c r="F5691" t="str">
        <f>HYPERLINK("D:\Data From Lucan\2024\Moresby\Frames_for_Analysis/5688_20240611_0008_L_0149.jpg","5688_20240611_0008_L_0149.jpg")</f>
        <v>5688_20240611_0008_L_0149.jpg</v>
      </c>
      <c r="G5691" s="92" t="s">
        <v>5897</v>
      </c>
      <c r="I5691">
        <v>4</v>
      </c>
      <c r="K5691" s="57">
        <v>1</v>
      </c>
      <c r="L5691" t="s">
        <v>3959</v>
      </c>
      <c r="M5691" t="s">
        <v>3959</v>
      </c>
      <c r="N5691" t="s">
        <v>3959</v>
      </c>
      <c r="O5691" t="s">
        <v>3959</v>
      </c>
      <c r="P5691" s="57">
        <v>1</v>
      </c>
      <c r="Q5691" s="57">
        <v>0</v>
      </c>
      <c r="R5691" s="57">
        <v>0</v>
      </c>
      <c r="S5691" s="57">
        <v>0</v>
      </c>
      <c r="T5691" s="57">
        <v>0</v>
      </c>
      <c r="U5691" s="57">
        <v>0</v>
      </c>
      <c r="V5691" s="57">
        <v>0</v>
      </c>
      <c r="W5691" s="57">
        <v>0</v>
      </c>
      <c r="X5691" s="57">
        <v>0</v>
      </c>
    </row>
    <row r="5692" spans="1:24" hidden="1" x14ac:dyDescent="0.35">
      <c r="A5692">
        <v>5688</v>
      </c>
      <c r="B5692">
        <v>5689</v>
      </c>
      <c r="C5692">
        <v>146.06535675000001</v>
      </c>
      <c r="D5692">
        <v>-17.6417465806</v>
      </c>
      <c r="F5692" t="str">
        <f>HYPERLINK("D:\Data From Lucan\2024\Moresby\Frames_for_Analysis/5689_20240611_0008_L_0152.jpg","5689_20240611_0008_L_0152.jpg")</f>
        <v>5689_20240611_0008_L_0152.jpg</v>
      </c>
      <c r="G5692" s="92" t="s">
        <v>5898</v>
      </c>
      <c r="I5692">
        <v>4</v>
      </c>
      <c r="K5692" s="57">
        <v>1</v>
      </c>
      <c r="L5692" t="s">
        <v>3959</v>
      </c>
      <c r="M5692" t="s">
        <v>3959</v>
      </c>
      <c r="N5692" t="s">
        <v>3959</v>
      </c>
      <c r="O5692" t="s">
        <v>3959</v>
      </c>
      <c r="P5692" s="57">
        <v>1</v>
      </c>
      <c r="Q5692" s="57">
        <v>0</v>
      </c>
      <c r="R5692" s="57">
        <v>0</v>
      </c>
      <c r="S5692" s="57">
        <v>0</v>
      </c>
      <c r="T5692" s="57">
        <v>0</v>
      </c>
      <c r="U5692" s="57">
        <v>0</v>
      </c>
      <c r="V5692" s="57">
        <v>0</v>
      </c>
      <c r="W5692" s="57">
        <v>0</v>
      </c>
      <c r="X5692" s="57">
        <v>0</v>
      </c>
    </row>
    <row r="5693" spans="1:24" hidden="1" x14ac:dyDescent="0.35">
      <c r="A5693">
        <v>5689</v>
      </c>
      <c r="B5693">
        <v>5690</v>
      </c>
      <c r="C5693">
        <v>146.065446006999</v>
      </c>
      <c r="D5693">
        <v>-17.641754266100001</v>
      </c>
      <c r="F5693" t="str">
        <f>HYPERLINK("D:\Data From Lucan\2024\Moresby\Frames_for_Analysis/5690_20240611_0008_L_0155.jpg","5690_20240611_0008_L_0155.jpg")</f>
        <v>5690_20240611_0008_L_0155.jpg</v>
      </c>
      <c r="G5693" s="92" t="s">
        <v>5899</v>
      </c>
      <c r="I5693">
        <v>4</v>
      </c>
      <c r="K5693" s="57">
        <v>1</v>
      </c>
      <c r="L5693" t="s">
        <v>3959</v>
      </c>
      <c r="M5693" t="s">
        <v>3959</v>
      </c>
      <c r="N5693" t="s">
        <v>3959</v>
      </c>
      <c r="O5693" t="s">
        <v>3959</v>
      </c>
      <c r="P5693" s="57">
        <v>1</v>
      </c>
      <c r="Q5693" s="57">
        <v>0</v>
      </c>
      <c r="R5693" s="57">
        <v>0</v>
      </c>
      <c r="S5693" s="57">
        <v>0</v>
      </c>
      <c r="T5693" s="57">
        <v>0</v>
      </c>
      <c r="U5693" s="57">
        <v>0</v>
      </c>
      <c r="V5693" s="57">
        <v>0</v>
      </c>
      <c r="W5693" s="57">
        <v>0</v>
      </c>
      <c r="X5693" s="57">
        <v>0</v>
      </c>
    </row>
    <row r="5694" spans="1:24" hidden="1" x14ac:dyDescent="0.35">
      <c r="A5694">
        <v>5690</v>
      </c>
      <c r="B5694">
        <v>5691</v>
      </c>
      <c r="C5694">
        <v>146.065535826</v>
      </c>
      <c r="D5694">
        <v>-17.641752799100001</v>
      </c>
      <c r="F5694" t="str">
        <f>HYPERLINK("D:\Data From Lucan\2024\Moresby\Frames_for_Analysis/5691_20240611_0008_L_0159.jpg","5691_20240611_0008_L_0159.jpg")</f>
        <v>5691_20240611_0008_L_0159.jpg</v>
      </c>
      <c r="G5694" s="92" t="s">
        <v>5900</v>
      </c>
      <c r="I5694">
        <v>4</v>
      </c>
      <c r="K5694" s="57">
        <v>1</v>
      </c>
      <c r="L5694" t="s">
        <v>3959</v>
      </c>
      <c r="M5694" t="s">
        <v>3959</v>
      </c>
      <c r="N5694" t="s">
        <v>3959</v>
      </c>
      <c r="O5694" t="s">
        <v>3959</v>
      </c>
      <c r="P5694" s="57">
        <v>1</v>
      </c>
      <c r="Q5694" s="57">
        <v>0</v>
      </c>
      <c r="R5694" s="57">
        <v>0</v>
      </c>
      <c r="S5694" s="57">
        <v>0</v>
      </c>
      <c r="T5694" s="57">
        <v>0</v>
      </c>
      <c r="U5694" s="57">
        <v>0</v>
      </c>
      <c r="V5694" s="57">
        <v>0</v>
      </c>
      <c r="W5694" s="57">
        <v>0</v>
      </c>
      <c r="X5694" s="57">
        <v>0</v>
      </c>
    </row>
    <row r="5695" spans="1:24" hidden="1" x14ac:dyDescent="0.35">
      <c r="A5695">
        <v>5691</v>
      </c>
      <c r="B5695">
        <v>5692</v>
      </c>
      <c r="C5695">
        <v>146.065625643999</v>
      </c>
      <c r="D5695">
        <v>-17.6417513321</v>
      </c>
      <c r="F5695" t="str">
        <f>HYPERLINK("D:\Data From Lucan\2024\Moresby\Frames_for_Analysis/5692_20240611_0008_L_0163.jpg","5692_20240611_0008_L_0163.jpg")</f>
        <v>5692_20240611_0008_L_0163.jpg</v>
      </c>
      <c r="G5695" s="92" t="s">
        <v>5901</v>
      </c>
      <c r="I5695">
        <v>4</v>
      </c>
      <c r="K5695" s="57">
        <v>1</v>
      </c>
      <c r="L5695" t="s">
        <v>3959</v>
      </c>
      <c r="M5695" t="s">
        <v>3959</v>
      </c>
      <c r="N5695" t="s">
        <v>3959</v>
      </c>
      <c r="O5695" t="s">
        <v>3959</v>
      </c>
      <c r="P5695" s="57">
        <v>1</v>
      </c>
      <c r="Q5695" s="57">
        <v>0</v>
      </c>
      <c r="R5695" s="57">
        <v>0</v>
      </c>
      <c r="S5695" s="57">
        <v>0</v>
      </c>
      <c r="T5695" s="57">
        <v>0</v>
      </c>
      <c r="U5695" s="57">
        <v>0</v>
      </c>
      <c r="V5695" s="57">
        <v>0</v>
      </c>
      <c r="W5695" s="57">
        <v>0</v>
      </c>
      <c r="X5695" s="57">
        <v>0</v>
      </c>
    </row>
    <row r="5696" spans="1:24" hidden="1" x14ac:dyDescent="0.35">
      <c r="A5696">
        <v>5692</v>
      </c>
      <c r="B5696">
        <v>5693</v>
      </c>
      <c r="C5696">
        <v>146.06571546199899</v>
      </c>
      <c r="D5696">
        <v>-17.6417498651</v>
      </c>
      <c r="F5696" t="str">
        <f>HYPERLINK("D:\Data From Lucan\2024\Moresby\Frames_for_Analysis/5693_20240611_0008_L_0166.jpg","5693_20240611_0008_L_0166.jpg")</f>
        <v>5693_20240611_0008_L_0166.jpg</v>
      </c>
      <c r="G5696" s="92" t="s">
        <v>5902</v>
      </c>
      <c r="I5696">
        <v>4</v>
      </c>
      <c r="K5696" s="57">
        <v>1</v>
      </c>
      <c r="L5696" t="s">
        <v>3959</v>
      </c>
      <c r="M5696" t="s">
        <v>3959</v>
      </c>
      <c r="N5696" t="s">
        <v>3959</v>
      </c>
      <c r="O5696" t="s">
        <v>3959</v>
      </c>
      <c r="P5696" s="57">
        <v>1</v>
      </c>
      <c r="Q5696" s="57">
        <v>0</v>
      </c>
      <c r="R5696" s="57">
        <v>0</v>
      </c>
      <c r="S5696" s="57">
        <v>0</v>
      </c>
      <c r="T5696" s="57">
        <v>0</v>
      </c>
      <c r="U5696" s="57">
        <v>0</v>
      </c>
      <c r="V5696" s="57">
        <v>0</v>
      </c>
      <c r="W5696" s="57">
        <v>0</v>
      </c>
      <c r="X5696" s="57">
        <v>0</v>
      </c>
    </row>
    <row r="5697" spans="1:24" hidden="1" x14ac:dyDescent="0.35">
      <c r="A5697">
        <v>5693</v>
      </c>
      <c r="B5697">
        <v>5694</v>
      </c>
      <c r="C5697">
        <v>146.065805280999</v>
      </c>
      <c r="D5697">
        <v>-17.641748398200001</v>
      </c>
      <c r="F5697" t="str">
        <f>HYPERLINK("D:\Data From Lucan\2024\Moresby\Frames_for_Analysis/5694_20240611_0008_L_0168.jpg","5694_20240611_0008_L_0168.jpg")</f>
        <v>5694_20240611_0008_L_0168.jpg</v>
      </c>
      <c r="G5697" s="92" t="s">
        <v>5903</v>
      </c>
      <c r="I5697">
        <v>4</v>
      </c>
      <c r="K5697" s="57">
        <v>0</v>
      </c>
      <c r="L5697" t="s">
        <v>3959</v>
      </c>
      <c r="M5697" t="s">
        <v>3959</v>
      </c>
      <c r="N5697" t="s">
        <v>3959</v>
      </c>
      <c r="O5697" t="s">
        <v>3959</v>
      </c>
      <c r="P5697" s="57">
        <v>1</v>
      </c>
      <c r="Q5697" s="57">
        <v>0</v>
      </c>
      <c r="R5697" s="57">
        <v>0</v>
      </c>
      <c r="S5697" s="57">
        <v>0</v>
      </c>
      <c r="T5697" s="57">
        <v>0</v>
      </c>
      <c r="U5697" s="57">
        <v>0</v>
      </c>
      <c r="V5697" s="57">
        <v>0</v>
      </c>
      <c r="W5697" s="57">
        <v>0</v>
      </c>
      <c r="X5697" s="57">
        <v>0</v>
      </c>
    </row>
    <row r="5698" spans="1:24" hidden="1" x14ac:dyDescent="0.35">
      <c r="A5698">
        <v>5694</v>
      </c>
      <c r="B5698">
        <v>5695</v>
      </c>
      <c r="C5698">
        <v>146.06589509899899</v>
      </c>
      <c r="D5698">
        <v>-17.6417469312</v>
      </c>
      <c r="F5698" t="str">
        <f>HYPERLINK("D:\Data From Lucan\2024\Moresby\Frames_for_Analysis/5695_20240611_0008_L_0170.jpg","5695_20240611_0008_L_0170.jpg")</f>
        <v>5695_20240611_0008_L_0170.jpg</v>
      </c>
      <c r="G5698" s="92" t="s">
        <v>5904</v>
      </c>
      <c r="I5698">
        <v>4</v>
      </c>
      <c r="K5698" s="57">
        <v>0</v>
      </c>
      <c r="L5698" t="s">
        <v>3959</v>
      </c>
      <c r="M5698" t="s">
        <v>3959</v>
      </c>
      <c r="N5698" t="s">
        <v>3959</v>
      </c>
      <c r="O5698" t="s">
        <v>3959</v>
      </c>
      <c r="P5698" s="57">
        <v>1</v>
      </c>
      <c r="Q5698" s="57">
        <v>0</v>
      </c>
      <c r="R5698" s="57">
        <v>0</v>
      </c>
      <c r="S5698" s="57">
        <v>0</v>
      </c>
      <c r="T5698" s="57">
        <v>0</v>
      </c>
      <c r="U5698" s="57">
        <v>0</v>
      </c>
      <c r="V5698" s="57">
        <v>0</v>
      </c>
      <c r="W5698" s="57">
        <v>0</v>
      </c>
      <c r="X5698" s="57">
        <v>0</v>
      </c>
    </row>
    <row r="5699" spans="1:24" hidden="1" x14ac:dyDescent="0.35">
      <c r="A5699">
        <v>5695</v>
      </c>
      <c r="B5699">
        <v>5696</v>
      </c>
      <c r="C5699">
        <v>146.06598491700001</v>
      </c>
      <c r="D5699">
        <v>-17.6417454642</v>
      </c>
      <c r="F5699" t="str">
        <f>HYPERLINK("D:\Data From Lucan\2024\Moresby\Frames_for_Analysis/5696_20240611_0008_L_0173.jpg","5696_20240611_0008_L_0173.jpg")</f>
        <v>5696_20240611_0008_L_0173.jpg</v>
      </c>
      <c r="G5699" s="92" t="s">
        <v>5905</v>
      </c>
      <c r="I5699">
        <v>4</v>
      </c>
      <c r="K5699" s="57">
        <v>1</v>
      </c>
      <c r="L5699" t="s">
        <v>3959</v>
      </c>
      <c r="M5699" t="s">
        <v>3959</v>
      </c>
      <c r="N5699" t="s">
        <v>3959</v>
      </c>
      <c r="O5699" t="s">
        <v>3959</v>
      </c>
      <c r="P5699" s="57">
        <v>1</v>
      </c>
      <c r="Q5699" s="57">
        <v>0</v>
      </c>
      <c r="R5699" s="57">
        <v>0</v>
      </c>
      <c r="S5699" s="57">
        <v>0</v>
      </c>
      <c r="T5699" s="57">
        <v>0</v>
      </c>
      <c r="U5699" s="57">
        <v>0</v>
      </c>
      <c r="V5699" s="57">
        <v>0</v>
      </c>
      <c r="W5699" s="57">
        <v>0</v>
      </c>
      <c r="X5699" s="57">
        <v>0</v>
      </c>
    </row>
    <row r="5700" spans="1:24" hidden="1" x14ac:dyDescent="0.35">
      <c r="A5700">
        <v>5696</v>
      </c>
      <c r="B5700">
        <v>5697</v>
      </c>
      <c r="C5700">
        <v>146.066074735999</v>
      </c>
      <c r="D5700">
        <v>-17.641744004300001</v>
      </c>
      <c r="F5700" t="str">
        <f>HYPERLINK("D:\Data From Lucan\2024\Moresby\Frames_for_Analysis/5697_20240611_0008_L_0176.jpg","5697_20240611_0008_L_0176.jpg")</f>
        <v>5697_20240611_0008_L_0176.jpg</v>
      </c>
      <c r="G5700" s="92" t="s">
        <v>5906</v>
      </c>
      <c r="I5700">
        <v>4</v>
      </c>
      <c r="K5700" s="57">
        <v>1</v>
      </c>
      <c r="L5700" t="s">
        <v>3959</v>
      </c>
      <c r="M5700" t="s">
        <v>3959</v>
      </c>
      <c r="N5700" t="s">
        <v>3959</v>
      </c>
      <c r="O5700" t="s">
        <v>3959</v>
      </c>
      <c r="P5700" s="57">
        <v>1</v>
      </c>
      <c r="Q5700" s="57">
        <v>0</v>
      </c>
      <c r="R5700" s="57">
        <v>0</v>
      </c>
      <c r="S5700" s="57">
        <v>0</v>
      </c>
      <c r="T5700" s="57">
        <v>0</v>
      </c>
      <c r="U5700" s="57">
        <v>0</v>
      </c>
      <c r="V5700" s="57">
        <v>0</v>
      </c>
      <c r="W5700" s="57">
        <v>0</v>
      </c>
      <c r="X5700" s="57">
        <v>0</v>
      </c>
    </row>
    <row r="5701" spans="1:24" hidden="1" x14ac:dyDescent="0.35">
      <c r="A5701">
        <v>5697</v>
      </c>
      <c r="B5701">
        <v>5698</v>
      </c>
      <c r="C5701">
        <v>146.066164555</v>
      </c>
      <c r="D5701">
        <v>-17.641742557499899</v>
      </c>
      <c r="F5701" t="str">
        <f>HYPERLINK("D:\Data From Lucan\2024\Moresby\Frames_for_Analysis/5698_20240611_0008_L_0178.jpg","5698_20240611_0008_L_0178.jpg")</f>
        <v>5698_20240611_0008_L_0178.jpg</v>
      </c>
      <c r="G5701" s="92" t="s">
        <v>5907</v>
      </c>
      <c r="I5701">
        <v>4</v>
      </c>
      <c r="K5701" s="57">
        <v>1</v>
      </c>
      <c r="L5701" t="s">
        <v>3959</v>
      </c>
      <c r="M5701" t="s">
        <v>3959</v>
      </c>
      <c r="N5701" t="s">
        <v>3959</v>
      </c>
      <c r="O5701" t="s">
        <v>3959</v>
      </c>
      <c r="P5701" s="57">
        <v>1</v>
      </c>
      <c r="Q5701" s="57">
        <v>0</v>
      </c>
      <c r="R5701" s="57">
        <v>0</v>
      </c>
      <c r="S5701" s="57">
        <v>0</v>
      </c>
      <c r="T5701" s="57">
        <v>0</v>
      </c>
      <c r="U5701" s="57">
        <v>0</v>
      </c>
      <c r="V5701" s="57">
        <v>0</v>
      </c>
      <c r="W5701" s="57">
        <v>0</v>
      </c>
      <c r="X5701" s="57">
        <v>0</v>
      </c>
    </row>
    <row r="5702" spans="1:24" hidden="1" x14ac:dyDescent="0.35">
      <c r="A5702">
        <v>5698</v>
      </c>
      <c r="B5702">
        <v>5699</v>
      </c>
      <c r="C5702">
        <v>146.066254372999</v>
      </c>
      <c r="D5702">
        <v>-17.6417411107</v>
      </c>
      <c r="F5702" t="str">
        <f>HYPERLINK("D:\Data From Lucan\2024\Moresby\Frames_for_Analysis/5699_20240611_0008_L_0181.jpg","5699_20240611_0008_L_0181.jpg")</f>
        <v>5699_20240611_0008_L_0181.jpg</v>
      </c>
      <c r="G5702" s="92" t="s">
        <v>5908</v>
      </c>
      <c r="I5702">
        <v>4</v>
      </c>
      <c r="K5702" s="57">
        <v>1</v>
      </c>
      <c r="L5702" t="s">
        <v>3959</v>
      </c>
      <c r="M5702" t="s">
        <v>3959</v>
      </c>
      <c r="N5702" t="s">
        <v>3959</v>
      </c>
      <c r="O5702" t="s">
        <v>3959</v>
      </c>
      <c r="P5702" s="57">
        <v>1</v>
      </c>
      <c r="Q5702" s="57">
        <v>0</v>
      </c>
      <c r="R5702" s="57">
        <v>0</v>
      </c>
      <c r="S5702" s="57">
        <v>0</v>
      </c>
      <c r="T5702" s="57">
        <v>0</v>
      </c>
      <c r="U5702" s="57">
        <v>0</v>
      </c>
      <c r="V5702" s="57">
        <v>0</v>
      </c>
      <c r="W5702" s="57">
        <v>0</v>
      </c>
      <c r="X5702" s="57">
        <v>0</v>
      </c>
    </row>
    <row r="5703" spans="1:24" hidden="1" x14ac:dyDescent="0.35">
      <c r="A5703">
        <v>5699</v>
      </c>
      <c r="B5703">
        <v>5700</v>
      </c>
      <c r="C5703">
        <v>146.066344192</v>
      </c>
      <c r="D5703">
        <v>-17.641739663900001</v>
      </c>
      <c r="F5703" t="str">
        <f>HYPERLINK("D:\Data From Lucan\2024\Moresby\Frames_for_Analysis/5700_20240611_0008_L_0184.jpg","5700_20240611_0008_L_0184.jpg")</f>
        <v>5700_20240611_0008_L_0184.jpg</v>
      </c>
      <c r="G5703" s="92" t="s">
        <v>5909</v>
      </c>
      <c r="I5703">
        <v>4</v>
      </c>
      <c r="K5703" s="57">
        <v>1</v>
      </c>
      <c r="L5703" t="s">
        <v>3959</v>
      </c>
      <c r="M5703" t="s">
        <v>3959</v>
      </c>
      <c r="N5703" t="s">
        <v>3959</v>
      </c>
      <c r="O5703" t="s">
        <v>3959</v>
      </c>
      <c r="P5703" s="57">
        <v>1</v>
      </c>
      <c r="Q5703" s="57">
        <v>0</v>
      </c>
      <c r="R5703" s="57">
        <v>0</v>
      </c>
      <c r="S5703" s="57">
        <v>0</v>
      </c>
      <c r="T5703" s="57">
        <v>0</v>
      </c>
      <c r="U5703" s="57">
        <v>0</v>
      </c>
      <c r="V5703" s="57">
        <v>0</v>
      </c>
      <c r="W5703" s="57">
        <v>0</v>
      </c>
      <c r="X5703" s="57">
        <v>0</v>
      </c>
    </row>
    <row r="5704" spans="1:24" hidden="1" x14ac:dyDescent="0.35">
      <c r="A5704">
        <v>5700</v>
      </c>
      <c r="B5704">
        <v>5701</v>
      </c>
      <c r="C5704">
        <v>146.066433563999</v>
      </c>
      <c r="D5704">
        <v>-17.641731514</v>
      </c>
      <c r="F5704" t="str">
        <f>HYPERLINK("D:\Data From Lucan\2024\Moresby\Frames_for_Analysis/5701_20240611_0008_L_0187.jpg","5701_20240611_0008_L_0187.jpg")</f>
        <v>5701_20240611_0008_L_0187.jpg</v>
      </c>
      <c r="G5704" s="92" t="s">
        <v>5910</v>
      </c>
      <c r="I5704">
        <v>4</v>
      </c>
      <c r="K5704" s="57">
        <v>1</v>
      </c>
      <c r="L5704" t="s">
        <v>3959</v>
      </c>
      <c r="M5704" t="s">
        <v>3959</v>
      </c>
      <c r="N5704" t="s">
        <v>3959</v>
      </c>
      <c r="O5704" t="s">
        <v>3959</v>
      </c>
      <c r="P5704" s="57">
        <v>1</v>
      </c>
      <c r="Q5704" s="57">
        <v>0</v>
      </c>
      <c r="R5704" s="57">
        <v>0</v>
      </c>
      <c r="S5704" s="57">
        <v>0</v>
      </c>
      <c r="T5704" s="57">
        <v>0</v>
      </c>
      <c r="U5704" s="57">
        <v>0</v>
      </c>
      <c r="V5704" s="57">
        <v>0</v>
      </c>
      <c r="W5704" s="57">
        <v>0</v>
      </c>
      <c r="X5704" s="57">
        <v>0</v>
      </c>
    </row>
    <row r="5705" spans="1:24" hidden="1" x14ac:dyDescent="0.35">
      <c r="A5705">
        <v>5701</v>
      </c>
      <c r="B5705">
        <v>5702</v>
      </c>
      <c r="C5705">
        <v>146.06652285300001</v>
      </c>
      <c r="D5705">
        <v>-17.641722118299899</v>
      </c>
      <c r="F5705" t="str">
        <f>HYPERLINK("D:\Data From Lucan\2024\Moresby\Frames_for_Analysis/5702_20240611_0008_L_0189.jpg","5702_20240611_0008_L_0189.jpg")</f>
        <v>5702_20240611_0008_L_0189.jpg</v>
      </c>
      <c r="G5705" s="92" t="s">
        <v>5911</v>
      </c>
      <c r="I5705">
        <v>4</v>
      </c>
      <c r="K5705" s="57">
        <v>1</v>
      </c>
      <c r="L5705" t="s">
        <v>3959</v>
      </c>
      <c r="M5705" t="s">
        <v>3959</v>
      </c>
      <c r="N5705" t="s">
        <v>3959</v>
      </c>
      <c r="O5705" t="s">
        <v>3959</v>
      </c>
      <c r="P5705" s="57">
        <v>1</v>
      </c>
      <c r="Q5705" s="57">
        <v>0</v>
      </c>
      <c r="R5705" s="57">
        <v>0</v>
      </c>
      <c r="S5705" s="57">
        <v>0</v>
      </c>
      <c r="T5705" s="57">
        <v>0</v>
      </c>
      <c r="U5705" s="57">
        <v>0</v>
      </c>
      <c r="V5705" s="57">
        <v>0</v>
      </c>
      <c r="W5705" s="57">
        <v>0</v>
      </c>
      <c r="X5705" s="57">
        <v>0</v>
      </c>
    </row>
    <row r="5706" spans="1:24" hidden="1" x14ac:dyDescent="0.35">
      <c r="A5706">
        <v>5702</v>
      </c>
      <c r="B5706">
        <v>5703</v>
      </c>
      <c r="C5706">
        <v>146.066612141999</v>
      </c>
      <c r="D5706">
        <v>-17.6417127224999</v>
      </c>
      <c r="F5706" t="str">
        <f>HYPERLINK("D:\Data From Lucan\2024\Moresby\Frames_for_Analysis/5703_20240611_0008_L_0192.jpg","5703_20240611_0008_L_0192.jpg")</f>
        <v>5703_20240611_0008_L_0192.jpg</v>
      </c>
      <c r="G5706" s="92" t="s">
        <v>5912</v>
      </c>
      <c r="I5706">
        <v>4</v>
      </c>
      <c r="K5706" s="57">
        <v>1</v>
      </c>
      <c r="L5706" t="s">
        <v>3959</v>
      </c>
      <c r="M5706" t="s">
        <v>3959</v>
      </c>
      <c r="N5706" t="s">
        <v>3959</v>
      </c>
      <c r="O5706" t="s">
        <v>3959</v>
      </c>
      <c r="P5706" s="57">
        <v>1</v>
      </c>
      <c r="Q5706" s="57">
        <v>0</v>
      </c>
      <c r="R5706" s="57">
        <v>0</v>
      </c>
      <c r="S5706" s="57">
        <v>0</v>
      </c>
      <c r="T5706" s="57">
        <v>0</v>
      </c>
      <c r="U5706" s="57">
        <v>0</v>
      </c>
      <c r="V5706" s="57">
        <v>0</v>
      </c>
      <c r="W5706" s="57">
        <v>0</v>
      </c>
      <c r="X5706" s="57">
        <v>0</v>
      </c>
    </row>
    <row r="5707" spans="1:24" hidden="1" x14ac:dyDescent="0.35">
      <c r="A5707">
        <v>5703</v>
      </c>
      <c r="B5707">
        <v>5704</v>
      </c>
      <c r="C5707">
        <v>146.066701429999</v>
      </c>
      <c r="D5707">
        <v>-17.6417033267</v>
      </c>
      <c r="F5707" t="str">
        <f>HYPERLINK("D:\Data From Lucan\2024\Moresby\Frames_for_Analysis/5704_20240611_0008_L_0195.jpg","5704_20240611_0008_L_0195.jpg")</f>
        <v>5704_20240611_0008_L_0195.jpg</v>
      </c>
      <c r="G5707" s="92" t="s">
        <v>5913</v>
      </c>
      <c r="I5707">
        <v>4</v>
      </c>
      <c r="K5707" s="57">
        <v>1</v>
      </c>
      <c r="L5707" t="s">
        <v>3959</v>
      </c>
      <c r="M5707" t="s">
        <v>3959</v>
      </c>
      <c r="N5707" t="s">
        <v>3959</v>
      </c>
      <c r="O5707" t="s">
        <v>3959</v>
      </c>
      <c r="P5707" s="57">
        <v>1</v>
      </c>
      <c r="Q5707" s="57">
        <v>0</v>
      </c>
      <c r="R5707" s="57">
        <v>0</v>
      </c>
      <c r="S5707" s="57">
        <v>0</v>
      </c>
      <c r="T5707" s="57">
        <v>0</v>
      </c>
      <c r="U5707" s="57">
        <v>0</v>
      </c>
      <c r="V5707" s="57">
        <v>0</v>
      </c>
      <c r="W5707" s="57">
        <v>0</v>
      </c>
      <c r="X5707" s="57">
        <v>0</v>
      </c>
    </row>
    <row r="5708" spans="1:24" hidden="1" x14ac:dyDescent="0.35">
      <c r="A5708">
        <v>5704</v>
      </c>
      <c r="B5708">
        <v>5705</v>
      </c>
      <c r="C5708">
        <v>146.066789545999</v>
      </c>
      <c r="D5708">
        <v>-17.641689804199899</v>
      </c>
      <c r="F5708" t="str">
        <f>HYPERLINK("D:\Data From Lucan\2024\Moresby\Frames_for_Analysis/5705_20240611_0008_L_0198.jpg","5705_20240611_0008_L_0198.jpg")</f>
        <v>5705_20240611_0008_L_0198.jpg</v>
      </c>
      <c r="G5708" s="92" t="s">
        <v>5914</v>
      </c>
      <c r="I5708">
        <v>4</v>
      </c>
      <c r="K5708" s="57">
        <v>1</v>
      </c>
      <c r="L5708" t="s">
        <v>3959</v>
      </c>
      <c r="M5708" t="s">
        <v>3959</v>
      </c>
      <c r="N5708" t="s">
        <v>3959</v>
      </c>
      <c r="O5708" t="s">
        <v>3959</v>
      </c>
      <c r="P5708" s="57">
        <v>1</v>
      </c>
      <c r="Q5708" s="57">
        <v>0</v>
      </c>
      <c r="R5708" s="57">
        <v>0</v>
      </c>
      <c r="S5708" s="57">
        <v>0</v>
      </c>
      <c r="T5708" s="57">
        <v>0</v>
      </c>
      <c r="U5708" s="57">
        <v>0</v>
      </c>
      <c r="V5708" s="57">
        <v>0</v>
      </c>
      <c r="W5708" s="57">
        <v>0</v>
      </c>
      <c r="X5708" s="57">
        <v>0</v>
      </c>
    </row>
    <row r="5709" spans="1:24" hidden="1" x14ac:dyDescent="0.35">
      <c r="A5709">
        <v>5705</v>
      </c>
      <c r="B5709">
        <v>5706</v>
      </c>
      <c r="C5709">
        <v>146.066871593999</v>
      </c>
      <c r="D5709">
        <v>-17.6416549489999</v>
      </c>
      <c r="F5709" t="str">
        <f>HYPERLINK("D:\Data From Lucan\2024\Moresby\Frames_for_Analysis/5706_20240611_0008_L_0201.jpg","5706_20240611_0008_L_0201.jpg")</f>
        <v>5706_20240611_0008_L_0201.jpg</v>
      </c>
      <c r="G5709" s="92" t="s">
        <v>5915</v>
      </c>
      <c r="I5709">
        <v>4</v>
      </c>
      <c r="K5709" s="57">
        <v>0</v>
      </c>
      <c r="L5709" t="s">
        <v>3959</v>
      </c>
      <c r="M5709" t="s">
        <v>3959</v>
      </c>
      <c r="N5709" t="s">
        <v>3959</v>
      </c>
      <c r="O5709" t="s">
        <v>3959</v>
      </c>
      <c r="P5709" s="57">
        <v>1</v>
      </c>
      <c r="Q5709" s="57">
        <v>0</v>
      </c>
      <c r="R5709" s="57">
        <v>0</v>
      </c>
      <c r="S5709" s="57">
        <v>0</v>
      </c>
      <c r="T5709" s="57">
        <v>0</v>
      </c>
      <c r="U5709" s="57">
        <v>0</v>
      </c>
      <c r="V5709" s="57">
        <v>0</v>
      </c>
      <c r="W5709" s="57">
        <v>0</v>
      </c>
      <c r="X5709" s="57">
        <v>0</v>
      </c>
    </row>
    <row r="5710" spans="1:24" hidden="1" x14ac:dyDescent="0.35">
      <c r="A5710">
        <v>5706</v>
      </c>
      <c r="B5710">
        <v>5707</v>
      </c>
      <c r="C5710">
        <v>146.06695364300001</v>
      </c>
      <c r="D5710">
        <v>-17.6416200938</v>
      </c>
      <c r="F5710" t="str">
        <f>HYPERLINK("D:\Data From Lucan\2024\Moresby\Frames_for_Analysis/5707_20240611_0008_L_0204.jpg","5707_20240611_0008_L_0204.jpg")</f>
        <v>5707_20240611_0008_L_0204.jpg</v>
      </c>
      <c r="G5710" s="92" t="s">
        <v>5916</v>
      </c>
      <c r="I5710">
        <v>4</v>
      </c>
      <c r="K5710" s="57">
        <v>0</v>
      </c>
      <c r="L5710" t="s">
        <v>3959</v>
      </c>
      <c r="M5710" t="s">
        <v>3959</v>
      </c>
      <c r="N5710" t="s">
        <v>3959</v>
      </c>
      <c r="O5710" t="s">
        <v>3959</v>
      </c>
      <c r="P5710" s="57">
        <v>1</v>
      </c>
      <c r="Q5710" s="57">
        <v>0</v>
      </c>
      <c r="R5710" s="57">
        <v>0</v>
      </c>
      <c r="S5710" s="57">
        <v>0</v>
      </c>
      <c r="T5710" s="57">
        <v>0</v>
      </c>
      <c r="U5710" s="57">
        <v>0</v>
      </c>
      <c r="V5710" s="57">
        <v>0</v>
      </c>
      <c r="W5710" s="57">
        <v>0</v>
      </c>
      <c r="X5710" s="57">
        <v>0</v>
      </c>
    </row>
    <row r="5711" spans="1:24" hidden="1" x14ac:dyDescent="0.35">
      <c r="A5711">
        <v>5707</v>
      </c>
      <c r="B5711">
        <v>5708</v>
      </c>
      <c r="C5711">
        <v>146.067035691</v>
      </c>
      <c r="D5711">
        <v>-17.6415852386999</v>
      </c>
      <c r="F5711" t="str">
        <f>HYPERLINK("D:\Data From Lucan\2024\Moresby\Frames_for_Analysis/5708_20240611_0008_L_0207.jpg","5708_20240611_0008_L_0207.jpg")</f>
        <v>5708_20240611_0008_L_0207.jpg</v>
      </c>
      <c r="G5711" s="92" t="s">
        <v>5917</v>
      </c>
      <c r="I5711">
        <v>4</v>
      </c>
      <c r="K5711" s="57">
        <v>0</v>
      </c>
      <c r="L5711" t="s">
        <v>3959</v>
      </c>
      <c r="M5711" t="s">
        <v>3959</v>
      </c>
      <c r="N5711" t="s">
        <v>3959</v>
      </c>
      <c r="O5711" t="s">
        <v>3959</v>
      </c>
      <c r="P5711" s="57">
        <v>1</v>
      </c>
      <c r="Q5711" s="57">
        <v>0</v>
      </c>
      <c r="R5711" s="57">
        <v>0</v>
      </c>
      <c r="S5711" s="57">
        <v>0</v>
      </c>
      <c r="T5711" s="57">
        <v>0</v>
      </c>
      <c r="U5711" s="57">
        <v>0</v>
      </c>
      <c r="V5711" s="57">
        <v>0</v>
      </c>
      <c r="W5711" s="57">
        <v>0</v>
      </c>
      <c r="X5711" s="57">
        <v>0</v>
      </c>
    </row>
    <row r="5712" spans="1:24" hidden="1" x14ac:dyDescent="0.35">
      <c r="A5712">
        <v>5708</v>
      </c>
      <c r="B5712">
        <v>5709</v>
      </c>
      <c r="C5712">
        <v>146.067117238999</v>
      </c>
      <c r="D5712">
        <v>-17.641549530399899</v>
      </c>
      <c r="F5712" t="str">
        <f>HYPERLINK("D:\Data From Lucan\2024\Moresby\Frames_for_Analysis/5709_20240611_0008_L_0210.jpg","5709_20240611_0008_L_0210.jpg")</f>
        <v>5709_20240611_0008_L_0210.jpg</v>
      </c>
      <c r="G5712" s="92" t="s">
        <v>5918</v>
      </c>
      <c r="I5712">
        <v>4</v>
      </c>
      <c r="K5712" s="57">
        <v>1</v>
      </c>
      <c r="L5712" t="s">
        <v>3959</v>
      </c>
      <c r="M5712" t="s">
        <v>3959</v>
      </c>
      <c r="N5712" t="s">
        <v>3959</v>
      </c>
      <c r="O5712" t="s">
        <v>3959</v>
      </c>
      <c r="P5712" s="57">
        <v>1</v>
      </c>
      <c r="Q5712" s="57">
        <v>0</v>
      </c>
      <c r="R5712" s="57">
        <v>0</v>
      </c>
      <c r="S5712" s="57">
        <v>0</v>
      </c>
      <c r="T5712" s="57">
        <v>0</v>
      </c>
      <c r="U5712" s="57">
        <v>0</v>
      </c>
      <c r="V5712" s="57">
        <v>0</v>
      </c>
      <c r="W5712" s="57">
        <v>0</v>
      </c>
      <c r="X5712" s="57">
        <v>0</v>
      </c>
    </row>
    <row r="5713" spans="1:24" hidden="1" x14ac:dyDescent="0.35">
      <c r="A5713">
        <v>5709</v>
      </c>
      <c r="B5713">
        <v>5710</v>
      </c>
      <c r="C5713">
        <v>146.06719136999899</v>
      </c>
      <c r="D5713">
        <v>-17.641501179500001</v>
      </c>
      <c r="F5713" t="str">
        <f>HYPERLINK("D:\Data From Lucan\2024\Moresby\Frames_for_Analysis/5710_20240611_0008_L_0213.jpg","5710_20240611_0008_L_0213.jpg")</f>
        <v>5710_20240611_0008_L_0213.jpg</v>
      </c>
      <c r="G5713" s="92" t="s">
        <v>5919</v>
      </c>
      <c r="I5713">
        <v>4</v>
      </c>
      <c r="K5713" s="57">
        <v>1</v>
      </c>
      <c r="L5713" t="s">
        <v>3959</v>
      </c>
      <c r="M5713" t="s">
        <v>3959</v>
      </c>
      <c r="N5713" t="s">
        <v>3959</v>
      </c>
      <c r="O5713" t="s">
        <v>3959</v>
      </c>
      <c r="P5713" s="57">
        <v>1</v>
      </c>
      <c r="Q5713" s="57">
        <v>0</v>
      </c>
      <c r="R5713" s="57">
        <v>0</v>
      </c>
      <c r="S5713" s="57">
        <v>0</v>
      </c>
      <c r="T5713" s="57">
        <v>0</v>
      </c>
      <c r="U5713" s="57">
        <v>0</v>
      </c>
      <c r="V5713" s="57">
        <v>0</v>
      </c>
      <c r="W5713" s="57">
        <v>0</v>
      </c>
      <c r="X5713" s="57">
        <v>0</v>
      </c>
    </row>
    <row r="5714" spans="1:24" hidden="1" x14ac:dyDescent="0.35">
      <c r="A5714">
        <v>5710</v>
      </c>
      <c r="B5714">
        <v>5711</v>
      </c>
      <c r="C5714">
        <v>146.067265501999</v>
      </c>
      <c r="D5714">
        <v>-17.641452828599899</v>
      </c>
      <c r="F5714" t="str">
        <f>HYPERLINK("D:\Data From Lucan\2024\Moresby\Frames_for_Analysis/5711_20240611_0008_L_0216.jpg","5711_20240611_0008_L_0216.jpg")</f>
        <v>5711_20240611_0008_L_0216.jpg</v>
      </c>
      <c r="G5714" s="92" t="s">
        <v>5920</v>
      </c>
      <c r="I5714">
        <v>4</v>
      </c>
      <c r="K5714" s="57">
        <v>1</v>
      </c>
      <c r="L5714" t="s">
        <v>3959</v>
      </c>
      <c r="M5714" t="s">
        <v>3959</v>
      </c>
      <c r="N5714" t="s">
        <v>3959</v>
      </c>
      <c r="O5714" t="s">
        <v>3959</v>
      </c>
      <c r="P5714" s="57">
        <v>1</v>
      </c>
      <c r="Q5714" s="57">
        <v>0</v>
      </c>
      <c r="R5714" s="57">
        <v>0</v>
      </c>
      <c r="S5714" s="57">
        <v>0</v>
      </c>
      <c r="T5714" s="57">
        <v>0</v>
      </c>
      <c r="U5714" s="57">
        <v>0</v>
      </c>
      <c r="V5714" s="57">
        <v>0</v>
      </c>
      <c r="W5714" s="57">
        <v>0</v>
      </c>
      <c r="X5714" s="57">
        <v>0</v>
      </c>
    </row>
    <row r="5715" spans="1:24" hidden="1" x14ac:dyDescent="0.35">
      <c r="A5715">
        <v>5711</v>
      </c>
      <c r="B5715">
        <v>5712</v>
      </c>
      <c r="C5715">
        <v>146.067338839</v>
      </c>
      <c r="D5715">
        <v>-17.641403528400001</v>
      </c>
      <c r="F5715" t="str">
        <f>HYPERLINK("D:\Data From Lucan\2024\Moresby\Frames_for_Analysis/5712_20240611_0008_L_0219.jpg","5712_20240611_0008_L_0219.jpg")</f>
        <v>5712_20240611_0008_L_0219.jpg</v>
      </c>
      <c r="G5715" s="92" t="s">
        <v>5921</v>
      </c>
      <c r="I5715">
        <v>4</v>
      </c>
      <c r="K5715" s="57">
        <v>1</v>
      </c>
      <c r="L5715" t="s">
        <v>3959</v>
      </c>
      <c r="M5715" t="s">
        <v>3959</v>
      </c>
      <c r="N5715" t="s">
        <v>3959</v>
      </c>
      <c r="O5715" t="s">
        <v>3959</v>
      </c>
      <c r="P5715" s="57">
        <v>1</v>
      </c>
      <c r="Q5715" s="57">
        <v>0</v>
      </c>
      <c r="R5715" s="57">
        <v>0</v>
      </c>
      <c r="S5715" s="57">
        <v>0</v>
      </c>
      <c r="T5715" s="57">
        <v>0</v>
      </c>
      <c r="U5715" s="57">
        <v>0</v>
      </c>
      <c r="V5715" s="57">
        <v>0</v>
      </c>
      <c r="W5715" s="57">
        <v>0</v>
      </c>
      <c r="X5715" s="57">
        <v>0</v>
      </c>
    </row>
    <row r="5716" spans="1:24" hidden="1" x14ac:dyDescent="0.35">
      <c r="A5716">
        <v>5712</v>
      </c>
      <c r="B5716">
        <v>5713</v>
      </c>
      <c r="C5716">
        <v>146.067404780999</v>
      </c>
      <c r="D5716">
        <v>-17.6413453953</v>
      </c>
      <c r="F5716" t="str">
        <f>HYPERLINK("D:\Data From Lucan\2024\Moresby\Frames_for_Analysis/5713_20240611_0008_L_0222.jpg","5713_20240611_0008_L_0222.jpg")</f>
        <v>5713_20240611_0008_L_0222.jpg</v>
      </c>
      <c r="G5716" s="92" t="s">
        <v>5922</v>
      </c>
      <c r="I5716">
        <v>4</v>
      </c>
      <c r="K5716" s="57">
        <v>1</v>
      </c>
      <c r="L5716" t="s">
        <v>3959</v>
      </c>
      <c r="M5716" t="s">
        <v>3959</v>
      </c>
      <c r="N5716" t="s">
        <v>3959</v>
      </c>
      <c r="O5716" t="s">
        <v>3959</v>
      </c>
      <c r="P5716" s="57">
        <v>1</v>
      </c>
      <c r="Q5716" s="57">
        <v>0</v>
      </c>
      <c r="R5716" s="57">
        <v>0</v>
      </c>
      <c r="S5716" s="57">
        <v>0</v>
      </c>
      <c r="T5716" s="57">
        <v>0</v>
      </c>
      <c r="U5716" s="57">
        <v>0</v>
      </c>
      <c r="V5716" s="57">
        <v>0</v>
      </c>
      <c r="W5716" s="57">
        <v>0</v>
      </c>
      <c r="X5716" s="57">
        <v>0</v>
      </c>
    </row>
    <row r="5717" spans="1:24" hidden="1" x14ac:dyDescent="0.35">
      <c r="A5717">
        <v>5713</v>
      </c>
      <c r="B5717">
        <v>5714</v>
      </c>
      <c r="C5717">
        <v>146.067470724999</v>
      </c>
      <c r="D5717">
        <v>-17.641287262399899</v>
      </c>
      <c r="F5717" t="str">
        <f>HYPERLINK("D:\Data From Lucan\2024\Moresby\Frames_for_Analysis/5714_20240611_0008_L_0226.jpg","5714_20240611_0008_L_0226.jpg")</f>
        <v>5714_20240611_0008_L_0226.jpg</v>
      </c>
      <c r="G5717" s="92" t="s">
        <v>5923</v>
      </c>
      <c r="I5717">
        <v>4</v>
      </c>
      <c r="K5717" s="57">
        <v>1</v>
      </c>
      <c r="L5717" t="s">
        <v>3959</v>
      </c>
      <c r="M5717" t="s">
        <v>3959</v>
      </c>
      <c r="N5717" t="s">
        <v>3959</v>
      </c>
      <c r="O5717" t="s">
        <v>3959</v>
      </c>
      <c r="P5717" s="57">
        <v>1</v>
      </c>
      <c r="Q5717" s="57">
        <v>0</v>
      </c>
      <c r="R5717" s="57">
        <v>0</v>
      </c>
      <c r="S5717" s="57">
        <v>0</v>
      </c>
      <c r="T5717" s="57">
        <v>0</v>
      </c>
      <c r="U5717" s="57">
        <v>0</v>
      </c>
      <c r="V5717" s="57">
        <v>0</v>
      </c>
      <c r="W5717" s="57">
        <v>0</v>
      </c>
      <c r="X5717" s="57">
        <v>0</v>
      </c>
    </row>
    <row r="5718" spans="1:24" hidden="1" x14ac:dyDescent="0.35">
      <c r="A5718">
        <v>5714</v>
      </c>
      <c r="B5718">
        <v>5715</v>
      </c>
      <c r="C5718">
        <v>146.06753178700001</v>
      </c>
      <c r="D5718">
        <v>-17.641225725799899</v>
      </c>
      <c r="F5718" t="str">
        <f>HYPERLINK("D:\Data From Lucan\2024\Moresby\Frames_for_Analysis/5715_20240611_0008_L_0229.jpg","5715_20240611_0008_L_0229.jpg")</f>
        <v>5715_20240611_0008_L_0229.jpg</v>
      </c>
      <c r="G5718" s="92" t="s">
        <v>5924</v>
      </c>
      <c r="I5718">
        <v>4</v>
      </c>
      <c r="K5718" s="57">
        <v>1</v>
      </c>
      <c r="L5718" t="s">
        <v>3959</v>
      </c>
      <c r="M5718" t="s">
        <v>3959</v>
      </c>
      <c r="N5718" t="s">
        <v>3959</v>
      </c>
      <c r="O5718" t="s">
        <v>3959</v>
      </c>
      <c r="P5718" s="57">
        <v>1</v>
      </c>
      <c r="Q5718" s="57">
        <v>0</v>
      </c>
      <c r="R5718" s="57">
        <v>0</v>
      </c>
      <c r="S5718" s="57">
        <v>0</v>
      </c>
      <c r="T5718" s="57">
        <v>0</v>
      </c>
      <c r="U5718" s="57">
        <v>0</v>
      </c>
      <c r="V5718" s="57">
        <v>0</v>
      </c>
      <c r="W5718" s="57">
        <v>0</v>
      </c>
      <c r="X5718" s="57">
        <v>0</v>
      </c>
    </row>
    <row r="5719" spans="1:24" hidden="1" x14ac:dyDescent="0.35">
      <c r="A5719">
        <v>5715</v>
      </c>
      <c r="B5719">
        <v>5716</v>
      </c>
      <c r="C5719">
        <v>146.06756998500001</v>
      </c>
      <c r="D5719">
        <v>-17.6411482438</v>
      </c>
      <c r="F5719" t="str">
        <f>HYPERLINK("D:\Data From Lucan\2024\Moresby\Frames_for_Analysis/5716_20240611_0008_L_0232.jpg","5716_20240611_0008_L_0232.jpg")</f>
        <v>5716_20240611_0008_L_0232.jpg</v>
      </c>
      <c r="G5719" s="92" t="s">
        <v>5925</v>
      </c>
      <c r="I5719">
        <v>4</v>
      </c>
      <c r="K5719" s="57">
        <v>1</v>
      </c>
      <c r="L5719" t="s">
        <v>3959</v>
      </c>
      <c r="M5719" t="s">
        <v>3959</v>
      </c>
      <c r="N5719" t="s">
        <v>3959</v>
      </c>
      <c r="O5719" t="s">
        <v>3959</v>
      </c>
      <c r="P5719" s="57">
        <v>1</v>
      </c>
      <c r="Q5719" s="57">
        <v>0</v>
      </c>
      <c r="R5719" s="57">
        <v>0</v>
      </c>
      <c r="S5719" s="57">
        <v>0</v>
      </c>
      <c r="T5719" s="57">
        <v>0</v>
      </c>
      <c r="U5719" s="57">
        <v>0</v>
      </c>
      <c r="V5719" s="57">
        <v>0</v>
      </c>
      <c r="W5719" s="57">
        <v>0</v>
      </c>
      <c r="X5719" s="57">
        <v>0</v>
      </c>
    </row>
    <row r="5720" spans="1:24" hidden="1" x14ac:dyDescent="0.35">
      <c r="A5720">
        <v>5716</v>
      </c>
      <c r="B5720">
        <v>5717</v>
      </c>
      <c r="C5720">
        <v>146.067608183</v>
      </c>
      <c r="D5720">
        <v>-17.6410707617</v>
      </c>
      <c r="F5720" t="str">
        <f>HYPERLINK("D:\Data From Lucan\2024\Moresby\Frames_for_Analysis/5717_20240611_0008_L_0236.jpg","5717_20240611_0008_L_0236.jpg")</f>
        <v>5717_20240611_0008_L_0236.jpg</v>
      </c>
      <c r="G5720" s="92" t="s">
        <v>5926</v>
      </c>
      <c r="I5720">
        <v>4</v>
      </c>
      <c r="K5720" s="57">
        <v>1</v>
      </c>
      <c r="L5720" t="s">
        <v>3959</v>
      </c>
      <c r="M5720" t="s">
        <v>3959</v>
      </c>
      <c r="N5720" t="s">
        <v>3959</v>
      </c>
      <c r="O5720" t="s">
        <v>3959</v>
      </c>
      <c r="P5720" s="57">
        <v>1</v>
      </c>
      <c r="Q5720" s="57">
        <v>0</v>
      </c>
      <c r="R5720" s="57">
        <v>0</v>
      </c>
      <c r="S5720" s="57">
        <v>0</v>
      </c>
      <c r="T5720" s="57">
        <v>0</v>
      </c>
      <c r="U5720" s="57">
        <v>0</v>
      </c>
      <c r="V5720" s="57">
        <v>0</v>
      </c>
      <c r="W5720" s="57">
        <v>0</v>
      </c>
      <c r="X5720" s="57">
        <v>0</v>
      </c>
    </row>
    <row r="5721" spans="1:24" hidden="1" x14ac:dyDescent="0.35">
      <c r="A5721">
        <v>5717</v>
      </c>
      <c r="B5721">
        <v>5718</v>
      </c>
      <c r="C5721">
        <v>146.067646381999</v>
      </c>
      <c r="D5721">
        <v>-17.6409932796</v>
      </c>
      <c r="F5721" t="str">
        <f>HYPERLINK("D:\Data From Lucan\2024\Moresby\Frames_for_Analysis/5718_20240611_0008_L_0238.jpg","5718_20240611_0008_L_0238.jpg")</f>
        <v>5718_20240611_0008_L_0238.jpg</v>
      </c>
      <c r="G5721" s="92" t="s">
        <v>5927</v>
      </c>
      <c r="I5721">
        <v>4</v>
      </c>
      <c r="K5721" s="57">
        <v>1</v>
      </c>
      <c r="L5721" t="s">
        <v>3959</v>
      </c>
      <c r="M5721" t="s">
        <v>3959</v>
      </c>
      <c r="N5721" t="s">
        <v>3959</v>
      </c>
      <c r="O5721" t="s">
        <v>3959</v>
      </c>
      <c r="P5721" s="57">
        <v>1</v>
      </c>
      <c r="Q5721" s="57">
        <v>0</v>
      </c>
      <c r="R5721" s="57">
        <v>0</v>
      </c>
      <c r="S5721" s="57">
        <v>0</v>
      </c>
      <c r="T5721" s="57">
        <v>0</v>
      </c>
      <c r="U5721" s="57">
        <v>0</v>
      </c>
      <c r="V5721" s="57">
        <v>0</v>
      </c>
      <c r="W5721" s="57">
        <v>0</v>
      </c>
      <c r="X5721" s="57">
        <v>0</v>
      </c>
    </row>
    <row r="5722" spans="1:24" hidden="1" x14ac:dyDescent="0.35">
      <c r="A5722">
        <v>5718</v>
      </c>
      <c r="B5722">
        <v>5719</v>
      </c>
      <c r="C5722">
        <v>146.067684579999</v>
      </c>
      <c r="D5722">
        <v>-17.6409157975</v>
      </c>
      <c r="F5722" t="str">
        <f>HYPERLINK("D:\Data From Lucan\2024\Moresby\Frames_for_Analysis/5719_20240611_0008_L_0241.jpg","5719_20240611_0008_L_0241.jpg")</f>
        <v>5719_20240611_0008_L_0241.jpg</v>
      </c>
      <c r="G5722" s="92" t="s">
        <v>5928</v>
      </c>
      <c r="I5722">
        <v>4</v>
      </c>
      <c r="K5722" s="57">
        <v>1</v>
      </c>
      <c r="L5722" t="s">
        <v>3959</v>
      </c>
      <c r="M5722" t="s">
        <v>3959</v>
      </c>
      <c r="N5722" t="s">
        <v>3959</v>
      </c>
      <c r="O5722" t="s">
        <v>3959</v>
      </c>
      <c r="P5722" s="57">
        <v>1</v>
      </c>
      <c r="Q5722" s="57">
        <v>0</v>
      </c>
      <c r="R5722" s="57">
        <v>0</v>
      </c>
      <c r="S5722" s="57">
        <v>0</v>
      </c>
      <c r="T5722" s="57">
        <v>0</v>
      </c>
      <c r="U5722" s="57">
        <v>0</v>
      </c>
      <c r="V5722" s="57">
        <v>0</v>
      </c>
      <c r="W5722" s="57">
        <v>0</v>
      </c>
      <c r="X5722" s="57">
        <v>0</v>
      </c>
    </row>
    <row r="5723" spans="1:24" hidden="1" x14ac:dyDescent="0.35">
      <c r="A5723">
        <v>5719</v>
      </c>
      <c r="B5723">
        <v>5720</v>
      </c>
      <c r="C5723">
        <v>146.067722250999</v>
      </c>
      <c r="D5723">
        <v>-17.640838098100001</v>
      </c>
      <c r="F5723" t="str">
        <f>HYPERLINK("D:\Data From Lucan\2024\Moresby\Frames_for_Analysis/5720_20240611_0008_L_0244.jpg","5720_20240611_0008_L_0244.jpg")</f>
        <v>5720_20240611_0008_L_0244.jpg</v>
      </c>
      <c r="G5723" s="92" t="s">
        <v>5929</v>
      </c>
      <c r="I5723">
        <v>4</v>
      </c>
      <c r="K5723" s="57">
        <v>1</v>
      </c>
      <c r="L5723" t="s">
        <v>3959</v>
      </c>
      <c r="M5723" t="s">
        <v>3959</v>
      </c>
      <c r="N5723" t="s">
        <v>3959</v>
      </c>
      <c r="O5723" t="s">
        <v>3959</v>
      </c>
      <c r="P5723" s="57">
        <v>1</v>
      </c>
      <c r="Q5723" s="57">
        <v>0</v>
      </c>
      <c r="R5723" s="57">
        <v>0</v>
      </c>
      <c r="S5723" s="57">
        <v>0</v>
      </c>
      <c r="T5723" s="57">
        <v>0</v>
      </c>
      <c r="U5723" s="57">
        <v>0</v>
      </c>
      <c r="V5723" s="57">
        <v>0</v>
      </c>
      <c r="W5723" s="57">
        <v>0</v>
      </c>
      <c r="X5723" s="57">
        <v>0</v>
      </c>
    </row>
    <row r="5724" spans="1:24" hidden="1" x14ac:dyDescent="0.35">
      <c r="A5724">
        <v>5720</v>
      </c>
      <c r="B5724">
        <v>5721</v>
      </c>
      <c r="C5724">
        <v>146.06775533499899</v>
      </c>
      <c r="D5724">
        <v>-17.640758508200001</v>
      </c>
      <c r="F5724" t="str">
        <f>HYPERLINK("D:\Data From Lucan\2024\Moresby\Frames_for_Analysis/5721_20240611_0008_L_0247.jpg","5721_20240611_0008_L_0247.jpg")</f>
        <v>5721_20240611_0008_L_0247.jpg</v>
      </c>
      <c r="G5724" s="92" t="s">
        <v>5930</v>
      </c>
      <c r="I5724">
        <v>4</v>
      </c>
      <c r="K5724" s="57">
        <v>1</v>
      </c>
      <c r="L5724" t="s">
        <v>3959</v>
      </c>
      <c r="M5724" t="s">
        <v>3959</v>
      </c>
      <c r="N5724" t="s">
        <v>3959</v>
      </c>
      <c r="O5724" t="s">
        <v>3959</v>
      </c>
      <c r="P5724" s="57">
        <v>1</v>
      </c>
      <c r="Q5724" s="57">
        <v>0</v>
      </c>
      <c r="R5724" s="57">
        <v>0</v>
      </c>
      <c r="S5724" s="57">
        <v>0</v>
      </c>
      <c r="T5724" s="57">
        <v>0</v>
      </c>
      <c r="U5724" s="57">
        <v>0</v>
      </c>
      <c r="V5724" s="57">
        <v>0</v>
      </c>
      <c r="W5724" s="57">
        <v>0</v>
      </c>
      <c r="X5724" s="57">
        <v>0</v>
      </c>
    </row>
    <row r="5725" spans="1:24" hidden="1" x14ac:dyDescent="0.35">
      <c r="A5725">
        <v>5721</v>
      </c>
      <c r="B5725">
        <v>5722</v>
      </c>
      <c r="C5725">
        <v>146.06778841900001</v>
      </c>
      <c r="D5725">
        <v>-17.640678918300001</v>
      </c>
      <c r="F5725" t="str">
        <f>HYPERLINK("D:\Data From Lucan\2024\Moresby\Frames_for_Analysis/5722_20240611_0008_L_0249.jpg","5722_20240611_0008_L_0249.jpg")</f>
        <v>5722_20240611_0008_L_0249.jpg</v>
      </c>
      <c r="G5725" s="92" t="s">
        <v>5931</v>
      </c>
      <c r="I5725">
        <v>4</v>
      </c>
      <c r="K5725" s="57">
        <v>1</v>
      </c>
      <c r="L5725" t="s">
        <v>3959</v>
      </c>
      <c r="M5725" t="s">
        <v>3959</v>
      </c>
      <c r="N5725" t="s">
        <v>3959</v>
      </c>
      <c r="O5725" t="s">
        <v>3959</v>
      </c>
      <c r="P5725" s="57">
        <v>1</v>
      </c>
      <c r="Q5725" s="57">
        <v>0</v>
      </c>
      <c r="R5725" s="57">
        <v>0</v>
      </c>
      <c r="S5725" s="57">
        <v>0</v>
      </c>
      <c r="T5725" s="57">
        <v>0</v>
      </c>
      <c r="U5725" s="57">
        <v>0</v>
      </c>
      <c r="V5725" s="57">
        <v>0</v>
      </c>
      <c r="W5725" s="57">
        <v>0</v>
      </c>
      <c r="X5725" s="57">
        <v>0</v>
      </c>
    </row>
    <row r="5726" spans="1:24" hidden="1" x14ac:dyDescent="0.35">
      <c r="A5726">
        <v>5722</v>
      </c>
      <c r="B5726">
        <v>5723</v>
      </c>
      <c r="C5726">
        <v>146.067822495999</v>
      </c>
      <c r="D5726">
        <v>-17.640599776599899</v>
      </c>
      <c r="F5726" t="str">
        <f>HYPERLINK("D:\Data From Lucan\2024\Moresby\Frames_for_Analysis/5723_20240611_0008_L_0252.jpg","5723_20240611_0008_L_0252.jpg")</f>
        <v>5723_20240611_0008_L_0252.jpg</v>
      </c>
      <c r="G5726" s="92" t="s">
        <v>5932</v>
      </c>
      <c r="I5726">
        <v>4</v>
      </c>
      <c r="K5726" s="57">
        <v>1</v>
      </c>
      <c r="L5726" t="s">
        <v>3959</v>
      </c>
      <c r="M5726" t="s">
        <v>3959</v>
      </c>
      <c r="N5726" t="s">
        <v>3959</v>
      </c>
      <c r="O5726" t="s">
        <v>3959</v>
      </c>
      <c r="P5726" s="57">
        <v>1</v>
      </c>
      <c r="Q5726" s="57">
        <v>0</v>
      </c>
      <c r="R5726" s="57">
        <v>0</v>
      </c>
      <c r="S5726" s="57">
        <v>0</v>
      </c>
      <c r="T5726" s="57">
        <v>0</v>
      </c>
      <c r="U5726" s="57">
        <v>0</v>
      </c>
      <c r="V5726" s="57">
        <v>0</v>
      </c>
      <c r="W5726" s="57">
        <v>0</v>
      </c>
      <c r="X5726" s="57">
        <v>0</v>
      </c>
    </row>
    <row r="5727" spans="1:24" hidden="1" x14ac:dyDescent="0.35">
      <c r="A5727">
        <v>5723</v>
      </c>
      <c r="B5727">
        <v>5724</v>
      </c>
      <c r="C5727">
        <v>146.067854904</v>
      </c>
      <c r="D5727">
        <v>-17.640519934299899</v>
      </c>
      <c r="F5727" t="str">
        <f>HYPERLINK("D:\Data From Lucan\2024\Moresby\Frames_for_Analysis/5724_20240611_0008_L_0255.jpg","5724_20240611_0008_L_0255.jpg")</f>
        <v>5724_20240611_0008_L_0255.jpg</v>
      </c>
      <c r="G5727" s="92" t="s">
        <v>5933</v>
      </c>
      <c r="I5727">
        <v>4</v>
      </c>
      <c r="K5727" s="57">
        <v>1</v>
      </c>
      <c r="L5727" t="s">
        <v>3959</v>
      </c>
      <c r="M5727" t="s">
        <v>3959</v>
      </c>
      <c r="N5727" t="s">
        <v>3959</v>
      </c>
      <c r="O5727" t="s">
        <v>3959</v>
      </c>
      <c r="P5727" s="57">
        <v>1</v>
      </c>
      <c r="Q5727" s="57">
        <v>0</v>
      </c>
      <c r="R5727" s="57">
        <v>0</v>
      </c>
      <c r="S5727" s="57">
        <v>0</v>
      </c>
      <c r="T5727" s="57">
        <v>0</v>
      </c>
      <c r="U5727" s="57">
        <v>0</v>
      </c>
      <c r="V5727" s="57">
        <v>0</v>
      </c>
      <c r="W5727" s="57">
        <v>0</v>
      </c>
      <c r="X5727" s="57">
        <v>0</v>
      </c>
    </row>
    <row r="5728" spans="1:24" hidden="1" x14ac:dyDescent="0.35">
      <c r="A5728">
        <v>5724</v>
      </c>
      <c r="B5728">
        <v>5725</v>
      </c>
      <c r="C5728">
        <v>146.067889659999</v>
      </c>
      <c r="D5728">
        <v>-17.6404410327</v>
      </c>
      <c r="F5728" t="str">
        <f>HYPERLINK("D:\Data From Lucan\2024\Moresby\Frames_for_Analysis/5725_20240611_0008_L_0258.jpg","5725_20240611_0008_L_0258.jpg")</f>
        <v>5725_20240611_0008_L_0258.jpg</v>
      </c>
      <c r="G5728" s="92" t="s">
        <v>5934</v>
      </c>
      <c r="I5728">
        <v>4</v>
      </c>
      <c r="K5728" s="57">
        <v>1</v>
      </c>
      <c r="L5728" t="s">
        <v>3959</v>
      </c>
      <c r="M5728" t="s">
        <v>3959</v>
      </c>
      <c r="N5728" t="s">
        <v>3959</v>
      </c>
      <c r="O5728" t="s">
        <v>3959</v>
      </c>
      <c r="P5728" s="57">
        <v>1</v>
      </c>
      <c r="Q5728" s="57">
        <v>0</v>
      </c>
      <c r="R5728" s="57">
        <v>0</v>
      </c>
      <c r="S5728" s="57">
        <v>0</v>
      </c>
      <c r="T5728" s="57">
        <v>0</v>
      </c>
      <c r="U5728" s="57">
        <v>0</v>
      </c>
      <c r="V5728" s="57">
        <v>0</v>
      </c>
      <c r="W5728" s="57">
        <v>0</v>
      </c>
      <c r="X5728" s="57">
        <v>0</v>
      </c>
    </row>
    <row r="5729" spans="1:24" hidden="1" x14ac:dyDescent="0.35">
      <c r="A5729">
        <v>5725</v>
      </c>
      <c r="B5729">
        <v>5726</v>
      </c>
      <c r="C5729">
        <v>146.06792684800001</v>
      </c>
      <c r="D5729">
        <v>-17.640363105500001</v>
      </c>
      <c r="F5729" t="str">
        <f>HYPERLINK("D:\Data From Lucan\2024\Moresby\Frames_for_Analysis/5726_20240611_0008_L_0260.jpg","5726_20240611_0008_L_0260.jpg")</f>
        <v>5726_20240611_0008_L_0260.jpg</v>
      </c>
      <c r="G5729" s="92" t="s">
        <v>5935</v>
      </c>
      <c r="I5729">
        <v>4</v>
      </c>
      <c r="K5729" s="57">
        <v>1</v>
      </c>
      <c r="L5729" t="s">
        <v>3959</v>
      </c>
      <c r="M5729" t="s">
        <v>3959</v>
      </c>
      <c r="N5729" t="s">
        <v>3959</v>
      </c>
      <c r="O5729" t="s">
        <v>3959</v>
      </c>
      <c r="P5729" s="57">
        <v>1</v>
      </c>
      <c r="Q5729" s="57">
        <v>0</v>
      </c>
      <c r="R5729" s="57">
        <v>0</v>
      </c>
      <c r="S5729" s="57">
        <v>0</v>
      </c>
      <c r="T5729" s="57">
        <v>0</v>
      </c>
      <c r="U5729" s="57">
        <v>0</v>
      </c>
      <c r="V5729" s="57">
        <v>0</v>
      </c>
      <c r="W5729" s="57">
        <v>0</v>
      </c>
      <c r="X5729" s="57">
        <v>0</v>
      </c>
    </row>
    <row r="5730" spans="1:24" hidden="1" x14ac:dyDescent="0.35">
      <c r="A5730">
        <v>5726</v>
      </c>
      <c r="B5730">
        <v>5727</v>
      </c>
      <c r="C5730">
        <v>146.067964036999</v>
      </c>
      <c r="D5730">
        <v>-17.640285178300001</v>
      </c>
      <c r="F5730" t="str">
        <f>HYPERLINK("D:\Data From Lucan\2024\Moresby\Frames_for_Analysis/5727_20240611_0008_L_0263.jpg","5727_20240611_0008_L_0263.jpg")</f>
        <v>5727_20240611_0008_L_0263.jpg</v>
      </c>
      <c r="G5730" s="92" t="s">
        <v>5936</v>
      </c>
      <c r="I5730">
        <v>4</v>
      </c>
      <c r="K5730" s="57">
        <v>1</v>
      </c>
      <c r="L5730" t="s">
        <v>3959</v>
      </c>
      <c r="M5730" t="s">
        <v>3959</v>
      </c>
      <c r="N5730" t="s">
        <v>3959</v>
      </c>
      <c r="O5730" t="s">
        <v>3959</v>
      </c>
      <c r="P5730" s="57">
        <v>1</v>
      </c>
      <c r="Q5730" s="57">
        <v>0</v>
      </c>
      <c r="R5730" s="57">
        <v>0</v>
      </c>
      <c r="S5730" s="57">
        <v>0</v>
      </c>
      <c r="T5730" s="57">
        <v>0</v>
      </c>
      <c r="U5730" s="57">
        <v>0</v>
      </c>
      <c r="V5730" s="57">
        <v>0</v>
      </c>
      <c r="W5730" s="57">
        <v>0</v>
      </c>
      <c r="X5730" s="57">
        <v>0</v>
      </c>
    </row>
    <row r="5731" spans="1:24" hidden="1" x14ac:dyDescent="0.35">
      <c r="A5731">
        <v>5727</v>
      </c>
      <c r="B5731">
        <v>5728</v>
      </c>
      <c r="C5731">
        <v>146.068022348</v>
      </c>
      <c r="D5731">
        <v>-17.640220643300001</v>
      </c>
      <c r="F5731" t="str">
        <f>HYPERLINK("D:\Data From Lucan\2024\Moresby\Frames_for_Analysis/5728_20240611_0008_L_0265.jpg","5728_20240611_0008_L_0265.jpg")</f>
        <v>5728_20240611_0008_L_0265.jpg</v>
      </c>
      <c r="G5731" s="92" t="s">
        <v>5937</v>
      </c>
      <c r="I5731">
        <v>4</v>
      </c>
      <c r="K5731" s="57">
        <v>1</v>
      </c>
      <c r="L5731" t="s">
        <v>3959</v>
      </c>
      <c r="M5731" t="s">
        <v>3959</v>
      </c>
      <c r="N5731" t="s">
        <v>3959</v>
      </c>
      <c r="O5731" t="s">
        <v>3959</v>
      </c>
      <c r="P5731" s="57">
        <v>1</v>
      </c>
      <c r="Q5731" s="57">
        <v>0</v>
      </c>
      <c r="R5731" s="57">
        <v>0</v>
      </c>
      <c r="S5731" s="57">
        <v>0</v>
      </c>
      <c r="T5731" s="57">
        <v>0</v>
      </c>
      <c r="U5731" s="57">
        <v>0</v>
      </c>
      <c r="V5731" s="57">
        <v>0</v>
      </c>
      <c r="W5731" s="57">
        <v>0</v>
      </c>
      <c r="X5731" s="57">
        <v>0</v>
      </c>
    </row>
    <row r="5732" spans="1:24" hidden="1" x14ac:dyDescent="0.35">
      <c r="A5732">
        <v>5728</v>
      </c>
      <c r="B5732">
        <v>5729</v>
      </c>
      <c r="C5732">
        <v>146.068087692999</v>
      </c>
      <c r="D5732">
        <v>-17.640162165300001</v>
      </c>
      <c r="F5732" t="str">
        <f>HYPERLINK("D:\Data From Lucan\2024\Moresby\Frames_for_Analysis/5729_20240611_0008_L_0268.jpg","5729_20240611_0008_L_0268.jpg")</f>
        <v>5729_20240611_0008_L_0268.jpg</v>
      </c>
      <c r="G5732" s="92" t="s">
        <v>5938</v>
      </c>
      <c r="I5732">
        <v>4</v>
      </c>
      <c r="K5732" s="57">
        <v>1</v>
      </c>
      <c r="L5732" t="s">
        <v>3959</v>
      </c>
      <c r="M5732" t="s">
        <v>3959</v>
      </c>
      <c r="N5732" t="s">
        <v>3959</v>
      </c>
      <c r="O5732" t="s">
        <v>3959</v>
      </c>
      <c r="P5732" s="57">
        <v>1</v>
      </c>
      <c r="Q5732" s="57">
        <v>0</v>
      </c>
      <c r="R5732" s="57">
        <v>0</v>
      </c>
      <c r="S5732" s="57">
        <v>0</v>
      </c>
      <c r="T5732" s="57">
        <v>0</v>
      </c>
      <c r="U5732" s="57">
        <v>0</v>
      </c>
      <c r="V5732" s="57">
        <v>0</v>
      </c>
      <c r="W5732" s="57">
        <v>0</v>
      </c>
      <c r="X5732" s="57">
        <v>0</v>
      </c>
    </row>
    <row r="5733" spans="1:24" hidden="1" x14ac:dyDescent="0.35">
      <c r="A5733">
        <v>5729</v>
      </c>
      <c r="B5733">
        <v>5730</v>
      </c>
      <c r="C5733">
        <v>146.068153666</v>
      </c>
      <c r="D5733">
        <v>-17.640104378699899</v>
      </c>
      <c r="F5733" t="str">
        <f>HYPERLINK("D:\Data From Lucan\2024\Moresby\Frames_for_Analysis/5730_20240611_0008_L_0270.jpg","5730_20240611_0008_L_0270.jpg")</f>
        <v>5730_20240611_0008_L_0270.jpg</v>
      </c>
      <c r="G5733" s="92" t="s">
        <v>5939</v>
      </c>
      <c r="I5733">
        <v>4</v>
      </c>
      <c r="K5733" s="57">
        <v>1</v>
      </c>
      <c r="L5733" t="s">
        <v>3959</v>
      </c>
      <c r="M5733" t="s">
        <v>3959</v>
      </c>
      <c r="N5733" t="s">
        <v>3959</v>
      </c>
      <c r="O5733" t="s">
        <v>3959</v>
      </c>
      <c r="P5733" s="57">
        <v>1</v>
      </c>
      <c r="Q5733" s="57">
        <v>0</v>
      </c>
      <c r="R5733" s="57">
        <v>0</v>
      </c>
      <c r="S5733" s="57">
        <v>0</v>
      </c>
      <c r="T5733" s="57">
        <v>0</v>
      </c>
      <c r="U5733" s="57">
        <v>0</v>
      </c>
      <c r="V5733" s="57">
        <v>0</v>
      </c>
      <c r="W5733" s="57">
        <v>0</v>
      </c>
      <c r="X5733" s="57">
        <v>0</v>
      </c>
    </row>
    <row r="5734" spans="1:24" hidden="1" x14ac:dyDescent="0.35">
      <c r="A5734">
        <v>5730</v>
      </c>
      <c r="B5734">
        <v>5731</v>
      </c>
      <c r="C5734">
        <v>146.068213474</v>
      </c>
      <c r="D5734">
        <v>-17.6400405025</v>
      </c>
      <c r="F5734" t="str">
        <f>HYPERLINK("D:\Data From Lucan\2024\Moresby\Frames_for_Analysis/5731_20240611_0008_L_0272.jpg","5731_20240611_0008_L_0272.jpg")</f>
        <v>5731_20240611_0008_L_0272.jpg</v>
      </c>
      <c r="G5734" s="92" t="s">
        <v>5940</v>
      </c>
      <c r="I5734">
        <v>4</v>
      </c>
      <c r="K5734" s="57">
        <v>1</v>
      </c>
      <c r="L5734" t="s">
        <v>3959</v>
      </c>
      <c r="M5734" t="s">
        <v>3959</v>
      </c>
      <c r="N5734" t="s">
        <v>3959</v>
      </c>
      <c r="O5734" t="s">
        <v>3959</v>
      </c>
      <c r="P5734" s="57">
        <v>1</v>
      </c>
      <c r="Q5734" s="57">
        <v>0</v>
      </c>
      <c r="R5734" s="57">
        <v>0</v>
      </c>
      <c r="S5734" s="57">
        <v>0</v>
      </c>
      <c r="T5734" s="57">
        <v>0</v>
      </c>
      <c r="U5734" s="57">
        <v>0</v>
      </c>
      <c r="V5734" s="57">
        <v>0</v>
      </c>
      <c r="W5734" s="57">
        <v>0</v>
      </c>
      <c r="X5734" s="57">
        <v>0</v>
      </c>
    </row>
    <row r="5735" spans="1:24" hidden="1" x14ac:dyDescent="0.35">
      <c r="A5735">
        <v>5731</v>
      </c>
      <c r="B5735">
        <v>5732</v>
      </c>
      <c r="C5735">
        <v>146.06826216300001</v>
      </c>
      <c r="D5735">
        <v>-17.6399697011</v>
      </c>
      <c r="F5735" t="str">
        <f>HYPERLINK("D:\Data From Lucan\2024\Moresby\Frames_for_Analysis/5732_20240611_0008_L_0275.jpg","5732_20240611_0008_L_0275.jpg")</f>
        <v>5732_20240611_0008_L_0275.jpg</v>
      </c>
      <c r="G5735" s="92" t="s">
        <v>5941</v>
      </c>
      <c r="I5735">
        <v>4</v>
      </c>
      <c r="K5735" s="57">
        <v>1</v>
      </c>
      <c r="L5735" t="s">
        <v>3959</v>
      </c>
      <c r="M5735" t="s">
        <v>3959</v>
      </c>
      <c r="N5735" t="s">
        <v>3959</v>
      </c>
      <c r="O5735" t="s">
        <v>3959</v>
      </c>
      <c r="P5735" s="57">
        <v>1</v>
      </c>
      <c r="Q5735" s="57">
        <v>0</v>
      </c>
      <c r="R5735" s="57">
        <v>0</v>
      </c>
      <c r="S5735" s="57">
        <v>0</v>
      </c>
      <c r="T5735" s="57">
        <v>0</v>
      </c>
      <c r="U5735" s="57">
        <v>0</v>
      </c>
      <c r="V5735" s="57">
        <v>0</v>
      </c>
      <c r="W5735" s="57">
        <v>0</v>
      </c>
      <c r="X5735" s="57">
        <v>0</v>
      </c>
    </row>
    <row r="5736" spans="1:24" hidden="1" x14ac:dyDescent="0.35">
      <c r="A5736">
        <v>5732</v>
      </c>
      <c r="B5736">
        <v>5733</v>
      </c>
      <c r="C5736">
        <v>146.06829955000001</v>
      </c>
      <c r="D5736">
        <v>-17.639891859900001</v>
      </c>
      <c r="F5736" t="str">
        <f>HYPERLINK("D:\Data From Lucan\2024\Moresby\Frames_for_Analysis/5733_20240611_0008_L_0277.jpg","5733_20240611_0008_L_0277.jpg")</f>
        <v>5733_20240611_0008_L_0277.jpg</v>
      </c>
      <c r="G5736" s="92" t="s">
        <v>5942</v>
      </c>
      <c r="I5736">
        <v>4</v>
      </c>
      <c r="K5736" s="57">
        <v>1</v>
      </c>
      <c r="L5736" t="s">
        <v>3959</v>
      </c>
      <c r="M5736" t="s">
        <v>3959</v>
      </c>
      <c r="N5736" t="s">
        <v>3959</v>
      </c>
      <c r="O5736" t="s">
        <v>3959</v>
      </c>
      <c r="P5736" s="57">
        <v>1</v>
      </c>
      <c r="Q5736" s="57">
        <v>0</v>
      </c>
      <c r="R5736" s="57">
        <v>0</v>
      </c>
      <c r="S5736" s="57">
        <v>0</v>
      </c>
      <c r="T5736" s="57">
        <v>0</v>
      </c>
      <c r="U5736" s="57">
        <v>0</v>
      </c>
      <c r="V5736" s="57">
        <v>0</v>
      </c>
      <c r="W5736" s="57">
        <v>0</v>
      </c>
      <c r="X5736" s="57">
        <v>0</v>
      </c>
    </row>
    <row r="5737" spans="1:24" hidden="1" x14ac:dyDescent="0.35">
      <c r="A5737">
        <v>5733</v>
      </c>
      <c r="B5737">
        <v>5734</v>
      </c>
      <c r="C5737">
        <v>146.06832893199899</v>
      </c>
      <c r="D5737">
        <v>-17.6398111871999</v>
      </c>
      <c r="F5737" t="str">
        <f>HYPERLINK("D:\Data From Lucan\2024\Moresby\Frames_for_Analysis/5734_20240611_0008_L_0280.jpg","5734_20240611_0008_L_0280.jpg")</f>
        <v>5734_20240611_0008_L_0280.jpg</v>
      </c>
      <c r="G5737" s="92" t="s">
        <v>5943</v>
      </c>
      <c r="I5737">
        <v>4</v>
      </c>
      <c r="K5737" s="57">
        <v>1</v>
      </c>
      <c r="L5737" t="s">
        <v>3959</v>
      </c>
      <c r="M5737" t="s">
        <v>3959</v>
      </c>
      <c r="N5737" t="s">
        <v>3959</v>
      </c>
      <c r="O5737" t="s">
        <v>3959</v>
      </c>
      <c r="P5737" s="57">
        <v>1</v>
      </c>
      <c r="Q5737" s="57">
        <v>0</v>
      </c>
      <c r="R5737" s="57">
        <v>0</v>
      </c>
      <c r="S5737" s="57">
        <v>0</v>
      </c>
      <c r="T5737" s="57">
        <v>0</v>
      </c>
      <c r="U5737" s="57">
        <v>0</v>
      </c>
      <c r="V5737" s="57">
        <v>0</v>
      </c>
      <c r="W5737" s="57">
        <v>0</v>
      </c>
      <c r="X5737" s="57">
        <v>0</v>
      </c>
    </row>
    <row r="5738" spans="1:24" hidden="1" x14ac:dyDescent="0.35">
      <c r="A5738">
        <v>5734</v>
      </c>
      <c r="B5738">
        <v>5735</v>
      </c>
      <c r="C5738">
        <v>146.068353895</v>
      </c>
      <c r="D5738">
        <v>-17.6397289513</v>
      </c>
      <c r="F5738" t="str">
        <f>HYPERLINK("D:\Data From Lucan\2024\Moresby\Frames_for_Analysis/5735_20240611_0008_L_0282.jpg","5735_20240611_0008_L_0282.jpg")</f>
        <v>5735_20240611_0008_L_0282.jpg</v>
      </c>
      <c r="G5738" s="92" t="s">
        <v>5944</v>
      </c>
      <c r="I5738">
        <v>4</v>
      </c>
      <c r="K5738" s="57">
        <v>1</v>
      </c>
      <c r="L5738" t="s">
        <v>3959</v>
      </c>
      <c r="M5738" t="s">
        <v>3959</v>
      </c>
      <c r="N5738" t="s">
        <v>3959</v>
      </c>
      <c r="O5738" t="s">
        <v>3959</v>
      </c>
      <c r="P5738" s="57">
        <v>1</v>
      </c>
      <c r="Q5738" s="57">
        <v>0</v>
      </c>
      <c r="R5738" s="57">
        <v>0</v>
      </c>
      <c r="S5738" s="57">
        <v>0</v>
      </c>
      <c r="T5738" s="57">
        <v>0</v>
      </c>
      <c r="U5738" s="57">
        <v>0</v>
      </c>
      <c r="V5738" s="57">
        <v>0</v>
      </c>
      <c r="W5738" s="57">
        <v>0</v>
      </c>
      <c r="X5738" s="57">
        <v>0</v>
      </c>
    </row>
    <row r="5739" spans="1:24" hidden="1" x14ac:dyDescent="0.35">
      <c r="A5739">
        <v>5735</v>
      </c>
      <c r="B5739">
        <v>5736</v>
      </c>
      <c r="C5739">
        <v>146.068376800999</v>
      </c>
      <c r="D5739">
        <v>-17.639646174100001</v>
      </c>
      <c r="F5739" t="str">
        <f>HYPERLINK("D:\Data From Lucan\2024\Moresby\Frames_for_Analysis/5736_20240611_0008_L_0285.jpg","5736_20240611_0008_L_0285.jpg")</f>
        <v>5736_20240611_0008_L_0285.jpg</v>
      </c>
      <c r="G5739" s="92" t="s">
        <v>5945</v>
      </c>
      <c r="I5739">
        <v>4</v>
      </c>
      <c r="K5739" s="57">
        <v>1</v>
      </c>
      <c r="L5739" t="s">
        <v>3959</v>
      </c>
      <c r="M5739" t="s">
        <v>3959</v>
      </c>
      <c r="N5739" t="s">
        <v>3959</v>
      </c>
      <c r="O5739" t="s">
        <v>3959</v>
      </c>
      <c r="P5739" s="57">
        <v>1</v>
      </c>
      <c r="Q5739" s="57">
        <v>0</v>
      </c>
      <c r="R5739" s="57">
        <v>0</v>
      </c>
      <c r="S5739" s="57">
        <v>0</v>
      </c>
      <c r="T5739" s="57">
        <v>0</v>
      </c>
      <c r="U5739" s="57">
        <v>0</v>
      </c>
      <c r="V5739" s="57">
        <v>0</v>
      </c>
      <c r="W5739" s="57">
        <v>0</v>
      </c>
      <c r="X5739" s="57">
        <v>0</v>
      </c>
    </row>
    <row r="5740" spans="1:24" hidden="1" x14ac:dyDescent="0.35">
      <c r="A5740">
        <v>5736</v>
      </c>
      <c r="B5740">
        <v>5737</v>
      </c>
      <c r="C5740">
        <v>146.068399642999</v>
      </c>
      <c r="D5740">
        <v>-17.639563379999899</v>
      </c>
      <c r="F5740" t="str">
        <f>HYPERLINK("D:\Data From Lucan\2024\Moresby\Frames_for_Analysis/5737_20240611_0008_L_0286.jpg","5737_20240611_0008_L_0286.jpg")</f>
        <v>5737_20240611_0008_L_0286.jpg</v>
      </c>
      <c r="G5740" s="92" t="s">
        <v>5946</v>
      </c>
      <c r="I5740">
        <v>4</v>
      </c>
      <c r="K5740" s="57">
        <v>1</v>
      </c>
      <c r="L5740" t="s">
        <v>3959</v>
      </c>
      <c r="M5740" t="s">
        <v>3959</v>
      </c>
      <c r="N5740" t="s">
        <v>3959</v>
      </c>
      <c r="O5740" t="s">
        <v>3959</v>
      </c>
      <c r="P5740" s="57">
        <v>1</v>
      </c>
      <c r="Q5740" s="57">
        <v>0</v>
      </c>
      <c r="R5740" s="57">
        <v>0</v>
      </c>
      <c r="S5740" s="57">
        <v>0</v>
      </c>
      <c r="T5740" s="57">
        <v>0</v>
      </c>
      <c r="U5740" s="57">
        <v>0</v>
      </c>
      <c r="V5740" s="57">
        <v>0</v>
      </c>
      <c r="W5740" s="57">
        <v>0</v>
      </c>
      <c r="X5740" s="57">
        <v>0</v>
      </c>
    </row>
    <row r="5741" spans="1:24" hidden="1" x14ac:dyDescent="0.35">
      <c r="A5741">
        <v>5737</v>
      </c>
      <c r="B5741">
        <v>5738</v>
      </c>
      <c r="C5741">
        <v>146.068441632</v>
      </c>
      <c r="D5741">
        <v>-17.639488226200001</v>
      </c>
      <c r="F5741" t="str">
        <f>HYPERLINK("D:\Data From Lucan\2024\Moresby\Frames_for_Analysis/5738_20240611_0008_L_0288.jpg","5738_20240611_0008_L_0288.jpg")</f>
        <v>5738_20240611_0008_L_0288.jpg</v>
      </c>
      <c r="G5741" s="92" t="s">
        <v>5947</v>
      </c>
      <c r="I5741">
        <v>4</v>
      </c>
      <c r="K5741" s="57">
        <v>1</v>
      </c>
      <c r="L5741" t="s">
        <v>3959</v>
      </c>
      <c r="M5741" t="s">
        <v>3959</v>
      </c>
      <c r="N5741" t="s">
        <v>3959</v>
      </c>
      <c r="O5741" t="s">
        <v>3959</v>
      </c>
      <c r="P5741" s="57">
        <v>1</v>
      </c>
      <c r="Q5741" s="57">
        <v>0</v>
      </c>
      <c r="R5741" s="57">
        <v>0</v>
      </c>
      <c r="S5741" s="57">
        <v>0</v>
      </c>
      <c r="T5741" s="57">
        <v>0</v>
      </c>
      <c r="U5741" s="57">
        <v>0</v>
      </c>
      <c r="V5741" s="57">
        <v>0</v>
      </c>
      <c r="W5741" s="57">
        <v>0</v>
      </c>
      <c r="X5741" s="57">
        <v>0</v>
      </c>
    </row>
    <row r="5742" spans="1:24" hidden="1" x14ac:dyDescent="0.35">
      <c r="A5742">
        <v>5738</v>
      </c>
      <c r="B5742">
        <v>5739</v>
      </c>
      <c r="C5742">
        <v>146.068487505999</v>
      </c>
      <c r="D5742">
        <v>-17.639414622</v>
      </c>
      <c r="F5742" t="str">
        <f>HYPERLINK("D:\Data From Lucan\2024\Moresby\Frames_for_Analysis/5739_20240611_0008_L_0290.jpg","5739_20240611_0008_L_0290.jpg")</f>
        <v>5739_20240611_0008_L_0290.jpg</v>
      </c>
      <c r="G5742" s="92" t="s">
        <v>5948</v>
      </c>
      <c r="I5742">
        <v>4</v>
      </c>
      <c r="K5742" s="57">
        <v>1</v>
      </c>
      <c r="L5742" t="s">
        <v>3959</v>
      </c>
      <c r="M5742" t="s">
        <v>3959</v>
      </c>
      <c r="N5742" t="s">
        <v>3959</v>
      </c>
      <c r="O5742" t="s">
        <v>3959</v>
      </c>
      <c r="P5742" s="57">
        <v>1</v>
      </c>
      <c r="Q5742" s="57">
        <v>0</v>
      </c>
      <c r="R5742" s="57">
        <v>0</v>
      </c>
      <c r="S5742" s="57">
        <v>0</v>
      </c>
      <c r="T5742" s="57">
        <v>0</v>
      </c>
      <c r="U5742" s="57">
        <v>0</v>
      </c>
      <c r="V5742" s="57">
        <v>0</v>
      </c>
      <c r="W5742" s="57">
        <v>0</v>
      </c>
      <c r="X5742" s="57">
        <v>0</v>
      </c>
    </row>
    <row r="5743" spans="1:24" hidden="1" x14ac:dyDescent="0.35">
      <c r="A5743">
        <v>5739</v>
      </c>
      <c r="B5743">
        <v>5740</v>
      </c>
      <c r="C5743">
        <v>146.068547547999</v>
      </c>
      <c r="D5743">
        <v>-17.639351270100001</v>
      </c>
      <c r="F5743" t="str">
        <f>HYPERLINK("D:\Data From Lucan\2024\Moresby\Frames_for_Analysis/5740_20240611_0008_L_0291.jpg","5740_20240611_0008_L_0291.jpg")</f>
        <v>5740_20240611_0008_L_0291.jpg</v>
      </c>
      <c r="G5743" s="92" t="s">
        <v>5949</v>
      </c>
      <c r="I5743">
        <v>4</v>
      </c>
      <c r="K5743" s="57">
        <v>1</v>
      </c>
      <c r="L5743" t="s">
        <v>3959</v>
      </c>
      <c r="M5743" t="s">
        <v>3959</v>
      </c>
      <c r="N5743" t="s">
        <v>3959</v>
      </c>
      <c r="O5743" t="s">
        <v>3959</v>
      </c>
      <c r="P5743" s="57">
        <v>1</v>
      </c>
      <c r="Q5743" s="57">
        <v>0</v>
      </c>
      <c r="R5743" s="57">
        <v>0</v>
      </c>
      <c r="S5743" s="57">
        <v>0</v>
      </c>
      <c r="T5743" s="57">
        <v>0</v>
      </c>
      <c r="U5743" s="57">
        <v>0</v>
      </c>
      <c r="V5743" s="57">
        <v>0</v>
      </c>
      <c r="W5743" s="57">
        <v>0</v>
      </c>
      <c r="X5743" s="57">
        <v>0</v>
      </c>
    </row>
    <row r="5744" spans="1:24" hidden="1" x14ac:dyDescent="0.35">
      <c r="A5744">
        <v>5740</v>
      </c>
      <c r="B5744">
        <v>5741</v>
      </c>
      <c r="C5744">
        <v>146.06860128899899</v>
      </c>
      <c r="D5744">
        <v>-17.6392841296</v>
      </c>
      <c r="F5744" t="str">
        <f>HYPERLINK("D:\Data From Lucan\2024\Moresby\Frames_for_Analysis/5741_20240611_0008_L_0293.jpg","5741_20240611_0008_L_0293.jpg")</f>
        <v>5741_20240611_0008_L_0293.jpg</v>
      </c>
      <c r="G5744" s="92" t="s">
        <v>5950</v>
      </c>
      <c r="I5744">
        <v>4</v>
      </c>
      <c r="K5744" s="57">
        <v>1</v>
      </c>
      <c r="L5744" t="s">
        <v>3959</v>
      </c>
      <c r="M5744" t="s">
        <v>3959</v>
      </c>
      <c r="N5744" t="s">
        <v>3959</v>
      </c>
      <c r="O5744" t="s">
        <v>3959</v>
      </c>
      <c r="P5744" s="57">
        <v>1</v>
      </c>
      <c r="Q5744" s="57">
        <v>0</v>
      </c>
      <c r="R5744" s="57">
        <v>0</v>
      </c>
      <c r="S5744" s="57">
        <v>0</v>
      </c>
      <c r="T5744" s="57">
        <v>0</v>
      </c>
      <c r="U5744" s="57">
        <v>0</v>
      </c>
      <c r="V5744" s="57">
        <v>0</v>
      </c>
      <c r="W5744" s="57">
        <v>0</v>
      </c>
      <c r="X5744" s="57">
        <v>0</v>
      </c>
    </row>
    <row r="5745" spans="1:24" hidden="1" x14ac:dyDescent="0.35">
      <c r="A5745">
        <v>5741</v>
      </c>
      <c r="B5745">
        <v>5742</v>
      </c>
      <c r="C5745">
        <v>146.068674025999</v>
      </c>
      <c r="D5745">
        <v>-17.639235213100001</v>
      </c>
      <c r="F5745" t="str">
        <f>HYPERLINK("D:\Data From Lucan\2024\Moresby\Frames_for_Analysis/5742_20240611_0008_L_0294.jpg","5742_20240611_0008_L_0294.jpg")</f>
        <v>5742_20240611_0008_L_0294.jpg</v>
      </c>
      <c r="G5745" s="92" t="s">
        <v>5951</v>
      </c>
      <c r="I5745">
        <v>4</v>
      </c>
      <c r="K5745" s="57">
        <v>1</v>
      </c>
      <c r="L5745" t="s">
        <v>3959</v>
      </c>
      <c r="M5745" t="s">
        <v>3959</v>
      </c>
      <c r="N5745" t="s">
        <v>3959</v>
      </c>
      <c r="O5745" t="s">
        <v>3959</v>
      </c>
      <c r="P5745" s="57">
        <v>1</v>
      </c>
      <c r="Q5745" s="57">
        <v>0</v>
      </c>
      <c r="R5745" s="57">
        <v>0</v>
      </c>
      <c r="S5745" s="57">
        <v>0</v>
      </c>
      <c r="T5745" s="57">
        <v>0</v>
      </c>
      <c r="U5745" s="57">
        <v>0</v>
      </c>
      <c r="V5745" s="57">
        <v>0</v>
      </c>
      <c r="W5745" s="57">
        <v>0</v>
      </c>
      <c r="X5745" s="57">
        <v>0</v>
      </c>
    </row>
    <row r="5746" spans="1:24" hidden="1" x14ac:dyDescent="0.35">
      <c r="A5746">
        <v>5742</v>
      </c>
      <c r="B5746">
        <v>5743</v>
      </c>
      <c r="C5746">
        <v>146.068755116999</v>
      </c>
      <c r="D5746">
        <v>-17.639199313799899</v>
      </c>
      <c r="F5746" t="str">
        <f>HYPERLINK("D:\Data From Lucan\2024\Moresby\Frames_for_Analysis/5743_20240611_0008_L_0296.jpg","5743_20240611_0008_L_0296.jpg")</f>
        <v>5743_20240611_0008_L_0296.jpg</v>
      </c>
      <c r="G5746" s="92" t="s">
        <v>5952</v>
      </c>
      <c r="I5746">
        <v>4</v>
      </c>
      <c r="K5746" s="57">
        <v>1</v>
      </c>
      <c r="L5746" t="s">
        <v>3959</v>
      </c>
      <c r="M5746" t="s">
        <v>3959</v>
      </c>
      <c r="N5746" t="s">
        <v>3959</v>
      </c>
      <c r="O5746" t="s">
        <v>3959</v>
      </c>
      <c r="P5746" s="57">
        <v>1</v>
      </c>
      <c r="Q5746" s="57">
        <v>0</v>
      </c>
      <c r="R5746" s="57">
        <v>0</v>
      </c>
      <c r="S5746" s="57">
        <v>0</v>
      </c>
      <c r="T5746" s="57">
        <v>0</v>
      </c>
      <c r="U5746" s="57">
        <v>0</v>
      </c>
      <c r="V5746" s="57">
        <v>0</v>
      </c>
      <c r="W5746" s="57">
        <v>0</v>
      </c>
      <c r="X5746" s="57">
        <v>0</v>
      </c>
    </row>
    <row r="5747" spans="1:24" hidden="1" x14ac:dyDescent="0.35">
      <c r="A5747">
        <v>5743</v>
      </c>
      <c r="B5747">
        <v>5744</v>
      </c>
      <c r="C5747">
        <v>146.06884058</v>
      </c>
      <c r="D5747">
        <v>-17.6391729760999</v>
      </c>
      <c r="F5747" t="str">
        <f>HYPERLINK("D:\Data From Lucan\2024\Moresby\Frames_for_Analysis/5744_20240611_0008_L_0298.jpg","5744_20240611_0008_L_0298.jpg")</f>
        <v>5744_20240611_0008_L_0298.jpg</v>
      </c>
      <c r="G5747" s="92" t="s">
        <v>5953</v>
      </c>
      <c r="I5747">
        <v>4</v>
      </c>
      <c r="K5747" s="57">
        <v>1</v>
      </c>
      <c r="L5747" t="s">
        <v>3959</v>
      </c>
      <c r="M5747" t="s">
        <v>3959</v>
      </c>
      <c r="N5747" t="s">
        <v>3959</v>
      </c>
      <c r="O5747" t="s">
        <v>3959</v>
      </c>
      <c r="P5747" s="57">
        <v>1</v>
      </c>
      <c r="Q5747" s="57">
        <v>0</v>
      </c>
      <c r="R5747" s="57">
        <v>0</v>
      </c>
      <c r="S5747" s="57">
        <v>0</v>
      </c>
      <c r="T5747" s="57">
        <v>0</v>
      </c>
      <c r="U5747" s="57">
        <v>0</v>
      </c>
      <c r="V5747" s="57">
        <v>0</v>
      </c>
      <c r="W5747" s="57">
        <v>0</v>
      </c>
      <c r="X5747" s="57">
        <v>0</v>
      </c>
    </row>
    <row r="5748" spans="1:24" hidden="1" x14ac:dyDescent="0.35">
      <c r="A5748">
        <v>5744</v>
      </c>
      <c r="B5748">
        <v>5745</v>
      </c>
      <c r="C5748">
        <v>146.068924516999</v>
      </c>
      <c r="D5748">
        <v>-17.6391424768</v>
      </c>
      <c r="F5748" t="str">
        <f>HYPERLINK("D:\Data From Lucan\2024\Moresby\Frames_for_Analysis/5745_20240611_0008_L_0301.jpg","5745_20240611_0008_L_0301.jpg")</f>
        <v>5745_20240611_0008_L_0301.jpg</v>
      </c>
      <c r="G5748" s="92" t="s">
        <v>5954</v>
      </c>
      <c r="I5748">
        <v>4</v>
      </c>
      <c r="K5748" s="57">
        <v>1</v>
      </c>
      <c r="L5748" t="s">
        <v>3959</v>
      </c>
      <c r="M5748" t="s">
        <v>3959</v>
      </c>
      <c r="N5748" t="s">
        <v>3959</v>
      </c>
      <c r="O5748" t="s">
        <v>3959</v>
      </c>
      <c r="P5748" s="57">
        <v>1</v>
      </c>
      <c r="Q5748" s="57">
        <v>0</v>
      </c>
      <c r="R5748" s="57">
        <v>0</v>
      </c>
      <c r="S5748" s="57">
        <v>0</v>
      </c>
      <c r="T5748" s="57">
        <v>0</v>
      </c>
      <c r="U5748" s="57">
        <v>0</v>
      </c>
      <c r="V5748" s="57">
        <v>0</v>
      </c>
      <c r="W5748" s="57">
        <v>0</v>
      </c>
      <c r="X5748" s="57">
        <v>0</v>
      </c>
    </row>
    <row r="5749" spans="1:24" hidden="1" x14ac:dyDescent="0.35">
      <c r="A5749">
        <v>5745</v>
      </c>
      <c r="B5749">
        <v>5746</v>
      </c>
      <c r="C5749">
        <v>146.06898335400001</v>
      </c>
      <c r="D5749">
        <v>-17.639079745499899</v>
      </c>
      <c r="G5749" s="92"/>
      <c r="I5749">
        <v>4</v>
      </c>
      <c r="J5749" t="s">
        <v>26</v>
      </c>
      <c r="K5749" s="57"/>
      <c r="S5749" s="57"/>
      <c r="X5749" s="57"/>
    </row>
    <row r="5750" spans="1:24" hidden="1" x14ac:dyDescent="0.35">
      <c r="A5750">
        <v>5746</v>
      </c>
      <c r="B5750">
        <v>5747</v>
      </c>
      <c r="C5750">
        <v>146.069017602999</v>
      </c>
      <c r="D5750">
        <v>-17.639000620600001</v>
      </c>
      <c r="G5750" s="92"/>
      <c r="I5750">
        <v>4</v>
      </c>
      <c r="J5750" t="s">
        <v>26</v>
      </c>
      <c r="K5750" s="57"/>
      <c r="S5750" s="57"/>
      <c r="X5750" s="57"/>
    </row>
    <row r="5751" spans="1:24" hidden="1" x14ac:dyDescent="0.35">
      <c r="A5751">
        <v>5747</v>
      </c>
      <c r="B5751">
        <v>5748</v>
      </c>
      <c r="C5751">
        <v>146.069091133999</v>
      </c>
      <c r="D5751">
        <v>-17.639049797399899</v>
      </c>
      <c r="G5751" s="92"/>
      <c r="I5751">
        <v>4</v>
      </c>
      <c r="J5751" t="s">
        <v>26</v>
      </c>
      <c r="K5751" s="57"/>
      <c r="S5751" s="57"/>
      <c r="X5751" s="57"/>
    </row>
    <row r="5752" spans="1:24" hidden="1" x14ac:dyDescent="0.35">
      <c r="A5752">
        <v>5748</v>
      </c>
      <c r="B5752">
        <v>5749</v>
      </c>
      <c r="C5752">
        <v>146.06915108800001</v>
      </c>
      <c r="D5752">
        <v>-17.639103219500001</v>
      </c>
      <c r="G5752" s="92"/>
      <c r="I5752">
        <v>4</v>
      </c>
      <c r="J5752" t="s">
        <v>26</v>
      </c>
      <c r="K5752" s="57"/>
      <c r="S5752" s="57"/>
      <c r="X5752" s="57"/>
    </row>
    <row r="5753" spans="1:24" hidden="1" x14ac:dyDescent="0.35">
      <c r="A5753">
        <v>5749</v>
      </c>
      <c r="B5753">
        <v>5750</v>
      </c>
      <c r="C5753">
        <v>146.069122418999</v>
      </c>
      <c r="D5753">
        <v>-17.639184350800001</v>
      </c>
      <c r="G5753" s="92"/>
      <c r="I5753">
        <v>4</v>
      </c>
      <c r="J5753" t="s">
        <v>26</v>
      </c>
      <c r="K5753" s="57"/>
      <c r="S5753" s="57"/>
      <c r="X5753" s="57"/>
    </row>
    <row r="5754" spans="1:24" hidden="1" x14ac:dyDescent="0.35">
      <c r="A5754">
        <v>5750</v>
      </c>
      <c r="B5754">
        <v>5751</v>
      </c>
      <c r="C5754">
        <v>146.069092861999</v>
      </c>
      <c r="D5754">
        <v>-17.639265146900001</v>
      </c>
      <c r="G5754" s="92"/>
      <c r="I5754">
        <v>4</v>
      </c>
      <c r="J5754" t="s">
        <v>26</v>
      </c>
      <c r="K5754" s="57"/>
      <c r="S5754" s="57"/>
      <c r="X5754" s="57"/>
    </row>
    <row r="5755" spans="1:24" hidden="1" x14ac:dyDescent="0.35">
      <c r="A5755">
        <v>5751</v>
      </c>
      <c r="B5755">
        <v>5752</v>
      </c>
      <c r="C5755">
        <v>146.06905547599899</v>
      </c>
      <c r="D5755">
        <v>-17.6393429885999</v>
      </c>
      <c r="G5755" s="92"/>
      <c r="I5755">
        <v>4</v>
      </c>
      <c r="J5755" t="s">
        <v>26</v>
      </c>
      <c r="K5755" s="57"/>
      <c r="S5755" s="57"/>
      <c r="X5755" s="57"/>
    </row>
    <row r="5756" spans="1:24" hidden="1" x14ac:dyDescent="0.35">
      <c r="A5756">
        <v>5752</v>
      </c>
      <c r="B5756">
        <v>5753</v>
      </c>
      <c r="C5756">
        <v>146.069032765</v>
      </c>
      <c r="D5756">
        <v>-17.639422167100001</v>
      </c>
      <c r="F5756" t="str">
        <f>HYPERLINK("D:\Data From Lucan\2024\Moresby\Frames_for_Analysis/5753_20240611_0008_L_0302.jpg","5753_20240611_0008_L_0302.jpg")</f>
        <v>5753_20240611_0008_L_0302.jpg</v>
      </c>
      <c r="G5756" s="92" t="s">
        <v>5955</v>
      </c>
      <c r="I5756">
        <v>4</v>
      </c>
      <c r="K5756" s="57">
        <v>1</v>
      </c>
      <c r="L5756" t="s">
        <v>3959</v>
      </c>
      <c r="M5756" t="s">
        <v>3959</v>
      </c>
      <c r="N5756" t="s">
        <v>3959</v>
      </c>
      <c r="O5756" t="s">
        <v>3959</v>
      </c>
      <c r="P5756" s="57">
        <v>1</v>
      </c>
      <c r="Q5756" s="57">
        <v>0</v>
      </c>
      <c r="R5756" s="57">
        <v>0</v>
      </c>
      <c r="S5756" s="57">
        <v>0</v>
      </c>
      <c r="T5756" s="57">
        <v>0</v>
      </c>
      <c r="U5756" s="57">
        <v>0</v>
      </c>
      <c r="V5756" s="57">
        <v>0</v>
      </c>
      <c r="W5756" s="57">
        <v>0</v>
      </c>
      <c r="X5756" s="57">
        <v>0</v>
      </c>
    </row>
    <row r="5757" spans="1:24" hidden="1" x14ac:dyDescent="0.35">
      <c r="A5757">
        <v>5753</v>
      </c>
      <c r="B5757">
        <v>5754</v>
      </c>
      <c r="C5757">
        <v>146.069096395999</v>
      </c>
      <c r="D5757">
        <v>-17.639454198900001</v>
      </c>
      <c r="F5757" t="str">
        <f>HYPERLINK("D:\Data From Lucan\2024\Moresby\Frames_for_Analysis/5754_20240611_0008_L_0303.jpg","5754_20240611_0008_L_0303.jpg")</f>
        <v>5754_20240611_0008_L_0303.jpg</v>
      </c>
      <c r="G5757" s="92" t="s">
        <v>5956</v>
      </c>
      <c r="I5757">
        <v>4</v>
      </c>
      <c r="K5757" s="57">
        <v>1</v>
      </c>
      <c r="L5757" t="s">
        <v>3959</v>
      </c>
      <c r="M5757" t="s">
        <v>3959</v>
      </c>
      <c r="N5757" t="s">
        <v>3959</v>
      </c>
      <c r="O5757" t="s">
        <v>3959</v>
      </c>
      <c r="P5757" s="57">
        <v>1</v>
      </c>
      <c r="Q5757" s="57">
        <v>0</v>
      </c>
      <c r="R5757" s="57">
        <v>0</v>
      </c>
      <c r="S5757" s="57">
        <v>0</v>
      </c>
      <c r="T5757" s="57">
        <v>0</v>
      </c>
      <c r="U5757" s="57">
        <v>0</v>
      </c>
      <c r="V5757" s="57">
        <v>0</v>
      </c>
      <c r="W5757" s="57">
        <v>0</v>
      </c>
      <c r="X5757" s="57">
        <v>0</v>
      </c>
    </row>
    <row r="5758" spans="1:24" hidden="1" x14ac:dyDescent="0.35">
      <c r="A5758">
        <v>5754</v>
      </c>
      <c r="B5758">
        <v>5755</v>
      </c>
      <c r="C5758">
        <v>146.06918297600001</v>
      </c>
      <c r="D5758">
        <v>-17.6394363852</v>
      </c>
      <c r="F5758" t="str">
        <f>HYPERLINK("D:\Data From Lucan\2024\Moresby\Frames_for_Analysis/5755_20240611_0008_L_0306.jpg","5755_20240611_0008_L_0306.jpg")</f>
        <v>5755_20240611_0008_L_0306.jpg</v>
      </c>
      <c r="G5758" s="92" t="s">
        <v>5957</v>
      </c>
      <c r="I5758">
        <v>4</v>
      </c>
      <c r="K5758" s="57">
        <v>1</v>
      </c>
      <c r="L5758" t="s">
        <v>3959</v>
      </c>
      <c r="M5758" t="s">
        <v>3959</v>
      </c>
      <c r="N5758" t="s">
        <v>3959</v>
      </c>
      <c r="O5758" t="s">
        <v>3959</v>
      </c>
      <c r="P5758" s="57">
        <v>1</v>
      </c>
      <c r="Q5758" s="57">
        <v>0</v>
      </c>
      <c r="R5758" s="57">
        <v>0</v>
      </c>
      <c r="S5758" s="57">
        <v>0</v>
      </c>
      <c r="T5758" s="57">
        <v>0</v>
      </c>
      <c r="U5758" s="57">
        <v>0</v>
      </c>
      <c r="V5758" s="57">
        <v>0</v>
      </c>
      <c r="W5758" s="57">
        <v>0</v>
      </c>
      <c r="X5758" s="57">
        <v>0</v>
      </c>
    </row>
    <row r="5759" spans="1:24" hidden="1" x14ac:dyDescent="0.35">
      <c r="A5759">
        <v>5755</v>
      </c>
      <c r="B5759">
        <v>5756</v>
      </c>
      <c r="C5759">
        <v>146.069267623999</v>
      </c>
      <c r="D5759">
        <v>-17.6394077233</v>
      </c>
      <c r="F5759" t="str">
        <f>HYPERLINK("D:\Data From Lucan\2024\Moresby\Frames_for_Analysis/5756_20240611_0008_L_0308.jpg","5756_20240611_0008_L_0308.jpg")</f>
        <v>5756_20240611_0008_L_0308.jpg</v>
      </c>
      <c r="G5759" s="92" t="s">
        <v>5958</v>
      </c>
      <c r="I5759">
        <v>4</v>
      </c>
      <c r="K5759" s="57">
        <v>1</v>
      </c>
      <c r="L5759" t="s">
        <v>3959</v>
      </c>
      <c r="M5759" t="s">
        <v>3959</v>
      </c>
      <c r="N5759" t="s">
        <v>3959</v>
      </c>
      <c r="O5759" t="s">
        <v>3959</v>
      </c>
      <c r="P5759" s="57">
        <v>1</v>
      </c>
      <c r="Q5759" s="57">
        <v>0</v>
      </c>
      <c r="R5759" s="57">
        <v>0</v>
      </c>
      <c r="S5759" s="57">
        <v>0</v>
      </c>
      <c r="T5759" s="57">
        <v>0</v>
      </c>
      <c r="U5759" s="57">
        <v>0</v>
      </c>
      <c r="V5759" s="57">
        <v>0</v>
      </c>
      <c r="W5759" s="57">
        <v>0</v>
      </c>
      <c r="X5759" s="57">
        <v>0</v>
      </c>
    </row>
    <row r="5760" spans="1:24" hidden="1" x14ac:dyDescent="0.35">
      <c r="A5760">
        <v>5756</v>
      </c>
      <c r="B5760">
        <v>5757</v>
      </c>
      <c r="C5760">
        <v>146.06935227100001</v>
      </c>
      <c r="D5760">
        <v>-17.6393790614</v>
      </c>
      <c r="F5760" t="str">
        <f>HYPERLINK("D:\Data From Lucan\2024\Moresby\Frames_for_Analysis/5757_20240611_0008_L_0311.jpg","5757_20240611_0008_L_0311.jpg")</f>
        <v>5757_20240611_0008_L_0311.jpg</v>
      </c>
      <c r="G5760" s="92" t="s">
        <v>5959</v>
      </c>
      <c r="I5760">
        <v>4</v>
      </c>
      <c r="K5760" s="57">
        <v>1</v>
      </c>
      <c r="L5760" t="s">
        <v>3959</v>
      </c>
      <c r="M5760" t="s">
        <v>3959</v>
      </c>
      <c r="N5760" t="s">
        <v>3959</v>
      </c>
      <c r="O5760" t="s">
        <v>3959</v>
      </c>
      <c r="P5760" s="57">
        <v>1</v>
      </c>
      <c r="Q5760" s="57">
        <v>0</v>
      </c>
      <c r="R5760" s="57">
        <v>0</v>
      </c>
      <c r="S5760" s="57">
        <v>0</v>
      </c>
      <c r="T5760" s="57">
        <v>0</v>
      </c>
      <c r="U5760" s="57">
        <v>0</v>
      </c>
      <c r="V5760" s="57">
        <v>0</v>
      </c>
      <c r="W5760" s="57">
        <v>0</v>
      </c>
      <c r="X5760" s="57">
        <v>0</v>
      </c>
    </row>
    <row r="5761" spans="1:24" hidden="1" x14ac:dyDescent="0.35">
      <c r="A5761">
        <v>5757</v>
      </c>
      <c r="B5761">
        <v>5758</v>
      </c>
      <c r="C5761">
        <v>146.06943691800001</v>
      </c>
      <c r="D5761">
        <v>-17.6393503995</v>
      </c>
      <c r="F5761" t="str">
        <f>HYPERLINK("D:\Data From Lucan\2024\Moresby\Frames_for_Analysis/5758_20240611_0008_L_0314.jpg","5758_20240611_0008_L_0314.jpg")</f>
        <v>5758_20240611_0008_L_0314.jpg</v>
      </c>
      <c r="G5761" s="92" t="s">
        <v>5960</v>
      </c>
      <c r="I5761">
        <v>4</v>
      </c>
      <c r="K5761" s="57">
        <v>1</v>
      </c>
      <c r="L5761" t="s">
        <v>3959</v>
      </c>
      <c r="M5761" t="s">
        <v>3959</v>
      </c>
      <c r="N5761" t="s">
        <v>3959</v>
      </c>
      <c r="O5761" t="s">
        <v>3959</v>
      </c>
      <c r="P5761" s="57">
        <v>1</v>
      </c>
      <c r="Q5761" s="57">
        <v>0</v>
      </c>
      <c r="R5761" s="57">
        <v>0</v>
      </c>
      <c r="S5761" s="57">
        <v>0</v>
      </c>
      <c r="T5761" s="57">
        <v>0</v>
      </c>
      <c r="U5761" s="57">
        <v>0</v>
      </c>
      <c r="V5761" s="57">
        <v>0</v>
      </c>
      <c r="W5761" s="57">
        <v>0</v>
      </c>
      <c r="X5761" s="57">
        <v>0</v>
      </c>
    </row>
    <row r="5762" spans="1:24" hidden="1" x14ac:dyDescent="0.35">
      <c r="A5762">
        <v>5758</v>
      </c>
      <c r="B5762">
        <v>5759</v>
      </c>
      <c r="C5762">
        <v>146.069521565</v>
      </c>
      <c r="D5762">
        <v>-17.639321737500001</v>
      </c>
      <c r="F5762" t="str">
        <f>HYPERLINK("D:\Data From Lucan\2024\Moresby\Frames_for_Analysis/5759_20240611_0008_L_0316.jpg","5759_20240611_0008_L_0316.jpg")</f>
        <v>5759_20240611_0008_L_0316.jpg</v>
      </c>
      <c r="G5762" s="92" t="s">
        <v>5961</v>
      </c>
      <c r="I5762">
        <v>4</v>
      </c>
      <c r="K5762" s="57">
        <v>1</v>
      </c>
      <c r="L5762" t="s">
        <v>3959</v>
      </c>
      <c r="M5762" t="s">
        <v>3959</v>
      </c>
      <c r="N5762" t="s">
        <v>3959</v>
      </c>
      <c r="O5762" t="s">
        <v>3959</v>
      </c>
      <c r="P5762" s="57">
        <v>1</v>
      </c>
      <c r="Q5762" s="57">
        <v>0</v>
      </c>
      <c r="R5762" s="57">
        <v>0</v>
      </c>
      <c r="S5762" s="57">
        <v>0</v>
      </c>
      <c r="T5762" s="57">
        <v>0</v>
      </c>
      <c r="U5762" s="57">
        <v>0</v>
      </c>
      <c r="V5762" s="57">
        <v>0</v>
      </c>
      <c r="W5762" s="57">
        <v>0</v>
      </c>
      <c r="X5762" s="57">
        <v>0</v>
      </c>
    </row>
    <row r="5763" spans="1:24" hidden="1" x14ac:dyDescent="0.35">
      <c r="A5763">
        <v>5759</v>
      </c>
      <c r="B5763">
        <v>5760</v>
      </c>
      <c r="C5763">
        <v>146.069606211999</v>
      </c>
      <c r="D5763">
        <v>-17.639293075600001</v>
      </c>
      <c r="F5763" t="str">
        <f>HYPERLINK("D:\Data From Lucan\2024\Moresby\Frames_for_Analysis/5760_20240611_0008_L_0319.jpg","5760_20240611_0008_L_0319.jpg")</f>
        <v>5760_20240611_0008_L_0319.jpg</v>
      </c>
      <c r="G5763" s="92" t="s">
        <v>5962</v>
      </c>
      <c r="I5763">
        <v>4</v>
      </c>
      <c r="K5763" s="57">
        <v>1</v>
      </c>
      <c r="L5763" t="s">
        <v>3959</v>
      </c>
      <c r="M5763" t="s">
        <v>3959</v>
      </c>
      <c r="N5763" t="s">
        <v>3959</v>
      </c>
      <c r="O5763" t="s">
        <v>3959</v>
      </c>
      <c r="P5763" s="57">
        <v>1</v>
      </c>
      <c r="Q5763" s="57">
        <v>0</v>
      </c>
      <c r="R5763" s="57">
        <v>0</v>
      </c>
      <c r="S5763" s="57">
        <v>0</v>
      </c>
      <c r="T5763" s="57">
        <v>0</v>
      </c>
      <c r="U5763" s="57">
        <v>0</v>
      </c>
      <c r="V5763" s="57">
        <v>0</v>
      </c>
      <c r="W5763" s="57">
        <v>0</v>
      </c>
      <c r="X5763" s="57">
        <v>0</v>
      </c>
    </row>
    <row r="5764" spans="1:24" hidden="1" x14ac:dyDescent="0.35">
      <c r="A5764">
        <v>5760</v>
      </c>
      <c r="B5764">
        <v>5761</v>
      </c>
      <c r="C5764">
        <v>146.069690858999</v>
      </c>
      <c r="D5764">
        <v>-17.639264413700001</v>
      </c>
      <c r="F5764" t="str">
        <f>HYPERLINK("D:\Data From Lucan\2024\Moresby\Frames_for_Analysis/5761_20240611_0008_L_0322.jpg","5761_20240611_0008_L_0322.jpg")</f>
        <v>5761_20240611_0008_L_0322.jpg</v>
      </c>
      <c r="G5764" s="92" t="s">
        <v>5963</v>
      </c>
      <c r="I5764">
        <v>4</v>
      </c>
      <c r="K5764" s="57">
        <v>1</v>
      </c>
      <c r="L5764" t="s">
        <v>3959</v>
      </c>
      <c r="M5764" t="s">
        <v>3959</v>
      </c>
      <c r="N5764" t="s">
        <v>3959</v>
      </c>
      <c r="O5764" t="s">
        <v>3959</v>
      </c>
      <c r="P5764" s="57">
        <v>1</v>
      </c>
      <c r="Q5764" s="57">
        <v>0</v>
      </c>
      <c r="R5764" s="57">
        <v>0</v>
      </c>
      <c r="S5764" s="57">
        <v>0</v>
      </c>
      <c r="T5764" s="57">
        <v>0</v>
      </c>
      <c r="U5764" s="57">
        <v>0</v>
      </c>
      <c r="V5764" s="57">
        <v>0</v>
      </c>
      <c r="W5764" s="57">
        <v>0</v>
      </c>
      <c r="X5764" s="57">
        <v>0</v>
      </c>
    </row>
    <row r="5765" spans="1:24" hidden="1" x14ac:dyDescent="0.35">
      <c r="A5765">
        <v>5761</v>
      </c>
      <c r="B5765">
        <v>5762</v>
      </c>
      <c r="C5765">
        <v>146.069775722999</v>
      </c>
      <c r="D5765">
        <v>-17.6392363766</v>
      </c>
      <c r="F5765" t="str">
        <f>HYPERLINK("D:\Data From Lucan\2024\Moresby\Frames_for_Analysis/5762_20240611_0008_L_0325.jpg","5762_20240611_0008_L_0325.jpg")</f>
        <v>5762_20240611_0008_L_0325.jpg</v>
      </c>
      <c r="G5765" s="92" t="s">
        <v>5964</v>
      </c>
      <c r="I5765">
        <v>4</v>
      </c>
      <c r="K5765" s="57">
        <v>1</v>
      </c>
      <c r="L5765" t="s">
        <v>3959</v>
      </c>
      <c r="M5765" t="s">
        <v>3959</v>
      </c>
      <c r="N5765" t="s">
        <v>3959</v>
      </c>
      <c r="O5765" t="s">
        <v>3959</v>
      </c>
      <c r="P5765" s="57">
        <v>1</v>
      </c>
      <c r="Q5765" s="57">
        <v>0</v>
      </c>
      <c r="R5765" s="57">
        <v>0</v>
      </c>
      <c r="S5765" s="57">
        <v>0</v>
      </c>
      <c r="T5765" s="57">
        <v>0</v>
      </c>
      <c r="U5765" s="57">
        <v>0</v>
      </c>
      <c r="V5765" s="57">
        <v>0</v>
      </c>
      <c r="W5765" s="57">
        <v>0</v>
      </c>
      <c r="X5765" s="57">
        <v>0</v>
      </c>
    </row>
    <row r="5766" spans="1:24" hidden="1" x14ac:dyDescent="0.35">
      <c r="A5766">
        <v>5762</v>
      </c>
      <c r="B5766">
        <v>5763</v>
      </c>
      <c r="C5766">
        <v>146.069861637</v>
      </c>
      <c r="D5766">
        <v>-17.639211370400002</v>
      </c>
      <c r="F5766" t="str">
        <f>HYPERLINK("D:\Data From Lucan\2024\Moresby\Frames_for_Analysis/5763_20240611_0008_L_0328.jpg","5763_20240611_0008_L_0328.jpg")</f>
        <v>5763_20240611_0008_L_0328.jpg</v>
      </c>
      <c r="G5766" s="92" t="s">
        <v>5965</v>
      </c>
      <c r="I5766">
        <v>4</v>
      </c>
      <c r="K5766" s="57">
        <v>1</v>
      </c>
      <c r="L5766" t="s">
        <v>3959</v>
      </c>
      <c r="M5766" t="s">
        <v>3959</v>
      </c>
      <c r="N5766" t="s">
        <v>3959</v>
      </c>
      <c r="O5766" t="s">
        <v>3959</v>
      </c>
      <c r="P5766" s="57">
        <v>1</v>
      </c>
      <c r="Q5766" s="57">
        <v>0</v>
      </c>
      <c r="R5766" s="57">
        <v>0</v>
      </c>
      <c r="S5766" s="57">
        <v>0</v>
      </c>
      <c r="T5766" s="57">
        <v>0</v>
      </c>
      <c r="U5766" s="57">
        <v>0</v>
      </c>
      <c r="V5766" s="57">
        <v>0</v>
      </c>
      <c r="W5766" s="57">
        <v>0</v>
      </c>
      <c r="X5766" s="57">
        <v>0</v>
      </c>
    </row>
    <row r="5767" spans="1:24" hidden="1" x14ac:dyDescent="0.35">
      <c r="A5767">
        <v>5763</v>
      </c>
      <c r="B5767">
        <v>5764</v>
      </c>
      <c r="C5767">
        <v>146.069947549999</v>
      </c>
      <c r="D5767">
        <v>-17.6391863642</v>
      </c>
      <c r="F5767" t="str">
        <f>HYPERLINK("D:\Data From Lucan\2024\Moresby\Frames_for_Analysis/5764_20240611_0008_L_0331.jpg","5764_20240611_0008_L_0331.jpg")</f>
        <v>5764_20240611_0008_L_0331.jpg</v>
      </c>
      <c r="G5767" s="92" t="s">
        <v>5966</v>
      </c>
      <c r="I5767">
        <v>4</v>
      </c>
      <c r="K5767" s="57">
        <v>1</v>
      </c>
      <c r="L5767" t="s">
        <v>3959</v>
      </c>
      <c r="M5767" t="s">
        <v>3959</v>
      </c>
      <c r="N5767" t="s">
        <v>3959</v>
      </c>
      <c r="O5767" t="s">
        <v>3959</v>
      </c>
      <c r="P5767" s="57">
        <v>1</v>
      </c>
      <c r="Q5767" s="57">
        <v>0</v>
      </c>
      <c r="R5767" s="57">
        <v>0</v>
      </c>
      <c r="S5767" s="57">
        <v>0</v>
      </c>
      <c r="T5767" s="57">
        <v>0</v>
      </c>
      <c r="U5767" s="57">
        <v>0</v>
      </c>
      <c r="V5767" s="57">
        <v>0</v>
      </c>
      <c r="W5767" s="57">
        <v>0</v>
      </c>
      <c r="X5767" s="57">
        <v>0</v>
      </c>
    </row>
    <row r="5768" spans="1:24" hidden="1" x14ac:dyDescent="0.35">
      <c r="A5768">
        <v>5764</v>
      </c>
      <c r="B5768">
        <v>5765</v>
      </c>
      <c r="C5768">
        <v>146.07003346400001</v>
      </c>
      <c r="D5768">
        <v>-17.6391613579999</v>
      </c>
      <c r="F5768" t="str">
        <f>HYPERLINK("D:\Data From Lucan\2024\Moresby\Frames_for_Analysis/5765_20240611_0008_L_0334.jpg","5765_20240611_0008_L_0334.jpg")</f>
        <v>5765_20240611_0008_L_0334.jpg</v>
      </c>
      <c r="G5768" s="92" t="s">
        <v>5967</v>
      </c>
      <c r="I5768">
        <v>4</v>
      </c>
      <c r="K5768" s="57">
        <v>1</v>
      </c>
      <c r="L5768" t="s">
        <v>3959</v>
      </c>
      <c r="M5768" t="s">
        <v>3959</v>
      </c>
      <c r="N5768" t="s">
        <v>3959</v>
      </c>
      <c r="O5768" t="s">
        <v>3959</v>
      </c>
      <c r="P5768" s="57">
        <v>1</v>
      </c>
      <c r="Q5768" s="57">
        <v>0</v>
      </c>
      <c r="R5768" s="57">
        <v>0</v>
      </c>
      <c r="S5768" s="57">
        <v>0</v>
      </c>
      <c r="T5768" s="57">
        <v>0</v>
      </c>
      <c r="U5768" s="57">
        <v>0</v>
      </c>
      <c r="V5768" s="57">
        <v>0</v>
      </c>
      <c r="W5768" s="57">
        <v>0</v>
      </c>
      <c r="X5768" s="57">
        <v>0</v>
      </c>
    </row>
    <row r="5769" spans="1:24" hidden="1" x14ac:dyDescent="0.35">
      <c r="A5769">
        <v>5765</v>
      </c>
      <c r="B5769">
        <v>5766</v>
      </c>
      <c r="C5769">
        <v>146.07011937799899</v>
      </c>
      <c r="D5769">
        <v>-17.639136351800001</v>
      </c>
      <c r="F5769" t="str">
        <f>HYPERLINK("D:\Data From Lucan\2024\Moresby\Frames_for_Analysis/5766_20240611_0008_L_0336.jpg","5766_20240611_0008_L_0336.jpg")</f>
        <v>5766_20240611_0008_L_0336.jpg</v>
      </c>
      <c r="G5769" s="92" t="s">
        <v>5968</v>
      </c>
      <c r="I5769">
        <v>4</v>
      </c>
      <c r="K5769" s="57">
        <v>1</v>
      </c>
      <c r="L5769" t="s">
        <v>3959</v>
      </c>
      <c r="M5769" t="s">
        <v>3959</v>
      </c>
      <c r="N5769" t="s">
        <v>3959</v>
      </c>
      <c r="O5769" t="s">
        <v>3959</v>
      </c>
      <c r="P5769" s="57">
        <v>1</v>
      </c>
      <c r="Q5769" s="57">
        <v>0</v>
      </c>
      <c r="R5769" s="57">
        <v>0</v>
      </c>
      <c r="S5769" s="57">
        <v>0</v>
      </c>
      <c r="T5769" s="57">
        <v>0</v>
      </c>
      <c r="U5769" s="57">
        <v>0</v>
      </c>
      <c r="V5769" s="57">
        <v>0</v>
      </c>
      <c r="W5769" s="57">
        <v>0</v>
      </c>
      <c r="X5769" s="57">
        <v>0</v>
      </c>
    </row>
    <row r="5770" spans="1:24" hidden="1" x14ac:dyDescent="0.35">
      <c r="A5770">
        <v>5766</v>
      </c>
      <c r="B5770">
        <v>5767</v>
      </c>
      <c r="C5770">
        <v>146.070205291999</v>
      </c>
      <c r="D5770">
        <v>-17.6391113456</v>
      </c>
      <c r="F5770" t="str">
        <f>HYPERLINK("D:\Data From Lucan\2024\Moresby\Frames_for_Analysis/5767_20240611_0008_L_0339.jpg","5767_20240611_0008_L_0339.jpg")</f>
        <v>5767_20240611_0008_L_0339.jpg</v>
      </c>
      <c r="G5770" s="92" t="s">
        <v>5969</v>
      </c>
      <c r="I5770">
        <v>4</v>
      </c>
      <c r="K5770" s="57">
        <v>1</v>
      </c>
      <c r="L5770" t="s">
        <v>3959</v>
      </c>
      <c r="M5770" t="s">
        <v>3959</v>
      </c>
      <c r="N5770" t="s">
        <v>3959</v>
      </c>
      <c r="O5770" t="s">
        <v>3959</v>
      </c>
      <c r="P5770" s="57">
        <v>1</v>
      </c>
      <c r="Q5770" s="57">
        <v>0</v>
      </c>
      <c r="R5770" s="57">
        <v>0</v>
      </c>
      <c r="S5770" s="57">
        <v>0</v>
      </c>
      <c r="T5770" s="57">
        <v>0</v>
      </c>
      <c r="U5770" s="57">
        <v>0</v>
      </c>
      <c r="V5770" s="57">
        <v>0</v>
      </c>
      <c r="W5770" s="57">
        <v>0</v>
      </c>
      <c r="X5770" s="57">
        <v>0</v>
      </c>
    </row>
    <row r="5771" spans="1:24" hidden="1" x14ac:dyDescent="0.35">
      <c r="A5771">
        <v>5767</v>
      </c>
      <c r="B5771">
        <v>5768</v>
      </c>
      <c r="C5771">
        <v>146.07029120499899</v>
      </c>
      <c r="D5771">
        <v>-17.639086339399899</v>
      </c>
      <c r="F5771" t="str">
        <f>HYPERLINK("D:\Data From Lucan\2024\Moresby\Frames_for_Analysis/5768_20240611_0008_L_0342.jpg","5768_20240611_0008_L_0342.jpg")</f>
        <v>5768_20240611_0008_L_0342.jpg</v>
      </c>
      <c r="G5771" s="92" t="s">
        <v>5970</v>
      </c>
      <c r="I5771">
        <v>4</v>
      </c>
      <c r="K5771" s="57">
        <v>1</v>
      </c>
      <c r="L5771" t="s">
        <v>3959</v>
      </c>
      <c r="M5771" t="s">
        <v>3959</v>
      </c>
      <c r="N5771" t="s">
        <v>3959</v>
      </c>
      <c r="O5771" t="s">
        <v>3959</v>
      </c>
      <c r="P5771" s="57">
        <v>1</v>
      </c>
      <c r="Q5771" s="57">
        <v>0</v>
      </c>
      <c r="R5771" s="57">
        <v>0</v>
      </c>
      <c r="S5771" s="57">
        <v>0</v>
      </c>
      <c r="T5771" s="57">
        <v>0</v>
      </c>
      <c r="U5771" s="57">
        <v>0</v>
      </c>
      <c r="V5771" s="57">
        <v>0</v>
      </c>
      <c r="W5771" s="57">
        <v>0</v>
      </c>
      <c r="X5771" s="57">
        <v>0</v>
      </c>
    </row>
    <row r="5772" spans="1:24" hidden="1" x14ac:dyDescent="0.35">
      <c r="A5772">
        <v>5768</v>
      </c>
      <c r="B5772">
        <v>5769</v>
      </c>
      <c r="C5772">
        <v>146.070377119</v>
      </c>
      <c r="D5772">
        <v>-17.6390613330999</v>
      </c>
      <c r="F5772" t="str">
        <f>HYPERLINK("D:\Data From Lucan\2024\Moresby\Frames_for_Analysis/5769_20240611_0008_L_0344.jpg","5769_20240611_0008_L_0344.jpg")</f>
        <v>5769_20240611_0008_L_0344.jpg</v>
      </c>
      <c r="G5772" s="92" t="s">
        <v>5971</v>
      </c>
      <c r="I5772">
        <v>4</v>
      </c>
      <c r="K5772" s="57">
        <v>1</v>
      </c>
      <c r="L5772" t="s">
        <v>3959</v>
      </c>
      <c r="M5772" t="s">
        <v>3959</v>
      </c>
      <c r="N5772" t="s">
        <v>3959</v>
      </c>
      <c r="O5772" t="s">
        <v>3959</v>
      </c>
      <c r="P5772" s="57">
        <v>1</v>
      </c>
      <c r="Q5772" s="57">
        <v>0</v>
      </c>
      <c r="R5772" s="57">
        <v>0</v>
      </c>
      <c r="S5772" s="57">
        <v>0</v>
      </c>
      <c r="T5772" s="57">
        <v>0</v>
      </c>
      <c r="U5772" s="57">
        <v>0</v>
      </c>
      <c r="V5772" s="57">
        <v>0</v>
      </c>
      <c r="W5772" s="57">
        <v>0</v>
      </c>
      <c r="X5772" s="57">
        <v>0</v>
      </c>
    </row>
    <row r="5773" spans="1:24" hidden="1" x14ac:dyDescent="0.35">
      <c r="A5773">
        <v>5769</v>
      </c>
      <c r="B5773">
        <v>5770</v>
      </c>
      <c r="C5773">
        <v>146.07046303300001</v>
      </c>
      <c r="D5773">
        <v>-17.639036326900001</v>
      </c>
      <c r="F5773" t="str">
        <f>HYPERLINK("D:\Data From Lucan\2024\Moresby\Frames_for_Analysis/5770_20240611_0008_L_0347.jpg","5770_20240611_0008_L_0347.jpg")</f>
        <v>5770_20240611_0008_L_0347.jpg</v>
      </c>
      <c r="G5773" s="92" t="s">
        <v>5972</v>
      </c>
      <c r="I5773">
        <v>4</v>
      </c>
      <c r="K5773" s="57">
        <v>1</v>
      </c>
      <c r="L5773" t="s">
        <v>3959</v>
      </c>
      <c r="M5773" t="s">
        <v>3959</v>
      </c>
      <c r="N5773" t="s">
        <v>3959</v>
      </c>
      <c r="O5773" t="s">
        <v>3959</v>
      </c>
      <c r="P5773" s="57">
        <v>1</v>
      </c>
      <c r="Q5773" s="57">
        <v>0</v>
      </c>
      <c r="R5773" s="57">
        <v>0</v>
      </c>
      <c r="S5773" s="57">
        <v>0</v>
      </c>
      <c r="T5773" s="57">
        <v>0</v>
      </c>
      <c r="U5773" s="57">
        <v>0</v>
      </c>
      <c r="V5773" s="57">
        <v>0</v>
      </c>
      <c r="W5773" s="57">
        <v>0</v>
      </c>
      <c r="X5773" s="57">
        <v>0</v>
      </c>
    </row>
    <row r="5774" spans="1:24" hidden="1" x14ac:dyDescent="0.35">
      <c r="A5774">
        <v>5770</v>
      </c>
      <c r="B5774">
        <v>5771</v>
      </c>
      <c r="C5774">
        <v>146.070548946999</v>
      </c>
      <c r="D5774">
        <v>-17.6390113207</v>
      </c>
      <c r="F5774" t="str">
        <f>HYPERLINK("D:\Data From Lucan\2024\Moresby\Frames_for_Analysis/5771_20240611_0008_L_0349.jpg","5771_20240611_0008_L_0349.jpg")</f>
        <v>5771_20240611_0008_L_0349.jpg</v>
      </c>
      <c r="G5774" s="92" t="s">
        <v>5973</v>
      </c>
      <c r="I5774">
        <v>4</v>
      </c>
      <c r="K5774" s="57">
        <v>1</v>
      </c>
      <c r="L5774" t="s">
        <v>3959</v>
      </c>
      <c r="M5774" t="s">
        <v>3959</v>
      </c>
      <c r="N5774" t="s">
        <v>3959</v>
      </c>
      <c r="O5774" t="s">
        <v>3959</v>
      </c>
      <c r="P5774" s="57">
        <v>1</v>
      </c>
      <c r="Q5774" s="57">
        <v>0</v>
      </c>
      <c r="R5774" s="57">
        <v>0</v>
      </c>
      <c r="S5774" s="57">
        <v>0</v>
      </c>
      <c r="T5774" s="57">
        <v>0</v>
      </c>
      <c r="U5774" s="57">
        <v>0</v>
      </c>
      <c r="V5774" s="57">
        <v>0</v>
      </c>
      <c r="W5774" s="57">
        <v>0</v>
      </c>
      <c r="X5774" s="57">
        <v>0</v>
      </c>
    </row>
    <row r="5775" spans="1:24" hidden="1" x14ac:dyDescent="0.35">
      <c r="A5775">
        <v>5771</v>
      </c>
      <c r="B5775">
        <v>5772</v>
      </c>
      <c r="C5775">
        <v>146.07063515300001</v>
      </c>
      <c r="D5775">
        <v>-17.638987285700001</v>
      </c>
      <c r="F5775" t="str">
        <f>HYPERLINK("D:\Data From Lucan\2024\Moresby\Frames_for_Analysis/5772_20240611_0008_L_0352.jpg","5772_20240611_0008_L_0352.jpg")</f>
        <v>5772_20240611_0008_L_0352.jpg</v>
      </c>
      <c r="G5775" s="92" t="s">
        <v>5974</v>
      </c>
      <c r="I5775">
        <v>4</v>
      </c>
      <c r="K5775" s="57">
        <v>1</v>
      </c>
      <c r="L5775" t="s">
        <v>3959</v>
      </c>
      <c r="M5775" t="s">
        <v>3959</v>
      </c>
      <c r="N5775" t="s">
        <v>3959</v>
      </c>
      <c r="O5775" t="s">
        <v>3959</v>
      </c>
      <c r="P5775" s="57">
        <v>1</v>
      </c>
      <c r="Q5775" s="57">
        <v>0</v>
      </c>
      <c r="R5775" s="57">
        <v>0</v>
      </c>
      <c r="S5775" s="57">
        <v>0</v>
      </c>
      <c r="T5775" s="57">
        <v>0</v>
      </c>
      <c r="U5775" s="57">
        <v>0</v>
      </c>
      <c r="V5775" s="57">
        <v>0</v>
      </c>
      <c r="W5775" s="57">
        <v>0</v>
      </c>
      <c r="X5775" s="57">
        <v>0</v>
      </c>
    </row>
    <row r="5776" spans="1:24" hidden="1" x14ac:dyDescent="0.35">
      <c r="A5776">
        <v>5772</v>
      </c>
      <c r="B5776">
        <v>5773</v>
      </c>
      <c r="C5776">
        <v>146.07072189900001</v>
      </c>
      <c r="D5776">
        <v>-17.638965040399899</v>
      </c>
      <c r="F5776" t="str">
        <f>HYPERLINK("D:\Data From Lucan\2024\Moresby\Frames_for_Analysis/5773_20240611_0008_L_0355.jpg","5773_20240611_0008_L_0355.jpg")</f>
        <v>5773_20240611_0008_L_0355.jpg</v>
      </c>
      <c r="G5776" s="92" t="s">
        <v>5975</v>
      </c>
      <c r="I5776">
        <v>4</v>
      </c>
      <c r="K5776" s="57">
        <v>1</v>
      </c>
      <c r="L5776" t="s">
        <v>3959</v>
      </c>
      <c r="M5776" t="s">
        <v>3959</v>
      </c>
      <c r="N5776" t="s">
        <v>3959</v>
      </c>
      <c r="O5776" t="s">
        <v>3959</v>
      </c>
      <c r="P5776" s="57">
        <v>1</v>
      </c>
      <c r="Q5776" s="57">
        <v>0</v>
      </c>
      <c r="R5776" s="57">
        <v>0</v>
      </c>
      <c r="S5776" s="57">
        <v>0</v>
      </c>
      <c r="T5776" s="57">
        <v>0</v>
      </c>
      <c r="U5776" s="57">
        <v>0</v>
      </c>
      <c r="V5776" s="57">
        <v>0</v>
      </c>
      <c r="W5776" s="57">
        <v>0</v>
      </c>
      <c r="X5776" s="57">
        <v>0</v>
      </c>
    </row>
    <row r="5777" spans="1:24" hidden="1" x14ac:dyDescent="0.35">
      <c r="A5777">
        <v>5773</v>
      </c>
      <c r="B5777">
        <v>5774</v>
      </c>
      <c r="C5777">
        <v>146.07080864400001</v>
      </c>
      <c r="D5777">
        <v>-17.6389427951</v>
      </c>
      <c r="F5777" t="str">
        <f>HYPERLINK("D:\Data From Lucan\2024\Moresby\Frames_for_Analysis/5774_20240611_0008_L_0358.jpg","5774_20240611_0008_L_0358.jpg")</f>
        <v>5774_20240611_0008_L_0358.jpg</v>
      </c>
      <c r="G5777" s="92" t="s">
        <v>5976</v>
      </c>
      <c r="I5777">
        <v>4</v>
      </c>
      <c r="K5777" s="57">
        <v>1</v>
      </c>
      <c r="L5777" t="s">
        <v>3959</v>
      </c>
      <c r="M5777" t="s">
        <v>3959</v>
      </c>
      <c r="N5777" t="s">
        <v>3959</v>
      </c>
      <c r="O5777" t="s">
        <v>3959</v>
      </c>
      <c r="P5777" s="57">
        <v>1</v>
      </c>
      <c r="Q5777" s="57">
        <v>0</v>
      </c>
      <c r="R5777" s="57">
        <v>0</v>
      </c>
      <c r="S5777" s="57">
        <v>0</v>
      </c>
      <c r="T5777" s="57">
        <v>0</v>
      </c>
      <c r="U5777" s="57">
        <v>0</v>
      </c>
      <c r="V5777" s="57">
        <v>0</v>
      </c>
      <c r="W5777" s="57">
        <v>0</v>
      </c>
      <c r="X5777" s="57">
        <v>0</v>
      </c>
    </row>
    <row r="5778" spans="1:24" hidden="1" x14ac:dyDescent="0.35">
      <c r="A5778">
        <v>5774</v>
      </c>
      <c r="B5778">
        <v>5775</v>
      </c>
      <c r="C5778">
        <v>146.07089539</v>
      </c>
      <c r="D5778">
        <v>-17.638920549800002</v>
      </c>
      <c r="F5778" t="str">
        <f>HYPERLINK("D:\Data From Lucan\2024\Moresby\Frames_for_Analysis/5775_20240611_0008_L_0360.jpg","5775_20240611_0008_L_0360.jpg")</f>
        <v>5775_20240611_0008_L_0360.jpg</v>
      </c>
      <c r="G5778" s="92" t="s">
        <v>5977</v>
      </c>
      <c r="I5778">
        <v>4</v>
      </c>
      <c r="K5778" s="57">
        <v>1</v>
      </c>
      <c r="L5778" t="s">
        <v>3959</v>
      </c>
      <c r="M5778" t="s">
        <v>3959</v>
      </c>
      <c r="N5778" t="s">
        <v>3959</v>
      </c>
      <c r="O5778" t="s">
        <v>3959</v>
      </c>
      <c r="P5778" s="57">
        <v>1</v>
      </c>
      <c r="Q5778" s="57">
        <v>0</v>
      </c>
      <c r="R5778" s="57">
        <v>0</v>
      </c>
      <c r="S5778" s="57">
        <v>0</v>
      </c>
      <c r="T5778" s="57">
        <v>0</v>
      </c>
      <c r="U5778" s="57">
        <v>0</v>
      </c>
      <c r="V5778" s="57">
        <v>0</v>
      </c>
      <c r="W5778" s="57">
        <v>0</v>
      </c>
      <c r="X5778" s="57">
        <v>0</v>
      </c>
    </row>
    <row r="5779" spans="1:24" hidden="1" x14ac:dyDescent="0.35">
      <c r="A5779">
        <v>5775</v>
      </c>
      <c r="B5779">
        <v>5776</v>
      </c>
      <c r="C5779">
        <v>146.070982135999</v>
      </c>
      <c r="D5779">
        <v>-17.6388983045</v>
      </c>
      <c r="F5779" t="str">
        <f>HYPERLINK("D:\Data From Lucan\2024\Moresby\Frames_for_Analysis/5776_20240611_0008_L_0363.jpg","5776_20240611_0008_L_0363.jpg")</f>
        <v>5776_20240611_0008_L_0363.jpg</v>
      </c>
      <c r="G5779" s="92" t="s">
        <v>5978</v>
      </c>
      <c r="I5779">
        <v>4</v>
      </c>
      <c r="K5779" s="57">
        <v>1</v>
      </c>
      <c r="L5779" t="s">
        <v>3959</v>
      </c>
      <c r="M5779" t="s">
        <v>3959</v>
      </c>
      <c r="N5779" t="s">
        <v>3959</v>
      </c>
      <c r="O5779" t="s">
        <v>3959</v>
      </c>
      <c r="P5779" s="57">
        <v>1</v>
      </c>
      <c r="Q5779" s="57">
        <v>0</v>
      </c>
      <c r="R5779" s="57">
        <v>0</v>
      </c>
      <c r="S5779" s="57">
        <v>0</v>
      </c>
      <c r="T5779" s="57">
        <v>0</v>
      </c>
      <c r="U5779" s="57">
        <v>0</v>
      </c>
      <c r="V5779" s="57">
        <v>0</v>
      </c>
      <c r="W5779" s="57">
        <v>0</v>
      </c>
      <c r="X5779" s="57">
        <v>0</v>
      </c>
    </row>
    <row r="5780" spans="1:24" hidden="1" x14ac:dyDescent="0.35">
      <c r="A5780">
        <v>5776</v>
      </c>
      <c r="B5780">
        <v>5777</v>
      </c>
      <c r="C5780">
        <v>146.071068881999</v>
      </c>
      <c r="D5780">
        <v>-17.638876059200001</v>
      </c>
      <c r="F5780" t="str">
        <f>HYPERLINK("D:\Data From Lucan\2024\Moresby\Frames_for_Analysis/5777_20240611_0008_L_0366.jpg","5777_20240611_0008_L_0366.jpg")</f>
        <v>5777_20240611_0008_L_0366.jpg</v>
      </c>
      <c r="G5780" s="92" t="s">
        <v>5979</v>
      </c>
      <c r="I5780">
        <v>4</v>
      </c>
      <c r="K5780" s="57">
        <v>1</v>
      </c>
      <c r="L5780" t="s">
        <v>3959</v>
      </c>
      <c r="M5780" t="s">
        <v>3959</v>
      </c>
      <c r="N5780" t="s">
        <v>3959</v>
      </c>
      <c r="O5780" t="s">
        <v>3959</v>
      </c>
      <c r="P5780" s="57">
        <v>1</v>
      </c>
      <c r="Q5780" s="57">
        <v>0</v>
      </c>
      <c r="R5780" s="57">
        <v>0</v>
      </c>
      <c r="S5780" s="57">
        <v>0</v>
      </c>
      <c r="T5780" s="57">
        <v>0</v>
      </c>
      <c r="U5780" s="57">
        <v>0</v>
      </c>
      <c r="V5780" s="57">
        <v>0</v>
      </c>
      <c r="W5780" s="57">
        <v>0</v>
      </c>
      <c r="X5780" s="57">
        <v>0</v>
      </c>
    </row>
    <row r="5781" spans="1:24" hidden="1" x14ac:dyDescent="0.35">
      <c r="A5781" s="68">
        <v>5777</v>
      </c>
      <c r="B5781" s="68">
        <v>5778</v>
      </c>
      <c r="C5781">
        <v>146.071155626999</v>
      </c>
      <c r="D5781">
        <v>-17.6388538138999</v>
      </c>
      <c r="E5781" s="68"/>
      <c r="F5781" s="68" t="str">
        <f>HYPERLINK("D:\Data From Lucan\2024\Moresby\Frames_for_Analysis/5778_20240611_0008_L_0368.jpg","5778_20240611_0008_L_0368.jpg")</f>
        <v>5778_20240611_0008_L_0368.jpg</v>
      </c>
      <c r="G5781" s="92" t="s">
        <v>5980</v>
      </c>
      <c r="I5781">
        <v>4</v>
      </c>
      <c r="J5781" s="68"/>
      <c r="K5781" s="68">
        <v>0</v>
      </c>
      <c r="L5781" t="s">
        <v>3959</v>
      </c>
      <c r="M5781" t="s">
        <v>3959</v>
      </c>
      <c r="N5781" t="s">
        <v>3959</v>
      </c>
      <c r="O5781" t="s">
        <v>3959</v>
      </c>
      <c r="P5781" s="57">
        <v>1</v>
      </c>
      <c r="Q5781" s="57">
        <v>0</v>
      </c>
      <c r="R5781" s="57">
        <v>0</v>
      </c>
      <c r="S5781" s="57">
        <v>0</v>
      </c>
      <c r="T5781" s="57">
        <v>0</v>
      </c>
      <c r="U5781" s="57">
        <v>0</v>
      </c>
      <c r="V5781" s="57">
        <v>0</v>
      </c>
      <c r="W5781" s="57">
        <v>0</v>
      </c>
      <c r="X5781" s="57">
        <v>0</v>
      </c>
    </row>
    <row r="5782" spans="1:24" hidden="1" x14ac:dyDescent="0.35">
      <c r="A5782" s="68">
        <v>5778</v>
      </c>
      <c r="B5782" s="68">
        <v>5779</v>
      </c>
      <c r="C5782">
        <v>146.071242372999</v>
      </c>
      <c r="D5782">
        <v>-17.638831568600001</v>
      </c>
      <c r="E5782" s="68"/>
      <c r="F5782" s="68" t="str">
        <f>HYPERLINK("D:\Data From Lucan\2024\Moresby\Frames_for_Analysis/5779_20240611_0008_L_0372.jpg","5779_20240611_0008_L_0372.jpg")</f>
        <v>5779_20240611_0008_L_0372.jpg</v>
      </c>
      <c r="G5782" s="92" t="s">
        <v>5981</v>
      </c>
      <c r="I5782">
        <v>4</v>
      </c>
      <c r="J5782" s="68"/>
      <c r="K5782" s="68">
        <v>0</v>
      </c>
      <c r="L5782" t="s">
        <v>3959</v>
      </c>
      <c r="M5782" t="s">
        <v>3959</v>
      </c>
      <c r="N5782" t="s">
        <v>3959</v>
      </c>
      <c r="O5782" t="s">
        <v>3959</v>
      </c>
      <c r="P5782" s="57">
        <v>1</v>
      </c>
      <c r="Q5782" s="57">
        <v>0</v>
      </c>
      <c r="R5782" s="57">
        <v>0</v>
      </c>
      <c r="S5782" s="57">
        <v>0</v>
      </c>
      <c r="T5782" s="57">
        <v>0</v>
      </c>
      <c r="U5782" s="57">
        <v>0</v>
      </c>
      <c r="V5782" s="57">
        <v>0</v>
      </c>
      <c r="W5782" s="57">
        <v>0</v>
      </c>
      <c r="X5782" s="57">
        <v>0</v>
      </c>
    </row>
    <row r="5783" spans="1:24" hidden="1" x14ac:dyDescent="0.35">
      <c r="A5783" s="68">
        <v>5779</v>
      </c>
      <c r="B5783" s="68">
        <v>5780</v>
      </c>
      <c r="C5783">
        <v>146.07132911900001</v>
      </c>
      <c r="D5783">
        <v>-17.638809323299899</v>
      </c>
      <c r="E5783" s="68"/>
      <c r="F5783" s="68" t="str">
        <f>HYPERLINK("D:\Data From Lucan\2024\Moresby\Frames_for_Analysis/5780_20240611_0008_L_0374.jpg","5780_20240611_0008_L_0374.jpg")</f>
        <v>5780_20240611_0008_L_0374.jpg</v>
      </c>
      <c r="G5783" s="92" t="s">
        <v>5982</v>
      </c>
      <c r="I5783">
        <v>4</v>
      </c>
      <c r="J5783" s="68"/>
      <c r="K5783" s="68">
        <v>0</v>
      </c>
      <c r="L5783" t="s">
        <v>3959</v>
      </c>
      <c r="M5783" t="s">
        <v>3959</v>
      </c>
      <c r="N5783" t="s">
        <v>3959</v>
      </c>
      <c r="O5783" t="s">
        <v>3959</v>
      </c>
      <c r="P5783" s="57">
        <v>1</v>
      </c>
      <c r="Q5783" s="57">
        <v>0</v>
      </c>
      <c r="R5783" s="57">
        <v>0</v>
      </c>
      <c r="S5783" s="57">
        <v>0</v>
      </c>
      <c r="T5783" s="57">
        <v>0</v>
      </c>
      <c r="U5783" s="57">
        <v>0</v>
      </c>
      <c r="V5783" s="57">
        <v>0</v>
      </c>
      <c r="W5783" s="57">
        <v>0</v>
      </c>
      <c r="X5783" s="57">
        <v>0</v>
      </c>
    </row>
    <row r="5784" spans="1:24" hidden="1" x14ac:dyDescent="0.35">
      <c r="A5784" s="68">
        <v>5780</v>
      </c>
      <c r="B5784" s="68">
        <v>5781</v>
      </c>
      <c r="C5784">
        <v>146.071417007999</v>
      </c>
      <c r="D5784">
        <v>-17.638791999199899</v>
      </c>
      <c r="E5784" s="68"/>
      <c r="F5784" s="68" t="str">
        <f>HYPERLINK("D:\Data From Lucan\2024\Moresby\Frames_for_Analysis/5781_20240611_0008_L_0377.jpg","5781_20240611_0008_L_0377.jpg")</f>
        <v>5781_20240611_0008_L_0377.jpg</v>
      </c>
      <c r="G5784" s="92" t="s">
        <v>5983</v>
      </c>
      <c r="I5784">
        <v>4</v>
      </c>
      <c r="J5784" s="68"/>
      <c r="K5784" s="68">
        <v>0</v>
      </c>
      <c r="L5784" t="s">
        <v>3959</v>
      </c>
      <c r="M5784" t="s">
        <v>3959</v>
      </c>
      <c r="N5784" t="s">
        <v>3959</v>
      </c>
      <c r="O5784" t="s">
        <v>3959</v>
      </c>
      <c r="P5784" s="57">
        <v>1</v>
      </c>
      <c r="Q5784" s="57">
        <v>0</v>
      </c>
      <c r="R5784" s="57">
        <v>0</v>
      </c>
      <c r="S5784" s="57">
        <v>0</v>
      </c>
      <c r="T5784" s="57">
        <v>0</v>
      </c>
      <c r="U5784" s="57">
        <v>0</v>
      </c>
      <c r="V5784" s="57">
        <v>0</v>
      </c>
      <c r="W5784" s="57">
        <v>0</v>
      </c>
      <c r="X5784" s="57">
        <v>0</v>
      </c>
    </row>
    <row r="5785" spans="1:24" hidden="1" x14ac:dyDescent="0.35">
      <c r="A5785" s="68">
        <v>5781</v>
      </c>
      <c r="B5785" s="68">
        <v>5782</v>
      </c>
      <c r="C5785">
        <v>146.071505497</v>
      </c>
      <c r="D5785">
        <v>-17.638777253299899</v>
      </c>
      <c r="E5785" s="68"/>
      <c r="F5785" s="68" t="str">
        <f>HYPERLINK("D:\Data From Lucan\2024\Moresby\Frames_for_Analysis/5782_20240611_0008_L_0380.jpg","5782_20240611_0008_L_0380.jpg")</f>
        <v>5782_20240611_0008_L_0380.jpg</v>
      </c>
      <c r="G5785" s="92" t="s">
        <v>5984</v>
      </c>
      <c r="I5785">
        <v>4</v>
      </c>
      <c r="J5785" s="68"/>
      <c r="K5785" s="68">
        <v>0</v>
      </c>
      <c r="L5785" t="s">
        <v>3959</v>
      </c>
      <c r="M5785" t="s">
        <v>3959</v>
      </c>
      <c r="N5785" t="s">
        <v>3959</v>
      </c>
      <c r="O5785" t="s">
        <v>3959</v>
      </c>
      <c r="P5785" s="57">
        <v>1</v>
      </c>
      <c r="Q5785" s="57">
        <v>0</v>
      </c>
      <c r="R5785" s="57">
        <v>0</v>
      </c>
      <c r="S5785" s="57">
        <v>0</v>
      </c>
      <c r="T5785" s="57">
        <v>0</v>
      </c>
      <c r="U5785" s="57">
        <v>0</v>
      </c>
      <c r="V5785" s="57">
        <v>0</v>
      </c>
      <c r="W5785" s="57">
        <v>0</v>
      </c>
      <c r="X5785" s="57">
        <v>0</v>
      </c>
    </row>
    <row r="5786" spans="1:24" hidden="1" x14ac:dyDescent="0.35">
      <c r="A5786" s="68">
        <v>5782</v>
      </c>
      <c r="B5786" s="68">
        <v>5783</v>
      </c>
      <c r="C5786">
        <v>146.07159398600001</v>
      </c>
      <c r="D5786">
        <v>-17.638762507300001</v>
      </c>
      <c r="E5786" s="68"/>
      <c r="F5786" s="68" t="str">
        <f>HYPERLINK("D:\Data From Lucan\2024\Moresby\Frames_for_Analysis/5783_20240611_0008_L_0383.jpg","5783_20240611_0008_L_0383.jpg")</f>
        <v>5783_20240611_0008_L_0383.jpg</v>
      </c>
      <c r="G5786" s="92" t="s">
        <v>5985</v>
      </c>
      <c r="I5786">
        <v>4</v>
      </c>
      <c r="J5786" s="68"/>
      <c r="K5786" s="68">
        <v>0</v>
      </c>
      <c r="L5786" t="s">
        <v>3959</v>
      </c>
      <c r="M5786" t="s">
        <v>3959</v>
      </c>
      <c r="N5786" t="s">
        <v>3959</v>
      </c>
      <c r="O5786" t="s">
        <v>3959</v>
      </c>
      <c r="P5786" s="57">
        <v>1</v>
      </c>
      <c r="Q5786" s="57">
        <v>0</v>
      </c>
      <c r="R5786" s="57">
        <v>0</v>
      </c>
      <c r="S5786" s="57">
        <v>0</v>
      </c>
      <c r="T5786" s="57">
        <v>0</v>
      </c>
      <c r="U5786" s="57">
        <v>0</v>
      </c>
      <c r="V5786" s="57">
        <v>0</v>
      </c>
      <c r="W5786" s="57">
        <v>0</v>
      </c>
      <c r="X5786" s="57">
        <v>0</v>
      </c>
    </row>
    <row r="5787" spans="1:24" hidden="1" x14ac:dyDescent="0.35">
      <c r="A5787" s="68">
        <v>5783</v>
      </c>
      <c r="B5787" s="68">
        <v>5784</v>
      </c>
      <c r="C5787">
        <v>146.07168247499899</v>
      </c>
      <c r="D5787">
        <v>-17.638747761400001</v>
      </c>
      <c r="E5787" s="68"/>
      <c r="F5787" s="68" t="str">
        <f>HYPERLINK("D:\Data From Lucan\2024\Moresby\Frames_for_Analysis/5784_20240611_0008_L_0385.jpg","5784_20240611_0008_L_0385.jpg")</f>
        <v>5784_20240611_0008_L_0385.jpg</v>
      </c>
      <c r="G5787" s="92" t="s">
        <v>5986</v>
      </c>
      <c r="I5787">
        <v>4</v>
      </c>
      <c r="J5787" s="68"/>
      <c r="K5787" s="68">
        <v>0</v>
      </c>
      <c r="L5787" t="s">
        <v>3959</v>
      </c>
      <c r="M5787" t="s">
        <v>3959</v>
      </c>
      <c r="N5787" t="s">
        <v>3959</v>
      </c>
      <c r="O5787" t="s">
        <v>3959</v>
      </c>
      <c r="P5787" s="57">
        <v>1</v>
      </c>
      <c r="Q5787" s="57">
        <v>0</v>
      </c>
      <c r="R5787" s="57">
        <v>0</v>
      </c>
      <c r="S5787" s="57">
        <v>0</v>
      </c>
      <c r="T5787" s="57">
        <v>0</v>
      </c>
      <c r="U5787" s="57">
        <v>0</v>
      </c>
      <c r="V5787" s="57">
        <v>0</v>
      </c>
      <c r="W5787" s="57">
        <v>0</v>
      </c>
      <c r="X5787" s="57">
        <v>0</v>
      </c>
    </row>
    <row r="5788" spans="1:24" hidden="1" x14ac:dyDescent="0.35">
      <c r="A5788" s="68">
        <v>5784</v>
      </c>
      <c r="B5788" s="68">
        <v>5785</v>
      </c>
      <c r="C5788">
        <v>146.071770963999</v>
      </c>
      <c r="D5788">
        <v>-17.638733015500001</v>
      </c>
      <c r="E5788" s="68"/>
      <c r="F5788" s="68" t="str">
        <f>HYPERLINK("D:\Data From Lucan\2024\Moresby\Frames_for_Analysis/5785_20240611_0008_L_0388.jpg","5785_20240611_0008_L_0388.jpg")</f>
        <v>5785_20240611_0008_L_0388.jpg</v>
      </c>
      <c r="G5788" s="92" t="s">
        <v>5987</v>
      </c>
      <c r="I5788">
        <v>4</v>
      </c>
      <c r="J5788" s="68"/>
      <c r="K5788" s="68">
        <v>0</v>
      </c>
      <c r="L5788" t="s">
        <v>3959</v>
      </c>
      <c r="M5788" t="s">
        <v>3959</v>
      </c>
      <c r="N5788" t="s">
        <v>3959</v>
      </c>
      <c r="O5788" t="s">
        <v>3959</v>
      </c>
      <c r="P5788" s="57">
        <v>1</v>
      </c>
      <c r="Q5788" s="57">
        <v>0</v>
      </c>
      <c r="R5788" s="57">
        <v>0</v>
      </c>
      <c r="S5788" s="57">
        <v>0</v>
      </c>
      <c r="T5788" s="57">
        <v>0</v>
      </c>
      <c r="U5788" s="57">
        <v>0</v>
      </c>
      <c r="V5788" s="57">
        <v>0</v>
      </c>
      <c r="W5788" s="57">
        <v>0</v>
      </c>
      <c r="X5788" s="57">
        <v>0</v>
      </c>
    </row>
    <row r="5789" spans="1:24" hidden="1" x14ac:dyDescent="0.35">
      <c r="A5789" s="68">
        <v>5785</v>
      </c>
      <c r="B5789" s="68">
        <v>5786</v>
      </c>
      <c r="C5789">
        <v>146.071859453</v>
      </c>
      <c r="D5789">
        <v>-17.6387182695</v>
      </c>
      <c r="E5789" s="68"/>
      <c r="F5789" s="68" t="str">
        <f>HYPERLINK("D:\Data From Lucan\2024\Moresby\Frames_for_Analysis/5786_20240611_0008_L_0390.jpg","5786_20240611_0008_L_0390.jpg")</f>
        <v>5786_20240611_0008_L_0390.jpg</v>
      </c>
      <c r="G5789" s="92" t="s">
        <v>5988</v>
      </c>
      <c r="I5789">
        <v>4</v>
      </c>
      <c r="J5789" s="68"/>
      <c r="K5789" s="68">
        <v>0</v>
      </c>
      <c r="L5789" t="s">
        <v>3959</v>
      </c>
      <c r="M5789" t="s">
        <v>3959</v>
      </c>
      <c r="N5789" t="s">
        <v>3959</v>
      </c>
      <c r="O5789" t="s">
        <v>3959</v>
      </c>
      <c r="P5789" s="57">
        <v>1</v>
      </c>
      <c r="Q5789" s="57">
        <v>0</v>
      </c>
      <c r="R5789" s="57">
        <v>0</v>
      </c>
      <c r="S5789" s="57">
        <v>0</v>
      </c>
      <c r="T5789" s="57">
        <v>0</v>
      </c>
      <c r="U5789" s="57">
        <v>0</v>
      </c>
      <c r="V5789" s="57">
        <v>0</v>
      </c>
      <c r="W5789" s="57">
        <v>0</v>
      </c>
      <c r="X5789" s="57">
        <v>0</v>
      </c>
    </row>
    <row r="5790" spans="1:24" hidden="1" x14ac:dyDescent="0.35">
      <c r="A5790" s="68">
        <v>5786</v>
      </c>
      <c r="B5790" s="68">
        <v>5787</v>
      </c>
      <c r="C5790">
        <v>146.071947940999</v>
      </c>
      <c r="D5790">
        <v>-17.6387035236</v>
      </c>
      <c r="E5790" s="68"/>
      <c r="F5790" s="68" t="str">
        <f>HYPERLINK("D:\Data From Lucan\2024\Moresby\Frames_for_Analysis/5787_20240611_0008_L_0393.jpg","5787_20240611_0008_L_0393.jpg")</f>
        <v>5787_20240611_0008_L_0393.jpg</v>
      </c>
      <c r="G5790" s="92" t="s">
        <v>5989</v>
      </c>
      <c r="I5790">
        <v>4</v>
      </c>
      <c r="J5790" s="68"/>
      <c r="K5790" s="68">
        <v>0</v>
      </c>
      <c r="L5790" t="s">
        <v>3959</v>
      </c>
      <c r="M5790" t="s">
        <v>3959</v>
      </c>
      <c r="N5790" t="s">
        <v>3959</v>
      </c>
      <c r="O5790" t="s">
        <v>3959</v>
      </c>
      <c r="P5790" s="57">
        <v>1</v>
      </c>
      <c r="Q5790" s="57">
        <v>0</v>
      </c>
      <c r="R5790" s="57">
        <v>0</v>
      </c>
      <c r="S5790" s="57">
        <v>0</v>
      </c>
      <c r="T5790" s="57">
        <v>0</v>
      </c>
      <c r="U5790" s="57">
        <v>0</v>
      </c>
      <c r="V5790" s="57">
        <v>0</v>
      </c>
      <c r="W5790" s="57">
        <v>0</v>
      </c>
      <c r="X5790" s="57">
        <v>0</v>
      </c>
    </row>
    <row r="5791" spans="1:24" hidden="1" x14ac:dyDescent="0.35">
      <c r="A5791" s="68">
        <v>5787</v>
      </c>
      <c r="B5791" s="68">
        <v>5788</v>
      </c>
      <c r="C5791">
        <v>146.072036429999</v>
      </c>
      <c r="D5791">
        <v>-17.638688777599899</v>
      </c>
      <c r="E5791" s="68"/>
      <c r="F5791" s="68" t="str">
        <f>HYPERLINK("D:\Data From Lucan\2024\Moresby\Frames_for_Analysis/5788_20240611_0008_L_0396.jpg","5788_20240611_0008_L_0396.jpg")</f>
        <v>5788_20240611_0008_L_0396.jpg</v>
      </c>
      <c r="G5791" s="92" t="s">
        <v>5990</v>
      </c>
      <c r="I5791">
        <v>4</v>
      </c>
      <c r="J5791" s="68"/>
      <c r="K5791" s="68">
        <v>0</v>
      </c>
      <c r="L5791" t="s">
        <v>3959</v>
      </c>
      <c r="M5791" t="s">
        <v>3959</v>
      </c>
      <c r="N5791" t="s">
        <v>3959</v>
      </c>
      <c r="O5791" t="s">
        <v>3959</v>
      </c>
      <c r="P5791" s="57">
        <v>1</v>
      </c>
      <c r="Q5791" s="57">
        <v>0</v>
      </c>
      <c r="R5791" s="57">
        <v>0</v>
      </c>
      <c r="S5791" s="57">
        <v>0</v>
      </c>
      <c r="T5791" s="57">
        <v>0</v>
      </c>
      <c r="U5791" s="57">
        <v>0</v>
      </c>
      <c r="V5791" s="57">
        <v>0</v>
      </c>
      <c r="W5791" s="57">
        <v>0</v>
      </c>
      <c r="X5791" s="57">
        <v>0</v>
      </c>
    </row>
    <row r="5792" spans="1:24" hidden="1" x14ac:dyDescent="0.35">
      <c r="A5792" s="68">
        <v>5788</v>
      </c>
      <c r="B5792" s="68">
        <v>5789</v>
      </c>
      <c r="C5792">
        <v>146.072124919</v>
      </c>
      <c r="D5792">
        <v>-17.6386740316999</v>
      </c>
      <c r="E5792" s="68"/>
      <c r="F5792" s="68" t="str">
        <f>HYPERLINK("D:\Data From Lucan\2024\Moresby\Frames_for_Analysis/5789_20240611_0008_L_0398.jpg","5789_20240611_0008_L_0398.jpg")</f>
        <v>5789_20240611_0008_L_0398.jpg</v>
      </c>
      <c r="G5792" s="92" t="s">
        <v>5991</v>
      </c>
      <c r="I5792">
        <v>4</v>
      </c>
      <c r="J5792" s="68"/>
      <c r="K5792" s="68">
        <v>0</v>
      </c>
      <c r="L5792" t="s">
        <v>3959</v>
      </c>
      <c r="M5792" t="s">
        <v>3959</v>
      </c>
      <c r="N5792" t="s">
        <v>3959</v>
      </c>
      <c r="O5792" t="s">
        <v>3959</v>
      </c>
      <c r="P5792" s="57">
        <v>1</v>
      </c>
      <c r="Q5792" s="57">
        <v>0</v>
      </c>
      <c r="R5792" s="57">
        <v>0</v>
      </c>
      <c r="S5792" s="57">
        <v>0</v>
      </c>
      <c r="T5792" s="57">
        <v>0</v>
      </c>
      <c r="U5792" s="57">
        <v>0</v>
      </c>
      <c r="V5792" s="57">
        <v>0</v>
      </c>
      <c r="W5792" s="57">
        <v>0</v>
      </c>
      <c r="X5792" s="57">
        <v>0</v>
      </c>
    </row>
    <row r="5793" spans="1:24" hidden="1" x14ac:dyDescent="0.35">
      <c r="A5793" s="68">
        <v>5789</v>
      </c>
      <c r="B5793" s="68">
        <v>5790</v>
      </c>
      <c r="C5793">
        <v>146.07221357399899</v>
      </c>
      <c r="D5793">
        <v>-17.6386607978</v>
      </c>
      <c r="E5793" s="68"/>
      <c r="F5793" s="68" t="str">
        <f>HYPERLINK("D:\Data From Lucan\2024\Moresby\Frames_for_Analysis/5790_20240611_0008_L_0401.jpg","5790_20240611_0008_L_0401.jpg")</f>
        <v>5790_20240611_0008_L_0401.jpg</v>
      </c>
      <c r="G5793" s="92" t="s">
        <v>5992</v>
      </c>
      <c r="I5793">
        <v>4</v>
      </c>
      <c r="J5793" s="68"/>
      <c r="K5793" s="68">
        <v>0</v>
      </c>
      <c r="L5793" t="s">
        <v>3959</v>
      </c>
      <c r="M5793" t="s">
        <v>3959</v>
      </c>
      <c r="N5793" t="s">
        <v>3959</v>
      </c>
      <c r="O5793" t="s">
        <v>3959</v>
      </c>
      <c r="P5793" s="57">
        <v>1</v>
      </c>
      <c r="Q5793" s="57">
        <v>0</v>
      </c>
      <c r="R5793" s="57">
        <v>0</v>
      </c>
      <c r="S5793" s="57">
        <v>0</v>
      </c>
      <c r="T5793" s="57">
        <v>0</v>
      </c>
      <c r="U5793" s="57">
        <v>0</v>
      </c>
      <c r="V5793" s="57">
        <v>0</v>
      </c>
      <c r="W5793" s="57">
        <v>0</v>
      </c>
      <c r="X5793" s="57">
        <v>0</v>
      </c>
    </row>
    <row r="5794" spans="1:24" hidden="1" x14ac:dyDescent="0.35">
      <c r="A5794" s="68">
        <v>5790</v>
      </c>
      <c r="B5794" s="68">
        <v>5791</v>
      </c>
      <c r="C5794">
        <v>146.072303349999</v>
      </c>
      <c r="D5794">
        <v>-17.638657777399899</v>
      </c>
      <c r="E5794" s="68"/>
      <c r="F5794" s="68" t="str">
        <f>HYPERLINK("D:\Data From Lucan\2024\Moresby\Frames_for_Analysis/5791_20240611_0008_L_0403.jpg","5791_20240611_0008_L_0403.jpg")</f>
        <v>5791_20240611_0008_L_0403.jpg</v>
      </c>
      <c r="G5794" s="92" t="s">
        <v>5993</v>
      </c>
      <c r="I5794">
        <v>4</v>
      </c>
      <c r="J5794" s="68"/>
      <c r="K5794" s="68">
        <v>0</v>
      </c>
      <c r="L5794" t="s">
        <v>3959</v>
      </c>
      <c r="M5794" t="s">
        <v>3959</v>
      </c>
      <c r="N5794" t="s">
        <v>3959</v>
      </c>
      <c r="O5794" t="s">
        <v>3959</v>
      </c>
      <c r="P5794" s="57">
        <v>1</v>
      </c>
      <c r="Q5794" s="57">
        <v>0</v>
      </c>
      <c r="R5794" s="57">
        <v>0</v>
      </c>
      <c r="S5794" s="57">
        <v>0</v>
      </c>
      <c r="T5794" s="57">
        <v>0</v>
      </c>
      <c r="U5794" s="57">
        <v>0</v>
      </c>
      <c r="V5794" s="57">
        <v>0</v>
      </c>
      <c r="W5794" s="57">
        <v>0</v>
      </c>
      <c r="X5794" s="57">
        <v>0</v>
      </c>
    </row>
    <row r="5795" spans="1:24" hidden="1" x14ac:dyDescent="0.35">
      <c r="A5795" s="68">
        <v>5791</v>
      </c>
      <c r="B5795" s="68">
        <v>5792</v>
      </c>
      <c r="C5795">
        <v>146.072393124999</v>
      </c>
      <c r="D5795">
        <v>-17.638654757000001</v>
      </c>
      <c r="E5795" s="68"/>
      <c r="F5795" s="68" t="str">
        <f>HYPERLINK("D:\Data From Lucan\2024\Moresby\Frames_for_Analysis/5792_20240611_0008_L_0405.jpg","5792_20240611_0008_L_0405.jpg")</f>
        <v>5792_20240611_0008_L_0405.jpg</v>
      </c>
      <c r="G5795" s="92" t="s">
        <v>5994</v>
      </c>
      <c r="I5795">
        <v>4</v>
      </c>
      <c r="J5795" s="68"/>
      <c r="K5795" s="68">
        <v>0</v>
      </c>
      <c r="L5795" t="s">
        <v>3959</v>
      </c>
      <c r="M5795" t="s">
        <v>3959</v>
      </c>
      <c r="N5795" t="s">
        <v>3959</v>
      </c>
      <c r="O5795" t="s">
        <v>3959</v>
      </c>
      <c r="P5795" s="57">
        <v>1</v>
      </c>
      <c r="Q5795" s="57">
        <v>0</v>
      </c>
      <c r="R5795" s="57">
        <v>0</v>
      </c>
      <c r="S5795" s="57">
        <v>0</v>
      </c>
      <c r="T5795" s="57">
        <v>0</v>
      </c>
      <c r="U5795" s="57">
        <v>0</v>
      </c>
      <c r="V5795" s="57">
        <v>0</v>
      </c>
      <c r="W5795" s="57">
        <v>0</v>
      </c>
      <c r="X5795" s="57">
        <v>0</v>
      </c>
    </row>
    <row r="5796" spans="1:24" hidden="1" x14ac:dyDescent="0.35">
      <c r="A5796" s="68">
        <v>5792</v>
      </c>
      <c r="B5796" s="68">
        <v>5793</v>
      </c>
      <c r="C5796">
        <v>146.072482901</v>
      </c>
      <c r="D5796">
        <v>-17.6386517366</v>
      </c>
      <c r="E5796" s="68"/>
      <c r="F5796" s="68" t="str">
        <f>HYPERLINK("D:\Data From Lucan\2024\Moresby\Frames_for_Analysis/5793_20240611_0008_L_0408.jpg","5793_20240611_0008_L_0408.jpg")</f>
        <v>5793_20240611_0008_L_0408.jpg</v>
      </c>
      <c r="G5796" s="92" t="s">
        <v>5995</v>
      </c>
      <c r="I5796">
        <v>4</v>
      </c>
      <c r="J5796" s="68"/>
      <c r="K5796" s="68">
        <v>0</v>
      </c>
      <c r="L5796" t="s">
        <v>3959</v>
      </c>
      <c r="M5796" t="s">
        <v>3959</v>
      </c>
      <c r="N5796" t="s">
        <v>3959</v>
      </c>
      <c r="O5796" t="s">
        <v>3959</v>
      </c>
      <c r="P5796" s="57">
        <v>1</v>
      </c>
      <c r="Q5796" s="57">
        <v>0</v>
      </c>
      <c r="R5796" s="57">
        <v>0</v>
      </c>
      <c r="S5796" s="57">
        <v>0</v>
      </c>
      <c r="T5796" s="57">
        <v>0</v>
      </c>
      <c r="U5796" s="57">
        <v>0</v>
      </c>
      <c r="V5796" s="57">
        <v>0</v>
      </c>
      <c r="W5796" s="57">
        <v>0</v>
      </c>
      <c r="X5796" s="57">
        <v>0</v>
      </c>
    </row>
    <row r="5797" spans="1:24" hidden="1" x14ac:dyDescent="0.35">
      <c r="A5797" s="68">
        <v>5793</v>
      </c>
      <c r="B5797" s="68">
        <v>5794</v>
      </c>
      <c r="C5797">
        <v>146.072572675999</v>
      </c>
      <c r="D5797">
        <v>-17.638648716199899</v>
      </c>
      <c r="E5797" s="68"/>
      <c r="F5797" s="68" t="str">
        <f>HYPERLINK("D:\Data From Lucan\2024\Moresby\Frames_for_Analysis/5794_20240611_0008_L_0411.jpg","5794_20240611_0008_L_0411.jpg")</f>
        <v>5794_20240611_0008_L_0411.jpg</v>
      </c>
      <c r="G5797" s="92" t="s">
        <v>5996</v>
      </c>
      <c r="I5797">
        <v>4</v>
      </c>
      <c r="J5797" s="68"/>
      <c r="K5797" s="68">
        <v>0</v>
      </c>
      <c r="L5797" t="s">
        <v>3959</v>
      </c>
      <c r="M5797" t="s">
        <v>3959</v>
      </c>
      <c r="N5797" t="s">
        <v>3959</v>
      </c>
      <c r="O5797" t="s">
        <v>3959</v>
      </c>
      <c r="P5797" s="57">
        <v>1</v>
      </c>
      <c r="Q5797" s="57">
        <v>0</v>
      </c>
      <c r="R5797" s="57">
        <v>0</v>
      </c>
      <c r="S5797" s="57">
        <v>0</v>
      </c>
      <c r="T5797" s="57">
        <v>0</v>
      </c>
      <c r="U5797" s="57">
        <v>0</v>
      </c>
      <c r="V5797" s="57">
        <v>0</v>
      </c>
      <c r="W5797" s="57">
        <v>0</v>
      </c>
      <c r="X5797" s="57">
        <v>0</v>
      </c>
    </row>
    <row r="5798" spans="1:24" hidden="1" x14ac:dyDescent="0.35">
      <c r="A5798" s="68">
        <v>5794</v>
      </c>
      <c r="B5798" s="68">
        <v>5795</v>
      </c>
      <c r="C5798">
        <v>146.072662452</v>
      </c>
      <c r="D5798">
        <v>-17.638645695800001</v>
      </c>
      <c r="E5798" s="68"/>
      <c r="F5798" s="68" t="str">
        <f>HYPERLINK("D:\Data From Lucan\2024\Moresby\Frames_for_Analysis/5795_20240611_0008_L_0413.jpg","5795_20240611_0008_L_0413.jpg")</f>
        <v>5795_20240611_0008_L_0413.jpg</v>
      </c>
      <c r="G5798" s="92" t="s">
        <v>5997</v>
      </c>
      <c r="I5798">
        <v>4</v>
      </c>
      <c r="J5798" s="68"/>
      <c r="K5798" s="68">
        <v>0</v>
      </c>
      <c r="L5798" t="s">
        <v>3959</v>
      </c>
      <c r="M5798" t="s">
        <v>3959</v>
      </c>
      <c r="N5798" t="s">
        <v>3959</v>
      </c>
      <c r="O5798" t="s">
        <v>3959</v>
      </c>
      <c r="P5798" s="57">
        <v>1</v>
      </c>
      <c r="Q5798" s="57">
        <v>0</v>
      </c>
      <c r="R5798" s="57">
        <v>0</v>
      </c>
      <c r="S5798" s="57">
        <v>0</v>
      </c>
      <c r="T5798" s="57">
        <v>0</v>
      </c>
      <c r="U5798" s="57">
        <v>0</v>
      </c>
      <c r="V5798" s="57">
        <v>0</v>
      </c>
      <c r="W5798" s="57">
        <v>0</v>
      </c>
      <c r="X5798" s="57">
        <v>0</v>
      </c>
    </row>
    <row r="5799" spans="1:24" hidden="1" x14ac:dyDescent="0.35">
      <c r="A5799" s="68">
        <v>5795</v>
      </c>
      <c r="B5799" s="68">
        <v>5796</v>
      </c>
      <c r="C5799">
        <v>146.07275222800001</v>
      </c>
      <c r="D5799">
        <v>-17.6386426754</v>
      </c>
      <c r="E5799" s="68"/>
      <c r="F5799" s="68" t="str">
        <f>HYPERLINK("D:\Data From Lucan\2024\Moresby\Frames_for_Analysis/5796_20240611_0008_L_0416.jpg","5796_20240611_0008_L_0416.jpg")</f>
        <v>5796_20240611_0008_L_0416.jpg</v>
      </c>
      <c r="G5799" s="92" t="s">
        <v>5998</v>
      </c>
      <c r="I5799">
        <v>4</v>
      </c>
      <c r="J5799" s="68"/>
      <c r="K5799" s="68">
        <v>0</v>
      </c>
      <c r="L5799" t="s">
        <v>3959</v>
      </c>
      <c r="M5799" t="s">
        <v>3959</v>
      </c>
      <c r="N5799" t="s">
        <v>3959</v>
      </c>
      <c r="O5799" t="s">
        <v>3959</v>
      </c>
      <c r="P5799" s="57">
        <v>1</v>
      </c>
      <c r="Q5799" s="57">
        <v>0</v>
      </c>
      <c r="R5799" s="57">
        <v>0</v>
      </c>
      <c r="S5799" s="57">
        <v>0</v>
      </c>
      <c r="T5799" s="57">
        <v>0</v>
      </c>
      <c r="U5799" s="57">
        <v>0</v>
      </c>
      <c r="V5799" s="57">
        <v>0</v>
      </c>
      <c r="W5799" s="57">
        <v>0</v>
      </c>
      <c r="X5799" s="57">
        <v>0</v>
      </c>
    </row>
    <row r="5800" spans="1:24" hidden="1" x14ac:dyDescent="0.35">
      <c r="A5800" s="68">
        <v>5796</v>
      </c>
      <c r="B5800" s="68">
        <v>5797</v>
      </c>
      <c r="C5800">
        <v>146.07284200300001</v>
      </c>
      <c r="D5800">
        <v>-17.6386396549</v>
      </c>
      <c r="E5800" s="68"/>
      <c r="F5800" s="68" t="str">
        <f>HYPERLINK("D:\Data From Lucan\2024\Moresby\Frames_for_Analysis/5797_20240611_0008_L_0418.jpg","5797_20240611_0008_L_0418.jpg")</f>
        <v>5797_20240611_0008_L_0418.jpg</v>
      </c>
      <c r="G5800" s="92" t="s">
        <v>5999</v>
      </c>
      <c r="I5800">
        <v>4</v>
      </c>
      <c r="J5800" s="68"/>
      <c r="K5800" s="68">
        <v>0</v>
      </c>
      <c r="L5800" t="s">
        <v>3959</v>
      </c>
      <c r="M5800" t="s">
        <v>3959</v>
      </c>
      <c r="N5800" t="s">
        <v>3959</v>
      </c>
      <c r="O5800" t="s">
        <v>3959</v>
      </c>
      <c r="P5800" s="57">
        <v>1</v>
      </c>
      <c r="Q5800" s="57">
        <v>0</v>
      </c>
      <c r="R5800" s="57">
        <v>0</v>
      </c>
      <c r="S5800" s="57">
        <v>0</v>
      </c>
      <c r="T5800" s="57">
        <v>0</v>
      </c>
      <c r="U5800" s="57">
        <v>0</v>
      </c>
      <c r="V5800" s="57">
        <v>0</v>
      </c>
      <c r="W5800" s="57">
        <v>0</v>
      </c>
      <c r="X5800" s="57">
        <v>0</v>
      </c>
    </row>
    <row r="5801" spans="1:24" hidden="1" x14ac:dyDescent="0.35">
      <c r="A5801" s="68">
        <v>5797</v>
      </c>
      <c r="B5801" s="68">
        <v>5798</v>
      </c>
      <c r="C5801">
        <v>146.07293177899899</v>
      </c>
      <c r="D5801">
        <v>-17.6386366344999</v>
      </c>
      <c r="E5801" s="68"/>
      <c r="F5801" s="68" t="str">
        <f>HYPERLINK("D:\Data From Lucan\2024\Moresby\Frames_for_Analysis/5798_20240611_0008_L_0421.jpg","5798_20240611_0008_L_0421.jpg")</f>
        <v>5798_20240611_0008_L_0421.jpg</v>
      </c>
      <c r="G5801" s="92" t="s">
        <v>6000</v>
      </c>
      <c r="I5801">
        <v>4</v>
      </c>
      <c r="J5801" s="68"/>
      <c r="K5801" s="68">
        <v>0</v>
      </c>
      <c r="L5801" t="s">
        <v>3959</v>
      </c>
      <c r="M5801" t="s">
        <v>3959</v>
      </c>
      <c r="N5801" t="s">
        <v>3959</v>
      </c>
      <c r="O5801" t="s">
        <v>3959</v>
      </c>
      <c r="P5801" s="57">
        <v>1</v>
      </c>
      <c r="Q5801" s="57">
        <v>0</v>
      </c>
      <c r="R5801" s="57">
        <v>0</v>
      </c>
      <c r="S5801" s="57">
        <v>0</v>
      </c>
      <c r="T5801" s="57">
        <v>0</v>
      </c>
      <c r="U5801" s="57">
        <v>0</v>
      </c>
      <c r="V5801" s="57">
        <v>0</v>
      </c>
      <c r="W5801" s="57">
        <v>0</v>
      </c>
      <c r="X5801" s="57">
        <v>0</v>
      </c>
    </row>
    <row r="5802" spans="1:24" hidden="1" x14ac:dyDescent="0.35">
      <c r="A5802" s="68">
        <v>5798</v>
      </c>
      <c r="B5802" s="68">
        <v>5799</v>
      </c>
      <c r="C5802">
        <v>146.07302155400001</v>
      </c>
      <c r="D5802">
        <v>-17.638633614100002</v>
      </c>
      <c r="E5802" s="68"/>
      <c r="F5802" s="68" t="str">
        <f>HYPERLINK("D:\Data From Lucan\2024\Moresby\Frames_for_Analysis/5799_20240611_0008_L_0424.jpg","5799_20240611_0008_L_0424.jpg")</f>
        <v>5799_20240611_0008_L_0424.jpg</v>
      </c>
      <c r="G5802" s="92" t="s">
        <v>6001</v>
      </c>
      <c r="I5802">
        <v>4</v>
      </c>
      <c r="J5802" s="68"/>
      <c r="K5802" s="68">
        <v>0</v>
      </c>
      <c r="L5802" t="s">
        <v>3959</v>
      </c>
      <c r="M5802" t="s">
        <v>3959</v>
      </c>
      <c r="N5802" t="s">
        <v>3959</v>
      </c>
      <c r="O5802" t="s">
        <v>3959</v>
      </c>
      <c r="P5802" s="57">
        <v>1</v>
      </c>
      <c r="Q5802" s="57">
        <v>0</v>
      </c>
      <c r="R5802" s="57">
        <v>0</v>
      </c>
      <c r="S5802" s="57">
        <v>0</v>
      </c>
      <c r="T5802" s="57">
        <v>0</v>
      </c>
      <c r="U5802" s="57">
        <v>0</v>
      </c>
      <c r="V5802" s="57">
        <v>0</v>
      </c>
      <c r="W5802" s="57">
        <v>0</v>
      </c>
      <c r="X5802" s="57">
        <v>0</v>
      </c>
    </row>
    <row r="5803" spans="1:24" hidden="1" x14ac:dyDescent="0.35">
      <c r="A5803" s="68">
        <v>5799</v>
      </c>
      <c r="B5803" s="68">
        <v>5800</v>
      </c>
      <c r="C5803">
        <v>146.07311132999899</v>
      </c>
      <c r="D5803">
        <v>-17.6386305937</v>
      </c>
      <c r="E5803" s="68"/>
      <c r="F5803" s="68" t="str">
        <f>HYPERLINK("D:\Data From Lucan\2024\Moresby\Frames_for_Analysis/5800_20240611_0008_L_0426.jpg","5800_20240611_0008_L_0426.jpg")</f>
        <v>5800_20240611_0008_L_0426.jpg</v>
      </c>
      <c r="G5803" s="92" t="s">
        <v>6002</v>
      </c>
      <c r="I5803">
        <v>4</v>
      </c>
      <c r="J5803" s="68"/>
      <c r="K5803" s="68">
        <v>0</v>
      </c>
      <c r="L5803" t="s">
        <v>3959</v>
      </c>
      <c r="M5803" t="s">
        <v>3959</v>
      </c>
      <c r="N5803" t="s">
        <v>3959</v>
      </c>
      <c r="O5803" t="s">
        <v>3959</v>
      </c>
      <c r="P5803" s="57">
        <v>1</v>
      </c>
      <c r="Q5803" s="57">
        <v>0</v>
      </c>
      <c r="R5803" s="57">
        <v>0</v>
      </c>
      <c r="S5803" s="57">
        <v>0</v>
      </c>
      <c r="T5803" s="57">
        <v>0</v>
      </c>
      <c r="U5803" s="57">
        <v>0</v>
      </c>
      <c r="V5803" s="57">
        <v>0</v>
      </c>
      <c r="W5803" s="57">
        <v>0</v>
      </c>
      <c r="X5803" s="57">
        <v>0</v>
      </c>
    </row>
    <row r="5804" spans="1:24" hidden="1" x14ac:dyDescent="0.35">
      <c r="A5804" s="68">
        <v>5800</v>
      </c>
      <c r="B5804" s="68">
        <v>5801</v>
      </c>
      <c r="C5804">
        <v>146.073201105999</v>
      </c>
      <c r="D5804">
        <v>-17.6386275732999</v>
      </c>
      <c r="E5804" s="68"/>
      <c r="F5804" s="68" t="str">
        <f>HYPERLINK("D:\Data From Lucan\2024\Moresby\Frames_for_Analysis/5801_20240611_0008_L_0429.jpg","5801_20240611_0008_L_0429.jpg")</f>
        <v>5801_20240611_0008_L_0429.jpg</v>
      </c>
      <c r="G5804" s="92" t="s">
        <v>6003</v>
      </c>
      <c r="I5804">
        <v>4</v>
      </c>
      <c r="J5804" s="68"/>
      <c r="K5804" s="68">
        <v>0</v>
      </c>
      <c r="L5804" t="s">
        <v>3959</v>
      </c>
      <c r="M5804" t="s">
        <v>3959</v>
      </c>
      <c r="N5804" t="s">
        <v>3959</v>
      </c>
      <c r="O5804" t="s">
        <v>3959</v>
      </c>
      <c r="P5804" s="57">
        <v>1</v>
      </c>
      <c r="Q5804" s="57">
        <v>0</v>
      </c>
      <c r="R5804" s="57">
        <v>0</v>
      </c>
      <c r="S5804" s="57">
        <v>0</v>
      </c>
      <c r="T5804" s="57">
        <v>0</v>
      </c>
      <c r="U5804" s="57">
        <v>0</v>
      </c>
      <c r="V5804" s="57">
        <v>0</v>
      </c>
      <c r="W5804" s="57">
        <v>0</v>
      </c>
      <c r="X5804" s="57">
        <v>0</v>
      </c>
    </row>
    <row r="5805" spans="1:24" hidden="1" x14ac:dyDescent="0.35">
      <c r="A5805" s="68">
        <v>5801</v>
      </c>
      <c r="B5805" s="68">
        <v>5802</v>
      </c>
      <c r="C5805">
        <v>146.07329064499899</v>
      </c>
      <c r="D5805">
        <v>-17.638632152900001</v>
      </c>
      <c r="E5805" s="68"/>
      <c r="F5805" s="68" t="str">
        <f>HYPERLINK("D:\Data From Lucan\2024\Moresby\Frames_for_Analysis/5802_20240611_0008_L_0431.jpg","5802_20240611_0008_L_0431.jpg")</f>
        <v>5802_20240611_0008_L_0431.jpg</v>
      </c>
      <c r="G5805" s="92" t="s">
        <v>6004</v>
      </c>
      <c r="I5805">
        <v>4</v>
      </c>
      <c r="J5805" s="68"/>
      <c r="K5805" s="68">
        <v>0</v>
      </c>
      <c r="L5805" t="s">
        <v>3959</v>
      </c>
      <c r="M5805" t="s">
        <v>3959</v>
      </c>
      <c r="N5805" t="s">
        <v>3959</v>
      </c>
      <c r="O5805" t="s">
        <v>3959</v>
      </c>
      <c r="P5805" s="57">
        <v>1</v>
      </c>
      <c r="Q5805" s="57">
        <v>0</v>
      </c>
      <c r="R5805" s="57">
        <v>0</v>
      </c>
      <c r="S5805" s="57">
        <v>0</v>
      </c>
      <c r="T5805" s="57">
        <v>0</v>
      </c>
      <c r="U5805" s="57">
        <v>0</v>
      </c>
      <c r="V5805" s="57">
        <v>0</v>
      </c>
      <c r="W5805" s="57">
        <v>0</v>
      </c>
      <c r="X5805" s="57">
        <v>0</v>
      </c>
    </row>
    <row r="5806" spans="1:24" hidden="1" x14ac:dyDescent="0.35">
      <c r="A5806" s="68">
        <v>5802</v>
      </c>
      <c r="B5806" s="68">
        <v>5803</v>
      </c>
      <c r="C5806">
        <v>146.07338007499899</v>
      </c>
      <c r="D5806">
        <v>-17.6386402326</v>
      </c>
      <c r="E5806" s="68"/>
      <c r="F5806" s="68" t="str">
        <f>HYPERLINK("D:\Data From Lucan\2024\Moresby\Frames_for_Analysis/5803_20240611_0008_L_0435.jpg","5803_20240611_0008_L_0435.jpg")</f>
        <v>5803_20240611_0008_L_0435.jpg</v>
      </c>
      <c r="G5806" s="92" t="s">
        <v>6005</v>
      </c>
      <c r="I5806">
        <v>4</v>
      </c>
      <c r="J5806" s="68"/>
      <c r="K5806" s="68">
        <v>0</v>
      </c>
      <c r="L5806" t="s">
        <v>3959</v>
      </c>
      <c r="M5806" t="s">
        <v>3959</v>
      </c>
      <c r="N5806" t="s">
        <v>3959</v>
      </c>
      <c r="O5806" t="s">
        <v>3959</v>
      </c>
      <c r="P5806" s="57">
        <v>1</v>
      </c>
      <c r="Q5806" s="57">
        <v>0</v>
      </c>
      <c r="R5806" s="57">
        <v>0</v>
      </c>
      <c r="S5806" s="57">
        <v>0</v>
      </c>
      <c r="T5806" s="57">
        <v>0</v>
      </c>
      <c r="U5806" s="57">
        <v>0</v>
      </c>
      <c r="V5806" s="57">
        <v>0</v>
      </c>
      <c r="W5806" s="57">
        <v>0</v>
      </c>
      <c r="X5806" s="57">
        <v>0</v>
      </c>
    </row>
    <row r="5807" spans="1:24" hidden="1" x14ac:dyDescent="0.35">
      <c r="A5807" s="68">
        <v>5803</v>
      </c>
      <c r="B5807" s="68">
        <v>5804</v>
      </c>
      <c r="C5807">
        <v>146.07346950600001</v>
      </c>
      <c r="D5807">
        <v>-17.6386483122999</v>
      </c>
      <c r="E5807" s="68"/>
      <c r="F5807" s="68" t="str">
        <f>HYPERLINK("D:\Data From Lucan\2024\Moresby\Frames_for_Analysis/5804_20240611_0008_L_0438.jpg","5804_20240611_0008_L_0438.jpg")</f>
        <v>5804_20240611_0008_L_0438.jpg</v>
      </c>
      <c r="G5807" s="92" t="s">
        <v>6006</v>
      </c>
      <c r="I5807">
        <v>4</v>
      </c>
      <c r="J5807" s="68"/>
      <c r="K5807" s="68">
        <v>0</v>
      </c>
      <c r="L5807" t="s">
        <v>3959</v>
      </c>
      <c r="M5807" t="s">
        <v>3959</v>
      </c>
      <c r="N5807" t="s">
        <v>3959</v>
      </c>
      <c r="O5807" t="s">
        <v>3959</v>
      </c>
      <c r="P5807" s="57">
        <v>1</v>
      </c>
      <c r="Q5807" s="57">
        <v>0</v>
      </c>
      <c r="R5807" s="57">
        <v>0</v>
      </c>
      <c r="S5807" s="57">
        <v>0</v>
      </c>
      <c r="T5807" s="57">
        <v>0</v>
      </c>
      <c r="U5807" s="57">
        <v>0</v>
      </c>
      <c r="V5807" s="57">
        <v>0</v>
      </c>
      <c r="W5807" s="57">
        <v>0</v>
      </c>
      <c r="X5807" s="57">
        <v>0</v>
      </c>
    </row>
    <row r="5808" spans="1:24" hidden="1" x14ac:dyDescent="0.35">
      <c r="A5808">
        <v>5804</v>
      </c>
      <c r="B5808">
        <v>5805</v>
      </c>
      <c r="C5808">
        <v>146.07355893600001</v>
      </c>
      <c r="D5808">
        <v>-17.638656392000001</v>
      </c>
      <c r="F5808" t="str">
        <f>HYPERLINK("D:\Data From Lucan\2024\Moresby\Frames_for_Analysis/5805_20240611_0008_L_0440.jpg","5805_20240611_0008_L_0440.jpg")</f>
        <v>5805_20240611_0008_L_0440.jpg</v>
      </c>
      <c r="G5808" s="92" t="s">
        <v>6007</v>
      </c>
      <c r="I5808">
        <v>4</v>
      </c>
      <c r="K5808" s="57">
        <v>1</v>
      </c>
      <c r="L5808" t="s">
        <v>3959</v>
      </c>
      <c r="M5808" t="s">
        <v>3959</v>
      </c>
      <c r="N5808" t="s">
        <v>3959</v>
      </c>
      <c r="O5808" t="s">
        <v>3959</v>
      </c>
      <c r="P5808" s="57">
        <v>1</v>
      </c>
      <c r="Q5808" s="57">
        <v>0</v>
      </c>
      <c r="R5808" s="57">
        <v>0</v>
      </c>
      <c r="S5808" s="57">
        <v>0</v>
      </c>
      <c r="T5808" s="57">
        <v>0</v>
      </c>
      <c r="U5808" s="57">
        <v>0</v>
      </c>
      <c r="V5808" s="57">
        <v>0</v>
      </c>
      <c r="W5808" s="57">
        <v>0</v>
      </c>
      <c r="X5808" s="57">
        <v>0</v>
      </c>
    </row>
    <row r="5809" spans="1:24" hidden="1" x14ac:dyDescent="0.35">
      <c r="A5809">
        <v>5805</v>
      </c>
      <c r="B5809">
        <v>5806</v>
      </c>
      <c r="C5809">
        <v>146.073648367</v>
      </c>
      <c r="D5809">
        <v>-17.6386644717</v>
      </c>
      <c r="F5809" t="str">
        <f>HYPERLINK("D:\Data From Lucan\2024\Moresby\Frames_for_Analysis/5806_20240611_0008_L_0443.jpg","5806_20240611_0008_L_0443.jpg")</f>
        <v>5806_20240611_0008_L_0443.jpg</v>
      </c>
      <c r="G5809" s="92" t="s">
        <v>6008</v>
      </c>
      <c r="I5809">
        <v>4</v>
      </c>
      <c r="K5809" s="57">
        <v>1</v>
      </c>
      <c r="L5809" t="s">
        <v>3959</v>
      </c>
      <c r="M5809" t="s">
        <v>3959</v>
      </c>
      <c r="N5809" t="s">
        <v>3959</v>
      </c>
      <c r="O5809" t="s">
        <v>3959</v>
      </c>
      <c r="P5809" s="57">
        <v>1</v>
      </c>
      <c r="Q5809" s="57">
        <v>0</v>
      </c>
      <c r="R5809" s="57">
        <v>0</v>
      </c>
      <c r="S5809" s="57">
        <v>0</v>
      </c>
      <c r="T5809" s="57">
        <v>0</v>
      </c>
      <c r="U5809" s="57">
        <v>0</v>
      </c>
      <c r="V5809" s="57">
        <v>0</v>
      </c>
      <c r="W5809" s="57">
        <v>0</v>
      </c>
      <c r="X5809" s="57">
        <v>0</v>
      </c>
    </row>
    <row r="5810" spans="1:24" hidden="1" x14ac:dyDescent="0.35">
      <c r="A5810">
        <v>5806</v>
      </c>
      <c r="B5810">
        <v>5807</v>
      </c>
      <c r="C5810">
        <v>146.073737797999</v>
      </c>
      <c r="D5810">
        <v>-17.638672551500001</v>
      </c>
      <c r="F5810" t="str">
        <f>HYPERLINK("D:\Data From Lucan\2024\Moresby\Frames_for_Analysis/5807_20240611_0008_L_0446.jpg","5807_20240611_0008_L_0446.jpg")</f>
        <v>5807_20240611_0008_L_0446.jpg</v>
      </c>
      <c r="G5810" s="92" t="s">
        <v>6009</v>
      </c>
      <c r="I5810">
        <v>4</v>
      </c>
      <c r="K5810" s="57">
        <v>1</v>
      </c>
      <c r="L5810" t="s">
        <v>3959</v>
      </c>
      <c r="M5810" t="s">
        <v>3959</v>
      </c>
      <c r="N5810" t="s">
        <v>3959</v>
      </c>
      <c r="O5810" t="s">
        <v>3959</v>
      </c>
      <c r="P5810" s="57">
        <v>1</v>
      </c>
      <c r="Q5810" s="57">
        <v>0</v>
      </c>
      <c r="R5810" s="57">
        <v>0</v>
      </c>
      <c r="S5810" s="57">
        <v>0</v>
      </c>
      <c r="T5810" s="57">
        <v>0</v>
      </c>
      <c r="U5810" s="57">
        <v>0</v>
      </c>
      <c r="V5810" s="57">
        <v>0</v>
      </c>
      <c r="W5810" s="57">
        <v>0</v>
      </c>
      <c r="X5810" s="57">
        <v>0</v>
      </c>
    </row>
    <row r="5811" spans="1:24" hidden="1" x14ac:dyDescent="0.35">
      <c r="A5811">
        <v>5807</v>
      </c>
      <c r="B5811">
        <v>5808</v>
      </c>
      <c r="C5811">
        <v>146.073827227999</v>
      </c>
      <c r="D5811">
        <v>-17.6386806312</v>
      </c>
      <c r="F5811" t="str">
        <f>HYPERLINK("D:\Data From Lucan\2024\Moresby\Frames_for_Analysis/5808_20240611_0008_L_0449.jpg","5808_20240611_0008_L_0449.jpg")</f>
        <v>5808_20240611_0008_L_0449.jpg</v>
      </c>
      <c r="G5811" s="92" t="s">
        <v>6010</v>
      </c>
      <c r="I5811">
        <v>4</v>
      </c>
      <c r="K5811" s="57">
        <v>1</v>
      </c>
      <c r="L5811" t="s">
        <v>3959</v>
      </c>
      <c r="M5811" t="s">
        <v>3959</v>
      </c>
      <c r="N5811" t="s">
        <v>3959</v>
      </c>
      <c r="O5811" t="s">
        <v>3959</v>
      </c>
      <c r="P5811" s="57">
        <v>1</v>
      </c>
      <c r="Q5811" s="57">
        <v>0</v>
      </c>
      <c r="R5811" s="57">
        <v>0</v>
      </c>
      <c r="S5811" s="57">
        <v>0</v>
      </c>
      <c r="T5811" s="57">
        <v>0</v>
      </c>
      <c r="U5811" s="57">
        <v>0</v>
      </c>
      <c r="V5811" s="57">
        <v>0</v>
      </c>
      <c r="W5811" s="57">
        <v>0</v>
      </c>
      <c r="X5811" s="57">
        <v>0</v>
      </c>
    </row>
    <row r="5812" spans="1:24" hidden="1" x14ac:dyDescent="0.35">
      <c r="A5812">
        <v>5808</v>
      </c>
      <c r="B5812">
        <v>5809</v>
      </c>
      <c r="C5812">
        <v>146.073916658999</v>
      </c>
      <c r="D5812">
        <v>-17.638688710899899</v>
      </c>
      <c r="F5812" t="str">
        <f>HYPERLINK("D:\Data From Lucan\2024\Moresby\Frames_for_Analysis/5809_20240611_0008_L_0451.jpg","5809_20240611_0008_L_0451.jpg")</f>
        <v>5809_20240611_0008_L_0451.jpg</v>
      </c>
      <c r="G5812" s="92" t="s">
        <v>6011</v>
      </c>
      <c r="I5812">
        <v>4</v>
      </c>
      <c r="K5812" s="57">
        <v>1</v>
      </c>
      <c r="L5812" t="s">
        <v>3959</v>
      </c>
      <c r="M5812" t="s">
        <v>3959</v>
      </c>
      <c r="N5812" t="s">
        <v>3959</v>
      </c>
      <c r="O5812" t="s">
        <v>3959</v>
      </c>
      <c r="P5812" s="57">
        <v>1</v>
      </c>
      <c r="Q5812" s="57">
        <v>0</v>
      </c>
      <c r="R5812" s="57">
        <v>0</v>
      </c>
      <c r="S5812" s="57">
        <v>0</v>
      </c>
      <c r="T5812" s="57">
        <v>0</v>
      </c>
      <c r="U5812" s="57">
        <v>0</v>
      </c>
      <c r="V5812" s="57">
        <v>0</v>
      </c>
      <c r="W5812" s="57">
        <v>0</v>
      </c>
      <c r="X5812" s="57">
        <v>0</v>
      </c>
    </row>
    <row r="5813" spans="1:24" hidden="1" x14ac:dyDescent="0.35">
      <c r="A5813">
        <v>5809</v>
      </c>
      <c r="B5813">
        <v>5810</v>
      </c>
      <c r="C5813">
        <v>146.07400610400001</v>
      </c>
      <c r="D5813">
        <v>-17.638696627000002</v>
      </c>
      <c r="F5813" t="str">
        <f>HYPERLINK("D:\Data From Lucan\2024\Moresby\Frames_for_Analysis/5810_20240611_0008_L_0454.jpg","5810_20240611_0008_L_0454.jpg")</f>
        <v>5810_20240611_0008_L_0454.jpg</v>
      </c>
      <c r="G5813" s="92" t="s">
        <v>6012</v>
      </c>
      <c r="I5813">
        <v>4</v>
      </c>
      <c r="K5813" s="57">
        <v>1</v>
      </c>
      <c r="L5813" t="s">
        <v>3959</v>
      </c>
      <c r="M5813" t="s">
        <v>3959</v>
      </c>
      <c r="N5813" t="s">
        <v>3959</v>
      </c>
      <c r="O5813" t="s">
        <v>3959</v>
      </c>
      <c r="P5813" s="57">
        <v>1</v>
      </c>
      <c r="Q5813" s="57">
        <v>0</v>
      </c>
      <c r="R5813" s="57">
        <v>0</v>
      </c>
      <c r="S5813" s="57">
        <v>0</v>
      </c>
      <c r="T5813" s="57">
        <v>0</v>
      </c>
      <c r="U5813" s="57">
        <v>0</v>
      </c>
      <c r="V5813" s="57">
        <v>0</v>
      </c>
      <c r="W5813" s="57">
        <v>0</v>
      </c>
      <c r="X5813" s="57">
        <v>0</v>
      </c>
    </row>
    <row r="5814" spans="1:24" hidden="1" x14ac:dyDescent="0.35">
      <c r="A5814">
        <v>5810</v>
      </c>
      <c r="B5814">
        <v>5811</v>
      </c>
      <c r="C5814">
        <v>146.074095666999</v>
      </c>
      <c r="D5814">
        <v>-17.6387032469</v>
      </c>
      <c r="F5814" t="str">
        <f>HYPERLINK("D:\Data From Lucan\2024\Moresby\Frames_for_Analysis/5811_20240611_0008_L_0457.jpg","5811_20240611_0008_L_0457.jpg")</f>
        <v>5811_20240611_0008_L_0457.jpg</v>
      </c>
      <c r="G5814" s="92" t="s">
        <v>6013</v>
      </c>
      <c r="I5814">
        <v>4</v>
      </c>
      <c r="K5814" s="57">
        <v>1</v>
      </c>
      <c r="L5814" t="s">
        <v>3959</v>
      </c>
      <c r="M5814" t="s">
        <v>3959</v>
      </c>
      <c r="N5814" t="s">
        <v>3959</v>
      </c>
      <c r="O5814" t="s">
        <v>3959</v>
      </c>
      <c r="P5814" s="57">
        <v>1</v>
      </c>
      <c r="Q5814" s="57">
        <v>0</v>
      </c>
      <c r="R5814" s="57">
        <v>0</v>
      </c>
      <c r="S5814" s="57">
        <v>0</v>
      </c>
      <c r="T5814" s="57">
        <v>0</v>
      </c>
      <c r="U5814" s="57">
        <v>0</v>
      </c>
      <c r="V5814" s="57">
        <v>0</v>
      </c>
      <c r="W5814" s="57">
        <v>0</v>
      </c>
      <c r="X5814" s="57">
        <v>0</v>
      </c>
    </row>
    <row r="5815" spans="1:24" hidden="1" x14ac:dyDescent="0.35">
      <c r="A5815">
        <v>5811</v>
      </c>
      <c r="B5815">
        <v>5812</v>
      </c>
      <c r="C5815">
        <v>146.074185228999</v>
      </c>
      <c r="D5815">
        <v>-17.6387098667999</v>
      </c>
      <c r="F5815" t="str">
        <f>HYPERLINK("D:\Data From Lucan\2024\Moresby\Frames_for_Analysis/5812_20240611_0008_L_0459.jpg","5812_20240611_0008_L_0459.jpg")</f>
        <v>5812_20240611_0008_L_0459.jpg</v>
      </c>
      <c r="G5815" s="92" t="s">
        <v>6014</v>
      </c>
      <c r="I5815">
        <v>4</v>
      </c>
      <c r="K5815" s="57">
        <v>1</v>
      </c>
      <c r="L5815" t="s">
        <v>3959</v>
      </c>
      <c r="M5815" t="s">
        <v>3959</v>
      </c>
      <c r="N5815" t="s">
        <v>3959</v>
      </c>
      <c r="O5815" t="s">
        <v>3959</v>
      </c>
      <c r="P5815" s="57">
        <v>1</v>
      </c>
      <c r="Q5815" s="57">
        <v>0</v>
      </c>
      <c r="R5815" s="57">
        <v>0</v>
      </c>
      <c r="S5815" s="57">
        <v>0</v>
      </c>
      <c r="T5815" s="57">
        <v>0</v>
      </c>
      <c r="U5815" s="57">
        <v>0</v>
      </c>
      <c r="V5815" s="57">
        <v>0</v>
      </c>
      <c r="W5815" s="57">
        <v>0</v>
      </c>
      <c r="X5815" s="57">
        <v>0</v>
      </c>
    </row>
    <row r="5816" spans="1:24" hidden="1" x14ac:dyDescent="0.35">
      <c r="A5816">
        <v>5812</v>
      </c>
      <c r="B5816">
        <v>5813</v>
      </c>
      <c r="C5816">
        <v>146.07427479200001</v>
      </c>
      <c r="D5816">
        <v>-17.638716486700002</v>
      </c>
      <c r="F5816" t="str">
        <f>HYPERLINK("D:\Data From Lucan\2024\Moresby\Frames_for_Analysis/5813_20240611_0008_L_0463.jpg","5813_20240611_0008_L_0463.jpg")</f>
        <v>5813_20240611_0008_L_0463.jpg</v>
      </c>
      <c r="G5816" s="92" t="s">
        <v>6015</v>
      </c>
      <c r="I5816">
        <v>4</v>
      </c>
      <c r="K5816" s="57">
        <v>1</v>
      </c>
      <c r="L5816" t="s">
        <v>3959</v>
      </c>
      <c r="M5816" t="s">
        <v>3959</v>
      </c>
      <c r="N5816" t="s">
        <v>3959</v>
      </c>
      <c r="O5816" t="s">
        <v>3959</v>
      </c>
      <c r="P5816" s="57">
        <v>1</v>
      </c>
      <c r="Q5816" s="57">
        <v>0</v>
      </c>
      <c r="R5816" s="57">
        <v>0</v>
      </c>
      <c r="S5816" s="57">
        <v>0</v>
      </c>
      <c r="T5816" s="57">
        <v>0</v>
      </c>
      <c r="U5816" s="57">
        <v>0</v>
      </c>
      <c r="V5816" s="57">
        <v>0</v>
      </c>
      <c r="W5816" s="57">
        <v>0</v>
      </c>
      <c r="X5816" s="57">
        <v>0</v>
      </c>
    </row>
    <row r="5817" spans="1:24" hidden="1" x14ac:dyDescent="0.35">
      <c r="A5817">
        <v>5813</v>
      </c>
      <c r="B5817">
        <v>5814</v>
      </c>
      <c r="C5817">
        <v>146.07436435400001</v>
      </c>
      <c r="D5817">
        <v>-17.638723106699899</v>
      </c>
      <c r="F5817" t="str">
        <f>HYPERLINK("D:\Data From Lucan\2024\Moresby\Frames_for_Analysis/5814_20240611_0008_L_0465.jpg","5814_20240611_0008_L_0465.jpg")</f>
        <v>5814_20240611_0008_L_0465.jpg</v>
      </c>
      <c r="G5817" s="92" t="s">
        <v>6016</v>
      </c>
      <c r="I5817">
        <v>4</v>
      </c>
      <c r="K5817" s="57">
        <v>1</v>
      </c>
      <c r="L5817" t="s">
        <v>3959</v>
      </c>
      <c r="M5817" t="s">
        <v>3959</v>
      </c>
      <c r="N5817" t="s">
        <v>3959</v>
      </c>
      <c r="O5817" t="s">
        <v>3959</v>
      </c>
      <c r="P5817" s="57">
        <v>1</v>
      </c>
      <c r="Q5817" s="57">
        <v>0</v>
      </c>
      <c r="R5817" s="57">
        <v>0</v>
      </c>
      <c r="S5817" s="57">
        <v>0</v>
      </c>
      <c r="T5817" s="57">
        <v>0</v>
      </c>
      <c r="U5817" s="57">
        <v>0</v>
      </c>
      <c r="V5817" s="57">
        <v>0</v>
      </c>
      <c r="W5817" s="57">
        <v>0</v>
      </c>
      <c r="X5817" s="57">
        <v>0</v>
      </c>
    </row>
    <row r="5818" spans="1:24" hidden="1" x14ac:dyDescent="0.35">
      <c r="A5818">
        <v>5814</v>
      </c>
      <c r="B5818">
        <v>5815</v>
      </c>
      <c r="C5818">
        <v>146.074453917</v>
      </c>
      <c r="D5818">
        <v>-17.6387297266999</v>
      </c>
      <c r="F5818" t="str">
        <f>HYPERLINK("D:\Data From Lucan\2024\Moresby\Frames_for_Analysis/5815_20240611_0008_L_0468.jpg","5815_20240611_0008_L_0468.jpg")</f>
        <v>5815_20240611_0008_L_0468.jpg</v>
      </c>
      <c r="G5818" s="92" t="s">
        <v>6017</v>
      </c>
      <c r="I5818">
        <v>4</v>
      </c>
      <c r="K5818" s="57">
        <v>1</v>
      </c>
      <c r="L5818" t="s">
        <v>3959</v>
      </c>
      <c r="M5818" t="s">
        <v>3959</v>
      </c>
      <c r="N5818" t="s">
        <v>3959</v>
      </c>
      <c r="O5818" t="s">
        <v>3959</v>
      </c>
      <c r="P5818" s="57">
        <v>1</v>
      </c>
      <c r="Q5818" s="57">
        <v>0</v>
      </c>
      <c r="R5818" s="57">
        <v>0</v>
      </c>
      <c r="S5818" s="57">
        <v>0</v>
      </c>
      <c r="T5818" s="57">
        <v>0</v>
      </c>
      <c r="U5818" s="57">
        <v>0</v>
      </c>
      <c r="V5818" s="57">
        <v>0</v>
      </c>
      <c r="W5818" s="57">
        <v>0</v>
      </c>
      <c r="X5818" s="57">
        <v>0</v>
      </c>
    </row>
    <row r="5819" spans="1:24" hidden="1" x14ac:dyDescent="0.35">
      <c r="A5819">
        <v>5815</v>
      </c>
      <c r="B5819">
        <v>5816</v>
      </c>
      <c r="C5819">
        <v>146.074543478999</v>
      </c>
      <c r="D5819">
        <v>-17.638736346999899</v>
      </c>
      <c r="F5819" t="str">
        <f>HYPERLINK("D:\Data From Lucan\2024\Moresby\Frames_for_Analysis/5816_20240611_0008_L_0470.jpg","5816_20240611_0008_L_0470.jpg")</f>
        <v>5816_20240611_0008_L_0470.jpg</v>
      </c>
      <c r="G5819" s="92" t="s">
        <v>6018</v>
      </c>
      <c r="I5819">
        <v>4</v>
      </c>
      <c r="K5819" s="57">
        <v>1</v>
      </c>
      <c r="L5819" t="s">
        <v>3959</v>
      </c>
      <c r="M5819" t="s">
        <v>3959</v>
      </c>
      <c r="N5819" t="s">
        <v>3959</v>
      </c>
      <c r="O5819" t="s">
        <v>3959</v>
      </c>
      <c r="P5819" s="57">
        <v>1</v>
      </c>
      <c r="Q5819" s="57">
        <v>0</v>
      </c>
      <c r="R5819" s="57">
        <v>0</v>
      </c>
      <c r="S5819" s="57">
        <v>0</v>
      </c>
      <c r="T5819" s="57">
        <v>0</v>
      </c>
      <c r="U5819" s="57">
        <v>0</v>
      </c>
      <c r="V5819" s="57">
        <v>0</v>
      </c>
      <c r="W5819" s="57">
        <v>0</v>
      </c>
      <c r="X5819" s="57">
        <v>0</v>
      </c>
    </row>
    <row r="5820" spans="1:24" hidden="1" x14ac:dyDescent="0.35">
      <c r="A5820">
        <v>5816</v>
      </c>
      <c r="B5820">
        <v>5817</v>
      </c>
      <c r="C5820">
        <v>146.07463304199899</v>
      </c>
      <c r="D5820">
        <v>-17.638742967300001</v>
      </c>
      <c r="F5820" t="str">
        <f>HYPERLINK("D:\Data From Lucan\2024\Moresby\Frames_for_Analysis/5817_20240611_0008_L_0473.jpg","5817_20240611_0008_L_0473.jpg")</f>
        <v>5817_20240611_0008_L_0473.jpg</v>
      </c>
      <c r="G5820" s="92" t="s">
        <v>6019</v>
      </c>
      <c r="I5820">
        <v>4</v>
      </c>
      <c r="K5820" s="57">
        <v>1</v>
      </c>
      <c r="L5820" t="s">
        <v>3959</v>
      </c>
      <c r="M5820" t="s">
        <v>3959</v>
      </c>
      <c r="N5820" t="s">
        <v>3959</v>
      </c>
      <c r="O5820" t="s">
        <v>3959</v>
      </c>
      <c r="P5820" s="57">
        <v>1</v>
      </c>
      <c r="Q5820" s="57">
        <v>0</v>
      </c>
      <c r="R5820" s="57">
        <v>0</v>
      </c>
      <c r="S5820" s="57">
        <v>0</v>
      </c>
      <c r="T5820" s="57">
        <v>0</v>
      </c>
      <c r="U5820" s="57">
        <v>0</v>
      </c>
      <c r="V5820" s="57">
        <v>0</v>
      </c>
      <c r="W5820" s="57">
        <v>0</v>
      </c>
      <c r="X5820" s="57">
        <v>0</v>
      </c>
    </row>
    <row r="5821" spans="1:24" hidden="1" x14ac:dyDescent="0.35">
      <c r="A5821">
        <v>5817</v>
      </c>
      <c r="B5821">
        <v>5818</v>
      </c>
      <c r="C5821">
        <v>146.07472265600001</v>
      </c>
      <c r="D5821">
        <v>-17.6387410373999</v>
      </c>
      <c r="F5821" t="str">
        <f>HYPERLINK("D:\Data From Lucan\2024\Moresby\Frames_for_Analysis/5818_20240611_0008_L_0476.jpg","5818_20240611_0008_L_0476.jpg")</f>
        <v>5818_20240611_0008_L_0476.jpg</v>
      </c>
      <c r="G5821" s="92" t="s">
        <v>6020</v>
      </c>
      <c r="I5821">
        <v>4</v>
      </c>
      <c r="K5821" s="57">
        <v>1</v>
      </c>
      <c r="L5821" t="s">
        <v>3959</v>
      </c>
      <c r="M5821" t="s">
        <v>3959</v>
      </c>
      <c r="N5821" t="s">
        <v>3959</v>
      </c>
      <c r="O5821" t="s">
        <v>3959</v>
      </c>
      <c r="P5821" s="57">
        <v>1</v>
      </c>
      <c r="Q5821" s="57">
        <v>0</v>
      </c>
      <c r="R5821" s="57">
        <v>0</v>
      </c>
      <c r="S5821" s="57">
        <v>0</v>
      </c>
      <c r="T5821" s="57">
        <v>0</v>
      </c>
      <c r="U5821" s="57">
        <v>0</v>
      </c>
      <c r="V5821" s="57">
        <v>0</v>
      </c>
      <c r="W5821" s="57">
        <v>0</v>
      </c>
      <c r="X5821" s="57">
        <v>0</v>
      </c>
    </row>
    <row r="5822" spans="1:24" hidden="1" x14ac:dyDescent="0.35">
      <c r="A5822">
        <v>5818</v>
      </c>
      <c r="B5822">
        <v>5819</v>
      </c>
      <c r="C5822">
        <v>146.07481229300001</v>
      </c>
      <c r="D5822">
        <v>-17.6387354071</v>
      </c>
      <c r="F5822" t="str">
        <f>HYPERLINK("D:\Data From Lucan\2024\Moresby\Frames_for_Analysis/5819_20240611_0008_L_0479.jpg","5819_20240611_0008_L_0479.jpg")</f>
        <v>5819_20240611_0008_L_0479.jpg</v>
      </c>
      <c r="G5822" s="92" t="s">
        <v>6021</v>
      </c>
      <c r="I5822">
        <v>4</v>
      </c>
      <c r="K5822" s="57">
        <v>1</v>
      </c>
      <c r="L5822" t="s">
        <v>3959</v>
      </c>
      <c r="M5822" t="s">
        <v>3959</v>
      </c>
      <c r="N5822" t="s">
        <v>3959</v>
      </c>
      <c r="O5822" t="s">
        <v>3959</v>
      </c>
      <c r="P5822" s="57">
        <v>1</v>
      </c>
      <c r="Q5822" s="57">
        <v>0</v>
      </c>
      <c r="R5822" s="57">
        <v>0</v>
      </c>
      <c r="S5822" s="57">
        <v>0</v>
      </c>
      <c r="T5822" s="57">
        <v>0</v>
      </c>
      <c r="U5822" s="57">
        <v>0</v>
      </c>
      <c r="V5822" s="57">
        <v>0</v>
      </c>
      <c r="W5822" s="57">
        <v>0</v>
      </c>
      <c r="X5822" s="57">
        <v>0</v>
      </c>
    </row>
    <row r="5823" spans="1:24" hidden="1" x14ac:dyDescent="0.35">
      <c r="A5823">
        <v>5819</v>
      </c>
      <c r="B5823">
        <v>5820</v>
      </c>
      <c r="C5823">
        <v>146.07490193000001</v>
      </c>
      <c r="D5823">
        <v>-17.6387297771</v>
      </c>
      <c r="F5823" t="str">
        <f>HYPERLINK("D:\Data From Lucan\2024\Moresby\Frames_for_Analysis/5820_20240611_0008_L_0482.jpg","5820_20240611_0008_L_0482.jpg")</f>
        <v>5820_20240611_0008_L_0482.jpg</v>
      </c>
      <c r="G5823" s="92" t="s">
        <v>6022</v>
      </c>
      <c r="I5823">
        <v>4</v>
      </c>
      <c r="K5823" s="57">
        <v>1</v>
      </c>
      <c r="L5823" t="s">
        <v>3959</v>
      </c>
      <c r="M5823" t="s">
        <v>3959</v>
      </c>
      <c r="N5823" t="s">
        <v>3959</v>
      </c>
      <c r="O5823" t="s">
        <v>3959</v>
      </c>
      <c r="P5823" s="57">
        <v>1</v>
      </c>
      <c r="Q5823" s="57">
        <v>0</v>
      </c>
      <c r="R5823" s="57">
        <v>0</v>
      </c>
      <c r="S5823" s="57">
        <v>0</v>
      </c>
      <c r="T5823" s="57">
        <v>0</v>
      </c>
      <c r="U5823" s="57">
        <v>0</v>
      </c>
      <c r="V5823" s="57">
        <v>0</v>
      </c>
      <c r="W5823" s="57">
        <v>0</v>
      </c>
      <c r="X5823" s="57">
        <v>0</v>
      </c>
    </row>
    <row r="5824" spans="1:24" hidden="1" x14ac:dyDescent="0.35">
      <c r="A5824">
        <v>5820</v>
      </c>
      <c r="B5824">
        <v>5821</v>
      </c>
      <c r="C5824">
        <v>146.07499156700001</v>
      </c>
      <c r="D5824">
        <v>-17.638724147200001</v>
      </c>
      <c r="F5824" t="str">
        <f>HYPERLINK("D:\Data From Lucan\2024\Moresby\Frames_for_Analysis/5821_20240611_0008_L_0485.jpg","5821_20240611_0008_L_0485.jpg")</f>
        <v>5821_20240611_0008_L_0485.jpg</v>
      </c>
      <c r="G5824" s="92" t="s">
        <v>6023</v>
      </c>
      <c r="I5824">
        <v>4</v>
      </c>
      <c r="K5824" s="57">
        <v>1</v>
      </c>
      <c r="L5824" t="s">
        <v>3959</v>
      </c>
      <c r="M5824" t="s">
        <v>3959</v>
      </c>
      <c r="N5824" t="s">
        <v>3959</v>
      </c>
      <c r="O5824" t="s">
        <v>3959</v>
      </c>
      <c r="P5824" s="57">
        <v>1</v>
      </c>
      <c r="Q5824" s="57">
        <v>0</v>
      </c>
      <c r="R5824" s="57">
        <v>0</v>
      </c>
      <c r="S5824" s="57">
        <v>0</v>
      </c>
      <c r="T5824" s="57">
        <v>0</v>
      </c>
      <c r="U5824" s="57">
        <v>0</v>
      </c>
      <c r="V5824" s="57">
        <v>0</v>
      </c>
      <c r="W5824" s="57">
        <v>0</v>
      </c>
      <c r="X5824" s="57">
        <v>0</v>
      </c>
    </row>
    <row r="5825" spans="1:24" hidden="1" x14ac:dyDescent="0.35">
      <c r="A5825">
        <v>5821</v>
      </c>
      <c r="B5825">
        <v>5822</v>
      </c>
      <c r="C5825">
        <v>146.07508120400001</v>
      </c>
      <c r="D5825">
        <v>-17.638718517200001</v>
      </c>
      <c r="F5825" t="str">
        <f>HYPERLINK("D:\Data From Lucan\2024\Moresby\Frames_for_Analysis/5822_20240611_0008_L_0488.jpg","5822_20240611_0008_L_0488.jpg")</f>
        <v>5822_20240611_0008_L_0488.jpg</v>
      </c>
      <c r="G5825" s="92" t="s">
        <v>6024</v>
      </c>
      <c r="I5825">
        <v>4</v>
      </c>
      <c r="K5825" s="57">
        <v>1</v>
      </c>
      <c r="L5825" t="s">
        <v>3959</v>
      </c>
      <c r="M5825" t="s">
        <v>3959</v>
      </c>
      <c r="N5825" t="s">
        <v>3959</v>
      </c>
      <c r="O5825" t="s">
        <v>3959</v>
      </c>
      <c r="P5825" s="57">
        <v>1</v>
      </c>
      <c r="Q5825" s="57">
        <v>0</v>
      </c>
      <c r="R5825" s="57">
        <v>0</v>
      </c>
      <c r="S5825" s="57">
        <v>0</v>
      </c>
      <c r="T5825" s="57">
        <v>0</v>
      </c>
      <c r="U5825" s="57">
        <v>0</v>
      </c>
      <c r="V5825" s="57">
        <v>0</v>
      </c>
      <c r="W5825" s="57">
        <v>0</v>
      </c>
      <c r="X5825" s="57">
        <v>0</v>
      </c>
    </row>
    <row r="5826" spans="1:24" hidden="1" x14ac:dyDescent="0.35">
      <c r="A5826">
        <v>5822</v>
      </c>
      <c r="B5826">
        <v>5823</v>
      </c>
      <c r="C5826">
        <v>146.075170358999</v>
      </c>
      <c r="D5826">
        <v>-17.638709573900002</v>
      </c>
      <c r="F5826" t="str">
        <f>HYPERLINK("D:\Data From Lucan\2024\Moresby\Frames_for_Analysis/5823_20240611_0008_L_0491.jpg","5823_20240611_0008_L_0491.jpg")</f>
        <v>5823_20240611_0008_L_0491.jpg</v>
      </c>
      <c r="G5826" s="92" t="s">
        <v>6025</v>
      </c>
      <c r="I5826">
        <v>4</v>
      </c>
      <c r="K5826" s="57">
        <v>1</v>
      </c>
      <c r="L5826" t="s">
        <v>3959</v>
      </c>
      <c r="M5826" t="s">
        <v>3959</v>
      </c>
      <c r="N5826" t="s">
        <v>3959</v>
      </c>
      <c r="O5826" t="s">
        <v>3959</v>
      </c>
      <c r="P5826" s="57">
        <v>1</v>
      </c>
      <c r="Q5826" s="57">
        <v>0</v>
      </c>
      <c r="R5826" s="57">
        <v>0</v>
      </c>
      <c r="S5826" s="57">
        <v>0</v>
      </c>
      <c r="T5826" s="57">
        <v>0</v>
      </c>
      <c r="U5826" s="57">
        <v>0</v>
      </c>
      <c r="V5826" s="57">
        <v>0</v>
      </c>
      <c r="W5826" s="57">
        <v>0</v>
      </c>
      <c r="X5826" s="57">
        <v>0</v>
      </c>
    </row>
    <row r="5827" spans="1:24" hidden="1" x14ac:dyDescent="0.35">
      <c r="A5827">
        <v>5823</v>
      </c>
      <c r="B5827">
        <v>5824</v>
      </c>
      <c r="C5827">
        <v>146.075258222999</v>
      </c>
      <c r="D5827">
        <v>-17.638691751700001</v>
      </c>
      <c r="F5827" t="str">
        <f>HYPERLINK("D:\Data From Lucan\2024\Moresby\Frames_for_Analysis/5824_20240611_0008_L_0494.jpg","5824_20240611_0008_L_0494.jpg")</f>
        <v>5824_20240611_0008_L_0494.jpg</v>
      </c>
      <c r="G5827" s="92" t="s">
        <v>6026</v>
      </c>
      <c r="I5827">
        <v>4</v>
      </c>
      <c r="K5827" s="57">
        <v>1</v>
      </c>
      <c r="L5827" t="s">
        <v>3959</v>
      </c>
      <c r="M5827" t="s">
        <v>3959</v>
      </c>
      <c r="N5827" t="s">
        <v>3959</v>
      </c>
      <c r="O5827" t="s">
        <v>3959</v>
      </c>
      <c r="P5827" s="57">
        <v>1</v>
      </c>
      <c r="Q5827" s="57">
        <v>0</v>
      </c>
      <c r="R5827" s="57">
        <v>0</v>
      </c>
      <c r="S5827" s="57">
        <v>0</v>
      </c>
      <c r="T5827" s="57">
        <v>0</v>
      </c>
      <c r="U5827" s="57">
        <v>0</v>
      </c>
      <c r="V5827" s="57">
        <v>0</v>
      </c>
      <c r="W5827" s="57">
        <v>0</v>
      </c>
      <c r="X5827" s="57">
        <v>0</v>
      </c>
    </row>
    <row r="5828" spans="1:24" hidden="1" x14ac:dyDescent="0.35">
      <c r="A5828">
        <v>5824</v>
      </c>
      <c r="B5828">
        <v>5825</v>
      </c>
      <c r="C5828">
        <v>146.075346085999</v>
      </c>
      <c r="D5828">
        <v>-17.638673929700001</v>
      </c>
      <c r="F5828" t="str">
        <f>HYPERLINK("D:\Data From Lucan\2024\Moresby\Frames_for_Analysis/5825_20240611_0008_L_0497.jpg","5825_20240611_0008_L_0497.jpg")</f>
        <v>5825_20240611_0008_L_0497.jpg</v>
      </c>
      <c r="G5828" s="92" t="s">
        <v>6027</v>
      </c>
      <c r="I5828">
        <v>4</v>
      </c>
      <c r="K5828" s="57">
        <v>1</v>
      </c>
      <c r="L5828" t="s">
        <v>3959</v>
      </c>
      <c r="M5828" t="s">
        <v>3959</v>
      </c>
      <c r="N5828" t="s">
        <v>3959</v>
      </c>
      <c r="O5828" t="s">
        <v>3959</v>
      </c>
      <c r="P5828" s="57">
        <v>1</v>
      </c>
      <c r="Q5828" s="57">
        <v>0</v>
      </c>
      <c r="R5828" s="57">
        <v>0</v>
      </c>
      <c r="S5828" s="57">
        <v>0</v>
      </c>
      <c r="T5828" s="57">
        <v>0</v>
      </c>
      <c r="U5828" s="57">
        <v>0</v>
      </c>
      <c r="V5828" s="57">
        <v>0</v>
      </c>
      <c r="W5828" s="57">
        <v>0</v>
      </c>
      <c r="X5828" s="57">
        <v>0</v>
      </c>
    </row>
    <row r="5829" spans="1:24" hidden="1" x14ac:dyDescent="0.35">
      <c r="A5829">
        <v>5825</v>
      </c>
      <c r="B5829">
        <v>5826</v>
      </c>
      <c r="C5829">
        <v>146.075433949999</v>
      </c>
      <c r="D5829">
        <v>-17.638656107700001</v>
      </c>
      <c r="F5829" t="str">
        <f>HYPERLINK("D:\Data From Lucan\2024\Moresby\Frames_for_Analysis/5826_20240611_0008_L_0501.jpg","5826_20240611_0008_L_0501.jpg")</f>
        <v>5826_20240611_0008_L_0501.jpg</v>
      </c>
      <c r="G5829" s="92" t="s">
        <v>6028</v>
      </c>
      <c r="I5829">
        <v>4</v>
      </c>
      <c r="K5829" s="57">
        <v>1</v>
      </c>
      <c r="L5829" t="s">
        <v>3959</v>
      </c>
      <c r="M5829" t="s">
        <v>3959</v>
      </c>
      <c r="N5829" t="s">
        <v>3959</v>
      </c>
      <c r="O5829" t="s">
        <v>3959</v>
      </c>
      <c r="P5829" s="57">
        <v>1</v>
      </c>
      <c r="Q5829" s="57">
        <v>0</v>
      </c>
      <c r="R5829" s="57">
        <v>0</v>
      </c>
      <c r="S5829" s="57">
        <v>0</v>
      </c>
      <c r="T5829" s="57">
        <v>0</v>
      </c>
      <c r="U5829" s="57">
        <v>0</v>
      </c>
      <c r="V5829" s="57">
        <v>0</v>
      </c>
      <c r="W5829" s="57">
        <v>0</v>
      </c>
      <c r="X5829" s="57">
        <v>0</v>
      </c>
    </row>
    <row r="5830" spans="1:24" hidden="1" x14ac:dyDescent="0.35">
      <c r="A5830">
        <v>5826</v>
      </c>
      <c r="B5830">
        <v>5827</v>
      </c>
      <c r="C5830">
        <v>146.075521812999</v>
      </c>
      <c r="D5830">
        <v>-17.6386382857999</v>
      </c>
      <c r="F5830" t="str">
        <f>HYPERLINK("D:\Data From Lucan\2024\Moresby\Frames_for_Analysis/5827_20240611_0008_L_0504.jpg","5827_20240611_0008_L_0504.jpg")</f>
        <v>5827_20240611_0008_L_0504.jpg</v>
      </c>
      <c r="G5830" s="92" t="s">
        <v>6029</v>
      </c>
      <c r="I5830">
        <v>4</v>
      </c>
      <c r="K5830" s="57">
        <v>1</v>
      </c>
      <c r="L5830" t="s">
        <v>3959</v>
      </c>
      <c r="M5830" t="s">
        <v>3959</v>
      </c>
      <c r="N5830" t="s">
        <v>3959</v>
      </c>
      <c r="O5830" t="s">
        <v>3959</v>
      </c>
      <c r="P5830" s="57">
        <v>1</v>
      </c>
      <c r="Q5830" s="57">
        <v>0</v>
      </c>
      <c r="R5830" s="57">
        <v>0</v>
      </c>
      <c r="S5830" s="57">
        <v>0</v>
      </c>
      <c r="T5830" s="57">
        <v>0</v>
      </c>
      <c r="U5830" s="57">
        <v>0</v>
      </c>
      <c r="V5830" s="57">
        <v>0</v>
      </c>
      <c r="W5830" s="57">
        <v>0</v>
      </c>
      <c r="X5830" s="57">
        <v>0</v>
      </c>
    </row>
    <row r="5831" spans="1:24" hidden="1" x14ac:dyDescent="0.35">
      <c r="A5831">
        <v>5827</v>
      </c>
      <c r="B5831">
        <v>5828</v>
      </c>
      <c r="C5831">
        <v>146.075602330999</v>
      </c>
      <c r="D5831">
        <v>-17.6386035298999</v>
      </c>
      <c r="F5831" t="str">
        <f>HYPERLINK("D:\Data From Lucan\2024\Moresby\Frames_for_Analysis/5828_20240611_0008_L_0507.jpg","5828_20240611_0008_L_0507.jpg")</f>
        <v>5828_20240611_0008_L_0507.jpg</v>
      </c>
      <c r="G5831" s="92" t="s">
        <v>6030</v>
      </c>
      <c r="I5831">
        <v>4</v>
      </c>
      <c r="K5831" s="57">
        <v>1</v>
      </c>
      <c r="L5831" t="s">
        <v>3959</v>
      </c>
      <c r="M5831" t="s">
        <v>3959</v>
      </c>
      <c r="N5831" t="s">
        <v>3959</v>
      </c>
      <c r="O5831" t="s">
        <v>3959</v>
      </c>
      <c r="P5831" s="57">
        <v>1</v>
      </c>
      <c r="Q5831" s="57">
        <v>0</v>
      </c>
      <c r="R5831" s="57">
        <v>0</v>
      </c>
      <c r="S5831" s="57">
        <v>0</v>
      </c>
      <c r="T5831" s="57">
        <v>0</v>
      </c>
      <c r="U5831" s="57">
        <v>0</v>
      </c>
      <c r="V5831" s="57">
        <v>0</v>
      </c>
      <c r="W5831" s="57">
        <v>0</v>
      </c>
      <c r="X5831" s="57">
        <v>0</v>
      </c>
    </row>
    <row r="5832" spans="1:24" hidden="1" x14ac:dyDescent="0.35">
      <c r="A5832">
        <v>5828</v>
      </c>
      <c r="B5832">
        <v>5829</v>
      </c>
      <c r="C5832">
        <v>146.075677751999</v>
      </c>
      <c r="D5832">
        <v>-17.638557025600001</v>
      </c>
      <c r="F5832" t="str">
        <f>HYPERLINK("D:\Data From Lucan\2024\Moresby\Frames_for_Analysis/5829_20240611_0008_L_0510.jpg","5829_20240611_0008_L_0510.jpg")</f>
        <v>5829_20240611_0008_L_0510.jpg</v>
      </c>
      <c r="G5832" s="92" t="s">
        <v>6031</v>
      </c>
      <c r="I5832">
        <v>4</v>
      </c>
      <c r="K5832" s="57">
        <v>1</v>
      </c>
      <c r="L5832" t="s">
        <v>3959</v>
      </c>
      <c r="M5832" t="s">
        <v>3959</v>
      </c>
      <c r="N5832" t="s">
        <v>3959</v>
      </c>
      <c r="O5832" t="s">
        <v>3959</v>
      </c>
      <c r="P5832" s="57">
        <v>1</v>
      </c>
      <c r="Q5832" s="57">
        <v>0</v>
      </c>
      <c r="R5832" s="57">
        <v>0</v>
      </c>
      <c r="S5832" s="57">
        <v>0</v>
      </c>
      <c r="T5832" s="57">
        <v>0</v>
      </c>
      <c r="U5832" s="57">
        <v>0</v>
      </c>
      <c r="V5832" s="57">
        <v>0</v>
      </c>
      <c r="W5832" s="57">
        <v>0</v>
      </c>
      <c r="X5832" s="57">
        <v>0</v>
      </c>
    </row>
    <row r="5833" spans="1:24" hidden="1" x14ac:dyDescent="0.35">
      <c r="A5833">
        <v>5829</v>
      </c>
      <c r="B5833">
        <v>5830</v>
      </c>
      <c r="C5833">
        <v>146.075753173999</v>
      </c>
      <c r="D5833">
        <v>-17.638510521400001</v>
      </c>
      <c r="F5833" t="str">
        <f>HYPERLINK("D:\Data From Lucan\2024\Moresby\Frames_for_Analysis/5830_20240611_0008_L_0513.jpg","5830_20240611_0008_L_0513.jpg")</f>
        <v>5830_20240611_0008_L_0513.jpg</v>
      </c>
      <c r="G5833" s="92" t="s">
        <v>6032</v>
      </c>
      <c r="I5833">
        <v>4</v>
      </c>
      <c r="K5833" s="57">
        <v>1</v>
      </c>
      <c r="L5833" t="s">
        <v>3959</v>
      </c>
      <c r="M5833" t="s">
        <v>3959</v>
      </c>
      <c r="N5833" t="s">
        <v>3959</v>
      </c>
      <c r="O5833" t="s">
        <v>3959</v>
      </c>
      <c r="P5833" s="57">
        <v>1</v>
      </c>
      <c r="Q5833" s="57">
        <v>0</v>
      </c>
      <c r="R5833" s="57">
        <v>0</v>
      </c>
      <c r="S5833" s="57">
        <v>0</v>
      </c>
      <c r="T5833" s="57">
        <v>0</v>
      </c>
      <c r="U5833" s="57">
        <v>0</v>
      </c>
      <c r="V5833" s="57">
        <v>0</v>
      </c>
      <c r="W5833" s="57">
        <v>0</v>
      </c>
      <c r="X5833" s="57">
        <v>0</v>
      </c>
    </row>
    <row r="5834" spans="1:24" hidden="1" x14ac:dyDescent="0.35">
      <c r="A5834">
        <v>5830</v>
      </c>
      <c r="B5834">
        <v>5831</v>
      </c>
      <c r="C5834">
        <v>146.075828594999</v>
      </c>
      <c r="D5834">
        <v>-17.638464017099899</v>
      </c>
      <c r="F5834" t="str">
        <f>HYPERLINK("D:\Data From Lucan\2024\Moresby\Frames_for_Analysis/5831_20240611_0008_L_0516.jpg","5831_20240611_0008_L_0516.jpg")</f>
        <v>5831_20240611_0008_L_0516.jpg</v>
      </c>
      <c r="G5834" s="92" t="s">
        <v>6033</v>
      </c>
      <c r="I5834">
        <v>4</v>
      </c>
      <c r="K5834" s="57">
        <v>1</v>
      </c>
      <c r="L5834" t="s">
        <v>3959</v>
      </c>
      <c r="M5834" t="s">
        <v>3959</v>
      </c>
      <c r="N5834" t="s">
        <v>3959</v>
      </c>
      <c r="O5834" t="s">
        <v>3959</v>
      </c>
      <c r="P5834" s="57">
        <v>1</v>
      </c>
      <c r="Q5834" s="57">
        <v>0</v>
      </c>
      <c r="R5834" s="57">
        <v>0</v>
      </c>
      <c r="S5834" s="57">
        <v>0</v>
      </c>
      <c r="T5834" s="57">
        <v>0</v>
      </c>
      <c r="U5834" s="57">
        <v>0</v>
      </c>
      <c r="V5834" s="57">
        <v>0</v>
      </c>
      <c r="W5834" s="57">
        <v>0</v>
      </c>
      <c r="X5834" s="57">
        <v>0</v>
      </c>
    </row>
    <row r="5835" spans="1:24" hidden="1" x14ac:dyDescent="0.35">
      <c r="A5835">
        <v>5831</v>
      </c>
      <c r="B5835">
        <v>5832</v>
      </c>
      <c r="C5835">
        <v>146.07589339699899</v>
      </c>
      <c r="D5835">
        <v>-17.6384048526999</v>
      </c>
      <c r="F5835" t="str">
        <f>HYPERLINK("D:\Data From Lucan\2024\Moresby\Frames_for_Analysis/5832_20240611_0008_L_0519.jpg","5832_20240611_0008_L_0519.jpg")</f>
        <v>5832_20240611_0008_L_0519.jpg</v>
      </c>
      <c r="G5835" s="92" t="s">
        <v>6034</v>
      </c>
      <c r="I5835">
        <v>4</v>
      </c>
      <c r="K5835" s="57">
        <v>1</v>
      </c>
      <c r="L5835" t="s">
        <v>3959</v>
      </c>
      <c r="M5835" t="s">
        <v>3959</v>
      </c>
      <c r="N5835" t="s">
        <v>3959</v>
      </c>
      <c r="O5835" t="s">
        <v>3959</v>
      </c>
      <c r="P5835" s="57">
        <v>1</v>
      </c>
      <c r="Q5835" s="57">
        <v>0</v>
      </c>
      <c r="R5835" s="57">
        <v>0</v>
      </c>
      <c r="S5835" s="57">
        <v>0</v>
      </c>
      <c r="T5835" s="57">
        <v>0</v>
      </c>
      <c r="U5835" s="57">
        <v>0</v>
      </c>
      <c r="V5835" s="57">
        <v>0</v>
      </c>
      <c r="W5835" s="57">
        <v>0</v>
      </c>
      <c r="X5835" s="57">
        <v>0</v>
      </c>
    </row>
    <row r="5836" spans="1:24" hidden="1" x14ac:dyDescent="0.35">
      <c r="A5836">
        <v>5832</v>
      </c>
      <c r="B5836">
        <v>5833</v>
      </c>
      <c r="C5836">
        <v>146.07595760199899</v>
      </c>
      <c r="D5836">
        <v>-17.6383449785999</v>
      </c>
      <c r="F5836" t="str">
        <f>HYPERLINK("D:\Data From Lucan\2024\Moresby\Frames_for_Analysis/5833_20240611_0008_L_0522.jpg","5833_20240611_0008_L_0522.jpg")</f>
        <v>5833_20240611_0008_L_0522.jpg</v>
      </c>
      <c r="G5836" s="92" t="s">
        <v>6035</v>
      </c>
      <c r="I5836">
        <v>4</v>
      </c>
      <c r="K5836" s="57">
        <v>1</v>
      </c>
      <c r="L5836" t="s">
        <v>3959</v>
      </c>
      <c r="M5836" t="s">
        <v>3959</v>
      </c>
      <c r="N5836" t="s">
        <v>3959</v>
      </c>
      <c r="O5836" t="s">
        <v>3959</v>
      </c>
      <c r="P5836" s="57">
        <v>1</v>
      </c>
      <c r="Q5836" s="57">
        <v>0</v>
      </c>
      <c r="R5836" s="57">
        <v>0</v>
      </c>
      <c r="S5836" s="57">
        <v>0</v>
      </c>
      <c r="T5836" s="57">
        <v>0</v>
      </c>
      <c r="U5836" s="57">
        <v>0</v>
      </c>
      <c r="V5836" s="57">
        <v>0</v>
      </c>
      <c r="W5836" s="57">
        <v>0</v>
      </c>
      <c r="X5836" s="57">
        <v>0</v>
      </c>
    </row>
    <row r="5837" spans="1:24" hidden="1" x14ac:dyDescent="0.35">
      <c r="A5837">
        <v>5833</v>
      </c>
      <c r="B5837">
        <v>5834</v>
      </c>
      <c r="C5837">
        <v>146.07602180800001</v>
      </c>
      <c r="D5837">
        <v>-17.6382851045</v>
      </c>
      <c r="F5837" t="str">
        <f>HYPERLINK("D:\Data From Lucan\2024\Moresby\Frames_for_Analysis/5834_20240611_0008_L_0525.jpg","5834_20240611_0008_L_0525.jpg")</f>
        <v>5834_20240611_0008_L_0525.jpg</v>
      </c>
      <c r="G5837" s="92" t="s">
        <v>6036</v>
      </c>
      <c r="I5837">
        <v>4</v>
      </c>
      <c r="K5837" s="57">
        <v>1</v>
      </c>
      <c r="L5837" t="s">
        <v>3959</v>
      </c>
      <c r="M5837" t="s">
        <v>3959</v>
      </c>
      <c r="N5837" t="s">
        <v>3959</v>
      </c>
      <c r="O5837" t="s">
        <v>3959</v>
      </c>
      <c r="P5837" s="57">
        <v>1</v>
      </c>
      <c r="Q5837" s="57">
        <v>0</v>
      </c>
      <c r="R5837" s="57">
        <v>0</v>
      </c>
      <c r="S5837" s="57">
        <v>0</v>
      </c>
      <c r="T5837" s="57">
        <v>0</v>
      </c>
      <c r="U5837" s="57">
        <v>0</v>
      </c>
      <c r="V5837" s="57">
        <v>0</v>
      </c>
      <c r="W5837" s="57">
        <v>0</v>
      </c>
      <c r="X5837" s="57">
        <v>0</v>
      </c>
    </row>
    <row r="5838" spans="1:24" hidden="1" x14ac:dyDescent="0.35">
      <c r="A5838">
        <v>5834</v>
      </c>
      <c r="B5838">
        <v>5835</v>
      </c>
      <c r="C5838">
        <v>146.076086013999</v>
      </c>
      <c r="D5838">
        <v>-17.6382252304</v>
      </c>
      <c r="F5838" t="str">
        <f>HYPERLINK("D:\Data From Lucan\2024\Moresby\Frames_for_Analysis/5835_20240611_0008_L_0528.jpg","5835_20240611_0008_L_0528.jpg")</f>
        <v>5835_20240611_0008_L_0528.jpg</v>
      </c>
      <c r="G5838" s="92" t="s">
        <v>6037</v>
      </c>
      <c r="I5838">
        <v>4</v>
      </c>
      <c r="K5838" s="57">
        <v>1</v>
      </c>
      <c r="L5838" t="s">
        <v>3959</v>
      </c>
      <c r="M5838" t="s">
        <v>3959</v>
      </c>
      <c r="N5838" t="s">
        <v>3959</v>
      </c>
      <c r="O5838" t="s">
        <v>3959</v>
      </c>
      <c r="P5838" s="57">
        <v>1</v>
      </c>
      <c r="Q5838" s="57">
        <v>0</v>
      </c>
      <c r="R5838" s="57">
        <v>0</v>
      </c>
      <c r="S5838" s="57">
        <v>0</v>
      </c>
      <c r="T5838" s="57">
        <v>0</v>
      </c>
      <c r="U5838" s="57">
        <v>0</v>
      </c>
      <c r="V5838" s="57">
        <v>0</v>
      </c>
      <c r="W5838" s="57">
        <v>0</v>
      </c>
      <c r="X5838" s="57">
        <v>0</v>
      </c>
    </row>
    <row r="5839" spans="1:24" hidden="1" x14ac:dyDescent="0.35">
      <c r="A5839">
        <v>5835</v>
      </c>
      <c r="B5839">
        <v>5836</v>
      </c>
      <c r="C5839">
        <v>146.07615021999899</v>
      </c>
      <c r="D5839">
        <v>-17.6381653563</v>
      </c>
      <c r="F5839" t="str">
        <f>HYPERLINK("D:\Data From Lucan\2024\Moresby\Frames_for_Analysis/5836_20240611_0008_L_0531.jpg","5836_20240611_0008_L_0531.jpg")</f>
        <v>5836_20240611_0008_L_0531.jpg</v>
      </c>
      <c r="G5839" s="92" t="s">
        <v>6038</v>
      </c>
      <c r="I5839">
        <v>4</v>
      </c>
      <c r="K5839" s="57">
        <v>1</v>
      </c>
      <c r="L5839" t="s">
        <v>3959</v>
      </c>
      <c r="M5839" t="s">
        <v>3959</v>
      </c>
      <c r="N5839" t="s">
        <v>3959</v>
      </c>
      <c r="O5839" t="s">
        <v>3959</v>
      </c>
      <c r="P5839" s="57">
        <v>1</v>
      </c>
      <c r="Q5839" s="57">
        <v>0</v>
      </c>
      <c r="R5839" s="57">
        <v>0</v>
      </c>
      <c r="S5839" s="57">
        <v>0</v>
      </c>
      <c r="T5839" s="57">
        <v>0</v>
      </c>
      <c r="U5839" s="57">
        <v>0</v>
      </c>
      <c r="V5839" s="57">
        <v>0</v>
      </c>
      <c r="W5839" s="57">
        <v>0</v>
      </c>
      <c r="X5839" s="57">
        <v>0</v>
      </c>
    </row>
    <row r="5840" spans="1:24" hidden="1" x14ac:dyDescent="0.35">
      <c r="A5840">
        <v>5836</v>
      </c>
      <c r="B5840">
        <v>5837</v>
      </c>
      <c r="C5840">
        <v>146.07621442499899</v>
      </c>
      <c r="D5840">
        <v>-17.638105482099899</v>
      </c>
      <c r="F5840" t="str">
        <f>HYPERLINK("D:\Data From Lucan\2024\Moresby\Frames_for_Analysis/5837_20240611_0008_L_0535.jpg","5837_20240611_0008_L_0535.jpg")</f>
        <v>5837_20240611_0008_L_0535.jpg</v>
      </c>
      <c r="G5840" s="92" t="s">
        <v>6039</v>
      </c>
      <c r="I5840">
        <v>4</v>
      </c>
      <c r="K5840" s="57">
        <v>1</v>
      </c>
      <c r="L5840" t="s">
        <v>3959</v>
      </c>
      <c r="M5840" t="s">
        <v>3959</v>
      </c>
      <c r="N5840" t="s">
        <v>3959</v>
      </c>
      <c r="O5840" t="s">
        <v>3959</v>
      </c>
      <c r="P5840" s="57">
        <v>1</v>
      </c>
      <c r="Q5840" s="57">
        <v>0</v>
      </c>
      <c r="R5840" s="57">
        <v>0</v>
      </c>
      <c r="S5840" s="57">
        <v>0</v>
      </c>
      <c r="T5840" s="57">
        <v>0</v>
      </c>
      <c r="U5840" s="57">
        <v>0</v>
      </c>
      <c r="V5840" s="57">
        <v>0</v>
      </c>
      <c r="W5840" s="57">
        <v>0</v>
      </c>
      <c r="X5840" s="57">
        <v>0</v>
      </c>
    </row>
    <row r="5841" spans="1:24" hidden="1" x14ac:dyDescent="0.35">
      <c r="A5841">
        <v>5837</v>
      </c>
      <c r="B5841">
        <v>5838</v>
      </c>
      <c r="C5841">
        <v>146.07628659900001</v>
      </c>
      <c r="D5841">
        <v>-17.6380545899999</v>
      </c>
      <c r="F5841" t="str">
        <f>HYPERLINK("D:\Data From Lucan\2024\Moresby\Frames_for_Analysis/5838_20240611_0008_L_0538.jpg","5838_20240611_0008_L_0538.jpg")</f>
        <v>5838_20240611_0008_L_0538.jpg</v>
      </c>
      <c r="G5841" s="92" t="s">
        <v>6040</v>
      </c>
      <c r="I5841">
        <v>4</v>
      </c>
      <c r="K5841" s="57">
        <v>1</v>
      </c>
      <c r="L5841" t="s">
        <v>3959</v>
      </c>
      <c r="M5841" t="s">
        <v>3959</v>
      </c>
      <c r="N5841" t="s">
        <v>3959</v>
      </c>
      <c r="O5841" t="s">
        <v>3959</v>
      </c>
      <c r="P5841" s="57">
        <v>1</v>
      </c>
      <c r="Q5841" s="57">
        <v>0</v>
      </c>
      <c r="R5841" s="57">
        <v>0</v>
      </c>
      <c r="S5841" s="57">
        <v>0</v>
      </c>
      <c r="T5841" s="57">
        <v>0</v>
      </c>
      <c r="U5841" s="57">
        <v>0</v>
      </c>
      <c r="V5841" s="57">
        <v>0</v>
      </c>
      <c r="W5841" s="57">
        <v>0</v>
      </c>
      <c r="X5841" s="57">
        <v>0</v>
      </c>
    </row>
    <row r="5842" spans="1:24" hidden="1" x14ac:dyDescent="0.35">
      <c r="A5842">
        <v>5838</v>
      </c>
      <c r="B5842">
        <v>5839</v>
      </c>
      <c r="C5842">
        <v>146.07635923300001</v>
      </c>
      <c r="D5842">
        <v>-17.638004216900001</v>
      </c>
      <c r="F5842" t="str">
        <f>HYPERLINK("D:\Data From Lucan\2024\Moresby\Frames_for_Analysis/5839_20240611_0008_L_0542.jpg","5839_20240611_0008_L_0542.jpg")</f>
        <v>5839_20240611_0008_L_0542.jpg</v>
      </c>
      <c r="G5842" s="92" t="s">
        <v>6041</v>
      </c>
      <c r="I5842">
        <v>4</v>
      </c>
      <c r="K5842" s="57">
        <v>1</v>
      </c>
      <c r="L5842" t="s">
        <v>3959</v>
      </c>
      <c r="M5842" t="s">
        <v>3959</v>
      </c>
      <c r="N5842" t="s">
        <v>3959</v>
      </c>
      <c r="O5842" t="s">
        <v>3959</v>
      </c>
      <c r="P5842" s="57">
        <v>1</v>
      </c>
      <c r="Q5842" s="57">
        <v>0</v>
      </c>
      <c r="R5842" s="57">
        <v>0</v>
      </c>
      <c r="S5842" s="57">
        <v>0</v>
      </c>
      <c r="T5842" s="57">
        <v>0</v>
      </c>
      <c r="U5842" s="57">
        <v>0</v>
      </c>
      <c r="V5842" s="57">
        <v>0</v>
      </c>
      <c r="W5842" s="57">
        <v>0</v>
      </c>
      <c r="X5842" s="57">
        <v>0</v>
      </c>
    </row>
    <row r="5843" spans="1:24" hidden="1" x14ac:dyDescent="0.35">
      <c r="A5843">
        <v>5839</v>
      </c>
      <c r="B5843">
        <v>5840</v>
      </c>
      <c r="C5843">
        <v>146.07643186799899</v>
      </c>
      <c r="D5843">
        <v>-17.637953843799899</v>
      </c>
      <c r="F5843" t="str">
        <f>HYPERLINK("D:\Data From Lucan\2024\Moresby\Frames_for_Analysis/5840_20240611_0008_L_0547.jpg","5840_20240611_0008_L_0547.jpg")</f>
        <v>5840_20240611_0008_L_0547.jpg</v>
      </c>
      <c r="G5843" s="92" t="s">
        <v>6042</v>
      </c>
      <c r="I5843">
        <v>4</v>
      </c>
      <c r="K5843" s="57">
        <v>1</v>
      </c>
      <c r="L5843" t="s">
        <v>3959</v>
      </c>
      <c r="M5843" t="s">
        <v>3959</v>
      </c>
      <c r="N5843" t="s">
        <v>3959</v>
      </c>
      <c r="O5843" t="s">
        <v>3959</v>
      </c>
      <c r="P5843" s="57">
        <v>1</v>
      </c>
      <c r="Q5843" s="57">
        <v>0</v>
      </c>
      <c r="R5843" s="57">
        <v>0</v>
      </c>
      <c r="S5843" s="57">
        <v>0</v>
      </c>
      <c r="T5843" s="57">
        <v>0</v>
      </c>
      <c r="U5843" s="57">
        <v>0</v>
      </c>
      <c r="V5843" s="57">
        <v>0</v>
      </c>
      <c r="W5843" s="57">
        <v>0</v>
      </c>
      <c r="X5843" s="57">
        <v>0</v>
      </c>
    </row>
    <row r="5844" spans="1:24" hidden="1" x14ac:dyDescent="0.35">
      <c r="A5844">
        <v>5840</v>
      </c>
      <c r="B5844">
        <v>5841</v>
      </c>
      <c r="C5844">
        <v>146.07650450200001</v>
      </c>
      <c r="D5844">
        <v>-17.6379034707</v>
      </c>
      <c r="F5844" t="str">
        <f>HYPERLINK("D:\Data From Lucan\2024\Moresby\Frames_for_Analysis/5841_20240611_0008_L_0551.jpg","5841_20240611_0008_L_0551.jpg")</f>
        <v>5841_20240611_0008_L_0551.jpg</v>
      </c>
      <c r="G5844" s="92" t="s">
        <v>6043</v>
      </c>
      <c r="I5844">
        <v>3</v>
      </c>
      <c r="K5844" s="57">
        <v>1</v>
      </c>
      <c r="L5844" t="s">
        <v>3959</v>
      </c>
      <c r="M5844" t="s">
        <v>3959</v>
      </c>
      <c r="N5844" t="s">
        <v>3959</v>
      </c>
      <c r="O5844" t="s">
        <v>3959</v>
      </c>
      <c r="P5844" s="57">
        <v>1</v>
      </c>
      <c r="Q5844" s="57">
        <v>0</v>
      </c>
      <c r="R5844" s="57">
        <v>0</v>
      </c>
      <c r="S5844" s="57">
        <v>0</v>
      </c>
      <c r="T5844" s="57">
        <v>0</v>
      </c>
      <c r="U5844" s="57">
        <v>0</v>
      </c>
      <c r="V5844" s="57">
        <v>0</v>
      </c>
      <c r="W5844" s="57">
        <v>0</v>
      </c>
      <c r="X5844" s="57">
        <v>0</v>
      </c>
    </row>
    <row r="5845" spans="1:24" hidden="1" x14ac:dyDescent="0.35">
      <c r="A5845">
        <v>5841</v>
      </c>
      <c r="B5845">
        <v>5842</v>
      </c>
      <c r="C5845">
        <v>146.07657730899899</v>
      </c>
      <c r="D5845">
        <v>-17.637853362600001</v>
      </c>
      <c r="F5845" t="str">
        <f>HYPERLINK("D:\Data From Lucan\2024\Moresby\Frames_for_Analysis/5842_20240611_0008_L_0555.jpg","5842_20240611_0008_L_0555.jpg")</f>
        <v>5842_20240611_0008_L_0555.jpg</v>
      </c>
      <c r="G5845" s="92" t="s">
        <v>6044</v>
      </c>
      <c r="I5845">
        <v>3</v>
      </c>
      <c r="K5845" s="57">
        <v>1</v>
      </c>
      <c r="L5845" t="s">
        <v>3959</v>
      </c>
      <c r="M5845" t="s">
        <v>3959</v>
      </c>
      <c r="N5845" t="s">
        <v>3959</v>
      </c>
      <c r="O5845" t="s">
        <v>3959</v>
      </c>
      <c r="P5845" s="57">
        <v>1</v>
      </c>
      <c r="Q5845" s="57">
        <v>0</v>
      </c>
      <c r="R5845" s="57">
        <v>0</v>
      </c>
      <c r="S5845" s="57">
        <v>0</v>
      </c>
      <c r="T5845" s="57">
        <v>0</v>
      </c>
      <c r="U5845" s="57">
        <v>0</v>
      </c>
      <c r="V5845" s="57">
        <v>0</v>
      </c>
      <c r="W5845" s="57">
        <v>0</v>
      </c>
      <c r="X5845" s="57">
        <v>0</v>
      </c>
    </row>
    <row r="5846" spans="1:24" hidden="1" x14ac:dyDescent="0.35">
      <c r="A5846">
        <v>5842</v>
      </c>
      <c r="B5846">
        <v>5843</v>
      </c>
      <c r="C5846">
        <v>146.076656071999</v>
      </c>
      <c r="D5846">
        <v>-17.637812218899899</v>
      </c>
      <c r="F5846" t="str">
        <f>HYPERLINK("D:\Data From Lucan\2024\Moresby\Frames_for_Analysis/5843_20240611_0008_L_0566.jpg","5843_20240611_0008_L_0566.jpg")</f>
        <v>5843_20240611_0008_L_0566.jpg</v>
      </c>
      <c r="G5846" s="92" t="s">
        <v>6045</v>
      </c>
      <c r="I5846">
        <v>3</v>
      </c>
      <c r="K5846" s="57">
        <v>1</v>
      </c>
      <c r="L5846" t="s">
        <v>3959</v>
      </c>
      <c r="M5846" t="s">
        <v>3959</v>
      </c>
      <c r="N5846" t="s">
        <v>3959</v>
      </c>
      <c r="O5846" t="s">
        <v>3959</v>
      </c>
      <c r="P5846" s="57">
        <v>1</v>
      </c>
      <c r="Q5846" s="57">
        <v>0</v>
      </c>
      <c r="R5846" s="57">
        <v>0</v>
      </c>
      <c r="S5846" s="57">
        <v>0</v>
      </c>
      <c r="T5846" s="57">
        <v>0</v>
      </c>
      <c r="U5846" s="57">
        <v>0</v>
      </c>
      <c r="V5846" s="57">
        <v>0</v>
      </c>
      <c r="W5846" s="57">
        <v>0</v>
      </c>
      <c r="X5846" s="57">
        <v>0</v>
      </c>
    </row>
    <row r="5847" spans="1:24" hidden="1" x14ac:dyDescent="0.35">
      <c r="A5847">
        <v>5843</v>
      </c>
      <c r="B5847">
        <v>5844</v>
      </c>
      <c r="C5847">
        <v>146.076734144</v>
      </c>
      <c r="D5847">
        <v>-17.637769874100002</v>
      </c>
      <c r="F5847" t="str">
        <f>HYPERLINK("D:\Data From Lucan\2024\Moresby\Frames_for_Analysis/5844_20240611_0008_L_0571.jpg","5844_20240611_0008_L_0571.jpg")</f>
        <v>5844_20240611_0008_L_0571.jpg</v>
      </c>
      <c r="G5847" s="92" t="s">
        <v>6046</v>
      </c>
      <c r="I5847">
        <v>3</v>
      </c>
      <c r="K5847" s="57">
        <v>1</v>
      </c>
      <c r="L5847" t="s">
        <v>3959</v>
      </c>
      <c r="M5847" t="s">
        <v>3959</v>
      </c>
      <c r="N5847" t="s">
        <v>3959</v>
      </c>
      <c r="O5847" t="s">
        <v>3959</v>
      </c>
      <c r="P5847" s="57">
        <v>1</v>
      </c>
      <c r="Q5847" s="57">
        <v>0</v>
      </c>
      <c r="R5847" s="57">
        <v>0</v>
      </c>
      <c r="S5847" s="57">
        <v>0</v>
      </c>
      <c r="T5847" s="57">
        <v>0</v>
      </c>
      <c r="U5847" s="57">
        <v>0</v>
      </c>
      <c r="V5847" s="57">
        <v>0</v>
      </c>
      <c r="W5847" s="57">
        <v>0</v>
      </c>
      <c r="X5847" s="57">
        <v>0</v>
      </c>
    </row>
    <row r="5848" spans="1:24" hidden="1" x14ac:dyDescent="0.35">
      <c r="A5848">
        <v>5844</v>
      </c>
      <c r="B5848">
        <v>5845</v>
      </c>
      <c r="C5848">
        <v>146.076812216999</v>
      </c>
      <c r="D5848">
        <v>-17.637727529300001</v>
      </c>
      <c r="F5848" t="str">
        <f>HYPERLINK("D:\Data From Lucan\2024\Moresby\Frames_for_Analysis/5845_20240611_0008_L_0574.jpg","5845_20240611_0008_L_0574.jpg")</f>
        <v>5845_20240611_0008_L_0574.jpg</v>
      </c>
      <c r="G5848" s="92" t="s">
        <v>6047</v>
      </c>
      <c r="I5848">
        <v>3</v>
      </c>
      <c r="K5848" s="57">
        <v>1</v>
      </c>
      <c r="L5848" t="s">
        <v>3959</v>
      </c>
      <c r="M5848" t="s">
        <v>3959</v>
      </c>
      <c r="N5848" t="s">
        <v>3959</v>
      </c>
      <c r="O5848" t="s">
        <v>3959</v>
      </c>
      <c r="P5848" s="57">
        <v>1</v>
      </c>
      <c r="Q5848" s="57">
        <v>0</v>
      </c>
      <c r="R5848" s="57">
        <v>0</v>
      </c>
      <c r="S5848" s="57">
        <v>0</v>
      </c>
      <c r="T5848" s="57">
        <v>0</v>
      </c>
      <c r="U5848" s="57">
        <v>0</v>
      </c>
      <c r="V5848" s="57">
        <v>0</v>
      </c>
      <c r="W5848" s="57">
        <v>0</v>
      </c>
      <c r="X5848" s="57">
        <v>0</v>
      </c>
    </row>
    <row r="5849" spans="1:24" hidden="1" x14ac:dyDescent="0.35">
      <c r="A5849">
        <v>5845</v>
      </c>
      <c r="B5849">
        <v>5846</v>
      </c>
      <c r="C5849">
        <v>146.076890289999</v>
      </c>
      <c r="D5849">
        <v>-17.6376851845</v>
      </c>
      <c r="F5849" t="str">
        <f>HYPERLINK("D:\Data From Lucan\2024\Moresby\Frames_for_Analysis/5846_20240611_0008_L_0583.jpg","5846_20240611_0008_L_0583.jpg")</f>
        <v>5846_20240611_0008_L_0583.jpg</v>
      </c>
      <c r="G5849" s="92" t="s">
        <v>6048</v>
      </c>
      <c r="I5849">
        <v>3</v>
      </c>
      <c r="K5849" s="57">
        <v>1</v>
      </c>
      <c r="L5849" t="s">
        <v>3959</v>
      </c>
      <c r="M5849" t="s">
        <v>3959</v>
      </c>
      <c r="N5849" t="s">
        <v>3959</v>
      </c>
      <c r="O5849" t="s">
        <v>3959</v>
      </c>
      <c r="P5849" s="57">
        <v>1</v>
      </c>
      <c r="Q5849" s="57">
        <v>0</v>
      </c>
      <c r="R5849" s="57">
        <v>0</v>
      </c>
      <c r="S5849" s="57">
        <v>0</v>
      </c>
      <c r="T5849" s="57">
        <v>0</v>
      </c>
      <c r="U5849" s="57">
        <v>0</v>
      </c>
      <c r="V5849" s="57">
        <v>0</v>
      </c>
      <c r="W5849" s="57">
        <v>0</v>
      </c>
      <c r="X5849" s="57">
        <v>0</v>
      </c>
    </row>
    <row r="5850" spans="1:24" hidden="1" x14ac:dyDescent="0.35">
      <c r="A5850">
        <v>5846</v>
      </c>
      <c r="B5850">
        <v>5847</v>
      </c>
      <c r="C5850">
        <v>146.07696853799899</v>
      </c>
      <c r="D5850">
        <v>-17.637643134600001</v>
      </c>
      <c r="F5850" t="str">
        <f>HYPERLINK("D:\Data From Lucan\2024\Moresby\Frames_for_Analysis/5847_20240611_0008_L_0588.jpg","5847_20240611_0008_L_0588.jpg")</f>
        <v>5847_20240611_0008_L_0588.jpg</v>
      </c>
      <c r="G5850" s="92" t="s">
        <v>6049</v>
      </c>
      <c r="I5850">
        <v>3</v>
      </c>
      <c r="K5850" s="57">
        <v>1</v>
      </c>
      <c r="L5850" t="s">
        <v>3959</v>
      </c>
      <c r="M5850" t="s">
        <v>3959</v>
      </c>
      <c r="N5850" t="s">
        <v>3959</v>
      </c>
      <c r="O5850" t="s">
        <v>3959</v>
      </c>
      <c r="P5850" s="57">
        <v>1</v>
      </c>
      <c r="Q5850" s="57">
        <v>0</v>
      </c>
      <c r="R5850" s="57">
        <v>0</v>
      </c>
      <c r="S5850" s="57">
        <v>0</v>
      </c>
      <c r="T5850" s="57">
        <v>0</v>
      </c>
      <c r="U5850" s="57">
        <v>0</v>
      </c>
      <c r="V5850" s="57">
        <v>0</v>
      </c>
      <c r="W5850" s="57">
        <v>0</v>
      </c>
      <c r="X5850" s="57">
        <v>0</v>
      </c>
    </row>
    <row r="5851" spans="1:24" hidden="1" x14ac:dyDescent="0.35">
      <c r="A5851">
        <v>5847</v>
      </c>
      <c r="B5851">
        <v>5848</v>
      </c>
      <c r="C5851">
        <v>146.07704997600001</v>
      </c>
      <c r="D5851">
        <v>-17.637607205799899</v>
      </c>
      <c r="F5851" t="str">
        <f>HYPERLINK("D:\Data From Lucan\2024\Moresby\Frames_for_Analysis/5848_20240611_0008_L_0593.jpg","5848_20240611_0008_L_0593.jpg")</f>
        <v>5848_20240611_0008_L_0593.jpg</v>
      </c>
      <c r="G5851" s="92" t="s">
        <v>6050</v>
      </c>
      <c r="I5851">
        <v>3</v>
      </c>
      <c r="K5851" s="57">
        <v>1</v>
      </c>
      <c r="L5851" t="s">
        <v>3959</v>
      </c>
      <c r="M5851" t="s">
        <v>3959</v>
      </c>
      <c r="N5851" t="s">
        <v>3959</v>
      </c>
      <c r="O5851" t="s">
        <v>3959</v>
      </c>
      <c r="P5851" s="57">
        <v>1</v>
      </c>
      <c r="Q5851" s="57">
        <v>0</v>
      </c>
      <c r="R5851" s="57">
        <v>0</v>
      </c>
      <c r="S5851" s="57">
        <v>0</v>
      </c>
      <c r="T5851" s="57">
        <v>0</v>
      </c>
      <c r="U5851" s="57">
        <v>0</v>
      </c>
      <c r="V5851" s="57">
        <v>0</v>
      </c>
      <c r="W5851" s="57">
        <v>0</v>
      </c>
      <c r="X5851" s="57">
        <v>0</v>
      </c>
    </row>
    <row r="5852" spans="1:24" hidden="1" x14ac:dyDescent="0.35">
      <c r="A5852">
        <v>5848</v>
      </c>
      <c r="B5852">
        <v>5849</v>
      </c>
      <c r="C5852">
        <v>146.077132419999</v>
      </c>
      <c r="D5852">
        <v>-17.6375732067999</v>
      </c>
      <c r="F5852" t="str">
        <f>HYPERLINK("D:\Data From Lucan\2024\Moresby\Frames_for_Analysis/5849_20240611_0008_L_0599.jpg","5849_20240611_0008_L_0599.jpg")</f>
        <v>5849_20240611_0008_L_0599.jpg</v>
      </c>
      <c r="G5852" s="92" t="s">
        <v>6051</v>
      </c>
      <c r="I5852">
        <v>3</v>
      </c>
      <c r="K5852" s="57">
        <v>1</v>
      </c>
      <c r="L5852" t="s">
        <v>3959</v>
      </c>
      <c r="M5852" t="s">
        <v>3959</v>
      </c>
      <c r="N5852" t="s">
        <v>3959</v>
      </c>
      <c r="O5852" t="s">
        <v>3959</v>
      </c>
      <c r="P5852" s="57">
        <v>1</v>
      </c>
      <c r="Q5852" s="57">
        <v>0</v>
      </c>
      <c r="R5852" s="57">
        <v>0</v>
      </c>
      <c r="S5852" s="57">
        <v>0</v>
      </c>
      <c r="T5852" s="57">
        <v>0</v>
      </c>
      <c r="U5852" s="57">
        <v>0</v>
      </c>
      <c r="V5852" s="57">
        <v>0</v>
      </c>
      <c r="W5852" s="57">
        <v>0</v>
      </c>
      <c r="X5852" s="57">
        <v>0</v>
      </c>
    </row>
    <row r="5853" spans="1:24" hidden="1" x14ac:dyDescent="0.35">
      <c r="A5853">
        <v>5849</v>
      </c>
      <c r="B5853">
        <v>5850</v>
      </c>
      <c r="C5853">
        <v>146.077214862999</v>
      </c>
      <c r="D5853">
        <v>-17.6375392078</v>
      </c>
      <c r="F5853" t="str">
        <f>HYPERLINK("D:\Data From Lucan\2024\Moresby\Frames_for_Analysis/5850_20240611_0008_L_0603.jpg","5850_20240611_0008_L_0603.jpg")</f>
        <v>5850_20240611_0008_L_0603.jpg</v>
      </c>
      <c r="G5853" s="92" t="s">
        <v>6052</v>
      </c>
      <c r="I5853">
        <v>3</v>
      </c>
      <c r="K5853" s="57">
        <v>1</v>
      </c>
      <c r="L5853" t="s">
        <v>3959</v>
      </c>
      <c r="M5853" t="s">
        <v>3959</v>
      </c>
      <c r="N5853" t="s">
        <v>3959</v>
      </c>
      <c r="O5853" t="s">
        <v>3959</v>
      </c>
      <c r="P5853" s="57">
        <v>1</v>
      </c>
      <c r="Q5853" s="57">
        <v>0</v>
      </c>
      <c r="R5853" s="57">
        <v>0</v>
      </c>
      <c r="S5853" s="57">
        <v>0</v>
      </c>
      <c r="T5853" s="57">
        <v>0</v>
      </c>
      <c r="U5853" s="57">
        <v>0</v>
      </c>
      <c r="V5853" s="57">
        <v>0</v>
      </c>
      <c r="W5853" s="57">
        <v>0</v>
      </c>
      <c r="X5853" s="57">
        <v>0</v>
      </c>
    </row>
    <row r="5854" spans="1:24" hidden="1" x14ac:dyDescent="0.35">
      <c r="A5854">
        <v>5850</v>
      </c>
      <c r="B5854">
        <v>5851</v>
      </c>
      <c r="C5854">
        <v>146.07730097500001</v>
      </c>
      <c r="D5854">
        <v>-17.637525906699899</v>
      </c>
      <c r="F5854" t="str">
        <f>HYPERLINK("D:\Data From Lucan\2024\Moresby\Frames_for_Analysis/5851_20240611_0008_L_0609.jpg","5851_20240611_0008_L_0609.jpg")</f>
        <v>5851_20240611_0008_L_0609.jpg</v>
      </c>
      <c r="G5854" s="92" t="s">
        <v>6053</v>
      </c>
      <c r="I5854">
        <v>3</v>
      </c>
      <c r="K5854" s="57">
        <v>1</v>
      </c>
      <c r="L5854" t="s">
        <v>3959</v>
      </c>
      <c r="M5854" t="s">
        <v>3959</v>
      </c>
      <c r="N5854" t="s">
        <v>3959</v>
      </c>
      <c r="O5854" t="s">
        <v>3959</v>
      </c>
      <c r="P5854" s="57">
        <v>1</v>
      </c>
      <c r="Q5854" s="57">
        <v>0</v>
      </c>
      <c r="R5854" s="57">
        <v>0</v>
      </c>
      <c r="S5854" s="57">
        <v>0</v>
      </c>
      <c r="T5854" s="57">
        <v>0</v>
      </c>
      <c r="U5854" s="57">
        <v>0</v>
      </c>
      <c r="V5854" s="57">
        <v>0</v>
      </c>
      <c r="W5854" s="57">
        <v>0</v>
      </c>
      <c r="X5854" s="57">
        <v>0</v>
      </c>
    </row>
    <row r="5855" spans="1:24" hidden="1" x14ac:dyDescent="0.35">
      <c r="A5855">
        <v>5851</v>
      </c>
      <c r="B5855">
        <v>5852</v>
      </c>
      <c r="C5855">
        <v>146.077390562999</v>
      </c>
      <c r="D5855">
        <v>-17.637532211300002</v>
      </c>
      <c r="F5855" t="str">
        <f>HYPERLINK("D:\Data From Lucan\2024\Moresby\Frames_for_Analysis/5852_20240611_0008_L_0613.jpg","5852_20240611_0008_L_0613.jpg")</f>
        <v>5852_20240611_0008_L_0613.jpg</v>
      </c>
      <c r="G5855" s="92" t="s">
        <v>6054</v>
      </c>
      <c r="I5855">
        <v>3</v>
      </c>
      <c r="K5855" s="57">
        <v>1</v>
      </c>
      <c r="L5855" t="s">
        <v>3959</v>
      </c>
      <c r="M5855" t="s">
        <v>3959</v>
      </c>
      <c r="N5855" t="s">
        <v>3959</v>
      </c>
      <c r="O5855" t="s">
        <v>3959</v>
      </c>
      <c r="P5855" s="57">
        <v>1</v>
      </c>
      <c r="Q5855" s="57">
        <v>0</v>
      </c>
      <c r="R5855" s="57">
        <v>0</v>
      </c>
      <c r="S5855" s="57">
        <v>0</v>
      </c>
      <c r="T5855" s="57">
        <v>0</v>
      </c>
      <c r="U5855" s="57">
        <v>0</v>
      </c>
      <c r="V5855" s="57">
        <v>0</v>
      </c>
      <c r="W5855" s="57">
        <v>0</v>
      </c>
      <c r="X5855" s="57">
        <v>0</v>
      </c>
    </row>
    <row r="5856" spans="1:24" hidden="1" x14ac:dyDescent="0.35">
      <c r="A5856">
        <v>5852</v>
      </c>
      <c r="B5856">
        <v>5853</v>
      </c>
      <c r="C5856">
        <v>146.077480151</v>
      </c>
      <c r="D5856">
        <v>-17.637538515900001</v>
      </c>
      <c r="F5856" t="str">
        <f>HYPERLINK("D:\Data From Lucan\2024\Moresby\Frames_for_Analysis/5853_20240611_0008_L_0617.jpg","5853_20240611_0008_L_0617.jpg")</f>
        <v>5853_20240611_0008_L_0617.jpg</v>
      </c>
      <c r="G5856" s="92" t="s">
        <v>6055</v>
      </c>
      <c r="I5856">
        <v>3</v>
      </c>
      <c r="K5856" s="57">
        <v>1</v>
      </c>
      <c r="L5856" t="s">
        <v>3959</v>
      </c>
      <c r="M5856" t="s">
        <v>3959</v>
      </c>
      <c r="N5856" t="s">
        <v>3959</v>
      </c>
      <c r="O5856" t="s">
        <v>3959</v>
      </c>
      <c r="P5856" s="57">
        <v>1</v>
      </c>
      <c r="Q5856" s="57">
        <v>0</v>
      </c>
      <c r="R5856" s="57">
        <v>0</v>
      </c>
      <c r="S5856" s="57">
        <v>0</v>
      </c>
      <c r="T5856" s="57">
        <v>0</v>
      </c>
      <c r="U5856" s="57">
        <v>0</v>
      </c>
      <c r="V5856" s="57">
        <v>0</v>
      </c>
      <c r="W5856" s="57">
        <v>0</v>
      </c>
      <c r="X5856" s="57">
        <v>0</v>
      </c>
    </row>
    <row r="5857" spans="1:24" hidden="1" x14ac:dyDescent="0.35">
      <c r="A5857">
        <v>5853</v>
      </c>
      <c r="B5857">
        <v>5854</v>
      </c>
      <c r="C5857">
        <v>146.077569737999</v>
      </c>
      <c r="D5857">
        <v>-17.637544820599899</v>
      </c>
      <c r="F5857" t="str">
        <f>HYPERLINK("D:\Data From Lucan\2024\Moresby\Frames_for_Analysis/5854_20240611_0008_L_0621.jpg","5854_20240611_0008_L_0621.jpg")</f>
        <v>5854_20240611_0008_L_0621.jpg</v>
      </c>
      <c r="G5857" s="92" t="s">
        <v>6056</v>
      </c>
      <c r="I5857">
        <v>3</v>
      </c>
      <c r="K5857" s="57">
        <v>1</v>
      </c>
      <c r="L5857" t="s">
        <v>3959</v>
      </c>
      <c r="M5857" t="s">
        <v>3959</v>
      </c>
      <c r="N5857" t="s">
        <v>3959</v>
      </c>
      <c r="O5857" t="s">
        <v>3959</v>
      </c>
      <c r="P5857" s="57">
        <v>1</v>
      </c>
      <c r="Q5857" s="57">
        <v>0</v>
      </c>
      <c r="R5857" s="57">
        <v>0</v>
      </c>
      <c r="S5857" s="57">
        <v>0</v>
      </c>
      <c r="T5857" s="57">
        <v>0</v>
      </c>
      <c r="U5857" s="57">
        <v>0</v>
      </c>
      <c r="V5857" s="57">
        <v>0</v>
      </c>
      <c r="W5857" s="57">
        <v>0</v>
      </c>
      <c r="X5857" s="57">
        <v>0</v>
      </c>
    </row>
    <row r="5858" spans="1:24" hidden="1" x14ac:dyDescent="0.35">
      <c r="A5858">
        <v>5854</v>
      </c>
      <c r="B5858">
        <v>5855</v>
      </c>
      <c r="C5858">
        <v>146.077659326</v>
      </c>
      <c r="D5858">
        <v>-17.637551125200002</v>
      </c>
      <c r="F5858" t="str">
        <f>HYPERLINK("D:\Data From Lucan\2024\Moresby\Frames_for_Analysis/5855_20240611_0008_L_0624.jpg","5855_20240611_0008_L_0624.jpg")</f>
        <v>5855_20240611_0008_L_0624.jpg</v>
      </c>
      <c r="G5858" s="92" t="s">
        <v>6057</v>
      </c>
      <c r="I5858">
        <v>3</v>
      </c>
      <c r="K5858" s="57">
        <v>1</v>
      </c>
      <c r="L5858" t="s">
        <v>3959</v>
      </c>
      <c r="M5858" t="s">
        <v>3959</v>
      </c>
      <c r="N5858" t="s">
        <v>3959</v>
      </c>
      <c r="O5858" t="s">
        <v>3959</v>
      </c>
      <c r="P5858" s="57">
        <v>1</v>
      </c>
      <c r="Q5858" s="57">
        <v>0</v>
      </c>
      <c r="R5858" s="57">
        <v>0</v>
      </c>
      <c r="S5858" s="57">
        <v>0</v>
      </c>
      <c r="T5858" s="57">
        <v>0</v>
      </c>
      <c r="U5858" s="57">
        <v>0</v>
      </c>
      <c r="V5858" s="57">
        <v>0</v>
      </c>
      <c r="W5858" s="57">
        <v>0</v>
      </c>
      <c r="X5858" s="57">
        <v>0</v>
      </c>
    </row>
    <row r="5859" spans="1:24" hidden="1" x14ac:dyDescent="0.35">
      <c r="A5859">
        <v>5855</v>
      </c>
      <c r="B5859">
        <v>5856</v>
      </c>
      <c r="C5859">
        <v>146.077748912999</v>
      </c>
      <c r="D5859">
        <v>-17.637557429800001</v>
      </c>
      <c r="F5859" t="str">
        <f>HYPERLINK("D:\Data From Lucan\2024\Moresby\Frames_for_Analysis/5856_20240611_0008_L_0628.jpg","5856_20240611_0008_L_0628.jpg")</f>
        <v>5856_20240611_0008_L_0628.jpg</v>
      </c>
      <c r="G5859" s="92" t="s">
        <v>6058</v>
      </c>
      <c r="I5859">
        <v>3</v>
      </c>
      <c r="K5859" s="57">
        <v>1</v>
      </c>
      <c r="L5859" t="s">
        <v>3959</v>
      </c>
      <c r="M5859" t="s">
        <v>3959</v>
      </c>
      <c r="N5859" t="s">
        <v>3959</v>
      </c>
      <c r="O5859" t="s">
        <v>3959</v>
      </c>
      <c r="P5859" s="57">
        <v>1</v>
      </c>
      <c r="Q5859" s="57">
        <v>0</v>
      </c>
      <c r="R5859" s="57">
        <v>0</v>
      </c>
      <c r="S5859" s="57">
        <v>0</v>
      </c>
      <c r="T5859" s="57">
        <v>0</v>
      </c>
      <c r="U5859" s="57">
        <v>0</v>
      </c>
      <c r="V5859" s="57">
        <v>0</v>
      </c>
      <c r="W5859" s="57">
        <v>0</v>
      </c>
      <c r="X5859" s="57">
        <v>0</v>
      </c>
    </row>
    <row r="5860" spans="1:24" hidden="1" x14ac:dyDescent="0.35">
      <c r="A5860">
        <v>5856</v>
      </c>
      <c r="B5860">
        <v>5857</v>
      </c>
      <c r="C5860">
        <v>146.077837713999</v>
      </c>
      <c r="D5860">
        <v>-17.637570247900001</v>
      </c>
      <c r="F5860" t="str">
        <f>HYPERLINK("D:\Data From Lucan\2024\Moresby\Frames_for_Analysis/5857_20240611_0008_L_0631.jpg","5857_20240611_0008_L_0631.jpg")</f>
        <v>5857_20240611_0008_L_0631.jpg</v>
      </c>
      <c r="G5860" s="92" t="s">
        <v>6059</v>
      </c>
      <c r="I5860">
        <v>3</v>
      </c>
      <c r="K5860" s="57">
        <v>1</v>
      </c>
      <c r="L5860" t="s">
        <v>3959</v>
      </c>
      <c r="M5860" t="s">
        <v>3959</v>
      </c>
      <c r="N5860" t="s">
        <v>3959</v>
      </c>
      <c r="O5860" t="s">
        <v>3959</v>
      </c>
      <c r="P5860" s="57">
        <v>1</v>
      </c>
      <c r="Q5860" s="57">
        <v>0</v>
      </c>
      <c r="R5860" s="57">
        <v>0</v>
      </c>
      <c r="S5860" s="57">
        <v>0</v>
      </c>
      <c r="T5860" s="57">
        <v>0</v>
      </c>
      <c r="U5860" s="57">
        <v>0</v>
      </c>
      <c r="V5860" s="57">
        <v>0</v>
      </c>
      <c r="W5860" s="57">
        <v>0</v>
      </c>
      <c r="X5860" s="57">
        <v>0</v>
      </c>
    </row>
    <row r="5861" spans="1:24" hidden="1" x14ac:dyDescent="0.35">
      <c r="A5861">
        <v>5857</v>
      </c>
      <c r="B5861">
        <v>5858</v>
      </c>
      <c r="C5861">
        <v>146.07792645999899</v>
      </c>
      <c r="D5861">
        <v>-17.637583516700001</v>
      </c>
      <c r="F5861" t="str">
        <f>HYPERLINK("D:\Data From Lucan\2024\Moresby\Frames_for_Analysis/5858_20240611_0008_L_0635.jpg","5858_20240611_0008_L_0635.jpg")</f>
        <v>5858_20240611_0008_L_0635.jpg</v>
      </c>
      <c r="G5861" s="92" t="s">
        <v>6060</v>
      </c>
      <c r="I5861">
        <v>3</v>
      </c>
      <c r="K5861" s="57">
        <v>1</v>
      </c>
      <c r="L5861" t="s">
        <v>3959</v>
      </c>
      <c r="M5861" t="s">
        <v>3959</v>
      </c>
      <c r="N5861" t="s">
        <v>3959</v>
      </c>
      <c r="O5861" t="s">
        <v>3959</v>
      </c>
      <c r="P5861" s="57">
        <v>1</v>
      </c>
      <c r="Q5861" s="57">
        <v>0</v>
      </c>
      <c r="R5861" s="57">
        <v>0</v>
      </c>
      <c r="S5861" s="57">
        <v>0</v>
      </c>
      <c r="T5861" s="57">
        <v>0</v>
      </c>
      <c r="U5861" s="57">
        <v>0</v>
      </c>
      <c r="V5861" s="57">
        <v>0</v>
      </c>
      <c r="W5861" s="57">
        <v>0</v>
      </c>
      <c r="X5861" s="57">
        <v>0</v>
      </c>
    </row>
    <row r="5862" spans="1:24" hidden="1" x14ac:dyDescent="0.35">
      <c r="A5862">
        <v>5858</v>
      </c>
      <c r="B5862">
        <v>5859</v>
      </c>
      <c r="C5862">
        <v>146.078015206</v>
      </c>
      <c r="D5862">
        <v>-17.6375967856</v>
      </c>
      <c r="F5862" t="str">
        <f>HYPERLINK("D:\Data From Lucan\2024\Moresby\Frames_for_Analysis/5859_20240611_0008_L_0639.jpg","5859_20240611_0008_L_0639.jpg")</f>
        <v>5859_20240611_0008_L_0639.jpg</v>
      </c>
      <c r="G5862" s="92" t="s">
        <v>6061</v>
      </c>
      <c r="I5862">
        <v>3</v>
      </c>
      <c r="K5862" s="57">
        <v>1</v>
      </c>
      <c r="L5862" t="s">
        <v>3959</v>
      </c>
      <c r="M5862" t="s">
        <v>3959</v>
      </c>
      <c r="N5862" t="s">
        <v>3959</v>
      </c>
      <c r="O5862" t="s">
        <v>3959</v>
      </c>
      <c r="P5862" s="57">
        <v>1</v>
      </c>
      <c r="Q5862" s="57">
        <v>0</v>
      </c>
      <c r="R5862" s="57">
        <v>0</v>
      </c>
      <c r="S5862" s="57">
        <v>0</v>
      </c>
      <c r="T5862" s="57">
        <v>0</v>
      </c>
      <c r="U5862" s="57">
        <v>0</v>
      </c>
      <c r="V5862" s="57">
        <v>0</v>
      </c>
      <c r="W5862" s="57">
        <v>0</v>
      </c>
      <c r="X5862" s="57">
        <v>0</v>
      </c>
    </row>
    <row r="5863" spans="1:24" hidden="1" x14ac:dyDescent="0.35">
      <c r="A5863">
        <v>5859</v>
      </c>
      <c r="B5863">
        <v>5860</v>
      </c>
      <c r="C5863">
        <v>146.078103951999</v>
      </c>
      <c r="D5863">
        <v>-17.6376100546</v>
      </c>
      <c r="F5863" t="str">
        <f>HYPERLINK("D:\Data From Lucan\2024\Moresby\Frames_for_Analysis/5860_20240611_0008_L_0643.jpg","5860_20240611_0008_L_0643.jpg")</f>
        <v>5860_20240611_0008_L_0643.jpg</v>
      </c>
      <c r="G5863" s="92" t="s">
        <v>6062</v>
      </c>
      <c r="I5863">
        <v>3</v>
      </c>
      <c r="K5863" s="57">
        <v>1</v>
      </c>
      <c r="L5863" t="s">
        <v>3959</v>
      </c>
      <c r="M5863" t="s">
        <v>3959</v>
      </c>
      <c r="N5863" t="s">
        <v>3959</v>
      </c>
      <c r="O5863" t="s">
        <v>3959</v>
      </c>
      <c r="P5863" s="57">
        <v>1</v>
      </c>
      <c r="Q5863" s="57">
        <v>0</v>
      </c>
      <c r="R5863" s="57">
        <v>0</v>
      </c>
      <c r="S5863" s="57">
        <v>0</v>
      </c>
      <c r="T5863" s="57">
        <v>0</v>
      </c>
      <c r="U5863" s="57">
        <v>0</v>
      </c>
      <c r="V5863" s="57">
        <v>0</v>
      </c>
      <c r="W5863" s="57">
        <v>0</v>
      </c>
      <c r="X5863" s="57">
        <v>0</v>
      </c>
    </row>
    <row r="5864" spans="1:24" hidden="1" x14ac:dyDescent="0.35">
      <c r="A5864">
        <v>5860</v>
      </c>
      <c r="B5864">
        <v>5861</v>
      </c>
      <c r="C5864">
        <v>146.078192819999</v>
      </c>
      <c r="D5864">
        <v>-17.637601576000002</v>
      </c>
      <c r="F5864" t="str">
        <f>HYPERLINK("D:\Data From Lucan\2024\Moresby\Frames_for_Analysis/5861_20240611_0008_L_0646.jpg","5861_20240611_0008_L_0646.jpg")</f>
        <v>5861_20240611_0008_L_0646.jpg</v>
      </c>
      <c r="G5864" s="92" t="s">
        <v>6063</v>
      </c>
      <c r="I5864">
        <v>3</v>
      </c>
      <c r="K5864" s="57">
        <v>1</v>
      </c>
      <c r="L5864" t="s">
        <v>3959</v>
      </c>
      <c r="M5864" t="s">
        <v>3959</v>
      </c>
      <c r="N5864" t="s">
        <v>3959</v>
      </c>
      <c r="O5864" t="s">
        <v>3959</v>
      </c>
      <c r="P5864" s="57">
        <v>1</v>
      </c>
      <c r="Q5864" s="57">
        <v>0</v>
      </c>
      <c r="R5864" s="57">
        <v>0</v>
      </c>
      <c r="S5864" s="57">
        <v>0</v>
      </c>
      <c r="T5864" s="57">
        <v>0</v>
      </c>
      <c r="U5864" s="57">
        <v>0</v>
      </c>
      <c r="V5864" s="57">
        <v>0</v>
      </c>
      <c r="W5864" s="57">
        <v>0</v>
      </c>
      <c r="X5864" s="57">
        <v>0</v>
      </c>
    </row>
    <row r="5865" spans="1:24" hidden="1" x14ac:dyDescent="0.35">
      <c r="A5865">
        <v>5861</v>
      </c>
      <c r="B5865">
        <v>5862</v>
      </c>
      <c r="C5865">
        <v>146.078281709999</v>
      </c>
      <c r="D5865">
        <v>-17.6375892157</v>
      </c>
      <c r="F5865" t="str">
        <f>HYPERLINK("D:\Data From Lucan\2024\Moresby\Frames_for_Analysis/5862_20240611_0008_L_0651.jpg","5862_20240611_0008_L_0651.jpg")</f>
        <v>5862_20240611_0008_L_0651.jpg</v>
      </c>
      <c r="G5865" s="92" t="s">
        <v>6064</v>
      </c>
      <c r="I5865">
        <v>3</v>
      </c>
      <c r="K5865" s="57">
        <v>1</v>
      </c>
      <c r="L5865" t="s">
        <v>3959</v>
      </c>
      <c r="M5865" t="s">
        <v>3959</v>
      </c>
      <c r="N5865" t="s">
        <v>3959</v>
      </c>
      <c r="O5865" t="s">
        <v>3959</v>
      </c>
      <c r="P5865" s="57">
        <v>1</v>
      </c>
      <c r="Q5865" s="57">
        <v>0</v>
      </c>
      <c r="R5865" s="57">
        <v>0</v>
      </c>
      <c r="S5865" s="57">
        <v>0</v>
      </c>
      <c r="T5865" s="57">
        <v>0</v>
      </c>
      <c r="U5865" s="57">
        <v>0</v>
      </c>
      <c r="V5865" s="57">
        <v>0</v>
      </c>
      <c r="W5865" s="57">
        <v>0</v>
      </c>
      <c r="X5865" s="57">
        <v>0</v>
      </c>
    </row>
    <row r="5866" spans="1:24" hidden="1" x14ac:dyDescent="0.35">
      <c r="A5866">
        <v>5862</v>
      </c>
      <c r="B5866">
        <v>5863</v>
      </c>
      <c r="C5866">
        <v>146.07837060099899</v>
      </c>
      <c r="D5866">
        <v>-17.637576855500001</v>
      </c>
      <c r="F5866" t="str">
        <f>HYPERLINK("D:\Data From Lucan\2024\Moresby\Frames_for_Analysis/5863_20240611_0008_L_0655.jpg","5863_20240611_0008_L_0655.jpg")</f>
        <v>5863_20240611_0008_L_0655.jpg</v>
      </c>
      <c r="G5866" s="92" t="s">
        <v>6065</v>
      </c>
      <c r="I5866">
        <v>3</v>
      </c>
      <c r="K5866" s="57">
        <v>1</v>
      </c>
      <c r="L5866" t="s">
        <v>3959</v>
      </c>
      <c r="M5866" t="s">
        <v>3959</v>
      </c>
      <c r="N5866" t="s">
        <v>3959</v>
      </c>
      <c r="O5866" t="s">
        <v>3959</v>
      </c>
      <c r="P5866" s="57">
        <v>1</v>
      </c>
      <c r="Q5866" s="57">
        <v>0</v>
      </c>
      <c r="R5866" s="57">
        <v>0</v>
      </c>
      <c r="S5866" s="57">
        <v>0</v>
      </c>
      <c r="T5866" s="57">
        <v>0</v>
      </c>
      <c r="U5866" s="57">
        <v>0</v>
      </c>
      <c r="V5866" s="57">
        <v>0</v>
      </c>
      <c r="W5866" s="57">
        <v>0</v>
      </c>
      <c r="X5866" s="57">
        <v>0</v>
      </c>
    </row>
    <row r="5867" spans="1:24" hidden="1" x14ac:dyDescent="0.35">
      <c r="A5867">
        <v>5863</v>
      </c>
      <c r="B5867">
        <v>5864</v>
      </c>
      <c r="C5867">
        <v>146.078457114999</v>
      </c>
      <c r="D5867">
        <v>-17.6375545161</v>
      </c>
      <c r="F5867" t="str">
        <f>HYPERLINK("D:\Data From Lucan\2024\Moresby\Frames_for_Analysis/5864_20240611_0008_L_0659.jpg","5864_20240611_0008_L_0659.jpg")</f>
        <v>5864_20240611_0008_L_0659.jpg</v>
      </c>
      <c r="G5867" s="92" t="s">
        <v>6066</v>
      </c>
      <c r="I5867">
        <v>3</v>
      </c>
      <c r="K5867" s="57">
        <v>1</v>
      </c>
      <c r="L5867" t="s">
        <v>3959</v>
      </c>
      <c r="M5867" t="s">
        <v>3959</v>
      </c>
      <c r="N5867" t="s">
        <v>3959</v>
      </c>
      <c r="O5867" t="s">
        <v>3959</v>
      </c>
      <c r="P5867" s="57">
        <v>1</v>
      </c>
      <c r="Q5867" s="57">
        <v>0</v>
      </c>
      <c r="R5867" s="57">
        <v>0</v>
      </c>
      <c r="S5867" s="57">
        <v>0</v>
      </c>
      <c r="T5867" s="57">
        <v>0</v>
      </c>
      <c r="U5867" s="57">
        <v>0</v>
      </c>
      <c r="V5867" s="57">
        <v>0</v>
      </c>
      <c r="W5867" s="57">
        <v>0</v>
      </c>
      <c r="X5867" s="57">
        <v>0</v>
      </c>
    </row>
    <row r="5868" spans="1:24" hidden="1" x14ac:dyDescent="0.35">
      <c r="A5868">
        <v>5864</v>
      </c>
      <c r="B5868">
        <v>5865</v>
      </c>
      <c r="C5868">
        <v>146.078542897999</v>
      </c>
      <c r="D5868">
        <v>-17.6375291051</v>
      </c>
      <c r="F5868" t="str">
        <f>HYPERLINK("D:\Data From Lucan\2024\Moresby\Frames_for_Analysis/5865_20240611_0008_L_0663.jpg","5865_20240611_0008_L_0663.jpg")</f>
        <v>5865_20240611_0008_L_0663.jpg</v>
      </c>
      <c r="G5868" s="92" t="s">
        <v>6067</v>
      </c>
      <c r="I5868">
        <v>3</v>
      </c>
      <c r="K5868" s="57">
        <v>1</v>
      </c>
      <c r="L5868" t="s">
        <v>3959</v>
      </c>
      <c r="M5868" t="s">
        <v>3959</v>
      </c>
      <c r="N5868" t="s">
        <v>3959</v>
      </c>
      <c r="O5868" t="s">
        <v>3959</v>
      </c>
      <c r="P5868" s="57">
        <v>1</v>
      </c>
      <c r="Q5868" s="57">
        <v>0</v>
      </c>
      <c r="R5868" s="57">
        <v>0</v>
      </c>
      <c r="S5868" s="57">
        <v>0</v>
      </c>
      <c r="T5868" s="57">
        <v>0</v>
      </c>
      <c r="U5868" s="57">
        <v>0</v>
      </c>
      <c r="V5868" s="57">
        <v>0</v>
      </c>
      <c r="W5868" s="57">
        <v>0</v>
      </c>
      <c r="X5868" s="57">
        <v>0</v>
      </c>
    </row>
    <row r="5869" spans="1:24" hidden="1" x14ac:dyDescent="0.35">
      <c r="A5869">
        <v>5865</v>
      </c>
      <c r="B5869">
        <v>5866</v>
      </c>
      <c r="C5869">
        <v>146.078628680999</v>
      </c>
      <c r="D5869">
        <v>-17.6375036941999</v>
      </c>
      <c r="F5869" t="str">
        <f>HYPERLINK("D:\Data From Lucan\2024\Moresby\Frames_for_Analysis/5866_20240611_0008_L_0667.jpg","5866_20240611_0008_L_0667.jpg")</f>
        <v>5866_20240611_0008_L_0667.jpg</v>
      </c>
      <c r="G5869" s="92" t="s">
        <v>6068</v>
      </c>
      <c r="I5869">
        <v>3</v>
      </c>
      <c r="K5869" s="57">
        <v>1</v>
      </c>
      <c r="L5869" t="s">
        <v>3959</v>
      </c>
      <c r="M5869" t="s">
        <v>3959</v>
      </c>
      <c r="N5869" t="s">
        <v>3959</v>
      </c>
      <c r="O5869" t="s">
        <v>3959</v>
      </c>
      <c r="P5869" s="57">
        <v>1</v>
      </c>
      <c r="Q5869" s="57">
        <v>0</v>
      </c>
      <c r="R5869" s="57">
        <v>0</v>
      </c>
      <c r="S5869" s="57">
        <v>0</v>
      </c>
      <c r="T5869" s="57">
        <v>0</v>
      </c>
      <c r="U5869" s="57">
        <v>0</v>
      </c>
      <c r="V5869" s="57">
        <v>0</v>
      </c>
      <c r="W5869" s="57">
        <v>0</v>
      </c>
      <c r="X5869" s="57">
        <v>0</v>
      </c>
    </row>
    <row r="5870" spans="1:24" hidden="1" x14ac:dyDescent="0.35">
      <c r="A5870">
        <v>5866</v>
      </c>
      <c r="B5870">
        <v>5867</v>
      </c>
      <c r="C5870">
        <v>146.07871834900001</v>
      </c>
      <c r="D5870">
        <v>-17.6375007739999</v>
      </c>
      <c r="F5870" t="str">
        <f>HYPERLINK("D:\Data From Lucan\2024\Moresby\Frames_for_Analysis/5867_20240611_0008_L_0670.jpg","5867_20240611_0008_L_0670.jpg")</f>
        <v>5867_20240611_0008_L_0670.jpg</v>
      </c>
      <c r="G5870" s="92" t="s">
        <v>6069</v>
      </c>
      <c r="I5870">
        <v>3</v>
      </c>
      <c r="K5870" s="57">
        <v>1</v>
      </c>
      <c r="L5870" t="s">
        <v>3959</v>
      </c>
      <c r="M5870" t="s">
        <v>3959</v>
      </c>
      <c r="N5870" t="s">
        <v>3959</v>
      </c>
      <c r="O5870" t="s">
        <v>3959</v>
      </c>
      <c r="P5870" s="57">
        <v>1</v>
      </c>
      <c r="Q5870" s="57">
        <v>0</v>
      </c>
      <c r="R5870" s="57">
        <v>0</v>
      </c>
      <c r="S5870" s="57">
        <v>0</v>
      </c>
      <c r="T5870" s="57">
        <v>0</v>
      </c>
      <c r="U5870" s="57">
        <v>0</v>
      </c>
      <c r="V5870" s="57">
        <v>0</v>
      </c>
      <c r="W5870" s="57">
        <v>0</v>
      </c>
      <c r="X5870" s="57">
        <v>0</v>
      </c>
    </row>
    <row r="5871" spans="1:24" hidden="1" x14ac:dyDescent="0.35">
      <c r="A5871">
        <v>5867</v>
      </c>
      <c r="B5871">
        <v>5868</v>
      </c>
      <c r="C5871">
        <v>146.07880815300001</v>
      </c>
      <c r="D5871">
        <v>-17.637498636299899</v>
      </c>
      <c r="F5871" t="str">
        <f>HYPERLINK("D:\Data From Lucan\2024\Moresby\Frames_for_Analysis/5868_20240611_0008_L_0674.jpg","5868_20240611_0008_L_0674.jpg")</f>
        <v>5868_20240611_0008_L_0674.jpg</v>
      </c>
      <c r="G5871" s="92" t="s">
        <v>6070</v>
      </c>
      <c r="I5871">
        <v>3</v>
      </c>
      <c r="K5871" s="57">
        <v>1</v>
      </c>
      <c r="L5871" t="s">
        <v>3959</v>
      </c>
      <c r="M5871" t="s">
        <v>3959</v>
      </c>
      <c r="N5871" t="s">
        <v>3959</v>
      </c>
      <c r="O5871" t="s">
        <v>3959</v>
      </c>
      <c r="P5871" s="57">
        <v>1</v>
      </c>
      <c r="Q5871" s="57">
        <v>0</v>
      </c>
      <c r="R5871" s="57">
        <v>0</v>
      </c>
      <c r="S5871" s="57">
        <v>0</v>
      </c>
      <c r="T5871" s="57">
        <v>0</v>
      </c>
      <c r="U5871" s="57">
        <v>0</v>
      </c>
      <c r="V5871" s="57">
        <v>0</v>
      </c>
      <c r="W5871" s="57">
        <v>0</v>
      </c>
      <c r="X5871" s="57">
        <v>0</v>
      </c>
    </row>
    <row r="5872" spans="1:24" hidden="1" x14ac:dyDescent="0.35">
      <c r="A5872">
        <v>5868</v>
      </c>
      <c r="B5872">
        <v>5869</v>
      </c>
      <c r="C5872">
        <v>146.078897955999</v>
      </c>
      <c r="D5872">
        <v>-17.637496498600001</v>
      </c>
      <c r="F5872" t="str">
        <f>HYPERLINK("D:\Data From Lucan\2024\Moresby\Frames_for_Analysis/5869_20240611_0008_L_0678.jpg","5869_20240611_0008_L_0678.jpg")</f>
        <v>5869_20240611_0008_L_0678.jpg</v>
      </c>
      <c r="G5872" s="92" t="s">
        <v>6071</v>
      </c>
      <c r="I5872">
        <v>3</v>
      </c>
      <c r="K5872" s="57">
        <v>1</v>
      </c>
      <c r="L5872" t="s">
        <v>3959</v>
      </c>
      <c r="M5872" t="s">
        <v>3959</v>
      </c>
      <c r="N5872" t="s">
        <v>3959</v>
      </c>
      <c r="O5872" t="s">
        <v>3959</v>
      </c>
      <c r="P5872" s="57">
        <v>1</v>
      </c>
      <c r="Q5872" s="57">
        <v>0</v>
      </c>
      <c r="R5872" s="57">
        <v>0</v>
      </c>
      <c r="S5872" s="57">
        <v>0</v>
      </c>
      <c r="T5872" s="57">
        <v>0</v>
      </c>
      <c r="U5872" s="57">
        <v>0</v>
      </c>
      <c r="V5872" s="57">
        <v>0</v>
      </c>
      <c r="W5872" s="57">
        <v>0</v>
      </c>
      <c r="X5872" s="57">
        <v>0</v>
      </c>
    </row>
    <row r="5873" spans="1:24" hidden="1" x14ac:dyDescent="0.35">
      <c r="A5873">
        <v>5869</v>
      </c>
      <c r="B5873">
        <v>5870</v>
      </c>
      <c r="C5873">
        <v>146.07898775999899</v>
      </c>
      <c r="D5873">
        <v>-17.6374943609</v>
      </c>
      <c r="F5873" t="str">
        <f>HYPERLINK("D:\Data From Lucan\2024\Moresby\Frames_for_Analysis/5870_20240611_0008_L_0681.jpg","5870_20240611_0008_L_0681.jpg")</f>
        <v>5870_20240611_0008_L_0681.jpg</v>
      </c>
      <c r="G5873" s="92" t="s">
        <v>6072</v>
      </c>
      <c r="I5873">
        <v>3</v>
      </c>
      <c r="K5873" s="57">
        <v>1</v>
      </c>
      <c r="L5873" t="s">
        <v>3959</v>
      </c>
      <c r="M5873" t="s">
        <v>3959</v>
      </c>
      <c r="N5873" t="s">
        <v>3959</v>
      </c>
      <c r="O5873" t="s">
        <v>3959</v>
      </c>
      <c r="P5873" s="57">
        <v>1</v>
      </c>
      <c r="Q5873" s="57">
        <v>0</v>
      </c>
      <c r="R5873" s="57">
        <v>0</v>
      </c>
      <c r="S5873" s="57">
        <v>0</v>
      </c>
      <c r="T5873" s="57">
        <v>0</v>
      </c>
      <c r="U5873" s="57">
        <v>0</v>
      </c>
      <c r="V5873" s="57">
        <v>0</v>
      </c>
      <c r="W5873" s="57">
        <v>0</v>
      </c>
      <c r="X5873" s="57">
        <v>0</v>
      </c>
    </row>
    <row r="5874" spans="1:24" hidden="1" x14ac:dyDescent="0.35">
      <c r="A5874">
        <v>5870</v>
      </c>
      <c r="B5874">
        <v>5871</v>
      </c>
      <c r="C5874">
        <v>146.079077562999</v>
      </c>
      <c r="D5874">
        <v>-17.637492223199899</v>
      </c>
      <c r="F5874" t="str">
        <f>HYPERLINK("D:\Data From Lucan\2024\Moresby\Frames_for_Analysis/5871_20240611_0008_L_0685.jpg","5871_20240611_0008_L_0685.jpg")</f>
        <v>5871_20240611_0008_L_0685.jpg</v>
      </c>
      <c r="G5874" s="92" t="s">
        <v>6073</v>
      </c>
      <c r="I5874">
        <v>3</v>
      </c>
      <c r="K5874" s="57">
        <v>1</v>
      </c>
      <c r="L5874" t="s">
        <v>3959</v>
      </c>
      <c r="M5874" t="s">
        <v>3959</v>
      </c>
      <c r="N5874" t="s">
        <v>3959</v>
      </c>
      <c r="O5874" t="s">
        <v>3959</v>
      </c>
      <c r="P5874" s="57">
        <v>1</v>
      </c>
      <c r="Q5874" s="57">
        <v>0</v>
      </c>
      <c r="R5874" s="57">
        <v>0</v>
      </c>
      <c r="S5874" s="57">
        <v>0</v>
      </c>
      <c r="T5874" s="57">
        <v>0</v>
      </c>
      <c r="U5874" s="57">
        <v>0</v>
      </c>
      <c r="V5874" s="57">
        <v>0</v>
      </c>
      <c r="W5874" s="57">
        <v>0</v>
      </c>
      <c r="X5874" s="57">
        <v>0</v>
      </c>
    </row>
    <row r="5875" spans="1:24" hidden="1" x14ac:dyDescent="0.35">
      <c r="A5875">
        <v>5871</v>
      </c>
      <c r="B5875">
        <v>5872</v>
      </c>
      <c r="C5875">
        <v>146.079167366999</v>
      </c>
      <c r="D5875">
        <v>-17.637490085500001</v>
      </c>
      <c r="F5875" t="str">
        <f>HYPERLINK("D:\Data From Lucan\2024\Moresby\Frames_for_Analysis/5872_20240611_0008_L_0689.jpg","5872_20240611_0008_L_0689.jpg")</f>
        <v>5872_20240611_0008_L_0689.jpg</v>
      </c>
      <c r="G5875" s="92" t="s">
        <v>6074</v>
      </c>
      <c r="I5875">
        <v>3</v>
      </c>
      <c r="K5875" s="57">
        <v>1</v>
      </c>
      <c r="L5875" t="s">
        <v>3959</v>
      </c>
      <c r="M5875" t="s">
        <v>3959</v>
      </c>
      <c r="N5875" t="s">
        <v>3959</v>
      </c>
      <c r="O5875" t="s">
        <v>3959</v>
      </c>
      <c r="P5875" s="57">
        <v>1</v>
      </c>
      <c r="Q5875" s="57">
        <v>0</v>
      </c>
      <c r="R5875" s="57">
        <v>0</v>
      </c>
      <c r="S5875" s="57">
        <v>0</v>
      </c>
      <c r="T5875" s="57">
        <v>0</v>
      </c>
      <c r="U5875" s="57">
        <v>0</v>
      </c>
      <c r="V5875" s="57">
        <v>0</v>
      </c>
      <c r="W5875" s="57">
        <v>0</v>
      </c>
      <c r="X5875" s="57">
        <v>0</v>
      </c>
    </row>
    <row r="5876" spans="1:24" hidden="1" x14ac:dyDescent="0.35">
      <c r="A5876">
        <v>5872</v>
      </c>
      <c r="B5876">
        <v>5873</v>
      </c>
      <c r="C5876">
        <v>146.07925717000001</v>
      </c>
      <c r="D5876">
        <v>-17.6374879478</v>
      </c>
      <c r="F5876" t="str">
        <f>HYPERLINK("D:\Data From Lucan\2024\Moresby\Frames_for_Analysis/5873_20240611_0008_L_0693.jpg","5873_20240611_0008_L_0693.jpg")</f>
        <v>5873_20240611_0008_L_0693.jpg</v>
      </c>
      <c r="G5876" s="92" t="s">
        <v>6075</v>
      </c>
      <c r="I5876">
        <v>3</v>
      </c>
      <c r="K5876" s="57">
        <v>1</v>
      </c>
      <c r="L5876" t="s">
        <v>3959</v>
      </c>
      <c r="M5876" t="s">
        <v>3959</v>
      </c>
      <c r="N5876" t="s">
        <v>3959</v>
      </c>
      <c r="O5876" t="s">
        <v>3959</v>
      </c>
      <c r="P5876" s="57">
        <v>1</v>
      </c>
      <c r="Q5876" s="57">
        <v>0</v>
      </c>
      <c r="R5876" s="57">
        <v>0</v>
      </c>
      <c r="S5876" s="57">
        <v>0</v>
      </c>
      <c r="T5876" s="57">
        <v>0</v>
      </c>
      <c r="U5876" s="57">
        <v>0</v>
      </c>
      <c r="V5876" s="57">
        <v>0</v>
      </c>
      <c r="W5876" s="57">
        <v>0</v>
      </c>
      <c r="X5876" s="57">
        <v>0</v>
      </c>
    </row>
    <row r="5877" spans="1:24" hidden="1" x14ac:dyDescent="0.35">
      <c r="A5877">
        <v>5873</v>
      </c>
      <c r="B5877">
        <v>5874</v>
      </c>
      <c r="C5877">
        <v>146.07934693600001</v>
      </c>
      <c r="D5877">
        <v>-17.637487765500001</v>
      </c>
      <c r="F5877" t="str">
        <f>HYPERLINK("D:\Data From Lucan\2024\Moresby\Frames_for_Analysis/5874_20240611_0008_L_0696.jpg","5874_20240611_0008_L_0696.jpg")</f>
        <v>5874_20240611_0008_L_0696.jpg</v>
      </c>
      <c r="G5877" s="92" t="s">
        <v>6076</v>
      </c>
      <c r="I5877">
        <v>3</v>
      </c>
      <c r="K5877" s="57">
        <v>1</v>
      </c>
      <c r="L5877" t="s">
        <v>3959</v>
      </c>
      <c r="M5877" t="s">
        <v>3959</v>
      </c>
      <c r="N5877" t="s">
        <v>3959</v>
      </c>
      <c r="O5877" t="s">
        <v>3959</v>
      </c>
      <c r="P5877" s="57">
        <v>1</v>
      </c>
      <c r="Q5877" s="57">
        <v>0</v>
      </c>
      <c r="R5877" s="57">
        <v>0</v>
      </c>
      <c r="S5877" s="57">
        <v>0</v>
      </c>
      <c r="T5877" s="57">
        <v>0</v>
      </c>
      <c r="U5877" s="57">
        <v>0</v>
      </c>
      <c r="V5877" s="57">
        <v>0</v>
      </c>
      <c r="W5877" s="57">
        <v>0</v>
      </c>
      <c r="X5877" s="57">
        <v>0</v>
      </c>
    </row>
    <row r="5878" spans="1:24" hidden="1" x14ac:dyDescent="0.35">
      <c r="A5878">
        <v>5874</v>
      </c>
      <c r="B5878">
        <v>5875</v>
      </c>
      <c r="C5878">
        <v>146.079436595999</v>
      </c>
      <c r="D5878">
        <v>-17.637493051500002</v>
      </c>
      <c r="F5878" t="str">
        <f>HYPERLINK("D:\Data From Lucan\2024\Moresby\Frames_for_Analysis/5875_20240611_0008_L_0700.jpg","5875_20240611_0008_L_0700.jpg")</f>
        <v>5875_20240611_0008_L_0700.jpg</v>
      </c>
      <c r="G5878" s="92" t="s">
        <v>6077</v>
      </c>
      <c r="I5878">
        <v>3</v>
      </c>
      <c r="K5878" s="57">
        <v>1</v>
      </c>
      <c r="L5878" t="s">
        <v>3959</v>
      </c>
      <c r="M5878" t="s">
        <v>3959</v>
      </c>
      <c r="N5878" t="s">
        <v>3959</v>
      </c>
      <c r="O5878" t="s">
        <v>3959</v>
      </c>
      <c r="P5878" s="57">
        <v>1</v>
      </c>
      <c r="Q5878" s="57">
        <v>0</v>
      </c>
      <c r="R5878" s="57">
        <v>0</v>
      </c>
      <c r="S5878" s="57">
        <v>0</v>
      </c>
      <c r="T5878" s="57">
        <v>0</v>
      </c>
      <c r="U5878" s="57">
        <v>0</v>
      </c>
      <c r="V5878" s="57">
        <v>0</v>
      </c>
      <c r="W5878" s="57">
        <v>0</v>
      </c>
      <c r="X5878" s="57">
        <v>0</v>
      </c>
    </row>
    <row r="5879" spans="1:24" hidden="1" x14ac:dyDescent="0.35">
      <c r="A5879">
        <v>5875</v>
      </c>
      <c r="B5879">
        <v>5876</v>
      </c>
      <c r="C5879">
        <v>146.07952625600001</v>
      </c>
      <c r="D5879">
        <v>-17.637498337499899</v>
      </c>
      <c r="F5879" t="str">
        <f>HYPERLINK("D:\Data From Lucan\2024\Moresby\Frames_for_Analysis/5876_20240611_0008_L_0703.jpg","5876_20240611_0008_L_0703.jpg")</f>
        <v>5876_20240611_0008_L_0703.jpg</v>
      </c>
      <c r="G5879" s="92" t="s">
        <v>6078</v>
      </c>
      <c r="I5879">
        <v>3</v>
      </c>
      <c r="K5879" s="57">
        <v>0</v>
      </c>
      <c r="L5879" t="s">
        <v>3959</v>
      </c>
      <c r="M5879" t="s">
        <v>3959</v>
      </c>
      <c r="N5879" t="s">
        <v>3959</v>
      </c>
      <c r="O5879" t="s">
        <v>3959</v>
      </c>
      <c r="P5879" s="57">
        <v>1</v>
      </c>
      <c r="Q5879" s="57">
        <v>0</v>
      </c>
      <c r="R5879" s="57">
        <v>0</v>
      </c>
      <c r="S5879" s="57">
        <v>0</v>
      </c>
      <c r="T5879" s="57">
        <v>0</v>
      </c>
      <c r="U5879" s="57">
        <v>0</v>
      </c>
      <c r="V5879" s="57">
        <v>0</v>
      </c>
      <c r="W5879" s="57">
        <v>0</v>
      </c>
      <c r="X5879" s="57">
        <v>0</v>
      </c>
    </row>
    <row r="5880" spans="1:24" hidden="1" x14ac:dyDescent="0.35">
      <c r="A5880">
        <v>5876</v>
      </c>
      <c r="B5880">
        <v>5877</v>
      </c>
      <c r="C5880">
        <v>146.07961334999899</v>
      </c>
      <c r="D5880">
        <v>-17.637500551399899</v>
      </c>
      <c r="F5880" t="str">
        <f>HYPERLINK("D:\Data From Lucan\2024\Moresby\Frames_for_Analysis/5877_20240611_0008_L_0707.jpg","5877_20240611_0008_L_0707.jpg")</f>
        <v>5877_20240611_0008_L_0707.jpg</v>
      </c>
      <c r="G5880" s="92" t="s">
        <v>6079</v>
      </c>
      <c r="I5880">
        <v>3</v>
      </c>
      <c r="K5880" s="57">
        <v>0</v>
      </c>
      <c r="L5880" t="s">
        <v>3959</v>
      </c>
      <c r="M5880" t="s">
        <v>3959</v>
      </c>
      <c r="N5880" t="s">
        <v>3959</v>
      </c>
      <c r="O5880" t="s">
        <v>3959</v>
      </c>
      <c r="P5880" s="57">
        <v>1</v>
      </c>
      <c r="Q5880" s="57">
        <v>0</v>
      </c>
      <c r="R5880" s="57">
        <v>0</v>
      </c>
      <c r="S5880" s="57">
        <v>0</v>
      </c>
      <c r="T5880" s="57">
        <v>0</v>
      </c>
      <c r="U5880" s="57">
        <v>0</v>
      </c>
      <c r="V5880" s="57">
        <v>0</v>
      </c>
      <c r="W5880" s="57">
        <v>0</v>
      </c>
      <c r="X5880" s="57">
        <v>0</v>
      </c>
    </row>
    <row r="5881" spans="1:24" hidden="1" x14ac:dyDescent="0.35">
      <c r="A5881">
        <v>5877</v>
      </c>
      <c r="B5881">
        <v>5878</v>
      </c>
      <c r="C5881">
        <v>146.07969846</v>
      </c>
      <c r="D5881">
        <v>-17.6375279371</v>
      </c>
      <c r="F5881" t="str">
        <f>HYPERLINK("D:\Data From Lucan\2024\Moresby\Frames_for_Analysis/5878_20240611_0008_L_0711.jpg","5878_20240611_0008_L_0711.jpg")</f>
        <v>5878_20240611_0008_L_0711.jpg</v>
      </c>
      <c r="G5881" s="92" t="s">
        <v>6080</v>
      </c>
      <c r="I5881">
        <v>3</v>
      </c>
      <c r="K5881" s="57">
        <v>1</v>
      </c>
      <c r="L5881" t="s">
        <v>3959</v>
      </c>
      <c r="M5881" t="s">
        <v>3959</v>
      </c>
      <c r="N5881" t="s">
        <v>3959</v>
      </c>
      <c r="O5881" t="s">
        <v>3959</v>
      </c>
      <c r="P5881" s="57">
        <v>1</v>
      </c>
      <c r="Q5881" s="57">
        <v>0</v>
      </c>
      <c r="R5881" s="57">
        <v>0</v>
      </c>
      <c r="S5881" s="57">
        <v>0</v>
      </c>
      <c r="T5881" s="57">
        <v>0</v>
      </c>
      <c r="U5881" s="57">
        <v>0</v>
      </c>
      <c r="V5881" s="57">
        <v>0</v>
      </c>
      <c r="W5881" s="57">
        <v>0</v>
      </c>
      <c r="X5881" s="57">
        <v>0</v>
      </c>
    </row>
    <row r="5882" spans="1:24" hidden="1" x14ac:dyDescent="0.35">
      <c r="A5882">
        <v>5878</v>
      </c>
      <c r="B5882">
        <v>5879</v>
      </c>
      <c r="C5882">
        <v>146.07978064900001</v>
      </c>
      <c r="D5882">
        <v>-17.637497060600001</v>
      </c>
      <c r="F5882" t="str">
        <f>HYPERLINK("D:\Data From Lucan\2024\Moresby\Frames_for_Analysis/5879_20240611_0008_L_0714.jpg","5879_20240611_0008_L_0714.jpg")</f>
        <v>5879_20240611_0008_L_0714.jpg</v>
      </c>
      <c r="G5882" s="92" t="s">
        <v>6081</v>
      </c>
      <c r="I5882">
        <v>3</v>
      </c>
      <c r="K5882" s="57">
        <v>0</v>
      </c>
      <c r="L5882" t="s">
        <v>3959</v>
      </c>
      <c r="M5882" t="s">
        <v>3959</v>
      </c>
      <c r="N5882" t="s">
        <v>3959</v>
      </c>
      <c r="O5882" t="s">
        <v>3959</v>
      </c>
      <c r="P5882" s="57">
        <v>1</v>
      </c>
      <c r="Q5882" s="57">
        <v>0</v>
      </c>
      <c r="R5882" s="57">
        <v>0</v>
      </c>
      <c r="S5882" s="57">
        <v>0</v>
      </c>
      <c r="T5882" s="57">
        <v>0</v>
      </c>
      <c r="U5882" s="57">
        <v>0</v>
      </c>
      <c r="V5882" s="57">
        <v>0</v>
      </c>
      <c r="W5882" s="57">
        <v>0</v>
      </c>
      <c r="X5882" s="57">
        <v>0</v>
      </c>
    </row>
    <row r="5883" spans="1:24" hidden="1" x14ac:dyDescent="0.35">
      <c r="A5883">
        <v>5879</v>
      </c>
      <c r="B5883">
        <v>5880</v>
      </c>
      <c r="C5883">
        <v>146.079856049</v>
      </c>
      <c r="D5883">
        <v>-17.637542846399899</v>
      </c>
      <c r="F5883" t="str">
        <f>HYPERLINK("D:\Data From Lucan\2024\Moresby\Frames_for_Analysis/5880_20240611_0008_L_0718.jpg","5880_20240611_0008_L_0718.jpg")</f>
        <v>5880_20240611_0008_L_0718.jpg</v>
      </c>
      <c r="G5883" s="92" t="s">
        <v>6082</v>
      </c>
      <c r="I5883">
        <v>3</v>
      </c>
      <c r="K5883" s="57">
        <v>1</v>
      </c>
      <c r="L5883" t="s">
        <v>3959</v>
      </c>
      <c r="M5883" t="s">
        <v>3959</v>
      </c>
      <c r="N5883" t="s">
        <v>3959</v>
      </c>
      <c r="O5883" t="s">
        <v>3959</v>
      </c>
      <c r="P5883" s="57">
        <v>1</v>
      </c>
      <c r="Q5883" s="57">
        <v>0</v>
      </c>
      <c r="R5883" s="57">
        <v>0</v>
      </c>
      <c r="S5883" s="57">
        <v>0</v>
      </c>
      <c r="T5883" s="57">
        <v>0</v>
      </c>
      <c r="U5883" s="57">
        <v>1</v>
      </c>
      <c r="V5883" s="57">
        <v>0</v>
      </c>
      <c r="W5883" s="57">
        <v>1</v>
      </c>
      <c r="X5883" s="57">
        <v>0</v>
      </c>
    </row>
    <row r="5884" spans="1:24" hidden="1" x14ac:dyDescent="0.35">
      <c r="A5884">
        <v>5880</v>
      </c>
      <c r="B5884">
        <v>5881</v>
      </c>
      <c r="C5884">
        <v>146.07993137899899</v>
      </c>
      <c r="D5884">
        <v>-17.6375894849999</v>
      </c>
      <c r="F5884" t="str">
        <f>HYPERLINK("D:\Data From Lucan\2024\Moresby\Frames_for_Analysis/5881_20240611_0008_L_0721.jpg","5881_20240611_0008_L_0721.jpg")</f>
        <v>5881_20240611_0008_L_0721.jpg</v>
      </c>
      <c r="G5884" s="92" t="s">
        <v>6083</v>
      </c>
      <c r="I5884">
        <v>3</v>
      </c>
      <c r="K5884" s="57">
        <v>1</v>
      </c>
      <c r="L5884" t="s">
        <v>3959</v>
      </c>
      <c r="M5884" t="s">
        <v>3959</v>
      </c>
      <c r="N5884" t="s">
        <v>3959</v>
      </c>
      <c r="O5884" t="s">
        <v>3959</v>
      </c>
      <c r="P5884" s="57">
        <v>1</v>
      </c>
      <c r="Q5884" s="57">
        <v>0</v>
      </c>
      <c r="R5884" s="57">
        <v>0</v>
      </c>
      <c r="S5884" s="57">
        <v>0</v>
      </c>
      <c r="T5884" s="57">
        <v>0</v>
      </c>
      <c r="U5884" s="57">
        <v>1</v>
      </c>
      <c r="V5884" s="57">
        <v>0</v>
      </c>
      <c r="W5884" s="57">
        <v>0</v>
      </c>
      <c r="X5884" s="57">
        <v>0</v>
      </c>
    </row>
    <row r="5885" spans="1:24" hidden="1" x14ac:dyDescent="0.35">
      <c r="A5885">
        <v>5881</v>
      </c>
      <c r="B5885">
        <v>5882</v>
      </c>
      <c r="C5885">
        <v>146.080006709</v>
      </c>
      <c r="D5885">
        <v>-17.6376361236</v>
      </c>
      <c r="F5885" t="str">
        <f>HYPERLINK("D:\Data From Lucan\2024\Moresby\Frames_for_Analysis/5882_20240611_0008_L_0725.jpg","5882_20240611_0008_L_0725.jpg")</f>
        <v>5882_20240611_0008_L_0725.jpg</v>
      </c>
      <c r="G5885" s="92" t="s">
        <v>6084</v>
      </c>
      <c r="I5885">
        <v>3</v>
      </c>
      <c r="K5885" s="57">
        <v>0</v>
      </c>
      <c r="L5885" t="s">
        <v>3959</v>
      </c>
      <c r="M5885" t="s">
        <v>3959</v>
      </c>
      <c r="N5885" t="s">
        <v>3959</v>
      </c>
      <c r="O5885" t="s">
        <v>3959</v>
      </c>
      <c r="P5885" s="57">
        <v>1</v>
      </c>
      <c r="Q5885" s="57">
        <v>0</v>
      </c>
      <c r="R5885" s="57">
        <v>0</v>
      </c>
      <c r="S5885" s="57">
        <v>0</v>
      </c>
      <c r="T5885" s="57">
        <v>0</v>
      </c>
      <c r="U5885" s="57">
        <v>0</v>
      </c>
      <c r="V5885" s="57">
        <v>0</v>
      </c>
      <c r="W5885" s="57">
        <v>0</v>
      </c>
      <c r="X5885" s="57">
        <v>0</v>
      </c>
    </row>
    <row r="5886" spans="1:24" hidden="1" x14ac:dyDescent="0.35">
      <c r="A5886">
        <v>5882</v>
      </c>
      <c r="B5886">
        <v>5883</v>
      </c>
      <c r="C5886">
        <v>146.08009004900001</v>
      </c>
      <c r="D5886">
        <v>-17.637666111800002</v>
      </c>
      <c r="F5886" t="str">
        <f>HYPERLINK("D:\Data From Lucan\2024\Moresby\Frames_for_Analysis/5883_20240611_0008_L_0729.jpg","5883_20240611_0008_L_0729.jpg")</f>
        <v>5883_20240611_0008_L_0729.jpg</v>
      </c>
      <c r="G5886" s="92" t="s">
        <v>6085</v>
      </c>
      <c r="I5886">
        <v>3</v>
      </c>
      <c r="K5886" s="57">
        <v>0</v>
      </c>
      <c r="L5886" t="s">
        <v>3959</v>
      </c>
      <c r="M5886" t="s">
        <v>3959</v>
      </c>
      <c r="N5886" t="s">
        <v>3959</v>
      </c>
      <c r="O5886" t="s">
        <v>3959</v>
      </c>
      <c r="P5886" s="57">
        <v>1</v>
      </c>
      <c r="Q5886" s="57">
        <v>0</v>
      </c>
      <c r="R5886" s="57">
        <v>0</v>
      </c>
      <c r="S5886" s="57">
        <v>0</v>
      </c>
      <c r="T5886" s="57">
        <v>0</v>
      </c>
      <c r="U5886" s="57">
        <v>0</v>
      </c>
      <c r="V5886" s="57">
        <v>0</v>
      </c>
      <c r="W5886" s="57">
        <v>0</v>
      </c>
      <c r="X5886" s="57">
        <v>0</v>
      </c>
    </row>
    <row r="5887" spans="1:24" hidden="1" x14ac:dyDescent="0.35">
      <c r="A5887">
        <v>5883</v>
      </c>
      <c r="B5887">
        <v>5884</v>
      </c>
      <c r="C5887">
        <v>146.08017629400001</v>
      </c>
      <c r="D5887">
        <v>-17.637690061299899</v>
      </c>
      <c r="F5887" t="str">
        <f>HYPERLINK("D:\Data From Lucan\2024\Moresby\Frames_for_Analysis/5884_20240611_0008_L_0733.jpg","5884_20240611_0008_L_0733.jpg")</f>
        <v>5884_20240611_0008_L_0733.jpg</v>
      </c>
      <c r="G5887" s="92" t="s">
        <v>6086</v>
      </c>
      <c r="I5887">
        <v>3</v>
      </c>
      <c r="K5887" s="57">
        <v>0</v>
      </c>
      <c r="L5887" t="s">
        <v>3959</v>
      </c>
      <c r="M5887" t="s">
        <v>3959</v>
      </c>
      <c r="N5887" t="s">
        <v>3959</v>
      </c>
      <c r="O5887" t="s">
        <v>3959</v>
      </c>
      <c r="P5887" s="57">
        <v>1</v>
      </c>
      <c r="Q5887" s="57">
        <v>0</v>
      </c>
      <c r="R5887" s="57">
        <v>0</v>
      </c>
      <c r="S5887" s="57">
        <v>0</v>
      </c>
      <c r="T5887" s="57">
        <v>0</v>
      </c>
      <c r="U5887" s="57">
        <v>0</v>
      </c>
      <c r="V5887" s="57">
        <v>0</v>
      </c>
      <c r="W5887" s="57">
        <v>0</v>
      </c>
      <c r="X5887" s="57">
        <v>0</v>
      </c>
    </row>
    <row r="5888" spans="1:24" hidden="1" x14ac:dyDescent="0.35">
      <c r="A5888">
        <v>5884</v>
      </c>
      <c r="B5888">
        <v>5885</v>
      </c>
      <c r="C5888">
        <v>146.08026253899899</v>
      </c>
      <c r="D5888">
        <v>-17.637714010900002</v>
      </c>
      <c r="F5888" t="str">
        <f>HYPERLINK("D:\Data From Lucan\2024\Moresby\Frames_for_Analysis/5885_20240611_0008_L_0737.jpg","5885_20240611_0008_L_0737.jpg")</f>
        <v>5885_20240611_0008_L_0737.jpg</v>
      </c>
      <c r="G5888" s="92" t="s">
        <v>6087</v>
      </c>
      <c r="I5888">
        <v>3</v>
      </c>
      <c r="K5888" s="57">
        <v>0</v>
      </c>
      <c r="L5888" t="s">
        <v>3959</v>
      </c>
      <c r="M5888" t="s">
        <v>3959</v>
      </c>
      <c r="N5888" t="s">
        <v>3959</v>
      </c>
      <c r="O5888" t="s">
        <v>3959</v>
      </c>
      <c r="P5888" s="57">
        <v>1</v>
      </c>
      <c r="Q5888" s="57">
        <v>0</v>
      </c>
      <c r="R5888" s="57">
        <v>0</v>
      </c>
      <c r="S5888" s="57">
        <v>0</v>
      </c>
      <c r="T5888" s="57">
        <v>0</v>
      </c>
      <c r="U5888" s="57">
        <v>0</v>
      </c>
      <c r="V5888" s="57">
        <v>0</v>
      </c>
      <c r="W5888" s="57">
        <v>0</v>
      </c>
      <c r="X5888" s="57">
        <v>0</v>
      </c>
    </row>
    <row r="5889" spans="1:24" hidden="1" x14ac:dyDescent="0.35">
      <c r="A5889">
        <v>5885</v>
      </c>
      <c r="B5889">
        <v>5886</v>
      </c>
      <c r="C5889">
        <v>146.08034878300001</v>
      </c>
      <c r="D5889">
        <v>-17.6377379603999</v>
      </c>
      <c r="F5889" t="str">
        <f>HYPERLINK("D:\Data From Lucan\2024\Moresby\Frames_for_Analysis/5886_20240611_0008_L_0743.jpg","5886_20240611_0008_L_0743.jpg")</f>
        <v>5886_20240611_0008_L_0743.jpg</v>
      </c>
      <c r="G5889" s="92" t="s">
        <v>6088</v>
      </c>
      <c r="I5889">
        <v>3</v>
      </c>
      <c r="K5889" s="57">
        <v>1</v>
      </c>
      <c r="L5889" t="s">
        <v>3959</v>
      </c>
      <c r="M5889" t="s">
        <v>3959</v>
      </c>
      <c r="N5889" t="s">
        <v>3959</v>
      </c>
      <c r="O5889" t="s">
        <v>3959</v>
      </c>
      <c r="P5889" s="57">
        <v>1</v>
      </c>
      <c r="Q5889" s="57">
        <v>0</v>
      </c>
      <c r="R5889" s="57">
        <v>0</v>
      </c>
      <c r="S5889" s="57">
        <v>0</v>
      </c>
      <c r="T5889" s="57">
        <v>0</v>
      </c>
      <c r="U5889" s="57">
        <v>0</v>
      </c>
      <c r="V5889" s="57">
        <v>0</v>
      </c>
      <c r="W5889" s="57">
        <v>0</v>
      </c>
      <c r="X5889" s="57">
        <v>0</v>
      </c>
    </row>
    <row r="5890" spans="1:24" hidden="1" x14ac:dyDescent="0.35">
      <c r="A5890">
        <v>5886</v>
      </c>
      <c r="B5890">
        <v>5887</v>
      </c>
      <c r="C5890">
        <v>146.080435528999</v>
      </c>
      <c r="D5890">
        <v>-17.637757521800001</v>
      </c>
      <c r="F5890" t="str">
        <f>HYPERLINK("D:\Data From Lucan\2024\Moresby\Frames_for_Analysis/5887_20240611_0008_L_0747.jpg","5887_20240611_0008_L_0747.jpg")</f>
        <v>5887_20240611_0008_L_0747.jpg</v>
      </c>
      <c r="G5890" s="92" t="s">
        <v>6089</v>
      </c>
      <c r="I5890">
        <v>3</v>
      </c>
      <c r="K5890" s="57">
        <v>0</v>
      </c>
      <c r="L5890" t="s">
        <v>3959</v>
      </c>
      <c r="M5890" t="s">
        <v>3959</v>
      </c>
      <c r="N5890" t="s">
        <v>3959</v>
      </c>
      <c r="O5890" t="s">
        <v>3959</v>
      </c>
      <c r="P5890" s="57">
        <v>1</v>
      </c>
      <c r="Q5890" s="57">
        <v>0</v>
      </c>
      <c r="R5890" s="57">
        <v>0</v>
      </c>
      <c r="S5890" s="57">
        <v>0</v>
      </c>
      <c r="T5890" s="57">
        <v>0</v>
      </c>
      <c r="U5890" s="57">
        <v>0</v>
      </c>
      <c r="V5890" s="57">
        <v>0</v>
      </c>
      <c r="W5890" s="57">
        <v>0</v>
      </c>
      <c r="X5890" s="57">
        <v>0</v>
      </c>
    </row>
    <row r="5891" spans="1:24" hidden="1" x14ac:dyDescent="0.35">
      <c r="A5891">
        <v>5887</v>
      </c>
      <c r="B5891">
        <v>5888</v>
      </c>
      <c r="C5891">
        <v>146.080525158999</v>
      </c>
      <c r="D5891">
        <v>-17.637751802099899</v>
      </c>
      <c r="F5891" t="str">
        <f>HYPERLINK("D:\Data From Lucan\2024\Moresby\Frames_for_Analysis/5888_20240611_0008_L_0752.jpg","5888_20240611_0008_L_0752.jpg")</f>
        <v>5888_20240611_0008_L_0752.jpg</v>
      </c>
      <c r="G5891" s="92" t="s">
        <v>6090</v>
      </c>
      <c r="I5891">
        <v>3</v>
      </c>
      <c r="K5891" s="57">
        <v>0</v>
      </c>
      <c r="L5891" t="s">
        <v>3959</v>
      </c>
      <c r="M5891" t="s">
        <v>3959</v>
      </c>
      <c r="N5891" t="s">
        <v>3959</v>
      </c>
      <c r="O5891" t="s">
        <v>3959</v>
      </c>
      <c r="P5891" s="57">
        <v>1</v>
      </c>
      <c r="Q5891" s="57">
        <v>0</v>
      </c>
      <c r="R5891" s="57">
        <v>0</v>
      </c>
      <c r="S5891" s="57">
        <v>0</v>
      </c>
      <c r="T5891" s="57">
        <v>0</v>
      </c>
      <c r="U5891" s="57">
        <v>0</v>
      </c>
      <c r="V5891" s="57">
        <v>0</v>
      </c>
      <c r="W5891" s="57">
        <v>0</v>
      </c>
      <c r="X5891" s="57">
        <v>0</v>
      </c>
    </row>
    <row r="5892" spans="1:24" hidden="1" x14ac:dyDescent="0.35">
      <c r="A5892">
        <v>5888</v>
      </c>
      <c r="B5892">
        <v>5889</v>
      </c>
      <c r="C5892">
        <v>146.080614789999</v>
      </c>
      <c r="D5892">
        <v>-17.637746082300001</v>
      </c>
      <c r="F5892" t="str">
        <f>HYPERLINK("D:\Data From Lucan\2024\Moresby\Frames_for_Analysis/5889_20240611_0008_L_0755.jpg","5889_20240611_0008_L_0755.jpg")</f>
        <v>5889_20240611_0008_L_0755.jpg</v>
      </c>
      <c r="G5892" s="92" t="s">
        <v>6091</v>
      </c>
      <c r="I5892">
        <v>3</v>
      </c>
      <c r="K5892" s="57">
        <v>0</v>
      </c>
      <c r="L5892" t="s">
        <v>3959</v>
      </c>
      <c r="M5892" t="s">
        <v>3959</v>
      </c>
      <c r="N5892" t="s">
        <v>3959</v>
      </c>
      <c r="O5892" t="s">
        <v>3959</v>
      </c>
      <c r="P5892" s="57">
        <v>1</v>
      </c>
      <c r="Q5892" s="57">
        <v>0</v>
      </c>
      <c r="R5892" s="57">
        <v>0</v>
      </c>
      <c r="S5892" s="57">
        <v>0</v>
      </c>
      <c r="T5892" s="57">
        <v>0</v>
      </c>
      <c r="U5892" s="57">
        <v>0</v>
      </c>
      <c r="V5892" s="57">
        <v>0</v>
      </c>
      <c r="W5892" s="57">
        <v>0</v>
      </c>
      <c r="X5892" s="57">
        <v>0</v>
      </c>
    </row>
    <row r="5893" spans="1:24" hidden="1" x14ac:dyDescent="0.35">
      <c r="A5893">
        <v>5889</v>
      </c>
      <c r="B5893">
        <v>5890</v>
      </c>
      <c r="C5893">
        <v>146.080680946</v>
      </c>
      <c r="D5893">
        <v>-17.6377808981999</v>
      </c>
      <c r="F5893" t="str">
        <f>HYPERLINK("D:\Data From Lucan\2024\Moresby\Frames_for_Analysis/5890_20240611_0009_L_0018.jpg","5890_20240611_0009_L_0018.jpg")</f>
        <v>5890_20240611_0009_L_0018.jpg</v>
      </c>
      <c r="G5893" s="92" t="s">
        <v>6092</v>
      </c>
      <c r="I5893">
        <v>3</v>
      </c>
      <c r="K5893" s="57">
        <v>1</v>
      </c>
      <c r="L5893" t="s">
        <v>3959</v>
      </c>
      <c r="M5893" t="s">
        <v>3959</v>
      </c>
      <c r="N5893" t="s">
        <v>3959</v>
      </c>
      <c r="O5893" t="s">
        <v>3959</v>
      </c>
      <c r="P5893" s="57">
        <v>1</v>
      </c>
      <c r="Q5893" s="57">
        <v>0</v>
      </c>
      <c r="R5893" s="57">
        <v>0</v>
      </c>
      <c r="S5893" s="57">
        <v>0</v>
      </c>
      <c r="T5893" s="57">
        <v>0</v>
      </c>
      <c r="U5893" s="57">
        <v>0</v>
      </c>
      <c r="V5893" s="57">
        <v>0</v>
      </c>
      <c r="W5893" s="57">
        <v>0</v>
      </c>
      <c r="X5893" s="57">
        <v>0</v>
      </c>
    </row>
    <row r="5894" spans="1:24" hidden="1" x14ac:dyDescent="0.35">
      <c r="A5894">
        <v>5890</v>
      </c>
      <c r="B5894">
        <v>5891</v>
      </c>
      <c r="C5894">
        <v>146.080636032999</v>
      </c>
      <c r="D5894">
        <v>-17.637850258</v>
      </c>
      <c r="F5894" t="str">
        <f>HYPERLINK("D:\Data From Lucan\2024\Moresby\Frames_for_Analysis/5891_20240611_0009_L_0019.jpg","5891_20240611_0009_L_0019.jpg")</f>
        <v>5891_20240611_0009_L_0019.jpg</v>
      </c>
      <c r="G5894" s="92" t="s">
        <v>6093</v>
      </c>
      <c r="I5894">
        <v>3</v>
      </c>
      <c r="K5894" s="57">
        <v>1</v>
      </c>
      <c r="L5894" t="s">
        <v>3959</v>
      </c>
      <c r="M5894" t="s">
        <v>3959</v>
      </c>
      <c r="N5894" t="s">
        <v>3959</v>
      </c>
      <c r="O5894" t="s">
        <v>3959</v>
      </c>
      <c r="P5894" s="57">
        <v>1</v>
      </c>
      <c r="Q5894" s="57">
        <v>0</v>
      </c>
      <c r="R5894" s="57">
        <v>0</v>
      </c>
      <c r="S5894" s="57">
        <v>0</v>
      </c>
      <c r="T5894" s="57">
        <v>0</v>
      </c>
      <c r="U5894" s="57">
        <v>0</v>
      </c>
      <c r="V5894" s="57">
        <v>0</v>
      </c>
      <c r="W5894" s="57">
        <v>0</v>
      </c>
      <c r="X5894" s="57">
        <v>0</v>
      </c>
    </row>
    <row r="5895" spans="1:24" hidden="1" x14ac:dyDescent="0.35">
      <c r="A5895">
        <v>5891</v>
      </c>
      <c r="B5895">
        <v>5892</v>
      </c>
      <c r="C5895">
        <v>146.080655191999</v>
      </c>
      <c r="D5895">
        <v>-17.637919412199899</v>
      </c>
      <c r="F5895" t="str">
        <f>HYPERLINK("D:\Data From Lucan\2024\Moresby\Frames_for_Analysis/5892_20240611_0009_L_0021.jpg","5892_20240611_0009_L_0021.jpg")</f>
        <v>5892_20240611_0009_L_0021.jpg</v>
      </c>
      <c r="G5895" s="92" t="s">
        <v>6094</v>
      </c>
      <c r="I5895">
        <v>3</v>
      </c>
      <c r="K5895" s="57">
        <v>1</v>
      </c>
      <c r="L5895" t="s">
        <v>3959</v>
      </c>
      <c r="M5895" t="s">
        <v>3959</v>
      </c>
      <c r="N5895" t="s">
        <v>3959</v>
      </c>
      <c r="O5895" t="s">
        <v>3959</v>
      </c>
      <c r="P5895" s="57">
        <v>1</v>
      </c>
      <c r="Q5895" s="57">
        <v>0</v>
      </c>
      <c r="R5895" s="57">
        <v>0</v>
      </c>
      <c r="S5895" s="57">
        <v>0</v>
      </c>
      <c r="T5895" s="57">
        <v>0</v>
      </c>
      <c r="U5895" s="57">
        <v>0</v>
      </c>
      <c r="V5895" s="57">
        <v>0</v>
      </c>
      <c r="W5895" s="57">
        <v>0</v>
      </c>
      <c r="X5895" s="57">
        <v>0</v>
      </c>
    </row>
    <row r="5896" spans="1:24" hidden="1" x14ac:dyDescent="0.35">
      <c r="A5896">
        <v>5892</v>
      </c>
      <c r="B5896">
        <v>5893</v>
      </c>
      <c r="C5896">
        <v>146.080723546999</v>
      </c>
      <c r="D5896">
        <v>-17.6379744692</v>
      </c>
      <c r="F5896" t="str">
        <f>HYPERLINK("D:\Data From Lucan\2024\Moresby\Frames_for_Analysis/5893_20240611_0009_L_0025.jpg","5893_20240611_0009_L_0025.jpg")</f>
        <v>5893_20240611_0009_L_0025.jpg</v>
      </c>
      <c r="G5896" s="92" t="s">
        <v>6095</v>
      </c>
      <c r="I5896">
        <v>3</v>
      </c>
      <c r="K5896" s="57">
        <v>1</v>
      </c>
      <c r="L5896" t="s">
        <v>3959</v>
      </c>
      <c r="M5896" t="s">
        <v>3959</v>
      </c>
      <c r="N5896" t="s">
        <v>3959</v>
      </c>
      <c r="O5896" t="s">
        <v>3959</v>
      </c>
      <c r="P5896" s="57">
        <v>1</v>
      </c>
      <c r="Q5896" s="57">
        <v>0</v>
      </c>
      <c r="R5896" s="57">
        <v>0</v>
      </c>
      <c r="S5896" s="57">
        <v>0</v>
      </c>
      <c r="T5896" s="57">
        <v>0</v>
      </c>
      <c r="U5896" s="57">
        <v>0</v>
      </c>
      <c r="V5896" s="57">
        <v>0</v>
      </c>
      <c r="W5896" s="57">
        <v>0</v>
      </c>
      <c r="X5896" s="57">
        <v>0</v>
      </c>
    </row>
    <row r="5897" spans="1:24" hidden="1" x14ac:dyDescent="0.35">
      <c r="A5897">
        <v>5893</v>
      </c>
      <c r="B5897">
        <v>5894</v>
      </c>
      <c r="C5897">
        <v>146.08078889000001</v>
      </c>
      <c r="D5897">
        <v>-17.6380332158</v>
      </c>
      <c r="F5897" t="str">
        <f>HYPERLINK("D:\Data From Lucan\2024\Moresby\Frames_for_Analysis/5894_20240611_0009_L_0028.jpg","5894_20240611_0009_L_0028.jpg")</f>
        <v>5894_20240611_0009_L_0028.jpg</v>
      </c>
      <c r="G5897" s="92" t="s">
        <v>6096</v>
      </c>
      <c r="I5897">
        <v>3</v>
      </c>
      <c r="K5897" s="57">
        <v>1</v>
      </c>
      <c r="L5897" t="s">
        <v>3959</v>
      </c>
      <c r="M5897" t="s">
        <v>3959</v>
      </c>
      <c r="N5897" t="s">
        <v>3959</v>
      </c>
      <c r="O5897" t="s">
        <v>3959</v>
      </c>
      <c r="P5897" s="57">
        <v>1</v>
      </c>
      <c r="Q5897" s="57">
        <v>0</v>
      </c>
      <c r="R5897" s="57">
        <v>0</v>
      </c>
      <c r="S5897" s="57">
        <v>0</v>
      </c>
      <c r="T5897" s="57">
        <v>0</v>
      </c>
      <c r="U5897" s="57">
        <v>0</v>
      </c>
      <c r="V5897" s="57">
        <v>0</v>
      </c>
      <c r="W5897" s="57">
        <v>0</v>
      </c>
      <c r="X5897" s="57">
        <v>0</v>
      </c>
    </row>
    <row r="5898" spans="1:24" hidden="1" x14ac:dyDescent="0.35">
      <c r="A5898">
        <v>5894</v>
      </c>
      <c r="B5898">
        <v>5895</v>
      </c>
      <c r="C5898">
        <v>146.08085423200001</v>
      </c>
      <c r="D5898">
        <v>-17.638091962400001</v>
      </c>
      <c r="F5898" t="str">
        <f>HYPERLINK("D:\Data From Lucan\2024\Moresby\Frames_for_Analysis/5895_20240611_0009_L_0032.jpg","5895_20240611_0009_L_0032.jpg")</f>
        <v>5895_20240611_0009_L_0032.jpg</v>
      </c>
      <c r="G5898" s="92" t="s">
        <v>6097</v>
      </c>
      <c r="I5898">
        <v>3</v>
      </c>
      <c r="K5898" s="57">
        <v>1</v>
      </c>
      <c r="L5898" t="s">
        <v>3959</v>
      </c>
      <c r="M5898" t="s">
        <v>3959</v>
      </c>
      <c r="N5898" t="s">
        <v>3959</v>
      </c>
      <c r="O5898" t="s">
        <v>3959</v>
      </c>
      <c r="P5898" s="57">
        <v>1</v>
      </c>
      <c r="Q5898" s="57">
        <v>0</v>
      </c>
      <c r="R5898" s="57">
        <v>0</v>
      </c>
      <c r="S5898" s="57">
        <v>0</v>
      </c>
      <c r="T5898" s="57">
        <v>0</v>
      </c>
      <c r="U5898" s="57">
        <v>0</v>
      </c>
      <c r="V5898" s="57">
        <v>0</v>
      </c>
      <c r="W5898" s="57">
        <v>0</v>
      </c>
      <c r="X5898" s="57">
        <v>0</v>
      </c>
    </row>
    <row r="5899" spans="1:24" hidden="1" x14ac:dyDescent="0.35">
      <c r="A5899">
        <v>5895</v>
      </c>
      <c r="B5899">
        <v>5896</v>
      </c>
      <c r="C5899">
        <v>146.080919574999</v>
      </c>
      <c r="D5899">
        <v>-17.638150709000001</v>
      </c>
      <c r="F5899" t="str">
        <f>HYPERLINK("D:\Data From Lucan\2024\Moresby\Frames_for_Analysis/5896_20240611_0009_L_0035.jpg","5896_20240611_0009_L_0035.jpg")</f>
        <v>5896_20240611_0009_L_0035.jpg</v>
      </c>
      <c r="G5899" s="92" t="s">
        <v>6098</v>
      </c>
      <c r="I5899">
        <v>3</v>
      </c>
      <c r="K5899" s="57">
        <v>0</v>
      </c>
      <c r="L5899" t="s">
        <v>3959</v>
      </c>
      <c r="M5899" t="s">
        <v>3959</v>
      </c>
      <c r="N5899" t="s">
        <v>3959</v>
      </c>
      <c r="O5899" t="s">
        <v>3959</v>
      </c>
      <c r="P5899" s="57">
        <v>1</v>
      </c>
      <c r="Q5899" s="57">
        <v>0</v>
      </c>
      <c r="R5899" s="57">
        <v>0</v>
      </c>
      <c r="S5899" s="57">
        <v>0</v>
      </c>
      <c r="T5899" s="57">
        <v>0</v>
      </c>
      <c r="U5899" s="57">
        <v>0</v>
      </c>
      <c r="V5899" s="57">
        <v>0</v>
      </c>
      <c r="W5899" s="57">
        <v>0</v>
      </c>
      <c r="X5899" s="57">
        <v>0</v>
      </c>
    </row>
    <row r="5900" spans="1:24" hidden="1" x14ac:dyDescent="0.35">
      <c r="A5900">
        <v>5896</v>
      </c>
      <c r="B5900">
        <v>5897</v>
      </c>
      <c r="C5900">
        <v>146.08098491800001</v>
      </c>
      <c r="D5900">
        <v>-17.6382094555</v>
      </c>
      <c r="F5900" t="str">
        <f>HYPERLINK("D:\Data From Lucan\2024\Moresby\Frames_for_Analysis/5897_20240611_0009_L_0039.jpg","5897_20240611_0009_L_0039.jpg")</f>
        <v>5897_20240611_0009_L_0039.jpg</v>
      </c>
      <c r="G5900" s="92" t="s">
        <v>6099</v>
      </c>
      <c r="I5900">
        <v>3</v>
      </c>
      <c r="K5900" s="57">
        <v>1</v>
      </c>
      <c r="L5900" t="s">
        <v>3959</v>
      </c>
      <c r="M5900" t="s">
        <v>3959</v>
      </c>
      <c r="N5900" t="s">
        <v>3959</v>
      </c>
      <c r="O5900" t="s">
        <v>3959</v>
      </c>
      <c r="P5900" s="57">
        <v>1</v>
      </c>
      <c r="Q5900" s="57">
        <v>0</v>
      </c>
      <c r="R5900" s="57">
        <v>0</v>
      </c>
      <c r="S5900" s="57">
        <v>0</v>
      </c>
      <c r="T5900" s="57">
        <v>0</v>
      </c>
      <c r="U5900" s="57">
        <v>0</v>
      </c>
      <c r="V5900" s="57">
        <v>0</v>
      </c>
      <c r="W5900" s="57">
        <v>0</v>
      </c>
      <c r="X5900" s="57">
        <v>0</v>
      </c>
    </row>
    <row r="5901" spans="1:24" hidden="1" x14ac:dyDescent="0.35">
      <c r="A5901">
        <v>5897</v>
      </c>
      <c r="B5901">
        <v>5898</v>
      </c>
      <c r="C5901">
        <v>146.08105026000001</v>
      </c>
      <c r="D5901">
        <v>-17.6382682017999</v>
      </c>
      <c r="F5901" t="str">
        <f>HYPERLINK("D:\Data From Lucan\2024\Moresby\Frames_for_Analysis/5898_20240611_0009_L_0043.jpg","5898_20240611_0009_L_0043.jpg")</f>
        <v>5898_20240611_0009_L_0043.jpg</v>
      </c>
      <c r="G5901" s="92" t="s">
        <v>6100</v>
      </c>
      <c r="I5901">
        <v>3</v>
      </c>
      <c r="K5901" s="57">
        <v>1</v>
      </c>
      <c r="L5901" t="s">
        <v>3959</v>
      </c>
      <c r="M5901" t="s">
        <v>3959</v>
      </c>
      <c r="N5901" t="s">
        <v>3959</v>
      </c>
      <c r="O5901" t="s">
        <v>3959</v>
      </c>
      <c r="P5901" s="57">
        <v>1</v>
      </c>
      <c r="Q5901" s="57">
        <v>0</v>
      </c>
      <c r="R5901" s="57">
        <v>0</v>
      </c>
      <c r="S5901" s="57">
        <v>0</v>
      </c>
      <c r="T5901" s="57">
        <v>0</v>
      </c>
      <c r="U5901" s="57">
        <v>0</v>
      </c>
      <c r="V5901" s="57">
        <v>0</v>
      </c>
      <c r="W5901" s="57">
        <v>0</v>
      </c>
      <c r="X5901" s="57">
        <v>0</v>
      </c>
    </row>
    <row r="5902" spans="1:24" hidden="1" x14ac:dyDescent="0.35">
      <c r="A5902">
        <v>5898</v>
      </c>
      <c r="B5902">
        <v>5899</v>
      </c>
      <c r="C5902">
        <v>146.081115603</v>
      </c>
      <c r="D5902">
        <v>-17.638326947900001</v>
      </c>
      <c r="F5902" t="str">
        <f>HYPERLINK("D:\Data From Lucan\2024\Moresby\Frames_for_Analysis/5899_20240611_0009_L_0047.jpg","5899_20240611_0009_L_0047.jpg")</f>
        <v>5899_20240611_0009_L_0047.jpg</v>
      </c>
      <c r="G5902" s="92" t="s">
        <v>6101</v>
      </c>
      <c r="I5902">
        <v>3</v>
      </c>
      <c r="K5902" s="57">
        <v>1</v>
      </c>
      <c r="L5902" t="s">
        <v>3959</v>
      </c>
      <c r="M5902" t="s">
        <v>3959</v>
      </c>
      <c r="N5902" t="s">
        <v>3959</v>
      </c>
      <c r="O5902" t="s">
        <v>3959</v>
      </c>
      <c r="P5902" s="57">
        <v>1</v>
      </c>
      <c r="Q5902" s="57">
        <v>0</v>
      </c>
      <c r="R5902" s="57">
        <v>0</v>
      </c>
      <c r="S5902" s="57">
        <v>0</v>
      </c>
      <c r="T5902" s="57">
        <v>0</v>
      </c>
      <c r="U5902" s="57">
        <v>0</v>
      </c>
      <c r="V5902" s="57">
        <v>0</v>
      </c>
      <c r="W5902" s="57">
        <v>0</v>
      </c>
      <c r="X5902" s="57">
        <v>0</v>
      </c>
    </row>
    <row r="5903" spans="1:24" hidden="1" x14ac:dyDescent="0.35">
      <c r="A5903">
        <v>5899</v>
      </c>
      <c r="B5903">
        <v>5900</v>
      </c>
      <c r="C5903">
        <v>146.08118351799899</v>
      </c>
      <c r="D5903">
        <v>-17.6383827969</v>
      </c>
      <c r="F5903" t="str">
        <f>HYPERLINK("D:\Data From Lucan\2024\Moresby\Frames_for_Analysis/5900_20240611_0009_L_0050.jpg","5900_20240611_0009_L_0050.jpg")</f>
        <v>5900_20240611_0009_L_0050.jpg</v>
      </c>
      <c r="G5903" s="92" t="s">
        <v>6102</v>
      </c>
      <c r="I5903">
        <v>3</v>
      </c>
      <c r="K5903" s="57">
        <v>1</v>
      </c>
      <c r="L5903" t="s">
        <v>3959</v>
      </c>
      <c r="M5903" t="s">
        <v>3959</v>
      </c>
      <c r="N5903" t="s">
        <v>3959</v>
      </c>
      <c r="O5903" t="s">
        <v>3959</v>
      </c>
      <c r="P5903" s="57">
        <v>1</v>
      </c>
      <c r="Q5903" s="57">
        <v>0</v>
      </c>
      <c r="R5903" s="57">
        <v>0</v>
      </c>
      <c r="S5903" s="57">
        <v>0</v>
      </c>
      <c r="T5903" s="57">
        <v>0</v>
      </c>
      <c r="U5903" s="57">
        <v>0</v>
      </c>
      <c r="V5903" s="57">
        <v>0</v>
      </c>
      <c r="W5903" s="57">
        <v>0</v>
      </c>
      <c r="X5903" s="57">
        <v>0</v>
      </c>
    </row>
    <row r="5904" spans="1:24" hidden="1" x14ac:dyDescent="0.35">
      <c r="A5904">
        <v>5900</v>
      </c>
      <c r="B5904">
        <v>5901</v>
      </c>
      <c r="C5904">
        <v>146.08125514599899</v>
      </c>
      <c r="D5904">
        <v>-17.6384344615999</v>
      </c>
      <c r="F5904" t="str">
        <f>HYPERLINK("D:\Data From Lucan\2024\Moresby\Frames_for_Analysis/5901_20240611_0009_L_0054.jpg","5901_20240611_0009_L_0054.jpg")</f>
        <v>5901_20240611_0009_L_0054.jpg</v>
      </c>
      <c r="G5904" s="92" t="s">
        <v>6103</v>
      </c>
      <c r="I5904">
        <v>3</v>
      </c>
      <c r="K5904" s="57">
        <v>1</v>
      </c>
      <c r="L5904" t="s">
        <v>3959</v>
      </c>
      <c r="M5904" t="s">
        <v>3959</v>
      </c>
      <c r="N5904" t="s">
        <v>3959</v>
      </c>
      <c r="O5904" t="s">
        <v>3959</v>
      </c>
      <c r="P5904" s="57">
        <v>1</v>
      </c>
      <c r="Q5904" s="57">
        <v>0</v>
      </c>
      <c r="R5904" s="57">
        <v>0</v>
      </c>
      <c r="S5904" s="57">
        <v>0</v>
      </c>
      <c r="T5904" s="57">
        <v>0</v>
      </c>
      <c r="U5904" s="57">
        <v>0</v>
      </c>
      <c r="V5904" s="57">
        <v>0</v>
      </c>
      <c r="W5904" s="57">
        <v>0</v>
      </c>
      <c r="X5904" s="57">
        <v>0</v>
      </c>
    </row>
    <row r="5905" spans="1:24" hidden="1" x14ac:dyDescent="0.35">
      <c r="A5905">
        <v>5901</v>
      </c>
      <c r="B5905">
        <v>5902</v>
      </c>
      <c r="C5905">
        <v>146.081326773999</v>
      </c>
      <c r="D5905">
        <v>-17.6384861262</v>
      </c>
      <c r="F5905" t="str">
        <f>HYPERLINK("D:\Data From Lucan\2024\Moresby\Frames_for_Analysis/5902_20240611_0009_L_0058.jpg","5902_20240611_0009_L_0058.jpg")</f>
        <v>5902_20240611_0009_L_0058.jpg</v>
      </c>
      <c r="G5905" s="92" t="s">
        <v>6104</v>
      </c>
      <c r="I5905">
        <v>3</v>
      </c>
      <c r="K5905" s="57">
        <v>1</v>
      </c>
      <c r="L5905" t="s">
        <v>3959</v>
      </c>
      <c r="M5905" t="s">
        <v>3959</v>
      </c>
      <c r="N5905" t="s">
        <v>3959</v>
      </c>
      <c r="O5905" t="s">
        <v>3959</v>
      </c>
      <c r="P5905" s="57">
        <v>1</v>
      </c>
      <c r="Q5905" s="57">
        <v>0</v>
      </c>
      <c r="R5905" s="57">
        <v>0</v>
      </c>
      <c r="S5905" s="57">
        <v>0</v>
      </c>
      <c r="T5905" s="57">
        <v>0</v>
      </c>
      <c r="U5905" s="57">
        <v>0</v>
      </c>
      <c r="V5905" s="57">
        <v>0</v>
      </c>
      <c r="W5905" s="57">
        <v>0</v>
      </c>
      <c r="X5905" s="57">
        <v>0</v>
      </c>
    </row>
    <row r="5906" spans="1:24" hidden="1" x14ac:dyDescent="0.35">
      <c r="A5906">
        <v>5902</v>
      </c>
      <c r="B5906">
        <v>5903</v>
      </c>
      <c r="C5906">
        <v>146.08139840300001</v>
      </c>
      <c r="D5906">
        <v>-17.638537790800001</v>
      </c>
      <c r="F5906" t="str">
        <f>HYPERLINK("D:\Data From Lucan\2024\Moresby\Frames_for_Analysis/5903_20240611_0009_L_0062.jpg","5903_20240611_0009_L_0062.jpg")</f>
        <v>5903_20240611_0009_L_0062.jpg</v>
      </c>
      <c r="G5906" s="92" t="s">
        <v>6105</v>
      </c>
      <c r="I5906">
        <v>3</v>
      </c>
      <c r="K5906" s="57">
        <v>1</v>
      </c>
      <c r="L5906" t="s">
        <v>3959</v>
      </c>
      <c r="M5906" t="s">
        <v>3959</v>
      </c>
      <c r="N5906" t="s">
        <v>3959</v>
      </c>
      <c r="O5906" t="s">
        <v>3959</v>
      </c>
      <c r="P5906" s="57">
        <v>1</v>
      </c>
      <c r="Q5906" s="57">
        <v>0</v>
      </c>
      <c r="R5906" s="57">
        <v>0</v>
      </c>
      <c r="S5906" s="57">
        <v>0</v>
      </c>
      <c r="T5906" s="57">
        <v>0</v>
      </c>
      <c r="U5906" s="57">
        <v>0</v>
      </c>
      <c r="V5906" s="57">
        <v>0</v>
      </c>
      <c r="W5906" s="57">
        <v>0</v>
      </c>
      <c r="X5906" s="57">
        <v>0</v>
      </c>
    </row>
    <row r="5907" spans="1:24" hidden="1" x14ac:dyDescent="0.35">
      <c r="A5907">
        <v>5903</v>
      </c>
      <c r="B5907">
        <v>5904</v>
      </c>
      <c r="C5907">
        <v>146.08147003100001</v>
      </c>
      <c r="D5907">
        <v>-17.638589455399899</v>
      </c>
      <c r="F5907" t="str">
        <f>HYPERLINK("D:\Data From Lucan\2024\Moresby\Frames_for_Analysis/5904_20240611_0009_L_0065.jpg","5904_20240611_0009_L_0065.jpg")</f>
        <v>5904_20240611_0009_L_0065.jpg</v>
      </c>
      <c r="G5907" s="92" t="s">
        <v>6106</v>
      </c>
      <c r="I5907">
        <v>3</v>
      </c>
      <c r="K5907" s="57">
        <v>1</v>
      </c>
      <c r="L5907" t="s">
        <v>3959</v>
      </c>
      <c r="M5907" t="s">
        <v>3959</v>
      </c>
      <c r="N5907" t="s">
        <v>3959</v>
      </c>
      <c r="O5907" t="s">
        <v>3959</v>
      </c>
      <c r="P5907" s="57">
        <v>1</v>
      </c>
      <c r="Q5907" s="57">
        <v>0</v>
      </c>
      <c r="R5907" s="57">
        <v>0</v>
      </c>
      <c r="S5907" s="57">
        <v>0</v>
      </c>
      <c r="T5907" s="57">
        <v>0</v>
      </c>
      <c r="U5907" s="57">
        <v>0</v>
      </c>
      <c r="V5907" s="57">
        <v>0</v>
      </c>
      <c r="W5907" s="57">
        <v>0</v>
      </c>
      <c r="X5907" s="57">
        <v>0</v>
      </c>
    </row>
    <row r="5908" spans="1:24" hidden="1" x14ac:dyDescent="0.35">
      <c r="A5908">
        <v>5904</v>
      </c>
      <c r="B5908">
        <v>5905</v>
      </c>
      <c r="C5908">
        <v>146.081522849999</v>
      </c>
      <c r="D5908">
        <v>-17.638658374399899</v>
      </c>
      <c r="F5908" t="str">
        <f>HYPERLINK("D:\Data From Lucan\2024\Moresby\Frames_for_Analysis/5905_20240611_0009_L_0069.jpg","5905_20240611_0009_L_0069.jpg")</f>
        <v>5905_20240611_0009_L_0069.jpg</v>
      </c>
      <c r="G5908" s="92" t="s">
        <v>6107</v>
      </c>
      <c r="I5908">
        <v>3</v>
      </c>
      <c r="K5908" s="57">
        <v>0</v>
      </c>
      <c r="L5908" t="s">
        <v>3959</v>
      </c>
      <c r="M5908" t="s">
        <v>3959</v>
      </c>
      <c r="N5908" t="s">
        <v>3959</v>
      </c>
      <c r="O5908" t="s">
        <v>3959</v>
      </c>
      <c r="P5908" s="57">
        <v>1</v>
      </c>
      <c r="Q5908" s="57">
        <v>0</v>
      </c>
      <c r="R5908" s="57">
        <v>0</v>
      </c>
      <c r="S5908" s="57">
        <v>0</v>
      </c>
      <c r="T5908" s="57">
        <v>0</v>
      </c>
      <c r="U5908" s="57">
        <v>0</v>
      </c>
      <c r="V5908" s="57">
        <v>0</v>
      </c>
      <c r="W5908" s="57">
        <v>0</v>
      </c>
      <c r="X5908" s="57">
        <v>0</v>
      </c>
    </row>
    <row r="5909" spans="1:24" hidden="1" x14ac:dyDescent="0.35">
      <c r="A5909">
        <v>5905</v>
      </c>
      <c r="B5909">
        <v>5906</v>
      </c>
      <c r="C5909">
        <v>146.08157429600001</v>
      </c>
      <c r="D5909">
        <v>-17.638728553899899</v>
      </c>
      <c r="F5909" t="str">
        <f>HYPERLINK("D:\Data From Lucan\2024\Moresby\Frames_for_Analysis/5906_20240611_0009_L_0072.jpg","5906_20240611_0009_L_0072.jpg")</f>
        <v>5906_20240611_0009_L_0072.jpg</v>
      </c>
      <c r="G5909" s="92" t="s">
        <v>6108</v>
      </c>
      <c r="I5909">
        <v>3</v>
      </c>
      <c r="K5909" s="57">
        <v>1</v>
      </c>
      <c r="L5909" t="s">
        <v>3959</v>
      </c>
      <c r="M5909" t="s">
        <v>3959</v>
      </c>
      <c r="N5909" t="s">
        <v>3959</v>
      </c>
      <c r="O5909" t="s">
        <v>3959</v>
      </c>
      <c r="P5909" s="57">
        <v>1</v>
      </c>
      <c r="Q5909" s="57">
        <v>0</v>
      </c>
      <c r="R5909" s="57">
        <v>0</v>
      </c>
      <c r="S5909" s="57">
        <v>0</v>
      </c>
      <c r="T5909" s="57">
        <v>0</v>
      </c>
      <c r="U5909" s="57">
        <v>0</v>
      </c>
      <c r="V5909" s="57">
        <v>0</v>
      </c>
      <c r="W5909" s="57">
        <v>0</v>
      </c>
      <c r="X5909" s="57">
        <v>0</v>
      </c>
    </row>
    <row r="5910" spans="1:24" hidden="1" x14ac:dyDescent="0.35">
      <c r="A5910">
        <v>5906</v>
      </c>
      <c r="B5910">
        <v>5907</v>
      </c>
      <c r="C5910">
        <v>146.08162574100001</v>
      </c>
      <c r="D5910">
        <v>-17.638798733400002</v>
      </c>
      <c r="F5910" t="str">
        <f>HYPERLINK("D:\Data From Lucan\2024\Moresby\Frames_for_Analysis/5907_20240611_0009_L_0075.jpg","5907_20240611_0009_L_0075.jpg")</f>
        <v>5907_20240611_0009_L_0075.jpg</v>
      </c>
      <c r="G5910" s="92" t="s">
        <v>6109</v>
      </c>
      <c r="I5910">
        <v>3</v>
      </c>
      <c r="K5910" s="57">
        <v>1</v>
      </c>
      <c r="L5910" t="s">
        <v>3959</v>
      </c>
      <c r="M5910" t="s">
        <v>3959</v>
      </c>
      <c r="N5910" t="s">
        <v>3959</v>
      </c>
      <c r="O5910" t="s">
        <v>3959</v>
      </c>
      <c r="P5910" s="57">
        <v>1</v>
      </c>
      <c r="Q5910" s="57">
        <v>0</v>
      </c>
      <c r="R5910" s="57">
        <v>0</v>
      </c>
      <c r="S5910" s="57">
        <v>0</v>
      </c>
      <c r="T5910" s="57">
        <v>0</v>
      </c>
      <c r="U5910" s="57">
        <v>0</v>
      </c>
      <c r="V5910" s="57">
        <v>0</v>
      </c>
      <c r="W5910" s="57">
        <v>0</v>
      </c>
      <c r="X5910" s="57">
        <v>0</v>
      </c>
    </row>
    <row r="5911" spans="1:24" hidden="1" x14ac:dyDescent="0.35">
      <c r="A5911">
        <v>5907</v>
      </c>
      <c r="B5911">
        <v>5908</v>
      </c>
      <c r="C5911">
        <v>146.08167718600001</v>
      </c>
      <c r="D5911">
        <v>-17.6388689128</v>
      </c>
      <c r="F5911" t="str">
        <f>HYPERLINK("D:\Data From Lucan\2024\Moresby\Frames_for_Analysis/5908_20240611_0009_L_0078.jpg","5908_20240611_0009_L_0078.jpg")</f>
        <v>5908_20240611_0009_L_0078.jpg</v>
      </c>
      <c r="G5911" s="92" t="s">
        <v>6110</v>
      </c>
      <c r="I5911">
        <v>3</v>
      </c>
      <c r="K5911" s="57">
        <v>1</v>
      </c>
      <c r="L5911" t="s">
        <v>3959</v>
      </c>
      <c r="M5911" t="s">
        <v>3959</v>
      </c>
      <c r="N5911" t="s">
        <v>3959</v>
      </c>
      <c r="O5911" t="s">
        <v>3959</v>
      </c>
      <c r="P5911" s="57">
        <v>1</v>
      </c>
      <c r="Q5911" s="57">
        <v>0</v>
      </c>
      <c r="R5911" s="57">
        <v>0</v>
      </c>
      <c r="S5911" s="57">
        <v>0</v>
      </c>
      <c r="T5911" s="57">
        <v>0</v>
      </c>
      <c r="U5911" s="57">
        <v>0</v>
      </c>
      <c r="V5911" s="57">
        <v>0</v>
      </c>
      <c r="W5911" s="57">
        <v>0</v>
      </c>
      <c r="X5911" s="57">
        <v>0</v>
      </c>
    </row>
    <row r="5912" spans="1:24" hidden="1" x14ac:dyDescent="0.35">
      <c r="A5912">
        <v>5908</v>
      </c>
      <c r="B5912">
        <v>5909</v>
      </c>
      <c r="C5912">
        <v>146.081728631</v>
      </c>
      <c r="D5912">
        <v>-17.638939092200001</v>
      </c>
      <c r="F5912" t="str">
        <f>HYPERLINK("D:\Data From Lucan\2024\Moresby\Frames_for_Analysis/5909_20240611_0009_L_0081.jpg","5909_20240611_0009_L_0081.jpg")</f>
        <v>5909_20240611_0009_L_0081.jpg</v>
      </c>
      <c r="G5912" s="92" t="s">
        <v>6111</v>
      </c>
      <c r="I5912">
        <v>3</v>
      </c>
      <c r="K5912" s="57">
        <v>1</v>
      </c>
      <c r="L5912" t="s">
        <v>3959</v>
      </c>
      <c r="M5912" t="s">
        <v>3959</v>
      </c>
      <c r="N5912" t="s">
        <v>3959</v>
      </c>
      <c r="O5912" t="s">
        <v>3959</v>
      </c>
      <c r="P5912" s="57">
        <v>1</v>
      </c>
      <c r="Q5912" s="57">
        <v>0</v>
      </c>
      <c r="R5912" s="57">
        <v>0</v>
      </c>
      <c r="S5912" s="57">
        <v>0</v>
      </c>
      <c r="T5912" s="57">
        <v>0</v>
      </c>
      <c r="U5912" s="57">
        <v>0</v>
      </c>
      <c r="V5912" s="57">
        <v>0</v>
      </c>
      <c r="W5912" s="57">
        <v>0</v>
      </c>
      <c r="X5912" s="57">
        <v>0</v>
      </c>
    </row>
    <row r="5913" spans="1:24" hidden="1" x14ac:dyDescent="0.35">
      <c r="A5913">
        <v>5909</v>
      </c>
      <c r="B5913">
        <v>5910</v>
      </c>
      <c r="C5913">
        <v>146.081780076999</v>
      </c>
      <c r="D5913">
        <v>-17.6390092715999</v>
      </c>
      <c r="F5913" t="str">
        <f>HYPERLINK("D:\Data From Lucan\2024\Moresby\Frames_for_Analysis/5910_20240611_0009_L_0084.jpg","5910_20240611_0009_L_0084.jpg")</f>
        <v>5910_20240611_0009_L_0084.jpg</v>
      </c>
      <c r="G5913" s="92" t="s">
        <v>6112</v>
      </c>
      <c r="I5913">
        <v>3</v>
      </c>
      <c r="K5913" s="57">
        <v>1</v>
      </c>
      <c r="L5913" t="s">
        <v>3959</v>
      </c>
      <c r="M5913" t="s">
        <v>3959</v>
      </c>
      <c r="N5913" t="s">
        <v>3959</v>
      </c>
      <c r="O5913" t="s">
        <v>3959</v>
      </c>
      <c r="P5913" s="57">
        <v>1</v>
      </c>
      <c r="Q5913" s="57">
        <v>0</v>
      </c>
      <c r="R5913" s="57">
        <v>0</v>
      </c>
      <c r="S5913" s="57">
        <v>0</v>
      </c>
      <c r="T5913" s="57">
        <v>0</v>
      </c>
      <c r="U5913" s="57">
        <v>0</v>
      </c>
      <c r="V5913" s="57">
        <v>0</v>
      </c>
      <c r="W5913" s="57">
        <v>0</v>
      </c>
      <c r="X5913" s="57">
        <v>0</v>
      </c>
    </row>
    <row r="5914" spans="1:24" hidden="1" x14ac:dyDescent="0.35">
      <c r="A5914">
        <v>5910</v>
      </c>
      <c r="B5914">
        <v>5911</v>
      </c>
      <c r="C5914">
        <v>146.08182755600001</v>
      </c>
      <c r="D5914">
        <v>-17.639081781800002</v>
      </c>
      <c r="F5914" t="str">
        <f>HYPERLINK("D:\Data From Lucan\2024\Moresby\Frames_for_Analysis/5911_20240611_0009_L_0088.jpg","5911_20240611_0009_L_0088.jpg")</f>
        <v>5911_20240611_0009_L_0088.jpg</v>
      </c>
      <c r="G5914" s="92" t="s">
        <v>6113</v>
      </c>
      <c r="I5914">
        <v>3</v>
      </c>
      <c r="K5914" s="57">
        <v>1</v>
      </c>
      <c r="L5914" t="s">
        <v>3959</v>
      </c>
      <c r="M5914" t="s">
        <v>3959</v>
      </c>
      <c r="N5914" t="s">
        <v>3959</v>
      </c>
      <c r="O5914" t="s">
        <v>3959</v>
      </c>
      <c r="P5914" s="57">
        <v>1</v>
      </c>
      <c r="Q5914" s="57">
        <v>0</v>
      </c>
      <c r="R5914" s="57">
        <v>0</v>
      </c>
      <c r="S5914" s="57">
        <v>0</v>
      </c>
      <c r="T5914" s="57">
        <v>0</v>
      </c>
      <c r="U5914" s="57">
        <v>0</v>
      </c>
      <c r="V5914" s="57">
        <v>0</v>
      </c>
      <c r="W5914" s="57">
        <v>0</v>
      </c>
      <c r="X5914" s="57">
        <v>0</v>
      </c>
    </row>
    <row r="5915" spans="1:24" hidden="1" x14ac:dyDescent="0.35">
      <c r="A5915">
        <v>5911</v>
      </c>
      <c r="B5915">
        <v>5912</v>
      </c>
      <c r="C5915">
        <v>146.08187026300001</v>
      </c>
      <c r="D5915">
        <v>-17.639157096600002</v>
      </c>
      <c r="F5915" t="str">
        <f>HYPERLINK("D:\Data From Lucan\2024\Moresby\Frames_for_Analysis/5912_20240611_0009_L_0091.jpg","5912_20240611_0009_L_0091.jpg")</f>
        <v>5912_20240611_0009_L_0091.jpg</v>
      </c>
      <c r="G5915" s="92" t="s">
        <v>6114</v>
      </c>
      <c r="I5915">
        <v>3</v>
      </c>
      <c r="K5915" s="57">
        <v>1</v>
      </c>
      <c r="L5915" t="s">
        <v>3959</v>
      </c>
      <c r="M5915" t="s">
        <v>3959</v>
      </c>
      <c r="N5915" t="s">
        <v>3959</v>
      </c>
      <c r="O5915" t="s">
        <v>3959</v>
      </c>
      <c r="P5915" s="57">
        <v>1</v>
      </c>
      <c r="Q5915" s="57">
        <v>0</v>
      </c>
      <c r="R5915" s="57">
        <v>0</v>
      </c>
      <c r="S5915" s="57">
        <v>0</v>
      </c>
      <c r="T5915" s="57">
        <v>0</v>
      </c>
      <c r="U5915" s="57">
        <v>0</v>
      </c>
      <c r="V5915" s="57">
        <v>0</v>
      </c>
      <c r="W5915" s="57">
        <v>0</v>
      </c>
      <c r="X5915" s="57">
        <v>0</v>
      </c>
    </row>
    <row r="5916" spans="1:24" hidden="1" x14ac:dyDescent="0.35">
      <c r="A5916">
        <v>5912</v>
      </c>
      <c r="B5916">
        <v>5913</v>
      </c>
      <c r="C5916">
        <v>146.081912969999</v>
      </c>
      <c r="D5916">
        <v>-17.6392324113</v>
      </c>
      <c r="F5916" t="str">
        <f>HYPERLINK("D:\Data From Lucan\2024\Moresby\Frames_for_Analysis/5913_20240611_0009_L_0094.jpg","5913_20240611_0009_L_0094.jpg")</f>
        <v>5913_20240611_0009_L_0094.jpg</v>
      </c>
      <c r="G5916" s="92" t="s">
        <v>6115</v>
      </c>
      <c r="I5916">
        <v>3</v>
      </c>
      <c r="K5916" s="57">
        <v>1</v>
      </c>
      <c r="L5916" t="s">
        <v>3959</v>
      </c>
      <c r="M5916" t="s">
        <v>3959</v>
      </c>
      <c r="N5916" t="s">
        <v>3959</v>
      </c>
      <c r="O5916" t="s">
        <v>3959</v>
      </c>
      <c r="P5916" s="57">
        <v>1</v>
      </c>
      <c r="Q5916" s="57">
        <v>0</v>
      </c>
      <c r="R5916" s="57">
        <v>0</v>
      </c>
      <c r="S5916" s="57">
        <v>0</v>
      </c>
      <c r="T5916" s="57">
        <v>0</v>
      </c>
      <c r="U5916" s="57">
        <v>0</v>
      </c>
      <c r="V5916" s="57">
        <v>0</v>
      </c>
      <c r="W5916" s="57">
        <v>0</v>
      </c>
      <c r="X5916" s="57">
        <v>0</v>
      </c>
    </row>
    <row r="5917" spans="1:24" hidden="1" x14ac:dyDescent="0.35">
      <c r="A5917">
        <v>5913</v>
      </c>
      <c r="B5917">
        <v>5914</v>
      </c>
      <c r="C5917">
        <v>146.081955676999</v>
      </c>
      <c r="D5917">
        <v>-17.6393077259</v>
      </c>
      <c r="F5917" t="str">
        <f>HYPERLINK("D:\Data From Lucan\2024\Moresby\Frames_for_Analysis/5914_20240611_0009_L_0097.jpg","5914_20240611_0009_L_0097.jpg")</f>
        <v>5914_20240611_0009_L_0097.jpg</v>
      </c>
      <c r="G5917" s="92" t="s">
        <v>6116</v>
      </c>
      <c r="I5917">
        <v>3</v>
      </c>
      <c r="K5917" s="57">
        <v>1</v>
      </c>
      <c r="L5917" t="s">
        <v>3959</v>
      </c>
      <c r="M5917" t="s">
        <v>3959</v>
      </c>
      <c r="N5917" t="s">
        <v>3959</v>
      </c>
      <c r="O5917" t="s">
        <v>3959</v>
      </c>
      <c r="P5917" s="57">
        <v>1</v>
      </c>
      <c r="Q5917" s="57">
        <v>0</v>
      </c>
      <c r="R5917" s="57">
        <v>0</v>
      </c>
      <c r="S5917" s="57">
        <v>0</v>
      </c>
      <c r="T5917" s="57">
        <v>0</v>
      </c>
      <c r="U5917" s="57">
        <v>0</v>
      </c>
      <c r="V5917" s="57">
        <v>0</v>
      </c>
      <c r="W5917" s="57">
        <v>0</v>
      </c>
      <c r="X5917" s="57">
        <v>0</v>
      </c>
    </row>
    <row r="5918" spans="1:24" hidden="1" x14ac:dyDescent="0.35">
      <c r="A5918">
        <v>5914</v>
      </c>
      <c r="B5918">
        <v>5915</v>
      </c>
      <c r="C5918">
        <v>146.081998384</v>
      </c>
      <c r="D5918">
        <v>-17.639383040599899</v>
      </c>
      <c r="F5918" t="str">
        <f>HYPERLINK("D:\Data From Lucan\2024\Moresby\Frames_for_Analysis/5915_20240611_0009_L_0100.jpg","5915_20240611_0009_L_0100.jpg")</f>
        <v>5915_20240611_0009_L_0100.jpg</v>
      </c>
      <c r="G5918" s="92" t="s">
        <v>6117</v>
      </c>
      <c r="I5918">
        <v>3</v>
      </c>
      <c r="K5918" s="57">
        <v>1</v>
      </c>
      <c r="L5918" t="s">
        <v>3959</v>
      </c>
      <c r="M5918" t="s">
        <v>3959</v>
      </c>
      <c r="N5918" t="s">
        <v>3959</v>
      </c>
      <c r="O5918" t="s">
        <v>3959</v>
      </c>
      <c r="P5918" s="57">
        <v>1</v>
      </c>
      <c r="Q5918" s="57">
        <v>0</v>
      </c>
      <c r="R5918" s="57">
        <v>0</v>
      </c>
      <c r="S5918" s="57">
        <v>0</v>
      </c>
      <c r="T5918" s="57">
        <v>0</v>
      </c>
      <c r="U5918" s="57">
        <v>0</v>
      </c>
      <c r="V5918" s="57">
        <v>0</v>
      </c>
      <c r="W5918" s="57">
        <v>0</v>
      </c>
      <c r="X5918" s="57">
        <v>0</v>
      </c>
    </row>
    <row r="5919" spans="1:24" hidden="1" x14ac:dyDescent="0.35">
      <c r="A5919">
        <v>5915</v>
      </c>
      <c r="B5919">
        <v>5916</v>
      </c>
      <c r="C5919">
        <v>146.08204482599899</v>
      </c>
      <c r="D5919">
        <v>-17.639455825799899</v>
      </c>
      <c r="F5919" t="str">
        <f>HYPERLINK("D:\Data From Lucan\2024\Moresby\Frames_for_Analysis/5916_20240611_0009_L_0103.jpg","5916_20240611_0009_L_0103.jpg")</f>
        <v>5916_20240611_0009_L_0103.jpg</v>
      </c>
      <c r="G5919" s="92" t="s">
        <v>6118</v>
      </c>
      <c r="I5919">
        <v>3</v>
      </c>
      <c r="K5919" s="57">
        <v>1</v>
      </c>
      <c r="L5919" t="s">
        <v>3959</v>
      </c>
      <c r="M5919" t="s">
        <v>3959</v>
      </c>
      <c r="N5919" t="s">
        <v>3959</v>
      </c>
      <c r="O5919" t="s">
        <v>3959</v>
      </c>
      <c r="P5919" s="57">
        <v>1</v>
      </c>
      <c r="Q5919" s="57">
        <v>0</v>
      </c>
      <c r="R5919" s="57">
        <v>0</v>
      </c>
      <c r="S5919" s="57">
        <v>0</v>
      </c>
      <c r="T5919" s="57">
        <v>0</v>
      </c>
      <c r="U5919" s="57">
        <v>0</v>
      </c>
      <c r="V5919" s="57">
        <v>0</v>
      </c>
      <c r="W5919" s="57">
        <v>0</v>
      </c>
      <c r="X5919" s="57">
        <v>0</v>
      </c>
    </row>
    <row r="5920" spans="1:24" hidden="1" x14ac:dyDescent="0.35">
      <c r="A5920">
        <v>5916</v>
      </c>
      <c r="B5920">
        <v>5917</v>
      </c>
      <c r="C5920">
        <v>146.08210540799899</v>
      </c>
      <c r="D5920">
        <v>-17.6395190363999</v>
      </c>
      <c r="F5920" t="str">
        <f>HYPERLINK("D:\Data From Lucan\2024\Moresby\Frames_for_Analysis/5917_20240611_0009_L_0106.jpg","5917_20240611_0009_L_0106.jpg")</f>
        <v>5917_20240611_0009_L_0106.jpg</v>
      </c>
      <c r="G5920" s="92" t="s">
        <v>6119</v>
      </c>
      <c r="I5920">
        <v>3</v>
      </c>
      <c r="K5920" s="57">
        <v>1</v>
      </c>
      <c r="L5920" t="s">
        <v>3959</v>
      </c>
      <c r="M5920" t="s">
        <v>3959</v>
      </c>
      <c r="N5920" t="s">
        <v>3959</v>
      </c>
      <c r="O5920" t="s">
        <v>3959</v>
      </c>
      <c r="P5920" s="57">
        <v>1</v>
      </c>
      <c r="Q5920" s="57">
        <v>0</v>
      </c>
      <c r="R5920" s="57">
        <v>0</v>
      </c>
      <c r="S5920" s="57">
        <v>0</v>
      </c>
      <c r="T5920" s="57">
        <v>0</v>
      </c>
      <c r="U5920" s="57">
        <v>0</v>
      </c>
      <c r="V5920" s="57">
        <v>0</v>
      </c>
      <c r="W5920" s="57">
        <v>0</v>
      </c>
      <c r="X5920" s="57">
        <v>0</v>
      </c>
    </row>
    <row r="5921" spans="1:24" hidden="1" x14ac:dyDescent="0.35">
      <c r="A5921">
        <v>5917</v>
      </c>
      <c r="B5921">
        <v>5918</v>
      </c>
      <c r="C5921">
        <v>146.082165989</v>
      </c>
      <c r="D5921">
        <v>-17.639582247100002</v>
      </c>
      <c r="F5921" t="str">
        <f>HYPERLINK("D:\Data From Lucan\2024\Moresby\Frames_for_Analysis/5918_20240611_0009_L_0109.jpg","5918_20240611_0009_L_0109.jpg")</f>
        <v>5918_20240611_0009_L_0109.jpg</v>
      </c>
      <c r="G5921" s="92" t="s">
        <v>6120</v>
      </c>
      <c r="I5921">
        <v>3</v>
      </c>
      <c r="K5921" s="57">
        <v>1</v>
      </c>
      <c r="L5921" t="s">
        <v>3959</v>
      </c>
      <c r="M5921" t="s">
        <v>3959</v>
      </c>
      <c r="N5921" t="s">
        <v>3959</v>
      </c>
      <c r="O5921" t="s">
        <v>3959</v>
      </c>
      <c r="P5921" s="57">
        <v>1</v>
      </c>
      <c r="Q5921" s="57">
        <v>0</v>
      </c>
      <c r="R5921" s="57">
        <v>0</v>
      </c>
      <c r="S5921" s="57">
        <v>0</v>
      </c>
      <c r="T5921" s="57">
        <v>0</v>
      </c>
      <c r="U5921" s="57">
        <v>0</v>
      </c>
      <c r="V5921" s="57">
        <v>0</v>
      </c>
      <c r="W5921" s="57">
        <v>0</v>
      </c>
      <c r="X5921" s="57">
        <v>0</v>
      </c>
    </row>
    <row r="5922" spans="1:24" hidden="1" x14ac:dyDescent="0.35">
      <c r="A5922">
        <v>5918</v>
      </c>
      <c r="B5922">
        <v>5919</v>
      </c>
      <c r="C5922">
        <v>146.08222657100001</v>
      </c>
      <c r="D5922">
        <v>-17.639645457699899</v>
      </c>
      <c r="F5922" t="str">
        <f>HYPERLINK("D:\Data From Lucan\2024\Moresby\Frames_for_Analysis/5919_20240611_0009_L_0112.jpg","5919_20240611_0009_L_0112.jpg")</f>
        <v>5919_20240611_0009_L_0112.jpg</v>
      </c>
      <c r="G5922" s="92" t="s">
        <v>6121</v>
      </c>
      <c r="I5922">
        <v>3</v>
      </c>
      <c r="K5922" s="57">
        <v>1</v>
      </c>
      <c r="L5922" t="s">
        <v>3959</v>
      </c>
      <c r="M5922" t="s">
        <v>3959</v>
      </c>
      <c r="N5922" t="s">
        <v>3959</v>
      </c>
      <c r="O5922" t="s">
        <v>3959</v>
      </c>
      <c r="P5922" s="57">
        <v>1</v>
      </c>
      <c r="Q5922" s="57">
        <v>0</v>
      </c>
      <c r="R5922" s="57">
        <v>0</v>
      </c>
      <c r="S5922" s="57">
        <v>0</v>
      </c>
      <c r="T5922" s="57">
        <v>0</v>
      </c>
      <c r="U5922" s="57">
        <v>0</v>
      </c>
      <c r="V5922" s="57">
        <v>0</v>
      </c>
      <c r="W5922" s="57">
        <v>0</v>
      </c>
      <c r="X5922" s="57">
        <v>0</v>
      </c>
    </row>
    <row r="5923" spans="1:24" hidden="1" x14ac:dyDescent="0.35">
      <c r="A5923">
        <v>5919</v>
      </c>
      <c r="B5923">
        <v>5920</v>
      </c>
      <c r="C5923">
        <v>146.082287151999</v>
      </c>
      <c r="D5923">
        <v>-17.6397086682999</v>
      </c>
      <c r="F5923" t="str">
        <f>HYPERLINK("D:\Data From Lucan\2024\Moresby\Frames_for_Analysis/5920_20240611_0009_L_0115.jpg","5920_20240611_0009_L_0115.jpg")</f>
        <v>5920_20240611_0009_L_0115.jpg</v>
      </c>
      <c r="G5923" s="92" t="s">
        <v>6122</v>
      </c>
      <c r="I5923">
        <v>3</v>
      </c>
      <c r="K5923" s="57">
        <v>1</v>
      </c>
      <c r="L5923" t="s">
        <v>3959</v>
      </c>
      <c r="M5923" t="s">
        <v>3959</v>
      </c>
      <c r="N5923" t="s">
        <v>3959</v>
      </c>
      <c r="O5923" t="s">
        <v>3959</v>
      </c>
      <c r="P5923" s="57">
        <v>1</v>
      </c>
      <c r="Q5923" s="57">
        <v>0</v>
      </c>
      <c r="R5923" s="57">
        <v>0</v>
      </c>
      <c r="S5923" s="57">
        <v>0</v>
      </c>
      <c r="T5923" s="57">
        <v>0</v>
      </c>
      <c r="U5923" s="57">
        <v>0</v>
      </c>
      <c r="V5923" s="57">
        <v>0</v>
      </c>
      <c r="W5923" s="57">
        <v>0</v>
      </c>
      <c r="X5923" s="57">
        <v>0</v>
      </c>
    </row>
    <row r="5924" spans="1:24" hidden="1" x14ac:dyDescent="0.35">
      <c r="A5924">
        <v>5920</v>
      </c>
      <c r="B5924">
        <v>5921</v>
      </c>
      <c r="C5924">
        <v>146.082347733999</v>
      </c>
      <c r="D5924">
        <v>-17.6397718789</v>
      </c>
      <c r="F5924" t="str">
        <f>HYPERLINK("D:\Data From Lucan\2024\Moresby\Frames_for_Analysis/5921_20240611_0009_L_0118.jpg","5921_20240611_0009_L_0118.jpg")</f>
        <v>5921_20240611_0009_L_0118.jpg</v>
      </c>
      <c r="G5924" s="92" t="s">
        <v>6123</v>
      </c>
      <c r="I5924">
        <v>3</v>
      </c>
      <c r="K5924" s="57">
        <v>1</v>
      </c>
      <c r="L5924" t="s">
        <v>3959</v>
      </c>
      <c r="M5924" t="s">
        <v>3959</v>
      </c>
      <c r="N5924" t="s">
        <v>3959</v>
      </c>
      <c r="O5924" t="s">
        <v>3959</v>
      </c>
      <c r="P5924" s="57">
        <v>1</v>
      </c>
      <c r="Q5924" s="57">
        <v>0</v>
      </c>
      <c r="R5924" s="57">
        <v>0</v>
      </c>
      <c r="S5924" s="57">
        <v>0</v>
      </c>
      <c r="T5924" s="57">
        <v>0</v>
      </c>
      <c r="U5924" s="57">
        <v>0</v>
      </c>
      <c r="V5924" s="57">
        <v>0</v>
      </c>
      <c r="W5924" s="57">
        <v>0</v>
      </c>
      <c r="X5924" s="57">
        <v>0</v>
      </c>
    </row>
    <row r="5925" spans="1:24" hidden="1" x14ac:dyDescent="0.35">
      <c r="A5925">
        <v>5921</v>
      </c>
      <c r="B5925">
        <v>5922</v>
      </c>
      <c r="C5925">
        <v>146.082408315999</v>
      </c>
      <c r="D5925">
        <v>-17.6398350895</v>
      </c>
      <c r="F5925" t="str">
        <f>HYPERLINK("D:\Data From Lucan\2024\Moresby\Frames_for_Analysis/5922_20240611_0009_L_0121.jpg","5922_20240611_0009_L_0121.jpg")</f>
        <v>5922_20240611_0009_L_0121.jpg</v>
      </c>
      <c r="G5925" s="92" t="s">
        <v>6124</v>
      </c>
      <c r="I5925">
        <v>3</v>
      </c>
      <c r="K5925" s="57">
        <v>1</v>
      </c>
      <c r="L5925" t="s">
        <v>3959</v>
      </c>
      <c r="M5925" t="s">
        <v>3959</v>
      </c>
      <c r="N5925" t="s">
        <v>3959</v>
      </c>
      <c r="O5925" t="s">
        <v>3959</v>
      </c>
      <c r="P5925" s="57">
        <v>1</v>
      </c>
      <c r="Q5925" s="57">
        <v>0</v>
      </c>
      <c r="R5925" s="57">
        <v>0</v>
      </c>
      <c r="S5925" s="57">
        <v>0</v>
      </c>
      <c r="T5925" s="57">
        <v>0</v>
      </c>
      <c r="U5925" s="57">
        <v>0</v>
      </c>
      <c r="V5925" s="57">
        <v>0</v>
      </c>
      <c r="W5925" s="57">
        <v>0</v>
      </c>
      <c r="X5925" s="57">
        <v>0</v>
      </c>
    </row>
    <row r="5926" spans="1:24" hidden="1" x14ac:dyDescent="0.35">
      <c r="A5926">
        <v>5922</v>
      </c>
      <c r="B5926">
        <v>5923</v>
      </c>
      <c r="C5926">
        <v>146.08246889700001</v>
      </c>
      <c r="D5926">
        <v>-17.639898299999899</v>
      </c>
      <c r="F5926" t="str">
        <f>HYPERLINK("D:\Data From Lucan\2024\Moresby\Frames_for_Analysis/5923_20240611_0009_L_0124.jpg","5923_20240611_0009_L_0124.jpg")</f>
        <v>5923_20240611_0009_L_0124.jpg</v>
      </c>
      <c r="G5926" s="92" t="s">
        <v>6125</v>
      </c>
      <c r="I5926">
        <v>3</v>
      </c>
      <c r="K5926" s="57">
        <v>1</v>
      </c>
      <c r="L5926" t="s">
        <v>3959</v>
      </c>
      <c r="M5926" t="s">
        <v>3959</v>
      </c>
      <c r="N5926" t="s">
        <v>3959</v>
      </c>
      <c r="O5926" t="s">
        <v>3959</v>
      </c>
      <c r="P5926" s="57">
        <v>1</v>
      </c>
      <c r="Q5926" s="57">
        <v>0</v>
      </c>
      <c r="R5926" s="57">
        <v>0</v>
      </c>
      <c r="S5926" s="57">
        <v>0</v>
      </c>
      <c r="T5926" s="57">
        <v>0</v>
      </c>
      <c r="U5926" s="57">
        <v>0</v>
      </c>
      <c r="V5926" s="57">
        <v>0</v>
      </c>
      <c r="W5926" s="57">
        <v>0</v>
      </c>
      <c r="X5926" s="57">
        <v>0</v>
      </c>
    </row>
    <row r="5927" spans="1:24" hidden="1" x14ac:dyDescent="0.35">
      <c r="A5927">
        <v>5923</v>
      </c>
      <c r="B5927">
        <v>5924</v>
      </c>
      <c r="C5927">
        <v>146.08252947899899</v>
      </c>
      <c r="D5927">
        <v>-17.639961510500001</v>
      </c>
      <c r="F5927" t="str">
        <f>HYPERLINK("D:\Data From Lucan\2024\Moresby\Frames_for_Analysis/5924_20240611_0009_L_0126.jpg","5924_20240611_0009_L_0126.jpg")</f>
        <v>5924_20240611_0009_L_0126.jpg</v>
      </c>
      <c r="G5927" s="92" t="s">
        <v>6126</v>
      </c>
      <c r="I5927">
        <v>3</v>
      </c>
      <c r="K5927" s="57">
        <v>1</v>
      </c>
      <c r="L5927" t="s">
        <v>3959</v>
      </c>
      <c r="M5927" t="s">
        <v>3959</v>
      </c>
      <c r="N5927" t="s">
        <v>3959</v>
      </c>
      <c r="O5927" t="s">
        <v>3959</v>
      </c>
      <c r="P5927" s="57">
        <v>1</v>
      </c>
      <c r="Q5927" s="57">
        <v>0</v>
      </c>
      <c r="R5927" s="57">
        <v>0</v>
      </c>
      <c r="S5927" s="57">
        <v>0</v>
      </c>
      <c r="T5927" s="57">
        <v>0</v>
      </c>
      <c r="U5927" s="57">
        <v>0</v>
      </c>
      <c r="V5927" s="57">
        <v>0</v>
      </c>
      <c r="W5927" s="57">
        <v>0</v>
      </c>
      <c r="X5927" s="57">
        <v>0</v>
      </c>
    </row>
    <row r="5928" spans="1:24" hidden="1" x14ac:dyDescent="0.35">
      <c r="A5928">
        <v>5924</v>
      </c>
      <c r="B5928">
        <v>5925</v>
      </c>
      <c r="C5928">
        <v>146.08259006</v>
      </c>
      <c r="D5928">
        <v>-17.640024721</v>
      </c>
      <c r="F5928" t="str">
        <f>HYPERLINK("D:\Data From Lucan\2024\Moresby\Frames_for_Analysis/5925_20240611_0009_L_0129.jpg","5925_20240611_0009_L_0129.jpg")</f>
        <v>5925_20240611_0009_L_0129.jpg</v>
      </c>
      <c r="G5928" s="92" t="s">
        <v>6127</v>
      </c>
      <c r="I5928">
        <v>3</v>
      </c>
      <c r="K5928" s="57">
        <v>1</v>
      </c>
      <c r="L5928" t="s">
        <v>3959</v>
      </c>
      <c r="M5928" t="s">
        <v>3959</v>
      </c>
      <c r="N5928" t="s">
        <v>3959</v>
      </c>
      <c r="O5928" t="s">
        <v>3959</v>
      </c>
      <c r="P5928" s="57">
        <v>1</v>
      </c>
      <c r="Q5928" s="57">
        <v>0</v>
      </c>
      <c r="R5928" s="57">
        <v>0</v>
      </c>
      <c r="S5928" s="57">
        <v>0</v>
      </c>
      <c r="T5928" s="57">
        <v>0</v>
      </c>
      <c r="U5928" s="57">
        <v>0</v>
      </c>
      <c r="V5928" s="57">
        <v>0</v>
      </c>
      <c r="W5928" s="57">
        <v>0</v>
      </c>
      <c r="X5928" s="57">
        <v>0</v>
      </c>
    </row>
    <row r="5929" spans="1:24" hidden="1" x14ac:dyDescent="0.35">
      <c r="A5929">
        <v>5925</v>
      </c>
      <c r="B5929">
        <v>5926</v>
      </c>
      <c r="C5929">
        <v>146.082650642</v>
      </c>
      <c r="D5929">
        <v>-17.640087931499899</v>
      </c>
      <c r="F5929" t="str">
        <f>HYPERLINK("D:\Data From Lucan\2024\Moresby\Frames_for_Analysis/5926_20240611_0009_L_0132.jpg","5926_20240611_0009_L_0132.jpg")</f>
        <v>5926_20240611_0009_L_0132.jpg</v>
      </c>
      <c r="G5929" s="92" t="s">
        <v>6128</v>
      </c>
      <c r="I5929">
        <v>3</v>
      </c>
      <c r="K5929" s="57">
        <v>1</v>
      </c>
      <c r="L5929" t="s">
        <v>3959</v>
      </c>
      <c r="M5929" t="s">
        <v>3959</v>
      </c>
      <c r="N5929" t="s">
        <v>3959</v>
      </c>
      <c r="O5929" t="s">
        <v>3959</v>
      </c>
      <c r="P5929" s="57">
        <v>1</v>
      </c>
      <c r="Q5929" s="57">
        <v>0</v>
      </c>
      <c r="R5929" s="57">
        <v>0</v>
      </c>
      <c r="S5929" s="57">
        <v>0</v>
      </c>
      <c r="T5929" s="57">
        <v>0</v>
      </c>
      <c r="U5929" s="57">
        <v>0</v>
      </c>
      <c r="V5929" s="57">
        <v>0</v>
      </c>
      <c r="W5929" s="57">
        <v>0</v>
      </c>
      <c r="X5929" s="57">
        <v>0</v>
      </c>
    </row>
    <row r="5930" spans="1:24" hidden="1" x14ac:dyDescent="0.35">
      <c r="A5930">
        <v>5926</v>
      </c>
      <c r="B5930">
        <v>5927</v>
      </c>
      <c r="C5930">
        <v>146.082711222999</v>
      </c>
      <c r="D5930">
        <v>-17.640151142000001</v>
      </c>
      <c r="F5930" t="str">
        <f>HYPERLINK("D:\Data From Lucan\2024\Moresby\Frames_for_Analysis/5927_20240611_0009_L_0136.jpg","5927_20240611_0009_L_0136.jpg")</f>
        <v>5927_20240611_0009_L_0136.jpg</v>
      </c>
      <c r="G5930" s="92" t="s">
        <v>6129</v>
      </c>
      <c r="I5930">
        <v>3</v>
      </c>
      <c r="K5930" s="57">
        <v>1</v>
      </c>
      <c r="L5930" t="s">
        <v>3959</v>
      </c>
      <c r="M5930" t="s">
        <v>3959</v>
      </c>
      <c r="N5930" t="s">
        <v>3959</v>
      </c>
      <c r="O5930" t="s">
        <v>3959</v>
      </c>
      <c r="P5930" s="57">
        <v>1</v>
      </c>
      <c r="Q5930" s="57">
        <v>0</v>
      </c>
      <c r="R5930" s="57">
        <v>0</v>
      </c>
      <c r="S5930" s="57">
        <v>0</v>
      </c>
      <c r="T5930" s="57">
        <v>0</v>
      </c>
      <c r="U5930" s="57">
        <v>0</v>
      </c>
      <c r="V5930" s="57">
        <v>0</v>
      </c>
      <c r="W5930" s="57">
        <v>0</v>
      </c>
      <c r="X5930" s="57">
        <v>0</v>
      </c>
    </row>
    <row r="5931" spans="1:24" hidden="1" x14ac:dyDescent="0.35">
      <c r="A5931">
        <v>5927</v>
      </c>
      <c r="B5931">
        <v>5928</v>
      </c>
      <c r="C5931">
        <v>146.08277218000001</v>
      </c>
      <c r="D5931">
        <v>-17.640214022599899</v>
      </c>
      <c r="F5931" t="str">
        <f>HYPERLINK("D:\Data From Lucan\2024\Moresby\Frames_for_Analysis/5928_20240611_0009_L_0139.jpg","5928_20240611_0009_L_0139.jpg")</f>
        <v>5928_20240611_0009_L_0139.jpg</v>
      </c>
      <c r="G5931" s="92" t="s">
        <v>6130</v>
      </c>
      <c r="I5931">
        <v>3</v>
      </c>
      <c r="K5931" s="57">
        <v>1</v>
      </c>
      <c r="L5931" t="s">
        <v>3959</v>
      </c>
      <c r="M5931" t="s">
        <v>3959</v>
      </c>
      <c r="N5931" t="s">
        <v>3959</v>
      </c>
      <c r="O5931" t="s">
        <v>3959</v>
      </c>
      <c r="P5931" s="57">
        <v>1</v>
      </c>
      <c r="Q5931" s="57">
        <v>0</v>
      </c>
      <c r="R5931" s="57">
        <v>0</v>
      </c>
      <c r="S5931" s="57">
        <v>0</v>
      </c>
      <c r="T5931" s="57">
        <v>0</v>
      </c>
      <c r="U5931" s="57">
        <v>0</v>
      </c>
      <c r="V5931" s="57">
        <v>0</v>
      </c>
      <c r="W5931" s="57">
        <v>0</v>
      </c>
      <c r="X5931" s="57">
        <v>0</v>
      </c>
    </row>
    <row r="5932" spans="1:24" hidden="1" x14ac:dyDescent="0.35">
      <c r="A5932">
        <v>5928</v>
      </c>
      <c r="B5932">
        <v>5929</v>
      </c>
      <c r="C5932">
        <v>146.08283336100001</v>
      </c>
      <c r="D5932">
        <v>-17.6402767067</v>
      </c>
      <c r="F5932" t="str">
        <f>HYPERLINK("D:\Data From Lucan\2024\Moresby\Frames_for_Analysis/5929_20240611_0009_L_0141.jpg","5929_20240611_0009_L_0141.jpg")</f>
        <v>5929_20240611_0009_L_0141.jpg</v>
      </c>
      <c r="G5932" s="92" t="s">
        <v>6131</v>
      </c>
      <c r="I5932">
        <v>3</v>
      </c>
      <c r="K5932" s="57">
        <v>1</v>
      </c>
      <c r="L5932" t="s">
        <v>3959</v>
      </c>
      <c r="M5932" t="s">
        <v>3959</v>
      </c>
      <c r="N5932" t="s">
        <v>3959</v>
      </c>
      <c r="O5932" t="s">
        <v>3959</v>
      </c>
      <c r="P5932" s="57">
        <v>1</v>
      </c>
      <c r="Q5932" s="57">
        <v>0</v>
      </c>
      <c r="R5932" s="57">
        <v>0</v>
      </c>
      <c r="S5932" s="57">
        <v>0</v>
      </c>
      <c r="T5932" s="57">
        <v>0</v>
      </c>
      <c r="U5932" s="57">
        <v>0</v>
      </c>
      <c r="V5932" s="57">
        <v>0</v>
      </c>
      <c r="W5932" s="57">
        <v>0</v>
      </c>
      <c r="X5932" s="57">
        <v>0</v>
      </c>
    </row>
    <row r="5933" spans="1:24" hidden="1" x14ac:dyDescent="0.35">
      <c r="A5933">
        <v>5929</v>
      </c>
      <c r="B5933">
        <v>5930</v>
      </c>
      <c r="C5933">
        <v>146.082894541999</v>
      </c>
      <c r="D5933">
        <v>-17.6403393906999</v>
      </c>
      <c r="F5933" t="str">
        <f>HYPERLINK("D:\Data From Lucan\2024\Moresby\Frames_for_Analysis/5930_20240611_0009_L_0144.jpg","5930_20240611_0009_L_0144.jpg")</f>
        <v>5930_20240611_0009_L_0144.jpg</v>
      </c>
      <c r="G5933" s="92" t="s">
        <v>6132</v>
      </c>
      <c r="I5933">
        <v>3</v>
      </c>
      <c r="K5933" s="57">
        <v>1</v>
      </c>
      <c r="L5933" t="s">
        <v>3959</v>
      </c>
      <c r="M5933" t="s">
        <v>3959</v>
      </c>
      <c r="N5933" t="s">
        <v>3959</v>
      </c>
      <c r="O5933" t="s">
        <v>3959</v>
      </c>
      <c r="P5933" s="57">
        <v>1</v>
      </c>
      <c r="Q5933" s="57">
        <v>0</v>
      </c>
      <c r="R5933" s="57">
        <v>0</v>
      </c>
      <c r="S5933" s="57">
        <v>0</v>
      </c>
      <c r="T5933" s="57">
        <v>0</v>
      </c>
      <c r="U5933" s="57">
        <v>0</v>
      </c>
      <c r="V5933" s="57">
        <v>0</v>
      </c>
      <c r="W5933" s="57">
        <v>0</v>
      </c>
      <c r="X5933" s="57">
        <v>0</v>
      </c>
    </row>
    <row r="5934" spans="1:24" hidden="1" x14ac:dyDescent="0.35">
      <c r="A5934">
        <v>5930</v>
      </c>
      <c r="B5934">
        <v>5931</v>
      </c>
      <c r="C5934">
        <v>146.08295572200001</v>
      </c>
      <c r="D5934">
        <v>-17.640402074800001</v>
      </c>
      <c r="F5934" t="str">
        <f>HYPERLINK("D:\Data From Lucan\2024\Moresby\Frames_for_Analysis/5931_20240611_0009_L_0147.jpg","5931_20240611_0009_L_0147.jpg")</f>
        <v>5931_20240611_0009_L_0147.jpg</v>
      </c>
      <c r="G5934" s="92" t="s">
        <v>6133</v>
      </c>
      <c r="I5934">
        <v>3</v>
      </c>
      <c r="K5934" s="57">
        <v>1</v>
      </c>
      <c r="L5934" t="s">
        <v>3959</v>
      </c>
      <c r="M5934" t="s">
        <v>3959</v>
      </c>
      <c r="N5934" t="s">
        <v>3959</v>
      </c>
      <c r="O5934" t="s">
        <v>3959</v>
      </c>
      <c r="P5934" s="57">
        <v>1</v>
      </c>
      <c r="Q5934" s="57">
        <v>0</v>
      </c>
      <c r="R5934" s="57">
        <v>0</v>
      </c>
      <c r="S5934" s="57">
        <v>0</v>
      </c>
      <c r="T5934" s="57">
        <v>0</v>
      </c>
      <c r="U5934" s="57">
        <v>0</v>
      </c>
      <c r="V5934" s="57">
        <v>0</v>
      </c>
      <c r="W5934" s="57">
        <v>0</v>
      </c>
      <c r="X5934" s="57">
        <v>0</v>
      </c>
    </row>
    <row r="5935" spans="1:24" hidden="1" x14ac:dyDescent="0.35">
      <c r="A5935">
        <v>5931</v>
      </c>
      <c r="B5935">
        <v>5932</v>
      </c>
      <c r="C5935">
        <v>146.08301690299899</v>
      </c>
      <c r="D5935">
        <v>-17.6404647588</v>
      </c>
      <c r="F5935" t="str">
        <f>HYPERLINK("D:\Data From Lucan\2024\Moresby\Frames_for_Analysis/5932_20240611_0009_L_0150.jpg","5932_20240611_0009_L_0150.jpg")</f>
        <v>5932_20240611_0009_L_0150.jpg</v>
      </c>
      <c r="G5935" s="92" t="s">
        <v>6134</v>
      </c>
      <c r="I5935">
        <v>3</v>
      </c>
      <c r="K5935" s="57">
        <v>1</v>
      </c>
      <c r="L5935" t="s">
        <v>3959</v>
      </c>
      <c r="M5935" t="s">
        <v>3959</v>
      </c>
      <c r="N5935" t="s">
        <v>3959</v>
      </c>
      <c r="O5935" t="s">
        <v>3959</v>
      </c>
      <c r="P5935" s="57">
        <v>1</v>
      </c>
      <c r="Q5935" s="57">
        <v>0</v>
      </c>
      <c r="R5935" s="57">
        <v>0</v>
      </c>
      <c r="S5935" s="57">
        <v>0</v>
      </c>
      <c r="T5935" s="57">
        <v>0</v>
      </c>
      <c r="U5935" s="57">
        <v>0</v>
      </c>
      <c r="V5935" s="57">
        <v>0</v>
      </c>
      <c r="W5935" s="57">
        <v>0</v>
      </c>
      <c r="X5935" s="57">
        <v>0</v>
      </c>
    </row>
    <row r="5936" spans="1:24" hidden="1" x14ac:dyDescent="0.35">
      <c r="A5936">
        <v>5932</v>
      </c>
      <c r="B5936">
        <v>5933</v>
      </c>
      <c r="C5936">
        <v>146.083078083999</v>
      </c>
      <c r="D5936">
        <v>-17.640527442900002</v>
      </c>
      <c r="F5936" t="str">
        <f>HYPERLINK("D:\Data From Lucan\2024\Moresby\Frames_for_Analysis/5933_20240611_0009_L_0153.jpg","5933_20240611_0009_L_0153.jpg")</f>
        <v>5933_20240611_0009_L_0153.jpg</v>
      </c>
      <c r="G5936" s="92" t="s">
        <v>6135</v>
      </c>
      <c r="I5936">
        <v>3</v>
      </c>
      <c r="K5936" s="57">
        <v>1</v>
      </c>
      <c r="L5936" t="s">
        <v>3959</v>
      </c>
      <c r="M5936" t="s">
        <v>3959</v>
      </c>
      <c r="N5936" t="s">
        <v>3959</v>
      </c>
      <c r="O5936" t="s">
        <v>3959</v>
      </c>
      <c r="P5936" s="57">
        <v>1</v>
      </c>
      <c r="Q5936" s="57">
        <v>0</v>
      </c>
      <c r="R5936" s="57">
        <v>0</v>
      </c>
      <c r="S5936" s="57">
        <v>0</v>
      </c>
      <c r="T5936" s="57">
        <v>0</v>
      </c>
      <c r="U5936" s="57">
        <v>0</v>
      </c>
      <c r="V5936" s="57">
        <v>0</v>
      </c>
      <c r="W5936" s="57">
        <v>0</v>
      </c>
      <c r="X5936" s="57">
        <v>0</v>
      </c>
    </row>
    <row r="5937" spans="1:24" hidden="1" x14ac:dyDescent="0.35">
      <c r="A5937">
        <v>5933</v>
      </c>
      <c r="B5937">
        <v>5934</v>
      </c>
      <c r="C5937">
        <v>146.083139265</v>
      </c>
      <c r="D5937">
        <v>-17.640590126900001</v>
      </c>
      <c r="F5937" t="str">
        <f>HYPERLINK("D:\Data From Lucan\2024\Moresby\Frames_for_Analysis/5934_20240611_0009_L_0156.jpg","5934_20240611_0009_L_0156.jpg")</f>
        <v>5934_20240611_0009_L_0156.jpg</v>
      </c>
      <c r="G5937" s="92" t="s">
        <v>6136</v>
      </c>
      <c r="I5937">
        <v>3</v>
      </c>
      <c r="K5937" s="57">
        <v>1</v>
      </c>
      <c r="L5937" t="s">
        <v>3959</v>
      </c>
      <c r="M5937" t="s">
        <v>3959</v>
      </c>
      <c r="N5937" t="s">
        <v>3959</v>
      </c>
      <c r="O5937" t="s">
        <v>3959</v>
      </c>
      <c r="P5937" s="57">
        <v>1</v>
      </c>
      <c r="Q5937" s="57">
        <v>0</v>
      </c>
      <c r="R5937" s="57">
        <v>0</v>
      </c>
      <c r="S5937" s="57">
        <v>0</v>
      </c>
      <c r="T5937" s="57">
        <v>0</v>
      </c>
      <c r="U5937" s="57">
        <v>0</v>
      </c>
      <c r="V5937" s="57">
        <v>0</v>
      </c>
      <c r="W5937" s="57">
        <v>0</v>
      </c>
      <c r="X5937" s="57">
        <v>0</v>
      </c>
    </row>
    <row r="5938" spans="1:24" hidden="1" x14ac:dyDescent="0.35">
      <c r="A5938">
        <v>5934</v>
      </c>
      <c r="B5938">
        <v>5935</v>
      </c>
      <c r="C5938">
        <v>146.08320044499899</v>
      </c>
      <c r="D5938">
        <v>-17.640652810799899</v>
      </c>
      <c r="F5938" t="str">
        <f>HYPERLINK("D:\Data From Lucan\2024\Moresby\Frames_for_Analysis/5935_20240611_0009_L_0160.jpg","5935_20240611_0009_L_0160.jpg")</f>
        <v>5935_20240611_0009_L_0160.jpg</v>
      </c>
      <c r="G5938" s="92" t="s">
        <v>6137</v>
      </c>
      <c r="I5938">
        <v>3</v>
      </c>
      <c r="K5938" s="57">
        <v>1</v>
      </c>
      <c r="L5938" t="s">
        <v>3959</v>
      </c>
      <c r="M5938" t="s">
        <v>3959</v>
      </c>
      <c r="N5938" t="s">
        <v>3959</v>
      </c>
      <c r="O5938" t="s">
        <v>3959</v>
      </c>
      <c r="P5938" s="57">
        <v>1</v>
      </c>
      <c r="Q5938" s="57">
        <v>0</v>
      </c>
      <c r="R5938" s="57">
        <v>0</v>
      </c>
      <c r="S5938" s="57">
        <v>0</v>
      </c>
      <c r="T5938" s="57">
        <v>0</v>
      </c>
      <c r="U5938" s="57">
        <v>0</v>
      </c>
      <c r="V5938" s="57">
        <v>0</v>
      </c>
      <c r="W5938" s="57">
        <v>0</v>
      </c>
      <c r="X5938" s="57">
        <v>0</v>
      </c>
    </row>
    <row r="5939" spans="1:24" hidden="1" x14ac:dyDescent="0.35">
      <c r="A5939">
        <v>5935</v>
      </c>
      <c r="B5939">
        <v>5936</v>
      </c>
      <c r="C5939">
        <v>146.083261625999</v>
      </c>
      <c r="D5939">
        <v>-17.640715494799899</v>
      </c>
      <c r="F5939" t="str">
        <f>HYPERLINK("D:\Data From Lucan\2024\Moresby\Frames_for_Analysis/5936_20240611_0009_L_0163.jpg","5936_20240611_0009_L_0163.jpg")</f>
        <v>5936_20240611_0009_L_0163.jpg</v>
      </c>
      <c r="G5939" s="92" t="s">
        <v>6138</v>
      </c>
      <c r="I5939">
        <v>3</v>
      </c>
      <c r="K5939" s="57">
        <v>1</v>
      </c>
      <c r="L5939" t="s">
        <v>3959</v>
      </c>
      <c r="M5939" t="s">
        <v>3959</v>
      </c>
      <c r="N5939" t="s">
        <v>3959</v>
      </c>
      <c r="O5939" t="s">
        <v>3959</v>
      </c>
      <c r="P5939" s="57">
        <v>1</v>
      </c>
      <c r="Q5939" s="57">
        <v>0</v>
      </c>
      <c r="R5939" s="57">
        <v>0</v>
      </c>
      <c r="S5939" s="57">
        <v>0</v>
      </c>
      <c r="T5939" s="57">
        <v>0</v>
      </c>
      <c r="U5939" s="57">
        <v>0</v>
      </c>
      <c r="V5939" s="57">
        <v>0</v>
      </c>
      <c r="W5939" s="57">
        <v>0</v>
      </c>
      <c r="X5939" s="57">
        <v>0</v>
      </c>
    </row>
    <row r="5940" spans="1:24" hidden="1" x14ac:dyDescent="0.35">
      <c r="A5940">
        <v>5936</v>
      </c>
      <c r="B5940">
        <v>5937</v>
      </c>
      <c r="C5940">
        <v>146.083322807</v>
      </c>
      <c r="D5940">
        <v>-17.6407781787</v>
      </c>
      <c r="F5940" t="str">
        <f>HYPERLINK("D:\Data From Lucan\2024\Moresby\Frames_for_Analysis/5937_20240611_0009_L_0166.jpg","5937_20240611_0009_L_0166.jpg")</f>
        <v>5937_20240611_0009_L_0166.jpg</v>
      </c>
      <c r="G5940" s="92" t="s">
        <v>6139</v>
      </c>
      <c r="I5940">
        <v>3</v>
      </c>
      <c r="K5940" s="57">
        <v>1</v>
      </c>
      <c r="L5940" t="s">
        <v>3959</v>
      </c>
      <c r="M5940" t="s">
        <v>3959</v>
      </c>
      <c r="N5940" t="s">
        <v>3959</v>
      </c>
      <c r="O5940" t="s">
        <v>3959</v>
      </c>
      <c r="P5940" s="57">
        <v>1</v>
      </c>
      <c r="Q5940" s="57">
        <v>0</v>
      </c>
      <c r="R5940" s="57">
        <v>0</v>
      </c>
      <c r="S5940" s="57">
        <v>0</v>
      </c>
      <c r="T5940" s="57">
        <v>0</v>
      </c>
      <c r="U5940" s="57">
        <v>0</v>
      </c>
      <c r="V5940" s="57">
        <v>0</v>
      </c>
      <c r="W5940" s="57">
        <v>0</v>
      </c>
      <c r="X5940" s="57">
        <v>0</v>
      </c>
    </row>
    <row r="5941" spans="1:24" hidden="1" x14ac:dyDescent="0.35">
      <c r="A5941">
        <v>5937</v>
      </c>
      <c r="B5941">
        <v>5938</v>
      </c>
      <c r="C5941">
        <v>146.083383986999</v>
      </c>
      <c r="D5941">
        <v>-17.640840862600001</v>
      </c>
      <c r="F5941" t="str">
        <f>HYPERLINK("D:\Data From Lucan\2024\Moresby\Frames_for_Analysis/5938_20240611_0009_L_0170.jpg","5938_20240611_0009_L_0170.jpg")</f>
        <v>5938_20240611_0009_L_0170.jpg</v>
      </c>
      <c r="G5941" s="92" t="s">
        <v>6140</v>
      </c>
      <c r="I5941">
        <v>3</v>
      </c>
      <c r="K5941" s="57">
        <v>1</v>
      </c>
      <c r="L5941" t="s">
        <v>3959</v>
      </c>
      <c r="M5941" t="s">
        <v>3959</v>
      </c>
      <c r="N5941" t="s">
        <v>3959</v>
      </c>
      <c r="O5941" t="s">
        <v>3959</v>
      </c>
      <c r="P5941" s="57">
        <v>1</v>
      </c>
      <c r="Q5941" s="57">
        <v>0</v>
      </c>
      <c r="R5941" s="57">
        <v>0</v>
      </c>
      <c r="S5941" s="57">
        <v>0</v>
      </c>
      <c r="T5941" s="57">
        <v>0</v>
      </c>
      <c r="U5941" s="57">
        <v>0</v>
      </c>
      <c r="V5941" s="57">
        <v>0</v>
      </c>
      <c r="W5941" s="57">
        <v>0</v>
      </c>
      <c r="X5941" s="57">
        <v>0</v>
      </c>
    </row>
    <row r="5942" spans="1:24" hidden="1" x14ac:dyDescent="0.35">
      <c r="A5942">
        <v>5938</v>
      </c>
      <c r="B5942">
        <v>5939</v>
      </c>
      <c r="C5942">
        <v>146.08344541100001</v>
      </c>
      <c r="D5942">
        <v>-17.6409033262</v>
      </c>
      <c r="F5942" t="str">
        <f>HYPERLINK("D:\Data From Lucan\2024\Moresby\Frames_for_Analysis/5939_20240611_0009_L_0173.jpg","5939_20240611_0009_L_0173.jpg")</f>
        <v>5939_20240611_0009_L_0173.jpg</v>
      </c>
      <c r="G5942" s="92" t="s">
        <v>6141</v>
      </c>
      <c r="I5942">
        <v>3</v>
      </c>
      <c r="K5942" s="57">
        <v>1</v>
      </c>
      <c r="L5942" t="s">
        <v>3959</v>
      </c>
      <c r="M5942" t="s">
        <v>3959</v>
      </c>
      <c r="N5942" t="s">
        <v>3959</v>
      </c>
      <c r="O5942" t="s">
        <v>3959</v>
      </c>
      <c r="P5942" s="57">
        <v>1</v>
      </c>
      <c r="Q5942" s="57">
        <v>0</v>
      </c>
      <c r="R5942" s="57">
        <v>0</v>
      </c>
      <c r="S5942" s="57">
        <v>0</v>
      </c>
      <c r="T5942" s="57">
        <v>0</v>
      </c>
      <c r="U5942" s="57">
        <v>0</v>
      </c>
      <c r="V5942" s="57">
        <v>0</v>
      </c>
      <c r="W5942" s="57">
        <v>0</v>
      </c>
      <c r="X5942" s="57">
        <v>0</v>
      </c>
    </row>
    <row r="5943" spans="1:24" hidden="1" x14ac:dyDescent="0.35">
      <c r="A5943">
        <v>5939</v>
      </c>
      <c r="B5943">
        <v>5940</v>
      </c>
      <c r="C5943">
        <v>146.083508139999</v>
      </c>
      <c r="D5943">
        <v>-17.640964604400001</v>
      </c>
      <c r="F5943" t="str">
        <f>HYPERLINK("D:\Data From Lucan\2024\Moresby\Frames_for_Analysis/5940_20240611_0009_L_0176.jpg","5940_20240611_0009_L_0176.jpg")</f>
        <v>5940_20240611_0009_L_0176.jpg</v>
      </c>
      <c r="G5943" s="92" t="s">
        <v>6142</v>
      </c>
      <c r="I5943">
        <v>3</v>
      </c>
      <c r="K5943" s="57">
        <v>1</v>
      </c>
      <c r="L5943" t="s">
        <v>3959</v>
      </c>
      <c r="M5943" t="s">
        <v>3959</v>
      </c>
      <c r="N5943" t="s">
        <v>3959</v>
      </c>
      <c r="O5943" t="s">
        <v>3959</v>
      </c>
      <c r="P5943" s="57">
        <v>1</v>
      </c>
      <c r="Q5943" s="57">
        <v>0</v>
      </c>
      <c r="R5943" s="57">
        <v>0</v>
      </c>
      <c r="S5943" s="57">
        <v>0</v>
      </c>
      <c r="T5943" s="57">
        <v>0</v>
      </c>
      <c r="U5943" s="57">
        <v>0</v>
      </c>
      <c r="V5943" s="57">
        <v>0</v>
      </c>
      <c r="W5943" s="57">
        <v>0</v>
      </c>
      <c r="X5943" s="57">
        <v>0</v>
      </c>
    </row>
    <row r="5944" spans="1:24" hidden="1" x14ac:dyDescent="0.35">
      <c r="A5944">
        <v>5940</v>
      </c>
      <c r="B5944">
        <v>5941</v>
      </c>
      <c r="C5944">
        <v>146.083570868999</v>
      </c>
      <c r="D5944">
        <v>-17.641025882600001</v>
      </c>
      <c r="F5944" t="str">
        <f>HYPERLINK("D:\Data From Lucan\2024\Moresby\Frames_for_Analysis/5941_20240611_0009_L_0179.jpg","5941_20240611_0009_L_0179.jpg")</f>
        <v>5941_20240611_0009_L_0179.jpg</v>
      </c>
      <c r="G5944" s="92" t="s">
        <v>6143</v>
      </c>
      <c r="I5944">
        <v>3</v>
      </c>
      <c r="K5944" s="57">
        <v>1</v>
      </c>
      <c r="L5944" t="s">
        <v>3959</v>
      </c>
      <c r="M5944" t="s">
        <v>3959</v>
      </c>
      <c r="N5944" t="s">
        <v>3959</v>
      </c>
      <c r="O5944" t="s">
        <v>3959</v>
      </c>
      <c r="P5944" s="57">
        <v>1</v>
      </c>
      <c r="Q5944" s="57">
        <v>0</v>
      </c>
      <c r="R5944" s="57">
        <v>0</v>
      </c>
      <c r="S5944" s="57">
        <v>0</v>
      </c>
      <c r="T5944" s="57">
        <v>0</v>
      </c>
      <c r="U5944" s="57">
        <v>0</v>
      </c>
      <c r="V5944" s="57">
        <v>0</v>
      </c>
      <c r="W5944" s="57">
        <v>0</v>
      </c>
      <c r="X5944" s="57">
        <v>0</v>
      </c>
    </row>
    <row r="5945" spans="1:24" hidden="1" x14ac:dyDescent="0.35">
      <c r="A5945">
        <v>5941</v>
      </c>
      <c r="B5945">
        <v>5942</v>
      </c>
      <c r="C5945">
        <v>146.08363359800001</v>
      </c>
      <c r="D5945">
        <v>-17.641087160800001</v>
      </c>
      <c r="F5945" t="str">
        <f>HYPERLINK("D:\Data From Lucan\2024\Moresby\Frames_for_Analysis/5942_20240611_0009_L_0183.jpg","5942_20240611_0009_L_0183.jpg")</f>
        <v>5942_20240611_0009_L_0183.jpg</v>
      </c>
      <c r="G5945" s="92" t="s">
        <v>6144</v>
      </c>
      <c r="I5945">
        <v>3</v>
      </c>
      <c r="K5945" s="57">
        <v>1</v>
      </c>
      <c r="L5945" t="s">
        <v>3959</v>
      </c>
      <c r="M5945" t="s">
        <v>3959</v>
      </c>
      <c r="N5945" t="s">
        <v>3959</v>
      </c>
      <c r="O5945" t="s">
        <v>3959</v>
      </c>
      <c r="P5945" s="57">
        <v>1</v>
      </c>
      <c r="Q5945" s="57">
        <v>0</v>
      </c>
      <c r="R5945" s="57">
        <v>0</v>
      </c>
      <c r="S5945" s="57">
        <v>0</v>
      </c>
      <c r="T5945" s="57">
        <v>0</v>
      </c>
      <c r="U5945" s="57">
        <v>0</v>
      </c>
      <c r="V5945" s="57">
        <v>0</v>
      </c>
      <c r="W5945" s="57">
        <v>0</v>
      </c>
      <c r="X5945" s="57">
        <v>0</v>
      </c>
    </row>
    <row r="5946" spans="1:24" hidden="1" x14ac:dyDescent="0.35">
      <c r="A5946">
        <v>5942</v>
      </c>
      <c r="B5946">
        <v>5943</v>
      </c>
      <c r="C5946">
        <v>146.08369632700001</v>
      </c>
      <c r="D5946">
        <v>-17.641148438999899</v>
      </c>
      <c r="F5946" t="str">
        <f>HYPERLINK("D:\Data From Lucan\2024\Moresby\Frames_for_Analysis/5943_20240611_0009_L_0187.jpg","5943_20240611_0009_L_0187.jpg")</f>
        <v>5943_20240611_0009_L_0187.jpg</v>
      </c>
      <c r="G5946" s="92" t="s">
        <v>6145</v>
      </c>
      <c r="I5946">
        <v>3</v>
      </c>
      <c r="K5946" s="57">
        <v>1</v>
      </c>
      <c r="L5946" t="s">
        <v>3959</v>
      </c>
      <c r="M5946" t="s">
        <v>3959</v>
      </c>
      <c r="N5946" t="s">
        <v>3959</v>
      </c>
      <c r="O5946" t="s">
        <v>3959</v>
      </c>
      <c r="P5946" s="57">
        <v>1</v>
      </c>
      <c r="Q5946" s="57">
        <v>0</v>
      </c>
      <c r="R5946" s="57">
        <v>0</v>
      </c>
      <c r="S5946" s="57">
        <v>0</v>
      </c>
      <c r="T5946" s="57">
        <v>0</v>
      </c>
      <c r="U5946" s="57">
        <v>0</v>
      </c>
      <c r="V5946" s="57">
        <v>0</v>
      </c>
      <c r="W5946" s="57">
        <v>0</v>
      </c>
      <c r="X5946" s="57">
        <v>0</v>
      </c>
    </row>
    <row r="5947" spans="1:24" hidden="1" x14ac:dyDescent="0.35">
      <c r="A5947">
        <v>5943</v>
      </c>
      <c r="B5947">
        <v>5944</v>
      </c>
      <c r="C5947">
        <v>146.08375905700001</v>
      </c>
      <c r="D5947">
        <v>-17.641209717100001</v>
      </c>
      <c r="F5947" t="str">
        <f>HYPERLINK("D:\Data From Lucan\2024\Moresby\Frames_for_Analysis/5944_20240611_0009_L_0192.jpg","5944_20240611_0009_L_0192.jpg")</f>
        <v>5944_20240611_0009_L_0192.jpg</v>
      </c>
      <c r="G5947" s="92" t="s">
        <v>6146</v>
      </c>
      <c r="I5947">
        <v>3</v>
      </c>
      <c r="K5947" s="57">
        <v>1</v>
      </c>
      <c r="L5947" t="s">
        <v>3959</v>
      </c>
      <c r="M5947" t="s">
        <v>3959</v>
      </c>
      <c r="N5947" t="s">
        <v>3959</v>
      </c>
      <c r="O5947" t="s">
        <v>3959</v>
      </c>
      <c r="P5947" s="57">
        <v>1</v>
      </c>
      <c r="Q5947" s="57">
        <v>0</v>
      </c>
      <c r="R5947" s="57">
        <v>0</v>
      </c>
      <c r="S5947" s="57">
        <v>0</v>
      </c>
      <c r="T5947" s="57">
        <v>0</v>
      </c>
      <c r="U5947" s="57">
        <v>0</v>
      </c>
      <c r="V5947" s="57">
        <v>0</v>
      </c>
      <c r="W5947" s="57">
        <v>0</v>
      </c>
      <c r="X5947" s="57">
        <v>0</v>
      </c>
    </row>
    <row r="5948" spans="1:24" hidden="1" x14ac:dyDescent="0.35">
      <c r="A5948">
        <v>5944</v>
      </c>
      <c r="B5948">
        <v>5945</v>
      </c>
      <c r="C5948">
        <v>146.08382178599899</v>
      </c>
      <c r="D5948">
        <v>-17.6412709951999</v>
      </c>
      <c r="F5948" t="str">
        <f>HYPERLINK("D:\Data From Lucan\2024\Moresby\Frames_for_Analysis/5945_20240611_0009_L_0198.jpg","5945_20240611_0009_L_0198.jpg")</f>
        <v>5945_20240611_0009_L_0198.jpg</v>
      </c>
      <c r="G5948" s="92" t="s">
        <v>6147</v>
      </c>
      <c r="I5948">
        <v>3</v>
      </c>
      <c r="K5948" s="57">
        <v>1</v>
      </c>
      <c r="L5948" t="s">
        <v>3959</v>
      </c>
      <c r="M5948" t="s">
        <v>3959</v>
      </c>
      <c r="N5948" t="s">
        <v>3959</v>
      </c>
      <c r="O5948" t="s">
        <v>3959</v>
      </c>
      <c r="P5948" s="57">
        <v>1</v>
      </c>
      <c r="Q5948" s="57">
        <v>0</v>
      </c>
      <c r="R5948" s="57">
        <v>0</v>
      </c>
      <c r="S5948" s="57">
        <v>0</v>
      </c>
      <c r="T5948" s="57">
        <v>0</v>
      </c>
      <c r="U5948" s="57">
        <v>0</v>
      </c>
      <c r="V5948" s="57">
        <v>0</v>
      </c>
      <c r="W5948" s="57">
        <v>0</v>
      </c>
      <c r="X5948" s="57">
        <v>0</v>
      </c>
    </row>
    <row r="5949" spans="1:24" hidden="1" x14ac:dyDescent="0.35">
      <c r="A5949">
        <v>5945</v>
      </c>
      <c r="B5949">
        <v>5946</v>
      </c>
      <c r="C5949">
        <v>146.083884514999</v>
      </c>
      <c r="D5949">
        <v>-17.641332273300002</v>
      </c>
      <c r="F5949" t="str">
        <f>HYPERLINK("D:\Data From Lucan\2024\Moresby\Frames_for_Analysis/5946_20240611_0009_L_0204.jpg","5946_20240611_0009_L_0204.jpg")</f>
        <v>5946_20240611_0009_L_0204.jpg</v>
      </c>
      <c r="G5949" s="92" t="s">
        <v>6148</v>
      </c>
      <c r="I5949">
        <v>3</v>
      </c>
      <c r="K5949" s="57">
        <v>1</v>
      </c>
      <c r="L5949" t="s">
        <v>3959</v>
      </c>
      <c r="M5949" t="s">
        <v>3959</v>
      </c>
      <c r="N5949" t="s">
        <v>3959</v>
      </c>
      <c r="O5949" t="s">
        <v>3959</v>
      </c>
      <c r="P5949" s="57">
        <v>1</v>
      </c>
      <c r="Q5949" s="57">
        <v>0</v>
      </c>
      <c r="R5949" s="57">
        <v>0</v>
      </c>
      <c r="S5949" s="57">
        <v>0</v>
      </c>
      <c r="T5949" s="57">
        <v>0</v>
      </c>
      <c r="U5949" s="57">
        <v>0</v>
      </c>
      <c r="V5949" s="57">
        <v>0</v>
      </c>
      <c r="W5949" s="57">
        <v>0</v>
      </c>
      <c r="X5949" s="57">
        <v>0</v>
      </c>
    </row>
    <row r="5950" spans="1:24" hidden="1" x14ac:dyDescent="0.35">
      <c r="A5950">
        <v>5946</v>
      </c>
      <c r="B5950">
        <v>5947</v>
      </c>
      <c r="C5950">
        <v>146.083947244</v>
      </c>
      <c r="D5950">
        <v>-17.6413935514</v>
      </c>
      <c r="F5950" t="str">
        <f>HYPERLINK("D:\Data From Lucan\2024\Moresby\Frames_for_Analysis/5947_20240611_0009_L_0209.jpg","5947_20240611_0009_L_0209.jpg")</f>
        <v>5947_20240611_0009_L_0209.jpg</v>
      </c>
      <c r="G5950" s="92" t="s">
        <v>6149</v>
      </c>
      <c r="I5950">
        <v>3</v>
      </c>
      <c r="K5950" s="57">
        <v>1</v>
      </c>
      <c r="L5950" t="s">
        <v>3959</v>
      </c>
      <c r="M5950" t="s">
        <v>3959</v>
      </c>
      <c r="N5950" t="s">
        <v>3959</v>
      </c>
      <c r="O5950" t="s">
        <v>3959</v>
      </c>
      <c r="P5950" s="57">
        <v>1</v>
      </c>
      <c r="Q5950" s="57">
        <v>0</v>
      </c>
      <c r="R5950" s="57">
        <v>0</v>
      </c>
      <c r="S5950" s="57">
        <v>0</v>
      </c>
      <c r="T5950" s="57">
        <v>0</v>
      </c>
      <c r="U5950" s="57">
        <v>0</v>
      </c>
      <c r="V5950" s="57">
        <v>0</v>
      </c>
      <c r="W5950" s="57">
        <v>0</v>
      </c>
      <c r="X5950" s="57">
        <v>0</v>
      </c>
    </row>
    <row r="5951" spans="1:24" hidden="1" x14ac:dyDescent="0.35">
      <c r="A5951">
        <v>5947</v>
      </c>
      <c r="B5951">
        <v>5948</v>
      </c>
      <c r="C5951">
        <v>146.08400997300001</v>
      </c>
      <c r="D5951">
        <v>-17.641454829400001</v>
      </c>
      <c r="F5951" t="str">
        <f>HYPERLINK("D:\Data From Lucan\2024\Moresby\Frames_for_Analysis/5948_20240611_0009_L_0217.jpg","5948_20240611_0009_L_0217.jpg")</f>
        <v>5948_20240611_0009_L_0217.jpg</v>
      </c>
      <c r="G5951" s="92" t="s">
        <v>6150</v>
      </c>
      <c r="I5951">
        <v>3</v>
      </c>
      <c r="K5951" s="57">
        <v>1</v>
      </c>
      <c r="L5951" t="s">
        <v>3959</v>
      </c>
      <c r="M5951" t="s">
        <v>3959</v>
      </c>
      <c r="N5951" t="s">
        <v>3959</v>
      </c>
      <c r="O5951" t="s">
        <v>3959</v>
      </c>
      <c r="P5951" s="57">
        <v>1</v>
      </c>
      <c r="Q5951" s="57">
        <v>0</v>
      </c>
      <c r="R5951" s="57">
        <v>0</v>
      </c>
      <c r="S5951" s="57">
        <v>0</v>
      </c>
      <c r="T5951" s="57">
        <v>0</v>
      </c>
      <c r="U5951" s="57">
        <v>0</v>
      </c>
      <c r="V5951" s="57">
        <v>0</v>
      </c>
      <c r="W5951" s="57">
        <v>0</v>
      </c>
      <c r="X5951" s="57">
        <v>0</v>
      </c>
    </row>
    <row r="5952" spans="1:24" hidden="1" x14ac:dyDescent="0.35">
      <c r="A5952">
        <v>5948</v>
      </c>
      <c r="B5952">
        <v>5949</v>
      </c>
      <c r="C5952">
        <v>146.08407270199899</v>
      </c>
      <c r="D5952">
        <v>-17.641516107400001</v>
      </c>
      <c r="F5952" t="str">
        <f>HYPERLINK("D:\Data From Lucan\2024\Moresby\Frames_for_Analysis/5949_20240611_0009_L_0226.jpg","5949_20240611_0009_L_0226.jpg")</f>
        <v>5949_20240611_0009_L_0226.jpg</v>
      </c>
      <c r="G5952" s="92" t="s">
        <v>6151</v>
      </c>
      <c r="I5952">
        <v>3</v>
      </c>
      <c r="K5952" s="57">
        <v>1</v>
      </c>
      <c r="L5952" t="s">
        <v>3959</v>
      </c>
      <c r="M5952" t="s">
        <v>3959</v>
      </c>
      <c r="N5952" t="s">
        <v>3959</v>
      </c>
      <c r="O5952" t="s">
        <v>3959</v>
      </c>
      <c r="P5952" s="57">
        <v>1</v>
      </c>
      <c r="Q5952" s="57">
        <v>0</v>
      </c>
      <c r="R5952" s="57">
        <v>0</v>
      </c>
      <c r="S5952" s="57">
        <v>0</v>
      </c>
      <c r="T5952" s="57">
        <v>0</v>
      </c>
      <c r="U5952" s="57">
        <v>0</v>
      </c>
      <c r="V5952" s="57">
        <v>0</v>
      </c>
      <c r="W5952" s="57">
        <v>0</v>
      </c>
      <c r="X5952" s="57">
        <v>0</v>
      </c>
    </row>
    <row r="5953" spans="1:24" hidden="1" x14ac:dyDescent="0.35">
      <c r="A5953">
        <v>5949</v>
      </c>
      <c r="B5953">
        <v>5950</v>
      </c>
      <c r="C5953">
        <v>146.08413543200001</v>
      </c>
      <c r="D5953">
        <v>-17.641577385400002</v>
      </c>
      <c r="F5953" t="str">
        <f>HYPERLINK("D:\Data From Lucan\2024\Moresby\Frames_for_Analysis/5950_20240611_0009_L_0232.jpg","5950_20240611_0009_L_0232.jpg")</f>
        <v>5950_20240611_0009_L_0232.jpg</v>
      </c>
      <c r="G5953" s="92" t="s">
        <v>6152</v>
      </c>
      <c r="I5953">
        <v>3</v>
      </c>
      <c r="K5953" s="57">
        <v>1</v>
      </c>
      <c r="L5953" t="s">
        <v>3959</v>
      </c>
      <c r="M5953" t="s">
        <v>3959</v>
      </c>
      <c r="N5953" t="s">
        <v>3959</v>
      </c>
      <c r="O5953" t="s">
        <v>3959</v>
      </c>
      <c r="P5953" s="57">
        <v>1</v>
      </c>
      <c r="Q5953" s="57">
        <v>0</v>
      </c>
      <c r="R5953" s="57">
        <v>0</v>
      </c>
      <c r="S5953" s="57">
        <v>0</v>
      </c>
      <c r="T5953" s="57">
        <v>0</v>
      </c>
      <c r="U5953" s="57">
        <v>0</v>
      </c>
      <c r="V5953" s="57">
        <v>0</v>
      </c>
      <c r="W5953" s="57">
        <v>0</v>
      </c>
      <c r="X5953" s="57">
        <v>0</v>
      </c>
    </row>
    <row r="5954" spans="1:24" hidden="1" x14ac:dyDescent="0.35">
      <c r="A5954">
        <v>5950</v>
      </c>
      <c r="B5954">
        <v>5951</v>
      </c>
      <c r="C5954">
        <v>146.084198579999</v>
      </c>
      <c r="D5954">
        <v>-17.6416382457999</v>
      </c>
      <c r="F5954" t="str">
        <f>HYPERLINK("D:\Data From Lucan\2024\Moresby\Frames_for_Analysis/5951_20240611_0009_L_0236.jpg","5951_20240611_0009_L_0236.jpg")</f>
        <v>5951_20240611_0009_L_0236.jpg</v>
      </c>
      <c r="G5954" s="92" t="s">
        <v>6153</v>
      </c>
      <c r="I5954">
        <v>3</v>
      </c>
      <c r="K5954" s="57">
        <v>1</v>
      </c>
      <c r="L5954" t="s">
        <v>3959</v>
      </c>
      <c r="M5954" t="s">
        <v>3959</v>
      </c>
      <c r="N5954" t="s">
        <v>3959</v>
      </c>
      <c r="O5954" t="s">
        <v>3959</v>
      </c>
      <c r="P5954" s="57">
        <v>1</v>
      </c>
      <c r="Q5954" s="57">
        <v>0</v>
      </c>
      <c r="R5954" s="57">
        <v>0</v>
      </c>
      <c r="S5954" s="57">
        <v>0</v>
      </c>
      <c r="T5954" s="57">
        <v>0</v>
      </c>
      <c r="U5954" s="57">
        <v>0</v>
      </c>
      <c r="V5954" s="57">
        <v>0</v>
      </c>
      <c r="W5954" s="57">
        <v>0</v>
      </c>
      <c r="X5954" s="57">
        <v>0</v>
      </c>
    </row>
    <row r="5955" spans="1:24" hidden="1" x14ac:dyDescent="0.35">
      <c r="A5955">
        <v>5951</v>
      </c>
      <c r="B5955">
        <v>5952</v>
      </c>
      <c r="C5955">
        <v>146.08426558900001</v>
      </c>
      <c r="D5955">
        <v>-17.641695260700001</v>
      </c>
      <c r="F5955" t="str">
        <f>HYPERLINK("D:\Data From Lucan\2024\Moresby\Frames_for_Analysis/5952_20240611_0009_L_0240.jpg","5952_20240611_0009_L_0240.jpg")</f>
        <v>5952_20240611_0009_L_0240.jpg</v>
      </c>
      <c r="G5955" s="92" t="s">
        <v>6154</v>
      </c>
      <c r="I5955">
        <v>3</v>
      </c>
      <c r="K5955" s="57">
        <v>1</v>
      </c>
      <c r="L5955" t="s">
        <v>3959</v>
      </c>
      <c r="M5955" t="s">
        <v>3959</v>
      </c>
      <c r="N5955" t="s">
        <v>3959</v>
      </c>
      <c r="O5955" t="s">
        <v>3959</v>
      </c>
      <c r="P5955" s="57">
        <v>1</v>
      </c>
      <c r="Q5955" s="57">
        <v>0</v>
      </c>
      <c r="R5955" s="57">
        <v>0</v>
      </c>
      <c r="S5955" s="57">
        <v>0</v>
      </c>
      <c r="T5955" s="57">
        <v>0</v>
      </c>
      <c r="U5955" s="57">
        <v>0</v>
      </c>
      <c r="V5955" s="57">
        <v>0</v>
      </c>
      <c r="W5955" s="57">
        <v>0</v>
      </c>
      <c r="X5955" s="57">
        <v>0</v>
      </c>
    </row>
    <row r="5956" spans="1:24" hidden="1" x14ac:dyDescent="0.35">
      <c r="A5956">
        <v>5952</v>
      </c>
      <c r="B5956">
        <v>5953</v>
      </c>
      <c r="C5956">
        <v>146.084332598999</v>
      </c>
      <c r="D5956">
        <v>-17.6417522755</v>
      </c>
      <c r="F5956" t="str">
        <f>HYPERLINK("D:\Data From Lucan\2024\Moresby\Frames_for_Analysis/5953_20240611_0009_L_0243.jpg","5953_20240611_0009_L_0243.jpg")</f>
        <v>5953_20240611_0009_L_0243.jpg</v>
      </c>
      <c r="G5956" s="92" t="s">
        <v>6155</v>
      </c>
      <c r="I5956">
        <v>3</v>
      </c>
      <c r="K5956" s="57">
        <v>1</v>
      </c>
      <c r="L5956" t="s">
        <v>3959</v>
      </c>
      <c r="M5956" t="s">
        <v>3959</v>
      </c>
      <c r="N5956" t="s">
        <v>3959</v>
      </c>
      <c r="O5956" t="s">
        <v>3959</v>
      </c>
      <c r="P5956" s="57">
        <v>1</v>
      </c>
      <c r="Q5956" s="57">
        <v>0</v>
      </c>
      <c r="R5956" s="57">
        <v>0</v>
      </c>
      <c r="S5956" s="57">
        <v>0</v>
      </c>
      <c r="T5956" s="57">
        <v>0</v>
      </c>
      <c r="U5956" s="57">
        <v>0</v>
      </c>
      <c r="V5956" s="57">
        <v>0</v>
      </c>
      <c r="W5956" s="57">
        <v>0</v>
      </c>
      <c r="X5956" s="57">
        <v>0</v>
      </c>
    </row>
    <row r="5957" spans="1:24" hidden="1" x14ac:dyDescent="0.35">
      <c r="A5957">
        <v>5953</v>
      </c>
      <c r="B5957">
        <v>5954</v>
      </c>
      <c r="C5957">
        <v>146.08439960800001</v>
      </c>
      <c r="D5957">
        <v>-17.6418092902999</v>
      </c>
      <c r="F5957" t="str">
        <f>HYPERLINK("D:\Data From Lucan\2024\Moresby\Frames_for_Analysis/5954_20240611_0009_L_0247.jpg","5954_20240611_0009_L_0247.jpg")</f>
        <v>5954_20240611_0009_L_0247.jpg</v>
      </c>
      <c r="G5957" s="92" t="s">
        <v>6156</v>
      </c>
      <c r="I5957">
        <v>3</v>
      </c>
      <c r="K5957" s="57">
        <v>1</v>
      </c>
      <c r="L5957" t="s">
        <v>3959</v>
      </c>
      <c r="M5957" t="s">
        <v>3959</v>
      </c>
      <c r="N5957" t="s">
        <v>3959</v>
      </c>
      <c r="O5957" t="s">
        <v>3959</v>
      </c>
      <c r="P5957" s="57">
        <v>1</v>
      </c>
      <c r="Q5957" s="57">
        <v>0</v>
      </c>
      <c r="R5957" s="57">
        <v>0</v>
      </c>
      <c r="S5957" s="57">
        <v>0</v>
      </c>
      <c r="T5957" s="57">
        <v>0</v>
      </c>
      <c r="U5957" s="57">
        <v>0</v>
      </c>
      <c r="V5957" s="57">
        <v>0</v>
      </c>
      <c r="W5957" s="57">
        <v>0</v>
      </c>
      <c r="X5957" s="57">
        <v>0</v>
      </c>
    </row>
    <row r="5958" spans="1:24" hidden="1" x14ac:dyDescent="0.35">
      <c r="A5958">
        <v>5954</v>
      </c>
      <c r="B5958">
        <v>5955</v>
      </c>
      <c r="C5958">
        <v>146.084466617</v>
      </c>
      <c r="D5958">
        <v>-17.641866305099899</v>
      </c>
      <c r="F5958" t="str">
        <f>HYPERLINK("D:\Data From Lucan\2024\Moresby\Frames_for_Analysis/5955_20240611_0009_L_0251.jpg","5955_20240611_0009_L_0251.jpg")</f>
        <v>5955_20240611_0009_L_0251.jpg</v>
      </c>
      <c r="G5958" s="92" t="s">
        <v>6157</v>
      </c>
      <c r="I5958">
        <v>3</v>
      </c>
      <c r="K5958" s="57">
        <v>1</v>
      </c>
      <c r="L5958" t="s">
        <v>3959</v>
      </c>
      <c r="M5958" t="s">
        <v>3959</v>
      </c>
      <c r="N5958" t="s">
        <v>3959</v>
      </c>
      <c r="O5958" t="s">
        <v>3959</v>
      </c>
      <c r="P5958" s="57">
        <v>1</v>
      </c>
      <c r="Q5958" s="57">
        <v>0</v>
      </c>
      <c r="R5958" s="57">
        <v>0</v>
      </c>
      <c r="S5958" s="57">
        <v>0</v>
      </c>
      <c r="T5958" s="57">
        <v>0</v>
      </c>
      <c r="U5958" s="57">
        <v>0</v>
      </c>
      <c r="V5958" s="57">
        <v>0</v>
      </c>
      <c r="W5958" s="57">
        <v>0</v>
      </c>
      <c r="X5958" s="57">
        <v>0</v>
      </c>
    </row>
    <row r="5959" spans="1:24" hidden="1" x14ac:dyDescent="0.35">
      <c r="A5959">
        <v>5955</v>
      </c>
      <c r="B5959">
        <v>5956</v>
      </c>
      <c r="C5959">
        <v>146.08453362700001</v>
      </c>
      <c r="D5959">
        <v>-17.641923319899899</v>
      </c>
      <c r="F5959" t="str">
        <f>HYPERLINK("D:\Data From Lucan\2024\Moresby\Frames_for_Analysis/5956_20240611_0009_L_0254.jpg","5956_20240611_0009_L_0254.jpg")</f>
        <v>5956_20240611_0009_L_0254.jpg</v>
      </c>
      <c r="G5959" s="92" t="s">
        <v>6158</v>
      </c>
      <c r="I5959">
        <v>3</v>
      </c>
      <c r="K5959" s="57">
        <v>1</v>
      </c>
      <c r="L5959" t="s">
        <v>3959</v>
      </c>
      <c r="M5959" t="s">
        <v>3959</v>
      </c>
      <c r="N5959" t="s">
        <v>3959</v>
      </c>
      <c r="O5959" t="s">
        <v>3959</v>
      </c>
      <c r="P5959" s="57">
        <v>1</v>
      </c>
      <c r="Q5959" s="57">
        <v>0</v>
      </c>
      <c r="R5959" s="57">
        <v>0</v>
      </c>
      <c r="S5959" s="57">
        <v>0</v>
      </c>
      <c r="T5959" s="57">
        <v>0</v>
      </c>
      <c r="U5959" s="57">
        <v>0</v>
      </c>
      <c r="V5959" s="57">
        <v>0</v>
      </c>
      <c r="W5959" s="57">
        <v>0</v>
      </c>
      <c r="X5959" s="57">
        <v>0</v>
      </c>
    </row>
    <row r="5960" spans="1:24" hidden="1" x14ac:dyDescent="0.35">
      <c r="A5960">
        <v>5956</v>
      </c>
      <c r="B5960">
        <v>5957</v>
      </c>
      <c r="C5960">
        <v>146.084600636</v>
      </c>
      <c r="D5960">
        <v>-17.641980334700001</v>
      </c>
      <c r="F5960" t="str">
        <f>HYPERLINK("D:\Data From Lucan\2024\Moresby\Frames_for_Analysis/5957_20240611_0009_L_0258.jpg","5957_20240611_0009_L_0258.jpg")</f>
        <v>5957_20240611_0009_L_0258.jpg</v>
      </c>
      <c r="G5960" s="92" t="s">
        <v>6159</v>
      </c>
      <c r="I5960">
        <v>3</v>
      </c>
      <c r="K5960" s="57">
        <v>1</v>
      </c>
      <c r="L5960" t="s">
        <v>3959</v>
      </c>
      <c r="M5960" t="s">
        <v>3959</v>
      </c>
      <c r="N5960" t="s">
        <v>3959</v>
      </c>
      <c r="O5960" t="s">
        <v>3959</v>
      </c>
      <c r="P5960" s="57">
        <v>1</v>
      </c>
      <c r="Q5960" s="57">
        <v>0</v>
      </c>
      <c r="R5960" s="57">
        <v>0</v>
      </c>
      <c r="S5960" s="57">
        <v>0</v>
      </c>
      <c r="T5960" s="57">
        <v>0</v>
      </c>
      <c r="U5960" s="57">
        <v>0</v>
      </c>
      <c r="V5960" s="57">
        <v>0</v>
      </c>
      <c r="W5960" s="57">
        <v>0</v>
      </c>
      <c r="X5960" s="57">
        <v>0</v>
      </c>
    </row>
    <row r="5961" spans="1:24" hidden="1" x14ac:dyDescent="0.35">
      <c r="A5961">
        <v>5957</v>
      </c>
      <c r="B5961">
        <v>5958</v>
      </c>
      <c r="C5961">
        <v>146.084667644999</v>
      </c>
      <c r="D5961">
        <v>-17.642037349399899</v>
      </c>
      <c r="F5961" t="str">
        <f>HYPERLINK("D:\Data From Lucan\2024\Moresby\Frames_for_Analysis/5958_20240611_0009_L_0261.jpg","5958_20240611_0009_L_0261.jpg")</f>
        <v>5958_20240611_0009_L_0261.jpg</v>
      </c>
      <c r="G5961" s="92" t="s">
        <v>6160</v>
      </c>
      <c r="I5961">
        <v>3</v>
      </c>
      <c r="K5961" s="57">
        <v>1</v>
      </c>
      <c r="L5961" t="s">
        <v>3959</v>
      </c>
      <c r="M5961" t="s">
        <v>3959</v>
      </c>
      <c r="N5961" t="s">
        <v>3959</v>
      </c>
      <c r="O5961" t="s">
        <v>3959</v>
      </c>
      <c r="P5961" s="57">
        <v>1</v>
      </c>
      <c r="Q5961" s="57">
        <v>0</v>
      </c>
      <c r="R5961" s="57">
        <v>0</v>
      </c>
      <c r="S5961" s="57">
        <v>0</v>
      </c>
      <c r="T5961" s="57">
        <v>0</v>
      </c>
      <c r="U5961" s="57">
        <v>0</v>
      </c>
      <c r="V5961" s="57">
        <v>0</v>
      </c>
      <c r="W5961" s="57">
        <v>0</v>
      </c>
      <c r="X5961" s="57">
        <v>0</v>
      </c>
    </row>
    <row r="5962" spans="1:24" hidden="1" x14ac:dyDescent="0.35">
      <c r="A5962">
        <v>5958</v>
      </c>
      <c r="B5962">
        <v>5959</v>
      </c>
      <c r="C5962">
        <v>146.08473465500001</v>
      </c>
      <c r="D5962">
        <v>-17.6420943641</v>
      </c>
      <c r="F5962" t="str">
        <f>HYPERLINK("D:\Data From Lucan\2024\Moresby\Frames_for_Analysis/5959_20240611_0009_L_0265.jpg","5959_20240611_0009_L_0265.jpg")</f>
        <v>5959_20240611_0009_L_0265.jpg</v>
      </c>
      <c r="G5962" s="92" t="s">
        <v>6161</v>
      </c>
      <c r="I5962">
        <v>3</v>
      </c>
      <c r="K5962" s="57">
        <v>1</v>
      </c>
      <c r="L5962" t="s">
        <v>3959</v>
      </c>
      <c r="M5962" t="s">
        <v>3959</v>
      </c>
      <c r="N5962" t="s">
        <v>3959</v>
      </c>
      <c r="O5962" t="s">
        <v>3959</v>
      </c>
      <c r="P5962" s="57">
        <v>1</v>
      </c>
      <c r="Q5962" s="57">
        <v>0</v>
      </c>
      <c r="R5962" s="57">
        <v>0</v>
      </c>
      <c r="S5962" s="57">
        <v>0</v>
      </c>
      <c r="T5962" s="57">
        <v>0</v>
      </c>
      <c r="U5962" s="57">
        <v>0</v>
      </c>
      <c r="V5962" s="57">
        <v>0</v>
      </c>
      <c r="W5962" s="57">
        <v>0</v>
      </c>
      <c r="X5962" s="57">
        <v>0</v>
      </c>
    </row>
    <row r="5963" spans="1:24" hidden="1" x14ac:dyDescent="0.35">
      <c r="A5963">
        <v>5959</v>
      </c>
      <c r="B5963">
        <v>5960</v>
      </c>
      <c r="C5963">
        <v>146.084801663999</v>
      </c>
      <c r="D5963">
        <v>-17.642151378800001</v>
      </c>
      <c r="F5963" t="str">
        <f>HYPERLINK("D:\Data From Lucan\2024\Moresby\Frames_for_Analysis/5960_20240611_0009_L_0268.jpg","5960_20240611_0009_L_0268.jpg")</f>
        <v>5960_20240611_0009_L_0268.jpg</v>
      </c>
      <c r="G5963" s="92" t="s">
        <v>6162</v>
      </c>
      <c r="I5963">
        <v>3</v>
      </c>
      <c r="K5963" s="57">
        <v>1</v>
      </c>
      <c r="L5963" t="s">
        <v>3959</v>
      </c>
      <c r="M5963" t="s">
        <v>3959</v>
      </c>
      <c r="N5963" t="s">
        <v>3959</v>
      </c>
      <c r="O5963" t="s">
        <v>3959</v>
      </c>
      <c r="P5963" s="57">
        <v>1</v>
      </c>
      <c r="Q5963" s="57">
        <v>0</v>
      </c>
      <c r="R5963" s="57">
        <v>0</v>
      </c>
      <c r="S5963" s="57">
        <v>0</v>
      </c>
      <c r="T5963" s="57">
        <v>0</v>
      </c>
      <c r="U5963" s="57">
        <v>0</v>
      </c>
      <c r="V5963" s="57">
        <v>0</v>
      </c>
      <c r="W5963" s="57">
        <v>0</v>
      </c>
      <c r="X5963" s="57">
        <v>0</v>
      </c>
    </row>
    <row r="5964" spans="1:24" hidden="1" x14ac:dyDescent="0.35">
      <c r="A5964">
        <v>5960</v>
      </c>
      <c r="B5964">
        <v>5961</v>
      </c>
      <c r="C5964">
        <v>146.08486888799899</v>
      </c>
      <c r="D5964">
        <v>-17.642208120900001</v>
      </c>
      <c r="F5964" t="str">
        <f>HYPERLINK("D:\Data From Lucan\2024\Moresby\Frames_for_Analysis/5961_20240611_0009_L_0272.jpg","5961_20240611_0009_L_0272.jpg")</f>
        <v>5961_20240611_0009_L_0272.jpg</v>
      </c>
      <c r="G5964" s="92" t="s">
        <v>6163</v>
      </c>
      <c r="I5964">
        <v>3</v>
      </c>
      <c r="K5964" s="57">
        <v>1</v>
      </c>
      <c r="L5964" t="s">
        <v>3959</v>
      </c>
      <c r="M5964" t="s">
        <v>3959</v>
      </c>
      <c r="N5964" t="s">
        <v>3959</v>
      </c>
      <c r="O5964" t="s">
        <v>3959</v>
      </c>
      <c r="P5964" s="57">
        <v>1</v>
      </c>
      <c r="Q5964" s="57">
        <v>0</v>
      </c>
      <c r="R5964" s="57">
        <v>0</v>
      </c>
      <c r="S5964" s="57">
        <v>0</v>
      </c>
      <c r="T5964" s="57">
        <v>0</v>
      </c>
      <c r="U5964" s="57">
        <v>0</v>
      </c>
      <c r="V5964" s="57">
        <v>0</v>
      </c>
      <c r="W5964" s="57">
        <v>0</v>
      </c>
      <c r="X5964" s="57">
        <v>0</v>
      </c>
    </row>
    <row r="5965" spans="1:24" hidden="1" x14ac:dyDescent="0.35">
      <c r="A5965">
        <v>5961</v>
      </c>
      <c r="B5965">
        <v>5962</v>
      </c>
      <c r="C5965">
        <v>146.084945081</v>
      </c>
      <c r="D5965">
        <v>-17.642253467</v>
      </c>
      <c r="F5965" t="str">
        <f>HYPERLINK("D:\Data From Lucan\2024\Moresby\Frames_for_Analysis/5962_20240611_0009_L_0275.jpg","5962_20240611_0009_L_0275.jpg")</f>
        <v>5962_20240611_0009_L_0275.jpg</v>
      </c>
      <c r="G5965" s="92" t="s">
        <v>6164</v>
      </c>
      <c r="I5965">
        <v>3</v>
      </c>
      <c r="K5965" s="57">
        <v>1</v>
      </c>
      <c r="L5965" t="s">
        <v>3959</v>
      </c>
      <c r="M5965" t="s">
        <v>3959</v>
      </c>
      <c r="N5965" t="s">
        <v>3959</v>
      </c>
      <c r="O5965" t="s">
        <v>3959</v>
      </c>
      <c r="P5965" s="57">
        <v>1</v>
      </c>
      <c r="Q5965" s="57">
        <v>0</v>
      </c>
      <c r="R5965" s="57">
        <v>0</v>
      </c>
      <c r="S5965" s="57">
        <v>0</v>
      </c>
      <c r="T5965" s="57">
        <v>0</v>
      </c>
      <c r="U5965" s="57">
        <v>0</v>
      </c>
      <c r="V5965" s="57">
        <v>0</v>
      </c>
      <c r="W5965" s="57">
        <v>0</v>
      </c>
      <c r="X5965" s="57">
        <v>0</v>
      </c>
    </row>
    <row r="5966" spans="1:24" hidden="1" x14ac:dyDescent="0.35">
      <c r="A5966">
        <v>5962</v>
      </c>
      <c r="B5966">
        <v>5963</v>
      </c>
      <c r="C5966">
        <v>146.085021275</v>
      </c>
      <c r="D5966">
        <v>-17.642298813099899</v>
      </c>
      <c r="F5966" t="str">
        <f>HYPERLINK("D:\Data From Lucan\2024\Moresby\Frames_for_Analysis/5963_20240611_0009_L_0279.jpg","5963_20240611_0009_L_0279.jpg")</f>
        <v>5963_20240611_0009_L_0279.jpg</v>
      </c>
      <c r="G5966" s="92" t="s">
        <v>6165</v>
      </c>
      <c r="I5966">
        <v>3</v>
      </c>
      <c r="K5966" s="57">
        <v>1</v>
      </c>
      <c r="L5966" t="s">
        <v>3959</v>
      </c>
      <c r="M5966" t="s">
        <v>3959</v>
      </c>
      <c r="N5966" t="s">
        <v>3959</v>
      </c>
      <c r="O5966" t="s">
        <v>3959</v>
      </c>
      <c r="P5966" s="57">
        <v>1</v>
      </c>
      <c r="Q5966" s="57">
        <v>0</v>
      </c>
      <c r="R5966" s="57">
        <v>0</v>
      </c>
      <c r="S5966" s="57">
        <v>0</v>
      </c>
      <c r="T5966" s="57">
        <v>0</v>
      </c>
      <c r="U5966" s="57">
        <v>0</v>
      </c>
      <c r="V5966" s="57">
        <v>0</v>
      </c>
      <c r="W5966" s="57">
        <v>0</v>
      </c>
      <c r="X5966" s="57">
        <v>0</v>
      </c>
    </row>
    <row r="5967" spans="1:24" hidden="1" x14ac:dyDescent="0.35">
      <c r="A5967">
        <v>5963</v>
      </c>
      <c r="B5967">
        <v>5964</v>
      </c>
      <c r="C5967">
        <v>146.08509746799899</v>
      </c>
      <c r="D5967">
        <v>-17.6423441592</v>
      </c>
      <c r="F5967" t="str">
        <f>HYPERLINK("D:\Data From Lucan\2024\Moresby\Frames_for_Analysis/5964_20240611_0009_L_0283.jpg","5964_20240611_0009_L_0283.jpg")</f>
        <v>5964_20240611_0009_L_0283.jpg</v>
      </c>
      <c r="G5967" s="92" t="s">
        <v>6166</v>
      </c>
      <c r="I5967">
        <v>3</v>
      </c>
      <c r="K5967" s="57">
        <v>1</v>
      </c>
      <c r="L5967" t="s">
        <v>3959</v>
      </c>
      <c r="M5967" t="s">
        <v>3959</v>
      </c>
      <c r="N5967" t="s">
        <v>3959</v>
      </c>
      <c r="O5967" t="s">
        <v>3959</v>
      </c>
      <c r="P5967" s="57">
        <v>1</v>
      </c>
      <c r="Q5967" s="57">
        <v>0</v>
      </c>
      <c r="R5967" s="57">
        <v>0</v>
      </c>
      <c r="S5967" s="57">
        <v>0</v>
      </c>
      <c r="T5967" s="57">
        <v>0</v>
      </c>
      <c r="U5967" s="57">
        <v>0</v>
      </c>
      <c r="V5967" s="57">
        <v>0</v>
      </c>
      <c r="W5967" s="57">
        <v>0</v>
      </c>
      <c r="X5967" s="57">
        <v>0</v>
      </c>
    </row>
    <row r="5968" spans="1:24" hidden="1" x14ac:dyDescent="0.35">
      <c r="A5968">
        <v>5964</v>
      </c>
      <c r="B5968">
        <v>5965</v>
      </c>
      <c r="C5968">
        <v>146.08517366199899</v>
      </c>
      <c r="D5968">
        <v>-17.642389505200001</v>
      </c>
      <c r="F5968" t="str">
        <f>HYPERLINK("D:\Data From Lucan\2024\Moresby\Frames_for_Analysis/5965_20240611_0009_L_0286.jpg","5965_20240611_0009_L_0286.jpg")</f>
        <v>5965_20240611_0009_L_0286.jpg</v>
      </c>
      <c r="G5968" s="92" t="s">
        <v>6167</v>
      </c>
      <c r="I5968">
        <v>3</v>
      </c>
      <c r="K5968" s="57">
        <v>1</v>
      </c>
      <c r="L5968" t="s">
        <v>3959</v>
      </c>
      <c r="M5968" t="s">
        <v>3959</v>
      </c>
      <c r="N5968" t="s">
        <v>3959</v>
      </c>
      <c r="O5968" t="s">
        <v>3959</v>
      </c>
      <c r="P5968" s="57">
        <v>1</v>
      </c>
      <c r="Q5968" s="57">
        <v>0</v>
      </c>
      <c r="R5968" s="57">
        <v>0</v>
      </c>
      <c r="S5968" s="57">
        <v>0</v>
      </c>
      <c r="T5968" s="57">
        <v>0</v>
      </c>
      <c r="U5968" s="57">
        <v>0</v>
      </c>
      <c r="V5968" s="57">
        <v>0</v>
      </c>
      <c r="W5968" s="57">
        <v>0</v>
      </c>
      <c r="X5968" s="57">
        <v>0</v>
      </c>
    </row>
    <row r="5969" spans="1:24" hidden="1" x14ac:dyDescent="0.35">
      <c r="A5969">
        <v>5965</v>
      </c>
      <c r="B5969">
        <v>5966</v>
      </c>
      <c r="C5969">
        <v>146.085249855</v>
      </c>
      <c r="D5969">
        <v>-17.6424348512999</v>
      </c>
      <c r="F5969" t="str">
        <f>HYPERLINK("D:\Data From Lucan\2024\Moresby\Frames_for_Analysis/5966_20240611_0009_L_0290.jpg","5966_20240611_0009_L_0290.jpg")</f>
        <v>5966_20240611_0009_L_0290.jpg</v>
      </c>
      <c r="G5969" s="92" t="s">
        <v>6168</v>
      </c>
      <c r="I5969">
        <v>3</v>
      </c>
      <c r="K5969" s="57">
        <v>1</v>
      </c>
      <c r="L5969" t="s">
        <v>3959</v>
      </c>
      <c r="M5969" t="s">
        <v>3959</v>
      </c>
      <c r="N5969" t="s">
        <v>3959</v>
      </c>
      <c r="O5969" t="s">
        <v>3959</v>
      </c>
      <c r="P5969" s="57">
        <v>1</v>
      </c>
      <c r="Q5969" s="57">
        <v>0</v>
      </c>
      <c r="R5969" s="57">
        <v>0</v>
      </c>
      <c r="S5969" s="57">
        <v>0</v>
      </c>
      <c r="T5969" s="57">
        <v>0</v>
      </c>
      <c r="U5969" s="57">
        <v>0</v>
      </c>
      <c r="V5969" s="57">
        <v>0</v>
      </c>
      <c r="W5969" s="57">
        <v>0</v>
      </c>
      <c r="X5969" s="57">
        <v>0</v>
      </c>
    </row>
    <row r="5970" spans="1:24" hidden="1" x14ac:dyDescent="0.35">
      <c r="A5970">
        <v>5966</v>
      </c>
      <c r="B5970">
        <v>5967</v>
      </c>
      <c r="C5970">
        <v>146.085326049</v>
      </c>
      <c r="D5970">
        <v>-17.642480197400001</v>
      </c>
      <c r="F5970" t="str">
        <f>HYPERLINK("D:\Data From Lucan\2024\Moresby\Frames_for_Analysis/5967_20240611_0009_L_0293.jpg","5967_20240611_0009_L_0293.jpg")</f>
        <v>5967_20240611_0009_L_0293.jpg</v>
      </c>
      <c r="G5970" s="92" t="s">
        <v>6169</v>
      </c>
      <c r="I5970">
        <v>3</v>
      </c>
      <c r="K5970" s="57">
        <v>1</v>
      </c>
      <c r="L5970" t="s">
        <v>3959</v>
      </c>
      <c r="M5970" t="s">
        <v>3959</v>
      </c>
      <c r="N5970" t="s">
        <v>3959</v>
      </c>
      <c r="O5970" t="s">
        <v>3959</v>
      </c>
      <c r="P5970" s="57">
        <v>1</v>
      </c>
      <c r="Q5970" s="57">
        <v>0</v>
      </c>
      <c r="R5970" s="57">
        <v>0</v>
      </c>
      <c r="S5970" s="57">
        <v>0</v>
      </c>
      <c r="T5970" s="57">
        <v>0</v>
      </c>
      <c r="U5970" s="57">
        <v>0</v>
      </c>
      <c r="V5970" s="57">
        <v>0</v>
      </c>
      <c r="W5970" s="57">
        <v>0</v>
      </c>
      <c r="X5970" s="57">
        <v>0</v>
      </c>
    </row>
    <row r="5971" spans="1:24" hidden="1" x14ac:dyDescent="0.35">
      <c r="A5971">
        <v>5967</v>
      </c>
      <c r="B5971">
        <v>5968</v>
      </c>
      <c r="C5971">
        <v>146.085402243</v>
      </c>
      <c r="D5971">
        <v>-17.642525543400001</v>
      </c>
      <c r="F5971" t="str">
        <f>HYPERLINK("D:\Data From Lucan\2024\Moresby\Frames_for_Analysis/5968_20240611_0009_L_0297.jpg","5968_20240611_0009_L_0297.jpg")</f>
        <v>5968_20240611_0009_L_0297.jpg</v>
      </c>
      <c r="G5971" s="92" t="s">
        <v>6170</v>
      </c>
      <c r="I5971">
        <v>3</v>
      </c>
      <c r="K5971" s="57">
        <v>1</v>
      </c>
      <c r="L5971" t="s">
        <v>3959</v>
      </c>
      <c r="M5971" t="s">
        <v>3959</v>
      </c>
      <c r="N5971" t="s">
        <v>3959</v>
      </c>
      <c r="O5971" t="s">
        <v>3959</v>
      </c>
      <c r="P5971" s="57">
        <v>1</v>
      </c>
      <c r="Q5971" s="57">
        <v>0</v>
      </c>
      <c r="R5971" s="57">
        <v>0</v>
      </c>
      <c r="S5971" s="57">
        <v>0</v>
      </c>
      <c r="T5971" s="57">
        <v>0</v>
      </c>
      <c r="U5971" s="57">
        <v>0</v>
      </c>
      <c r="V5971" s="57">
        <v>0</v>
      </c>
      <c r="W5971" s="57">
        <v>0</v>
      </c>
      <c r="X5971" s="57">
        <v>0</v>
      </c>
    </row>
    <row r="5972" spans="1:24" hidden="1" x14ac:dyDescent="0.35">
      <c r="A5972">
        <v>5968</v>
      </c>
      <c r="B5972">
        <v>5969</v>
      </c>
      <c r="C5972">
        <v>146.08547843599899</v>
      </c>
      <c r="D5972">
        <v>-17.642570889400002</v>
      </c>
      <c r="F5972" t="str">
        <f>HYPERLINK("D:\Data From Lucan\2024\Moresby\Frames_for_Analysis/5969_20240611_0009_L_0300.jpg","5969_20240611_0009_L_0300.jpg")</f>
        <v>5969_20240611_0009_L_0300.jpg</v>
      </c>
      <c r="G5972" s="92" t="s">
        <v>6171</v>
      </c>
      <c r="I5972">
        <v>3</v>
      </c>
      <c r="K5972" s="57">
        <v>1</v>
      </c>
      <c r="L5972" t="s">
        <v>3959</v>
      </c>
      <c r="M5972" t="s">
        <v>3959</v>
      </c>
      <c r="N5972" t="s">
        <v>3959</v>
      </c>
      <c r="O5972" t="s">
        <v>3959</v>
      </c>
      <c r="P5972" s="57">
        <v>1</v>
      </c>
      <c r="Q5972" s="57">
        <v>0</v>
      </c>
      <c r="R5972" s="57">
        <v>0</v>
      </c>
      <c r="S5972" s="57">
        <v>0</v>
      </c>
      <c r="T5972" s="57">
        <v>0</v>
      </c>
      <c r="U5972" s="57">
        <v>0</v>
      </c>
      <c r="V5972" s="57">
        <v>0</v>
      </c>
      <c r="W5972" s="57">
        <v>0</v>
      </c>
      <c r="X5972" s="57">
        <v>0</v>
      </c>
    </row>
    <row r="5973" spans="1:24" hidden="1" x14ac:dyDescent="0.35">
      <c r="A5973">
        <v>5969</v>
      </c>
      <c r="B5973">
        <v>5970</v>
      </c>
      <c r="C5973">
        <v>146.085554629999</v>
      </c>
      <c r="D5973">
        <v>-17.642616235399899</v>
      </c>
      <c r="F5973" t="str">
        <f>HYPERLINK("D:\Data From Lucan\2024\Moresby\Frames_for_Analysis/5970_20240611_0009_L_0304.jpg","5970_20240611_0009_L_0304.jpg")</f>
        <v>5970_20240611_0009_L_0304.jpg</v>
      </c>
      <c r="G5973" s="92" t="s">
        <v>6172</v>
      </c>
      <c r="I5973">
        <v>3</v>
      </c>
      <c r="K5973" s="57">
        <v>1</v>
      </c>
      <c r="L5973" t="s">
        <v>3959</v>
      </c>
      <c r="M5973" t="s">
        <v>3959</v>
      </c>
      <c r="N5973" t="s">
        <v>3959</v>
      </c>
      <c r="O5973" t="s">
        <v>3959</v>
      </c>
      <c r="P5973" s="57">
        <v>1</v>
      </c>
      <c r="Q5973" s="57">
        <v>0</v>
      </c>
      <c r="R5973" s="57">
        <v>0</v>
      </c>
      <c r="S5973" s="57">
        <v>0</v>
      </c>
      <c r="T5973" s="57">
        <v>0</v>
      </c>
      <c r="U5973" s="57">
        <v>0</v>
      </c>
      <c r="V5973" s="57">
        <v>0</v>
      </c>
      <c r="W5973" s="57">
        <v>0</v>
      </c>
      <c r="X5973" s="57">
        <v>0</v>
      </c>
    </row>
    <row r="5974" spans="1:24" hidden="1" x14ac:dyDescent="0.35">
      <c r="A5974">
        <v>5970</v>
      </c>
      <c r="B5974">
        <v>5971</v>
      </c>
      <c r="C5974">
        <v>146.085630823</v>
      </c>
      <c r="D5974">
        <v>-17.642661581500001</v>
      </c>
      <c r="F5974" t="str">
        <f>HYPERLINK("D:\Data From Lucan\2024\Moresby\Frames_for_Analysis/5971_20240611_0009_L_0307.jpg","5971_20240611_0009_L_0307.jpg")</f>
        <v>5971_20240611_0009_L_0307.jpg</v>
      </c>
      <c r="G5974" s="92" t="s">
        <v>6173</v>
      </c>
      <c r="I5974">
        <v>3</v>
      </c>
      <c r="K5974" s="57">
        <v>1</v>
      </c>
      <c r="L5974" t="s">
        <v>3959</v>
      </c>
      <c r="M5974" t="s">
        <v>3959</v>
      </c>
      <c r="N5974" t="s">
        <v>3959</v>
      </c>
      <c r="O5974" t="s">
        <v>3959</v>
      </c>
      <c r="P5974" s="57">
        <v>1</v>
      </c>
      <c r="Q5974" s="57">
        <v>0</v>
      </c>
      <c r="R5974" s="57">
        <v>0</v>
      </c>
      <c r="S5974" s="57">
        <v>0</v>
      </c>
      <c r="T5974" s="57">
        <v>0</v>
      </c>
      <c r="U5974" s="57">
        <v>0</v>
      </c>
      <c r="V5974" s="57">
        <v>0</v>
      </c>
      <c r="W5974" s="57">
        <v>0</v>
      </c>
      <c r="X5974" s="57">
        <v>0</v>
      </c>
    </row>
    <row r="5975" spans="1:24" hidden="1" x14ac:dyDescent="0.35">
      <c r="A5975">
        <v>5971</v>
      </c>
      <c r="B5975">
        <v>5972</v>
      </c>
      <c r="C5975">
        <v>146.08571475700001</v>
      </c>
      <c r="D5975">
        <v>-17.642690838299899</v>
      </c>
      <c r="F5975" t="str">
        <f>HYPERLINK("D:\Data From Lucan\2024\Moresby\Frames_for_Analysis/5972_20240611_0009_L_0310.jpg","5972_20240611_0009_L_0310.jpg")</f>
        <v>5972_20240611_0009_L_0310.jpg</v>
      </c>
      <c r="G5975" s="92" t="s">
        <v>6174</v>
      </c>
      <c r="I5975">
        <v>3</v>
      </c>
      <c r="K5975" s="57">
        <v>1</v>
      </c>
      <c r="L5975" t="s">
        <v>3959</v>
      </c>
      <c r="M5975" t="s">
        <v>3959</v>
      </c>
      <c r="N5975" t="s">
        <v>3959</v>
      </c>
      <c r="O5975" t="s">
        <v>3959</v>
      </c>
      <c r="P5975" s="57">
        <v>1</v>
      </c>
      <c r="Q5975" s="57">
        <v>0</v>
      </c>
      <c r="R5975" s="57">
        <v>0</v>
      </c>
      <c r="S5975" s="57">
        <v>0</v>
      </c>
      <c r="T5975" s="57">
        <v>0</v>
      </c>
      <c r="U5975" s="57">
        <v>0</v>
      </c>
      <c r="V5975" s="57">
        <v>0</v>
      </c>
      <c r="W5975" s="57">
        <v>0</v>
      </c>
      <c r="X5975" s="57">
        <v>0</v>
      </c>
    </row>
    <row r="5976" spans="1:24" hidden="1" x14ac:dyDescent="0.35">
      <c r="A5976">
        <v>5972</v>
      </c>
      <c r="B5976">
        <v>5973</v>
      </c>
      <c r="C5976">
        <v>146.08580053700001</v>
      </c>
      <c r="D5976">
        <v>-17.6427162594</v>
      </c>
      <c r="F5976" t="str">
        <f>HYPERLINK("D:\Data From Lucan\2024\Moresby\Frames_for_Analysis/5973_20240611_0009_L_0314.jpg","5973_20240611_0009_L_0314.jpg")</f>
        <v>5973_20240611_0009_L_0314.jpg</v>
      </c>
      <c r="G5976" s="92" t="s">
        <v>6175</v>
      </c>
      <c r="I5976">
        <v>3</v>
      </c>
      <c r="K5976" s="57">
        <v>1</v>
      </c>
      <c r="L5976" t="s">
        <v>3959</v>
      </c>
      <c r="M5976" t="s">
        <v>3959</v>
      </c>
      <c r="N5976" t="s">
        <v>3959</v>
      </c>
      <c r="O5976" t="s">
        <v>3959</v>
      </c>
      <c r="P5976" s="57">
        <v>1</v>
      </c>
      <c r="Q5976" s="57">
        <v>0</v>
      </c>
      <c r="R5976" s="57">
        <v>0</v>
      </c>
      <c r="S5976" s="57">
        <v>0</v>
      </c>
      <c r="T5976" s="57">
        <v>0</v>
      </c>
      <c r="U5976" s="57">
        <v>0</v>
      </c>
      <c r="V5976" s="57">
        <v>0</v>
      </c>
      <c r="W5976" s="57">
        <v>0</v>
      </c>
      <c r="X5976" s="57">
        <v>0</v>
      </c>
    </row>
    <row r="5977" spans="1:24" hidden="1" x14ac:dyDescent="0.35">
      <c r="A5977">
        <v>5973</v>
      </c>
      <c r="B5977">
        <v>5974</v>
      </c>
      <c r="C5977">
        <v>146.085886316</v>
      </c>
      <c r="D5977">
        <v>-17.6427416804</v>
      </c>
      <c r="F5977" t="str">
        <f>HYPERLINK("D:\Data From Lucan\2024\Moresby\Frames_for_Analysis/5974_20240611_0009_L_0317.jpg","5974_20240611_0009_L_0317.jpg")</f>
        <v>5974_20240611_0009_L_0317.jpg</v>
      </c>
      <c r="G5977" s="92" t="s">
        <v>6176</v>
      </c>
      <c r="I5977">
        <v>3</v>
      </c>
      <c r="K5977" s="57">
        <v>1</v>
      </c>
      <c r="L5977" t="s">
        <v>3959</v>
      </c>
      <c r="M5977" t="s">
        <v>3959</v>
      </c>
      <c r="N5977" t="s">
        <v>3959</v>
      </c>
      <c r="O5977" t="s">
        <v>3959</v>
      </c>
      <c r="P5977" s="57">
        <v>1</v>
      </c>
      <c r="Q5977" s="57">
        <v>0</v>
      </c>
      <c r="R5977" s="57">
        <v>0</v>
      </c>
      <c r="S5977" s="57">
        <v>0</v>
      </c>
      <c r="T5977" s="57">
        <v>0</v>
      </c>
      <c r="U5977" s="57">
        <v>0</v>
      </c>
      <c r="V5977" s="57">
        <v>0</v>
      </c>
      <c r="W5977" s="57">
        <v>0</v>
      </c>
      <c r="X5977" s="57">
        <v>0</v>
      </c>
    </row>
    <row r="5978" spans="1:24" hidden="1" x14ac:dyDescent="0.35">
      <c r="A5978">
        <v>5974</v>
      </c>
      <c r="B5978">
        <v>5975</v>
      </c>
      <c r="C5978">
        <v>146.08597209499899</v>
      </c>
      <c r="D5978">
        <v>-17.642767101499899</v>
      </c>
      <c r="F5978" t="str">
        <f>HYPERLINK("D:\Data From Lucan\2024\Moresby\Frames_for_Analysis/5975_20240611_0009_L_0320.jpg","5975_20240611_0009_L_0320.jpg")</f>
        <v>5975_20240611_0009_L_0320.jpg</v>
      </c>
      <c r="G5978" s="92" t="s">
        <v>6177</v>
      </c>
      <c r="I5978">
        <v>3</v>
      </c>
      <c r="K5978" s="57">
        <v>1</v>
      </c>
      <c r="L5978" t="s">
        <v>3959</v>
      </c>
      <c r="M5978" t="s">
        <v>3959</v>
      </c>
      <c r="N5978" t="s">
        <v>3959</v>
      </c>
      <c r="O5978" t="s">
        <v>3959</v>
      </c>
      <c r="P5978" s="57">
        <v>1</v>
      </c>
      <c r="Q5978" s="57">
        <v>0</v>
      </c>
      <c r="R5978" s="57">
        <v>0</v>
      </c>
      <c r="S5978" s="57">
        <v>0</v>
      </c>
      <c r="T5978" s="57">
        <v>0</v>
      </c>
      <c r="U5978" s="57">
        <v>0</v>
      </c>
      <c r="V5978" s="57">
        <v>0</v>
      </c>
      <c r="W5978" s="57">
        <v>0</v>
      </c>
      <c r="X5978" s="57">
        <v>0</v>
      </c>
    </row>
    <row r="5979" spans="1:24" hidden="1" x14ac:dyDescent="0.35">
      <c r="A5979">
        <v>5975</v>
      </c>
      <c r="B5979">
        <v>5976</v>
      </c>
      <c r="C5979">
        <v>146.086057874999</v>
      </c>
      <c r="D5979">
        <v>-17.642792522600001</v>
      </c>
      <c r="F5979" t="str">
        <f>HYPERLINK("D:\Data From Lucan\2024\Moresby\Frames_for_Analysis/5976_20240611_0009_L_0325.jpg","5976_20240611_0009_L_0325.jpg")</f>
        <v>5976_20240611_0009_L_0325.jpg</v>
      </c>
      <c r="G5979" s="92" t="s">
        <v>6178</v>
      </c>
      <c r="I5979">
        <v>3</v>
      </c>
      <c r="K5979" s="57">
        <v>1</v>
      </c>
      <c r="L5979" t="s">
        <v>3959</v>
      </c>
      <c r="M5979" t="s">
        <v>3959</v>
      </c>
      <c r="N5979" t="s">
        <v>3959</v>
      </c>
      <c r="O5979" t="s">
        <v>3959</v>
      </c>
      <c r="P5979" s="57">
        <v>1</v>
      </c>
      <c r="Q5979" s="57">
        <v>0</v>
      </c>
      <c r="R5979" s="57">
        <v>0</v>
      </c>
      <c r="S5979" s="57">
        <v>0</v>
      </c>
      <c r="T5979" s="57">
        <v>0</v>
      </c>
      <c r="U5979" s="57">
        <v>0</v>
      </c>
      <c r="V5979" s="57">
        <v>0</v>
      </c>
      <c r="W5979" s="57">
        <v>0</v>
      </c>
      <c r="X5979" s="57">
        <v>0</v>
      </c>
    </row>
    <row r="5980" spans="1:24" hidden="1" x14ac:dyDescent="0.35">
      <c r="A5980">
        <v>5976</v>
      </c>
      <c r="B5980">
        <v>5977</v>
      </c>
      <c r="C5980">
        <v>146.08614365400001</v>
      </c>
      <c r="D5980">
        <v>-17.6428179436999</v>
      </c>
      <c r="F5980" t="str">
        <f>HYPERLINK("D:\Data From Lucan\2024\Moresby\Frames_for_Analysis/5977_20240611_0009_L_0329.jpg","5977_20240611_0009_L_0329.jpg")</f>
        <v>5977_20240611_0009_L_0329.jpg</v>
      </c>
      <c r="G5980" s="92" t="s">
        <v>6179</v>
      </c>
      <c r="I5980">
        <v>3</v>
      </c>
      <c r="K5980" s="57">
        <v>1</v>
      </c>
      <c r="L5980" t="s">
        <v>3959</v>
      </c>
      <c r="M5980" t="s">
        <v>3959</v>
      </c>
      <c r="N5980" t="s">
        <v>3959</v>
      </c>
      <c r="O5980" t="s">
        <v>3959</v>
      </c>
      <c r="P5980" s="57">
        <v>1</v>
      </c>
      <c r="Q5980" s="57">
        <v>0</v>
      </c>
      <c r="R5980" s="57">
        <v>0</v>
      </c>
      <c r="S5980" s="57">
        <v>0</v>
      </c>
      <c r="T5980" s="57">
        <v>0</v>
      </c>
      <c r="U5980" s="57">
        <v>0</v>
      </c>
      <c r="V5980" s="57">
        <v>0</v>
      </c>
      <c r="W5980" s="57">
        <v>0</v>
      </c>
      <c r="X5980" s="57">
        <v>0</v>
      </c>
    </row>
    <row r="5981" spans="1:24" hidden="1" x14ac:dyDescent="0.35">
      <c r="A5981">
        <v>5977</v>
      </c>
      <c r="B5981">
        <v>5978</v>
      </c>
      <c r="C5981">
        <v>146.08623041000001</v>
      </c>
      <c r="D5981">
        <v>-17.642839868100001</v>
      </c>
      <c r="F5981" t="str">
        <f>HYPERLINK("D:\Data From Lucan\2024\Moresby\Frames_for_Analysis/5978_20240611_0009_L_0333.jpg","5978_20240611_0009_L_0333.jpg")</f>
        <v>5978_20240611_0009_L_0333.jpg</v>
      </c>
      <c r="G5981" s="92" t="s">
        <v>6180</v>
      </c>
      <c r="I5981">
        <v>3</v>
      </c>
      <c r="K5981" s="57">
        <v>1</v>
      </c>
      <c r="L5981" t="s">
        <v>3959</v>
      </c>
      <c r="M5981" t="s">
        <v>3959</v>
      </c>
      <c r="N5981" t="s">
        <v>3959</v>
      </c>
      <c r="O5981" t="s">
        <v>3959</v>
      </c>
      <c r="P5981" s="57">
        <v>1</v>
      </c>
      <c r="Q5981" s="57">
        <v>0</v>
      </c>
      <c r="R5981" s="57">
        <v>0</v>
      </c>
      <c r="S5981" s="57">
        <v>0</v>
      </c>
      <c r="T5981" s="57">
        <v>0</v>
      </c>
      <c r="U5981" s="57">
        <v>0</v>
      </c>
      <c r="V5981" s="57">
        <v>0</v>
      </c>
      <c r="W5981" s="57">
        <v>0</v>
      </c>
      <c r="X5981" s="57">
        <v>0</v>
      </c>
    </row>
    <row r="5982" spans="1:24" hidden="1" x14ac:dyDescent="0.35">
      <c r="A5982">
        <v>5978</v>
      </c>
      <c r="B5982">
        <v>5979</v>
      </c>
      <c r="C5982">
        <v>146.08631810399899</v>
      </c>
      <c r="D5982">
        <v>-17.6428584292</v>
      </c>
      <c r="F5982" t="str">
        <f>HYPERLINK("D:\Data From Lucan\2024\Moresby\Frames_for_Analysis/5979_20240611_0009_L_0342.jpg","5979_20240611_0009_L_0342.jpg")</f>
        <v>5979_20240611_0009_L_0342.jpg</v>
      </c>
      <c r="G5982" s="92" t="s">
        <v>6181</v>
      </c>
      <c r="I5982">
        <v>3</v>
      </c>
      <c r="K5982" s="57">
        <v>1</v>
      </c>
      <c r="L5982" t="s">
        <v>3959</v>
      </c>
      <c r="M5982" t="s">
        <v>3959</v>
      </c>
      <c r="N5982" t="s">
        <v>3959</v>
      </c>
      <c r="O5982" t="s">
        <v>3959</v>
      </c>
      <c r="P5982" s="57">
        <v>1</v>
      </c>
      <c r="Q5982" s="57">
        <v>0</v>
      </c>
      <c r="R5982" s="57">
        <v>0</v>
      </c>
      <c r="S5982" s="57">
        <v>0</v>
      </c>
      <c r="T5982" s="57">
        <v>0</v>
      </c>
      <c r="U5982" s="57">
        <v>0</v>
      </c>
      <c r="V5982" s="57">
        <v>0</v>
      </c>
      <c r="W5982" s="57">
        <v>0</v>
      </c>
      <c r="X5982" s="57">
        <v>0</v>
      </c>
    </row>
    <row r="5983" spans="1:24" hidden="1" x14ac:dyDescent="0.35">
      <c r="A5983">
        <v>5979</v>
      </c>
      <c r="B5983">
        <v>5980</v>
      </c>
      <c r="C5983">
        <v>146.086405799</v>
      </c>
      <c r="D5983">
        <v>-17.642876990200001</v>
      </c>
      <c r="F5983" t="str">
        <f>HYPERLINK("D:\Data From Lucan\2024\Moresby\Frames_for_Analysis/5980_20240611_0009_L_0350.jpg","5980_20240611_0009_L_0350.jpg")</f>
        <v>5980_20240611_0009_L_0350.jpg</v>
      </c>
      <c r="G5983" s="92" t="s">
        <v>6182</v>
      </c>
      <c r="I5983">
        <v>3</v>
      </c>
      <c r="K5983" s="57">
        <v>1</v>
      </c>
      <c r="L5983" t="s">
        <v>3959</v>
      </c>
      <c r="M5983" t="s">
        <v>3959</v>
      </c>
      <c r="N5983" t="s">
        <v>3959</v>
      </c>
      <c r="O5983" t="s">
        <v>3959</v>
      </c>
      <c r="P5983" s="57">
        <v>1</v>
      </c>
      <c r="Q5983" s="57">
        <v>0</v>
      </c>
      <c r="R5983" s="57">
        <v>0</v>
      </c>
      <c r="S5983" s="57">
        <v>0</v>
      </c>
      <c r="T5983" s="57">
        <v>0</v>
      </c>
      <c r="U5983" s="57">
        <v>0</v>
      </c>
      <c r="V5983" s="57">
        <v>0</v>
      </c>
      <c r="W5983" s="57">
        <v>0</v>
      </c>
      <c r="X5983" s="57">
        <v>0</v>
      </c>
    </row>
    <row r="5984" spans="1:24" hidden="1" x14ac:dyDescent="0.35">
      <c r="A5984">
        <v>5980</v>
      </c>
      <c r="B5984">
        <v>5981</v>
      </c>
      <c r="C5984">
        <v>146.086493493999</v>
      </c>
      <c r="D5984">
        <v>-17.642895551199899</v>
      </c>
      <c r="F5984" t="str">
        <f>HYPERLINK("D:\Data From Lucan\2024\Moresby\Frames_for_Analysis/5981_20240611_0009_L_0357.jpg","5981_20240611_0009_L_0357.jpg")</f>
        <v>5981_20240611_0009_L_0357.jpg</v>
      </c>
      <c r="G5984" s="92" t="s">
        <v>6183</v>
      </c>
      <c r="I5984">
        <v>3</v>
      </c>
      <c r="K5984" s="57">
        <v>1</v>
      </c>
      <c r="L5984" t="s">
        <v>3959</v>
      </c>
      <c r="M5984" t="s">
        <v>3959</v>
      </c>
      <c r="N5984" t="s">
        <v>3959</v>
      </c>
      <c r="O5984" t="s">
        <v>3959</v>
      </c>
      <c r="P5984" s="57">
        <v>1</v>
      </c>
      <c r="Q5984" s="57">
        <v>0</v>
      </c>
      <c r="R5984" s="57">
        <v>0</v>
      </c>
      <c r="S5984" s="57">
        <v>0</v>
      </c>
      <c r="T5984" s="57">
        <v>0</v>
      </c>
      <c r="U5984" s="57">
        <v>0</v>
      </c>
      <c r="V5984" s="57">
        <v>0</v>
      </c>
      <c r="W5984" s="57">
        <v>0</v>
      </c>
      <c r="X5984" s="57">
        <v>0</v>
      </c>
    </row>
    <row r="5985" spans="1:24" hidden="1" x14ac:dyDescent="0.35">
      <c r="A5985">
        <v>5981</v>
      </c>
      <c r="B5985">
        <v>5982</v>
      </c>
      <c r="C5985">
        <v>146.086582268</v>
      </c>
      <c r="D5985">
        <v>-17.642902069600002</v>
      </c>
      <c r="F5985" t="str">
        <f>HYPERLINK("D:\Data From Lucan\2024\Moresby\Frames_for_Analysis/5982_20240611_0009_L_0362.jpg","5982_20240611_0009_L_0362.jpg")</f>
        <v>5982_20240611_0009_L_0362.jpg</v>
      </c>
      <c r="G5985" s="92" t="s">
        <v>6184</v>
      </c>
      <c r="I5985">
        <v>3</v>
      </c>
      <c r="K5985" s="57">
        <v>1</v>
      </c>
      <c r="L5985" t="s">
        <v>3959</v>
      </c>
      <c r="M5985" t="s">
        <v>3959</v>
      </c>
      <c r="N5985" t="s">
        <v>3959</v>
      </c>
      <c r="O5985" t="s">
        <v>3959</v>
      </c>
      <c r="P5985" s="57">
        <v>1</v>
      </c>
      <c r="Q5985" s="57">
        <v>0</v>
      </c>
      <c r="R5985" s="57">
        <v>0</v>
      </c>
      <c r="S5985" s="57">
        <v>0</v>
      </c>
      <c r="T5985" s="57">
        <v>0</v>
      </c>
      <c r="U5985" s="57">
        <v>0</v>
      </c>
      <c r="V5985" s="57">
        <v>0</v>
      </c>
      <c r="W5985" s="57">
        <v>0</v>
      </c>
      <c r="X5985" s="57">
        <v>0</v>
      </c>
    </row>
    <row r="5986" spans="1:24" hidden="1" x14ac:dyDescent="0.35">
      <c r="A5986">
        <v>5982</v>
      </c>
      <c r="B5986">
        <v>5983</v>
      </c>
      <c r="C5986">
        <v>146.08667199600001</v>
      </c>
      <c r="D5986">
        <v>-17.642897958199899</v>
      </c>
      <c r="F5986" t="str">
        <f>HYPERLINK("D:\Data From Lucan\2024\Moresby\Frames_for_Analysis/5983_20240611_0004_R_1180.jpg","5983_20240611_0004_R_1180.jpg")</f>
        <v>5983_20240611_0004_R_1180.jpg</v>
      </c>
      <c r="G5986" s="92" t="s">
        <v>6185</v>
      </c>
      <c r="I5986">
        <v>3</v>
      </c>
      <c r="K5986" s="57">
        <v>1</v>
      </c>
      <c r="L5986" t="s">
        <v>3959</v>
      </c>
      <c r="M5986" t="s">
        <v>3959</v>
      </c>
      <c r="N5986" t="s">
        <v>3959</v>
      </c>
      <c r="O5986" t="s">
        <v>3959</v>
      </c>
      <c r="P5986" s="57">
        <v>1</v>
      </c>
      <c r="Q5986" s="57">
        <v>0</v>
      </c>
      <c r="R5986" s="57">
        <v>0</v>
      </c>
      <c r="S5986" s="57">
        <v>0</v>
      </c>
      <c r="T5986" s="57">
        <v>0</v>
      </c>
      <c r="U5986" s="57">
        <v>0</v>
      </c>
      <c r="V5986" s="57">
        <v>0</v>
      </c>
      <c r="W5986" s="57">
        <v>0</v>
      </c>
      <c r="X5986" s="57">
        <v>0</v>
      </c>
    </row>
    <row r="5987" spans="1:24" hidden="1" x14ac:dyDescent="0.35">
      <c r="A5987">
        <v>5983</v>
      </c>
      <c r="B5987">
        <v>5984</v>
      </c>
      <c r="C5987">
        <v>146.08676172400001</v>
      </c>
      <c r="D5987">
        <v>-17.6428938466</v>
      </c>
      <c r="F5987" t="str">
        <f>HYPERLINK("D:\Data From Lucan\2024\Moresby\Frames_for_Analysis/5984_20240611_0009_L_0370.jpg","5984_20240611_0009_L_0370.jpg")</f>
        <v>5984_20240611_0009_L_0370.jpg</v>
      </c>
      <c r="G5987" s="92" t="s">
        <v>6186</v>
      </c>
      <c r="I5987">
        <v>3</v>
      </c>
      <c r="K5987" s="57">
        <v>1</v>
      </c>
      <c r="L5987" t="s">
        <v>3959</v>
      </c>
      <c r="M5987" t="s">
        <v>3959</v>
      </c>
      <c r="N5987" t="s">
        <v>3959</v>
      </c>
      <c r="O5987" t="s">
        <v>3959</v>
      </c>
      <c r="P5987" s="57">
        <v>1</v>
      </c>
      <c r="Q5987" s="57">
        <v>0</v>
      </c>
      <c r="R5987" s="57">
        <v>0</v>
      </c>
      <c r="S5987" s="57">
        <v>0</v>
      </c>
      <c r="T5987" s="57">
        <v>0</v>
      </c>
      <c r="U5987" s="57">
        <v>0</v>
      </c>
      <c r="V5987" s="57">
        <v>0</v>
      </c>
      <c r="W5987" s="57">
        <v>0</v>
      </c>
      <c r="X5987" s="57">
        <v>0</v>
      </c>
    </row>
    <row r="5988" spans="1:24" hidden="1" x14ac:dyDescent="0.35">
      <c r="A5988">
        <v>5984</v>
      </c>
      <c r="B5988">
        <v>5985</v>
      </c>
      <c r="C5988">
        <v>146.08684519400001</v>
      </c>
      <c r="D5988">
        <v>-17.6428675507</v>
      </c>
      <c r="F5988" t="str">
        <f>HYPERLINK("D:\Data From Lucan\2024\Moresby\Frames_for_Analysis/5985_20240611_0009_L_0374.jpg","5985_20240611_0009_L_0374.jpg")</f>
        <v>5985_20240611_0009_L_0374.jpg</v>
      </c>
      <c r="G5988" s="92" t="s">
        <v>6187</v>
      </c>
      <c r="I5988">
        <v>3</v>
      </c>
      <c r="K5988" s="57">
        <v>1</v>
      </c>
      <c r="L5988" t="s">
        <v>3959</v>
      </c>
      <c r="M5988" t="s">
        <v>3959</v>
      </c>
      <c r="N5988" t="s">
        <v>3959</v>
      </c>
      <c r="O5988" t="s">
        <v>3959</v>
      </c>
      <c r="P5988" s="57">
        <v>1</v>
      </c>
      <c r="Q5988" s="57">
        <v>0</v>
      </c>
      <c r="R5988" s="57">
        <v>0</v>
      </c>
      <c r="S5988" s="57">
        <v>0</v>
      </c>
      <c r="T5988" s="57">
        <v>0</v>
      </c>
      <c r="U5988" s="57">
        <v>0</v>
      </c>
      <c r="V5988" s="57">
        <v>0</v>
      </c>
      <c r="W5988" s="57">
        <v>0</v>
      </c>
      <c r="X5988" s="57">
        <v>0</v>
      </c>
    </row>
    <row r="5989" spans="1:24" hidden="1" x14ac:dyDescent="0.35">
      <c r="A5989">
        <v>5985</v>
      </c>
      <c r="B5989">
        <v>5986</v>
      </c>
      <c r="C5989">
        <v>146.08692499099899</v>
      </c>
      <c r="D5989">
        <v>-17.6428282344</v>
      </c>
      <c r="F5989" t="str">
        <f>HYPERLINK("D:\Data From Lucan\2024\Moresby\Frames_for_Analysis/5986_20240611_0004_R_1171.jpg","5986_20240611_0004_R_1171.jpg")</f>
        <v>5986_20240611_0004_R_1171.jpg</v>
      </c>
      <c r="G5989" s="92" t="s">
        <v>6188</v>
      </c>
      <c r="I5989">
        <v>3</v>
      </c>
      <c r="K5989" s="57">
        <v>1</v>
      </c>
      <c r="L5989" t="s">
        <v>3959</v>
      </c>
      <c r="M5989" t="s">
        <v>3959</v>
      </c>
      <c r="N5989" t="s">
        <v>3959</v>
      </c>
      <c r="O5989" t="s">
        <v>3959</v>
      </c>
      <c r="P5989" s="57">
        <v>1</v>
      </c>
      <c r="Q5989" s="57">
        <v>0</v>
      </c>
      <c r="R5989" s="57">
        <v>0</v>
      </c>
      <c r="S5989" s="57">
        <v>0</v>
      </c>
      <c r="T5989" s="57">
        <v>0</v>
      </c>
      <c r="U5989" s="57">
        <v>0</v>
      </c>
      <c r="V5989" s="57">
        <v>0</v>
      </c>
      <c r="W5989" s="57">
        <v>0</v>
      </c>
      <c r="X5989" s="57">
        <v>0</v>
      </c>
    </row>
    <row r="5990" spans="1:24" hidden="1" x14ac:dyDescent="0.35">
      <c r="A5990">
        <v>5986</v>
      </c>
      <c r="B5990">
        <v>5987</v>
      </c>
      <c r="C5990">
        <v>146.086992441999</v>
      </c>
      <c r="D5990">
        <v>-17.6427749861999</v>
      </c>
      <c r="F5990" t="str">
        <f>HYPERLINK("D:\Data From Lucan\2024\Moresby\Frames_for_Analysis/5987_20240611_0004_R_1167.jpg","5987_20240611_0004_R_1167.jpg")</f>
        <v>5987_20240611_0004_R_1167.jpg</v>
      </c>
      <c r="G5990" s="92" t="s">
        <v>6189</v>
      </c>
      <c r="I5990">
        <v>3</v>
      </c>
      <c r="K5990" s="57">
        <v>1</v>
      </c>
      <c r="L5990" t="s">
        <v>3959</v>
      </c>
      <c r="M5990" t="s">
        <v>3959</v>
      </c>
      <c r="N5990" t="s">
        <v>3959</v>
      </c>
      <c r="O5990" t="s">
        <v>3959</v>
      </c>
      <c r="P5990" s="57">
        <v>1</v>
      </c>
      <c r="Q5990" s="57">
        <v>0</v>
      </c>
      <c r="R5990" s="57">
        <v>0</v>
      </c>
      <c r="S5990" s="57">
        <v>0</v>
      </c>
      <c r="T5990" s="57">
        <v>0</v>
      </c>
      <c r="U5990" s="57">
        <v>0</v>
      </c>
      <c r="V5990" s="57">
        <v>0</v>
      </c>
      <c r="W5990" s="57">
        <v>0</v>
      </c>
      <c r="X5990" s="57">
        <v>0</v>
      </c>
    </row>
    <row r="5991" spans="1:24" hidden="1" x14ac:dyDescent="0.35">
      <c r="A5991">
        <v>5987</v>
      </c>
      <c r="B5991">
        <v>5988</v>
      </c>
      <c r="C5991">
        <v>146.087046477</v>
      </c>
      <c r="D5991">
        <v>-17.6427065988</v>
      </c>
      <c r="F5991" t="str">
        <f>HYPERLINK("D:\Data From Lucan\2024\Moresby\Frames_for_Analysis/5988_20240611_0004_R_1164.jpg","5988_20240611_0004_R_1164.jpg")</f>
        <v>5988_20240611_0004_R_1164.jpg</v>
      </c>
      <c r="G5991" s="92" t="s">
        <v>6190</v>
      </c>
      <c r="I5991">
        <v>3</v>
      </c>
      <c r="K5991" s="57">
        <v>1</v>
      </c>
      <c r="L5991" t="s">
        <v>3959</v>
      </c>
      <c r="M5991" t="s">
        <v>3959</v>
      </c>
      <c r="N5991" t="s">
        <v>3959</v>
      </c>
      <c r="O5991" t="s">
        <v>3959</v>
      </c>
      <c r="P5991" s="57">
        <v>1</v>
      </c>
      <c r="Q5991" s="57">
        <v>0</v>
      </c>
      <c r="R5991" s="57">
        <v>0</v>
      </c>
      <c r="S5991" s="57">
        <v>0</v>
      </c>
      <c r="T5991" s="57">
        <v>0</v>
      </c>
      <c r="U5991" s="57">
        <v>0</v>
      </c>
      <c r="V5991" s="57">
        <v>0</v>
      </c>
      <c r="W5991" s="57">
        <v>0</v>
      </c>
      <c r="X5991" s="57">
        <v>0</v>
      </c>
    </row>
    <row r="5992" spans="1:24" hidden="1" x14ac:dyDescent="0.35">
      <c r="A5992">
        <v>5988</v>
      </c>
      <c r="B5992">
        <v>5989</v>
      </c>
      <c r="C5992">
        <v>146.087100512999</v>
      </c>
      <c r="D5992">
        <v>-17.6426382113</v>
      </c>
      <c r="F5992" t="str">
        <f>HYPERLINK("D:\Data From Lucan\2024\Moresby\Frames_for_Analysis/5989_20240611_0004_R_1160.jpg","5989_20240611_0004_R_1160.jpg")</f>
        <v>5989_20240611_0004_R_1160.jpg</v>
      </c>
      <c r="G5992" s="92" t="s">
        <v>6191</v>
      </c>
      <c r="I5992">
        <v>3</v>
      </c>
      <c r="K5992" s="57">
        <v>1</v>
      </c>
      <c r="L5992" t="s">
        <v>3959</v>
      </c>
      <c r="M5992" t="s">
        <v>3959</v>
      </c>
      <c r="N5992" t="s">
        <v>3959</v>
      </c>
      <c r="O5992" t="s">
        <v>3959</v>
      </c>
      <c r="P5992" s="57">
        <v>1</v>
      </c>
      <c r="Q5992" s="57">
        <v>0</v>
      </c>
      <c r="R5992" s="57">
        <v>0</v>
      </c>
      <c r="S5992" s="57">
        <v>0</v>
      </c>
      <c r="T5992" s="57">
        <v>0</v>
      </c>
      <c r="U5992" s="57">
        <v>0</v>
      </c>
      <c r="V5992" s="57">
        <v>0</v>
      </c>
      <c r="W5992" s="57">
        <v>0</v>
      </c>
      <c r="X5992" s="57">
        <v>0</v>
      </c>
    </row>
    <row r="5993" spans="1:24" hidden="1" x14ac:dyDescent="0.35">
      <c r="A5993">
        <v>5989</v>
      </c>
      <c r="B5993">
        <v>5990</v>
      </c>
      <c r="C5993">
        <v>146.087154548</v>
      </c>
      <c r="D5993">
        <v>-17.642569823799899</v>
      </c>
      <c r="F5993" t="str">
        <f>HYPERLINK("D:\Data From Lucan\2024\Moresby\Frames_for_Analysis/5990_20240611_0004_R_1157.jpg","5990_20240611_0004_R_1157.jpg")</f>
        <v>5990_20240611_0004_R_1157.jpg</v>
      </c>
      <c r="G5993" s="92" t="s">
        <v>6192</v>
      </c>
      <c r="I5993">
        <v>3</v>
      </c>
      <c r="K5993" s="57">
        <v>1</v>
      </c>
      <c r="L5993" t="s">
        <v>3959</v>
      </c>
      <c r="M5993" t="s">
        <v>3959</v>
      </c>
      <c r="N5993" t="s">
        <v>3959</v>
      </c>
      <c r="O5993" t="s">
        <v>3959</v>
      </c>
      <c r="P5993" s="57">
        <v>1</v>
      </c>
      <c r="Q5993" s="57">
        <v>0</v>
      </c>
      <c r="R5993" s="57">
        <v>0</v>
      </c>
      <c r="S5993" s="57">
        <v>0</v>
      </c>
      <c r="T5993" s="57">
        <v>0</v>
      </c>
      <c r="U5993" s="57">
        <v>0</v>
      </c>
      <c r="V5993" s="57">
        <v>0</v>
      </c>
      <c r="W5993" s="57">
        <v>0</v>
      </c>
      <c r="X5993" s="57">
        <v>0</v>
      </c>
    </row>
    <row r="5994" spans="1:24" hidden="1" x14ac:dyDescent="0.35">
      <c r="A5994">
        <v>5990</v>
      </c>
      <c r="B5994">
        <v>5991</v>
      </c>
      <c r="C5994">
        <v>146.087203977</v>
      </c>
      <c r="D5994">
        <v>-17.6424988361</v>
      </c>
      <c r="F5994" t="str">
        <f>HYPERLINK("D:\Data From Lucan\2024\Moresby\Frames_for_Analysis/5991_20240611_0004_R_1154.jpg","5991_20240611_0004_R_1154.jpg")</f>
        <v>5991_20240611_0004_R_1154.jpg</v>
      </c>
      <c r="G5994" s="92" t="s">
        <v>6193</v>
      </c>
      <c r="I5994">
        <v>3</v>
      </c>
      <c r="K5994" s="57">
        <v>1</v>
      </c>
      <c r="L5994" t="s">
        <v>3959</v>
      </c>
      <c r="M5994" t="s">
        <v>3959</v>
      </c>
      <c r="N5994" t="s">
        <v>3959</v>
      </c>
      <c r="O5994" t="s">
        <v>3959</v>
      </c>
      <c r="P5994" s="57">
        <v>1</v>
      </c>
      <c r="Q5994" s="57">
        <v>0</v>
      </c>
      <c r="R5994" s="57">
        <v>0</v>
      </c>
      <c r="S5994" s="57">
        <v>0</v>
      </c>
      <c r="T5994" s="57">
        <v>0</v>
      </c>
      <c r="U5994" s="57">
        <v>0</v>
      </c>
      <c r="V5994" s="57">
        <v>0</v>
      </c>
      <c r="W5994" s="57">
        <v>0</v>
      </c>
      <c r="X5994" s="57">
        <v>0</v>
      </c>
    </row>
    <row r="5995" spans="1:24" hidden="1" x14ac:dyDescent="0.35">
      <c r="A5995">
        <v>5991</v>
      </c>
      <c r="B5995">
        <v>5992</v>
      </c>
      <c r="C5995">
        <v>146.08724094799899</v>
      </c>
      <c r="D5995">
        <v>-17.642420815800001</v>
      </c>
      <c r="F5995" t="str">
        <f>HYPERLINK("D:\Data From Lucan\2024\Moresby\Frames_for_Analysis/5992_20240611_0004_R_1150.jpg","5992_20240611_0004_R_1150.jpg")</f>
        <v>5992_20240611_0004_R_1150.jpg</v>
      </c>
      <c r="G5995" s="92" t="s">
        <v>6194</v>
      </c>
      <c r="I5995">
        <v>3</v>
      </c>
      <c r="K5995" s="57">
        <v>1</v>
      </c>
      <c r="L5995" t="s">
        <v>3959</v>
      </c>
      <c r="M5995" t="s">
        <v>3959</v>
      </c>
      <c r="N5995" t="s">
        <v>3959</v>
      </c>
      <c r="O5995" t="s">
        <v>3959</v>
      </c>
      <c r="P5995" s="57">
        <v>1</v>
      </c>
      <c r="Q5995" s="57">
        <v>0</v>
      </c>
      <c r="R5995" s="57">
        <v>0</v>
      </c>
      <c r="S5995" s="57">
        <v>0</v>
      </c>
      <c r="T5995" s="57">
        <v>0</v>
      </c>
      <c r="U5995" s="57">
        <v>0</v>
      </c>
      <c r="V5995" s="57">
        <v>0</v>
      </c>
      <c r="W5995" s="57">
        <v>0</v>
      </c>
      <c r="X5995" s="57">
        <v>0</v>
      </c>
    </row>
    <row r="5996" spans="1:24" hidden="1" x14ac:dyDescent="0.35">
      <c r="A5996">
        <v>5992</v>
      </c>
      <c r="B5996">
        <v>5993</v>
      </c>
      <c r="C5996">
        <v>146.087277919</v>
      </c>
      <c r="D5996">
        <v>-17.6423427954999</v>
      </c>
      <c r="F5996" t="str">
        <f>HYPERLINK("D:\Data From Lucan\2024\Moresby\Frames_for_Analysis/5993_20240611_0004_R_1146.jpg","5993_20240611_0004_R_1146.jpg")</f>
        <v>5993_20240611_0004_R_1146.jpg</v>
      </c>
      <c r="G5996" s="92" t="s">
        <v>6195</v>
      </c>
      <c r="I5996">
        <v>3</v>
      </c>
      <c r="K5996" s="57">
        <v>1</v>
      </c>
      <c r="L5996" t="s">
        <v>3959</v>
      </c>
      <c r="M5996" t="s">
        <v>3959</v>
      </c>
      <c r="N5996" t="s">
        <v>3959</v>
      </c>
      <c r="O5996" t="s">
        <v>3959</v>
      </c>
      <c r="P5996" s="57">
        <v>1</v>
      </c>
      <c r="Q5996" s="57">
        <v>0</v>
      </c>
      <c r="R5996" s="57">
        <v>0</v>
      </c>
      <c r="S5996" s="57">
        <v>0</v>
      </c>
      <c r="T5996" s="57">
        <v>0</v>
      </c>
      <c r="U5996" s="57">
        <v>0</v>
      </c>
      <c r="V5996" s="57">
        <v>0</v>
      </c>
      <c r="W5996" s="57">
        <v>0</v>
      </c>
      <c r="X5996" s="57">
        <v>0</v>
      </c>
    </row>
    <row r="5997" spans="1:24" hidden="1" x14ac:dyDescent="0.35">
      <c r="A5997">
        <v>5993</v>
      </c>
      <c r="B5997">
        <v>5994</v>
      </c>
      <c r="C5997">
        <v>146.087314888999</v>
      </c>
      <c r="D5997">
        <v>-17.642264775200001</v>
      </c>
      <c r="F5997" t="str">
        <f>HYPERLINK("D:\Data From Lucan\2024\Moresby\Frames_for_Analysis/5994_20240611_0004_R_1143.jpg","5994_20240611_0004_R_1143.jpg")</f>
        <v>5994_20240611_0004_R_1143.jpg</v>
      </c>
      <c r="G5997" s="92" t="s">
        <v>6196</v>
      </c>
      <c r="I5997">
        <v>3</v>
      </c>
      <c r="K5997" s="57">
        <v>1</v>
      </c>
      <c r="L5997" t="s">
        <v>3959</v>
      </c>
      <c r="M5997" t="s">
        <v>3959</v>
      </c>
      <c r="N5997" t="s">
        <v>3959</v>
      </c>
      <c r="O5997" t="s">
        <v>3959</v>
      </c>
      <c r="P5997" s="57">
        <v>1</v>
      </c>
      <c r="Q5997" s="57">
        <v>0</v>
      </c>
      <c r="R5997" s="57">
        <v>0</v>
      </c>
      <c r="S5997" s="57">
        <v>0</v>
      </c>
      <c r="T5997" s="57">
        <v>0</v>
      </c>
      <c r="U5997" s="57">
        <v>0</v>
      </c>
      <c r="V5997" s="57">
        <v>0</v>
      </c>
      <c r="W5997" s="57">
        <v>0</v>
      </c>
      <c r="X5997" s="57">
        <v>0</v>
      </c>
    </row>
    <row r="5998" spans="1:24" hidden="1" x14ac:dyDescent="0.35">
      <c r="A5998">
        <v>5994</v>
      </c>
      <c r="B5998">
        <v>5995</v>
      </c>
      <c r="C5998">
        <v>146.08735186000001</v>
      </c>
      <c r="D5998">
        <v>-17.642186754800001</v>
      </c>
      <c r="F5998" t="str">
        <f>HYPERLINK("D:\Data From Lucan\2024\Moresby\Frames_for_Analysis/5995_20240611_0004_R_1140.jpg","5995_20240611_0004_R_1140.jpg")</f>
        <v>5995_20240611_0004_R_1140.jpg</v>
      </c>
      <c r="G5998" s="92" t="s">
        <v>6197</v>
      </c>
      <c r="I5998">
        <v>3</v>
      </c>
      <c r="K5998" s="57">
        <v>1</v>
      </c>
      <c r="L5998" t="s">
        <v>3959</v>
      </c>
      <c r="M5998" t="s">
        <v>3959</v>
      </c>
      <c r="N5998" t="s">
        <v>3959</v>
      </c>
      <c r="O5998" t="s">
        <v>3959</v>
      </c>
      <c r="P5998" s="57">
        <v>1</v>
      </c>
      <c r="Q5998" s="57">
        <v>0</v>
      </c>
      <c r="R5998" s="57">
        <v>0</v>
      </c>
      <c r="S5998" s="57">
        <v>0</v>
      </c>
      <c r="T5998" s="57">
        <v>0</v>
      </c>
      <c r="U5998" s="57">
        <v>0</v>
      </c>
      <c r="V5998" s="57">
        <v>0</v>
      </c>
      <c r="W5998" s="57">
        <v>0</v>
      </c>
      <c r="X5998" s="57">
        <v>0</v>
      </c>
    </row>
    <row r="5999" spans="1:24" hidden="1" x14ac:dyDescent="0.35">
      <c r="A5999">
        <v>5995</v>
      </c>
      <c r="B5999">
        <v>5996</v>
      </c>
      <c r="C5999">
        <v>146.087388830999</v>
      </c>
      <c r="D5999">
        <v>-17.642108734400001</v>
      </c>
      <c r="F5999" t="str">
        <f>HYPERLINK("D:\Data From Lucan\2024\Moresby\Frames_for_Analysis/5996_20240611_0004_R_1135.jpg","5996_20240611_0004_R_1135.jpg")</f>
        <v>5996_20240611_0004_R_1135.jpg</v>
      </c>
      <c r="G5999" s="92" t="s">
        <v>6198</v>
      </c>
      <c r="I5999">
        <v>3</v>
      </c>
      <c r="K5999" s="57">
        <v>1</v>
      </c>
      <c r="L5999" t="s">
        <v>3959</v>
      </c>
      <c r="M5999" t="s">
        <v>3959</v>
      </c>
      <c r="N5999" t="s">
        <v>3959</v>
      </c>
      <c r="O5999" t="s">
        <v>3959</v>
      </c>
      <c r="P5999" s="57">
        <v>1</v>
      </c>
      <c r="Q5999" s="57">
        <v>0</v>
      </c>
      <c r="R5999" s="57">
        <v>0</v>
      </c>
      <c r="S5999" s="57">
        <v>0</v>
      </c>
      <c r="T5999" s="57">
        <v>0</v>
      </c>
      <c r="U5999" s="57">
        <v>0</v>
      </c>
      <c r="V5999" s="57">
        <v>0</v>
      </c>
      <c r="W5999" s="57">
        <v>0</v>
      </c>
      <c r="X5999" s="57">
        <v>0</v>
      </c>
    </row>
    <row r="6000" spans="1:24" hidden="1" x14ac:dyDescent="0.35">
      <c r="A6000">
        <v>5996</v>
      </c>
      <c r="B6000">
        <v>5997</v>
      </c>
      <c r="C6000">
        <v>146.08742580200001</v>
      </c>
      <c r="D6000">
        <v>-17.642030714000001</v>
      </c>
      <c r="F6000" t="str">
        <f>HYPERLINK("D:\Data From Lucan\2024\Moresby\Frames_for_Analysis/5997_20240611_0004_R_1133.jpg","5997_20240611_0004_R_1133.jpg")</f>
        <v>5997_20240611_0004_R_1133.jpg</v>
      </c>
      <c r="G6000" s="92" t="s">
        <v>6199</v>
      </c>
      <c r="I6000">
        <v>3</v>
      </c>
      <c r="K6000" s="57">
        <v>1</v>
      </c>
      <c r="L6000" t="s">
        <v>3959</v>
      </c>
      <c r="M6000" t="s">
        <v>3959</v>
      </c>
      <c r="N6000" t="s">
        <v>3959</v>
      </c>
      <c r="O6000" t="s">
        <v>3959</v>
      </c>
      <c r="P6000" s="57">
        <v>1</v>
      </c>
      <c r="Q6000" s="57">
        <v>0</v>
      </c>
      <c r="R6000" s="57">
        <v>0</v>
      </c>
      <c r="S6000" s="57">
        <v>0</v>
      </c>
      <c r="T6000" s="57">
        <v>0</v>
      </c>
      <c r="U6000" s="57">
        <v>0</v>
      </c>
      <c r="V6000" s="57">
        <v>0</v>
      </c>
      <c r="W6000" s="57">
        <v>0</v>
      </c>
      <c r="X6000" s="57">
        <v>0</v>
      </c>
    </row>
    <row r="6001" spans="1:24" hidden="1" x14ac:dyDescent="0.35">
      <c r="A6001">
        <v>5997</v>
      </c>
      <c r="B6001">
        <v>5998</v>
      </c>
      <c r="C6001">
        <v>146.087462772999</v>
      </c>
      <c r="D6001">
        <v>-17.641952693499899</v>
      </c>
      <c r="F6001" t="str">
        <f>HYPERLINK("D:\Data From Lucan\2024\Moresby\Frames_for_Analysis/5998_20240611_0004_R_1131.jpg","5998_20240611_0004_R_1131.jpg")</f>
        <v>5998_20240611_0004_R_1131.jpg</v>
      </c>
      <c r="G6001" s="92" t="s">
        <v>6200</v>
      </c>
      <c r="I6001">
        <v>3</v>
      </c>
      <c r="K6001" s="57">
        <v>1</v>
      </c>
      <c r="L6001" t="s">
        <v>3959</v>
      </c>
      <c r="M6001" t="s">
        <v>3959</v>
      </c>
      <c r="N6001" t="s">
        <v>3959</v>
      </c>
      <c r="O6001" t="s">
        <v>3959</v>
      </c>
      <c r="P6001" s="57">
        <v>1</v>
      </c>
      <c r="Q6001" s="57">
        <v>0</v>
      </c>
      <c r="R6001" s="57">
        <v>0</v>
      </c>
      <c r="S6001" s="57">
        <v>0</v>
      </c>
      <c r="T6001" s="57">
        <v>0</v>
      </c>
      <c r="U6001" s="57">
        <v>0</v>
      </c>
      <c r="V6001" s="57">
        <v>0</v>
      </c>
      <c r="W6001" s="57">
        <v>0</v>
      </c>
      <c r="X6001" s="57">
        <v>0</v>
      </c>
    </row>
    <row r="6002" spans="1:24" hidden="1" x14ac:dyDescent="0.35">
      <c r="A6002">
        <v>5998</v>
      </c>
      <c r="B6002">
        <v>5999</v>
      </c>
      <c r="C6002">
        <v>146.08749974400001</v>
      </c>
      <c r="D6002">
        <v>-17.641874673</v>
      </c>
      <c r="F6002" t="str">
        <f>HYPERLINK("D:\Data From Lucan\2024\Moresby\Frames_for_Analysis/5999_20240611_0004_R_1128.jpg","5999_20240611_0004_R_1128.jpg")</f>
        <v>5999_20240611_0004_R_1128.jpg</v>
      </c>
      <c r="G6002" s="92" t="s">
        <v>6201</v>
      </c>
      <c r="I6002">
        <v>3</v>
      </c>
      <c r="K6002" s="57">
        <v>1</v>
      </c>
      <c r="L6002" t="s">
        <v>3959</v>
      </c>
      <c r="M6002" t="s">
        <v>3959</v>
      </c>
      <c r="N6002" t="s">
        <v>3959</v>
      </c>
      <c r="O6002" t="s">
        <v>3959</v>
      </c>
      <c r="P6002" s="57">
        <v>1</v>
      </c>
      <c r="Q6002" s="57">
        <v>0</v>
      </c>
      <c r="R6002" s="57">
        <v>0</v>
      </c>
      <c r="S6002" s="57">
        <v>0</v>
      </c>
      <c r="T6002" s="57">
        <v>0</v>
      </c>
      <c r="U6002" s="57">
        <v>0</v>
      </c>
      <c r="V6002" s="57">
        <v>0</v>
      </c>
      <c r="W6002" s="57">
        <v>0</v>
      </c>
      <c r="X6002" s="57">
        <v>0</v>
      </c>
    </row>
    <row r="6003" spans="1:24" hidden="1" x14ac:dyDescent="0.35">
      <c r="A6003">
        <v>5999</v>
      </c>
      <c r="B6003">
        <v>6000</v>
      </c>
      <c r="C6003">
        <v>146.087536714999</v>
      </c>
      <c r="D6003">
        <v>-17.6417966524</v>
      </c>
      <c r="F6003" t="str">
        <f>HYPERLINK("D:\Data From Lucan\2024\Moresby\Frames_for_Analysis/6000_20240611_0004_R_1126.jpg","6000_20240611_0004_R_1126.jpg")</f>
        <v>6000_20240611_0004_R_1126.jpg</v>
      </c>
      <c r="G6003" s="92" t="s">
        <v>6202</v>
      </c>
      <c r="I6003">
        <v>3</v>
      </c>
      <c r="K6003" s="57">
        <v>1</v>
      </c>
      <c r="L6003" t="s">
        <v>3959</v>
      </c>
      <c r="M6003" t="s">
        <v>3959</v>
      </c>
      <c r="N6003" t="s">
        <v>3959</v>
      </c>
      <c r="O6003" t="s">
        <v>3959</v>
      </c>
      <c r="P6003" s="57">
        <v>1</v>
      </c>
      <c r="Q6003" s="57">
        <v>0</v>
      </c>
      <c r="R6003" s="57">
        <v>0</v>
      </c>
      <c r="S6003" s="57">
        <v>0</v>
      </c>
      <c r="T6003" s="57">
        <v>0</v>
      </c>
      <c r="U6003" s="57">
        <v>0</v>
      </c>
      <c r="V6003" s="57">
        <v>0</v>
      </c>
      <c r="W6003" s="57">
        <v>0</v>
      </c>
      <c r="X6003" s="57">
        <v>0</v>
      </c>
    </row>
    <row r="6004" spans="1:24" hidden="1" x14ac:dyDescent="0.35">
      <c r="A6004">
        <v>6000</v>
      </c>
      <c r="B6004">
        <v>6001</v>
      </c>
      <c r="C6004">
        <v>146.08757368600001</v>
      </c>
      <c r="D6004">
        <v>-17.6417186318</v>
      </c>
      <c r="F6004" t="str">
        <f>HYPERLINK("D:\Data From Lucan\2024\Moresby\Frames_for_Analysis/6001_20240611_0004_R_1123.jpg","6001_20240611_0004_R_1123.jpg")</f>
        <v>6001_20240611_0004_R_1123.jpg</v>
      </c>
      <c r="G6004" s="92" t="s">
        <v>6203</v>
      </c>
      <c r="I6004">
        <v>3</v>
      </c>
      <c r="K6004" s="57">
        <v>1</v>
      </c>
      <c r="L6004" t="s">
        <v>3959</v>
      </c>
      <c r="M6004" t="s">
        <v>3959</v>
      </c>
      <c r="N6004" t="s">
        <v>3959</v>
      </c>
      <c r="O6004" t="s">
        <v>3959</v>
      </c>
      <c r="P6004" s="57">
        <v>1</v>
      </c>
      <c r="Q6004" s="57">
        <v>0</v>
      </c>
      <c r="R6004" s="57">
        <v>0</v>
      </c>
      <c r="S6004" s="57">
        <v>0</v>
      </c>
      <c r="T6004" s="57">
        <v>0</v>
      </c>
      <c r="U6004" s="57">
        <v>0</v>
      </c>
      <c r="V6004" s="57">
        <v>0</v>
      </c>
      <c r="W6004" s="57">
        <v>0</v>
      </c>
      <c r="X6004" s="57">
        <v>0</v>
      </c>
    </row>
    <row r="6005" spans="1:24" hidden="1" x14ac:dyDescent="0.35">
      <c r="A6005">
        <v>6001</v>
      </c>
      <c r="B6005">
        <v>6002</v>
      </c>
      <c r="C6005">
        <v>146.087610656999</v>
      </c>
      <c r="D6005">
        <v>-17.6416406112</v>
      </c>
      <c r="F6005" t="str">
        <f>HYPERLINK("D:\Data From Lucan\2024\Moresby\Frames_for_Analysis/6002_20240611_0004_R_1121.jpg","6002_20240611_0004_R_1121.jpg")</f>
        <v>6002_20240611_0004_R_1121.jpg</v>
      </c>
      <c r="G6005" s="92" t="s">
        <v>6204</v>
      </c>
      <c r="I6005">
        <v>3</v>
      </c>
      <c r="K6005" s="57">
        <v>1</v>
      </c>
      <c r="L6005" t="s">
        <v>3959</v>
      </c>
      <c r="M6005" t="s">
        <v>3959</v>
      </c>
      <c r="N6005" t="s">
        <v>3959</v>
      </c>
      <c r="O6005" t="s">
        <v>3959</v>
      </c>
      <c r="P6005" s="57">
        <v>1</v>
      </c>
      <c r="Q6005" s="57">
        <v>0</v>
      </c>
      <c r="R6005" s="57">
        <v>0</v>
      </c>
      <c r="S6005" s="57">
        <v>0</v>
      </c>
      <c r="T6005" s="57">
        <v>0</v>
      </c>
      <c r="U6005" s="57">
        <v>0</v>
      </c>
      <c r="V6005" s="57">
        <v>0</v>
      </c>
      <c r="W6005" s="57">
        <v>0</v>
      </c>
      <c r="X6005" s="57">
        <v>0</v>
      </c>
    </row>
    <row r="6006" spans="1:24" hidden="1" x14ac:dyDescent="0.35">
      <c r="A6006">
        <v>6002</v>
      </c>
      <c r="B6006">
        <v>6003</v>
      </c>
      <c r="C6006">
        <v>146.087641802999</v>
      </c>
      <c r="D6006">
        <v>-17.641560354300001</v>
      </c>
      <c r="F6006" t="str">
        <f>HYPERLINK("D:\Data From Lucan\2024\Moresby\Frames_for_Analysis/6003_20240611_0004_R_1118.jpg","6003_20240611_0004_R_1118.jpg")</f>
        <v>6003_20240611_0004_R_1118.jpg</v>
      </c>
      <c r="G6006" s="92" t="s">
        <v>6205</v>
      </c>
      <c r="I6006">
        <v>3</v>
      </c>
      <c r="K6006" s="57">
        <v>1</v>
      </c>
      <c r="L6006" t="s">
        <v>3959</v>
      </c>
      <c r="M6006" t="s">
        <v>3959</v>
      </c>
      <c r="N6006" t="s">
        <v>3959</v>
      </c>
      <c r="O6006" t="s">
        <v>3959</v>
      </c>
      <c r="P6006" s="57">
        <v>1</v>
      </c>
      <c r="Q6006" s="57">
        <v>0</v>
      </c>
      <c r="R6006" s="57">
        <v>0</v>
      </c>
      <c r="S6006" s="57">
        <v>0</v>
      </c>
      <c r="T6006" s="57">
        <v>0</v>
      </c>
      <c r="U6006" s="57">
        <v>0</v>
      </c>
      <c r="V6006" s="57">
        <v>0</v>
      </c>
      <c r="W6006" s="57">
        <v>0</v>
      </c>
      <c r="X6006" s="57">
        <v>0</v>
      </c>
    </row>
    <row r="6007" spans="1:24" hidden="1" x14ac:dyDescent="0.35">
      <c r="A6007">
        <v>6003</v>
      </c>
      <c r="B6007">
        <v>6004</v>
      </c>
      <c r="C6007">
        <v>146.087671913999</v>
      </c>
      <c r="D6007">
        <v>-17.641479699800001</v>
      </c>
      <c r="F6007" t="str">
        <f>HYPERLINK("D:\Data From Lucan\2024\Moresby\Frames_for_Analysis/6004_20240611_0004_R_1113.jpg","6004_20240611_0004_R_1113.jpg")</f>
        <v>6004_20240611_0004_R_1113.jpg</v>
      </c>
      <c r="G6007" s="92" t="s">
        <v>6206</v>
      </c>
      <c r="I6007">
        <v>3</v>
      </c>
      <c r="K6007" s="57">
        <v>1</v>
      </c>
      <c r="L6007" t="s">
        <v>3959</v>
      </c>
      <c r="M6007" t="s">
        <v>3959</v>
      </c>
      <c r="N6007" t="s">
        <v>3959</v>
      </c>
      <c r="O6007" t="s">
        <v>3959</v>
      </c>
      <c r="P6007" s="57">
        <v>1</v>
      </c>
      <c r="Q6007" s="57">
        <v>0</v>
      </c>
      <c r="R6007" s="57">
        <v>0</v>
      </c>
      <c r="S6007" s="57">
        <v>0</v>
      </c>
      <c r="T6007" s="57">
        <v>0</v>
      </c>
      <c r="U6007" s="57">
        <v>0</v>
      </c>
      <c r="V6007" s="57">
        <v>0</v>
      </c>
      <c r="W6007" s="57">
        <v>0</v>
      </c>
      <c r="X6007" s="57">
        <v>0</v>
      </c>
    </row>
    <row r="6008" spans="1:24" hidden="1" x14ac:dyDescent="0.35">
      <c r="A6008">
        <v>6004</v>
      </c>
      <c r="B6008">
        <v>6005</v>
      </c>
      <c r="C6008">
        <v>146.087702024999</v>
      </c>
      <c r="D6008">
        <v>-17.641399045299899</v>
      </c>
      <c r="F6008" t="str">
        <f>HYPERLINK("D:\Data From Lucan\2024\Moresby\Frames_for_Analysis/6005_20240611_0004_R_1111.jpg","6005_20240611_0004_R_1111.jpg")</f>
        <v>6005_20240611_0004_R_1111.jpg</v>
      </c>
      <c r="G6008" s="92" t="s">
        <v>6207</v>
      </c>
      <c r="I6008">
        <v>3</v>
      </c>
      <c r="K6008" s="57">
        <v>1</v>
      </c>
      <c r="L6008" t="s">
        <v>3959</v>
      </c>
      <c r="M6008" t="s">
        <v>3959</v>
      </c>
      <c r="N6008" t="s">
        <v>3959</v>
      </c>
      <c r="O6008" t="s">
        <v>3959</v>
      </c>
      <c r="P6008" s="57">
        <v>1</v>
      </c>
      <c r="Q6008" s="57">
        <v>0</v>
      </c>
      <c r="R6008" s="57">
        <v>0</v>
      </c>
      <c r="S6008" s="57">
        <v>0</v>
      </c>
      <c r="T6008" s="57">
        <v>0</v>
      </c>
      <c r="U6008" s="57">
        <v>0</v>
      </c>
      <c r="V6008" s="57">
        <v>0</v>
      </c>
      <c r="W6008" s="57">
        <v>0</v>
      </c>
      <c r="X6008" s="57">
        <v>0</v>
      </c>
    </row>
    <row r="6009" spans="1:24" hidden="1" x14ac:dyDescent="0.35">
      <c r="A6009">
        <v>6005</v>
      </c>
      <c r="B6009">
        <v>6006</v>
      </c>
      <c r="C6009">
        <v>146.087732136</v>
      </c>
      <c r="D6009">
        <v>-17.641318390799899</v>
      </c>
      <c r="F6009" t="str">
        <f>HYPERLINK("D:\Data From Lucan\2024\Moresby\Frames_for_Analysis/6006_20240611_0004_R_1109.jpg","6006_20240611_0004_R_1109.jpg")</f>
        <v>6006_20240611_0004_R_1109.jpg</v>
      </c>
      <c r="G6009" s="92" t="s">
        <v>6208</v>
      </c>
      <c r="I6009">
        <v>3</v>
      </c>
      <c r="K6009" s="57">
        <v>1</v>
      </c>
      <c r="L6009" t="s">
        <v>3959</v>
      </c>
      <c r="M6009" t="s">
        <v>3959</v>
      </c>
      <c r="N6009" t="s">
        <v>3959</v>
      </c>
      <c r="O6009" t="s">
        <v>3959</v>
      </c>
      <c r="P6009" s="57">
        <v>1</v>
      </c>
      <c r="Q6009" s="57">
        <v>0</v>
      </c>
      <c r="R6009" s="57">
        <v>0</v>
      </c>
      <c r="S6009" s="57">
        <v>0</v>
      </c>
      <c r="T6009" s="57">
        <v>0</v>
      </c>
      <c r="U6009" s="57">
        <v>0</v>
      </c>
      <c r="V6009" s="57">
        <v>0</v>
      </c>
      <c r="W6009" s="57">
        <v>0</v>
      </c>
      <c r="X6009" s="57">
        <v>0</v>
      </c>
    </row>
    <row r="6010" spans="1:24" hidden="1" x14ac:dyDescent="0.35">
      <c r="A6010">
        <v>6006</v>
      </c>
      <c r="B6010">
        <v>6007</v>
      </c>
      <c r="C6010">
        <v>146.087762247</v>
      </c>
      <c r="D6010">
        <v>-17.641237736200001</v>
      </c>
      <c r="F6010" t="str">
        <f>HYPERLINK("D:\Data From Lucan\2024\Moresby\Frames_for_Analysis/6007_20240611_0004_R_1106.jpg","6007_20240611_0004_R_1106.jpg")</f>
        <v>6007_20240611_0004_R_1106.jpg</v>
      </c>
      <c r="G6010" s="92" t="s">
        <v>6209</v>
      </c>
      <c r="I6010">
        <v>3</v>
      </c>
      <c r="K6010" s="57">
        <v>1</v>
      </c>
      <c r="L6010" t="s">
        <v>3959</v>
      </c>
      <c r="M6010" t="s">
        <v>3959</v>
      </c>
      <c r="N6010" t="s">
        <v>3959</v>
      </c>
      <c r="O6010" t="s">
        <v>3959</v>
      </c>
      <c r="P6010" s="57">
        <v>1</v>
      </c>
      <c r="Q6010" s="57">
        <v>0</v>
      </c>
      <c r="R6010" s="57">
        <v>0</v>
      </c>
      <c r="S6010" s="57">
        <v>0</v>
      </c>
      <c r="T6010" s="57">
        <v>0</v>
      </c>
      <c r="U6010" s="57">
        <v>0</v>
      </c>
      <c r="V6010" s="57">
        <v>0</v>
      </c>
      <c r="W6010" s="57">
        <v>0</v>
      </c>
      <c r="X6010" s="57">
        <v>0</v>
      </c>
    </row>
    <row r="6011" spans="1:24" hidden="1" x14ac:dyDescent="0.35">
      <c r="A6011">
        <v>6007</v>
      </c>
      <c r="B6011">
        <v>6008</v>
      </c>
      <c r="C6011">
        <v>146.087792358</v>
      </c>
      <c r="D6011">
        <v>-17.6411570815999</v>
      </c>
      <c r="F6011" t="str">
        <f>HYPERLINK("D:\Data From Lucan\2024\Moresby\Frames_for_Analysis/6008_20240611_0004_R_1103.jpg","6008_20240611_0004_R_1103.jpg")</f>
        <v>6008_20240611_0004_R_1103.jpg</v>
      </c>
      <c r="G6011" s="92" t="s">
        <v>6210</v>
      </c>
      <c r="I6011">
        <v>3</v>
      </c>
      <c r="K6011" s="57">
        <v>1</v>
      </c>
      <c r="L6011" t="s">
        <v>3959</v>
      </c>
      <c r="M6011" t="s">
        <v>3959</v>
      </c>
      <c r="N6011" t="s">
        <v>3959</v>
      </c>
      <c r="O6011" t="s">
        <v>3959</v>
      </c>
      <c r="P6011" s="57">
        <v>1</v>
      </c>
      <c r="Q6011" s="57">
        <v>0</v>
      </c>
      <c r="R6011" s="57">
        <v>0</v>
      </c>
      <c r="S6011" s="57">
        <v>0</v>
      </c>
      <c r="T6011" s="57">
        <v>0</v>
      </c>
      <c r="U6011" s="57">
        <v>0</v>
      </c>
      <c r="V6011" s="57">
        <v>0</v>
      </c>
      <c r="W6011" s="57">
        <v>0</v>
      </c>
      <c r="X6011" s="57">
        <v>0</v>
      </c>
    </row>
    <row r="6012" spans="1:24" hidden="1" x14ac:dyDescent="0.35">
      <c r="A6012">
        <v>6008</v>
      </c>
      <c r="B6012">
        <v>6009</v>
      </c>
      <c r="C6012">
        <v>146.08782246800001</v>
      </c>
      <c r="D6012">
        <v>-17.641076427000002</v>
      </c>
      <c r="F6012" t="str">
        <f>HYPERLINK("D:\Data From Lucan\2024\Moresby\Frames_for_Analysis/6009_20240611_0004_R_1100.jpg","6009_20240611_0004_R_1100.jpg")</f>
        <v>6009_20240611_0004_R_1100.jpg</v>
      </c>
      <c r="G6012" s="92" t="s">
        <v>6211</v>
      </c>
      <c r="I6012">
        <v>3</v>
      </c>
      <c r="K6012" s="57">
        <v>1</v>
      </c>
      <c r="L6012" t="s">
        <v>3959</v>
      </c>
      <c r="M6012" t="s">
        <v>3959</v>
      </c>
      <c r="N6012" t="s">
        <v>3959</v>
      </c>
      <c r="O6012" t="s">
        <v>3959</v>
      </c>
      <c r="P6012" s="57">
        <v>1</v>
      </c>
      <c r="Q6012" s="57">
        <v>0</v>
      </c>
      <c r="R6012" s="57">
        <v>0</v>
      </c>
      <c r="S6012" s="57">
        <v>0</v>
      </c>
      <c r="T6012" s="57">
        <v>0</v>
      </c>
      <c r="U6012" s="57">
        <v>0</v>
      </c>
      <c r="V6012" s="57">
        <v>0</v>
      </c>
      <c r="W6012" s="57">
        <v>0</v>
      </c>
      <c r="X6012" s="57">
        <v>0</v>
      </c>
    </row>
    <row r="6013" spans="1:24" hidden="1" x14ac:dyDescent="0.35">
      <c r="A6013">
        <v>6009</v>
      </c>
      <c r="B6013">
        <v>6010</v>
      </c>
      <c r="C6013">
        <v>146.08785257900001</v>
      </c>
      <c r="D6013">
        <v>-17.640995772299899</v>
      </c>
      <c r="F6013" t="str">
        <f>HYPERLINK("D:\Data From Lucan\2024\Moresby\Frames_for_Analysis/6010_20240611_0004_R_1097.jpg","6010_20240611_0004_R_1097.jpg")</f>
        <v>6010_20240611_0004_R_1097.jpg</v>
      </c>
      <c r="G6013" s="92" t="s">
        <v>6212</v>
      </c>
      <c r="I6013">
        <v>3</v>
      </c>
      <c r="K6013" s="57">
        <v>1</v>
      </c>
      <c r="L6013" t="s">
        <v>3959</v>
      </c>
      <c r="M6013" t="s">
        <v>3959</v>
      </c>
      <c r="N6013" t="s">
        <v>3959</v>
      </c>
      <c r="O6013" t="s">
        <v>3959</v>
      </c>
      <c r="P6013" s="57">
        <v>1</v>
      </c>
      <c r="Q6013" s="57">
        <v>0</v>
      </c>
      <c r="R6013" s="57">
        <v>0</v>
      </c>
      <c r="S6013" s="57">
        <v>0</v>
      </c>
      <c r="T6013" s="57">
        <v>0</v>
      </c>
      <c r="U6013" s="57">
        <v>0</v>
      </c>
      <c r="V6013" s="57">
        <v>0</v>
      </c>
      <c r="W6013" s="57">
        <v>0</v>
      </c>
      <c r="X6013" s="57">
        <v>0</v>
      </c>
    </row>
    <row r="6014" spans="1:24" hidden="1" x14ac:dyDescent="0.35">
      <c r="A6014">
        <v>6010</v>
      </c>
      <c r="B6014">
        <v>6011</v>
      </c>
      <c r="C6014">
        <v>146.08788268999899</v>
      </c>
      <c r="D6014">
        <v>-17.640915117599899</v>
      </c>
      <c r="F6014" t="str">
        <f>HYPERLINK("D:\Data From Lucan\2024\Moresby\Frames_for_Analysis/6011_20240611_0004_R_1095.jpg","6011_20240611_0004_R_1095.jpg")</f>
        <v>6011_20240611_0004_R_1095.jpg</v>
      </c>
      <c r="G6014" s="92" t="s">
        <v>6213</v>
      </c>
      <c r="I6014">
        <v>3</v>
      </c>
      <c r="K6014" s="57">
        <v>1</v>
      </c>
      <c r="L6014" t="s">
        <v>3959</v>
      </c>
      <c r="M6014" t="s">
        <v>3959</v>
      </c>
      <c r="N6014" t="s">
        <v>3959</v>
      </c>
      <c r="O6014" t="s">
        <v>3959</v>
      </c>
      <c r="P6014" s="57">
        <v>1</v>
      </c>
      <c r="Q6014" s="57">
        <v>0</v>
      </c>
      <c r="R6014" s="57">
        <v>0</v>
      </c>
      <c r="S6014" s="57">
        <v>0</v>
      </c>
      <c r="T6014" s="57">
        <v>0</v>
      </c>
      <c r="U6014" s="57">
        <v>0</v>
      </c>
      <c r="V6014" s="57">
        <v>0</v>
      </c>
      <c r="W6014" s="57">
        <v>0</v>
      </c>
      <c r="X6014" s="57">
        <v>0</v>
      </c>
    </row>
    <row r="6015" spans="1:24" hidden="1" x14ac:dyDescent="0.35">
      <c r="A6015">
        <v>6011</v>
      </c>
      <c r="B6015">
        <v>6012</v>
      </c>
      <c r="C6015">
        <v>146.08791280099899</v>
      </c>
      <c r="D6015">
        <v>-17.640834462800001</v>
      </c>
      <c r="F6015" t="str">
        <f>HYPERLINK("D:\Data From Lucan\2024\Moresby\Frames_for_Analysis/6012_20240611_0004_R_1092.jpg","6012_20240611_0004_R_1092.jpg")</f>
        <v>6012_20240611_0004_R_1092.jpg</v>
      </c>
      <c r="G6015" s="92" t="s">
        <v>6214</v>
      </c>
      <c r="I6015">
        <v>3</v>
      </c>
      <c r="K6015" s="57">
        <v>1</v>
      </c>
      <c r="L6015" t="s">
        <v>3959</v>
      </c>
      <c r="M6015" t="s">
        <v>3959</v>
      </c>
      <c r="N6015" t="s">
        <v>3959</v>
      </c>
      <c r="O6015" t="s">
        <v>3959</v>
      </c>
      <c r="P6015" s="57">
        <v>1</v>
      </c>
      <c r="Q6015" s="57">
        <v>0</v>
      </c>
      <c r="R6015" s="57">
        <v>0</v>
      </c>
      <c r="S6015" s="57">
        <v>0</v>
      </c>
      <c r="T6015" s="57">
        <v>0</v>
      </c>
      <c r="U6015" s="57">
        <v>0</v>
      </c>
      <c r="V6015" s="57">
        <v>0</v>
      </c>
      <c r="W6015" s="57">
        <v>0</v>
      </c>
      <c r="X6015" s="57">
        <v>0</v>
      </c>
    </row>
    <row r="6016" spans="1:24" hidden="1" x14ac:dyDescent="0.35">
      <c r="A6016">
        <v>6012</v>
      </c>
      <c r="B6016">
        <v>6013</v>
      </c>
      <c r="C6016">
        <v>146.08794291199899</v>
      </c>
      <c r="D6016">
        <v>-17.640753808100001</v>
      </c>
      <c r="F6016" t="str">
        <f>HYPERLINK("D:\Data From Lucan\2024\Moresby\Frames_for_Analysis/6013_20240611_0004_R_1089.jpg","6013_20240611_0004_R_1089.jpg")</f>
        <v>6013_20240611_0004_R_1089.jpg</v>
      </c>
      <c r="G6016" s="92" t="s">
        <v>6215</v>
      </c>
      <c r="I6016">
        <v>3</v>
      </c>
      <c r="K6016" s="57">
        <v>1</v>
      </c>
      <c r="L6016" t="s">
        <v>3959</v>
      </c>
      <c r="M6016" t="s">
        <v>3959</v>
      </c>
      <c r="N6016" t="s">
        <v>3959</v>
      </c>
      <c r="O6016" t="s">
        <v>3959</v>
      </c>
      <c r="P6016" s="57">
        <v>1</v>
      </c>
      <c r="Q6016" s="57">
        <v>0</v>
      </c>
      <c r="R6016" s="57">
        <v>0</v>
      </c>
      <c r="S6016" s="57">
        <v>0</v>
      </c>
      <c r="T6016" s="57">
        <v>0</v>
      </c>
      <c r="U6016" s="57">
        <v>0</v>
      </c>
      <c r="V6016" s="57">
        <v>0</v>
      </c>
      <c r="W6016" s="57">
        <v>0</v>
      </c>
      <c r="X6016" s="57">
        <v>0</v>
      </c>
    </row>
    <row r="6017" spans="1:24" hidden="1" x14ac:dyDescent="0.35">
      <c r="A6017">
        <v>6013</v>
      </c>
      <c r="B6017">
        <v>6014</v>
      </c>
      <c r="C6017">
        <v>146.08797266900001</v>
      </c>
      <c r="D6017">
        <v>-17.640673034700001</v>
      </c>
      <c r="F6017" t="str">
        <f>HYPERLINK("D:\Data From Lucan\2024\Moresby\Frames_for_Analysis/6014_20240611_0004_R_1086.jpg","6014_20240611_0004_R_1086.jpg")</f>
        <v>6014_20240611_0004_R_1086.jpg</v>
      </c>
      <c r="G6017" s="92" t="s">
        <v>6216</v>
      </c>
      <c r="I6017">
        <v>3</v>
      </c>
      <c r="K6017" s="57">
        <v>1</v>
      </c>
      <c r="L6017" t="s">
        <v>3959</v>
      </c>
      <c r="M6017" t="s">
        <v>3959</v>
      </c>
      <c r="N6017" t="s">
        <v>3959</v>
      </c>
      <c r="O6017" t="s">
        <v>3959</v>
      </c>
      <c r="P6017" s="57">
        <v>1</v>
      </c>
      <c r="Q6017" s="57">
        <v>0</v>
      </c>
      <c r="R6017" s="57">
        <v>0</v>
      </c>
      <c r="S6017" s="57">
        <v>0</v>
      </c>
      <c r="T6017" s="57">
        <v>0</v>
      </c>
      <c r="U6017" s="57">
        <v>0</v>
      </c>
      <c r="V6017" s="57">
        <v>0</v>
      </c>
      <c r="W6017" s="57">
        <v>0</v>
      </c>
      <c r="X6017" s="57">
        <v>0</v>
      </c>
    </row>
    <row r="6018" spans="1:24" hidden="1" x14ac:dyDescent="0.35">
      <c r="A6018">
        <v>6014</v>
      </c>
      <c r="B6018">
        <v>6015</v>
      </c>
      <c r="C6018">
        <v>146.088002138999</v>
      </c>
      <c r="D6018">
        <v>-17.6405921650999</v>
      </c>
      <c r="F6018" t="str">
        <f>HYPERLINK("D:\Data From Lucan\2024\Moresby\Frames_for_Analysis/6015_20240611_0004_R_1083.jpg","6015_20240611_0004_R_1083.jpg")</f>
        <v>6015_20240611_0004_R_1083.jpg</v>
      </c>
      <c r="G6018" s="92" t="s">
        <v>6217</v>
      </c>
      <c r="I6018">
        <v>3</v>
      </c>
      <c r="K6018" s="57">
        <v>1</v>
      </c>
      <c r="L6018" t="s">
        <v>3959</v>
      </c>
      <c r="M6018" t="s">
        <v>3959</v>
      </c>
      <c r="N6018" t="s">
        <v>3959</v>
      </c>
      <c r="O6018" t="s">
        <v>3959</v>
      </c>
      <c r="P6018" s="57">
        <v>1</v>
      </c>
      <c r="Q6018" s="57">
        <v>0</v>
      </c>
      <c r="R6018" s="57">
        <v>0</v>
      </c>
      <c r="S6018" s="57">
        <v>0</v>
      </c>
      <c r="T6018" s="57">
        <v>0</v>
      </c>
      <c r="U6018" s="57">
        <v>0</v>
      </c>
      <c r="V6018" s="57">
        <v>0</v>
      </c>
      <c r="W6018" s="57">
        <v>0</v>
      </c>
      <c r="X6018" s="57">
        <v>0</v>
      </c>
    </row>
    <row r="6019" spans="1:24" hidden="1" x14ac:dyDescent="0.35">
      <c r="A6019">
        <v>6015</v>
      </c>
      <c r="B6019">
        <v>6016</v>
      </c>
      <c r="C6019">
        <v>146.08803160900001</v>
      </c>
      <c r="D6019">
        <v>-17.640511295500001</v>
      </c>
      <c r="F6019" t="str">
        <f>HYPERLINK("D:\Data From Lucan\2024\Moresby\Frames_for_Analysis/6016_20240611_0004_R_1080.jpg","6016_20240611_0004_R_1080.jpg")</f>
        <v>6016_20240611_0004_R_1080.jpg</v>
      </c>
      <c r="G6019" s="92" t="s">
        <v>6218</v>
      </c>
      <c r="I6019">
        <v>3</v>
      </c>
      <c r="K6019" s="57">
        <v>1</v>
      </c>
      <c r="L6019" t="s">
        <v>3959</v>
      </c>
      <c r="M6019" t="s">
        <v>3959</v>
      </c>
      <c r="N6019" t="s">
        <v>3959</v>
      </c>
      <c r="O6019" t="s">
        <v>3959</v>
      </c>
      <c r="P6019" s="57">
        <v>1</v>
      </c>
      <c r="Q6019" s="57">
        <v>0</v>
      </c>
      <c r="R6019" s="57">
        <v>0</v>
      </c>
      <c r="S6019" s="57">
        <v>0</v>
      </c>
      <c r="T6019" s="57">
        <v>0</v>
      </c>
      <c r="U6019" s="57">
        <v>0</v>
      </c>
      <c r="V6019" s="57">
        <v>0</v>
      </c>
      <c r="W6019" s="57">
        <v>0</v>
      </c>
      <c r="X6019" s="57">
        <v>0</v>
      </c>
    </row>
    <row r="6020" spans="1:24" hidden="1" x14ac:dyDescent="0.35">
      <c r="A6020">
        <v>6016</v>
      </c>
      <c r="B6020">
        <v>6017</v>
      </c>
      <c r="C6020">
        <v>146.088061078999</v>
      </c>
      <c r="D6020">
        <v>-17.6404304259</v>
      </c>
      <c r="F6020" t="str">
        <f>HYPERLINK("D:\Data From Lucan\2024\Moresby\Frames_for_Analysis/6017_20240611_0004_R_1077.jpg","6017_20240611_0004_R_1077.jpg")</f>
        <v>6017_20240611_0004_R_1077.jpg</v>
      </c>
      <c r="G6020" s="92" t="s">
        <v>6219</v>
      </c>
      <c r="I6020">
        <v>3</v>
      </c>
      <c r="K6020" s="57">
        <v>1</v>
      </c>
      <c r="L6020" t="s">
        <v>3959</v>
      </c>
      <c r="M6020" t="s">
        <v>3959</v>
      </c>
      <c r="N6020" t="s">
        <v>3959</v>
      </c>
      <c r="O6020" t="s">
        <v>3959</v>
      </c>
      <c r="P6020" s="57">
        <v>1</v>
      </c>
      <c r="Q6020" s="57">
        <v>0</v>
      </c>
      <c r="R6020" s="57">
        <v>0</v>
      </c>
      <c r="S6020" s="57">
        <v>0</v>
      </c>
      <c r="T6020" s="57">
        <v>0</v>
      </c>
      <c r="U6020" s="57">
        <v>0</v>
      </c>
      <c r="V6020" s="57">
        <v>0</v>
      </c>
      <c r="W6020" s="57">
        <v>0</v>
      </c>
      <c r="X6020" s="57">
        <v>0</v>
      </c>
    </row>
    <row r="6021" spans="1:24" hidden="1" x14ac:dyDescent="0.35">
      <c r="A6021">
        <v>6017</v>
      </c>
      <c r="B6021">
        <v>6018</v>
      </c>
      <c r="C6021">
        <v>146.08809054899899</v>
      </c>
      <c r="D6021">
        <v>-17.6403495562</v>
      </c>
      <c r="F6021" t="str">
        <f>HYPERLINK("D:\Data From Lucan\2024\Moresby\Frames_for_Analysis/6018_20240611_0004_R_1074.jpg","6018_20240611_0004_R_1074.jpg")</f>
        <v>6018_20240611_0004_R_1074.jpg</v>
      </c>
      <c r="G6021" s="92" t="s">
        <v>6220</v>
      </c>
      <c r="I6021">
        <v>3</v>
      </c>
      <c r="K6021" s="57">
        <v>1</v>
      </c>
      <c r="L6021" t="s">
        <v>3959</v>
      </c>
      <c r="M6021" t="s">
        <v>3959</v>
      </c>
      <c r="N6021" t="s">
        <v>3959</v>
      </c>
      <c r="O6021" t="s">
        <v>3959</v>
      </c>
      <c r="P6021" s="57">
        <v>1</v>
      </c>
      <c r="Q6021" s="57">
        <v>0</v>
      </c>
      <c r="R6021" s="57">
        <v>0</v>
      </c>
      <c r="S6021" s="57">
        <v>0</v>
      </c>
      <c r="T6021" s="57">
        <v>0</v>
      </c>
      <c r="U6021" s="57">
        <v>0</v>
      </c>
      <c r="V6021" s="57">
        <v>0</v>
      </c>
      <c r="W6021" s="57">
        <v>0</v>
      </c>
      <c r="X6021" s="57">
        <v>0</v>
      </c>
    </row>
    <row r="6022" spans="1:24" hidden="1" x14ac:dyDescent="0.35">
      <c r="A6022">
        <v>6018</v>
      </c>
      <c r="B6022">
        <v>6019</v>
      </c>
      <c r="C6022">
        <v>146.088120019</v>
      </c>
      <c r="D6022">
        <v>-17.640268686500001</v>
      </c>
      <c r="F6022" t="str">
        <f>HYPERLINK("D:\Data From Lucan\2024\Moresby\Frames_for_Analysis/6019_20240611_0004_R_1071.jpg","6019_20240611_0004_R_1071.jpg")</f>
        <v>6019_20240611_0004_R_1071.jpg</v>
      </c>
      <c r="G6022" s="92" t="s">
        <v>6221</v>
      </c>
      <c r="I6022">
        <v>3</v>
      </c>
      <c r="K6022" s="57">
        <v>1</v>
      </c>
      <c r="L6022" t="s">
        <v>3959</v>
      </c>
      <c r="M6022" t="s">
        <v>3959</v>
      </c>
      <c r="N6022" t="s">
        <v>3959</v>
      </c>
      <c r="O6022" t="s">
        <v>3959</v>
      </c>
      <c r="P6022" s="57">
        <v>1</v>
      </c>
      <c r="Q6022" s="57">
        <v>0</v>
      </c>
      <c r="R6022" s="57">
        <v>0</v>
      </c>
      <c r="S6022" s="57">
        <v>0</v>
      </c>
      <c r="T6022" s="57">
        <v>0</v>
      </c>
      <c r="U6022" s="57">
        <v>0</v>
      </c>
      <c r="V6022" s="57">
        <v>0</v>
      </c>
      <c r="W6022" s="57">
        <v>0</v>
      </c>
      <c r="X6022" s="57">
        <v>0</v>
      </c>
    </row>
    <row r="6023" spans="1:24" hidden="1" x14ac:dyDescent="0.35">
      <c r="A6023">
        <v>6019</v>
      </c>
      <c r="B6023">
        <v>6020</v>
      </c>
      <c r="C6023">
        <v>146.08814948899899</v>
      </c>
      <c r="D6023">
        <v>-17.640187816800001</v>
      </c>
      <c r="F6023" t="str">
        <f>HYPERLINK("D:\Data From Lucan\2024\Moresby\Frames_for_Analysis/6020_20240611_0004_R_1069.jpg","6020_20240611_0004_R_1069.jpg")</f>
        <v>6020_20240611_0004_R_1069.jpg</v>
      </c>
      <c r="G6023" s="92" t="s">
        <v>6222</v>
      </c>
      <c r="I6023">
        <v>3</v>
      </c>
      <c r="K6023" s="57">
        <v>1</v>
      </c>
      <c r="L6023" t="s">
        <v>3959</v>
      </c>
      <c r="M6023" t="s">
        <v>3959</v>
      </c>
      <c r="N6023" t="s">
        <v>3959</v>
      </c>
      <c r="O6023" t="s">
        <v>3959</v>
      </c>
      <c r="P6023" s="57">
        <v>1</v>
      </c>
      <c r="Q6023" s="57">
        <v>0</v>
      </c>
      <c r="R6023" s="57">
        <v>0</v>
      </c>
      <c r="S6023" s="57">
        <v>0</v>
      </c>
      <c r="T6023" s="57">
        <v>0</v>
      </c>
      <c r="U6023" s="57">
        <v>0</v>
      </c>
      <c r="V6023" s="57">
        <v>0</v>
      </c>
      <c r="W6023" s="57">
        <v>0</v>
      </c>
      <c r="X6023" s="57">
        <v>0</v>
      </c>
    </row>
    <row r="6024" spans="1:24" hidden="1" x14ac:dyDescent="0.35">
      <c r="A6024">
        <v>6020</v>
      </c>
      <c r="B6024">
        <v>6021</v>
      </c>
      <c r="C6024">
        <v>146.088178959</v>
      </c>
      <c r="D6024">
        <v>-17.640106947</v>
      </c>
      <c r="F6024" t="str">
        <f>HYPERLINK("D:\Data From Lucan\2024\Moresby\Frames_for_Analysis/6021_20240611_0004_R_1066.jpg","6021_20240611_0004_R_1066.jpg")</f>
        <v>6021_20240611_0004_R_1066.jpg</v>
      </c>
      <c r="G6024" s="92" t="s">
        <v>6223</v>
      </c>
      <c r="I6024">
        <v>3</v>
      </c>
      <c r="K6024" s="57">
        <v>1</v>
      </c>
      <c r="L6024" t="s">
        <v>3959</v>
      </c>
      <c r="M6024" t="s">
        <v>3959</v>
      </c>
      <c r="N6024" t="s">
        <v>3959</v>
      </c>
      <c r="O6024" t="s">
        <v>3959</v>
      </c>
      <c r="P6024" s="57">
        <v>1</v>
      </c>
      <c r="Q6024" s="57">
        <v>0</v>
      </c>
      <c r="R6024" s="57">
        <v>0</v>
      </c>
      <c r="S6024" s="57">
        <v>0</v>
      </c>
      <c r="T6024" s="57">
        <v>0</v>
      </c>
      <c r="U6024" s="57">
        <v>0</v>
      </c>
      <c r="V6024" s="57">
        <v>0</v>
      </c>
      <c r="W6024" s="57">
        <v>0</v>
      </c>
      <c r="X6024" s="57">
        <v>0</v>
      </c>
    </row>
    <row r="6025" spans="1:24" hidden="1" x14ac:dyDescent="0.35">
      <c r="A6025">
        <v>6021</v>
      </c>
      <c r="B6025">
        <v>6022</v>
      </c>
      <c r="C6025">
        <v>146.088208428999</v>
      </c>
      <c r="D6025">
        <v>-17.640026077200002</v>
      </c>
      <c r="F6025" t="str">
        <f>HYPERLINK("D:\Data From Lucan\2024\Moresby\Frames_for_Analysis/6022_20240611_0004_R_1063.jpg","6022_20240611_0004_R_1063.jpg")</f>
        <v>6022_20240611_0004_R_1063.jpg</v>
      </c>
      <c r="G6025" s="92" t="s">
        <v>6224</v>
      </c>
      <c r="I6025">
        <v>3</v>
      </c>
      <c r="K6025" s="57">
        <v>1</v>
      </c>
      <c r="L6025" t="s">
        <v>3959</v>
      </c>
      <c r="M6025" t="s">
        <v>3959</v>
      </c>
      <c r="N6025" t="s">
        <v>3959</v>
      </c>
      <c r="O6025" t="s">
        <v>3959</v>
      </c>
      <c r="P6025" s="57">
        <v>1</v>
      </c>
      <c r="Q6025" s="57">
        <v>0</v>
      </c>
      <c r="R6025" s="57">
        <v>0</v>
      </c>
      <c r="S6025" s="57">
        <v>0</v>
      </c>
      <c r="T6025" s="57">
        <v>0</v>
      </c>
      <c r="U6025" s="57">
        <v>0</v>
      </c>
      <c r="V6025" s="57">
        <v>0</v>
      </c>
      <c r="W6025" s="57">
        <v>0</v>
      </c>
      <c r="X6025" s="57">
        <v>0</v>
      </c>
    </row>
    <row r="6026" spans="1:24" hidden="1" x14ac:dyDescent="0.35">
      <c r="A6026">
        <v>6022</v>
      </c>
      <c r="B6026">
        <v>6023</v>
      </c>
      <c r="C6026">
        <v>146.08823789900001</v>
      </c>
      <c r="D6026">
        <v>-17.6399452074</v>
      </c>
      <c r="F6026" t="str">
        <f>HYPERLINK("D:\Data From Lucan\2024\Moresby\Frames_for_Analysis/6023_20240611_0004_R_1060.jpg","6023_20240611_0004_R_1060.jpg")</f>
        <v>6023_20240611_0004_R_1060.jpg</v>
      </c>
      <c r="G6026" s="92" t="s">
        <v>6225</v>
      </c>
      <c r="I6026">
        <v>3</v>
      </c>
      <c r="K6026" s="57">
        <v>1</v>
      </c>
      <c r="L6026" t="s">
        <v>3959</v>
      </c>
      <c r="M6026" t="s">
        <v>3959</v>
      </c>
      <c r="N6026" t="s">
        <v>3959</v>
      </c>
      <c r="O6026" t="s">
        <v>3959</v>
      </c>
      <c r="P6026" s="57">
        <v>1</v>
      </c>
      <c r="Q6026" s="57">
        <v>0</v>
      </c>
      <c r="R6026" s="57">
        <v>0</v>
      </c>
      <c r="S6026" s="57">
        <v>0</v>
      </c>
      <c r="T6026" s="57">
        <v>0</v>
      </c>
      <c r="U6026" s="57">
        <v>0</v>
      </c>
      <c r="V6026" s="57">
        <v>0</v>
      </c>
      <c r="W6026" s="57">
        <v>0</v>
      </c>
      <c r="X6026" s="57">
        <v>0</v>
      </c>
    </row>
    <row r="6027" spans="1:24" hidden="1" x14ac:dyDescent="0.35">
      <c r="A6027">
        <v>6023</v>
      </c>
      <c r="B6027">
        <v>6024</v>
      </c>
      <c r="C6027">
        <v>146.088268153999</v>
      </c>
      <c r="D6027">
        <v>-17.6398646066</v>
      </c>
      <c r="F6027" t="str">
        <f>HYPERLINK("D:\Data From Lucan\2024\Moresby\Frames_for_Analysis/6024_20240611_0004_R_1057.jpg","6024_20240611_0004_R_1057.jpg")</f>
        <v>6024_20240611_0004_R_1057.jpg</v>
      </c>
      <c r="G6027" s="92" t="s">
        <v>6226</v>
      </c>
      <c r="I6027">
        <v>3</v>
      </c>
      <c r="K6027" s="57">
        <v>1</v>
      </c>
      <c r="L6027" t="s">
        <v>3959</v>
      </c>
      <c r="M6027" t="s">
        <v>3959</v>
      </c>
      <c r="N6027" t="s">
        <v>3959</v>
      </c>
      <c r="O6027" t="s">
        <v>3959</v>
      </c>
      <c r="P6027" s="57">
        <v>1</v>
      </c>
      <c r="Q6027" s="57">
        <v>0</v>
      </c>
      <c r="R6027" s="57">
        <v>0</v>
      </c>
      <c r="S6027" s="57">
        <v>0</v>
      </c>
      <c r="T6027" s="57">
        <v>0</v>
      </c>
      <c r="U6027" s="57">
        <v>0</v>
      </c>
      <c r="V6027" s="57">
        <v>0</v>
      </c>
      <c r="W6027" s="57">
        <v>0</v>
      </c>
      <c r="X6027" s="57">
        <v>0</v>
      </c>
    </row>
    <row r="6028" spans="1:24" hidden="1" x14ac:dyDescent="0.35">
      <c r="A6028">
        <v>6024</v>
      </c>
      <c r="B6028">
        <v>6025</v>
      </c>
      <c r="C6028">
        <v>146.08829949400001</v>
      </c>
      <c r="D6028">
        <v>-17.6397843775</v>
      </c>
      <c r="F6028" t="str">
        <f>HYPERLINK("D:\Data From Lucan\2024\Moresby\Frames_for_Analysis/6025_20240611_0004_R_1054.jpg","6025_20240611_0004_R_1054.jpg")</f>
        <v>6025_20240611_0004_R_1054.jpg</v>
      </c>
      <c r="G6028" s="92" t="s">
        <v>6227</v>
      </c>
      <c r="I6028">
        <v>3</v>
      </c>
      <c r="K6028" s="57">
        <v>1</v>
      </c>
      <c r="L6028" t="s">
        <v>3959</v>
      </c>
      <c r="M6028" t="s">
        <v>3959</v>
      </c>
      <c r="N6028" t="s">
        <v>3959</v>
      </c>
      <c r="O6028" t="s">
        <v>3959</v>
      </c>
      <c r="P6028" s="57">
        <v>1</v>
      </c>
      <c r="Q6028" s="57">
        <v>0</v>
      </c>
      <c r="R6028" s="57">
        <v>0</v>
      </c>
      <c r="S6028" s="57">
        <v>0</v>
      </c>
      <c r="T6028" s="57">
        <v>0</v>
      </c>
      <c r="U6028" s="57">
        <v>0</v>
      </c>
      <c r="V6028" s="57">
        <v>0</v>
      </c>
      <c r="W6028" s="57">
        <v>0</v>
      </c>
      <c r="X6028" s="57">
        <v>0</v>
      </c>
    </row>
    <row r="6029" spans="1:24" hidden="1" x14ac:dyDescent="0.35">
      <c r="A6029">
        <v>6025</v>
      </c>
      <c r="B6029">
        <v>6026</v>
      </c>
      <c r="C6029">
        <v>146.08833083299899</v>
      </c>
      <c r="D6029">
        <v>-17.6397041484</v>
      </c>
      <c r="F6029" t="str">
        <f>HYPERLINK("D:\Data From Lucan\2024\Moresby\Frames_for_Analysis/6026_20240611_0004_R_1051.jpg","6026_20240611_0004_R_1051.jpg")</f>
        <v>6026_20240611_0004_R_1051.jpg</v>
      </c>
      <c r="G6029" s="92" t="s">
        <v>6228</v>
      </c>
      <c r="I6029">
        <v>3</v>
      </c>
      <c r="K6029" s="57">
        <v>1</v>
      </c>
      <c r="L6029" t="s">
        <v>3959</v>
      </c>
      <c r="M6029" t="s">
        <v>3959</v>
      </c>
      <c r="N6029" t="s">
        <v>3959</v>
      </c>
      <c r="O6029" t="s">
        <v>3959</v>
      </c>
      <c r="P6029" s="57">
        <v>1</v>
      </c>
      <c r="Q6029" s="57">
        <v>0</v>
      </c>
      <c r="R6029" s="57">
        <v>0</v>
      </c>
      <c r="S6029" s="57">
        <v>0</v>
      </c>
      <c r="T6029" s="57">
        <v>0</v>
      </c>
      <c r="U6029" s="57">
        <v>0</v>
      </c>
      <c r="V6029" s="57">
        <v>0</v>
      </c>
      <c r="W6029" s="57">
        <v>0</v>
      </c>
      <c r="X6029" s="57">
        <v>0</v>
      </c>
    </row>
    <row r="6030" spans="1:24" hidden="1" x14ac:dyDescent="0.35">
      <c r="A6030">
        <v>6026</v>
      </c>
      <c r="B6030">
        <v>6027</v>
      </c>
      <c r="C6030">
        <v>146.08836217300001</v>
      </c>
      <c r="D6030">
        <v>-17.6396239193</v>
      </c>
      <c r="F6030" t="str">
        <f>HYPERLINK("D:\Data From Lucan\2024\Moresby\Frames_for_Analysis/6027_20240611_0004_R_1048.jpg","6027_20240611_0004_R_1048.jpg")</f>
        <v>6027_20240611_0004_R_1048.jpg</v>
      </c>
      <c r="G6030" s="92" t="s">
        <v>6229</v>
      </c>
      <c r="I6030">
        <v>3</v>
      </c>
      <c r="K6030" s="57">
        <v>1</v>
      </c>
      <c r="L6030" t="s">
        <v>3959</v>
      </c>
      <c r="M6030" t="s">
        <v>3959</v>
      </c>
      <c r="N6030" t="s">
        <v>3959</v>
      </c>
      <c r="O6030" t="s">
        <v>3959</v>
      </c>
      <c r="P6030" s="57">
        <v>1</v>
      </c>
      <c r="Q6030" s="57">
        <v>0</v>
      </c>
      <c r="R6030" s="57">
        <v>0</v>
      </c>
      <c r="S6030" s="57">
        <v>0</v>
      </c>
      <c r="T6030" s="57">
        <v>0</v>
      </c>
      <c r="U6030" s="57">
        <v>0</v>
      </c>
      <c r="V6030" s="57">
        <v>0</v>
      </c>
      <c r="W6030" s="57">
        <v>0</v>
      </c>
      <c r="X6030" s="57">
        <v>0</v>
      </c>
    </row>
    <row r="6031" spans="1:24" hidden="1" x14ac:dyDescent="0.35">
      <c r="A6031">
        <v>6027</v>
      </c>
      <c r="B6031">
        <v>6028</v>
      </c>
      <c r="C6031">
        <v>146.08839351200001</v>
      </c>
      <c r="D6031">
        <v>-17.639543690099899</v>
      </c>
      <c r="F6031" t="str">
        <f>HYPERLINK("D:\Data From Lucan\2024\Moresby\Frames_for_Analysis/6028_20240611_0004_R_1045.jpg","6028_20240611_0004_R_1045.jpg")</f>
        <v>6028_20240611_0004_R_1045.jpg</v>
      </c>
      <c r="G6031" s="92" t="s">
        <v>6230</v>
      </c>
      <c r="I6031">
        <v>3</v>
      </c>
      <c r="K6031" s="57">
        <v>1</v>
      </c>
      <c r="L6031" t="s">
        <v>3959</v>
      </c>
      <c r="M6031" t="s">
        <v>3959</v>
      </c>
      <c r="N6031" t="s">
        <v>3959</v>
      </c>
      <c r="O6031" t="s">
        <v>3959</v>
      </c>
      <c r="P6031" s="57">
        <v>1</v>
      </c>
      <c r="Q6031" s="57">
        <v>0</v>
      </c>
      <c r="R6031" s="57">
        <v>0</v>
      </c>
      <c r="S6031" s="57">
        <v>0</v>
      </c>
      <c r="T6031" s="57">
        <v>0</v>
      </c>
      <c r="U6031" s="57">
        <v>0</v>
      </c>
      <c r="V6031" s="57">
        <v>0</v>
      </c>
      <c r="W6031" s="57">
        <v>0</v>
      </c>
      <c r="X6031" s="57">
        <v>0</v>
      </c>
    </row>
    <row r="6032" spans="1:24" hidden="1" x14ac:dyDescent="0.35">
      <c r="A6032">
        <v>6028</v>
      </c>
      <c r="B6032">
        <v>6029</v>
      </c>
      <c r="C6032">
        <v>146.088424852</v>
      </c>
      <c r="D6032">
        <v>-17.6394634609</v>
      </c>
      <c r="F6032" t="str">
        <f>HYPERLINK("D:\Data From Lucan\2024\Moresby\Frames_for_Analysis/6029_20240611_0004_R_1042.jpg","6029_20240611_0004_R_1042.jpg")</f>
        <v>6029_20240611_0004_R_1042.jpg</v>
      </c>
      <c r="G6032" s="92" t="s">
        <v>6231</v>
      </c>
      <c r="I6032">
        <v>3</v>
      </c>
      <c r="K6032" s="57">
        <v>1</v>
      </c>
      <c r="L6032" t="s">
        <v>3959</v>
      </c>
      <c r="M6032" t="s">
        <v>3959</v>
      </c>
      <c r="N6032" t="s">
        <v>3959</v>
      </c>
      <c r="O6032" t="s">
        <v>3959</v>
      </c>
      <c r="P6032" s="57">
        <v>1</v>
      </c>
      <c r="Q6032" s="57">
        <v>0</v>
      </c>
      <c r="R6032" s="57">
        <v>0</v>
      </c>
      <c r="S6032" s="57">
        <v>0</v>
      </c>
      <c r="T6032" s="57">
        <v>0</v>
      </c>
      <c r="U6032" s="57">
        <v>0</v>
      </c>
      <c r="V6032" s="57">
        <v>0</v>
      </c>
      <c r="W6032" s="57">
        <v>0</v>
      </c>
      <c r="X6032" s="57">
        <v>0</v>
      </c>
    </row>
    <row r="6033" spans="1:24" hidden="1" x14ac:dyDescent="0.35">
      <c r="A6033">
        <v>6029</v>
      </c>
      <c r="B6033">
        <v>6030</v>
      </c>
      <c r="C6033">
        <v>146.08845619100001</v>
      </c>
      <c r="D6033">
        <v>-17.639383231699899</v>
      </c>
      <c r="F6033" t="str">
        <f>HYPERLINK("D:\Data From Lucan\2024\Moresby\Frames_for_Analysis/6030_20240611_0004_R_1039.jpg","6030_20240611_0004_R_1039.jpg")</f>
        <v>6030_20240611_0004_R_1039.jpg</v>
      </c>
      <c r="G6033" s="92" t="s">
        <v>6232</v>
      </c>
      <c r="I6033">
        <v>3</v>
      </c>
      <c r="K6033" s="57">
        <v>1</v>
      </c>
      <c r="L6033" t="s">
        <v>3959</v>
      </c>
      <c r="M6033" t="s">
        <v>3959</v>
      </c>
      <c r="N6033" t="s">
        <v>3959</v>
      </c>
      <c r="O6033" t="s">
        <v>3959</v>
      </c>
      <c r="P6033" s="57">
        <v>1</v>
      </c>
      <c r="Q6033" s="57">
        <v>0</v>
      </c>
      <c r="R6033" s="57">
        <v>0</v>
      </c>
      <c r="S6033" s="57">
        <v>0</v>
      </c>
      <c r="T6033" s="57">
        <v>0</v>
      </c>
      <c r="U6033" s="57">
        <v>0</v>
      </c>
      <c r="V6033" s="57">
        <v>0</v>
      </c>
      <c r="W6033" s="57">
        <v>0</v>
      </c>
      <c r="X6033" s="57">
        <v>0</v>
      </c>
    </row>
    <row r="6034" spans="1:24" hidden="1" x14ac:dyDescent="0.35">
      <c r="A6034">
        <v>6030</v>
      </c>
      <c r="B6034">
        <v>6031</v>
      </c>
      <c r="C6034">
        <v>146.088486254999</v>
      </c>
      <c r="D6034">
        <v>-17.639302568400002</v>
      </c>
      <c r="F6034" t="str">
        <f>HYPERLINK("D:\Data From Lucan\2024\Moresby\Frames_for_Analysis/6031_20240611_0004_R_1036.jpg","6031_20240611_0004_R_1036.jpg")</f>
        <v>6031_20240611_0004_R_1036.jpg</v>
      </c>
      <c r="G6034" s="92" t="s">
        <v>6233</v>
      </c>
      <c r="I6034">
        <v>3</v>
      </c>
      <c r="K6034" s="57">
        <v>1</v>
      </c>
      <c r="L6034" t="s">
        <v>3959</v>
      </c>
      <c r="M6034" t="s">
        <v>3959</v>
      </c>
      <c r="N6034" t="s">
        <v>3959</v>
      </c>
      <c r="O6034" t="s">
        <v>3959</v>
      </c>
      <c r="P6034" s="57">
        <v>1</v>
      </c>
      <c r="Q6034" s="57">
        <v>0</v>
      </c>
      <c r="R6034" s="57">
        <v>0</v>
      </c>
      <c r="S6034" s="57">
        <v>0</v>
      </c>
      <c r="T6034" s="57">
        <v>0</v>
      </c>
      <c r="U6034" s="57">
        <v>0</v>
      </c>
      <c r="V6034" s="57">
        <v>0</v>
      </c>
      <c r="W6034" s="57">
        <v>0</v>
      </c>
      <c r="X6034" s="57">
        <v>0</v>
      </c>
    </row>
    <row r="6035" spans="1:24" hidden="1" x14ac:dyDescent="0.35">
      <c r="A6035">
        <v>6031</v>
      </c>
      <c r="B6035">
        <v>6032</v>
      </c>
      <c r="C6035">
        <v>146.08851530499899</v>
      </c>
      <c r="D6035">
        <v>-17.639221560500001</v>
      </c>
      <c r="F6035" t="str">
        <f>HYPERLINK("D:\Data From Lucan\2024\Moresby\Frames_for_Analysis/6032_20240611_0004_R_1033.jpg","6032_20240611_0004_R_1033.jpg")</f>
        <v>6032_20240611_0004_R_1033.jpg</v>
      </c>
      <c r="G6035" s="92" t="s">
        <v>6234</v>
      </c>
      <c r="I6035">
        <v>3</v>
      </c>
      <c r="K6035" s="57">
        <v>1</v>
      </c>
      <c r="L6035" t="s">
        <v>3959</v>
      </c>
      <c r="M6035" t="s">
        <v>3959</v>
      </c>
      <c r="N6035" t="s">
        <v>3959</v>
      </c>
      <c r="O6035" t="s">
        <v>3959</v>
      </c>
      <c r="P6035" s="57">
        <v>1</v>
      </c>
      <c r="Q6035" s="57">
        <v>0</v>
      </c>
      <c r="R6035" s="57">
        <v>0</v>
      </c>
      <c r="S6035" s="57">
        <v>0</v>
      </c>
      <c r="T6035" s="57">
        <v>0</v>
      </c>
      <c r="U6035" s="57">
        <v>0</v>
      </c>
      <c r="V6035" s="57">
        <v>0</v>
      </c>
      <c r="W6035" s="57">
        <v>0</v>
      </c>
      <c r="X6035" s="57">
        <v>0</v>
      </c>
    </row>
    <row r="6036" spans="1:24" hidden="1" x14ac:dyDescent="0.35">
      <c r="A6036">
        <v>6032</v>
      </c>
      <c r="B6036">
        <v>6033</v>
      </c>
      <c r="C6036">
        <v>146.088544356</v>
      </c>
      <c r="D6036">
        <v>-17.639140552499899</v>
      </c>
      <c r="F6036" t="str">
        <f>HYPERLINK("D:\Data From Lucan\2024\Moresby\Frames_for_Analysis/6033_20240611_0004_R_1031.jpg","6033_20240611_0004_R_1031.jpg")</f>
        <v>6033_20240611_0004_R_1031.jpg</v>
      </c>
      <c r="G6036" s="92" t="s">
        <v>6235</v>
      </c>
      <c r="I6036">
        <v>3</v>
      </c>
      <c r="K6036" s="57">
        <v>1</v>
      </c>
      <c r="L6036" t="s">
        <v>3959</v>
      </c>
      <c r="M6036" t="s">
        <v>3959</v>
      </c>
      <c r="N6036" t="s">
        <v>3959</v>
      </c>
      <c r="O6036" t="s">
        <v>3959</v>
      </c>
      <c r="P6036" s="57">
        <v>1</v>
      </c>
      <c r="Q6036" s="57">
        <v>0</v>
      </c>
      <c r="R6036" s="57">
        <v>0</v>
      </c>
      <c r="S6036" s="57">
        <v>0</v>
      </c>
      <c r="T6036" s="57">
        <v>0</v>
      </c>
      <c r="U6036" s="57">
        <v>0</v>
      </c>
      <c r="V6036" s="57">
        <v>0</v>
      </c>
      <c r="W6036" s="57">
        <v>0</v>
      </c>
      <c r="X6036" s="57">
        <v>0</v>
      </c>
    </row>
    <row r="6037" spans="1:24" hidden="1" x14ac:dyDescent="0.35">
      <c r="A6037">
        <v>6033</v>
      </c>
      <c r="B6037">
        <v>6034</v>
      </c>
      <c r="C6037">
        <v>146.088573405999</v>
      </c>
      <c r="D6037">
        <v>-17.6390595445</v>
      </c>
      <c r="F6037" t="str">
        <f>HYPERLINK("D:\Data From Lucan\2024\Moresby\Frames_for_Analysis/6034_20240611_0004_R_1026.jpg","6034_20240611_0004_R_1026.jpg")</f>
        <v>6034_20240611_0004_R_1026.jpg</v>
      </c>
      <c r="G6037" s="92" t="s">
        <v>6236</v>
      </c>
      <c r="I6037">
        <v>3</v>
      </c>
      <c r="K6037" s="57">
        <v>1</v>
      </c>
      <c r="L6037" t="s">
        <v>3959</v>
      </c>
      <c r="M6037" t="s">
        <v>3959</v>
      </c>
      <c r="N6037" t="s">
        <v>3959</v>
      </c>
      <c r="O6037" t="s">
        <v>3959</v>
      </c>
      <c r="P6037" s="57">
        <v>1</v>
      </c>
      <c r="Q6037" s="57">
        <v>0</v>
      </c>
      <c r="R6037" s="57">
        <v>0</v>
      </c>
      <c r="S6037" s="57">
        <v>0</v>
      </c>
      <c r="T6037" s="57">
        <v>0</v>
      </c>
      <c r="U6037" s="57">
        <v>0</v>
      </c>
      <c r="V6037" s="57">
        <v>0</v>
      </c>
      <c r="W6037" s="57">
        <v>0</v>
      </c>
      <c r="X6037" s="57">
        <v>0</v>
      </c>
    </row>
    <row r="6038" spans="1:24" hidden="1" x14ac:dyDescent="0.35">
      <c r="A6038">
        <v>6034</v>
      </c>
      <c r="B6038">
        <v>6035</v>
      </c>
      <c r="C6038">
        <v>146.08860245599899</v>
      </c>
      <c r="D6038">
        <v>-17.638978536500002</v>
      </c>
      <c r="F6038" t="str">
        <f>HYPERLINK("D:\Data From Lucan\2024\Moresby\Frames_for_Analysis/6035_20240611_0004_R_1023.jpg","6035_20240611_0004_R_1023.jpg")</f>
        <v>6035_20240611_0004_R_1023.jpg</v>
      </c>
      <c r="G6038" s="92" t="s">
        <v>6237</v>
      </c>
      <c r="I6038">
        <v>3</v>
      </c>
      <c r="K6038" s="57">
        <v>1</v>
      </c>
      <c r="L6038" t="s">
        <v>3959</v>
      </c>
      <c r="M6038" t="s">
        <v>3959</v>
      </c>
      <c r="N6038" t="s">
        <v>3959</v>
      </c>
      <c r="O6038" t="s">
        <v>3959</v>
      </c>
      <c r="P6038" s="57">
        <v>1</v>
      </c>
      <c r="Q6038" s="57">
        <v>0</v>
      </c>
      <c r="R6038" s="57">
        <v>0</v>
      </c>
      <c r="S6038" s="57">
        <v>0</v>
      </c>
      <c r="T6038" s="57">
        <v>0</v>
      </c>
      <c r="U6038" s="57">
        <v>0</v>
      </c>
      <c r="V6038" s="57">
        <v>0</v>
      </c>
      <c r="W6038" s="57">
        <v>0</v>
      </c>
      <c r="X6038" s="57">
        <v>0</v>
      </c>
    </row>
    <row r="6039" spans="1:24" hidden="1" x14ac:dyDescent="0.35">
      <c r="A6039">
        <v>6035</v>
      </c>
      <c r="B6039">
        <v>6036</v>
      </c>
      <c r="C6039">
        <v>146.088631507</v>
      </c>
      <c r="D6039">
        <v>-17.638897528400001</v>
      </c>
      <c r="F6039" t="str">
        <f>HYPERLINK("D:\Data From Lucan\2024\Moresby\Frames_for_Analysis/6036_20240611_0004_R_1021.jpg","6036_20240611_0004_R_1021.jpg")</f>
        <v>6036_20240611_0004_R_1021.jpg</v>
      </c>
      <c r="G6039" s="92" t="s">
        <v>6238</v>
      </c>
      <c r="I6039">
        <v>3</v>
      </c>
      <c r="K6039" s="57">
        <v>1</v>
      </c>
      <c r="L6039" t="s">
        <v>3959</v>
      </c>
      <c r="M6039" t="s">
        <v>3959</v>
      </c>
      <c r="N6039" t="s">
        <v>3959</v>
      </c>
      <c r="O6039" t="s">
        <v>3959</v>
      </c>
      <c r="P6039" s="57">
        <v>1</v>
      </c>
      <c r="Q6039" s="57">
        <v>0</v>
      </c>
      <c r="R6039" s="57">
        <v>0</v>
      </c>
      <c r="S6039" s="57">
        <v>0</v>
      </c>
      <c r="T6039" s="57">
        <v>0</v>
      </c>
      <c r="U6039" s="57">
        <v>0</v>
      </c>
      <c r="V6039" s="57">
        <v>0</v>
      </c>
      <c r="W6039" s="57">
        <v>0</v>
      </c>
      <c r="X6039" s="57">
        <v>0</v>
      </c>
    </row>
    <row r="6040" spans="1:24" hidden="1" x14ac:dyDescent="0.35">
      <c r="A6040">
        <v>6036</v>
      </c>
      <c r="B6040">
        <v>6037</v>
      </c>
      <c r="C6040">
        <v>146.088660556999</v>
      </c>
      <c r="D6040">
        <v>-17.638816520300001</v>
      </c>
      <c r="F6040" t="str">
        <f>HYPERLINK("D:\Data From Lucan\2024\Moresby\Frames_for_Analysis/6037_20240611_0004_R_1018.jpg","6037_20240611_0004_R_1018.jpg")</f>
        <v>6037_20240611_0004_R_1018.jpg</v>
      </c>
      <c r="G6040" s="92" t="s">
        <v>6239</v>
      </c>
      <c r="I6040">
        <v>3</v>
      </c>
      <c r="K6040" s="57">
        <v>1</v>
      </c>
      <c r="L6040" t="s">
        <v>3959</v>
      </c>
      <c r="M6040" t="s">
        <v>3959</v>
      </c>
      <c r="N6040" t="s">
        <v>3959</v>
      </c>
      <c r="O6040" t="s">
        <v>3959</v>
      </c>
      <c r="P6040" s="57">
        <v>1</v>
      </c>
      <c r="Q6040" s="57">
        <v>0</v>
      </c>
      <c r="R6040" s="57">
        <v>0</v>
      </c>
      <c r="S6040" s="57">
        <v>0</v>
      </c>
      <c r="T6040" s="57">
        <v>0</v>
      </c>
      <c r="U6040" s="57">
        <v>0</v>
      </c>
      <c r="V6040" s="57">
        <v>0</v>
      </c>
      <c r="W6040" s="57">
        <v>0</v>
      </c>
      <c r="X6040" s="57">
        <v>0</v>
      </c>
    </row>
    <row r="6041" spans="1:24" hidden="1" x14ac:dyDescent="0.35">
      <c r="A6041">
        <v>6037</v>
      </c>
      <c r="B6041">
        <v>6038</v>
      </c>
      <c r="C6041">
        <v>146.08868960800001</v>
      </c>
      <c r="D6041">
        <v>-17.6387355122</v>
      </c>
      <c r="F6041" t="str">
        <f>HYPERLINK("D:\Data From Lucan\2024\Moresby\Frames_for_Analysis/6038_20240611_0004_R_1015.jpg","6038_20240611_0004_R_1015.jpg")</f>
        <v>6038_20240611_0004_R_1015.jpg</v>
      </c>
      <c r="G6041" s="92" t="s">
        <v>6240</v>
      </c>
      <c r="I6041">
        <v>3</v>
      </c>
      <c r="K6041" s="57">
        <v>1</v>
      </c>
      <c r="L6041" t="s">
        <v>3959</v>
      </c>
      <c r="M6041" t="s">
        <v>3959</v>
      </c>
      <c r="N6041" t="s">
        <v>3959</v>
      </c>
      <c r="O6041" t="s">
        <v>3959</v>
      </c>
      <c r="P6041" s="57">
        <v>1</v>
      </c>
      <c r="Q6041" s="57">
        <v>0</v>
      </c>
      <c r="R6041" s="57">
        <v>0</v>
      </c>
      <c r="S6041" s="57">
        <v>0</v>
      </c>
      <c r="T6041" s="57">
        <v>0</v>
      </c>
      <c r="U6041" s="57">
        <v>0</v>
      </c>
      <c r="V6041" s="57">
        <v>0</v>
      </c>
      <c r="W6041" s="57">
        <v>0</v>
      </c>
      <c r="X6041" s="57">
        <v>0</v>
      </c>
    </row>
    <row r="6042" spans="1:24" hidden="1" x14ac:dyDescent="0.35">
      <c r="A6042">
        <v>6038</v>
      </c>
      <c r="B6042">
        <v>6039</v>
      </c>
      <c r="C6042">
        <v>146.088718658</v>
      </c>
      <c r="D6042">
        <v>-17.6386545041</v>
      </c>
      <c r="F6042" t="str">
        <f>HYPERLINK("D:\Data From Lucan\2024\Moresby\Frames_for_Analysis/6039_20240611_0004_R_1011.jpg","6039_20240611_0004_R_1011.jpg")</f>
        <v>6039_20240611_0004_R_1011.jpg</v>
      </c>
      <c r="G6042" s="92" t="s">
        <v>6241</v>
      </c>
      <c r="I6042">
        <v>3</v>
      </c>
      <c r="K6042" s="57">
        <v>1</v>
      </c>
      <c r="L6042" t="s">
        <v>3959</v>
      </c>
      <c r="M6042" t="s">
        <v>3959</v>
      </c>
      <c r="N6042" t="s">
        <v>3959</v>
      </c>
      <c r="O6042" t="s">
        <v>3959</v>
      </c>
      <c r="P6042" s="57">
        <v>1</v>
      </c>
      <c r="Q6042" s="57">
        <v>0</v>
      </c>
      <c r="R6042" s="57">
        <v>0</v>
      </c>
      <c r="S6042" s="57">
        <v>0</v>
      </c>
      <c r="T6042" s="57">
        <v>0</v>
      </c>
      <c r="U6042" s="57">
        <v>0</v>
      </c>
      <c r="V6042" s="57">
        <v>0</v>
      </c>
      <c r="W6042" s="57">
        <v>0</v>
      </c>
      <c r="X6042" s="57">
        <v>0</v>
      </c>
    </row>
    <row r="6043" spans="1:24" hidden="1" x14ac:dyDescent="0.35">
      <c r="A6043">
        <v>6039</v>
      </c>
      <c r="B6043">
        <v>6040</v>
      </c>
      <c r="C6043">
        <v>146.08874770899899</v>
      </c>
      <c r="D6043">
        <v>-17.638573495900001</v>
      </c>
      <c r="F6043" t="str">
        <f>HYPERLINK("D:\Data From Lucan\2024\Moresby\Frames_for_Analysis/6040_20240611_0004_R_1008.jpg","6040_20240611_0004_R_1008.jpg")</f>
        <v>6040_20240611_0004_R_1008.jpg</v>
      </c>
      <c r="G6043" s="92" t="s">
        <v>6242</v>
      </c>
      <c r="I6043">
        <v>3</v>
      </c>
      <c r="K6043" s="57">
        <v>1</v>
      </c>
      <c r="L6043" t="s">
        <v>3959</v>
      </c>
      <c r="M6043" t="s">
        <v>3959</v>
      </c>
      <c r="N6043" t="s">
        <v>3959</v>
      </c>
      <c r="O6043" t="s">
        <v>3959</v>
      </c>
      <c r="P6043" s="57">
        <v>1</v>
      </c>
      <c r="Q6043" s="57">
        <v>0</v>
      </c>
      <c r="R6043" s="57">
        <v>0</v>
      </c>
      <c r="S6043" s="57">
        <v>0</v>
      </c>
      <c r="T6043" s="57">
        <v>0</v>
      </c>
      <c r="U6043" s="57">
        <v>0</v>
      </c>
      <c r="V6043" s="57">
        <v>0</v>
      </c>
      <c r="W6043" s="57">
        <v>0</v>
      </c>
      <c r="X6043" s="57">
        <v>0</v>
      </c>
    </row>
    <row r="6044" spans="1:24" hidden="1" x14ac:dyDescent="0.35">
      <c r="A6044">
        <v>6040</v>
      </c>
      <c r="B6044">
        <v>6041</v>
      </c>
      <c r="C6044">
        <v>146.08877632599899</v>
      </c>
      <c r="D6044">
        <v>-17.6384923767</v>
      </c>
      <c r="F6044" t="str">
        <f>HYPERLINK("D:\Data From Lucan\2024\Moresby\Frames_for_Analysis/6041_20240611_0004_R_1004.jpg","6041_20240611_0004_R_1004.jpg")</f>
        <v>6041_20240611_0004_R_1004.jpg</v>
      </c>
      <c r="G6044" s="92" t="s">
        <v>6243</v>
      </c>
      <c r="I6044">
        <v>3</v>
      </c>
      <c r="K6044" s="57">
        <v>1</v>
      </c>
      <c r="L6044" t="s">
        <v>3959</v>
      </c>
      <c r="M6044" t="s">
        <v>3959</v>
      </c>
      <c r="N6044" t="s">
        <v>3959</v>
      </c>
      <c r="O6044" t="s">
        <v>3959</v>
      </c>
      <c r="P6044" s="57">
        <v>1</v>
      </c>
      <c r="Q6044" s="57">
        <v>0</v>
      </c>
      <c r="R6044" s="57">
        <v>0</v>
      </c>
      <c r="S6044" s="57">
        <v>0</v>
      </c>
      <c r="T6044" s="57">
        <v>0</v>
      </c>
      <c r="U6044" s="57">
        <v>0</v>
      </c>
      <c r="V6044" s="57">
        <v>0</v>
      </c>
      <c r="W6044" s="57">
        <v>0</v>
      </c>
      <c r="X6044" s="57">
        <v>0</v>
      </c>
    </row>
    <row r="6045" spans="1:24" hidden="1" x14ac:dyDescent="0.35">
      <c r="A6045">
        <v>6041</v>
      </c>
      <c r="B6045">
        <v>6042</v>
      </c>
      <c r="C6045">
        <v>146.088793793999</v>
      </c>
      <c r="D6045">
        <v>-17.6384084024</v>
      </c>
      <c r="F6045" t="str">
        <f>HYPERLINK("D:\Data From Lucan\2024\Moresby\Frames_for_Analysis/6042_20240611_0004_R_1001.jpg","6042_20240611_0004_R_1001.jpg")</f>
        <v>6042_20240611_0004_R_1001.jpg</v>
      </c>
      <c r="G6045" s="92" t="s">
        <v>6244</v>
      </c>
      <c r="I6045">
        <v>3</v>
      </c>
      <c r="K6045" s="57">
        <v>1</v>
      </c>
      <c r="L6045" t="s">
        <v>3959</v>
      </c>
      <c r="M6045" t="s">
        <v>3959</v>
      </c>
      <c r="N6045" t="s">
        <v>3959</v>
      </c>
      <c r="O6045" t="s">
        <v>3959</v>
      </c>
      <c r="P6045" s="57">
        <v>1</v>
      </c>
      <c r="Q6045" s="57">
        <v>0</v>
      </c>
      <c r="R6045" s="57">
        <v>0</v>
      </c>
      <c r="S6045" s="57">
        <v>0</v>
      </c>
      <c r="T6045" s="57">
        <v>0</v>
      </c>
      <c r="U6045" s="57">
        <v>0</v>
      </c>
      <c r="V6045" s="57">
        <v>0</v>
      </c>
      <c r="W6045" s="57">
        <v>0</v>
      </c>
      <c r="X6045" s="57">
        <v>0</v>
      </c>
    </row>
    <row r="6046" spans="1:24" hidden="1" x14ac:dyDescent="0.35">
      <c r="A6046">
        <v>6042</v>
      </c>
      <c r="B6046">
        <v>6043</v>
      </c>
      <c r="C6046">
        <v>146.08881126099899</v>
      </c>
      <c r="D6046">
        <v>-17.638324428099899</v>
      </c>
      <c r="F6046" t="str">
        <f>HYPERLINK("D:\Data From Lucan\2024\Moresby\Frames_for_Analysis/6043_20240611_0004_R_0998.jpg","6043_20240611_0004_R_0998.jpg")</f>
        <v>6043_20240611_0004_R_0998.jpg</v>
      </c>
      <c r="G6046" s="92" t="s">
        <v>6245</v>
      </c>
      <c r="I6046">
        <v>3</v>
      </c>
      <c r="K6046" s="57">
        <v>1</v>
      </c>
      <c r="L6046" t="s">
        <v>3959</v>
      </c>
      <c r="M6046" t="s">
        <v>3959</v>
      </c>
      <c r="N6046" t="s">
        <v>3959</v>
      </c>
      <c r="O6046" t="s">
        <v>3959</v>
      </c>
      <c r="P6046" s="57">
        <v>1</v>
      </c>
      <c r="Q6046" s="57">
        <v>0</v>
      </c>
      <c r="R6046" s="57">
        <v>0</v>
      </c>
      <c r="S6046" s="57">
        <v>0</v>
      </c>
      <c r="T6046" s="57">
        <v>0</v>
      </c>
      <c r="U6046" s="57">
        <v>0</v>
      </c>
      <c r="V6046" s="57">
        <v>0</v>
      </c>
      <c r="W6046" s="57">
        <v>0</v>
      </c>
      <c r="X6046" s="57">
        <v>0</v>
      </c>
    </row>
    <row r="6047" spans="1:24" hidden="1" x14ac:dyDescent="0.35">
      <c r="A6047">
        <v>6043</v>
      </c>
      <c r="B6047">
        <v>6044</v>
      </c>
      <c r="C6047">
        <v>146.08883066800001</v>
      </c>
      <c r="D6047">
        <v>-17.6382409160999</v>
      </c>
      <c r="F6047" t="str">
        <f>HYPERLINK("D:\Data From Lucan\2024\Moresby\Frames_for_Analysis/6044_20240611_0004_R_0996.jpg","6044_20240611_0004_R_0996.jpg")</f>
        <v>6044_20240611_0004_R_0996.jpg</v>
      </c>
      <c r="G6047" s="92" t="s">
        <v>6246</v>
      </c>
      <c r="I6047">
        <v>3</v>
      </c>
      <c r="K6047" s="57">
        <v>1</v>
      </c>
      <c r="L6047" t="s">
        <v>3959</v>
      </c>
      <c r="M6047" t="s">
        <v>3959</v>
      </c>
      <c r="N6047" t="s">
        <v>3959</v>
      </c>
      <c r="O6047" t="s">
        <v>3959</v>
      </c>
      <c r="P6047" s="57">
        <v>1</v>
      </c>
      <c r="Q6047" s="57">
        <v>0</v>
      </c>
      <c r="R6047" s="57">
        <v>0</v>
      </c>
      <c r="S6047" s="57">
        <v>0</v>
      </c>
      <c r="T6047" s="57">
        <v>0</v>
      </c>
      <c r="U6047" s="57">
        <v>0</v>
      </c>
      <c r="V6047" s="57">
        <v>0</v>
      </c>
      <c r="W6047" s="57">
        <v>0</v>
      </c>
      <c r="X6047" s="57">
        <v>0</v>
      </c>
    </row>
    <row r="6048" spans="1:24" hidden="1" x14ac:dyDescent="0.35">
      <c r="A6048">
        <v>6044</v>
      </c>
      <c r="B6048">
        <v>6045</v>
      </c>
      <c r="C6048">
        <v>146.088856749999</v>
      </c>
      <c r="D6048">
        <v>-17.638158995200001</v>
      </c>
      <c r="F6048" t="str">
        <f>HYPERLINK("D:\Data From Lucan\2024\Moresby\Frames_for_Analysis/6045_20240611_0004_R_0993.jpg","6045_20240611_0004_R_0993.jpg")</f>
        <v>6045_20240611_0004_R_0993.jpg</v>
      </c>
      <c r="G6048" s="92" t="s">
        <v>6247</v>
      </c>
      <c r="I6048">
        <v>3</v>
      </c>
      <c r="K6048" s="57">
        <v>1</v>
      </c>
      <c r="L6048" t="s">
        <v>3959</v>
      </c>
      <c r="M6048" t="s">
        <v>3959</v>
      </c>
      <c r="N6048" t="s">
        <v>3959</v>
      </c>
      <c r="O6048" t="s">
        <v>3959</v>
      </c>
      <c r="P6048" s="57">
        <v>1</v>
      </c>
      <c r="Q6048" s="57">
        <v>0</v>
      </c>
      <c r="R6048" s="57">
        <v>0</v>
      </c>
      <c r="S6048" s="57">
        <v>0</v>
      </c>
      <c r="T6048" s="57">
        <v>0</v>
      </c>
      <c r="U6048" s="57">
        <v>0</v>
      </c>
      <c r="V6048" s="57">
        <v>0</v>
      </c>
      <c r="W6048" s="57">
        <v>0</v>
      </c>
      <c r="X6048" s="57">
        <v>0</v>
      </c>
    </row>
    <row r="6049" spans="1:24" hidden="1" x14ac:dyDescent="0.35">
      <c r="A6049">
        <v>6045</v>
      </c>
      <c r="B6049">
        <v>6046</v>
      </c>
      <c r="C6049">
        <v>146.08888283100001</v>
      </c>
      <c r="D6049">
        <v>-17.6380770743</v>
      </c>
      <c r="F6049" t="str">
        <f>HYPERLINK("D:\Data From Lucan\2024\Moresby\Frames_for_Analysis/6046_20240611_0004_R_0990.jpg","6046_20240611_0004_R_0990.jpg")</f>
        <v>6046_20240611_0004_R_0990.jpg</v>
      </c>
      <c r="G6049" s="92" t="s">
        <v>6248</v>
      </c>
      <c r="I6049">
        <v>3</v>
      </c>
      <c r="K6049" s="57">
        <v>1</v>
      </c>
      <c r="L6049" t="s">
        <v>3959</v>
      </c>
      <c r="M6049" t="s">
        <v>3959</v>
      </c>
      <c r="N6049" t="s">
        <v>3959</v>
      </c>
      <c r="O6049" t="s">
        <v>3959</v>
      </c>
      <c r="P6049" s="57">
        <v>1</v>
      </c>
      <c r="Q6049" s="57">
        <v>0</v>
      </c>
      <c r="R6049" s="57">
        <v>0</v>
      </c>
      <c r="S6049" s="57">
        <v>0</v>
      </c>
      <c r="T6049" s="57">
        <v>0</v>
      </c>
      <c r="U6049" s="57">
        <v>0</v>
      </c>
      <c r="V6049" s="57">
        <v>0</v>
      </c>
      <c r="W6049" s="57">
        <v>0</v>
      </c>
      <c r="X6049" s="57">
        <v>0</v>
      </c>
    </row>
    <row r="6050" spans="1:24" hidden="1" x14ac:dyDescent="0.35">
      <c r="A6050">
        <v>6046</v>
      </c>
      <c r="B6050">
        <v>6047</v>
      </c>
      <c r="C6050">
        <v>146.088897712999</v>
      </c>
      <c r="D6050">
        <v>-17.637992799900001</v>
      </c>
      <c r="F6050" t="str">
        <f>HYPERLINK("D:\Data From Lucan\2024\Moresby\Frames_for_Analysis/6047_20240611_0004_R_0987.jpg","6047_20240611_0004_R_0987.jpg")</f>
        <v>6047_20240611_0004_R_0987.jpg</v>
      </c>
      <c r="G6050" s="92" t="s">
        <v>6249</v>
      </c>
      <c r="I6050">
        <v>3</v>
      </c>
      <c r="K6050" s="57">
        <v>1</v>
      </c>
      <c r="L6050" t="s">
        <v>3959</v>
      </c>
      <c r="M6050" t="s">
        <v>3959</v>
      </c>
      <c r="N6050" t="s">
        <v>3959</v>
      </c>
      <c r="O6050" t="s">
        <v>3959</v>
      </c>
      <c r="P6050" s="57">
        <v>1</v>
      </c>
      <c r="Q6050" s="57">
        <v>0</v>
      </c>
      <c r="R6050" s="57">
        <v>0</v>
      </c>
      <c r="S6050" s="57">
        <v>0</v>
      </c>
      <c r="T6050" s="57">
        <v>0</v>
      </c>
      <c r="U6050" s="57">
        <v>0</v>
      </c>
      <c r="V6050" s="57">
        <v>0</v>
      </c>
      <c r="W6050" s="57">
        <v>0</v>
      </c>
      <c r="X6050" s="57">
        <v>0</v>
      </c>
    </row>
    <row r="6051" spans="1:24" hidden="1" x14ac:dyDescent="0.35">
      <c r="A6051">
        <v>6047</v>
      </c>
      <c r="B6051">
        <v>6048</v>
      </c>
      <c r="C6051">
        <v>146.088910204</v>
      </c>
      <c r="D6051">
        <v>-17.637908023000001</v>
      </c>
      <c r="F6051" t="str">
        <f>HYPERLINK("D:\Data From Lucan\2024\Moresby\Frames_for_Analysis/6048_20240611_0004_R_0983.jpg","6048_20240611_0004_R_0983.jpg")</f>
        <v>6048_20240611_0004_R_0983.jpg</v>
      </c>
      <c r="G6051" s="92" t="s">
        <v>6250</v>
      </c>
      <c r="I6051">
        <v>3</v>
      </c>
      <c r="K6051" s="57">
        <v>1</v>
      </c>
      <c r="L6051" t="s">
        <v>3959</v>
      </c>
      <c r="M6051" t="s">
        <v>3959</v>
      </c>
      <c r="N6051" t="s">
        <v>3959</v>
      </c>
      <c r="O6051" t="s">
        <v>3959</v>
      </c>
      <c r="P6051" s="57">
        <v>1</v>
      </c>
      <c r="Q6051" s="57">
        <v>0</v>
      </c>
      <c r="R6051" s="57">
        <v>0</v>
      </c>
      <c r="S6051" s="57">
        <v>0</v>
      </c>
      <c r="T6051" s="57">
        <v>0</v>
      </c>
      <c r="U6051" s="57">
        <v>0</v>
      </c>
      <c r="V6051" s="57">
        <v>0</v>
      </c>
      <c r="W6051" s="57">
        <v>0</v>
      </c>
      <c r="X6051" s="57">
        <v>0</v>
      </c>
    </row>
    <row r="6052" spans="1:24" hidden="1" x14ac:dyDescent="0.35">
      <c r="A6052">
        <v>6048</v>
      </c>
      <c r="B6052">
        <v>6049</v>
      </c>
      <c r="C6052">
        <v>146.08892269500001</v>
      </c>
      <c r="D6052">
        <v>-17.637823246</v>
      </c>
      <c r="F6052" t="str">
        <f>HYPERLINK("D:\Data From Lucan\2024\Moresby\Frames_for_Analysis/6049_20240611_0004_R_0980.jpg","6049_20240611_0004_R_0980.jpg")</f>
        <v>6049_20240611_0004_R_0980.jpg</v>
      </c>
      <c r="G6052" s="92" t="s">
        <v>6251</v>
      </c>
      <c r="I6052">
        <v>3</v>
      </c>
      <c r="K6052" s="57">
        <v>1</v>
      </c>
      <c r="L6052" t="s">
        <v>3959</v>
      </c>
      <c r="M6052" t="s">
        <v>3959</v>
      </c>
      <c r="N6052" t="s">
        <v>3959</v>
      </c>
      <c r="O6052" t="s">
        <v>3959</v>
      </c>
      <c r="P6052" s="57">
        <v>1</v>
      </c>
      <c r="Q6052" s="57">
        <v>0</v>
      </c>
      <c r="R6052" s="57">
        <v>0</v>
      </c>
      <c r="S6052" s="57">
        <v>0</v>
      </c>
      <c r="T6052" s="57">
        <v>0</v>
      </c>
      <c r="U6052" s="57">
        <v>0</v>
      </c>
      <c r="V6052" s="57">
        <v>0</v>
      </c>
      <c r="W6052" s="57">
        <v>0</v>
      </c>
      <c r="X6052" s="57">
        <v>0</v>
      </c>
    </row>
    <row r="6053" spans="1:24" hidden="1" x14ac:dyDescent="0.35">
      <c r="A6053">
        <v>6049</v>
      </c>
      <c r="B6053">
        <v>6050</v>
      </c>
      <c r="C6053">
        <v>146.08892568600001</v>
      </c>
      <c r="D6053">
        <v>-17.6377383532</v>
      </c>
      <c r="F6053" t="str">
        <f>HYPERLINK("D:\Data From Lucan\2024\Moresby\Frames_for_Analysis/6050_20240611_0004_R_0975.jpg","6050_20240611_0004_R_0975.jpg")</f>
        <v>6050_20240611_0004_R_0975.jpg</v>
      </c>
      <c r="G6053" s="92" t="s">
        <v>6252</v>
      </c>
      <c r="I6053">
        <v>3</v>
      </c>
      <c r="K6053" s="57">
        <v>1</v>
      </c>
      <c r="L6053" t="s">
        <v>3959</v>
      </c>
      <c r="M6053" t="s">
        <v>3959</v>
      </c>
      <c r="N6053" t="s">
        <v>3959</v>
      </c>
      <c r="O6053" t="s">
        <v>3959</v>
      </c>
      <c r="P6053" s="57">
        <v>1</v>
      </c>
      <c r="Q6053" s="57">
        <v>0</v>
      </c>
      <c r="R6053" s="57">
        <v>0</v>
      </c>
      <c r="S6053" s="57">
        <v>0</v>
      </c>
      <c r="T6053" s="57">
        <v>0</v>
      </c>
      <c r="U6053" s="57">
        <v>0</v>
      </c>
      <c r="V6053" s="57">
        <v>0</v>
      </c>
      <c r="W6053" s="57">
        <v>0</v>
      </c>
      <c r="X6053" s="57">
        <v>0</v>
      </c>
    </row>
    <row r="6054" spans="1:24" hidden="1" x14ac:dyDescent="0.35">
      <c r="A6054">
        <v>6050</v>
      </c>
      <c r="B6054">
        <v>6051</v>
      </c>
      <c r="C6054">
        <v>146.088915474999</v>
      </c>
      <c r="D6054">
        <v>-17.6376532994</v>
      </c>
      <c r="F6054" t="str">
        <f>HYPERLINK("D:\Data From Lucan\2024\Moresby\Frames_for_Analysis/6051_20240611_0004_R_0972.jpg","6051_20240611_0004_R_0972.jpg")</f>
        <v>6051_20240611_0004_R_0972.jpg</v>
      </c>
      <c r="G6054" s="92" t="s">
        <v>6253</v>
      </c>
      <c r="I6054">
        <v>3</v>
      </c>
      <c r="K6054" s="57">
        <v>1</v>
      </c>
      <c r="L6054" t="s">
        <v>3959</v>
      </c>
      <c r="M6054" t="s">
        <v>3959</v>
      </c>
      <c r="N6054" t="s">
        <v>3959</v>
      </c>
      <c r="O6054" t="s">
        <v>3959</v>
      </c>
      <c r="P6054" s="57">
        <v>1</v>
      </c>
      <c r="Q6054" s="57">
        <v>0</v>
      </c>
      <c r="R6054" s="57">
        <v>0</v>
      </c>
      <c r="S6054" s="57">
        <v>0</v>
      </c>
      <c r="T6054" s="57">
        <v>0</v>
      </c>
      <c r="U6054" s="57">
        <v>0</v>
      </c>
      <c r="V6054" s="57">
        <v>0</v>
      </c>
      <c r="W6054" s="57">
        <v>0</v>
      </c>
      <c r="X6054" s="57">
        <v>0</v>
      </c>
    </row>
    <row r="6055" spans="1:24" hidden="1" x14ac:dyDescent="0.35">
      <c r="A6055">
        <v>6051</v>
      </c>
      <c r="B6055">
        <v>6052</v>
      </c>
      <c r="C6055">
        <v>146.088905264</v>
      </c>
      <c r="D6055">
        <v>-17.637568245499899</v>
      </c>
      <c r="F6055" t="str">
        <f>HYPERLINK("D:\Data From Lucan\2024\Moresby\Frames_for_Analysis/6052_20240611_0004_R_0968.jpg","6052_20240611_0004_R_0968.jpg")</f>
        <v>6052_20240611_0004_R_0968.jpg</v>
      </c>
      <c r="G6055" s="92" t="s">
        <v>6254</v>
      </c>
      <c r="I6055">
        <v>3</v>
      </c>
      <c r="K6055" s="57">
        <v>1</v>
      </c>
      <c r="L6055" t="s">
        <v>3959</v>
      </c>
      <c r="M6055" t="s">
        <v>3959</v>
      </c>
      <c r="N6055" t="s">
        <v>3959</v>
      </c>
      <c r="O6055" t="s">
        <v>3959</v>
      </c>
      <c r="P6055" s="57">
        <v>1</v>
      </c>
      <c r="Q6055" s="57">
        <v>0</v>
      </c>
      <c r="R6055" s="57">
        <v>0</v>
      </c>
      <c r="S6055" s="57">
        <v>0</v>
      </c>
      <c r="T6055" s="57">
        <v>0</v>
      </c>
      <c r="U6055" s="57">
        <v>0</v>
      </c>
      <c r="V6055" s="57">
        <v>0</v>
      </c>
      <c r="W6055" s="57">
        <v>0</v>
      </c>
      <c r="X6055" s="57">
        <v>0</v>
      </c>
    </row>
    <row r="6056" spans="1:24" hidden="1" x14ac:dyDescent="0.35">
      <c r="A6056">
        <v>6052</v>
      </c>
      <c r="B6056">
        <v>6053</v>
      </c>
      <c r="C6056">
        <v>146.08889505299899</v>
      </c>
      <c r="D6056">
        <v>-17.637483191600001</v>
      </c>
      <c r="F6056" t="str">
        <f>HYPERLINK("D:\Data From Lucan\2024\Moresby\Frames_for_Analysis/6053_20240611_0004_R_0964.jpg","6053_20240611_0004_R_0964.jpg")</f>
        <v>6053_20240611_0004_R_0964.jpg</v>
      </c>
      <c r="G6056" s="92" t="s">
        <v>6255</v>
      </c>
      <c r="I6056">
        <v>3</v>
      </c>
      <c r="K6056" s="57">
        <v>1</v>
      </c>
      <c r="L6056" t="s">
        <v>3959</v>
      </c>
      <c r="M6056" t="s">
        <v>3959</v>
      </c>
      <c r="N6056" t="s">
        <v>3959</v>
      </c>
      <c r="O6056" t="s">
        <v>3959</v>
      </c>
      <c r="P6056" s="57">
        <v>1</v>
      </c>
      <c r="Q6056" s="57">
        <v>0</v>
      </c>
      <c r="R6056" s="57">
        <v>0</v>
      </c>
      <c r="S6056" s="57">
        <v>0</v>
      </c>
      <c r="T6056" s="57">
        <v>0</v>
      </c>
      <c r="U6056" s="57">
        <v>0</v>
      </c>
      <c r="V6056" s="57">
        <v>0</v>
      </c>
      <c r="W6056" s="57">
        <v>0</v>
      </c>
      <c r="X6056" s="57">
        <v>0</v>
      </c>
    </row>
    <row r="6057" spans="1:24" hidden="1" x14ac:dyDescent="0.35">
      <c r="A6057">
        <v>6053</v>
      </c>
      <c r="B6057">
        <v>6054</v>
      </c>
      <c r="C6057">
        <v>146.088869407</v>
      </c>
      <c r="D6057">
        <v>-17.637402289499899</v>
      </c>
      <c r="F6057" t="str">
        <f>HYPERLINK("D:\Data From Lucan\2024\Moresby\Frames_for_Analysis/6054_20240611_0004_R_0958.jpg","6054_20240611_0004_R_0958.jpg")</f>
        <v>6054_20240611_0004_R_0958.jpg</v>
      </c>
      <c r="G6057" s="92" t="s">
        <v>6256</v>
      </c>
      <c r="I6057">
        <v>3</v>
      </c>
      <c r="K6057" s="57">
        <v>1</v>
      </c>
      <c r="L6057" t="s">
        <v>3959</v>
      </c>
      <c r="M6057" t="s">
        <v>3959</v>
      </c>
      <c r="N6057" t="s">
        <v>3959</v>
      </c>
      <c r="O6057" t="s">
        <v>3959</v>
      </c>
      <c r="P6057" s="57">
        <v>1</v>
      </c>
      <c r="Q6057" s="57">
        <v>0</v>
      </c>
      <c r="R6057" s="57">
        <v>0</v>
      </c>
      <c r="S6057" s="57">
        <v>0</v>
      </c>
      <c r="T6057" s="57">
        <v>0</v>
      </c>
      <c r="U6057" s="57">
        <v>0</v>
      </c>
      <c r="V6057" s="57">
        <v>0</v>
      </c>
      <c r="W6057" s="57">
        <v>0</v>
      </c>
      <c r="X6057" s="57">
        <v>0</v>
      </c>
    </row>
    <row r="6058" spans="1:24" hidden="1" x14ac:dyDescent="0.35">
      <c r="A6058">
        <v>6054</v>
      </c>
      <c r="B6058">
        <v>6055</v>
      </c>
      <c r="C6058">
        <v>146.088831446</v>
      </c>
      <c r="D6058">
        <v>-17.637324699800001</v>
      </c>
      <c r="F6058" t="str">
        <f>HYPERLINK("D:\Data From Lucan\2024\Moresby\Frames_for_Analysis/6055_20240611_0004_R_0954.jpg","6055_20240611_0004_R_0954.jpg")</f>
        <v>6055_20240611_0004_R_0954.jpg</v>
      </c>
      <c r="G6058" s="92" t="s">
        <v>6257</v>
      </c>
      <c r="I6058">
        <v>3</v>
      </c>
      <c r="K6058" s="57">
        <v>1</v>
      </c>
      <c r="L6058" t="s">
        <v>3959</v>
      </c>
      <c r="M6058" t="s">
        <v>3959</v>
      </c>
      <c r="N6058" t="s">
        <v>3959</v>
      </c>
      <c r="O6058" t="s">
        <v>3959</v>
      </c>
      <c r="P6058" s="57">
        <v>1</v>
      </c>
      <c r="Q6058" s="57">
        <v>0</v>
      </c>
      <c r="R6058" s="57">
        <v>0</v>
      </c>
      <c r="S6058" s="57">
        <v>0</v>
      </c>
      <c r="T6058" s="57">
        <v>0</v>
      </c>
      <c r="U6058" s="57">
        <v>0</v>
      </c>
      <c r="V6058" s="57">
        <v>0</v>
      </c>
      <c r="W6058" s="57">
        <v>0</v>
      </c>
      <c r="X6058" s="57">
        <v>0</v>
      </c>
    </row>
    <row r="6059" spans="1:24" hidden="1" x14ac:dyDescent="0.35">
      <c r="A6059">
        <v>6055</v>
      </c>
      <c r="B6059">
        <v>6056</v>
      </c>
      <c r="C6059">
        <v>146.08879348599899</v>
      </c>
      <c r="D6059">
        <v>-17.637247110200001</v>
      </c>
      <c r="F6059" t="str">
        <f>HYPERLINK("D:\Data From Lucan\2024\Moresby\Frames_for_Analysis/6056_20240611_0004_R_0951.jpg","6056_20240611_0004_R_0951.jpg")</f>
        <v>6056_20240611_0004_R_0951.jpg</v>
      </c>
      <c r="G6059" s="92" t="s">
        <v>6258</v>
      </c>
      <c r="I6059">
        <v>3</v>
      </c>
      <c r="K6059" s="57">
        <v>1</v>
      </c>
      <c r="L6059" t="s">
        <v>3959</v>
      </c>
      <c r="M6059" t="s">
        <v>3959</v>
      </c>
      <c r="N6059" t="s">
        <v>3959</v>
      </c>
      <c r="O6059" t="s">
        <v>3959</v>
      </c>
      <c r="P6059" s="57">
        <v>1</v>
      </c>
      <c r="Q6059" s="57">
        <v>0</v>
      </c>
      <c r="R6059" s="57">
        <v>0</v>
      </c>
      <c r="S6059" s="57">
        <v>0</v>
      </c>
      <c r="T6059" s="57">
        <v>0</v>
      </c>
      <c r="U6059" s="57">
        <v>0</v>
      </c>
      <c r="V6059" s="57">
        <v>0</v>
      </c>
      <c r="W6059" s="57">
        <v>0</v>
      </c>
      <c r="X6059" s="57">
        <v>0</v>
      </c>
    </row>
    <row r="6060" spans="1:24" hidden="1" x14ac:dyDescent="0.35">
      <c r="A6060">
        <v>6056</v>
      </c>
      <c r="B6060">
        <v>6057</v>
      </c>
      <c r="C6060">
        <v>146.08875247500001</v>
      </c>
      <c r="D6060">
        <v>-17.6371713393</v>
      </c>
      <c r="F6060" t="str">
        <f>HYPERLINK("D:\Data From Lucan\2024\Moresby\Frames_for_Analysis/6057_20240611_0004_R_0948.jpg","6057_20240611_0004_R_0948.jpg")</f>
        <v>6057_20240611_0004_R_0948.jpg</v>
      </c>
      <c r="G6060" s="92" t="s">
        <v>6259</v>
      </c>
      <c r="I6060">
        <v>3</v>
      </c>
      <c r="K6060" s="57">
        <v>1</v>
      </c>
      <c r="L6060" t="s">
        <v>3959</v>
      </c>
      <c r="M6060" t="s">
        <v>3959</v>
      </c>
      <c r="N6060" t="s">
        <v>3959</v>
      </c>
      <c r="O6060" t="s">
        <v>3959</v>
      </c>
      <c r="P6060" s="57">
        <v>1</v>
      </c>
      <c r="Q6060" s="57">
        <v>0</v>
      </c>
      <c r="R6060" s="57">
        <v>0</v>
      </c>
      <c r="S6060" s="57">
        <v>0</v>
      </c>
      <c r="T6060" s="57">
        <v>0</v>
      </c>
      <c r="U6060" s="57">
        <v>0</v>
      </c>
      <c r="V6060" s="57">
        <v>0</v>
      </c>
      <c r="W6060" s="57">
        <v>0</v>
      </c>
      <c r="X6060" s="57">
        <v>0</v>
      </c>
    </row>
    <row r="6061" spans="1:24" hidden="1" x14ac:dyDescent="0.35">
      <c r="A6061">
        <v>6057</v>
      </c>
      <c r="B6061">
        <v>6058</v>
      </c>
      <c r="C6061">
        <v>146.088695849999</v>
      </c>
      <c r="D6061">
        <v>-17.637104879700001</v>
      </c>
      <c r="F6061" t="str">
        <f>HYPERLINK("D:\Data From Lucan\2024\Moresby\Frames_for_Analysis/6058_20240611_0004_R_0945.jpg","6058_20240611_0004_R_0945.jpg")</f>
        <v>6058_20240611_0004_R_0945.jpg</v>
      </c>
      <c r="G6061" s="92" t="s">
        <v>6260</v>
      </c>
      <c r="I6061">
        <v>3</v>
      </c>
      <c r="K6061" s="57">
        <v>1</v>
      </c>
      <c r="L6061" t="s">
        <v>3959</v>
      </c>
      <c r="M6061" t="s">
        <v>3959</v>
      </c>
      <c r="N6061" t="s">
        <v>3959</v>
      </c>
      <c r="O6061" t="s">
        <v>3959</v>
      </c>
      <c r="P6061" s="57">
        <v>1</v>
      </c>
      <c r="Q6061" s="57">
        <v>0</v>
      </c>
      <c r="R6061" s="57">
        <v>0</v>
      </c>
      <c r="S6061" s="57">
        <v>0</v>
      </c>
      <c r="T6061" s="57">
        <v>0</v>
      </c>
      <c r="U6061" s="57">
        <v>0</v>
      </c>
      <c r="V6061" s="57">
        <v>0</v>
      </c>
      <c r="W6061" s="57">
        <v>0</v>
      </c>
      <c r="X6061" s="57">
        <v>0</v>
      </c>
    </row>
    <row r="6062" spans="1:24" hidden="1" x14ac:dyDescent="0.35">
      <c r="A6062">
        <v>6058</v>
      </c>
      <c r="B6062">
        <v>6059</v>
      </c>
      <c r="C6062">
        <v>146.08863922500001</v>
      </c>
      <c r="D6062">
        <v>-17.637038420100001</v>
      </c>
      <c r="F6062" t="str">
        <f>HYPERLINK("D:\Data From Lucan\2024\Moresby\Frames_for_Analysis/6059_20240611_0004_R_0941.jpg","6059_20240611_0004_R_0941.jpg")</f>
        <v>6059_20240611_0004_R_0941.jpg</v>
      </c>
      <c r="G6062" s="92" t="s">
        <v>6261</v>
      </c>
      <c r="I6062">
        <v>3</v>
      </c>
      <c r="K6062" s="57">
        <v>1</v>
      </c>
      <c r="L6062" t="s">
        <v>3959</v>
      </c>
      <c r="M6062" t="s">
        <v>3959</v>
      </c>
      <c r="N6062" t="s">
        <v>3959</v>
      </c>
      <c r="O6062" t="s">
        <v>3959</v>
      </c>
      <c r="P6062" s="57">
        <v>1</v>
      </c>
      <c r="Q6062" s="57">
        <v>0</v>
      </c>
      <c r="R6062" s="57">
        <v>0</v>
      </c>
      <c r="S6062" s="57">
        <v>0</v>
      </c>
      <c r="T6062" s="57">
        <v>0</v>
      </c>
      <c r="U6062" s="57">
        <v>0</v>
      </c>
      <c r="V6062" s="57">
        <v>0</v>
      </c>
      <c r="W6062" s="57">
        <v>0</v>
      </c>
      <c r="X6062" s="57">
        <v>0</v>
      </c>
    </row>
    <row r="6063" spans="1:24" hidden="1" x14ac:dyDescent="0.35">
      <c r="A6063">
        <v>6059</v>
      </c>
      <c r="B6063">
        <v>6060</v>
      </c>
      <c r="C6063">
        <v>146.08858260100001</v>
      </c>
      <c r="D6063">
        <v>-17.6369719604</v>
      </c>
      <c r="F6063" t="str">
        <f>HYPERLINK("D:\Data From Lucan\2024\Moresby\Frames_for_Analysis/6060_20240611_0004_R_0938.jpg","6060_20240611_0004_R_0938.jpg")</f>
        <v>6060_20240611_0004_R_0938.jpg</v>
      </c>
      <c r="G6063" s="92" t="s">
        <v>6262</v>
      </c>
      <c r="I6063">
        <v>3</v>
      </c>
      <c r="K6063" s="57">
        <v>1</v>
      </c>
      <c r="L6063" t="s">
        <v>3959</v>
      </c>
      <c r="M6063" t="s">
        <v>3959</v>
      </c>
      <c r="N6063" t="s">
        <v>3959</v>
      </c>
      <c r="O6063" t="s">
        <v>3959</v>
      </c>
      <c r="P6063" s="57">
        <v>1</v>
      </c>
      <c r="Q6063" s="57">
        <v>0</v>
      </c>
      <c r="R6063" s="57">
        <v>0</v>
      </c>
      <c r="S6063" s="57">
        <v>0</v>
      </c>
      <c r="T6063" s="57">
        <v>0</v>
      </c>
      <c r="U6063" s="57">
        <v>0</v>
      </c>
      <c r="V6063" s="57">
        <v>0</v>
      </c>
      <c r="W6063" s="57">
        <v>0</v>
      </c>
      <c r="X6063" s="57">
        <v>0</v>
      </c>
    </row>
    <row r="6064" spans="1:24" hidden="1" x14ac:dyDescent="0.35">
      <c r="A6064">
        <v>6060</v>
      </c>
      <c r="B6064">
        <v>6061</v>
      </c>
      <c r="C6064">
        <v>146.08852442200001</v>
      </c>
      <c r="D6064">
        <v>-17.636906857900001</v>
      </c>
      <c r="F6064" t="str">
        <f>HYPERLINK("D:\Data From Lucan\2024\Moresby\Frames_for_Analysis/6061_20240611_0004_R_0935.jpg","6061_20240611_0004_R_0935.jpg")</f>
        <v>6061_20240611_0004_R_0935.jpg</v>
      </c>
      <c r="G6064" s="92" t="s">
        <v>6263</v>
      </c>
      <c r="I6064">
        <v>3</v>
      </c>
      <c r="K6064" s="57">
        <v>1</v>
      </c>
      <c r="L6064" t="s">
        <v>3959</v>
      </c>
      <c r="M6064" t="s">
        <v>3959</v>
      </c>
      <c r="N6064" t="s">
        <v>3959</v>
      </c>
      <c r="O6064" t="s">
        <v>3959</v>
      </c>
      <c r="P6064" s="57">
        <v>1</v>
      </c>
      <c r="Q6064" s="57">
        <v>0</v>
      </c>
      <c r="R6064" s="57">
        <v>0</v>
      </c>
      <c r="S6064" s="57">
        <v>0</v>
      </c>
      <c r="T6064" s="57">
        <v>0</v>
      </c>
      <c r="U6064" s="57">
        <v>0</v>
      </c>
      <c r="V6064" s="57">
        <v>0</v>
      </c>
      <c r="W6064" s="57">
        <v>0</v>
      </c>
      <c r="X6064" s="57">
        <v>0</v>
      </c>
    </row>
    <row r="6065" spans="1:24" hidden="1" x14ac:dyDescent="0.35">
      <c r="A6065">
        <v>6061</v>
      </c>
      <c r="B6065">
        <v>6062</v>
      </c>
      <c r="C6065">
        <v>146.08845986200001</v>
      </c>
      <c r="D6065">
        <v>-17.636847330999899</v>
      </c>
      <c r="F6065" t="str">
        <f>HYPERLINK("D:\Data From Lucan\2024\Moresby\Frames_for_Analysis/6062_20240611_0004_R_0932.jpg","6062_20240611_0004_R_0932.jpg")</f>
        <v>6062_20240611_0004_R_0932.jpg</v>
      </c>
      <c r="G6065" s="92" t="s">
        <v>6264</v>
      </c>
      <c r="I6065">
        <v>3</v>
      </c>
      <c r="K6065" s="57">
        <v>1</v>
      </c>
      <c r="L6065" t="s">
        <v>3959</v>
      </c>
      <c r="M6065" t="s">
        <v>3959</v>
      </c>
      <c r="N6065" t="s">
        <v>3959</v>
      </c>
      <c r="O6065" t="s">
        <v>3959</v>
      </c>
      <c r="P6065" s="57">
        <v>1</v>
      </c>
      <c r="Q6065" s="57">
        <v>0</v>
      </c>
      <c r="R6065" s="57">
        <v>0</v>
      </c>
      <c r="S6065" s="57">
        <v>0</v>
      </c>
      <c r="T6065" s="57">
        <v>0</v>
      </c>
      <c r="U6065" s="57">
        <v>0</v>
      </c>
      <c r="V6065" s="57">
        <v>0</v>
      </c>
      <c r="W6065" s="57">
        <v>0</v>
      </c>
      <c r="X6065" s="57">
        <v>0</v>
      </c>
    </row>
    <row r="6066" spans="1:24" hidden="1" x14ac:dyDescent="0.35">
      <c r="A6066">
        <v>6062</v>
      </c>
      <c r="B6066">
        <v>6063</v>
      </c>
      <c r="C6066">
        <v>146.088395300999</v>
      </c>
      <c r="D6066">
        <v>-17.6367878040999</v>
      </c>
      <c r="F6066" t="str">
        <f>HYPERLINK("D:\Data From Lucan\2024\Moresby\Frames_for_Analysis/6063_20240611_0004_R_0928.jpg","6063_20240611_0004_R_0928.jpg")</f>
        <v>6063_20240611_0004_R_0928.jpg</v>
      </c>
      <c r="G6066" s="92" t="s">
        <v>6265</v>
      </c>
      <c r="I6066">
        <v>3</v>
      </c>
      <c r="K6066" s="57">
        <v>1</v>
      </c>
      <c r="L6066" t="s">
        <v>3959</v>
      </c>
      <c r="M6066" t="s">
        <v>3959</v>
      </c>
      <c r="N6066" t="s">
        <v>3959</v>
      </c>
      <c r="O6066" t="s">
        <v>3959</v>
      </c>
      <c r="P6066" s="57">
        <v>1</v>
      </c>
      <c r="Q6066" s="57">
        <v>0</v>
      </c>
      <c r="R6066" s="57">
        <v>0</v>
      </c>
      <c r="S6066" s="57">
        <v>0</v>
      </c>
      <c r="T6066" s="57">
        <v>0</v>
      </c>
      <c r="U6066" s="57">
        <v>0</v>
      </c>
      <c r="V6066" s="57">
        <v>0</v>
      </c>
      <c r="W6066" s="57">
        <v>0</v>
      </c>
      <c r="X6066" s="57">
        <v>0</v>
      </c>
    </row>
    <row r="6067" spans="1:24" hidden="1" x14ac:dyDescent="0.35">
      <c r="A6067">
        <v>6063</v>
      </c>
      <c r="B6067">
        <v>6064</v>
      </c>
      <c r="C6067">
        <v>146.08831774199899</v>
      </c>
      <c r="D6067">
        <v>-17.6367447173999</v>
      </c>
      <c r="F6067" t="str">
        <f>HYPERLINK("D:\Data From Lucan\2024\Moresby\Frames_for_Analysis/6064_20240611_0004_R_0925.jpg","6064_20240611_0004_R_0925.jpg")</f>
        <v>6064_20240611_0004_R_0925.jpg</v>
      </c>
      <c r="G6067" s="92" t="s">
        <v>6266</v>
      </c>
      <c r="I6067">
        <v>3</v>
      </c>
      <c r="K6067" s="57">
        <v>1</v>
      </c>
      <c r="L6067" t="s">
        <v>3959</v>
      </c>
      <c r="M6067" t="s">
        <v>3959</v>
      </c>
      <c r="N6067" t="s">
        <v>3959</v>
      </c>
      <c r="O6067" t="s">
        <v>3959</v>
      </c>
      <c r="P6067" s="57">
        <v>1</v>
      </c>
      <c r="Q6067" s="57">
        <v>0</v>
      </c>
      <c r="R6067" s="57">
        <v>0</v>
      </c>
      <c r="S6067" s="57">
        <v>0</v>
      </c>
      <c r="T6067" s="57">
        <v>0</v>
      </c>
      <c r="U6067" s="57">
        <v>0</v>
      </c>
      <c r="V6067" s="57">
        <v>0</v>
      </c>
      <c r="W6067" s="57">
        <v>0</v>
      </c>
      <c r="X6067" s="57">
        <v>0</v>
      </c>
    </row>
    <row r="6068" spans="1:24" hidden="1" x14ac:dyDescent="0.35">
      <c r="A6068">
        <v>6064</v>
      </c>
      <c r="B6068">
        <v>6065</v>
      </c>
      <c r="C6068">
        <v>146.08823989800001</v>
      </c>
      <c r="D6068">
        <v>-17.6367019923999</v>
      </c>
      <c r="F6068" t="str">
        <f>HYPERLINK("D:\Data From Lucan\2024\Moresby\Frames_for_Analysis/6065_20240611_0004_R_0922.jpg","6065_20240611_0004_R_0922.jpg")</f>
        <v>6065_20240611_0004_R_0922.jpg</v>
      </c>
      <c r="G6068" s="92" t="s">
        <v>6267</v>
      </c>
      <c r="I6068">
        <v>3</v>
      </c>
      <c r="K6068" s="57">
        <v>1</v>
      </c>
      <c r="L6068" t="s">
        <v>3959</v>
      </c>
      <c r="M6068" t="s">
        <v>3959</v>
      </c>
      <c r="N6068" t="s">
        <v>3959</v>
      </c>
      <c r="O6068" t="s">
        <v>3959</v>
      </c>
      <c r="P6068" s="57">
        <v>1</v>
      </c>
      <c r="Q6068" s="57">
        <v>0</v>
      </c>
      <c r="R6068" s="57">
        <v>0</v>
      </c>
      <c r="S6068" s="57">
        <v>0</v>
      </c>
      <c r="T6068" s="57">
        <v>0</v>
      </c>
      <c r="U6068" s="57">
        <v>0</v>
      </c>
      <c r="V6068" s="57">
        <v>0</v>
      </c>
      <c r="W6068" s="57">
        <v>0</v>
      </c>
      <c r="X6068" s="57">
        <v>0</v>
      </c>
    </row>
    <row r="6069" spans="1:24" hidden="1" x14ac:dyDescent="0.35">
      <c r="A6069">
        <v>6065</v>
      </c>
      <c r="B6069">
        <v>6066</v>
      </c>
      <c r="C6069">
        <v>146.088162052999</v>
      </c>
      <c r="D6069">
        <v>-17.636659267500001</v>
      </c>
      <c r="F6069" t="str">
        <f>HYPERLINK("D:\Data From Lucan\2024\Moresby\Frames_for_Analysis/6066_20240611_0004_R_0918.jpg","6066_20240611_0004_R_0918.jpg")</f>
        <v>6066_20240611_0004_R_0918.jpg</v>
      </c>
      <c r="G6069" s="92" t="s">
        <v>6268</v>
      </c>
      <c r="I6069">
        <v>3</v>
      </c>
      <c r="K6069" s="57">
        <v>1</v>
      </c>
      <c r="L6069" t="s">
        <v>3959</v>
      </c>
      <c r="M6069" t="s">
        <v>3959</v>
      </c>
      <c r="N6069" t="s">
        <v>3959</v>
      </c>
      <c r="O6069" t="s">
        <v>3959</v>
      </c>
      <c r="P6069" s="57">
        <v>1</v>
      </c>
      <c r="Q6069" s="57">
        <v>0</v>
      </c>
      <c r="R6069" s="57">
        <v>0</v>
      </c>
      <c r="S6069" s="57">
        <v>0</v>
      </c>
      <c r="T6069" s="57">
        <v>0</v>
      </c>
      <c r="U6069" s="57">
        <v>0</v>
      </c>
      <c r="V6069" s="57">
        <v>0</v>
      </c>
      <c r="W6069" s="57">
        <v>0</v>
      </c>
      <c r="X6069" s="57">
        <v>0</v>
      </c>
    </row>
    <row r="6070" spans="1:24" hidden="1" x14ac:dyDescent="0.35">
      <c r="A6070">
        <v>6066</v>
      </c>
      <c r="B6070">
        <v>6067</v>
      </c>
      <c r="C6070">
        <v>146.08808420899899</v>
      </c>
      <c r="D6070">
        <v>-17.636616542500001</v>
      </c>
      <c r="F6070" t="str">
        <f>HYPERLINK("D:\Data From Lucan\2024\Moresby\Frames_for_Analysis/6067_20240611_0004_R_0915.jpg","6067_20240611_0004_R_0915.jpg")</f>
        <v>6067_20240611_0004_R_0915.jpg</v>
      </c>
      <c r="G6070" s="92" t="s">
        <v>6269</v>
      </c>
      <c r="I6070">
        <v>3</v>
      </c>
      <c r="K6070" s="57">
        <v>1</v>
      </c>
      <c r="L6070" t="s">
        <v>3959</v>
      </c>
      <c r="M6070" t="s">
        <v>3959</v>
      </c>
      <c r="N6070" t="s">
        <v>3959</v>
      </c>
      <c r="O6070" t="s">
        <v>3959</v>
      </c>
      <c r="P6070" s="57">
        <v>1</v>
      </c>
      <c r="Q6070" s="57">
        <v>0</v>
      </c>
      <c r="R6070" s="57">
        <v>0</v>
      </c>
      <c r="S6070" s="57">
        <v>0</v>
      </c>
      <c r="T6070" s="57">
        <v>0</v>
      </c>
      <c r="U6070" s="57">
        <v>0</v>
      </c>
      <c r="V6070" s="57">
        <v>0</v>
      </c>
      <c r="W6070" s="57">
        <v>0</v>
      </c>
      <c r="X6070" s="57">
        <v>0</v>
      </c>
    </row>
    <row r="6071" spans="1:24" hidden="1" x14ac:dyDescent="0.35">
      <c r="A6071">
        <v>6067</v>
      </c>
      <c r="B6071">
        <v>6068</v>
      </c>
      <c r="C6071">
        <v>146.088004484999</v>
      </c>
      <c r="D6071">
        <v>-17.636577532</v>
      </c>
      <c r="F6071" t="str">
        <f>HYPERLINK("D:\Data From Lucan\2024\Moresby\Frames_for_Analysis/6068_20240611_0004_R_0912.jpg","6068_20240611_0004_R_0912.jpg")</f>
        <v>6068_20240611_0004_R_0912.jpg</v>
      </c>
      <c r="G6071" s="92" t="s">
        <v>6270</v>
      </c>
      <c r="I6071">
        <v>3</v>
      </c>
      <c r="K6071" s="57">
        <v>1</v>
      </c>
      <c r="L6071" t="s">
        <v>3959</v>
      </c>
      <c r="M6071" t="s">
        <v>3959</v>
      </c>
      <c r="N6071" t="s">
        <v>3959</v>
      </c>
      <c r="O6071" t="s">
        <v>3959</v>
      </c>
      <c r="P6071" s="57">
        <v>1</v>
      </c>
      <c r="Q6071" s="57">
        <v>0</v>
      </c>
      <c r="R6071" s="57">
        <v>0</v>
      </c>
      <c r="S6071" s="57">
        <v>0</v>
      </c>
      <c r="T6071" s="57">
        <v>0</v>
      </c>
      <c r="U6071" s="57">
        <v>0</v>
      </c>
      <c r="V6071" s="57">
        <v>0</v>
      </c>
      <c r="W6071" s="57">
        <v>0</v>
      </c>
      <c r="X6071" s="57">
        <v>0</v>
      </c>
    </row>
    <row r="6072" spans="1:24" hidden="1" x14ac:dyDescent="0.35">
      <c r="A6072">
        <v>6068</v>
      </c>
      <c r="B6072">
        <v>6069</v>
      </c>
      <c r="C6072">
        <v>146.087920924999</v>
      </c>
      <c r="D6072">
        <v>-17.636546106600001</v>
      </c>
      <c r="F6072" t="str">
        <f>HYPERLINK("D:\Data From Lucan\2024\Moresby\Frames_for_Analysis/6069_20240611_0004_R_0908.jpg","6069_20240611_0004_R_0908.jpg")</f>
        <v>6069_20240611_0004_R_0908.jpg</v>
      </c>
      <c r="G6072" s="92" t="s">
        <v>6271</v>
      </c>
      <c r="I6072">
        <v>3</v>
      </c>
      <c r="K6072" s="57">
        <v>1</v>
      </c>
      <c r="L6072" t="s">
        <v>3959</v>
      </c>
      <c r="M6072" t="s">
        <v>3959</v>
      </c>
      <c r="N6072" t="s">
        <v>3959</v>
      </c>
      <c r="O6072" t="s">
        <v>3959</v>
      </c>
      <c r="P6072" s="57">
        <v>1</v>
      </c>
      <c r="Q6072" s="57">
        <v>0</v>
      </c>
      <c r="R6072" s="57">
        <v>0</v>
      </c>
      <c r="S6072" s="57">
        <v>0</v>
      </c>
      <c r="T6072" s="57">
        <v>0</v>
      </c>
      <c r="U6072" s="57">
        <v>0</v>
      </c>
      <c r="V6072" s="57">
        <v>0</v>
      </c>
      <c r="W6072" s="57">
        <v>0</v>
      </c>
      <c r="X6072" s="57">
        <v>0</v>
      </c>
    </row>
    <row r="6073" spans="1:24" hidden="1" x14ac:dyDescent="0.35">
      <c r="A6073">
        <v>6069</v>
      </c>
      <c r="B6073">
        <v>6070</v>
      </c>
      <c r="C6073">
        <v>146.087837363999</v>
      </c>
      <c r="D6073">
        <v>-17.6365146813</v>
      </c>
      <c r="F6073" t="str">
        <f>HYPERLINK("D:\Data From Lucan\2024\Moresby\Frames_for_Analysis/6070_20240611_0004_R_0905.jpg","6070_20240611_0004_R_0905.jpg")</f>
        <v>6070_20240611_0004_R_0905.jpg</v>
      </c>
      <c r="G6073" s="92" t="s">
        <v>6272</v>
      </c>
      <c r="I6073">
        <v>3</v>
      </c>
      <c r="K6073" s="57">
        <v>1</v>
      </c>
      <c r="L6073" t="s">
        <v>3959</v>
      </c>
      <c r="M6073" t="s">
        <v>3959</v>
      </c>
      <c r="N6073" t="s">
        <v>3959</v>
      </c>
      <c r="O6073" t="s">
        <v>3959</v>
      </c>
      <c r="P6073" s="57">
        <v>1</v>
      </c>
      <c r="Q6073" s="57">
        <v>0</v>
      </c>
      <c r="R6073" s="57">
        <v>0</v>
      </c>
      <c r="S6073" s="57">
        <v>0</v>
      </c>
      <c r="T6073" s="57">
        <v>0</v>
      </c>
      <c r="U6073" s="57">
        <v>0</v>
      </c>
      <c r="V6073" s="57">
        <v>0</v>
      </c>
      <c r="W6073" s="57">
        <v>0</v>
      </c>
      <c r="X6073" s="57">
        <v>0</v>
      </c>
    </row>
    <row r="6074" spans="1:24" hidden="1" x14ac:dyDescent="0.35">
      <c r="A6074">
        <v>6070</v>
      </c>
      <c r="B6074">
        <v>6071</v>
      </c>
      <c r="C6074">
        <v>146.08775380399899</v>
      </c>
      <c r="D6074">
        <v>-17.6364832559</v>
      </c>
      <c r="F6074" t="str">
        <f>HYPERLINK("D:\Data From Lucan\2024\Moresby\Frames_for_Analysis/6071_20240611_0004_R_0902.jpg","6071_20240611_0004_R_0902.jpg")</f>
        <v>6071_20240611_0004_R_0902.jpg</v>
      </c>
      <c r="G6074" s="92" t="s">
        <v>6273</v>
      </c>
      <c r="I6074">
        <v>3</v>
      </c>
      <c r="K6074" s="57">
        <v>1</v>
      </c>
      <c r="L6074" t="s">
        <v>3959</v>
      </c>
      <c r="M6074" t="s">
        <v>3959</v>
      </c>
      <c r="N6074" t="s">
        <v>3959</v>
      </c>
      <c r="O6074" t="s">
        <v>3959</v>
      </c>
      <c r="P6074" s="57">
        <v>1</v>
      </c>
      <c r="Q6074" s="57">
        <v>0</v>
      </c>
      <c r="R6074" s="57">
        <v>0</v>
      </c>
      <c r="S6074" s="57">
        <v>0</v>
      </c>
      <c r="T6074" s="57">
        <v>0</v>
      </c>
      <c r="U6074" s="57">
        <v>0</v>
      </c>
      <c r="V6074" s="57">
        <v>0</v>
      </c>
      <c r="W6074" s="57">
        <v>0</v>
      </c>
      <c r="X6074" s="57">
        <v>0</v>
      </c>
    </row>
    <row r="6075" spans="1:24" hidden="1" x14ac:dyDescent="0.35">
      <c r="A6075">
        <v>6071</v>
      </c>
      <c r="B6075">
        <v>6072</v>
      </c>
      <c r="C6075">
        <v>146.08767024400001</v>
      </c>
      <c r="D6075">
        <v>-17.6364518305</v>
      </c>
      <c r="F6075" t="str">
        <f>HYPERLINK("D:\Data From Lucan\2024\Moresby\Frames_for_Analysis/6072_20240611_0004_R_0899.jpg","6072_20240611_0004_R_0899.jpg")</f>
        <v>6072_20240611_0004_R_0899.jpg</v>
      </c>
      <c r="G6075" s="92" t="s">
        <v>6274</v>
      </c>
      <c r="I6075">
        <v>3</v>
      </c>
      <c r="K6075" s="57">
        <v>1</v>
      </c>
      <c r="L6075" t="s">
        <v>3959</v>
      </c>
      <c r="M6075" t="s">
        <v>3959</v>
      </c>
      <c r="N6075" t="s">
        <v>3959</v>
      </c>
      <c r="O6075" t="s">
        <v>3959</v>
      </c>
      <c r="P6075" s="57">
        <v>1</v>
      </c>
      <c r="Q6075" s="57">
        <v>0</v>
      </c>
      <c r="R6075" s="57">
        <v>0</v>
      </c>
      <c r="S6075" s="57">
        <v>0</v>
      </c>
      <c r="T6075" s="57">
        <v>0</v>
      </c>
      <c r="U6075" s="57">
        <v>0</v>
      </c>
      <c r="V6075" s="57">
        <v>0</v>
      </c>
      <c r="W6075" s="57">
        <v>0</v>
      </c>
      <c r="X6075" s="57">
        <v>0</v>
      </c>
    </row>
    <row r="6076" spans="1:24" hidden="1" x14ac:dyDescent="0.35">
      <c r="A6076">
        <v>6072</v>
      </c>
      <c r="B6076">
        <v>6073</v>
      </c>
      <c r="C6076">
        <v>146.08758668300001</v>
      </c>
      <c r="D6076">
        <v>-17.6364204051999</v>
      </c>
      <c r="F6076" t="str">
        <f>HYPERLINK("D:\Data From Lucan\2024\Moresby\Frames_for_Analysis/6073_20240611_0004_R_0897.jpg","6073_20240611_0004_R_0897.jpg")</f>
        <v>6073_20240611_0004_R_0897.jpg</v>
      </c>
      <c r="G6076" s="92" t="s">
        <v>6275</v>
      </c>
      <c r="I6076">
        <v>3</v>
      </c>
      <c r="K6076" s="57">
        <v>1</v>
      </c>
      <c r="L6076" t="s">
        <v>3959</v>
      </c>
      <c r="M6076" t="s">
        <v>3959</v>
      </c>
      <c r="N6076" t="s">
        <v>3959</v>
      </c>
      <c r="O6076" t="s">
        <v>3959</v>
      </c>
      <c r="P6076" s="57">
        <v>1</v>
      </c>
      <c r="Q6076" s="57">
        <v>0</v>
      </c>
      <c r="R6076" s="57">
        <v>0</v>
      </c>
      <c r="S6076" s="57">
        <v>0</v>
      </c>
      <c r="T6076" s="57">
        <v>0</v>
      </c>
      <c r="U6076" s="57">
        <v>0</v>
      </c>
      <c r="V6076" s="57">
        <v>0</v>
      </c>
      <c r="W6076" s="57">
        <v>0</v>
      </c>
      <c r="X6076" s="57">
        <v>0</v>
      </c>
    </row>
    <row r="6077" spans="1:24" hidden="1" x14ac:dyDescent="0.35">
      <c r="A6077">
        <v>6073</v>
      </c>
      <c r="B6077">
        <v>6074</v>
      </c>
      <c r="C6077">
        <v>146.08750233200001</v>
      </c>
      <c r="D6077">
        <v>-17.636391429500001</v>
      </c>
      <c r="F6077" t="str">
        <f>HYPERLINK("D:\Data From Lucan\2024\Moresby\Frames_for_Analysis/6074_20240611_0004_R_0894.jpg","6074_20240611_0004_R_0894.jpg")</f>
        <v>6074_20240611_0004_R_0894.jpg</v>
      </c>
      <c r="G6077" s="92" t="s">
        <v>6276</v>
      </c>
      <c r="I6077">
        <v>3</v>
      </c>
      <c r="K6077" s="57">
        <v>1</v>
      </c>
      <c r="L6077" t="s">
        <v>3959</v>
      </c>
      <c r="M6077" t="s">
        <v>3959</v>
      </c>
      <c r="N6077" t="s">
        <v>3959</v>
      </c>
      <c r="O6077" t="s">
        <v>3959</v>
      </c>
      <c r="P6077" s="57">
        <v>1</v>
      </c>
      <c r="Q6077" s="57">
        <v>0</v>
      </c>
      <c r="R6077" s="57">
        <v>0</v>
      </c>
      <c r="S6077" s="57">
        <v>0</v>
      </c>
      <c r="T6077" s="57">
        <v>0</v>
      </c>
      <c r="U6077" s="57">
        <v>0</v>
      </c>
      <c r="V6077" s="57">
        <v>0</v>
      </c>
      <c r="W6077" s="57">
        <v>0</v>
      </c>
      <c r="X6077" s="57">
        <v>0</v>
      </c>
    </row>
    <row r="6078" spans="1:24" hidden="1" x14ac:dyDescent="0.35">
      <c r="A6078">
        <v>6074</v>
      </c>
      <c r="B6078">
        <v>6075</v>
      </c>
      <c r="C6078">
        <v>146.087414687999</v>
      </c>
      <c r="D6078">
        <v>-17.636372651599899</v>
      </c>
      <c r="F6078" t="str">
        <f>HYPERLINK("D:\Data From Lucan\2024\Moresby\Frames_for_Analysis/6075_20240611_0004_R_0890.jpg","6075_20240611_0004_R_0890.jpg")</f>
        <v>6075_20240611_0004_R_0890.jpg</v>
      </c>
      <c r="G6078" s="92" t="s">
        <v>6277</v>
      </c>
      <c r="I6078">
        <v>3</v>
      </c>
      <c r="K6078" s="57">
        <v>1</v>
      </c>
      <c r="L6078" t="s">
        <v>3959</v>
      </c>
      <c r="M6078" t="s">
        <v>3959</v>
      </c>
      <c r="N6078" t="s">
        <v>3959</v>
      </c>
      <c r="O6078" t="s">
        <v>3959</v>
      </c>
      <c r="P6078" s="57">
        <v>1</v>
      </c>
      <c r="Q6078" s="57">
        <v>0</v>
      </c>
      <c r="R6078" s="57">
        <v>0</v>
      </c>
      <c r="S6078" s="57">
        <v>0</v>
      </c>
      <c r="T6078" s="57">
        <v>0</v>
      </c>
      <c r="U6078" s="57">
        <v>0</v>
      </c>
      <c r="V6078" s="57">
        <v>0</v>
      </c>
      <c r="W6078" s="57">
        <v>0</v>
      </c>
      <c r="X6078" s="57">
        <v>0</v>
      </c>
    </row>
    <row r="6079" spans="1:24" hidden="1" x14ac:dyDescent="0.35">
      <c r="A6079">
        <v>6075</v>
      </c>
      <c r="B6079">
        <v>6076</v>
      </c>
      <c r="C6079">
        <v>146.08732704400001</v>
      </c>
      <c r="D6079">
        <v>-17.6363538736999</v>
      </c>
      <c r="F6079" t="str">
        <f>HYPERLINK("D:\Data From Lucan\2024\Moresby\Frames_for_Analysis/6076_20240611_0004_R_0888.jpg","6076_20240611_0004_R_0888.jpg")</f>
        <v>6076_20240611_0004_R_0888.jpg</v>
      </c>
      <c r="G6079" s="92" t="s">
        <v>6278</v>
      </c>
      <c r="I6079">
        <v>3</v>
      </c>
      <c r="K6079" s="57">
        <v>1</v>
      </c>
      <c r="L6079" t="s">
        <v>3959</v>
      </c>
      <c r="M6079" t="s">
        <v>3959</v>
      </c>
      <c r="N6079" t="s">
        <v>3959</v>
      </c>
      <c r="O6079" t="s">
        <v>3959</v>
      </c>
      <c r="P6079" s="57">
        <v>1</v>
      </c>
      <c r="Q6079" s="57">
        <v>0</v>
      </c>
      <c r="R6079" s="57">
        <v>0</v>
      </c>
      <c r="S6079" s="57">
        <v>0</v>
      </c>
      <c r="T6079" s="57">
        <v>0</v>
      </c>
      <c r="U6079" s="57">
        <v>0</v>
      </c>
      <c r="V6079" s="57">
        <v>0</v>
      </c>
      <c r="W6079" s="57">
        <v>0</v>
      </c>
      <c r="X6079" s="57">
        <v>0</v>
      </c>
    </row>
    <row r="6080" spans="1:24" hidden="1" x14ac:dyDescent="0.35">
      <c r="A6080">
        <v>6076</v>
      </c>
      <c r="B6080">
        <v>6077</v>
      </c>
      <c r="C6080">
        <v>146.08723939999899</v>
      </c>
      <c r="D6080">
        <v>-17.636335095900002</v>
      </c>
      <c r="F6080" t="str">
        <f>HYPERLINK("D:\Data From Lucan\2024\Moresby\Frames_for_Analysis/6077_20240611_0004_R_0885.jpg","6077_20240611_0004_R_0885.jpg")</f>
        <v>6077_20240611_0004_R_0885.jpg</v>
      </c>
      <c r="G6080" s="92" t="s">
        <v>6279</v>
      </c>
      <c r="I6080">
        <v>3</v>
      </c>
      <c r="K6080" s="57">
        <v>1</v>
      </c>
      <c r="L6080" t="s">
        <v>3959</v>
      </c>
      <c r="M6080" t="s">
        <v>3959</v>
      </c>
      <c r="N6080" t="s">
        <v>3959</v>
      </c>
      <c r="O6080" t="s">
        <v>3959</v>
      </c>
      <c r="P6080" s="57">
        <v>1</v>
      </c>
      <c r="Q6080" s="57">
        <v>0</v>
      </c>
      <c r="R6080" s="57">
        <v>0</v>
      </c>
      <c r="S6080" s="57">
        <v>0</v>
      </c>
      <c r="T6080" s="57">
        <v>0</v>
      </c>
      <c r="U6080" s="57">
        <v>0</v>
      </c>
      <c r="V6080" s="57">
        <v>0</v>
      </c>
      <c r="W6080" s="57">
        <v>0</v>
      </c>
      <c r="X6080" s="57">
        <v>0</v>
      </c>
    </row>
    <row r="6081" spans="1:24" hidden="1" x14ac:dyDescent="0.35">
      <c r="A6081">
        <v>6077</v>
      </c>
      <c r="B6081">
        <v>6078</v>
      </c>
      <c r="C6081">
        <v>146.087151755999</v>
      </c>
      <c r="D6081">
        <v>-17.636316317999899</v>
      </c>
      <c r="F6081" t="str">
        <f>HYPERLINK("D:\Data From Lucan\2024\Moresby\Frames_for_Analysis/6078_20240611_0004_R_0882.jpg","6078_20240611_0004_R_0882.jpg")</f>
        <v>6078_20240611_0004_R_0882.jpg</v>
      </c>
      <c r="G6081" s="92" t="s">
        <v>6280</v>
      </c>
      <c r="I6081">
        <v>3</v>
      </c>
      <c r="K6081" s="57">
        <v>1</v>
      </c>
      <c r="L6081" t="s">
        <v>3959</v>
      </c>
      <c r="M6081" t="s">
        <v>3959</v>
      </c>
      <c r="N6081" t="s">
        <v>3959</v>
      </c>
      <c r="O6081" t="s">
        <v>3959</v>
      </c>
      <c r="P6081" s="57">
        <v>1</v>
      </c>
      <c r="Q6081" s="57">
        <v>0</v>
      </c>
      <c r="R6081" s="57">
        <v>0</v>
      </c>
      <c r="S6081" s="57">
        <v>0</v>
      </c>
      <c r="T6081" s="57">
        <v>0</v>
      </c>
      <c r="U6081" s="57">
        <v>0</v>
      </c>
      <c r="V6081" s="57">
        <v>0</v>
      </c>
      <c r="W6081" s="57">
        <v>0</v>
      </c>
      <c r="X6081" s="57">
        <v>0</v>
      </c>
    </row>
    <row r="6082" spans="1:24" hidden="1" x14ac:dyDescent="0.35">
      <c r="A6082">
        <v>6078</v>
      </c>
      <c r="B6082">
        <v>6079</v>
      </c>
      <c r="C6082">
        <v>146.08706411200001</v>
      </c>
      <c r="D6082">
        <v>-17.6362975400999</v>
      </c>
      <c r="F6082" t="str">
        <f>HYPERLINK("D:\Data From Lucan\2024\Moresby\Frames_for_Analysis/6079_20240611_0004_R_0879.jpg","6079_20240611_0004_R_0879.jpg")</f>
        <v>6079_20240611_0004_R_0879.jpg</v>
      </c>
      <c r="G6082" s="92" t="s">
        <v>6281</v>
      </c>
      <c r="I6082">
        <v>3</v>
      </c>
      <c r="K6082" s="57">
        <v>1</v>
      </c>
      <c r="L6082" t="s">
        <v>3959</v>
      </c>
      <c r="M6082" t="s">
        <v>3959</v>
      </c>
      <c r="N6082" t="s">
        <v>3959</v>
      </c>
      <c r="O6082" t="s">
        <v>3959</v>
      </c>
      <c r="P6082" s="57">
        <v>1</v>
      </c>
      <c r="Q6082" s="57">
        <v>0</v>
      </c>
      <c r="R6082" s="57">
        <v>0</v>
      </c>
      <c r="S6082" s="57">
        <v>0</v>
      </c>
      <c r="T6082" s="57">
        <v>0</v>
      </c>
      <c r="U6082" s="57">
        <v>0</v>
      </c>
      <c r="V6082" s="57">
        <v>0</v>
      </c>
      <c r="W6082" s="57">
        <v>0</v>
      </c>
      <c r="X6082" s="57">
        <v>0</v>
      </c>
    </row>
    <row r="6083" spans="1:24" hidden="1" x14ac:dyDescent="0.35">
      <c r="A6083">
        <v>6079</v>
      </c>
      <c r="B6083">
        <v>6080</v>
      </c>
      <c r="C6083">
        <v>146.08697646900001</v>
      </c>
      <c r="D6083">
        <v>-17.6362787622</v>
      </c>
      <c r="F6083" t="str">
        <f>HYPERLINK("D:\Data From Lucan\2024\Moresby\Frames_for_Analysis/6080_20240611_0004_R_0876.jpg","6080_20240611_0004_R_0876.jpg")</f>
        <v>6080_20240611_0004_R_0876.jpg</v>
      </c>
      <c r="G6083" s="92" t="s">
        <v>6282</v>
      </c>
      <c r="I6083">
        <v>3</v>
      </c>
      <c r="K6083" s="57">
        <v>1</v>
      </c>
      <c r="L6083" t="s">
        <v>3959</v>
      </c>
      <c r="M6083" t="s">
        <v>3959</v>
      </c>
      <c r="N6083" t="s">
        <v>3959</v>
      </c>
      <c r="O6083" t="s">
        <v>3959</v>
      </c>
      <c r="P6083" s="57">
        <v>1</v>
      </c>
      <c r="Q6083" s="57">
        <v>0</v>
      </c>
      <c r="R6083" s="57">
        <v>0</v>
      </c>
      <c r="S6083" s="57">
        <v>0</v>
      </c>
      <c r="T6083" s="57">
        <v>0</v>
      </c>
      <c r="U6083" s="57">
        <v>0</v>
      </c>
      <c r="V6083" s="57">
        <v>0</v>
      </c>
      <c r="W6083" s="57">
        <v>0</v>
      </c>
      <c r="X6083" s="57">
        <v>0</v>
      </c>
    </row>
    <row r="6084" spans="1:24" hidden="1" x14ac:dyDescent="0.35">
      <c r="A6084">
        <v>6080</v>
      </c>
      <c r="B6084">
        <v>6081</v>
      </c>
      <c r="C6084">
        <v>146.08688798</v>
      </c>
      <c r="D6084">
        <v>-17.636265998900001</v>
      </c>
      <c r="F6084" t="str">
        <f>HYPERLINK("D:\Data From Lucan\2024\Moresby\Frames_for_Analysis/6081_20240611_0004_R_0874.jpg","6081_20240611_0004_R_0874.jpg")</f>
        <v>6081_20240611_0004_R_0874.jpg</v>
      </c>
      <c r="G6084" s="92" t="s">
        <v>6283</v>
      </c>
      <c r="I6084">
        <v>3</v>
      </c>
      <c r="K6084" s="57">
        <v>1</v>
      </c>
      <c r="L6084" t="s">
        <v>3959</v>
      </c>
      <c r="M6084" t="s">
        <v>3959</v>
      </c>
      <c r="N6084" t="s">
        <v>3959</v>
      </c>
      <c r="O6084" t="s">
        <v>3959</v>
      </c>
      <c r="P6084" s="57">
        <v>1</v>
      </c>
      <c r="Q6084" s="57">
        <v>0</v>
      </c>
      <c r="R6084" s="57">
        <v>0</v>
      </c>
      <c r="S6084" s="57">
        <v>0</v>
      </c>
      <c r="T6084" s="57">
        <v>0</v>
      </c>
      <c r="U6084" s="57">
        <v>0</v>
      </c>
      <c r="V6084" s="57">
        <v>0</v>
      </c>
      <c r="W6084" s="57">
        <v>0</v>
      </c>
      <c r="X6084" s="57">
        <v>0</v>
      </c>
    </row>
    <row r="6085" spans="1:24" hidden="1" x14ac:dyDescent="0.35">
      <c r="A6085">
        <v>6081</v>
      </c>
      <c r="B6085">
        <v>6082</v>
      </c>
      <c r="C6085">
        <v>146.08679823899899</v>
      </c>
      <c r="D6085">
        <v>-17.6362621406</v>
      </c>
      <c r="F6085" t="str">
        <f>HYPERLINK("D:\Data From Lucan\2024\Moresby\Frames_for_Analysis/6082_20240611_0004_R_0871.jpg","6082_20240611_0004_R_0871.jpg")</f>
        <v>6082_20240611_0004_R_0871.jpg</v>
      </c>
      <c r="G6085" s="92" t="s">
        <v>6284</v>
      </c>
      <c r="I6085">
        <v>3</v>
      </c>
      <c r="K6085" s="57">
        <v>1</v>
      </c>
      <c r="L6085" t="s">
        <v>3959</v>
      </c>
      <c r="M6085" t="s">
        <v>3959</v>
      </c>
      <c r="N6085" t="s">
        <v>3959</v>
      </c>
      <c r="O6085" t="s">
        <v>3959</v>
      </c>
      <c r="P6085" s="57">
        <v>1</v>
      </c>
      <c r="Q6085" s="57">
        <v>0</v>
      </c>
      <c r="R6085" s="57">
        <v>0</v>
      </c>
      <c r="S6085" s="57">
        <v>0</v>
      </c>
      <c r="T6085" s="57">
        <v>0</v>
      </c>
      <c r="U6085" s="57">
        <v>0</v>
      </c>
      <c r="V6085" s="57">
        <v>0</v>
      </c>
      <c r="W6085" s="57">
        <v>0</v>
      </c>
      <c r="X6085" s="57">
        <v>0</v>
      </c>
    </row>
    <row r="6086" spans="1:24" hidden="1" x14ac:dyDescent="0.35">
      <c r="A6086">
        <v>6082</v>
      </c>
      <c r="B6086">
        <v>6083</v>
      </c>
      <c r="C6086">
        <v>146.086708498999</v>
      </c>
      <c r="D6086">
        <v>-17.6362582822</v>
      </c>
      <c r="F6086" t="str">
        <f>HYPERLINK("D:\Data From Lucan\2024\Moresby\Frames_for_Analysis/6083_20240611_0004_R_0868.jpg","6083_20240611_0004_R_0868.jpg")</f>
        <v>6083_20240611_0004_R_0868.jpg</v>
      </c>
      <c r="G6086" s="92" t="s">
        <v>6285</v>
      </c>
      <c r="I6086">
        <v>3</v>
      </c>
      <c r="K6086" s="57">
        <v>1</v>
      </c>
      <c r="L6086" t="s">
        <v>3959</v>
      </c>
      <c r="M6086" t="s">
        <v>3959</v>
      </c>
      <c r="N6086" t="s">
        <v>3959</v>
      </c>
      <c r="O6086" t="s">
        <v>3959</v>
      </c>
      <c r="P6086" s="57">
        <v>1</v>
      </c>
      <c r="Q6086" s="57">
        <v>0</v>
      </c>
      <c r="R6086" s="57">
        <v>0</v>
      </c>
      <c r="S6086" s="57">
        <v>0</v>
      </c>
      <c r="T6086" s="57">
        <v>0</v>
      </c>
      <c r="U6086" s="57">
        <v>0</v>
      </c>
      <c r="V6086" s="57">
        <v>0</v>
      </c>
      <c r="W6086" s="57">
        <v>0</v>
      </c>
      <c r="X6086" s="57">
        <v>0</v>
      </c>
    </row>
    <row r="6087" spans="1:24" hidden="1" x14ac:dyDescent="0.35">
      <c r="A6087">
        <v>6083</v>
      </c>
      <c r="B6087">
        <v>6084</v>
      </c>
      <c r="C6087">
        <v>146.086618759</v>
      </c>
      <c r="D6087">
        <v>-17.636254423800001</v>
      </c>
      <c r="F6087" t="str">
        <f>HYPERLINK("D:\Data From Lucan\2024\Moresby\Frames_for_Analysis/6084_20240611_0004_R_0864.jpg","6084_20240611_0004_R_0864.jpg")</f>
        <v>6084_20240611_0004_R_0864.jpg</v>
      </c>
      <c r="G6087" s="92" t="s">
        <v>6286</v>
      </c>
      <c r="I6087">
        <v>3</v>
      </c>
      <c r="K6087" s="57">
        <v>1</v>
      </c>
      <c r="L6087" t="s">
        <v>3959</v>
      </c>
      <c r="M6087" t="s">
        <v>3959</v>
      </c>
      <c r="N6087" t="s">
        <v>3959</v>
      </c>
      <c r="O6087" t="s">
        <v>3959</v>
      </c>
      <c r="P6087" s="57">
        <v>1</v>
      </c>
      <c r="Q6087" s="57">
        <v>0</v>
      </c>
      <c r="R6087" s="57">
        <v>0</v>
      </c>
      <c r="S6087" s="57">
        <v>0</v>
      </c>
      <c r="T6087" s="57">
        <v>0</v>
      </c>
      <c r="U6087" s="57">
        <v>0</v>
      </c>
      <c r="V6087" s="57">
        <v>0</v>
      </c>
      <c r="W6087" s="57">
        <v>0</v>
      </c>
      <c r="X6087" s="57">
        <v>0</v>
      </c>
    </row>
    <row r="6088" spans="1:24" hidden="1" x14ac:dyDescent="0.35">
      <c r="A6088">
        <v>6084</v>
      </c>
      <c r="B6088">
        <v>6085</v>
      </c>
      <c r="C6088">
        <v>146.08652901900001</v>
      </c>
      <c r="D6088">
        <v>-17.636250565400001</v>
      </c>
      <c r="F6088" t="str">
        <f>HYPERLINK("D:\Data From Lucan\2024\Moresby\Frames_for_Analysis/6085_20240611_0004_R_0862.jpg","6085_20240611_0004_R_0862.jpg")</f>
        <v>6085_20240611_0004_R_0862.jpg</v>
      </c>
      <c r="G6088" s="92" t="s">
        <v>6287</v>
      </c>
      <c r="I6088">
        <v>3</v>
      </c>
      <c r="K6088" s="57">
        <v>1</v>
      </c>
      <c r="L6088" t="s">
        <v>3959</v>
      </c>
      <c r="M6088" t="s">
        <v>3959</v>
      </c>
      <c r="N6088" t="s">
        <v>3959</v>
      </c>
      <c r="O6088" t="s">
        <v>3959</v>
      </c>
      <c r="P6088" s="57">
        <v>1</v>
      </c>
      <c r="Q6088" s="57">
        <v>0</v>
      </c>
      <c r="R6088" s="57">
        <v>0</v>
      </c>
      <c r="S6088" s="57">
        <v>0</v>
      </c>
      <c r="T6088" s="57">
        <v>0</v>
      </c>
      <c r="U6088" s="57">
        <v>0</v>
      </c>
      <c r="V6088" s="57">
        <v>0</v>
      </c>
      <c r="W6088" s="57">
        <v>0</v>
      </c>
      <c r="X6088" s="57">
        <v>0</v>
      </c>
    </row>
    <row r="6089" spans="1:24" hidden="1" x14ac:dyDescent="0.35">
      <c r="A6089">
        <v>6085</v>
      </c>
      <c r="B6089">
        <v>6086</v>
      </c>
      <c r="C6089">
        <v>146.086439278</v>
      </c>
      <c r="D6089">
        <v>-17.636246707000002</v>
      </c>
      <c r="F6089" t="str">
        <f>HYPERLINK("D:\Data From Lucan\2024\Moresby\Frames_for_Analysis/6086_20240611_0004_R_0859.jpg","6086_20240611_0004_R_0859.jpg")</f>
        <v>6086_20240611_0004_R_0859.jpg</v>
      </c>
      <c r="G6089" s="92" t="s">
        <v>6288</v>
      </c>
      <c r="I6089">
        <v>3</v>
      </c>
      <c r="K6089" s="57">
        <v>1</v>
      </c>
      <c r="L6089" t="s">
        <v>3959</v>
      </c>
      <c r="M6089" t="s">
        <v>3959</v>
      </c>
      <c r="N6089" t="s">
        <v>3959</v>
      </c>
      <c r="O6089" t="s">
        <v>3959</v>
      </c>
      <c r="P6089" s="57">
        <v>1</v>
      </c>
      <c r="Q6089" s="57">
        <v>0</v>
      </c>
      <c r="R6089" s="57">
        <v>0</v>
      </c>
      <c r="S6089" s="57">
        <v>0</v>
      </c>
      <c r="T6089" s="57">
        <v>0</v>
      </c>
      <c r="U6089" s="57">
        <v>0</v>
      </c>
      <c r="V6089" s="57">
        <v>0</v>
      </c>
      <c r="W6089" s="57">
        <v>0</v>
      </c>
      <c r="X6089" s="57">
        <v>0</v>
      </c>
    </row>
    <row r="6090" spans="1:24" hidden="1" x14ac:dyDescent="0.35">
      <c r="A6090">
        <v>6086</v>
      </c>
      <c r="B6090">
        <v>6087</v>
      </c>
      <c r="C6090">
        <v>146.08634953800001</v>
      </c>
      <c r="D6090">
        <v>-17.636242848599899</v>
      </c>
      <c r="F6090" t="str">
        <f>HYPERLINK("D:\Data From Lucan\2024\Moresby\Frames_for_Analysis/6087_20240611_0004_R_0856.jpg","6087_20240611_0004_R_0856.jpg")</f>
        <v>6087_20240611_0004_R_0856.jpg</v>
      </c>
      <c r="G6090" s="92" t="s">
        <v>6289</v>
      </c>
      <c r="I6090">
        <v>3</v>
      </c>
      <c r="K6090" s="57">
        <v>1</v>
      </c>
      <c r="L6090" t="s">
        <v>3959</v>
      </c>
      <c r="M6090" t="s">
        <v>3959</v>
      </c>
      <c r="N6090" t="s">
        <v>3959</v>
      </c>
      <c r="O6090" t="s">
        <v>3959</v>
      </c>
      <c r="P6090" s="57">
        <v>1</v>
      </c>
      <c r="Q6090" s="57">
        <v>0</v>
      </c>
      <c r="R6090" s="57">
        <v>0</v>
      </c>
      <c r="S6090" s="57">
        <v>0</v>
      </c>
      <c r="T6090" s="57">
        <v>0</v>
      </c>
      <c r="U6090" s="57">
        <v>0</v>
      </c>
      <c r="V6090" s="57">
        <v>0</v>
      </c>
      <c r="W6090" s="57">
        <v>0</v>
      </c>
      <c r="X6090" s="57">
        <v>0</v>
      </c>
    </row>
    <row r="6091" spans="1:24" hidden="1" x14ac:dyDescent="0.35">
      <c r="A6091">
        <v>6087</v>
      </c>
      <c r="B6091">
        <v>6088</v>
      </c>
      <c r="C6091">
        <v>146.08625979799899</v>
      </c>
      <c r="D6091">
        <v>-17.636238990199899</v>
      </c>
      <c r="F6091" t="str">
        <f>HYPERLINK("D:\Data From Lucan\2024\Moresby\Frames_for_Analysis/6088_20240611_0004_R_0854.jpg","6088_20240611_0004_R_0854.jpg")</f>
        <v>6088_20240611_0004_R_0854.jpg</v>
      </c>
      <c r="G6091" s="92" t="s">
        <v>6290</v>
      </c>
      <c r="I6091">
        <v>3</v>
      </c>
      <c r="K6091" s="57">
        <v>1</v>
      </c>
      <c r="L6091" t="s">
        <v>3959</v>
      </c>
      <c r="M6091" t="s">
        <v>3959</v>
      </c>
      <c r="N6091" t="s">
        <v>3959</v>
      </c>
      <c r="O6091" t="s">
        <v>3959</v>
      </c>
      <c r="P6091" s="57">
        <v>1</v>
      </c>
      <c r="Q6091" s="57">
        <v>0</v>
      </c>
      <c r="R6091" s="57">
        <v>0</v>
      </c>
      <c r="S6091" s="57">
        <v>0</v>
      </c>
      <c r="T6091" s="57">
        <v>0</v>
      </c>
      <c r="U6091" s="57">
        <v>0</v>
      </c>
      <c r="V6091" s="57">
        <v>0</v>
      </c>
      <c r="W6091" s="57">
        <v>0</v>
      </c>
      <c r="X6091" s="57">
        <v>0</v>
      </c>
    </row>
    <row r="6092" spans="1:24" hidden="1" x14ac:dyDescent="0.35">
      <c r="A6092">
        <v>6088</v>
      </c>
      <c r="B6092">
        <v>6089</v>
      </c>
      <c r="C6092">
        <v>146.086170014999</v>
      </c>
      <c r="D6092">
        <v>-17.636236245700001</v>
      </c>
      <c r="F6092" t="str">
        <f>HYPERLINK("D:\Data From Lucan\2024\Moresby\Frames_for_Analysis/6089_20240611_0004_R_0851.jpg","6089_20240611_0004_R_0851.jpg")</f>
        <v>6089_20240611_0004_R_0851.jpg</v>
      </c>
      <c r="G6092" s="92" t="s">
        <v>6291</v>
      </c>
      <c r="I6092">
        <v>3</v>
      </c>
      <c r="K6092" s="57">
        <v>1</v>
      </c>
      <c r="L6092" t="s">
        <v>3959</v>
      </c>
      <c r="M6092" t="s">
        <v>3959</v>
      </c>
      <c r="N6092" t="s">
        <v>3959</v>
      </c>
      <c r="O6092" t="s">
        <v>3959</v>
      </c>
      <c r="P6092" s="57">
        <v>1</v>
      </c>
      <c r="Q6092" s="57">
        <v>0</v>
      </c>
      <c r="R6092" s="57">
        <v>0</v>
      </c>
      <c r="S6092" s="57">
        <v>0</v>
      </c>
      <c r="T6092" s="57">
        <v>0</v>
      </c>
      <c r="U6092" s="57">
        <v>0</v>
      </c>
      <c r="V6092" s="57">
        <v>0</v>
      </c>
      <c r="W6092" s="57">
        <v>0</v>
      </c>
      <c r="X6092" s="57">
        <v>0</v>
      </c>
    </row>
    <row r="6093" spans="1:24" hidden="1" x14ac:dyDescent="0.35">
      <c r="A6093">
        <v>6089</v>
      </c>
      <c r="B6093">
        <v>6090</v>
      </c>
      <c r="C6093">
        <v>146.086080218999</v>
      </c>
      <c r="D6093">
        <v>-17.636233827000002</v>
      </c>
      <c r="F6093" t="str">
        <f>HYPERLINK("D:\Data From Lucan\2024\Moresby\Frames_for_Analysis/6090_20240611_0004_R_0849.jpg","6090_20240611_0004_R_0849.jpg")</f>
        <v>6090_20240611_0004_R_0849.jpg</v>
      </c>
      <c r="G6093" s="92" t="s">
        <v>6292</v>
      </c>
      <c r="I6093">
        <v>3</v>
      </c>
      <c r="K6093" s="57">
        <v>1</v>
      </c>
      <c r="L6093" t="s">
        <v>3959</v>
      </c>
      <c r="M6093" t="s">
        <v>3959</v>
      </c>
      <c r="N6093" t="s">
        <v>3959</v>
      </c>
      <c r="O6093" t="s">
        <v>3959</v>
      </c>
      <c r="P6093" s="57">
        <v>1</v>
      </c>
      <c r="Q6093" s="57">
        <v>0</v>
      </c>
      <c r="R6093" s="57">
        <v>0</v>
      </c>
      <c r="S6093" s="57">
        <v>0</v>
      </c>
      <c r="T6093" s="57">
        <v>0</v>
      </c>
      <c r="U6093" s="57">
        <v>0</v>
      </c>
      <c r="V6093" s="57">
        <v>0</v>
      </c>
      <c r="W6093" s="57">
        <v>0</v>
      </c>
      <c r="X6093" s="57">
        <v>0</v>
      </c>
    </row>
    <row r="6094" spans="1:24" hidden="1" x14ac:dyDescent="0.35">
      <c r="A6094">
        <v>6090</v>
      </c>
      <c r="B6094">
        <v>6091</v>
      </c>
      <c r="C6094">
        <v>146.085990422999</v>
      </c>
      <c r="D6094">
        <v>-17.636231408299899</v>
      </c>
      <c r="F6094" t="str">
        <f>HYPERLINK("D:\Data From Lucan\2024\Moresby\Frames_for_Analysis/6091_20240611_0004_R_0846.jpg","6091_20240611_0004_R_0846.jpg")</f>
        <v>6091_20240611_0004_R_0846.jpg</v>
      </c>
      <c r="G6094" s="92" t="s">
        <v>6293</v>
      </c>
      <c r="I6094">
        <v>3</v>
      </c>
      <c r="K6094" s="57">
        <v>1</v>
      </c>
      <c r="L6094" t="s">
        <v>3959</v>
      </c>
      <c r="M6094" t="s">
        <v>3959</v>
      </c>
      <c r="N6094" t="s">
        <v>3959</v>
      </c>
      <c r="O6094" t="s">
        <v>3959</v>
      </c>
      <c r="P6094" s="57">
        <v>1</v>
      </c>
      <c r="Q6094" s="57">
        <v>0</v>
      </c>
      <c r="R6094" s="57">
        <v>0</v>
      </c>
      <c r="S6094" s="57">
        <v>0</v>
      </c>
      <c r="T6094" s="57">
        <v>0</v>
      </c>
      <c r="U6094" s="57">
        <v>0</v>
      </c>
      <c r="V6094" s="57">
        <v>0</v>
      </c>
      <c r="W6094" s="57">
        <v>0</v>
      </c>
      <c r="X6094" s="57">
        <v>0</v>
      </c>
    </row>
    <row r="6095" spans="1:24" hidden="1" x14ac:dyDescent="0.35">
      <c r="A6095">
        <v>6091</v>
      </c>
      <c r="B6095">
        <v>6092</v>
      </c>
      <c r="C6095">
        <v>146.085900627999</v>
      </c>
      <c r="D6095">
        <v>-17.6362289895999</v>
      </c>
      <c r="F6095" t="str">
        <f>HYPERLINK("D:\Data From Lucan\2024\Moresby\Frames_for_Analysis/6092_20240611_0004_R_0843.jpg","6092_20240611_0004_R_0843.jpg")</f>
        <v>6092_20240611_0004_R_0843.jpg</v>
      </c>
      <c r="G6095" s="92" t="s">
        <v>6294</v>
      </c>
      <c r="I6095">
        <v>3</v>
      </c>
      <c r="K6095" s="57">
        <v>1</v>
      </c>
      <c r="L6095" t="s">
        <v>3959</v>
      </c>
      <c r="M6095" t="s">
        <v>3959</v>
      </c>
      <c r="N6095" t="s">
        <v>3959</v>
      </c>
      <c r="O6095" t="s">
        <v>3959</v>
      </c>
      <c r="P6095" s="57">
        <v>1</v>
      </c>
      <c r="Q6095" s="57">
        <v>0</v>
      </c>
      <c r="R6095" s="57">
        <v>0</v>
      </c>
      <c r="S6095" s="57">
        <v>0</v>
      </c>
      <c r="T6095" s="57">
        <v>0</v>
      </c>
      <c r="U6095" s="57">
        <v>0</v>
      </c>
      <c r="V6095" s="57">
        <v>0</v>
      </c>
      <c r="W6095" s="57">
        <v>0</v>
      </c>
      <c r="X6095" s="57">
        <v>0</v>
      </c>
    </row>
    <row r="6096" spans="1:24" hidden="1" x14ac:dyDescent="0.35">
      <c r="A6096">
        <v>6092</v>
      </c>
      <c r="B6096">
        <v>6093</v>
      </c>
      <c r="C6096">
        <v>146.085810831999</v>
      </c>
      <c r="D6096">
        <v>-17.6362265709</v>
      </c>
      <c r="F6096" t="str">
        <f>HYPERLINK("D:\Data From Lucan\2024\Moresby\Frames_for_Analysis/6093_20240611_0004_R_0840.jpg","6093_20240611_0004_R_0840.jpg")</f>
        <v>6093_20240611_0004_R_0840.jpg</v>
      </c>
      <c r="G6096" s="92" t="s">
        <v>6295</v>
      </c>
      <c r="I6096">
        <v>3</v>
      </c>
      <c r="K6096" s="57">
        <v>1</v>
      </c>
      <c r="L6096" t="s">
        <v>3959</v>
      </c>
      <c r="M6096" t="s">
        <v>3959</v>
      </c>
      <c r="N6096" t="s">
        <v>3959</v>
      </c>
      <c r="O6096" t="s">
        <v>3959</v>
      </c>
      <c r="P6096" s="57">
        <v>1</v>
      </c>
      <c r="Q6096" s="57">
        <v>0</v>
      </c>
      <c r="R6096" s="57">
        <v>0</v>
      </c>
      <c r="S6096" s="57">
        <v>0</v>
      </c>
      <c r="T6096" s="57">
        <v>0</v>
      </c>
      <c r="U6096" s="57">
        <v>0</v>
      </c>
      <c r="V6096" s="57">
        <v>0</v>
      </c>
      <c r="W6096" s="57">
        <v>0</v>
      </c>
      <c r="X6096" s="57">
        <v>0</v>
      </c>
    </row>
    <row r="6097" spans="1:24" hidden="1" x14ac:dyDescent="0.35">
      <c r="A6097">
        <v>6093</v>
      </c>
      <c r="B6097">
        <v>6094</v>
      </c>
      <c r="C6097">
        <v>146.085721035999</v>
      </c>
      <c r="D6097">
        <v>-17.636224152299899</v>
      </c>
      <c r="F6097" t="str">
        <f>HYPERLINK("D:\Data From Lucan\2024\Moresby\Frames_for_Analysis/6094_20240611_0004_R_0837.jpg","6094_20240611_0004_R_0837.jpg")</f>
        <v>6094_20240611_0004_R_0837.jpg</v>
      </c>
      <c r="G6097" s="92" t="s">
        <v>6296</v>
      </c>
      <c r="I6097">
        <v>3</v>
      </c>
      <c r="K6097" s="57">
        <v>1</v>
      </c>
      <c r="L6097" t="s">
        <v>3959</v>
      </c>
      <c r="M6097" t="s">
        <v>3959</v>
      </c>
      <c r="N6097" t="s">
        <v>3959</v>
      </c>
      <c r="O6097" t="s">
        <v>3959</v>
      </c>
      <c r="P6097" s="57">
        <v>1</v>
      </c>
      <c r="Q6097" s="57">
        <v>0</v>
      </c>
      <c r="R6097" s="57">
        <v>0</v>
      </c>
      <c r="S6097" s="57">
        <v>0</v>
      </c>
      <c r="T6097" s="57">
        <v>0</v>
      </c>
      <c r="U6097" s="57">
        <v>0</v>
      </c>
      <c r="V6097" s="57">
        <v>0</v>
      </c>
      <c r="W6097" s="57">
        <v>0</v>
      </c>
      <c r="X6097" s="57">
        <v>0</v>
      </c>
    </row>
    <row r="6098" spans="1:24" hidden="1" x14ac:dyDescent="0.35">
      <c r="A6098">
        <v>6094</v>
      </c>
      <c r="B6098">
        <v>6095</v>
      </c>
      <c r="C6098">
        <v>146.08563127100001</v>
      </c>
      <c r="D6098">
        <v>-17.636221101</v>
      </c>
      <c r="F6098" t="str">
        <f>HYPERLINK("D:\Data From Lucan\2024\Moresby\Frames_for_Analysis/6095_20240611_0004_R_0834.jpg","6095_20240611_0004_R_0834.jpg")</f>
        <v>6095_20240611_0004_R_0834.jpg</v>
      </c>
      <c r="G6098" s="92" t="s">
        <v>6297</v>
      </c>
      <c r="I6098">
        <v>3</v>
      </c>
      <c r="K6098" s="57">
        <v>1</v>
      </c>
      <c r="L6098" t="s">
        <v>3959</v>
      </c>
      <c r="M6098" t="s">
        <v>3959</v>
      </c>
      <c r="N6098" t="s">
        <v>3959</v>
      </c>
      <c r="O6098" t="s">
        <v>3959</v>
      </c>
      <c r="P6098" s="57">
        <v>1</v>
      </c>
      <c r="Q6098" s="57">
        <v>0</v>
      </c>
      <c r="R6098" s="57">
        <v>0</v>
      </c>
      <c r="S6098" s="57">
        <v>0</v>
      </c>
      <c r="T6098" s="57">
        <v>0</v>
      </c>
      <c r="U6098" s="57">
        <v>0</v>
      </c>
      <c r="V6098" s="57">
        <v>0</v>
      </c>
      <c r="W6098" s="57">
        <v>0</v>
      </c>
      <c r="X6098" s="57">
        <v>0</v>
      </c>
    </row>
    <row r="6099" spans="1:24" hidden="1" x14ac:dyDescent="0.35">
      <c r="A6099">
        <v>6095</v>
      </c>
      <c r="B6099">
        <v>6096</v>
      </c>
      <c r="C6099">
        <v>146.08554161500001</v>
      </c>
      <c r="D6099">
        <v>-17.6362157513</v>
      </c>
      <c r="F6099" t="str">
        <f>HYPERLINK("D:\Data From Lucan\2024\Moresby\Frames_for_Analysis/6096_20240611_0004_R_0831.jpg","6096_20240611_0004_R_0831.jpg")</f>
        <v>6096_20240611_0004_R_0831.jpg</v>
      </c>
      <c r="G6099" s="92" t="s">
        <v>6298</v>
      </c>
      <c r="I6099">
        <v>3</v>
      </c>
      <c r="K6099" s="57">
        <v>1</v>
      </c>
      <c r="L6099" t="s">
        <v>3959</v>
      </c>
      <c r="M6099" t="s">
        <v>3959</v>
      </c>
      <c r="N6099" t="s">
        <v>3959</v>
      </c>
      <c r="O6099" t="s">
        <v>3959</v>
      </c>
      <c r="P6099" s="57">
        <v>1</v>
      </c>
      <c r="Q6099" s="57">
        <v>0</v>
      </c>
      <c r="R6099" s="57">
        <v>0</v>
      </c>
      <c r="S6099" s="57">
        <v>0</v>
      </c>
      <c r="T6099" s="57">
        <v>0</v>
      </c>
      <c r="U6099" s="57">
        <v>0</v>
      </c>
      <c r="V6099" s="57">
        <v>0</v>
      </c>
      <c r="W6099" s="57">
        <v>0</v>
      </c>
      <c r="X6099" s="57">
        <v>0</v>
      </c>
    </row>
    <row r="6100" spans="1:24" hidden="1" x14ac:dyDescent="0.35">
      <c r="A6100">
        <v>6096</v>
      </c>
      <c r="B6100">
        <v>6097</v>
      </c>
      <c r="C6100">
        <v>146.08545195900001</v>
      </c>
      <c r="D6100">
        <v>-17.6362104016</v>
      </c>
      <c r="F6100" t="str">
        <f>HYPERLINK("D:\Data From Lucan\2024\Moresby\Frames_for_Analysis/6097_20240611_0004_R_0828.jpg","6097_20240611_0004_R_0828.jpg")</f>
        <v>6097_20240611_0004_R_0828.jpg</v>
      </c>
      <c r="G6100" s="92" t="s">
        <v>6299</v>
      </c>
      <c r="I6100">
        <v>3</v>
      </c>
      <c r="K6100" s="57">
        <v>1</v>
      </c>
      <c r="L6100" t="s">
        <v>3959</v>
      </c>
      <c r="M6100" t="s">
        <v>3959</v>
      </c>
      <c r="N6100" t="s">
        <v>3959</v>
      </c>
      <c r="O6100" t="s">
        <v>3959</v>
      </c>
      <c r="P6100" s="57">
        <v>1</v>
      </c>
      <c r="Q6100" s="57">
        <v>0</v>
      </c>
      <c r="R6100" s="57">
        <v>0</v>
      </c>
      <c r="S6100" s="57">
        <v>0</v>
      </c>
      <c r="T6100" s="57">
        <v>0</v>
      </c>
      <c r="U6100" s="57">
        <v>0</v>
      </c>
      <c r="V6100" s="57">
        <v>0</v>
      </c>
      <c r="W6100" s="57">
        <v>0</v>
      </c>
      <c r="X6100" s="57">
        <v>0</v>
      </c>
    </row>
    <row r="6101" spans="1:24" hidden="1" x14ac:dyDescent="0.35">
      <c r="A6101">
        <v>6097</v>
      </c>
      <c r="B6101">
        <v>6098</v>
      </c>
      <c r="C6101">
        <v>146.08536230300001</v>
      </c>
      <c r="D6101">
        <v>-17.636205051800001</v>
      </c>
      <c r="F6101" s="1" t="str">
        <f>HYPERLINK("D:\Data From Lucan\2024\Moresby\Frames_for_Analysis/6098_20240611_0004_R_0826.jpg","6098_20240611_0004_R_0826.jpg")</f>
        <v>6098_20240611_0004_R_0826.jpg</v>
      </c>
      <c r="G6101" s="92" t="s">
        <v>6300</v>
      </c>
      <c r="I6101">
        <v>3</v>
      </c>
      <c r="K6101" s="57">
        <v>1</v>
      </c>
      <c r="L6101" t="s">
        <v>3959</v>
      </c>
      <c r="M6101" t="s">
        <v>3959</v>
      </c>
      <c r="N6101" t="s">
        <v>3959</v>
      </c>
      <c r="O6101" t="s">
        <v>3959</v>
      </c>
      <c r="P6101" s="57">
        <v>1</v>
      </c>
      <c r="Q6101" s="57">
        <v>0</v>
      </c>
      <c r="R6101" s="57">
        <v>0</v>
      </c>
      <c r="S6101" s="57">
        <v>0</v>
      </c>
      <c r="T6101" s="57">
        <v>0</v>
      </c>
      <c r="U6101" s="57">
        <v>0</v>
      </c>
      <c r="V6101" s="57">
        <v>0</v>
      </c>
      <c r="W6101" s="57">
        <v>0</v>
      </c>
      <c r="X6101" s="57">
        <v>0</v>
      </c>
    </row>
    <row r="6102" spans="1:24" hidden="1" x14ac:dyDescent="0.35">
      <c r="A6102">
        <v>6098</v>
      </c>
      <c r="B6102">
        <v>6099</v>
      </c>
      <c r="C6102">
        <v>146.08527264700001</v>
      </c>
      <c r="D6102">
        <v>-17.636199702100001</v>
      </c>
      <c r="F6102" t="str">
        <f>HYPERLINK("D:\Data From Lucan\2024\Moresby\Frames_for_Analysis/6099_20240611_0004_R_0823.jpg","6099_20240611_0004_R_0823.jpg")</f>
        <v>6099_20240611_0004_R_0823.jpg</v>
      </c>
      <c r="G6102" s="92" t="s">
        <v>6301</v>
      </c>
      <c r="I6102">
        <v>3</v>
      </c>
      <c r="K6102" s="57">
        <v>1</v>
      </c>
      <c r="L6102" t="s">
        <v>3959</v>
      </c>
      <c r="M6102" t="s">
        <v>3959</v>
      </c>
      <c r="N6102" t="s">
        <v>3959</v>
      </c>
      <c r="O6102" t="s">
        <v>3959</v>
      </c>
      <c r="P6102" s="57">
        <v>1</v>
      </c>
      <c r="Q6102" s="57">
        <v>0</v>
      </c>
      <c r="R6102" s="57">
        <v>0</v>
      </c>
      <c r="S6102" s="57">
        <v>0</v>
      </c>
      <c r="T6102" s="57">
        <v>0</v>
      </c>
      <c r="U6102" s="57">
        <v>0</v>
      </c>
      <c r="V6102" s="57">
        <v>0</v>
      </c>
      <c r="W6102" s="57">
        <v>0</v>
      </c>
      <c r="X6102" s="57">
        <v>0</v>
      </c>
    </row>
    <row r="6103" spans="1:24" hidden="1" x14ac:dyDescent="0.35">
      <c r="A6103">
        <v>6099</v>
      </c>
      <c r="B6103">
        <v>6100</v>
      </c>
      <c r="C6103">
        <v>146.08518299100001</v>
      </c>
      <c r="D6103">
        <v>-17.636194352299899</v>
      </c>
      <c r="F6103" t="str">
        <f>HYPERLINK("D:\Data From Lucan\2024\Moresby\Frames_for_Analysis/6100_20240611_0004_R_0821.jpg","6100_20240611_0004_R_0821.jpg")</f>
        <v>6100_20240611_0004_R_0821.jpg</v>
      </c>
      <c r="G6103" s="92" t="s">
        <v>6302</v>
      </c>
      <c r="I6103">
        <v>3</v>
      </c>
      <c r="K6103" s="57">
        <v>1</v>
      </c>
      <c r="L6103" t="s">
        <v>3959</v>
      </c>
      <c r="M6103" t="s">
        <v>3959</v>
      </c>
      <c r="N6103" t="s">
        <v>3959</v>
      </c>
      <c r="O6103" t="s">
        <v>3959</v>
      </c>
      <c r="P6103" s="57">
        <v>1</v>
      </c>
      <c r="Q6103" s="57">
        <v>0</v>
      </c>
      <c r="R6103" s="57">
        <v>0</v>
      </c>
      <c r="S6103" s="57">
        <v>0</v>
      </c>
      <c r="T6103" s="57">
        <v>0</v>
      </c>
      <c r="U6103" s="57">
        <v>0</v>
      </c>
      <c r="V6103" s="57">
        <v>0</v>
      </c>
      <c r="W6103" s="57">
        <v>0</v>
      </c>
      <c r="X6103" s="57">
        <v>0</v>
      </c>
    </row>
    <row r="6104" spans="1:24" hidden="1" x14ac:dyDescent="0.35">
      <c r="A6104">
        <v>6100</v>
      </c>
      <c r="B6104">
        <v>6101</v>
      </c>
      <c r="C6104">
        <v>146.08509333500001</v>
      </c>
      <c r="D6104">
        <v>-17.636189002599899</v>
      </c>
      <c r="F6104" t="str">
        <f>HYPERLINK("D:\Data From Lucan\2024\Moresby\Frames_for_Analysis/6101_20240611_0004_R_0819.jpg","6101_20240611_0004_R_0819.jpg")</f>
        <v>6101_20240611_0004_R_0819.jpg</v>
      </c>
      <c r="G6104" s="92" t="s">
        <v>6303</v>
      </c>
      <c r="I6104">
        <v>3</v>
      </c>
      <c r="K6104" s="57">
        <v>1</v>
      </c>
      <c r="L6104" t="s">
        <v>3959</v>
      </c>
      <c r="M6104" t="s">
        <v>3959</v>
      </c>
      <c r="N6104" t="s">
        <v>3959</v>
      </c>
      <c r="O6104" t="s">
        <v>3959</v>
      </c>
      <c r="P6104" s="57">
        <v>1</v>
      </c>
      <c r="Q6104" s="57">
        <v>0</v>
      </c>
      <c r="R6104" s="57">
        <v>0</v>
      </c>
      <c r="S6104" s="57">
        <v>0</v>
      </c>
      <c r="T6104" s="57">
        <v>0</v>
      </c>
      <c r="U6104" s="57">
        <v>0</v>
      </c>
      <c r="V6104" s="57">
        <v>0</v>
      </c>
      <c r="W6104" s="57">
        <v>0</v>
      </c>
      <c r="X6104" s="57">
        <v>0</v>
      </c>
    </row>
    <row r="6105" spans="1:24" hidden="1" x14ac:dyDescent="0.35">
      <c r="A6105">
        <v>6101</v>
      </c>
      <c r="B6105">
        <v>6102</v>
      </c>
      <c r="C6105">
        <v>146.08500367900001</v>
      </c>
      <c r="D6105">
        <v>-17.636183652900002</v>
      </c>
      <c r="F6105" t="str">
        <f>HYPERLINK("D:\Data From Lucan\2024\Moresby\Frames_for_Analysis/6102_20240611_0004_R_0816.jpg","6102_20240611_0004_R_0816.jpg")</f>
        <v>6102_20240611_0004_R_0816.jpg</v>
      </c>
      <c r="G6105" s="92" t="s">
        <v>6304</v>
      </c>
      <c r="I6105">
        <v>3</v>
      </c>
      <c r="K6105" s="57">
        <v>1</v>
      </c>
      <c r="L6105" t="s">
        <v>3959</v>
      </c>
      <c r="M6105" t="s">
        <v>3959</v>
      </c>
      <c r="N6105" t="s">
        <v>3959</v>
      </c>
      <c r="O6105" t="s">
        <v>3959</v>
      </c>
      <c r="P6105" s="57">
        <v>1</v>
      </c>
      <c r="Q6105" s="57">
        <v>0</v>
      </c>
      <c r="R6105" s="57">
        <v>0</v>
      </c>
      <c r="S6105" s="57">
        <v>0</v>
      </c>
      <c r="T6105" s="57">
        <v>0</v>
      </c>
      <c r="U6105" s="57">
        <v>0</v>
      </c>
      <c r="V6105" s="57">
        <v>0</v>
      </c>
      <c r="W6105" s="57">
        <v>0</v>
      </c>
      <c r="X6105" s="57">
        <v>0</v>
      </c>
    </row>
    <row r="6106" spans="1:24" hidden="1" x14ac:dyDescent="0.35">
      <c r="A6106">
        <v>6102</v>
      </c>
      <c r="B6106">
        <v>6103</v>
      </c>
      <c r="C6106">
        <v>146.08491402300001</v>
      </c>
      <c r="D6106">
        <v>-17.6361783030999</v>
      </c>
      <c r="F6106" t="str">
        <f>HYPERLINK("D:\Data From Lucan\2024\Moresby\Frames_for_Analysis/6103_20240611_0004_R_0813.jpg","6103_20240611_0004_R_0813.jpg")</f>
        <v>6103_20240611_0004_R_0813.jpg</v>
      </c>
      <c r="G6106" s="92" t="s">
        <v>6305</v>
      </c>
      <c r="I6106">
        <v>3</v>
      </c>
      <c r="K6106" s="57">
        <v>1</v>
      </c>
      <c r="L6106" t="s">
        <v>3959</v>
      </c>
      <c r="M6106" t="s">
        <v>3959</v>
      </c>
      <c r="N6106" t="s">
        <v>3959</v>
      </c>
      <c r="O6106" t="s">
        <v>3959</v>
      </c>
      <c r="P6106" s="57">
        <v>1</v>
      </c>
      <c r="Q6106" s="57">
        <v>0</v>
      </c>
      <c r="R6106" s="57">
        <v>0</v>
      </c>
      <c r="S6106" s="57">
        <v>0</v>
      </c>
      <c r="T6106" s="57">
        <v>0</v>
      </c>
      <c r="U6106" s="57">
        <v>0</v>
      </c>
      <c r="V6106" s="57">
        <v>0</v>
      </c>
      <c r="W6106" s="57">
        <v>0</v>
      </c>
      <c r="X6106" s="57">
        <v>0</v>
      </c>
    </row>
    <row r="6107" spans="1:24" hidden="1" x14ac:dyDescent="0.35">
      <c r="A6107">
        <v>6103</v>
      </c>
      <c r="B6107">
        <v>6104</v>
      </c>
      <c r="C6107">
        <v>146.08482436700001</v>
      </c>
      <c r="D6107">
        <v>-17.6361729533999</v>
      </c>
      <c r="F6107" t="str">
        <f>HYPERLINK("D:\Data From Lucan\2024\Moresby\Frames_for_Analysis/6104_20240611_0004_R_0812.jpg","6104_20240611_0004_R_0812.jpg")</f>
        <v>6104_20240611_0004_R_0812.jpg</v>
      </c>
      <c r="G6107" s="92" t="s">
        <v>6306</v>
      </c>
      <c r="I6107">
        <v>3</v>
      </c>
      <c r="K6107" s="57">
        <v>1</v>
      </c>
      <c r="L6107" t="s">
        <v>3959</v>
      </c>
      <c r="M6107" t="s">
        <v>3959</v>
      </c>
      <c r="N6107" t="s">
        <v>3959</v>
      </c>
      <c r="O6107" t="s">
        <v>3959</v>
      </c>
      <c r="P6107" s="57">
        <v>1</v>
      </c>
      <c r="Q6107" s="57">
        <v>0</v>
      </c>
      <c r="R6107" s="57">
        <v>0</v>
      </c>
      <c r="S6107" s="57">
        <v>0</v>
      </c>
      <c r="T6107" s="57">
        <v>0</v>
      </c>
      <c r="U6107" s="57">
        <v>0</v>
      </c>
      <c r="V6107" s="57">
        <v>0</v>
      </c>
      <c r="W6107" s="57">
        <v>0</v>
      </c>
      <c r="X6107" s="57">
        <v>0</v>
      </c>
    </row>
    <row r="6108" spans="1:24" hidden="1" x14ac:dyDescent="0.35">
      <c r="A6108">
        <v>6104</v>
      </c>
      <c r="B6108">
        <v>6105</v>
      </c>
      <c r="C6108">
        <v>146.08473747599899</v>
      </c>
      <c r="D6108">
        <v>-17.6361518904999</v>
      </c>
      <c r="F6108" t="str">
        <f>HYPERLINK("D:\Data From Lucan\2024\Moresby\Frames_for_Analysis/6105_20240611_0004_R_0810.jpg","6105_20240611_0004_R_0810.jpg")</f>
        <v>6105_20240611_0004_R_0810.jpg</v>
      </c>
      <c r="G6108" s="92" t="s">
        <v>6307</v>
      </c>
      <c r="I6108">
        <v>3</v>
      </c>
      <c r="K6108" s="57">
        <v>1</v>
      </c>
      <c r="L6108" t="s">
        <v>3959</v>
      </c>
      <c r="M6108" t="s">
        <v>3959</v>
      </c>
      <c r="N6108" t="s">
        <v>3959</v>
      </c>
      <c r="O6108" t="s">
        <v>3959</v>
      </c>
      <c r="P6108" s="57">
        <v>1</v>
      </c>
      <c r="Q6108" s="57">
        <v>0</v>
      </c>
      <c r="R6108" s="57">
        <v>0</v>
      </c>
      <c r="S6108" s="57">
        <v>0</v>
      </c>
      <c r="T6108" s="57">
        <v>0</v>
      </c>
      <c r="U6108" s="57">
        <v>0</v>
      </c>
      <c r="V6108" s="57">
        <v>0</v>
      </c>
      <c r="W6108" s="57">
        <v>0</v>
      </c>
      <c r="X6108" s="57">
        <v>0</v>
      </c>
    </row>
    <row r="6109" spans="1:24" hidden="1" x14ac:dyDescent="0.35">
      <c r="A6109">
        <v>6105</v>
      </c>
      <c r="B6109">
        <v>6106</v>
      </c>
      <c r="C6109">
        <v>146.08465089200001</v>
      </c>
      <c r="D6109">
        <v>-17.636129079700002</v>
      </c>
      <c r="F6109" t="str">
        <f>HYPERLINK("D:\Data From Lucan\2024\Moresby\Frames_for_Analysis/6106_20240611_0004_R_0808.jpg","6106_20240611_0004_R_0808.jpg")</f>
        <v>6106_20240611_0004_R_0808.jpg</v>
      </c>
      <c r="G6109" s="92" t="s">
        <v>6308</v>
      </c>
      <c r="I6109">
        <v>3</v>
      </c>
      <c r="K6109" s="57">
        <v>1</v>
      </c>
      <c r="L6109" t="s">
        <v>3959</v>
      </c>
      <c r="M6109" t="s">
        <v>3959</v>
      </c>
      <c r="N6109" t="s">
        <v>3959</v>
      </c>
      <c r="O6109" t="s">
        <v>3959</v>
      </c>
      <c r="P6109" s="57">
        <v>1</v>
      </c>
      <c r="Q6109" s="57">
        <v>0</v>
      </c>
      <c r="R6109" s="57">
        <v>0</v>
      </c>
      <c r="S6109" s="57">
        <v>0</v>
      </c>
      <c r="T6109" s="57">
        <v>0</v>
      </c>
      <c r="U6109" s="57">
        <v>0</v>
      </c>
      <c r="V6109" s="57">
        <v>0</v>
      </c>
      <c r="W6109" s="57">
        <v>0</v>
      </c>
      <c r="X6109" s="57">
        <v>0</v>
      </c>
    </row>
    <row r="6110" spans="1:24" hidden="1" x14ac:dyDescent="0.35">
      <c r="A6110">
        <v>6106</v>
      </c>
      <c r="B6110">
        <v>6107</v>
      </c>
      <c r="C6110">
        <v>146.08456430800001</v>
      </c>
      <c r="D6110">
        <v>-17.6361062687999</v>
      </c>
      <c r="F6110" t="str">
        <f>HYPERLINK("D:\Data From Lucan\2024\Moresby\Frames_for_Analysis/6107_20240611_0004_R_0806.jpg","6107_20240611_0004_R_0806.jpg")</f>
        <v>6107_20240611_0004_R_0806.jpg</v>
      </c>
      <c r="G6110" s="92" t="s">
        <v>6309</v>
      </c>
      <c r="I6110">
        <v>3</v>
      </c>
      <c r="K6110" s="57">
        <v>1</v>
      </c>
      <c r="L6110" t="s">
        <v>3959</v>
      </c>
      <c r="M6110" t="s">
        <v>3959</v>
      </c>
      <c r="N6110" t="s">
        <v>3959</v>
      </c>
      <c r="O6110" t="s">
        <v>3959</v>
      </c>
      <c r="P6110" s="57">
        <v>1</v>
      </c>
      <c r="Q6110" s="57">
        <v>0</v>
      </c>
      <c r="R6110" s="57">
        <v>0</v>
      </c>
      <c r="S6110" s="57">
        <v>0</v>
      </c>
      <c r="T6110" s="57">
        <v>0</v>
      </c>
      <c r="U6110" s="57">
        <v>0</v>
      </c>
      <c r="V6110" s="57">
        <v>0</v>
      </c>
      <c r="W6110" s="57">
        <v>0</v>
      </c>
      <c r="X6110" s="57">
        <v>0</v>
      </c>
    </row>
    <row r="6111" spans="1:24" hidden="1" x14ac:dyDescent="0.35">
      <c r="A6111">
        <v>6107</v>
      </c>
      <c r="B6111">
        <v>6108</v>
      </c>
      <c r="C6111">
        <v>146.08447772400001</v>
      </c>
      <c r="D6111">
        <v>-17.6360834579</v>
      </c>
      <c r="F6111" t="str">
        <f>HYPERLINK("D:\Data From Lucan\2024\Moresby\Frames_for_Analysis/6108_20240611_0004_R_0803.jpg","6108_20240611_0004_R_0803.jpg")</f>
        <v>6108_20240611_0004_R_0803.jpg</v>
      </c>
      <c r="G6111" s="92" t="s">
        <v>6310</v>
      </c>
      <c r="I6111">
        <v>3</v>
      </c>
      <c r="K6111" s="57">
        <v>1</v>
      </c>
      <c r="L6111" t="s">
        <v>3959</v>
      </c>
      <c r="M6111" t="s">
        <v>3959</v>
      </c>
      <c r="N6111" t="s">
        <v>3959</v>
      </c>
      <c r="O6111" t="s">
        <v>3959</v>
      </c>
      <c r="P6111" s="57">
        <v>1</v>
      </c>
      <c r="Q6111" s="57">
        <v>0</v>
      </c>
      <c r="R6111" s="57">
        <v>0</v>
      </c>
      <c r="S6111" s="57">
        <v>0</v>
      </c>
      <c r="T6111" s="57">
        <v>0</v>
      </c>
      <c r="U6111" s="57">
        <v>0</v>
      </c>
      <c r="V6111" s="57">
        <v>0</v>
      </c>
      <c r="W6111" s="57">
        <v>0</v>
      </c>
      <c r="X6111" s="57">
        <v>0</v>
      </c>
    </row>
    <row r="6112" spans="1:24" hidden="1" x14ac:dyDescent="0.35">
      <c r="A6112">
        <v>6108</v>
      </c>
      <c r="B6112">
        <v>6109</v>
      </c>
      <c r="C6112">
        <v>146.08439114000001</v>
      </c>
      <c r="D6112">
        <v>-17.6360606470999</v>
      </c>
      <c r="F6112" t="str">
        <f>HYPERLINK("D:\Data From Lucan\2024\Moresby\Frames_for_Analysis/6109_20240611_0004_R_0798.jpg","6109_20240611_0004_R_0798.jpg")</f>
        <v>6109_20240611_0004_R_0798.jpg</v>
      </c>
      <c r="G6112" s="92" t="s">
        <v>6311</v>
      </c>
      <c r="I6112">
        <v>3</v>
      </c>
      <c r="K6112" s="57">
        <v>1</v>
      </c>
      <c r="L6112" t="s">
        <v>3959</v>
      </c>
      <c r="M6112" t="s">
        <v>3959</v>
      </c>
      <c r="N6112" t="s">
        <v>3959</v>
      </c>
      <c r="O6112" t="s">
        <v>3959</v>
      </c>
      <c r="P6112" s="57">
        <v>1</v>
      </c>
      <c r="Q6112" s="57">
        <v>0</v>
      </c>
      <c r="R6112" s="57">
        <v>0</v>
      </c>
      <c r="S6112" s="57">
        <v>0</v>
      </c>
      <c r="T6112" s="57">
        <v>0</v>
      </c>
      <c r="U6112" s="57">
        <v>0</v>
      </c>
      <c r="V6112" s="57">
        <v>0</v>
      </c>
      <c r="W6112" s="57">
        <v>0</v>
      </c>
      <c r="X6112" s="57">
        <v>0</v>
      </c>
    </row>
    <row r="6113" spans="1:24" hidden="1" x14ac:dyDescent="0.35">
      <c r="A6113">
        <v>6109</v>
      </c>
      <c r="B6113">
        <v>6110</v>
      </c>
      <c r="C6113">
        <v>146.08430455600001</v>
      </c>
      <c r="D6113">
        <v>-17.6360378362</v>
      </c>
      <c r="F6113" t="str">
        <f>HYPERLINK("D:\Data From Lucan\2024\Moresby\Frames_for_Analysis/6110_20240611_0004_R_0795.jpg","6110_20240611_0004_R_0795.jpg")</f>
        <v>6110_20240611_0004_R_0795.jpg</v>
      </c>
      <c r="G6113" s="92" t="s">
        <v>6312</v>
      </c>
      <c r="I6113">
        <v>3</v>
      </c>
      <c r="K6113" s="57">
        <v>1</v>
      </c>
      <c r="L6113" t="s">
        <v>3959</v>
      </c>
      <c r="M6113" t="s">
        <v>3959</v>
      </c>
      <c r="N6113" t="s">
        <v>3959</v>
      </c>
      <c r="O6113" t="s">
        <v>3959</v>
      </c>
      <c r="P6113" s="57">
        <v>1</v>
      </c>
      <c r="Q6113" s="57">
        <v>0</v>
      </c>
      <c r="R6113" s="57">
        <v>0</v>
      </c>
      <c r="S6113" s="57">
        <v>0</v>
      </c>
      <c r="T6113" s="57">
        <v>0</v>
      </c>
      <c r="U6113" s="57">
        <v>0</v>
      </c>
      <c r="V6113" s="57">
        <v>0</v>
      </c>
      <c r="W6113" s="57">
        <v>0</v>
      </c>
      <c r="X6113" s="57">
        <v>0</v>
      </c>
    </row>
    <row r="6114" spans="1:24" hidden="1" x14ac:dyDescent="0.35">
      <c r="A6114">
        <v>6110</v>
      </c>
      <c r="B6114">
        <v>6111</v>
      </c>
      <c r="C6114">
        <v>146.084217972</v>
      </c>
      <c r="D6114">
        <v>-17.636015025300001</v>
      </c>
      <c r="F6114" t="str">
        <f>HYPERLINK("D:\Data From Lucan\2024\Moresby\Frames_for_Analysis/6111_20240611_0004_R_0793.jpg","6111_20240611_0004_R_0793.jpg")</f>
        <v>6111_20240611_0004_R_0793.jpg</v>
      </c>
      <c r="G6114" s="92" t="s">
        <v>6313</v>
      </c>
      <c r="I6114">
        <v>3</v>
      </c>
      <c r="K6114" s="57">
        <v>1</v>
      </c>
      <c r="L6114" t="s">
        <v>3959</v>
      </c>
      <c r="M6114" t="s">
        <v>3959</v>
      </c>
      <c r="N6114" t="s">
        <v>3959</v>
      </c>
      <c r="O6114" t="s">
        <v>3959</v>
      </c>
      <c r="P6114" s="57">
        <v>1</v>
      </c>
      <c r="Q6114" s="57">
        <v>0</v>
      </c>
      <c r="R6114" s="57">
        <v>0</v>
      </c>
      <c r="S6114" s="57">
        <v>0</v>
      </c>
      <c r="T6114" s="57">
        <v>0</v>
      </c>
      <c r="U6114" s="57">
        <v>0</v>
      </c>
      <c r="V6114" s="57">
        <v>0</v>
      </c>
      <c r="W6114" s="57">
        <v>0</v>
      </c>
      <c r="X6114" s="57">
        <v>0</v>
      </c>
    </row>
    <row r="6115" spans="1:24" hidden="1" x14ac:dyDescent="0.35">
      <c r="A6115">
        <v>6111</v>
      </c>
      <c r="B6115">
        <v>6112</v>
      </c>
      <c r="C6115">
        <v>146.084131388</v>
      </c>
      <c r="D6115">
        <v>-17.635992214400002</v>
      </c>
      <c r="F6115" t="str">
        <f>HYPERLINK("D:\Data From Lucan\2024\Moresby\Frames_for_Analysis/6112_20240611_0004_R_0790.jpg","6112_20240611_0004_R_0790.jpg")</f>
        <v>6112_20240611_0004_R_0790.jpg</v>
      </c>
      <c r="G6115" s="92" t="s">
        <v>6314</v>
      </c>
      <c r="I6115">
        <v>3</v>
      </c>
      <c r="K6115" s="57">
        <v>1</v>
      </c>
      <c r="L6115" t="s">
        <v>3959</v>
      </c>
      <c r="M6115" t="s">
        <v>3959</v>
      </c>
      <c r="N6115" t="s">
        <v>3959</v>
      </c>
      <c r="O6115" t="s">
        <v>3959</v>
      </c>
      <c r="P6115" s="57">
        <v>1</v>
      </c>
      <c r="Q6115" s="57">
        <v>0</v>
      </c>
      <c r="R6115" s="57">
        <v>0</v>
      </c>
      <c r="S6115" s="57">
        <v>0</v>
      </c>
      <c r="T6115" s="57">
        <v>0</v>
      </c>
      <c r="U6115" s="57">
        <v>0</v>
      </c>
      <c r="V6115" s="57">
        <v>0</v>
      </c>
      <c r="W6115" s="57">
        <v>0</v>
      </c>
      <c r="X6115" s="57">
        <v>0</v>
      </c>
    </row>
    <row r="6116" spans="1:24" hidden="1" x14ac:dyDescent="0.35">
      <c r="A6116">
        <v>6112</v>
      </c>
      <c r="B6116">
        <v>6113</v>
      </c>
      <c r="C6116">
        <v>146.084044804</v>
      </c>
      <c r="D6116">
        <v>-17.635969403499899</v>
      </c>
      <c r="F6116" t="str">
        <f>HYPERLINK("D:\Data From Lucan\2024\Moresby\Frames_for_Analysis/6113_20240611_0004_R_0787.jpg","6113_20240611_0004_R_0787.jpg")</f>
        <v>6113_20240611_0004_R_0787.jpg</v>
      </c>
      <c r="G6116" s="92" t="s">
        <v>6315</v>
      </c>
      <c r="I6116">
        <v>3</v>
      </c>
      <c r="K6116" s="57">
        <v>1</v>
      </c>
      <c r="L6116" t="s">
        <v>3959</v>
      </c>
      <c r="M6116" t="s">
        <v>3959</v>
      </c>
      <c r="N6116" t="s">
        <v>3959</v>
      </c>
      <c r="O6116" t="s">
        <v>3959</v>
      </c>
      <c r="P6116" s="57">
        <v>1</v>
      </c>
      <c r="Q6116" s="57">
        <v>0</v>
      </c>
      <c r="R6116" s="57">
        <v>0</v>
      </c>
      <c r="S6116" s="57">
        <v>0</v>
      </c>
      <c r="T6116" s="57">
        <v>0</v>
      </c>
      <c r="U6116" s="57">
        <v>0</v>
      </c>
      <c r="V6116" s="57">
        <v>0</v>
      </c>
      <c r="W6116" s="57">
        <v>0</v>
      </c>
      <c r="X6116" s="57">
        <v>0</v>
      </c>
    </row>
    <row r="6117" spans="1:24" hidden="1" x14ac:dyDescent="0.35">
      <c r="A6117">
        <v>6113</v>
      </c>
      <c r="B6117">
        <v>6114</v>
      </c>
      <c r="C6117">
        <v>146.083963398999</v>
      </c>
      <c r="D6117">
        <v>-17.6359337936</v>
      </c>
      <c r="F6117" t="str">
        <f>HYPERLINK("D:\Data From Lucan\2024\Moresby\Frames_for_Analysis/6114_20240611_0004_R_0784.jpg","6114_20240611_0004_R_0784.jpg")</f>
        <v>6114_20240611_0004_R_0784.jpg</v>
      </c>
      <c r="G6117" s="92" t="s">
        <v>6316</v>
      </c>
      <c r="I6117">
        <v>3</v>
      </c>
      <c r="K6117" s="57">
        <v>1</v>
      </c>
      <c r="L6117" t="s">
        <v>3959</v>
      </c>
      <c r="M6117" t="s">
        <v>3959</v>
      </c>
      <c r="N6117" t="s">
        <v>3959</v>
      </c>
      <c r="O6117" t="s">
        <v>3959</v>
      </c>
      <c r="P6117" s="57">
        <v>1</v>
      </c>
      <c r="Q6117" s="57">
        <v>0</v>
      </c>
      <c r="R6117" s="57">
        <v>0</v>
      </c>
      <c r="S6117" s="57">
        <v>0</v>
      </c>
      <c r="T6117" s="57">
        <v>0</v>
      </c>
      <c r="U6117" s="57">
        <v>0</v>
      </c>
      <c r="V6117" s="57">
        <v>0</v>
      </c>
      <c r="W6117" s="57">
        <v>0</v>
      </c>
      <c r="X6117" s="57">
        <v>0</v>
      </c>
    </row>
    <row r="6118" spans="1:24" hidden="1" x14ac:dyDescent="0.35">
      <c r="A6118">
        <v>6114</v>
      </c>
      <c r="B6118">
        <v>6115</v>
      </c>
      <c r="C6118">
        <v>146.08388315900001</v>
      </c>
      <c r="D6118">
        <v>-17.6358953025</v>
      </c>
      <c r="F6118" t="str">
        <f>HYPERLINK("D:\Data From Lucan\2024\Moresby\Frames_for_Analysis/6115_20240611_0004_R_0782.jpg","6115_20240611_0004_R_0782.jpg")</f>
        <v>6115_20240611_0004_R_0782.jpg</v>
      </c>
      <c r="G6118" s="92" t="s">
        <v>6317</v>
      </c>
      <c r="I6118">
        <v>3</v>
      </c>
      <c r="K6118" s="57">
        <v>1</v>
      </c>
      <c r="L6118" t="s">
        <v>3959</v>
      </c>
      <c r="M6118" t="s">
        <v>3959</v>
      </c>
      <c r="N6118" t="s">
        <v>3959</v>
      </c>
      <c r="O6118" t="s">
        <v>3959</v>
      </c>
      <c r="P6118" s="57">
        <v>1</v>
      </c>
      <c r="Q6118" s="57">
        <v>0</v>
      </c>
      <c r="R6118" s="57">
        <v>0</v>
      </c>
      <c r="S6118" s="57">
        <v>0</v>
      </c>
      <c r="T6118" s="57">
        <v>0</v>
      </c>
      <c r="U6118" s="57">
        <v>0</v>
      </c>
      <c r="V6118" s="57">
        <v>0</v>
      </c>
      <c r="W6118" s="57">
        <v>0</v>
      </c>
      <c r="X6118" s="57">
        <v>0</v>
      </c>
    </row>
    <row r="6119" spans="1:24" hidden="1" x14ac:dyDescent="0.35">
      <c r="A6119">
        <v>6115</v>
      </c>
      <c r="B6119">
        <v>6116</v>
      </c>
      <c r="C6119">
        <v>146.083802918999</v>
      </c>
      <c r="D6119">
        <v>-17.6358568114</v>
      </c>
      <c r="F6119" t="str">
        <f>HYPERLINK("D:\Data From Lucan\2024\Moresby\Frames_for_Analysis/6116_20240611_0004_R_0780.jpg","6116_20240611_0004_R_0780.jpg")</f>
        <v>6116_20240611_0004_R_0780.jpg</v>
      </c>
      <c r="G6119" s="92" t="s">
        <v>6318</v>
      </c>
      <c r="I6119">
        <v>3</v>
      </c>
      <c r="K6119" s="57">
        <v>1</v>
      </c>
      <c r="L6119" t="s">
        <v>3959</v>
      </c>
      <c r="M6119" t="s">
        <v>3959</v>
      </c>
      <c r="N6119" t="s">
        <v>3959</v>
      </c>
      <c r="O6119" t="s">
        <v>3959</v>
      </c>
      <c r="P6119" s="57">
        <v>1</v>
      </c>
      <c r="Q6119" s="57">
        <v>0</v>
      </c>
      <c r="R6119" s="57">
        <v>0</v>
      </c>
      <c r="S6119" s="57">
        <v>0</v>
      </c>
      <c r="T6119" s="57">
        <v>0</v>
      </c>
      <c r="U6119" s="57">
        <v>0</v>
      </c>
      <c r="V6119" s="57">
        <v>0</v>
      </c>
      <c r="W6119" s="57">
        <v>0</v>
      </c>
      <c r="X6119" s="57">
        <v>0</v>
      </c>
    </row>
    <row r="6120" spans="1:24" hidden="1" x14ac:dyDescent="0.35">
      <c r="A6120">
        <v>6116</v>
      </c>
      <c r="B6120">
        <v>6117</v>
      </c>
      <c r="C6120">
        <v>146.083722679999</v>
      </c>
      <c r="D6120">
        <v>-17.6358183203</v>
      </c>
      <c r="F6120" t="str">
        <f>HYPERLINK("D:\Data From Lucan\2024\Moresby\Frames_for_Analysis/6117_20240611_0004_R_0778.jpg","6117_20240611_0004_R_0778.jpg")</f>
        <v>6117_20240611_0004_R_0778.jpg</v>
      </c>
      <c r="G6120" s="92" t="s">
        <v>6319</v>
      </c>
      <c r="I6120">
        <v>3</v>
      </c>
      <c r="K6120" s="57">
        <v>1</v>
      </c>
      <c r="L6120" t="s">
        <v>3959</v>
      </c>
      <c r="M6120" t="s">
        <v>3959</v>
      </c>
      <c r="N6120" t="s">
        <v>3959</v>
      </c>
      <c r="O6120" t="s">
        <v>3959</v>
      </c>
      <c r="P6120" s="57">
        <v>1</v>
      </c>
      <c r="Q6120" s="57">
        <v>0</v>
      </c>
      <c r="R6120" s="57">
        <v>0</v>
      </c>
      <c r="S6120" s="57">
        <v>0</v>
      </c>
      <c r="T6120" s="57">
        <v>0</v>
      </c>
      <c r="U6120" s="57">
        <v>0</v>
      </c>
      <c r="V6120" s="57">
        <v>0</v>
      </c>
      <c r="W6120" s="57">
        <v>0</v>
      </c>
      <c r="X6120" s="57">
        <v>0</v>
      </c>
    </row>
    <row r="6121" spans="1:24" hidden="1" x14ac:dyDescent="0.35">
      <c r="A6121">
        <v>6117</v>
      </c>
      <c r="B6121">
        <v>6118</v>
      </c>
      <c r="C6121">
        <v>146.08364244000001</v>
      </c>
      <c r="D6121">
        <v>-17.635779829200001</v>
      </c>
      <c r="F6121" t="str">
        <f>HYPERLINK("D:\Data From Lucan\2024\Moresby\Frames_for_Analysis/6118_20240611_0004_R_0776.jpg","6118_20240611_0004_R_0776.jpg")</f>
        <v>6118_20240611_0004_R_0776.jpg</v>
      </c>
      <c r="G6121" s="92" t="s">
        <v>6320</v>
      </c>
      <c r="I6121">
        <v>3</v>
      </c>
      <c r="K6121" s="57">
        <v>1</v>
      </c>
      <c r="L6121" t="s">
        <v>3959</v>
      </c>
      <c r="M6121" t="s">
        <v>3959</v>
      </c>
      <c r="N6121" t="s">
        <v>3959</v>
      </c>
      <c r="O6121" t="s">
        <v>3959</v>
      </c>
      <c r="P6121" s="57">
        <v>1</v>
      </c>
      <c r="Q6121" s="57">
        <v>0</v>
      </c>
      <c r="R6121" s="57">
        <v>0</v>
      </c>
      <c r="S6121" s="57">
        <v>0</v>
      </c>
      <c r="T6121" s="57">
        <v>0</v>
      </c>
      <c r="U6121" s="57">
        <v>0</v>
      </c>
      <c r="V6121" s="57">
        <v>0</v>
      </c>
      <c r="W6121" s="57">
        <v>0</v>
      </c>
      <c r="X6121" s="57">
        <v>0</v>
      </c>
    </row>
    <row r="6122" spans="1:24" hidden="1" x14ac:dyDescent="0.35">
      <c r="A6122">
        <v>6118</v>
      </c>
      <c r="B6122">
        <v>6119</v>
      </c>
      <c r="C6122">
        <v>146.08356219999899</v>
      </c>
      <c r="D6122">
        <v>-17.635741338100001</v>
      </c>
      <c r="F6122" t="str">
        <f>HYPERLINK("D:\Data From Lucan\2024\Moresby\Frames_for_Analysis/6119_20240611_0004_R_0774.jpg","6119_20240611_0004_R_0774.jpg")</f>
        <v>6119_20240611_0004_R_0774.jpg</v>
      </c>
      <c r="G6122" s="92" t="s">
        <v>6321</v>
      </c>
      <c r="I6122">
        <v>3</v>
      </c>
      <c r="K6122" s="57">
        <v>1</v>
      </c>
      <c r="L6122" t="s">
        <v>3959</v>
      </c>
      <c r="M6122" t="s">
        <v>3959</v>
      </c>
      <c r="N6122" t="s">
        <v>3959</v>
      </c>
      <c r="O6122" t="s">
        <v>3959</v>
      </c>
      <c r="P6122" s="57">
        <v>1</v>
      </c>
      <c r="Q6122" s="57">
        <v>0</v>
      </c>
      <c r="R6122" s="57">
        <v>0</v>
      </c>
      <c r="S6122" s="57">
        <v>0</v>
      </c>
      <c r="T6122" s="57">
        <v>0</v>
      </c>
      <c r="U6122" s="57">
        <v>0</v>
      </c>
      <c r="V6122" s="57">
        <v>0</v>
      </c>
      <c r="W6122" s="57">
        <v>0</v>
      </c>
      <c r="X6122" s="57">
        <v>0</v>
      </c>
    </row>
    <row r="6123" spans="1:24" hidden="1" x14ac:dyDescent="0.35">
      <c r="A6123">
        <v>6119</v>
      </c>
      <c r="B6123">
        <v>6120</v>
      </c>
      <c r="C6123">
        <v>146.08348196099899</v>
      </c>
      <c r="D6123">
        <v>-17.635702847000001</v>
      </c>
      <c r="F6123" t="str">
        <f>HYPERLINK("D:\Data From Lucan\2024\Moresby\Frames_for_Analysis/6120_20240611_0004_R_0772.jpg","6120_20240611_0004_R_0772.jpg")</f>
        <v>6120_20240611_0004_R_0772.jpg</v>
      </c>
      <c r="G6123" s="92" t="s">
        <v>6322</v>
      </c>
      <c r="I6123">
        <v>3</v>
      </c>
      <c r="K6123" s="57">
        <v>1</v>
      </c>
      <c r="L6123" t="s">
        <v>3959</v>
      </c>
      <c r="M6123" t="s">
        <v>3959</v>
      </c>
      <c r="N6123" t="s">
        <v>3959</v>
      </c>
      <c r="O6123" t="s">
        <v>3959</v>
      </c>
      <c r="P6123" s="57">
        <v>1</v>
      </c>
      <c r="Q6123" s="57">
        <v>0</v>
      </c>
      <c r="R6123" s="57">
        <v>0</v>
      </c>
      <c r="S6123" s="57">
        <v>0</v>
      </c>
      <c r="T6123" s="57">
        <v>0</v>
      </c>
      <c r="U6123" s="57">
        <v>0</v>
      </c>
      <c r="V6123" s="57">
        <v>0</v>
      </c>
      <c r="W6123" s="57">
        <v>0</v>
      </c>
      <c r="X6123" s="57">
        <v>0</v>
      </c>
    </row>
    <row r="6124" spans="1:24" hidden="1" x14ac:dyDescent="0.35">
      <c r="A6124">
        <v>6120</v>
      </c>
      <c r="B6124">
        <v>6121</v>
      </c>
      <c r="C6124">
        <v>146.083406029999</v>
      </c>
      <c r="D6124">
        <v>-17.635658011</v>
      </c>
      <c r="F6124" t="str">
        <f>HYPERLINK("D:\Data From Lucan\2024\Moresby\Frames_for_Analysis/6121_20240611_0004_R_0770.jpg","6121_20240611_0004_R_0770.jpg")</f>
        <v>6121_20240611_0004_R_0770.jpg</v>
      </c>
      <c r="G6124" s="92" t="s">
        <v>6323</v>
      </c>
      <c r="I6124">
        <v>3</v>
      </c>
      <c r="K6124" s="57">
        <v>1</v>
      </c>
      <c r="L6124" t="s">
        <v>3959</v>
      </c>
      <c r="M6124" t="s">
        <v>3959</v>
      </c>
      <c r="N6124" t="s">
        <v>3959</v>
      </c>
      <c r="O6124" t="s">
        <v>3959</v>
      </c>
      <c r="P6124" s="57">
        <v>1</v>
      </c>
      <c r="Q6124" s="57">
        <v>0</v>
      </c>
      <c r="R6124" s="57">
        <v>0</v>
      </c>
      <c r="S6124" s="57">
        <v>0</v>
      </c>
      <c r="T6124" s="57">
        <v>0</v>
      </c>
      <c r="U6124" s="57">
        <v>0</v>
      </c>
      <c r="V6124" s="57">
        <v>0</v>
      </c>
      <c r="W6124" s="57">
        <v>0</v>
      </c>
      <c r="X6124" s="57">
        <v>0</v>
      </c>
    </row>
    <row r="6125" spans="1:24" hidden="1" x14ac:dyDescent="0.35">
      <c r="A6125">
        <v>6121</v>
      </c>
      <c r="B6125">
        <v>6122</v>
      </c>
      <c r="C6125">
        <v>146.083336325999</v>
      </c>
      <c r="D6125">
        <v>-17.635604009000001</v>
      </c>
      <c r="F6125" t="str">
        <f>HYPERLINK("D:\Data From Lucan\2024\Moresby\Frames_for_Analysis/6122_20240611_0004_R_0767.jpg","6122_20240611_0004_R_0767.jpg")</f>
        <v>6122_20240611_0004_R_0767.jpg</v>
      </c>
      <c r="G6125" s="92" t="s">
        <v>6324</v>
      </c>
      <c r="I6125">
        <v>3</v>
      </c>
      <c r="K6125" s="57">
        <v>1</v>
      </c>
      <c r="L6125" t="s">
        <v>3959</v>
      </c>
      <c r="M6125" t="s">
        <v>3959</v>
      </c>
      <c r="N6125" t="s">
        <v>3959</v>
      </c>
      <c r="O6125" t="s">
        <v>3959</v>
      </c>
      <c r="P6125" s="57">
        <v>1</v>
      </c>
      <c r="Q6125" s="57">
        <v>0</v>
      </c>
      <c r="R6125" s="57">
        <v>0</v>
      </c>
      <c r="S6125" s="57">
        <v>0</v>
      </c>
      <c r="T6125" s="57">
        <v>0</v>
      </c>
      <c r="U6125" s="57">
        <v>0</v>
      </c>
      <c r="V6125" s="57">
        <v>0</v>
      </c>
      <c r="W6125" s="57">
        <v>0</v>
      </c>
      <c r="X6125" s="57">
        <v>0</v>
      </c>
    </row>
    <row r="6126" spans="1:24" hidden="1" x14ac:dyDescent="0.35">
      <c r="A6126">
        <v>6122</v>
      </c>
      <c r="B6126">
        <v>6123</v>
      </c>
      <c r="C6126">
        <v>146.08326662100001</v>
      </c>
      <c r="D6126">
        <v>-17.635550006900001</v>
      </c>
      <c r="F6126" t="str">
        <f>HYPERLINK("D:\Data From Lucan\2024\Moresby\Frames_for_Analysis/6123_20240611_0004_R_0764.jpg","6123_20240611_0004_R_0764.jpg")</f>
        <v>6123_20240611_0004_R_0764.jpg</v>
      </c>
      <c r="G6126" s="92" t="s">
        <v>6325</v>
      </c>
      <c r="I6126">
        <v>3</v>
      </c>
      <c r="K6126" s="57">
        <v>1</v>
      </c>
      <c r="L6126" t="s">
        <v>3959</v>
      </c>
      <c r="M6126" t="s">
        <v>3959</v>
      </c>
      <c r="N6126" t="s">
        <v>3959</v>
      </c>
      <c r="O6126" t="s">
        <v>3959</v>
      </c>
      <c r="P6126" s="57">
        <v>1</v>
      </c>
      <c r="Q6126" s="57">
        <v>0</v>
      </c>
      <c r="R6126" s="57">
        <v>0</v>
      </c>
      <c r="S6126" s="57">
        <v>0</v>
      </c>
      <c r="T6126" s="57">
        <v>0</v>
      </c>
      <c r="U6126" s="57">
        <v>0</v>
      </c>
      <c r="V6126" s="57">
        <v>0</v>
      </c>
      <c r="W6126" s="57">
        <v>0</v>
      </c>
      <c r="X6126" s="57">
        <v>0</v>
      </c>
    </row>
    <row r="6127" spans="1:24" hidden="1" x14ac:dyDescent="0.35">
      <c r="A6127">
        <v>6123</v>
      </c>
      <c r="B6127">
        <v>6124</v>
      </c>
      <c r="C6127">
        <v>146.083196915999</v>
      </c>
      <c r="D6127">
        <v>-17.635496004899899</v>
      </c>
      <c r="F6127" t="str">
        <f>HYPERLINK("D:\Data From Lucan\2024\Moresby\Frames_for_Analysis/6124_20240611_0004_R_0762.jpg","6124_20240611_0004_R_0762.jpg")</f>
        <v>6124_20240611_0004_R_0762.jpg</v>
      </c>
      <c r="G6127" s="92" t="s">
        <v>6326</v>
      </c>
      <c r="I6127">
        <v>3</v>
      </c>
      <c r="K6127" s="57">
        <v>1</v>
      </c>
      <c r="L6127" t="s">
        <v>3959</v>
      </c>
      <c r="M6127" t="s">
        <v>3959</v>
      </c>
      <c r="N6127" t="s">
        <v>3959</v>
      </c>
      <c r="O6127" t="s">
        <v>3959</v>
      </c>
      <c r="P6127" s="57">
        <v>1</v>
      </c>
      <c r="Q6127" s="57">
        <v>0</v>
      </c>
      <c r="R6127" s="57">
        <v>0</v>
      </c>
      <c r="S6127" s="57">
        <v>0</v>
      </c>
      <c r="T6127" s="57">
        <v>0</v>
      </c>
      <c r="U6127" s="57">
        <v>0</v>
      </c>
      <c r="V6127" s="57">
        <v>0</v>
      </c>
      <c r="W6127" s="57">
        <v>0</v>
      </c>
      <c r="X6127" s="57">
        <v>0</v>
      </c>
    </row>
    <row r="6128" spans="1:24" hidden="1" x14ac:dyDescent="0.35">
      <c r="A6128">
        <v>6124</v>
      </c>
      <c r="B6128">
        <v>6125</v>
      </c>
      <c r="C6128">
        <v>146.08312726400001</v>
      </c>
      <c r="D6128">
        <v>-17.635441950000001</v>
      </c>
      <c r="F6128" t="str">
        <f>HYPERLINK("D:\Data From Lucan\2024\Moresby\Frames_for_Analysis/6125_20240611_0004_R_0760.jpg","6125_20240611_0004_R_0760.jpg")</f>
        <v>6125_20240611_0004_R_0760.jpg</v>
      </c>
      <c r="G6128" s="92" t="s">
        <v>6327</v>
      </c>
      <c r="I6128">
        <v>3</v>
      </c>
      <c r="K6128" s="57">
        <v>1</v>
      </c>
      <c r="L6128" t="s">
        <v>3959</v>
      </c>
      <c r="M6128" t="s">
        <v>3959</v>
      </c>
      <c r="N6128" t="s">
        <v>3959</v>
      </c>
      <c r="O6128" t="s">
        <v>3959</v>
      </c>
      <c r="P6128" s="57">
        <v>1</v>
      </c>
      <c r="Q6128" s="57">
        <v>0</v>
      </c>
      <c r="R6128" s="57">
        <v>0</v>
      </c>
      <c r="S6128" s="57">
        <v>0</v>
      </c>
      <c r="T6128" s="57">
        <v>0</v>
      </c>
      <c r="U6128" s="57">
        <v>0</v>
      </c>
      <c r="V6128" s="57">
        <v>0</v>
      </c>
      <c r="W6128" s="57">
        <v>0</v>
      </c>
      <c r="X6128" s="57">
        <v>0</v>
      </c>
    </row>
    <row r="6129" spans="1:24" hidden="1" x14ac:dyDescent="0.35">
      <c r="A6129">
        <v>6125</v>
      </c>
      <c r="B6129">
        <v>6126</v>
      </c>
      <c r="C6129">
        <v>146.083072676</v>
      </c>
      <c r="D6129">
        <v>-17.635425065900002</v>
      </c>
      <c r="G6129" s="92"/>
      <c r="I6129">
        <v>3</v>
      </c>
      <c r="J6129" t="s">
        <v>26</v>
      </c>
      <c r="K6129" s="57"/>
      <c r="S6129" s="57"/>
      <c r="X6129" s="57"/>
    </row>
    <row r="6130" spans="1:24" hidden="1" x14ac:dyDescent="0.35">
      <c r="A6130">
        <v>6126</v>
      </c>
      <c r="B6130">
        <v>6127</v>
      </c>
      <c r="C6130">
        <v>146.083027912999</v>
      </c>
      <c r="D6130">
        <v>-17.635499290199899</v>
      </c>
      <c r="G6130" s="92"/>
      <c r="I6130">
        <v>3</v>
      </c>
      <c r="J6130" t="s">
        <v>26</v>
      </c>
      <c r="K6130" s="57">
        <v>1</v>
      </c>
      <c r="S6130" s="57"/>
      <c r="X6130" s="57"/>
    </row>
    <row r="6131" spans="1:24" hidden="1" x14ac:dyDescent="0.35">
      <c r="A6131">
        <v>6127</v>
      </c>
      <c r="B6131">
        <v>6128</v>
      </c>
      <c r="C6131">
        <v>146.082981063999</v>
      </c>
      <c r="D6131">
        <v>-17.6354731708999</v>
      </c>
      <c r="F6131" t="str">
        <f>HYPERLINK("D:\Data From Lucan\2024\Moresby\Frames_for_Analysis/6128_20240611_0004_R_0758.jpg","6128_20240611_0004_R_0758.jpg")</f>
        <v>6128_20240611_0004_R_0758.jpg</v>
      </c>
      <c r="G6131" s="92" t="s">
        <v>6328</v>
      </c>
      <c r="I6131">
        <v>3</v>
      </c>
      <c r="K6131" s="57">
        <v>1</v>
      </c>
      <c r="L6131" t="s">
        <v>3959</v>
      </c>
      <c r="M6131" t="s">
        <v>3959</v>
      </c>
      <c r="N6131" t="s">
        <v>3959</v>
      </c>
      <c r="O6131" t="s">
        <v>3959</v>
      </c>
      <c r="P6131" s="57">
        <v>1</v>
      </c>
      <c r="Q6131" s="57">
        <v>0</v>
      </c>
      <c r="R6131" s="57">
        <v>0</v>
      </c>
      <c r="S6131" s="57">
        <v>0</v>
      </c>
      <c r="T6131" s="57">
        <v>0</v>
      </c>
      <c r="U6131" s="57">
        <v>0</v>
      </c>
      <c r="V6131" s="57">
        <v>0</v>
      </c>
      <c r="W6131" s="57">
        <v>0</v>
      </c>
      <c r="X6131" s="57">
        <v>0</v>
      </c>
    </row>
    <row r="6132" spans="1:24" hidden="1" x14ac:dyDescent="0.35">
      <c r="A6132">
        <v>6128</v>
      </c>
      <c r="B6132">
        <v>6129</v>
      </c>
      <c r="C6132">
        <v>146.082933252</v>
      </c>
      <c r="D6132">
        <v>-17.6354006946999</v>
      </c>
      <c r="F6132" t="str">
        <f>HYPERLINK("D:\Data From Lucan\2024\Moresby\Frames_for_Analysis/6129_20240611_0004_R_0756.jpg","6129_20240611_0004_R_0756.jpg")</f>
        <v>6129_20240611_0004_R_0756.jpg</v>
      </c>
      <c r="G6132" s="92" t="s">
        <v>6329</v>
      </c>
      <c r="I6132">
        <v>3</v>
      </c>
      <c r="K6132" s="57">
        <v>1</v>
      </c>
      <c r="L6132" t="s">
        <v>3959</v>
      </c>
      <c r="M6132" t="s">
        <v>3959</v>
      </c>
      <c r="N6132" t="s">
        <v>3959</v>
      </c>
      <c r="O6132" t="s">
        <v>3959</v>
      </c>
      <c r="P6132" s="57">
        <v>1</v>
      </c>
      <c r="Q6132" s="57">
        <v>0</v>
      </c>
      <c r="R6132" s="57">
        <v>0</v>
      </c>
      <c r="S6132" s="57">
        <v>0</v>
      </c>
      <c r="T6132" s="57">
        <v>0</v>
      </c>
      <c r="U6132" s="57">
        <v>0</v>
      </c>
      <c r="V6132" s="57">
        <v>0</v>
      </c>
      <c r="W6132" s="57">
        <v>0</v>
      </c>
      <c r="X6132" s="57">
        <v>0</v>
      </c>
    </row>
    <row r="6133" spans="1:24" hidden="1" x14ac:dyDescent="0.35">
      <c r="A6133">
        <v>6129</v>
      </c>
      <c r="B6133">
        <v>6130</v>
      </c>
      <c r="C6133">
        <v>146.082885812999</v>
      </c>
      <c r="D6133">
        <v>-17.635328002600001</v>
      </c>
      <c r="F6133" t="str">
        <f>HYPERLINK("D:\Data From Lucan\2024\Moresby\Frames_for_Analysis/6130_20240611_0004_R_0753.jpg","6130_20240611_0004_R_0753.jpg")</f>
        <v>6130_20240611_0004_R_0753.jpg</v>
      </c>
      <c r="G6133" s="92" t="s">
        <v>6330</v>
      </c>
      <c r="I6133">
        <v>3</v>
      </c>
      <c r="K6133" s="57">
        <v>1</v>
      </c>
      <c r="L6133" t="s">
        <v>3959</v>
      </c>
      <c r="M6133" t="s">
        <v>3959</v>
      </c>
      <c r="N6133" t="s">
        <v>3959</v>
      </c>
      <c r="O6133" t="s">
        <v>3959</v>
      </c>
      <c r="P6133" s="57">
        <v>1</v>
      </c>
      <c r="Q6133" s="57">
        <v>0</v>
      </c>
      <c r="R6133" s="57">
        <v>0</v>
      </c>
      <c r="S6133" s="57">
        <v>0</v>
      </c>
      <c r="T6133" s="57">
        <v>0</v>
      </c>
      <c r="U6133" s="57">
        <v>0</v>
      </c>
      <c r="V6133" s="57">
        <v>0</v>
      </c>
      <c r="W6133" s="57">
        <v>0</v>
      </c>
      <c r="X6133" s="57">
        <v>0</v>
      </c>
    </row>
    <row r="6134" spans="1:24" hidden="1" x14ac:dyDescent="0.35">
      <c r="A6134">
        <v>6130</v>
      </c>
      <c r="B6134">
        <v>6131</v>
      </c>
      <c r="C6134">
        <v>146.082840597999</v>
      </c>
      <c r="D6134">
        <v>-17.6352540275</v>
      </c>
      <c r="F6134" t="str">
        <f>HYPERLINK("D:\Data From Lucan\2024\Moresby\Frames_for_Analysis/6131_20240611_0004_R_0751.jpg","6131_20240611_0004_R_0751.jpg")</f>
        <v>6131_20240611_0004_R_0751.jpg</v>
      </c>
      <c r="G6134" s="92" t="s">
        <v>6331</v>
      </c>
      <c r="I6134">
        <v>3</v>
      </c>
      <c r="K6134" s="57">
        <v>1</v>
      </c>
      <c r="L6134" t="s">
        <v>3959</v>
      </c>
      <c r="M6134" t="s">
        <v>3959</v>
      </c>
      <c r="N6134" t="s">
        <v>3959</v>
      </c>
      <c r="O6134" t="s">
        <v>3959</v>
      </c>
      <c r="P6134" s="57">
        <v>1</v>
      </c>
      <c r="Q6134" s="57">
        <v>0</v>
      </c>
      <c r="R6134" s="57">
        <v>0</v>
      </c>
      <c r="S6134" s="57">
        <v>0</v>
      </c>
      <c r="T6134" s="57">
        <v>0</v>
      </c>
      <c r="U6134" s="57">
        <v>0</v>
      </c>
      <c r="V6134" s="57">
        <v>0</v>
      </c>
      <c r="W6134" s="57">
        <v>0</v>
      </c>
      <c r="X6134" s="57">
        <v>0</v>
      </c>
    </row>
    <row r="6135" spans="1:24" hidden="1" x14ac:dyDescent="0.35">
      <c r="A6135">
        <v>6131</v>
      </c>
      <c r="B6135">
        <v>6132</v>
      </c>
      <c r="C6135">
        <v>146.08279538400001</v>
      </c>
      <c r="D6135">
        <v>-17.6351800523999</v>
      </c>
      <c r="F6135" t="str">
        <f>HYPERLINK("D:\Data From Lucan\2024\Moresby\Frames_for_Analysis/6132_20240611_0004_R_0748.jpg","6132_20240611_0004_R_0748.jpg")</f>
        <v>6132_20240611_0004_R_0748.jpg</v>
      </c>
      <c r="G6135" s="92" t="s">
        <v>6332</v>
      </c>
      <c r="I6135">
        <v>3</v>
      </c>
      <c r="K6135" s="57">
        <v>1</v>
      </c>
      <c r="L6135" t="s">
        <v>3959</v>
      </c>
      <c r="M6135" t="s">
        <v>3959</v>
      </c>
      <c r="N6135" t="s">
        <v>3959</v>
      </c>
      <c r="O6135" t="s">
        <v>3959</v>
      </c>
      <c r="P6135" s="57">
        <v>1</v>
      </c>
      <c r="Q6135" s="57">
        <v>0</v>
      </c>
      <c r="R6135" s="57">
        <v>0</v>
      </c>
      <c r="S6135" s="57">
        <v>0</v>
      </c>
      <c r="T6135" s="57">
        <v>0</v>
      </c>
      <c r="U6135" s="57">
        <v>0</v>
      </c>
      <c r="V6135" s="57">
        <v>0</v>
      </c>
      <c r="W6135" s="57">
        <v>0</v>
      </c>
      <c r="X6135" s="57">
        <v>0</v>
      </c>
    </row>
    <row r="6136" spans="1:24" hidden="1" x14ac:dyDescent="0.35">
      <c r="A6136">
        <v>6132</v>
      </c>
      <c r="B6136">
        <v>6133</v>
      </c>
      <c r="C6136">
        <v>146.08275016900001</v>
      </c>
      <c r="D6136">
        <v>-17.6351060772</v>
      </c>
      <c r="F6136" t="str">
        <f>HYPERLINK("D:\Data From Lucan\2024\Moresby\Frames_for_Analysis/6133_20240611_0004_R_0746.jpg","6133_20240611_0004_R_0746.jpg")</f>
        <v>6133_20240611_0004_R_0746.jpg</v>
      </c>
      <c r="G6136" s="92" t="s">
        <v>6333</v>
      </c>
      <c r="I6136">
        <v>3</v>
      </c>
      <c r="K6136" s="57">
        <v>1</v>
      </c>
      <c r="L6136" t="s">
        <v>3959</v>
      </c>
      <c r="M6136" t="s">
        <v>3959</v>
      </c>
      <c r="N6136" t="s">
        <v>3959</v>
      </c>
      <c r="O6136" t="s">
        <v>3959</v>
      </c>
      <c r="P6136" s="57">
        <v>1</v>
      </c>
      <c r="Q6136" s="57">
        <v>0</v>
      </c>
      <c r="R6136" s="57">
        <v>0</v>
      </c>
      <c r="S6136" s="57">
        <v>0</v>
      </c>
      <c r="T6136" s="57">
        <v>0</v>
      </c>
      <c r="U6136" s="57">
        <v>0</v>
      </c>
      <c r="V6136" s="57">
        <v>0</v>
      </c>
      <c r="W6136" s="57">
        <v>0</v>
      </c>
      <c r="X6136" s="57">
        <v>0</v>
      </c>
    </row>
    <row r="6137" spans="1:24" hidden="1" x14ac:dyDescent="0.35">
      <c r="A6137">
        <v>6133</v>
      </c>
      <c r="B6137">
        <v>6134</v>
      </c>
      <c r="C6137">
        <v>146.08270495400001</v>
      </c>
      <c r="D6137">
        <v>-17.635032102</v>
      </c>
      <c r="F6137" t="str">
        <f>HYPERLINK("D:\Data From Lucan\2024\Moresby\Frames_for_Analysis/6134_20240611_0004_R_0743.jpg","6134_20240611_0004_R_0743.jpg")</f>
        <v>6134_20240611_0004_R_0743.jpg</v>
      </c>
      <c r="G6137" s="92" t="s">
        <v>6334</v>
      </c>
      <c r="I6137">
        <v>3</v>
      </c>
      <c r="K6137" s="57">
        <v>1</v>
      </c>
      <c r="L6137" t="s">
        <v>3959</v>
      </c>
      <c r="M6137" t="s">
        <v>3959</v>
      </c>
      <c r="N6137" t="s">
        <v>3959</v>
      </c>
      <c r="O6137" t="s">
        <v>3959</v>
      </c>
      <c r="P6137" s="57">
        <v>1</v>
      </c>
      <c r="Q6137" s="57">
        <v>0</v>
      </c>
      <c r="R6137" s="57">
        <v>0</v>
      </c>
      <c r="S6137" s="57">
        <v>0</v>
      </c>
      <c r="T6137" s="57">
        <v>0</v>
      </c>
      <c r="U6137" s="57">
        <v>0</v>
      </c>
      <c r="V6137" s="57">
        <v>0</v>
      </c>
      <c r="W6137" s="57">
        <v>0</v>
      </c>
      <c r="X6137" s="57">
        <v>0</v>
      </c>
    </row>
    <row r="6138" spans="1:24" hidden="1" x14ac:dyDescent="0.35">
      <c r="A6138">
        <v>6134</v>
      </c>
      <c r="B6138">
        <v>6135</v>
      </c>
      <c r="C6138">
        <v>146.082659815</v>
      </c>
      <c r="D6138">
        <v>-17.6349580850999</v>
      </c>
      <c r="F6138" t="str">
        <f>HYPERLINK("D:\Data From Lucan\2024\Moresby\Frames_for_Analysis/6135_20240611_0004_R_0741.jpg","6135_20240611_0004_R_0741.jpg")</f>
        <v>6135_20240611_0004_R_0741.jpg</v>
      </c>
      <c r="G6138" s="92" t="s">
        <v>6335</v>
      </c>
      <c r="I6138">
        <v>3</v>
      </c>
      <c r="K6138" s="57">
        <v>1</v>
      </c>
      <c r="L6138" t="s">
        <v>3959</v>
      </c>
      <c r="M6138" t="s">
        <v>3959</v>
      </c>
      <c r="N6138" t="s">
        <v>3959</v>
      </c>
      <c r="O6138" t="s">
        <v>3959</v>
      </c>
      <c r="P6138" s="57">
        <v>1</v>
      </c>
      <c r="Q6138" s="57">
        <v>0</v>
      </c>
      <c r="R6138" s="57">
        <v>0</v>
      </c>
      <c r="S6138" s="57">
        <v>0</v>
      </c>
      <c r="T6138" s="57">
        <v>0</v>
      </c>
      <c r="U6138" s="57">
        <v>0</v>
      </c>
      <c r="V6138" s="57">
        <v>0</v>
      </c>
      <c r="W6138" s="57">
        <v>0</v>
      </c>
      <c r="X6138" s="57">
        <v>0</v>
      </c>
    </row>
    <row r="6139" spans="1:24" hidden="1" x14ac:dyDescent="0.35">
      <c r="A6139">
        <v>6135</v>
      </c>
      <c r="B6139">
        <v>6136</v>
      </c>
      <c r="C6139">
        <v>146.082615016999</v>
      </c>
      <c r="D6139">
        <v>-17.6348838802</v>
      </c>
      <c r="F6139" t="str">
        <f>HYPERLINK("D:\Data From Lucan\2024\Moresby\Frames_for_Analysis/6136_20240611_0004_R_0739.jpg","6136_20240611_0004_R_0739.jpg")</f>
        <v>6136_20240611_0004_R_0739.jpg</v>
      </c>
      <c r="G6139" s="92" t="s">
        <v>6336</v>
      </c>
      <c r="I6139">
        <v>3</v>
      </c>
      <c r="K6139" s="57">
        <v>1</v>
      </c>
      <c r="L6139" t="s">
        <v>3959</v>
      </c>
      <c r="M6139" t="s">
        <v>3959</v>
      </c>
      <c r="N6139" t="s">
        <v>3959</v>
      </c>
      <c r="O6139" t="s">
        <v>3959</v>
      </c>
      <c r="P6139" s="57">
        <v>1</v>
      </c>
      <c r="Q6139" s="57">
        <v>0</v>
      </c>
      <c r="R6139" s="57">
        <v>0</v>
      </c>
      <c r="S6139" s="57">
        <v>0</v>
      </c>
      <c r="T6139" s="57">
        <v>0</v>
      </c>
      <c r="U6139" s="57">
        <v>0</v>
      </c>
      <c r="V6139" s="57">
        <v>0</v>
      </c>
      <c r="W6139" s="57">
        <v>0</v>
      </c>
      <c r="X6139" s="57">
        <v>0</v>
      </c>
    </row>
    <row r="6140" spans="1:24" hidden="1" x14ac:dyDescent="0.35">
      <c r="A6140">
        <v>6136</v>
      </c>
      <c r="B6140">
        <v>6137</v>
      </c>
      <c r="C6140">
        <v>146.082570218999</v>
      </c>
      <c r="D6140">
        <v>-17.6348096752</v>
      </c>
      <c r="F6140" t="str">
        <f>HYPERLINK("D:\Data From Lucan\2024\Moresby\Frames_for_Analysis/6137_20240611_0004_R_0736.jpg","6137_20240611_0004_R_0736.jpg")</f>
        <v>6137_20240611_0004_R_0736.jpg</v>
      </c>
      <c r="G6140" s="92" t="s">
        <v>6337</v>
      </c>
      <c r="I6140">
        <v>3</v>
      </c>
      <c r="K6140" s="57">
        <v>1</v>
      </c>
      <c r="L6140" t="s">
        <v>3959</v>
      </c>
      <c r="M6140" t="s">
        <v>3959</v>
      </c>
      <c r="N6140" t="s">
        <v>3959</v>
      </c>
      <c r="O6140" t="s">
        <v>3959</v>
      </c>
      <c r="P6140" s="57">
        <v>1</v>
      </c>
      <c r="Q6140" s="57">
        <v>0</v>
      </c>
      <c r="R6140" s="57">
        <v>0</v>
      </c>
      <c r="S6140" s="57">
        <v>0</v>
      </c>
      <c r="T6140" s="57">
        <v>0</v>
      </c>
      <c r="U6140" s="57">
        <v>0</v>
      </c>
      <c r="V6140" s="57">
        <v>0</v>
      </c>
      <c r="W6140" s="57">
        <v>0</v>
      </c>
      <c r="X6140" s="57">
        <v>0</v>
      </c>
    </row>
    <row r="6141" spans="1:24" hidden="1" x14ac:dyDescent="0.35">
      <c r="A6141">
        <v>6137</v>
      </c>
      <c r="B6141">
        <v>6138</v>
      </c>
      <c r="C6141">
        <v>146.082525419999</v>
      </c>
      <c r="D6141">
        <v>-17.634735470300001</v>
      </c>
      <c r="F6141" t="str">
        <f>HYPERLINK("D:\Data From Lucan\2024\Moresby\Frames_for_Analysis/6138_20240611_0004_R_0732.jpg","6138_20240611_0004_R_0732.jpg")</f>
        <v>6138_20240611_0004_R_0732.jpg</v>
      </c>
      <c r="G6141" s="92" t="s">
        <v>6338</v>
      </c>
      <c r="I6141">
        <v>3</v>
      </c>
      <c r="K6141" s="57">
        <v>0</v>
      </c>
      <c r="L6141" t="s">
        <v>3959</v>
      </c>
      <c r="M6141" t="s">
        <v>3959</v>
      </c>
      <c r="N6141" t="s">
        <v>3959</v>
      </c>
      <c r="O6141" t="s">
        <v>3959</v>
      </c>
      <c r="P6141" s="57">
        <v>1</v>
      </c>
      <c r="Q6141" s="57">
        <v>0</v>
      </c>
      <c r="R6141" s="57">
        <v>0</v>
      </c>
      <c r="S6141" s="57">
        <v>0</v>
      </c>
      <c r="T6141" s="57">
        <v>0</v>
      </c>
      <c r="U6141" s="57">
        <v>0</v>
      </c>
      <c r="V6141" s="57">
        <v>0</v>
      </c>
      <c r="W6141" s="57">
        <v>0</v>
      </c>
      <c r="X6141" s="57">
        <v>0</v>
      </c>
    </row>
    <row r="6142" spans="1:24" hidden="1" x14ac:dyDescent="0.35">
      <c r="A6142">
        <v>6138</v>
      </c>
      <c r="B6142">
        <v>6139</v>
      </c>
      <c r="C6142">
        <v>146.082480621999</v>
      </c>
      <c r="D6142">
        <v>-17.6346612653</v>
      </c>
      <c r="F6142" t="str">
        <f>HYPERLINK("D:\Data From Lucan\2024\Moresby\Frames_for_Analysis/6139_20240611_0004_R_0730.jpg","6139_20240611_0004_R_0730.jpg")</f>
        <v>6139_20240611_0004_R_0730.jpg</v>
      </c>
      <c r="G6142" s="92" t="s">
        <v>6339</v>
      </c>
      <c r="I6142">
        <v>3</v>
      </c>
      <c r="K6142" s="57">
        <v>1</v>
      </c>
      <c r="L6142" t="s">
        <v>3959</v>
      </c>
      <c r="M6142" t="s">
        <v>3959</v>
      </c>
      <c r="N6142" t="s">
        <v>3959</v>
      </c>
      <c r="O6142" t="s">
        <v>3959</v>
      </c>
      <c r="P6142" s="57">
        <v>1</v>
      </c>
      <c r="Q6142" s="57">
        <v>0</v>
      </c>
      <c r="R6142" s="57">
        <v>0</v>
      </c>
      <c r="S6142" s="57">
        <v>0</v>
      </c>
      <c r="T6142" s="57">
        <v>0</v>
      </c>
      <c r="U6142" s="57">
        <v>0</v>
      </c>
      <c r="V6142" s="57">
        <v>0</v>
      </c>
      <c r="W6142" s="57">
        <v>0</v>
      </c>
      <c r="X6142" s="57">
        <v>0</v>
      </c>
    </row>
    <row r="6143" spans="1:24" hidden="1" x14ac:dyDescent="0.35">
      <c r="A6143">
        <v>6139</v>
      </c>
      <c r="B6143">
        <v>6140</v>
      </c>
      <c r="C6143">
        <v>146.082435304999</v>
      </c>
      <c r="D6143">
        <v>-17.6345873570999</v>
      </c>
      <c r="F6143" t="str">
        <f>HYPERLINK("D:\Data From Lucan\2024\Moresby\Frames_for_Analysis/6140_20240611_0004_R_0728.jpg","6140_20240611_0004_R_0728.jpg")</f>
        <v>6140_20240611_0004_R_0728.jpg</v>
      </c>
      <c r="G6143" s="92" t="s">
        <v>6340</v>
      </c>
      <c r="I6143">
        <v>3</v>
      </c>
      <c r="K6143" s="57">
        <v>1</v>
      </c>
      <c r="L6143" t="s">
        <v>3959</v>
      </c>
      <c r="M6143" t="s">
        <v>3959</v>
      </c>
      <c r="N6143" t="s">
        <v>3959</v>
      </c>
      <c r="O6143" t="s">
        <v>3959</v>
      </c>
      <c r="P6143" s="57">
        <v>1</v>
      </c>
      <c r="Q6143" s="57">
        <v>0</v>
      </c>
      <c r="R6143" s="57">
        <v>0</v>
      </c>
      <c r="S6143" s="57">
        <v>0</v>
      </c>
      <c r="T6143" s="57">
        <v>0</v>
      </c>
      <c r="U6143" s="57">
        <v>0</v>
      </c>
      <c r="V6143" s="57">
        <v>0</v>
      </c>
      <c r="W6143" s="57">
        <v>0</v>
      </c>
      <c r="X6143" s="57">
        <v>0</v>
      </c>
    </row>
    <row r="6144" spans="1:24" hidden="1" x14ac:dyDescent="0.35">
      <c r="A6144">
        <v>6140</v>
      </c>
      <c r="B6144">
        <v>6141</v>
      </c>
      <c r="C6144">
        <v>146.082387643</v>
      </c>
      <c r="D6144">
        <v>-17.6345147900999</v>
      </c>
      <c r="F6144" t="str">
        <f>HYPERLINK("D:\Data From Lucan\2024\Moresby\Frames_for_Analysis/6141_20240611_0004_R_0725.jpg","6141_20240611_0004_R_0725.jpg")</f>
        <v>6141_20240611_0004_R_0725.jpg</v>
      </c>
      <c r="G6144" s="92" t="s">
        <v>6341</v>
      </c>
      <c r="I6144">
        <v>3</v>
      </c>
      <c r="K6144" s="57">
        <v>1</v>
      </c>
      <c r="L6144" t="s">
        <v>3959</v>
      </c>
      <c r="M6144" t="s">
        <v>3959</v>
      </c>
      <c r="N6144" t="s">
        <v>3959</v>
      </c>
      <c r="O6144" t="s">
        <v>3959</v>
      </c>
      <c r="P6144" s="57">
        <v>1</v>
      </c>
      <c r="Q6144" s="57">
        <v>0</v>
      </c>
      <c r="R6144" s="57">
        <v>0</v>
      </c>
      <c r="S6144" s="57">
        <v>0</v>
      </c>
      <c r="T6144" s="57">
        <v>0</v>
      </c>
      <c r="U6144" s="57">
        <v>0</v>
      </c>
      <c r="V6144" s="57">
        <v>0</v>
      </c>
      <c r="W6144" s="57">
        <v>0</v>
      </c>
      <c r="X6144" s="57">
        <v>0</v>
      </c>
    </row>
    <row r="6145" spans="1:24" hidden="1" x14ac:dyDescent="0.35">
      <c r="A6145">
        <v>6141</v>
      </c>
      <c r="B6145">
        <v>6142</v>
      </c>
      <c r="C6145">
        <v>146.08234309599899</v>
      </c>
      <c r="D6145">
        <v>-17.634440675099899</v>
      </c>
      <c r="F6145" t="str">
        <f>HYPERLINK("D:\Data From Lucan\2024\Moresby\Frames_for_Analysis/6142_20240611_0004_R_0722.jpg","6142_20240611_0004_R_0722.jpg")</f>
        <v>6142_20240611_0004_R_0722.jpg</v>
      </c>
      <c r="G6145" s="92" t="s">
        <v>6342</v>
      </c>
      <c r="I6145">
        <v>3</v>
      </c>
      <c r="K6145" s="57">
        <v>1</v>
      </c>
      <c r="L6145" t="s">
        <v>3959</v>
      </c>
      <c r="M6145" t="s">
        <v>3959</v>
      </c>
      <c r="N6145" t="s">
        <v>3959</v>
      </c>
      <c r="O6145" t="s">
        <v>3959</v>
      </c>
      <c r="P6145" s="57">
        <v>1</v>
      </c>
      <c r="Q6145" s="57">
        <v>0</v>
      </c>
      <c r="R6145" s="57">
        <v>0</v>
      </c>
      <c r="S6145" s="57">
        <v>0</v>
      </c>
      <c r="T6145" s="57">
        <v>0</v>
      </c>
      <c r="U6145" s="57">
        <v>0</v>
      </c>
      <c r="V6145" s="57">
        <v>0</v>
      </c>
      <c r="W6145" s="57">
        <v>0</v>
      </c>
      <c r="X6145" s="57">
        <v>0</v>
      </c>
    </row>
    <row r="6146" spans="1:24" hidden="1" x14ac:dyDescent="0.35">
      <c r="A6146">
        <v>6142</v>
      </c>
      <c r="B6146">
        <v>6143</v>
      </c>
      <c r="C6146">
        <v>146.08230793300001</v>
      </c>
      <c r="D6146">
        <v>-17.6343618961</v>
      </c>
      <c r="F6146" t="str">
        <f>HYPERLINK("D:\Data From Lucan\2024\Moresby\Frames_for_Analysis/6143_20240611_0004_R_0719.jpg","6143_20240611_0004_R_0719.jpg")</f>
        <v>6143_20240611_0004_R_0719.jpg</v>
      </c>
      <c r="G6146" s="92" t="s">
        <v>6343</v>
      </c>
      <c r="I6146">
        <v>3</v>
      </c>
      <c r="K6146" s="57">
        <v>1</v>
      </c>
      <c r="L6146" t="s">
        <v>3959</v>
      </c>
      <c r="M6146" t="s">
        <v>3959</v>
      </c>
      <c r="N6146" t="s">
        <v>3959</v>
      </c>
      <c r="O6146" t="s">
        <v>3959</v>
      </c>
      <c r="P6146" s="57">
        <v>1</v>
      </c>
      <c r="Q6146" s="57">
        <v>0</v>
      </c>
      <c r="R6146" s="57">
        <v>0</v>
      </c>
      <c r="S6146" s="57">
        <v>0</v>
      </c>
      <c r="T6146" s="57">
        <v>0</v>
      </c>
      <c r="U6146" s="57">
        <v>0</v>
      </c>
      <c r="V6146" s="57">
        <v>0</v>
      </c>
      <c r="W6146" s="57">
        <v>0</v>
      </c>
      <c r="X6146" s="57">
        <v>0</v>
      </c>
    </row>
    <row r="6147" spans="1:24" hidden="1" x14ac:dyDescent="0.35">
      <c r="A6147">
        <v>6143</v>
      </c>
      <c r="B6147">
        <v>6144</v>
      </c>
      <c r="C6147">
        <v>146.082271816</v>
      </c>
      <c r="D6147">
        <v>-17.634283544799899</v>
      </c>
      <c r="F6147" t="str">
        <f>HYPERLINK("D:\Data From Lucan\2024\Moresby\Frames_for_Analysis/6144_20240611_0004_R_0717.jpg","6144_20240611_0004_R_0717.jpg")</f>
        <v>6144_20240611_0004_R_0717.jpg</v>
      </c>
      <c r="G6147" s="92" t="s">
        <v>6344</v>
      </c>
      <c r="I6147">
        <v>3</v>
      </c>
      <c r="K6147" s="57">
        <v>0</v>
      </c>
      <c r="L6147" t="s">
        <v>3959</v>
      </c>
      <c r="M6147" t="s">
        <v>3959</v>
      </c>
      <c r="N6147" t="s">
        <v>3959</v>
      </c>
      <c r="O6147" t="s">
        <v>3959</v>
      </c>
      <c r="P6147" s="57">
        <v>1</v>
      </c>
      <c r="Q6147" s="57">
        <v>0</v>
      </c>
      <c r="R6147" s="57">
        <v>0</v>
      </c>
      <c r="S6147" s="57">
        <v>0</v>
      </c>
      <c r="T6147" s="57">
        <v>0</v>
      </c>
      <c r="U6147" s="57">
        <v>0</v>
      </c>
      <c r="V6147" s="57">
        <v>0</v>
      </c>
      <c r="W6147" s="57">
        <v>0</v>
      </c>
      <c r="X6147" s="57">
        <v>0</v>
      </c>
    </row>
    <row r="6148" spans="1:24" hidden="1" x14ac:dyDescent="0.35">
      <c r="A6148">
        <v>6144</v>
      </c>
      <c r="B6148">
        <v>6145</v>
      </c>
      <c r="C6148">
        <v>146.082230533</v>
      </c>
      <c r="D6148">
        <v>-17.6342075102</v>
      </c>
      <c r="F6148" t="str">
        <f>HYPERLINK("D:\Data From Lucan\2024\Moresby\Frames_for_Analysis/6145_20240611_0004_R_0715.jpg","6145_20240611_0004_R_0715.jpg")</f>
        <v>6145_20240611_0004_R_0715.jpg</v>
      </c>
      <c r="G6148" s="92" t="s">
        <v>6345</v>
      </c>
      <c r="I6148">
        <v>3</v>
      </c>
      <c r="K6148" s="57">
        <v>0</v>
      </c>
      <c r="L6148" t="s">
        <v>3959</v>
      </c>
      <c r="M6148" t="s">
        <v>3959</v>
      </c>
      <c r="N6148" t="s">
        <v>3959</v>
      </c>
      <c r="O6148" t="s">
        <v>3959</v>
      </c>
      <c r="P6148" s="57">
        <v>1</v>
      </c>
      <c r="Q6148" s="57">
        <v>0</v>
      </c>
      <c r="R6148" s="57">
        <v>0</v>
      </c>
      <c r="S6148" s="57">
        <v>0</v>
      </c>
      <c r="T6148" s="57">
        <v>0</v>
      </c>
      <c r="U6148" s="57">
        <v>0</v>
      </c>
      <c r="V6148" s="57">
        <v>0</v>
      </c>
      <c r="W6148" s="57">
        <v>0</v>
      </c>
      <c r="X6148" s="57">
        <v>0</v>
      </c>
    </row>
    <row r="6149" spans="1:24" hidden="1" x14ac:dyDescent="0.35">
      <c r="A6149">
        <v>6145</v>
      </c>
      <c r="B6149">
        <v>6146</v>
      </c>
      <c r="C6149">
        <v>146.082184721999</v>
      </c>
      <c r="D6149">
        <v>-17.634133927299899</v>
      </c>
      <c r="F6149" t="str">
        <f>HYPERLINK("D:\Data From Lucan\2024\Moresby\Frames_for_Analysis/6146_20240611_0004_R_0712.jpg","6146_20240611_0004_R_0712.jpg")</f>
        <v>6146_20240611_0004_R_0712.jpg</v>
      </c>
      <c r="G6149" s="92" t="s">
        <v>6346</v>
      </c>
      <c r="I6149">
        <v>3</v>
      </c>
      <c r="K6149" s="57">
        <v>0</v>
      </c>
      <c r="L6149" t="s">
        <v>3959</v>
      </c>
      <c r="M6149" t="s">
        <v>3959</v>
      </c>
      <c r="N6149" t="s">
        <v>3959</v>
      </c>
      <c r="O6149" t="s">
        <v>3959</v>
      </c>
      <c r="P6149" s="57">
        <v>1</v>
      </c>
      <c r="Q6149" s="57">
        <v>0</v>
      </c>
      <c r="R6149" s="57">
        <v>0</v>
      </c>
      <c r="S6149" s="57">
        <v>0</v>
      </c>
      <c r="T6149" s="57">
        <v>0</v>
      </c>
      <c r="U6149" s="57">
        <v>0</v>
      </c>
      <c r="V6149" s="57">
        <v>0</v>
      </c>
      <c r="W6149" s="57">
        <v>0</v>
      </c>
      <c r="X6149" s="57">
        <v>0</v>
      </c>
    </row>
    <row r="6150" spans="1:24" hidden="1" x14ac:dyDescent="0.35">
      <c r="A6150">
        <v>6146</v>
      </c>
      <c r="B6150">
        <v>6147</v>
      </c>
      <c r="C6150">
        <v>146.082137316999</v>
      </c>
      <c r="D6150">
        <v>-17.634061207799899</v>
      </c>
      <c r="F6150" t="str">
        <f>HYPERLINK("D:\Data From Lucan\2024\Moresby\Frames_for_Analysis/6147_20240611_0004_R_0710.jpg","6147_20240611_0004_R_0710.jpg")</f>
        <v>6147_20240611_0004_R_0710.jpg</v>
      </c>
      <c r="G6150" s="92" t="s">
        <v>6347</v>
      </c>
      <c r="I6150">
        <v>3</v>
      </c>
      <c r="K6150" s="57">
        <v>0</v>
      </c>
      <c r="L6150" t="s">
        <v>3959</v>
      </c>
      <c r="M6150" t="s">
        <v>3959</v>
      </c>
      <c r="N6150" t="s">
        <v>3959</v>
      </c>
      <c r="O6150" t="s">
        <v>3959</v>
      </c>
      <c r="P6150" s="57">
        <v>1</v>
      </c>
      <c r="Q6150" s="57">
        <v>0</v>
      </c>
      <c r="R6150" s="57">
        <v>0</v>
      </c>
      <c r="S6150" s="57">
        <v>0</v>
      </c>
      <c r="T6150" s="57">
        <v>0</v>
      </c>
      <c r="U6150" s="57">
        <v>0</v>
      </c>
      <c r="V6150" s="57">
        <v>0</v>
      </c>
      <c r="W6150" s="57">
        <v>0</v>
      </c>
      <c r="X6150" s="57">
        <v>0</v>
      </c>
    </row>
    <row r="6151" spans="1:24" hidden="1" x14ac:dyDescent="0.35">
      <c r="A6151">
        <v>6147</v>
      </c>
      <c r="B6151">
        <v>6148</v>
      </c>
      <c r="C6151">
        <v>146.08208991199899</v>
      </c>
      <c r="D6151">
        <v>-17.633988488100002</v>
      </c>
      <c r="F6151" t="str">
        <f>HYPERLINK("D:\Data From Lucan\2024\Moresby\Frames_for_Analysis/6148_20240611_0004_R_0708.jpg","6148_20240611_0004_R_0708.jpg")</f>
        <v>6148_20240611_0004_R_0708.jpg</v>
      </c>
      <c r="G6151" s="92" t="s">
        <v>6348</v>
      </c>
      <c r="I6151">
        <v>3</v>
      </c>
      <c r="K6151" s="57">
        <v>0</v>
      </c>
      <c r="L6151" t="s">
        <v>3959</v>
      </c>
      <c r="M6151" t="s">
        <v>3959</v>
      </c>
      <c r="N6151" t="s">
        <v>3959</v>
      </c>
      <c r="O6151" t="s">
        <v>3959</v>
      </c>
      <c r="P6151" s="57">
        <v>1</v>
      </c>
      <c r="Q6151" s="57">
        <v>0</v>
      </c>
      <c r="R6151" s="57">
        <v>0</v>
      </c>
      <c r="S6151" s="57">
        <v>0</v>
      </c>
      <c r="T6151" s="57">
        <v>0</v>
      </c>
      <c r="U6151" s="57">
        <v>0</v>
      </c>
      <c r="V6151" s="57">
        <v>0</v>
      </c>
      <c r="W6151" s="57">
        <v>0</v>
      </c>
      <c r="X6151" s="57">
        <v>0</v>
      </c>
    </row>
    <row r="6152" spans="1:24" hidden="1" x14ac:dyDescent="0.35">
      <c r="A6152">
        <v>6148</v>
      </c>
      <c r="B6152">
        <v>6149</v>
      </c>
      <c r="C6152">
        <v>146.082042508</v>
      </c>
      <c r="D6152">
        <v>-17.6339157683</v>
      </c>
      <c r="F6152" t="str">
        <f>HYPERLINK("D:\Data From Lucan\2024\Moresby\Frames_for_Analysis/6149_20240611_0004_R_0706.jpg","6149_20240611_0004_R_0706.jpg")</f>
        <v>6149_20240611_0004_R_0706.jpg</v>
      </c>
      <c r="G6152" s="92" t="s">
        <v>6349</v>
      </c>
      <c r="I6152">
        <v>3</v>
      </c>
      <c r="K6152" s="57">
        <v>0</v>
      </c>
      <c r="L6152" t="s">
        <v>3959</v>
      </c>
      <c r="M6152" t="s">
        <v>3959</v>
      </c>
      <c r="N6152" t="s">
        <v>3959</v>
      </c>
      <c r="O6152" t="s">
        <v>3959</v>
      </c>
      <c r="P6152" s="57">
        <v>1</v>
      </c>
      <c r="Q6152" s="57">
        <v>0</v>
      </c>
      <c r="R6152" s="57">
        <v>0</v>
      </c>
      <c r="S6152" s="57">
        <v>0</v>
      </c>
      <c r="T6152" s="57">
        <v>0</v>
      </c>
      <c r="U6152" s="57">
        <v>0</v>
      </c>
      <c r="V6152" s="57">
        <v>0</v>
      </c>
      <c r="W6152" s="57">
        <v>0</v>
      </c>
      <c r="X6152" s="57">
        <v>0</v>
      </c>
    </row>
    <row r="6153" spans="1:24" hidden="1" x14ac:dyDescent="0.35">
      <c r="A6153">
        <v>6149</v>
      </c>
      <c r="B6153">
        <v>6150</v>
      </c>
      <c r="C6153">
        <v>146.08201961</v>
      </c>
      <c r="D6153">
        <v>-17.633834246900001</v>
      </c>
      <c r="F6153" t="str">
        <f>HYPERLINK("D:\Data From Lucan\2024\Moresby\Frames_for_Analysis/6150_20240611_0004_R_0703.jpg","6150_20240611_0004_R_0703.jpg")</f>
        <v>6150_20240611_0004_R_0703.jpg</v>
      </c>
      <c r="G6153" s="92" t="s">
        <v>6350</v>
      </c>
      <c r="I6153">
        <v>3</v>
      </c>
      <c r="K6153" s="57">
        <v>0</v>
      </c>
      <c r="L6153" t="s">
        <v>3959</v>
      </c>
      <c r="M6153" t="s">
        <v>3959</v>
      </c>
      <c r="N6153" t="s">
        <v>3959</v>
      </c>
      <c r="O6153" t="s">
        <v>3959</v>
      </c>
      <c r="P6153" s="57">
        <v>1</v>
      </c>
      <c r="Q6153" s="57">
        <v>0</v>
      </c>
      <c r="R6153" s="57">
        <v>0</v>
      </c>
      <c r="S6153" s="57">
        <v>0</v>
      </c>
      <c r="T6153" s="57">
        <v>0</v>
      </c>
      <c r="U6153" s="57">
        <v>0</v>
      </c>
      <c r="V6153" s="57">
        <v>0</v>
      </c>
      <c r="W6153" s="57">
        <v>0</v>
      </c>
      <c r="X6153" s="57">
        <v>0</v>
      </c>
    </row>
    <row r="6154" spans="1:24" hidden="1" x14ac:dyDescent="0.35">
      <c r="A6154">
        <v>6150</v>
      </c>
      <c r="B6154">
        <v>6151</v>
      </c>
      <c r="C6154">
        <v>146.08199772200001</v>
      </c>
      <c r="D6154">
        <v>-17.633752452700001</v>
      </c>
      <c r="F6154" t="str">
        <f>HYPERLINK("D:\Data From Lucan\2024\Moresby\Frames_for_Analysis/6151_20240611_0004_R_0701.jpg","6151_20240611_0004_R_0701.jpg")</f>
        <v>6151_20240611_0004_R_0701.jpg</v>
      </c>
      <c r="G6154" s="92" t="s">
        <v>6351</v>
      </c>
      <c r="I6154">
        <v>3</v>
      </c>
      <c r="K6154" s="57">
        <v>0</v>
      </c>
      <c r="L6154" t="s">
        <v>3959</v>
      </c>
      <c r="M6154" t="s">
        <v>3959</v>
      </c>
      <c r="N6154" t="s">
        <v>3959</v>
      </c>
      <c r="O6154" t="s">
        <v>3959</v>
      </c>
      <c r="P6154" s="57">
        <v>1</v>
      </c>
      <c r="Q6154" s="57">
        <v>0</v>
      </c>
      <c r="R6154" s="57">
        <v>0</v>
      </c>
      <c r="S6154" s="57">
        <v>0</v>
      </c>
      <c r="T6154" s="57">
        <v>0</v>
      </c>
      <c r="U6154" s="57">
        <v>0</v>
      </c>
      <c r="V6154" s="57">
        <v>0</v>
      </c>
      <c r="W6154" s="57">
        <v>0</v>
      </c>
      <c r="X6154" s="57">
        <v>0</v>
      </c>
    </row>
    <row r="6155" spans="1:24" hidden="1" x14ac:dyDescent="0.35">
      <c r="A6155">
        <v>6151</v>
      </c>
      <c r="B6155">
        <v>6152</v>
      </c>
      <c r="C6155">
        <v>146.081976480999</v>
      </c>
      <c r="D6155">
        <v>-17.633669269799899</v>
      </c>
      <c r="F6155" t="str">
        <f>HYPERLINK("D:\Data From Lucan\2024\Moresby\Frames_for_Analysis/6152_20240611_0004_R_0699.jpg","6152_20240611_0004_R_0699.jpg")</f>
        <v>6152_20240611_0004_R_0699.jpg</v>
      </c>
      <c r="G6155" s="92" t="s">
        <v>6352</v>
      </c>
      <c r="I6155">
        <v>3</v>
      </c>
      <c r="K6155" s="57">
        <v>0</v>
      </c>
      <c r="L6155" t="s">
        <v>3959</v>
      </c>
      <c r="M6155" t="s">
        <v>3959</v>
      </c>
      <c r="N6155" t="s">
        <v>3959</v>
      </c>
      <c r="O6155" t="s">
        <v>3959</v>
      </c>
      <c r="P6155" s="57">
        <v>1</v>
      </c>
      <c r="Q6155" s="57">
        <v>0</v>
      </c>
      <c r="R6155" s="57">
        <v>0</v>
      </c>
      <c r="S6155" s="57">
        <v>0</v>
      </c>
      <c r="T6155" s="57">
        <v>0</v>
      </c>
      <c r="U6155" s="57">
        <v>0</v>
      </c>
      <c r="V6155" s="57">
        <v>0</v>
      </c>
      <c r="W6155" s="57">
        <v>0</v>
      </c>
      <c r="X6155" s="57">
        <v>0</v>
      </c>
    </row>
    <row r="6156" spans="1:24" hidden="1" x14ac:dyDescent="0.35">
      <c r="A6156">
        <v>6152</v>
      </c>
      <c r="B6156">
        <v>6153</v>
      </c>
      <c r="C6156">
        <v>146.08195524000001</v>
      </c>
      <c r="D6156">
        <v>-17.6335860868999</v>
      </c>
      <c r="F6156" t="str">
        <f>HYPERLINK("D:\Data From Lucan\2024\Moresby\Frames_for_Analysis/6153_20240611_0004_R_0696.jpg","6153_20240611_0004_R_0696.jpg")</f>
        <v>6153_20240611_0004_R_0696.jpg</v>
      </c>
      <c r="G6156" s="92" t="s">
        <v>6353</v>
      </c>
      <c r="I6156">
        <v>3</v>
      </c>
      <c r="K6156" s="57">
        <v>1</v>
      </c>
      <c r="L6156" t="s">
        <v>3959</v>
      </c>
      <c r="M6156" t="s">
        <v>3959</v>
      </c>
      <c r="N6156" t="s">
        <v>3959</v>
      </c>
      <c r="O6156" t="s">
        <v>3959</v>
      </c>
      <c r="P6156" s="57">
        <v>1</v>
      </c>
      <c r="Q6156" s="57">
        <v>0</v>
      </c>
      <c r="R6156" s="57">
        <v>0</v>
      </c>
      <c r="S6156" s="57">
        <v>0</v>
      </c>
      <c r="T6156" s="57">
        <v>0</v>
      </c>
      <c r="U6156" s="57">
        <v>0</v>
      </c>
      <c r="V6156" s="57">
        <v>0</v>
      </c>
      <c r="W6156" s="57">
        <v>0</v>
      </c>
      <c r="X6156" s="57">
        <v>0</v>
      </c>
    </row>
    <row r="6157" spans="1:24" hidden="1" x14ac:dyDescent="0.35">
      <c r="A6157">
        <v>6153</v>
      </c>
      <c r="B6157">
        <v>6154</v>
      </c>
      <c r="C6157">
        <v>146.081933999</v>
      </c>
      <c r="D6157">
        <v>-17.633502903899899</v>
      </c>
      <c r="F6157" t="str">
        <f>HYPERLINK("D:\Data From Lucan\2024\Moresby\Frames_for_Analysis/6154_20240611_0004_R_0693.jpg","6154_20240611_0004_R_0693.jpg")</f>
        <v>6154_20240611_0004_R_0693.jpg</v>
      </c>
      <c r="G6157" s="92" t="s">
        <v>6354</v>
      </c>
      <c r="I6157">
        <v>3</v>
      </c>
      <c r="K6157" s="57">
        <v>0</v>
      </c>
      <c r="L6157" t="s">
        <v>3959</v>
      </c>
      <c r="M6157" t="s">
        <v>3959</v>
      </c>
      <c r="N6157" t="s">
        <v>3959</v>
      </c>
      <c r="O6157" t="s">
        <v>3959</v>
      </c>
      <c r="P6157" s="57">
        <v>1</v>
      </c>
      <c r="Q6157" s="57">
        <v>0</v>
      </c>
      <c r="R6157" s="57">
        <v>0</v>
      </c>
      <c r="S6157" s="57">
        <v>0</v>
      </c>
      <c r="T6157" s="57">
        <v>0</v>
      </c>
      <c r="U6157" s="57">
        <v>0</v>
      </c>
      <c r="V6157" s="57">
        <v>0</v>
      </c>
      <c r="W6157" s="57">
        <v>0</v>
      </c>
      <c r="X6157" s="57">
        <v>0</v>
      </c>
    </row>
    <row r="6158" spans="1:24" hidden="1" x14ac:dyDescent="0.35">
      <c r="A6158">
        <v>6154</v>
      </c>
      <c r="B6158">
        <v>6155</v>
      </c>
      <c r="C6158">
        <v>146.08191275799899</v>
      </c>
      <c r="D6158">
        <v>-17.633419720900001</v>
      </c>
      <c r="F6158" t="str">
        <f>HYPERLINK("D:\Data From Lucan\2024\Moresby\Frames_for_Analysis/6155_20240611_0004_R_0690.jpg","6155_20240611_0004_R_0690.jpg")</f>
        <v>6155_20240611_0004_R_0690.jpg</v>
      </c>
      <c r="G6158" s="92" t="s">
        <v>6355</v>
      </c>
      <c r="I6158">
        <v>3</v>
      </c>
      <c r="K6158" s="57">
        <v>0</v>
      </c>
      <c r="L6158" t="s">
        <v>3959</v>
      </c>
      <c r="M6158" t="s">
        <v>3959</v>
      </c>
      <c r="N6158" t="s">
        <v>3959</v>
      </c>
      <c r="O6158" t="s">
        <v>3959</v>
      </c>
      <c r="P6158" s="57">
        <v>1</v>
      </c>
      <c r="Q6158" s="57">
        <v>0</v>
      </c>
      <c r="R6158" s="57">
        <v>0</v>
      </c>
      <c r="S6158" s="57">
        <v>0</v>
      </c>
      <c r="T6158" s="57">
        <v>0</v>
      </c>
      <c r="U6158" s="57">
        <v>0</v>
      </c>
      <c r="V6158" s="57">
        <v>0</v>
      </c>
      <c r="W6158" s="57">
        <v>0</v>
      </c>
      <c r="X6158" s="57">
        <v>0</v>
      </c>
    </row>
    <row r="6159" spans="1:24" hidden="1" x14ac:dyDescent="0.35">
      <c r="A6159">
        <v>6155</v>
      </c>
      <c r="B6159">
        <v>6156</v>
      </c>
      <c r="C6159">
        <v>146.081891517</v>
      </c>
      <c r="D6159">
        <v>-17.6333365379</v>
      </c>
      <c r="F6159" t="str">
        <f>HYPERLINK("D:\Data From Lucan\2024\Moresby\Frames_for_Analysis/6156_20240611_0004_R_0687.jpg","6156_20240611_0004_R_0687.jpg")</f>
        <v>6156_20240611_0004_R_0687.jpg</v>
      </c>
      <c r="G6159" s="92" t="s">
        <v>6356</v>
      </c>
      <c r="I6159">
        <v>3</v>
      </c>
      <c r="K6159" s="57">
        <v>0</v>
      </c>
      <c r="L6159" t="s">
        <v>3959</v>
      </c>
      <c r="M6159" t="s">
        <v>3959</v>
      </c>
      <c r="N6159" t="s">
        <v>3959</v>
      </c>
      <c r="O6159" t="s">
        <v>3959</v>
      </c>
      <c r="P6159" s="57">
        <v>1</v>
      </c>
      <c r="Q6159" s="57">
        <v>0</v>
      </c>
      <c r="R6159" s="57">
        <v>0</v>
      </c>
      <c r="S6159" s="57">
        <v>0</v>
      </c>
      <c r="T6159" s="57">
        <v>0</v>
      </c>
      <c r="U6159" s="57">
        <v>0</v>
      </c>
      <c r="V6159" s="57">
        <v>0</v>
      </c>
      <c r="W6159" s="57">
        <v>0</v>
      </c>
      <c r="X6159" s="57">
        <v>0</v>
      </c>
    </row>
    <row r="6160" spans="1:24" hidden="1" x14ac:dyDescent="0.35">
      <c r="A6160">
        <v>6156</v>
      </c>
      <c r="B6160">
        <v>6157</v>
      </c>
      <c r="C6160">
        <v>146.08187027599899</v>
      </c>
      <c r="D6160">
        <v>-17.633253354800001</v>
      </c>
      <c r="F6160" t="str">
        <f>HYPERLINK("D:\Data From Lucan\2024\Moresby\Frames_for_Analysis/6157_20240611_0004_R_0684.jpg","6157_20240611_0004_R_0684.jpg")</f>
        <v>6157_20240611_0004_R_0684.jpg</v>
      </c>
      <c r="G6160" s="92" t="s">
        <v>6357</v>
      </c>
      <c r="I6160">
        <v>3</v>
      </c>
      <c r="K6160" s="57">
        <v>0</v>
      </c>
      <c r="L6160" t="s">
        <v>3959</v>
      </c>
      <c r="M6160" t="s">
        <v>3959</v>
      </c>
      <c r="N6160" t="s">
        <v>3959</v>
      </c>
      <c r="O6160" t="s">
        <v>3959</v>
      </c>
      <c r="P6160" s="57">
        <v>1</v>
      </c>
      <c r="Q6160" s="57">
        <v>0</v>
      </c>
      <c r="R6160" s="57">
        <v>0</v>
      </c>
      <c r="S6160" s="57">
        <v>0</v>
      </c>
      <c r="T6160" s="57">
        <v>0</v>
      </c>
      <c r="U6160" s="57">
        <v>0</v>
      </c>
      <c r="V6160" s="57">
        <v>0</v>
      </c>
      <c r="W6160" s="57">
        <v>0</v>
      </c>
      <c r="X6160" s="57">
        <v>0</v>
      </c>
    </row>
    <row r="6161" spans="1:24" hidden="1" x14ac:dyDescent="0.35">
      <c r="A6161">
        <v>6157</v>
      </c>
      <c r="B6161">
        <v>6158</v>
      </c>
      <c r="C6161">
        <v>146.08185939500001</v>
      </c>
      <c r="D6161">
        <v>-17.633169011700002</v>
      </c>
      <c r="F6161" t="str">
        <f>HYPERLINK("D:\Data From Lucan\2024\Moresby\Frames_for_Analysis/6158_20240611_0004_R_0681.jpg","6158_20240611_0004_R_0681.jpg")</f>
        <v>6158_20240611_0004_R_0681.jpg</v>
      </c>
      <c r="G6161" s="92" t="s">
        <v>6358</v>
      </c>
      <c r="I6161">
        <v>3</v>
      </c>
      <c r="K6161" s="57">
        <v>0</v>
      </c>
      <c r="L6161" t="s">
        <v>3959</v>
      </c>
      <c r="M6161" t="s">
        <v>3959</v>
      </c>
      <c r="N6161" t="s">
        <v>3959</v>
      </c>
      <c r="O6161" t="s">
        <v>3959</v>
      </c>
      <c r="P6161" s="57">
        <v>1</v>
      </c>
      <c r="Q6161" s="57">
        <v>0</v>
      </c>
      <c r="R6161" s="57">
        <v>0</v>
      </c>
      <c r="S6161" s="57">
        <v>0</v>
      </c>
      <c r="T6161" s="57">
        <v>0</v>
      </c>
      <c r="U6161" s="57">
        <v>0</v>
      </c>
      <c r="V6161" s="57">
        <v>0</v>
      </c>
      <c r="W6161" s="57">
        <v>0</v>
      </c>
      <c r="X6161" s="57">
        <v>0</v>
      </c>
    </row>
    <row r="6162" spans="1:24" hidden="1" x14ac:dyDescent="0.35">
      <c r="A6162">
        <v>6158</v>
      </c>
      <c r="B6162">
        <v>6159</v>
      </c>
      <c r="C6162">
        <v>146.081835654999</v>
      </c>
      <c r="D6162">
        <v>-17.6330865999</v>
      </c>
      <c r="F6162" t="str">
        <f>HYPERLINK("D:\Data From Lucan\2024\Moresby\Frames_for_Analysis/6159_20240611_0004_R_0678.jpg","6159_20240611_0004_R_0678.jpg")</f>
        <v>6159_20240611_0004_R_0678.jpg</v>
      </c>
      <c r="G6162" s="92" t="s">
        <v>6359</v>
      </c>
      <c r="I6162">
        <v>3</v>
      </c>
      <c r="K6162" s="57">
        <v>0</v>
      </c>
      <c r="L6162" t="s">
        <v>3959</v>
      </c>
      <c r="M6162" t="s">
        <v>3959</v>
      </c>
      <c r="N6162" t="s">
        <v>3959</v>
      </c>
      <c r="O6162" t="s">
        <v>3959</v>
      </c>
      <c r="P6162" s="57">
        <v>1</v>
      </c>
      <c r="Q6162" s="57">
        <v>0</v>
      </c>
      <c r="R6162" s="57">
        <v>0</v>
      </c>
      <c r="S6162" s="57">
        <v>0</v>
      </c>
      <c r="T6162" s="57">
        <v>0</v>
      </c>
      <c r="U6162" s="57">
        <v>0</v>
      </c>
      <c r="V6162" s="57">
        <v>0</v>
      </c>
      <c r="W6162" s="57">
        <v>0</v>
      </c>
      <c r="X6162" s="57">
        <v>0</v>
      </c>
    </row>
    <row r="6163" spans="1:24" hidden="1" x14ac:dyDescent="0.35">
      <c r="A6163">
        <v>6159</v>
      </c>
      <c r="B6163">
        <v>6160</v>
      </c>
      <c r="C6163">
        <v>146.08181042000001</v>
      </c>
      <c r="D6163">
        <v>-17.633004437299899</v>
      </c>
      <c r="F6163" t="str">
        <f>HYPERLINK("D:\Data From Lucan\2024\Moresby\Frames_for_Analysis/6160_20240611_0004_R_0676.jpg","6160_20240611_0004_R_0676.jpg")</f>
        <v>6160_20240611_0004_R_0676.jpg</v>
      </c>
      <c r="G6163" s="92" t="s">
        <v>6360</v>
      </c>
      <c r="I6163">
        <v>3</v>
      </c>
      <c r="K6163" s="57">
        <v>0</v>
      </c>
      <c r="L6163" t="s">
        <v>3959</v>
      </c>
      <c r="M6163" t="s">
        <v>3959</v>
      </c>
      <c r="N6163" t="s">
        <v>3959</v>
      </c>
      <c r="O6163" t="s">
        <v>3959</v>
      </c>
      <c r="P6163" s="57">
        <v>1</v>
      </c>
      <c r="Q6163" s="57">
        <v>0</v>
      </c>
      <c r="R6163" s="57">
        <v>0</v>
      </c>
      <c r="S6163" s="57">
        <v>0</v>
      </c>
      <c r="T6163" s="57">
        <v>0</v>
      </c>
      <c r="U6163" s="57">
        <v>0</v>
      </c>
      <c r="V6163" s="57">
        <v>0</v>
      </c>
      <c r="W6163" s="57">
        <v>0</v>
      </c>
      <c r="X6163" s="57">
        <v>0</v>
      </c>
    </row>
    <row r="6164" spans="1:24" hidden="1" x14ac:dyDescent="0.35">
      <c r="A6164">
        <v>6160</v>
      </c>
      <c r="B6164">
        <v>6161</v>
      </c>
      <c r="C6164">
        <v>146.081784779999</v>
      </c>
      <c r="D6164">
        <v>-17.632922387499899</v>
      </c>
      <c r="F6164" t="str">
        <f>HYPERLINK("D:\Data From Lucan\2024\Moresby\Frames_for_Analysis/6161_20240611_0004_R_0674.jpg","6161_20240611_0004_R_0674.jpg")</f>
        <v>6161_20240611_0004_R_0674.jpg</v>
      </c>
      <c r="G6164" s="92" t="s">
        <v>6361</v>
      </c>
      <c r="I6164">
        <v>3</v>
      </c>
      <c r="K6164" s="57">
        <v>0</v>
      </c>
      <c r="L6164" t="s">
        <v>3959</v>
      </c>
      <c r="M6164" t="s">
        <v>3959</v>
      </c>
      <c r="N6164" t="s">
        <v>3959</v>
      </c>
      <c r="O6164" t="s">
        <v>3959</v>
      </c>
      <c r="P6164" s="57">
        <v>1</v>
      </c>
      <c r="Q6164" s="57">
        <v>0</v>
      </c>
      <c r="R6164" s="57">
        <v>0</v>
      </c>
      <c r="S6164" s="57">
        <v>0</v>
      </c>
      <c r="T6164" s="57">
        <v>0</v>
      </c>
      <c r="U6164" s="57">
        <v>0</v>
      </c>
      <c r="V6164" s="57">
        <v>0</v>
      </c>
      <c r="W6164" s="57">
        <v>0</v>
      </c>
      <c r="X6164" s="57">
        <v>0</v>
      </c>
    </row>
    <row r="6165" spans="1:24" hidden="1" x14ac:dyDescent="0.35">
      <c r="A6165">
        <v>6161</v>
      </c>
      <c r="B6165">
        <v>6162</v>
      </c>
      <c r="C6165">
        <v>146.081759140999</v>
      </c>
      <c r="D6165">
        <v>-17.632840337600001</v>
      </c>
      <c r="F6165" t="str">
        <f>HYPERLINK("D:\Data From Lucan\2024\Moresby\Frames_for_Analysis/6162_20240611_0004_R_0672.jpg","6162_20240611_0004_R_0672.jpg")</f>
        <v>6162_20240611_0004_R_0672.jpg</v>
      </c>
      <c r="G6165" s="92" t="s">
        <v>6362</v>
      </c>
      <c r="I6165">
        <v>3</v>
      </c>
      <c r="K6165" s="57">
        <v>0</v>
      </c>
      <c r="L6165" t="s">
        <v>3959</v>
      </c>
      <c r="M6165" t="s">
        <v>3959</v>
      </c>
      <c r="N6165" t="s">
        <v>3959</v>
      </c>
      <c r="O6165" t="s">
        <v>3959</v>
      </c>
      <c r="P6165" s="57">
        <v>1</v>
      </c>
      <c r="Q6165" s="57">
        <v>0</v>
      </c>
      <c r="R6165" s="57">
        <v>0</v>
      </c>
      <c r="S6165" s="57">
        <v>0</v>
      </c>
      <c r="T6165" s="57">
        <v>0</v>
      </c>
      <c r="U6165" s="57">
        <v>0</v>
      </c>
      <c r="V6165" s="57">
        <v>0</v>
      </c>
      <c r="W6165" s="57">
        <v>0</v>
      </c>
      <c r="X6165" s="57">
        <v>0</v>
      </c>
    </row>
    <row r="6166" spans="1:24" hidden="1" x14ac:dyDescent="0.35">
      <c r="A6166">
        <v>6162</v>
      </c>
      <c r="B6166">
        <v>6163</v>
      </c>
      <c r="C6166">
        <v>146.081733501999</v>
      </c>
      <c r="D6166">
        <v>-17.632758287600002</v>
      </c>
      <c r="F6166" t="str">
        <f>HYPERLINK("D:\Data From Lucan\2024\Moresby\Frames_for_Analysis/6163_20240611_0004_R_0669.jpg","6163_20240611_0004_R_0669.jpg")</f>
        <v>6163_20240611_0004_R_0669.jpg</v>
      </c>
      <c r="G6166" s="92" t="s">
        <v>6363</v>
      </c>
      <c r="I6166">
        <v>3</v>
      </c>
      <c r="K6166" s="57">
        <v>0</v>
      </c>
      <c r="L6166" t="s">
        <v>3959</v>
      </c>
      <c r="M6166" t="s">
        <v>3959</v>
      </c>
      <c r="N6166" t="s">
        <v>3959</v>
      </c>
      <c r="O6166" t="s">
        <v>3959</v>
      </c>
      <c r="P6166" s="57">
        <v>1</v>
      </c>
      <c r="Q6166" s="57">
        <v>0</v>
      </c>
      <c r="R6166" s="57">
        <v>0</v>
      </c>
      <c r="S6166" s="57">
        <v>0</v>
      </c>
      <c r="T6166" s="57">
        <v>0</v>
      </c>
      <c r="U6166" s="57">
        <v>0</v>
      </c>
      <c r="V6166" s="57">
        <v>0</v>
      </c>
      <c r="W6166" s="57">
        <v>0</v>
      </c>
      <c r="X6166" s="57">
        <v>0</v>
      </c>
    </row>
    <row r="6167" spans="1:24" hidden="1" x14ac:dyDescent="0.35">
      <c r="A6167">
        <v>6163</v>
      </c>
      <c r="B6167">
        <v>6164</v>
      </c>
      <c r="C6167">
        <v>146.081741149999</v>
      </c>
      <c r="D6167">
        <v>-17.632674259200002</v>
      </c>
      <c r="F6167" t="str">
        <f>HYPERLINK("D:\Data From Lucan\2024\Moresby\Frames_for_Analysis/6164_20240611_0004_R_0667.jpg","6164_20240611_0004_R_0667.jpg")</f>
        <v>6164_20240611_0004_R_0667.jpg</v>
      </c>
      <c r="G6167" s="92" t="s">
        <v>6364</v>
      </c>
      <c r="I6167">
        <v>3</v>
      </c>
      <c r="K6167" s="57">
        <v>0</v>
      </c>
      <c r="L6167" t="s">
        <v>3959</v>
      </c>
      <c r="M6167" t="s">
        <v>3959</v>
      </c>
      <c r="N6167" t="s">
        <v>3959</v>
      </c>
      <c r="O6167" t="s">
        <v>3959</v>
      </c>
      <c r="P6167" s="57">
        <v>1</v>
      </c>
      <c r="Q6167" s="57">
        <v>0</v>
      </c>
      <c r="R6167" s="57">
        <v>0</v>
      </c>
      <c r="S6167" s="57">
        <v>0</v>
      </c>
      <c r="T6167" s="57">
        <v>0</v>
      </c>
      <c r="U6167" s="57">
        <v>0</v>
      </c>
      <c r="V6167" s="57">
        <v>0</v>
      </c>
      <c r="W6167" s="57">
        <v>0</v>
      </c>
      <c r="X6167" s="57">
        <v>0</v>
      </c>
    </row>
    <row r="6168" spans="1:24" hidden="1" x14ac:dyDescent="0.35">
      <c r="A6168">
        <v>6164</v>
      </c>
      <c r="B6168">
        <v>6165</v>
      </c>
      <c r="C6168">
        <v>146.08175589300001</v>
      </c>
      <c r="D6168">
        <v>-17.632589808999899</v>
      </c>
      <c r="F6168" t="str">
        <f>HYPERLINK("D:\Data From Lucan\2024\Moresby\Frames_for_Analysis/6165_20240611_0004_R_0665.jpg","6165_20240611_0004_R_0665.jpg")</f>
        <v>6165_20240611_0004_R_0665.jpg</v>
      </c>
      <c r="G6168" s="92" t="s">
        <v>6365</v>
      </c>
      <c r="I6168">
        <v>3</v>
      </c>
      <c r="K6168" s="57">
        <v>0</v>
      </c>
      <c r="L6168" t="s">
        <v>3959</v>
      </c>
      <c r="M6168" t="s">
        <v>3959</v>
      </c>
      <c r="N6168" t="s">
        <v>3959</v>
      </c>
      <c r="O6168" t="s">
        <v>3959</v>
      </c>
      <c r="P6168" s="57">
        <v>1</v>
      </c>
      <c r="Q6168" s="57">
        <v>0</v>
      </c>
      <c r="R6168" s="57">
        <v>0</v>
      </c>
      <c r="S6168" s="57">
        <v>0</v>
      </c>
      <c r="T6168" s="57">
        <v>0</v>
      </c>
      <c r="U6168" s="57">
        <v>0</v>
      </c>
      <c r="V6168" s="57">
        <v>0</v>
      </c>
      <c r="W6168" s="57">
        <v>0</v>
      </c>
      <c r="X6168" s="57">
        <v>0</v>
      </c>
    </row>
    <row r="6169" spans="1:24" hidden="1" x14ac:dyDescent="0.35">
      <c r="A6169">
        <v>6165</v>
      </c>
      <c r="B6169">
        <v>6166</v>
      </c>
      <c r="C6169">
        <v>146.08175418100001</v>
      </c>
      <c r="D6169">
        <v>-17.6325057325</v>
      </c>
      <c r="F6169" t="str">
        <f>HYPERLINK("D:\Data From Lucan\2024\Moresby\Frames_for_Analysis/6166_20240611_0004_R_0663.jpg","6166_20240611_0004_R_0663.jpg")</f>
        <v>6166_20240611_0004_R_0663.jpg</v>
      </c>
      <c r="G6169" s="92" t="s">
        <v>6366</v>
      </c>
      <c r="I6169">
        <v>3</v>
      </c>
      <c r="K6169" s="57">
        <v>0</v>
      </c>
      <c r="L6169" t="s">
        <v>3959</v>
      </c>
      <c r="M6169" t="s">
        <v>3959</v>
      </c>
      <c r="N6169" t="s">
        <v>3959</v>
      </c>
      <c r="O6169" t="s">
        <v>3959</v>
      </c>
      <c r="P6169" s="57">
        <v>1</v>
      </c>
      <c r="Q6169" s="57">
        <v>0</v>
      </c>
      <c r="R6169" s="57">
        <v>0</v>
      </c>
      <c r="S6169" s="57">
        <v>0</v>
      </c>
      <c r="T6169" s="57">
        <v>0</v>
      </c>
      <c r="U6169" s="57">
        <v>0</v>
      </c>
      <c r="V6169" s="57">
        <v>0</v>
      </c>
      <c r="W6169" s="57">
        <v>0</v>
      </c>
      <c r="X6169" s="57">
        <v>0</v>
      </c>
    </row>
    <row r="6170" spans="1:24" hidden="1" x14ac:dyDescent="0.35">
      <c r="A6170">
        <v>6166</v>
      </c>
      <c r="B6170">
        <v>6167</v>
      </c>
      <c r="C6170">
        <v>146.081745036999</v>
      </c>
      <c r="D6170">
        <v>-17.6324209954</v>
      </c>
      <c r="F6170" t="str">
        <f>HYPERLINK("D:\Data From Lucan\2024\Moresby\Frames_for_Analysis/6167_20240611_0004_R_0660.jpg","6167_20240611_0004_R_0660.jpg")</f>
        <v>6167_20240611_0004_R_0660.jpg</v>
      </c>
      <c r="G6170" s="92" t="s">
        <v>6367</v>
      </c>
      <c r="I6170">
        <v>3</v>
      </c>
      <c r="K6170" s="57">
        <v>0</v>
      </c>
      <c r="L6170" t="s">
        <v>3959</v>
      </c>
      <c r="M6170" t="s">
        <v>3959</v>
      </c>
      <c r="N6170" t="s">
        <v>3959</v>
      </c>
      <c r="O6170" t="s">
        <v>3959</v>
      </c>
      <c r="P6170" s="57">
        <v>1</v>
      </c>
      <c r="Q6170" s="57">
        <v>0</v>
      </c>
      <c r="R6170" s="57">
        <v>0</v>
      </c>
      <c r="S6170" s="57">
        <v>0</v>
      </c>
      <c r="T6170" s="57">
        <v>0</v>
      </c>
      <c r="U6170" s="57">
        <v>0</v>
      </c>
      <c r="V6170" s="57">
        <v>0</v>
      </c>
      <c r="W6170" s="57">
        <v>0</v>
      </c>
      <c r="X6170" s="57">
        <v>0</v>
      </c>
    </row>
    <row r="6171" spans="1:24" hidden="1" x14ac:dyDescent="0.35">
      <c r="A6171">
        <v>6167</v>
      </c>
      <c r="B6171">
        <v>6168</v>
      </c>
      <c r="C6171">
        <v>146.081743982999</v>
      </c>
      <c r="D6171">
        <v>-17.6323353901</v>
      </c>
      <c r="F6171" t="str">
        <f>HYPERLINK("D:\Data From Lucan\2024\Moresby\Frames_for_Analysis/6168_20240611_0004_R_0657.jpg","6168_20240611_0004_R_0657.jpg")</f>
        <v>6168_20240611_0004_R_0657.jpg</v>
      </c>
      <c r="G6171" s="92" t="s">
        <v>6368</v>
      </c>
      <c r="I6171">
        <v>3</v>
      </c>
      <c r="K6171" s="57">
        <v>0</v>
      </c>
      <c r="L6171" t="s">
        <v>3959</v>
      </c>
      <c r="M6171" t="s">
        <v>3959</v>
      </c>
      <c r="N6171" t="s">
        <v>3959</v>
      </c>
      <c r="O6171" t="s">
        <v>3959</v>
      </c>
      <c r="P6171" s="57">
        <v>1</v>
      </c>
      <c r="Q6171" s="57">
        <v>0</v>
      </c>
      <c r="R6171" s="57">
        <v>0</v>
      </c>
      <c r="S6171" s="57">
        <v>0</v>
      </c>
      <c r="T6171" s="57">
        <v>0</v>
      </c>
      <c r="U6171" s="57">
        <v>0</v>
      </c>
      <c r="V6171" s="57">
        <v>0</v>
      </c>
      <c r="W6171" s="57">
        <v>0</v>
      </c>
      <c r="X6171" s="57">
        <v>0</v>
      </c>
    </row>
    <row r="6172" spans="1:24" hidden="1" x14ac:dyDescent="0.35">
      <c r="A6172">
        <v>6168</v>
      </c>
      <c r="B6172">
        <v>6169</v>
      </c>
      <c r="C6172">
        <v>146.081742929</v>
      </c>
      <c r="D6172">
        <v>-17.632249784700001</v>
      </c>
      <c r="F6172" t="str">
        <f>HYPERLINK("D:\Data From Lucan\2024\Moresby\Frames_for_Analysis/6169_20240611_0004_R_0655.jpg","6169_20240611_0004_R_0655.jpg")</f>
        <v>6169_20240611_0004_R_0655.jpg</v>
      </c>
      <c r="G6172" s="92" t="s">
        <v>6369</v>
      </c>
      <c r="I6172">
        <v>3</v>
      </c>
      <c r="K6172" s="57">
        <v>0</v>
      </c>
      <c r="L6172" t="s">
        <v>3959</v>
      </c>
      <c r="M6172" t="s">
        <v>3959</v>
      </c>
      <c r="N6172" t="s">
        <v>3959</v>
      </c>
      <c r="O6172" t="s">
        <v>3959</v>
      </c>
      <c r="P6172" s="57">
        <v>1</v>
      </c>
      <c r="Q6172" s="57">
        <v>0</v>
      </c>
      <c r="R6172" s="57">
        <v>0</v>
      </c>
      <c r="S6172" s="57">
        <v>0</v>
      </c>
      <c r="T6172" s="57">
        <v>0</v>
      </c>
      <c r="U6172" s="57">
        <v>0</v>
      </c>
      <c r="V6172" s="57">
        <v>0</v>
      </c>
      <c r="W6172" s="57">
        <v>0</v>
      </c>
      <c r="X6172" s="57">
        <v>0</v>
      </c>
    </row>
    <row r="6173" spans="1:24" hidden="1" x14ac:dyDescent="0.35">
      <c r="A6173">
        <v>6169</v>
      </c>
      <c r="B6173">
        <v>6170</v>
      </c>
      <c r="C6173">
        <v>146.08174187399899</v>
      </c>
      <c r="D6173">
        <v>-17.632164179299899</v>
      </c>
      <c r="F6173" t="str">
        <f>HYPERLINK("D:\Data From Lucan\2024\Moresby\Frames_for_Analysis/6170_20240611_0004_R_0652.jpg","6170_20240611_0004_R_0652.jpg")</f>
        <v>6170_20240611_0004_R_0652.jpg</v>
      </c>
      <c r="G6173" s="92" t="s">
        <v>6370</v>
      </c>
      <c r="I6173">
        <v>3</v>
      </c>
      <c r="K6173" s="57">
        <v>0</v>
      </c>
      <c r="L6173" t="s">
        <v>3959</v>
      </c>
      <c r="M6173" t="s">
        <v>3959</v>
      </c>
      <c r="N6173" t="s">
        <v>3959</v>
      </c>
      <c r="O6173" t="s">
        <v>3959</v>
      </c>
      <c r="P6173" s="57">
        <v>1</v>
      </c>
      <c r="Q6173" s="57">
        <v>0</v>
      </c>
      <c r="R6173" s="57">
        <v>0</v>
      </c>
      <c r="S6173" s="57">
        <v>0</v>
      </c>
      <c r="T6173" s="57">
        <v>0</v>
      </c>
      <c r="U6173" s="57">
        <v>0</v>
      </c>
      <c r="V6173" s="57">
        <v>0</v>
      </c>
      <c r="W6173" s="57">
        <v>0</v>
      </c>
      <c r="X6173" s="57">
        <v>0</v>
      </c>
    </row>
    <row r="6174" spans="1:24" hidden="1" x14ac:dyDescent="0.35">
      <c r="A6174">
        <v>6170</v>
      </c>
      <c r="B6174">
        <v>6171</v>
      </c>
      <c r="C6174">
        <v>146.081740819</v>
      </c>
      <c r="D6174">
        <v>-17.6320785738999</v>
      </c>
      <c r="F6174" t="str">
        <f>HYPERLINK("D:\Data From Lucan\2024\Moresby\Frames_for_Analysis/6171_20240611_0004_R_0649.jpg","6171_20240611_0004_R_0649.jpg")</f>
        <v>6171_20240611_0004_R_0649.jpg</v>
      </c>
      <c r="G6174" s="92" t="s">
        <v>6371</v>
      </c>
      <c r="I6174">
        <v>3</v>
      </c>
      <c r="K6174" s="57">
        <v>0</v>
      </c>
      <c r="L6174" t="s">
        <v>3959</v>
      </c>
      <c r="M6174" t="s">
        <v>3959</v>
      </c>
      <c r="N6174" t="s">
        <v>3959</v>
      </c>
      <c r="O6174" t="s">
        <v>3959</v>
      </c>
      <c r="P6174" s="57">
        <v>1</v>
      </c>
      <c r="Q6174" s="57">
        <v>0</v>
      </c>
      <c r="R6174" s="57">
        <v>0</v>
      </c>
      <c r="S6174" s="57">
        <v>0</v>
      </c>
      <c r="T6174" s="57">
        <v>0</v>
      </c>
      <c r="U6174" s="57">
        <v>0</v>
      </c>
      <c r="V6174" s="57">
        <v>0</v>
      </c>
      <c r="W6174" s="57">
        <v>0</v>
      </c>
      <c r="X6174" s="57">
        <v>0</v>
      </c>
    </row>
    <row r="6175" spans="1:24" hidden="1" x14ac:dyDescent="0.35">
      <c r="A6175">
        <v>6171</v>
      </c>
      <c r="B6175">
        <v>6172</v>
      </c>
      <c r="C6175">
        <v>146.081768371999</v>
      </c>
      <c r="D6175">
        <v>-17.631997359100001</v>
      </c>
      <c r="F6175" t="str">
        <f>HYPERLINK("D:\Data From Lucan\2024\Moresby\Frames_for_Analysis/6172_20240611_0004_R_0647.jpg","6172_20240611_0004_R_0647.jpg")</f>
        <v>6172_20240611_0004_R_0647.jpg</v>
      </c>
      <c r="G6175" s="92" t="s">
        <v>6372</v>
      </c>
      <c r="I6175">
        <v>3</v>
      </c>
      <c r="K6175" s="57">
        <v>0</v>
      </c>
      <c r="L6175" t="s">
        <v>3959</v>
      </c>
      <c r="M6175" t="s">
        <v>3959</v>
      </c>
      <c r="N6175" t="s">
        <v>3959</v>
      </c>
      <c r="O6175" t="s">
        <v>3959</v>
      </c>
      <c r="P6175" s="57">
        <v>1</v>
      </c>
      <c r="Q6175" s="57">
        <v>0</v>
      </c>
      <c r="R6175" s="57">
        <v>0</v>
      </c>
      <c r="S6175" s="57">
        <v>0</v>
      </c>
      <c r="T6175" s="57">
        <v>0</v>
      </c>
      <c r="U6175" s="57">
        <v>0</v>
      </c>
      <c r="V6175" s="57">
        <v>0</v>
      </c>
      <c r="W6175" s="57">
        <v>0</v>
      </c>
      <c r="X6175" s="57">
        <v>0</v>
      </c>
    </row>
    <row r="6176" spans="1:24" hidden="1" x14ac:dyDescent="0.35">
      <c r="A6176">
        <v>6172</v>
      </c>
      <c r="B6176">
        <v>6173</v>
      </c>
      <c r="C6176">
        <v>146.08179757299899</v>
      </c>
      <c r="D6176">
        <v>-17.6319163972999</v>
      </c>
      <c r="F6176" t="str">
        <f>HYPERLINK("D:\Data From Lucan\2024\Moresby\Frames_for_Analysis/6173_20240611_0004_R_0645.jpg","6173_20240611_0004_R_0645.jpg")</f>
        <v>6173_20240611_0004_R_0645.jpg</v>
      </c>
      <c r="G6176" s="92" t="s">
        <v>6373</v>
      </c>
      <c r="I6176">
        <v>3</v>
      </c>
      <c r="K6176" s="57">
        <v>0</v>
      </c>
      <c r="L6176" t="s">
        <v>3959</v>
      </c>
      <c r="M6176" t="s">
        <v>3959</v>
      </c>
      <c r="N6176" t="s">
        <v>3959</v>
      </c>
      <c r="O6176" t="s">
        <v>3959</v>
      </c>
      <c r="P6176" s="57">
        <v>1</v>
      </c>
      <c r="Q6176" s="57">
        <v>0</v>
      </c>
      <c r="R6176" s="57">
        <v>0</v>
      </c>
      <c r="S6176" s="57">
        <v>0</v>
      </c>
      <c r="T6176" s="57">
        <v>0</v>
      </c>
      <c r="U6176" s="57">
        <v>0</v>
      </c>
      <c r="V6176" s="57">
        <v>0</v>
      </c>
      <c r="W6176" s="57">
        <v>0</v>
      </c>
      <c r="X6176" s="57">
        <v>0</v>
      </c>
    </row>
    <row r="6177" spans="1:24" hidden="1" x14ac:dyDescent="0.35">
      <c r="A6177">
        <v>6173</v>
      </c>
      <c r="B6177">
        <v>6174</v>
      </c>
      <c r="C6177">
        <v>146.08182677600001</v>
      </c>
      <c r="D6177">
        <v>-17.631835435700001</v>
      </c>
      <c r="F6177" t="str">
        <f>HYPERLINK("D:\Data From Lucan\2024\Moresby\Frames_for_Analysis/6174_20240611_0004_R_0642.jpg","6174_20240611_0004_R_0642.jpg")</f>
        <v>6174_20240611_0004_R_0642.jpg</v>
      </c>
      <c r="G6177" s="92" t="s">
        <v>6374</v>
      </c>
      <c r="I6177">
        <v>3</v>
      </c>
      <c r="K6177" s="57">
        <v>0</v>
      </c>
      <c r="L6177" t="s">
        <v>3959</v>
      </c>
      <c r="M6177" t="s">
        <v>3959</v>
      </c>
      <c r="N6177" t="s">
        <v>3959</v>
      </c>
      <c r="O6177" t="s">
        <v>3959</v>
      </c>
      <c r="P6177" s="57">
        <v>1</v>
      </c>
      <c r="Q6177" s="57">
        <v>0</v>
      </c>
      <c r="R6177" s="57">
        <v>0</v>
      </c>
      <c r="S6177" s="57">
        <v>0</v>
      </c>
      <c r="T6177" s="57">
        <v>0</v>
      </c>
      <c r="U6177" s="57">
        <v>0</v>
      </c>
      <c r="V6177" s="57">
        <v>0</v>
      </c>
      <c r="W6177" s="57">
        <v>0</v>
      </c>
      <c r="X6177" s="57">
        <v>0</v>
      </c>
    </row>
    <row r="6178" spans="1:24" hidden="1" x14ac:dyDescent="0.35">
      <c r="A6178">
        <v>6174</v>
      </c>
      <c r="B6178">
        <v>6175</v>
      </c>
      <c r="C6178">
        <v>146.081855079999</v>
      </c>
      <c r="D6178">
        <v>-17.6317542150999</v>
      </c>
      <c r="F6178" t="str">
        <f>HYPERLINK("D:\Data From Lucan\2024\Moresby\Frames_for_Analysis/6175_20240611_0004_R_0639.jpg","6175_20240611_0004_R_0639.jpg")</f>
        <v>6175_20240611_0004_R_0639.jpg</v>
      </c>
      <c r="G6178" s="92" t="s">
        <v>6375</v>
      </c>
      <c r="I6178">
        <v>3</v>
      </c>
      <c r="K6178" s="57">
        <v>0</v>
      </c>
      <c r="L6178" t="s">
        <v>3959</v>
      </c>
      <c r="M6178" t="s">
        <v>3959</v>
      </c>
      <c r="N6178" t="s">
        <v>3959</v>
      </c>
      <c r="O6178" t="s">
        <v>3959</v>
      </c>
      <c r="P6178" s="57">
        <v>1</v>
      </c>
      <c r="Q6178" s="57">
        <v>0</v>
      </c>
      <c r="R6178" s="57">
        <v>0</v>
      </c>
      <c r="S6178" s="57">
        <v>0</v>
      </c>
      <c r="T6178" s="57">
        <v>0</v>
      </c>
      <c r="U6178" s="57">
        <v>0</v>
      </c>
      <c r="V6178" s="57">
        <v>0</v>
      </c>
      <c r="W6178" s="57">
        <v>0</v>
      </c>
      <c r="X6178" s="57">
        <v>0</v>
      </c>
    </row>
    <row r="6179" spans="1:24" hidden="1" x14ac:dyDescent="0.35">
      <c r="A6179">
        <v>6175</v>
      </c>
      <c r="B6179">
        <v>6176</v>
      </c>
      <c r="C6179">
        <v>146.08187786400001</v>
      </c>
      <c r="D6179">
        <v>-17.6316714029</v>
      </c>
      <c r="F6179" t="str">
        <f>HYPERLINK("D:\Data From Lucan\2024\Moresby\Frames_for_Analysis/6176_20240611_0004_R_0637.jpg","6176_20240611_0004_R_0637.jpg")</f>
        <v>6176_20240611_0004_R_0637.jpg</v>
      </c>
      <c r="G6179" s="92" t="s">
        <v>6376</v>
      </c>
      <c r="I6179">
        <v>3</v>
      </c>
      <c r="K6179" s="57">
        <v>0</v>
      </c>
      <c r="L6179" t="s">
        <v>3959</v>
      </c>
      <c r="M6179" t="s">
        <v>3959</v>
      </c>
      <c r="N6179" t="s">
        <v>3959</v>
      </c>
      <c r="O6179" t="s">
        <v>3959</v>
      </c>
      <c r="P6179" s="57">
        <v>1</v>
      </c>
      <c r="Q6179" s="57">
        <v>0</v>
      </c>
      <c r="R6179" s="57">
        <v>0</v>
      </c>
      <c r="S6179" s="57">
        <v>0</v>
      </c>
      <c r="T6179" s="57">
        <v>0</v>
      </c>
      <c r="U6179" s="57">
        <v>0</v>
      </c>
      <c r="V6179" s="57">
        <v>0</v>
      </c>
      <c r="W6179" s="57">
        <v>0</v>
      </c>
      <c r="X6179" s="57">
        <v>0</v>
      </c>
    </row>
    <row r="6180" spans="1:24" hidden="1" x14ac:dyDescent="0.35">
      <c r="A6180">
        <v>6176</v>
      </c>
      <c r="B6180">
        <v>6177</v>
      </c>
      <c r="C6180">
        <v>146.08190064799899</v>
      </c>
      <c r="D6180">
        <v>-17.6315885908</v>
      </c>
      <c r="F6180" t="str">
        <f>HYPERLINK("D:\Data From Lucan\2024\Moresby\Frames_for_Analysis/6177_20240611_0004_R_0635.jpg","6177_20240611_0004_R_0635.jpg")</f>
        <v>6177_20240611_0004_R_0635.jpg</v>
      </c>
      <c r="G6180" s="92" t="s">
        <v>6377</v>
      </c>
      <c r="I6180">
        <v>3</v>
      </c>
      <c r="K6180" s="57">
        <v>0</v>
      </c>
      <c r="L6180" t="s">
        <v>3959</v>
      </c>
      <c r="M6180" t="s">
        <v>3959</v>
      </c>
      <c r="N6180" t="s">
        <v>3959</v>
      </c>
      <c r="O6180" t="s">
        <v>3959</v>
      </c>
      <c r="P6180" s="57">
        <v>1</v>
      </c>
      <c r="Q6180" s="57">
        <v>0</v>
      </c>
      <c r="R6180" s="57">
        <v>0</v>
      </c>
      <c r="S6180" s="57">
        <v>0</v>
      </c>
      <c r="T6180" s="57">
        <v>0</v>
      </c>
      <c r="U6180" s="57">
        <v>0</v>
      </c>
      <c r="V6180" s="57">
        <v>0</v>
      </c>
      <c r="W6180" s="57">
        <v>0</v>
      </c>
      <c r="X6180" s="57">
        <v>0</v>
      </c>
    </row>
    <row r="6181" spans="1:24" hidden="1" x14ac:dyDescent="0.35">
      <c r="A6181">
        <v>6177</v>
      </c>
      <c r="B6181">
        <v>6178</v>
      </c>
      <c r="C6181">
        <v>146.081923431999</v>
      </c>
      <c r="D6181">
        <v>-17.631505778600001</v>
      </c>
      <c r="F6181" t="str">
        <f>HYPERLINK("D:\Data From Lucan\2024\Moresby\Frames_for_Analysis/6178_20240611_0004_R_0633.jpg","6178_20240611_0004_R_0633.jpg")</f>
        <v>6178_20240611_0004_R_0633.jpg</v>
      </c>
      <c r="G6181" s="92" t="s">
        <v>6378</v>
      </c>
      <c r="I6181">
        <v>3</v>
      </c>
      <c r="K6181" s="57">
        <v>0</v>
      </c>
      <c r="L6181" t="s">
        <v>3959</v>
      </c>
      <c r="M6181" t="s">
        <v>3959</v>
      </c>
      <c r="N6181" t="s">
        <v>3959</v>
      </c>
      <c r="O6181" t="s">
        <v>3959</v>
      </c>
      <c r="P6181" s="57">
        <v>1</v>
      </c>
      <c r="Q6181" s="57">
        <v>0</v>
      </c>
      <c r="R6181" s="57">
        <v>0</v>
      </c>
      <c r="S6181" s="57">
        <v>0</v>
      </c>
      <c r="T6181" s="57">
        <v>0</v>
      </c>
      <c r="U6181" s="57">
        <v>0</v>
      </c>
      <c r="V6181" s="57">
        <v>0</v>
      </c>
      <c r="W6181" s="57">
        <v>0</v>
      </c>
      <c r="X6181" s="57">
        <v>0</v>
      </c>
    </row>
    <row r="6182" spans="1:24" hidden="1" x14ac:dyDescent="0.35">
      <c r="A6182">
        <v>6178</v>
      </c>
      <c r="B6182">
        <v>6179</v>
      </c>
      <c r="C6182">
        <v>146.08194621600001</v>
      </c>
      <c r="D6182">
        <v>-17.631422966300001</v>
      </c>
      <c r="F6182" t="str">
        <f>HYPERLINK("D:\Data From Lucan\2024\Moresby\Frames_for_Analysis/6179_20240611_0004_R_0629.jpg","6179_20240611_0004_R_0629.jpg")</f>
        <v>6179_20240611_0004_R_0629.jpg</v>
      </c>
      <c r="G6182" s="92" t="s">
        <v>6379</v>
      </c>
      <c r="I6182">
        <v>3</v>
      </c>
      <c r="K6182" s="57">
        <v>1</v>
      </c>
      <c r="L6182" t="s">
        <v>3959</v>
      </c>
      <c r="M6182" t="s">
        <v>3959</v>
      </c>
      <c r="N6182" t="s">
        <v>3959</v>
      </c>
      <c r="O6182" t="s">
        <v>3959</v>
      </c>
      <c r="P6182" s="57">
        <v>1</v>
      </c>
      <c r="Q6182" s="57">
        <v>0</v>
      </c>
      <c r="R6182" s="57">
        <v>0</v>
      </c>
      <c r="S6182" s="57">
        <v>0</v>
      </c>
      <c r="T6182" s="57">
        <v>0</v>
      </c>
      <c r="U6182" s="57">
        <v>0</v>
      </c>
      <c r="V6182" s="57">
        <v>0</v>
      </c>
      <c r="W6182" s="57">
        <v>0</v>
      </c>
      <c r="X6182" s="57">
        <v>0</v>
      </c>
    </row>
    <row r="6183" spans="1:24" hidden="1" x14ac:dyDescent="0.35">
      <c r="A6183">
        <v>6179</v>
      </c>
      <c r="B6183">
        <v>6180</v>
      </c>
      <c r="C6183">
        <v>146.081967620999</v>
      </c>
      <c r="D6183">
        <v>-17.631339829800002</v>
      </c>
      <c r="F6183" t="str">
        <f>HYPERLINK("D:\Data From Lucan\2024\Moresby\Frames_for_Analysis/6180_20240611_0004_R_0627.jpg","6180_20240611_0004_R_0627.jpg")</f>
        <v>6180_20240611_0004_R_0627.jpg</v>
      </c>
      <c r="G6183" s="92" t="s">
        <v>6380</v>
      </c>
      <c r="I6183">
        <v>3</v>
      </c>
      <c r="K6183" s="57">
        <v>0</v>
      </c>
      <c r="L6183" t="s">
        <v>3959</v>
      </c>
      <c r="M6183" t="s">
        <v>3959</v>
      </c>
      <c r="N6183" t="s">
        <v>3959</v>
      </c>
      <c r="O6183" t="s">
        <v>3959</v>
      </c>
      <c r="P6183" s="57">
        <v>3</v>
      </c>
      <c r="Q6183" s="57">
        <v>1</v>
      </c>
      <c r="R6183" s="57">
        <v>1</v>
      </c>
      <c r="S6183" s="57">
        <v>0</v>
      </c>
      <c r="T6183" s="57">
        <v>0</v>
      </c>
      <c r="U6183" s="57">
        <v>0</v>
      </c>
      <c r="V6183" s="57">
        <v>0</v>
      </c>
      <c r="W6183" s="57">
        <v>0</v>
      </c>
      <c r="X6183" s="57">
        <v>2</v>
      </c>
    </row>
    <row r="6184" spans="1:24" hidden="1" x14ac:dyDescent="0.35">
      <c r="A6184">
        <v>6180</v>
      </c>
      <c r="B6184">
        <v>6181</v>
      </c>
      <c r="C6184">
        <v>146.08198788499899</v>
      </c>
      <c r="D6184">
        <v>-17.631256424699899</v>
      </c>
      <c r="F6184" t="str">
        <f>HYPERLINK("D:\Data From Lucan\2024\Moresby\Frames_for_Analysis/6181_20240611_0004_R_0624.jpg","6181_20240611_0004_R_0624.jpg")</f>
        <v>6181_20240611_0004_R_0624.jpg</v>
      </c>
      <c r="G6184" s="92" t="s">
        <v>6381</v>
      </c>
      <c r="I6184">
        <v>3</v>
      </c>
      <c r="K6184" s="57">
        <v>0</v>
      </c>
      <c r="L6184" t="s">
        <v>3959</v>
      </c>
      <c r="M6184" t="s">
        <v>3959</v>
      </c>
      <c r="N6184" t="s">
        <v>3959</v>
      </c>
      <c r="O6184" t="s">
        <v>3959</v>
      </c>
      <c r="P6184" s="57">
        <v>2</v>
      </c>
      <c r="Q6184" s="57">
        <v>0</v>
      </c>
      <c r="R6184" s="57">
        <v>0</v>
      </c>
      <c r="S6184" s="57">
        <v>0</v>
      </c>
      <c r="T6184" s="57">
        <v>0</v>
      </c>
      <c r="U6184" s="57">
        <v>0</v>
      </c>
      <c r="V6184" s="57">
        <v>0</v>
      </c>
      <c r="W6184" s="57">
        <v>0</v>
      </c>
      <c r="X6184" s="57">
        <v>1</v>
      </c>
    </row>
    <row r="6185" spans="1:24" hidden="1" x14ac:dyDescent="0.35">
      <c r="A6185">
        <v>6181</v>
      </c>
      <c r="B6185">
        <v>6182</v>
      </c>
      <c r="C6185">
        <v>146.082005205999</v>
      </c>
      <c r="D6185">
        <v>-17.631172424300001</v>
      </c>
      <c r="F6185" t="str">
        <f>HYPERLINK("D:\Data From Lucan\2024\Moresby\Frames_for_Analysis/6182_20240611_0004_R_0622.jpg","6182_20240611_0004_R_0622.jpg")</f>
        <v>6182_20240611_0004_R_0622.jpg</v>
      </c>
      <c r="G6185" s="92" t="s">
        <v>6382</v>
      </c>
      <c r="I6185">
        <v>3</v>
      </c>
      <c r="K6185" s="57">
        <v>0</v>
      </c>
      <c r="L6185" t="s">
        <v>3959</v>
      </c>
      <c r="M6185" t="s">
        <v>3959</v>
      </c>
      <c r="N6185" t="s">
        <v>3959</v>
      </c>
      <c r="O6185" t="s">
        <v>3959</v>
      </c>
      <c r="P6185" s="57">
        <v>2</v>
      </c>
      <c r="Q6185" s="57">
        <v>1</v>
      </c>
      <c r="R6185" s="57">
        <v>0</v>
      </c>
      <c r="S6185" s="57">
        <v>0</v>
      </c>
      <c r="T6185" s="57">
        <v>0</v>
      </c>
      <c r="U6185" s="57">
        <v>0</v>
      </c>
      <c r="V6185" s="57">
        <v>0</v>
      </c>
      <c r="W6185" s="57">
        <v>0</v>
      </c>
      <c r="X6185" s="57">
        <v>1</v>
      </c>
    </row>
    <row r="6186" spans="1:24" hidden="1" x14ac:dyDescent="0.35">
      <c r="A6186">
        <v>6182</v>
      </c>
      <c r="B6186">
        <v>6183</v>
      </c>
      <c r="C6186">
        <v>146.082027358999</v>
      </c>
      <c r="D6186">
        <v>-17.631089816700001</v>
      </c>
      <c r="F6186" t="str">
        <f>HYPERLINK("D:\Data From Lucan\2024\Moresby\Frames_for_Analysis/6183_20240611_0004_R_0619.jpg","6183_20240611_0004_R_0619.jpg")</f>
        <v>6183_20240611_0004_R_0619.jpg</v>
      </c>
      <c r="G6186" s="92" t="s">
        <v>6383</v>
      </c>
      <c r="I6186">
        <v>3</v>
      </c>
      <c r="K6186" s="57">
        <v>1</v>
      </c>
      <c r="L6186" t="s">
        <v>3959</v>
      </c>
      <c r="M6186" t="s">
        <v>3959</v>
      </c>
      <c r="N6186" t="s">
        <v>3959</v>
      </c>
      <c r="O6186" t="s">
        <v>3959</v>
      </c>
      <c r="P6186" s="57">
        <v>2</v>
      </c>
      <c r="Q6186" s="57">
        <v>1</v>
      </c>
      <c r="R6186" s="57">
        <v>0</v>
      </c>
      <c r="S6186" s="57">
        <v>0</v>
      </c>
      <c r="T6186" s="57">
        <v>0</v>
      </c>
      <c r="U6186" s="57">
        <v>0</v>
      </c>
      <c r="V6186" s="57">
        <v>0</v>
      </c>
      <c r="W6186" s="57">
        <v>0</v>
      </c>
      <c r="X6186" s="57">
        <v>1</v>
      </c>
    </row>
    <row r="6187" spans="1:24" hidden="1" x14ac:dyDescent="0.35">
      <c r="A6187">
        <v>6183</v>
      </c>
      <c r="B6187">
        <v>6184</v>
      </c>
      <c r="C6187">
        <v>146.082048557999</v>
      </c>
      <c r="D6187">
        <v>-17.631006694300002</v>
      </c>
      <c r="F6187" t="str">
        <f>HYPERLINK("D:\Data From Lucan\2024\Moresby\Frames_for_Analysis/6184_20240611_0004_R_0616.jpg","6184_20240611_0004_R_0616.jpg")</f>
        <v>6184_20240611_0004_R_0616.jpg</v>
      </c>
      <c r="G6187" s="92" t="s">
        <v>6384</v>
      </c>
      <c r="I6187">
        <v>3</v>
      </c>
      <c r="K6187" s="57">
        <v>0</v>
      </c>
      <c r="L6187" t="s">
        <v>3959</v>
      </c>
      <c r="M6187" t="s">
        <v>3959</v>
      </c>
      <c r="N6187" t="s">
        <v>3959</v>
      </c>
      <c r="O6187" t="s">
        <v>3959</v>
      </c>
      <c r="P6187" s="57">
        <v>1</v>
      </c>
      <c r="Q6187" s="57">
        <v>0</v>
      </c>
      <c r="R6187" s="57">
        <v>0</v>
      </c>
      <c r="S6187" s="57">
        <v>0</v>
      </c>
      <c r="T6187" s="57">
        <v>0</v>
      </c>
      <c r="U6187" s="57">
        <v>0</v>
      </c>
      <c r="V6187" s="57">
        <v>0</v>
      </c>
      <c r="W6187" s="57">
        <v>0</v>
      </c>
      <c r="X6187" s="57">
        <v>0</v>
      </c>
    </row>
    <row r="6188" spans="1:24" hidden="1" x14ac:dyDescent="0.35">
      <c r="A6188">
        <v>6184</v>
      </c>
      <c r="B6188">
        <v>6185</v>
      </c>
      <c r="C6188">
        <v>146.08206882100001</v>
      </c>
      <c r="D6188">
        <v>-17.6309232889</v>
      </c>
      <c r="F6188" t="str">
        <f>HYPERLINK("D:\Data From Lucan\2024\Moresby\Frames_for_Analysis/6185_20240611_0004_R_0614.jpg","6185_20240611_0004_R_0614.jpg")</f>
        <v>6185_20240611_0004_R_0614.jpg</v>
      </c>
      <c r="G6188" s="92" t="s">
        <v>6385</v>
      </c>
      <c r="I6188">
        <v>3</v>
      </c>
      <c r="K6188" s="57">
        <v>0</v>
      </c>
      <c r="L6188" t="s">
        <v>3959</v>
      </c>
      <c r="M6188" t="s">
        <v>3959</v>
      </c>
      <c r="N6188" t="s">
        <v>3959</v>
      </c>
      <c r="O6188" t="s">
        <v>3959</v>
      </c>
      <c r="P6188" s="57">
        <v>1</v>
      </c>
      <c r="Q6188" s="57">
        <v>0</v>
      </c>
      <c r="R6188" s="57">
        <v>0</v>
      </c>
      <c r="S6188" s="57">
        <v>0</v>
      </c>
      <c r="T6188" s="57">
        <v>0</v>
      </c>
      <c r="U6188" s="57">
        <v>0</v>
      </c>
      <c r="V6188" s="57">
        <v>0</v>
      </c>
      <c r="W6188" s="57">
        <v>0</v>
      </c>
      <c r="X6188" s="57">
        <v>0</v>
      </c>
    </row>
    <row r="6189" spans="1:24" hidden="1" x14ac:dyDescent="0.35">
      <c r="A6189">
        <v>6185</v>
      </c>
      <c r="B6189">
        <v>6186</v>
      </c>
      <c r="C6189">
        <v>146.082093426</v>
      </c>
      <c r="D6189">
        <v>-17.630841184400001</v>
      </c>
      <c r="F6189" t="str">
        <f>HYPERLINK("D:\Data From Lucan\2024\Moresby\Frames_for_Analysis/6186_20240611_0004_R_0611.jpg","6186_20240611_0004_R_0611.jpg")</f>
        <v>6186_20240611_0004_R_0611.jpg</v>
      </c>
      <c r="G6189" s="92" t="s">
        <v>6386</v>
      </c>
      <c r="I6189">
        <v>3</v>
      </c>
      <c r="K6189" s="57">
        <v>0</v>
      </c>
      <c r="L6189" t="s">
        <v>3959</v>
      </c>
      <c r="M6189" t="s">
        <v>3959</v>
      </c>
      <c r="N6189" t="s">
        <v>3959</v>
      </c>
      <c r="O6189" t="s">
        <v>3959</v>
      </c>
      <c r="P6189" s="57">
        <v>1</v>
      </c>
      <c r="Q6189" s="57">
        <v>0</v>
      </c>
      <c r="R6189" s="57">
        <v>0</v>
      </c>
      <c r="S6189" s="57">
        <v>0</v>
      </c>
      <c r="T6189" s="57">
        <v>0</v>
      </c>
      <c r="U6189" s="57">
        <v>0</v>
      </c>
      <c r="V6189" s="57">
        <v>0</v>
      </c>
      <c r="W6189" s="57">
        <v>0</v>
      </c>
      <c r="X6189" s="57">
        <v>0</v>
      </c>
    </row>
    <row r="6190" spans="1:24" hidden="1" x14ac:dyDescent="0.35">
      <c r="A6190">
        <v>6186</v>
      </c>
      <c r="B6190">
        <v>6187</v>
      </c>
      <c r="C6190">
        <v>146.08212689499899</v>
      </c>
      <c r="D6190">
        <v>-17.630761736299899</v>
      </c>
      <c r="F6190" t="str">
        <f>HYPERLINK("D:\Data From Lucan\2024\Moresby\Frames_for_Analysis/6187_20240611_0004_R_0608.jpg","6187_20240611_0004_R_0608.jpg")</f>
        <v>6187_20240611_0004_R_0608.jpg</v>
      </c>
      <c r="G6190" s="92" t="s">
        <v>6387</v>
      </c>
      <c r="I6190">
        <v>3</v>
      </c>
      <c r="K6190" s="57">
        <v>0</v>
      </c>
      <c r="L6190" t="s">
        <v>3959</v>
      </c>
      <c r="M6190" t="s">
        <v>3959</v>
      </c>
      <c r="N6190" t="s">
        <v>3959</v>
      </c>
      <c r="O6190" t="s">
        <v>3959</v>
      </c>
      <c r="P6190" s="57">
        <v>1</v>
      </c>
      <c r="Q6190" s="57">
        <v>0</v>
      </c>
      <c r="R6190" s="57">
        <v>0</v>
      </c>
      <c r="S6190" s="57">
        <v>0</v>
      </c>
      <c r="T6190" s="57">
        <v>0</v>
      </c>
      <c r="U6190" s="57">
        <v>0</v>
      </c>
      <c r="V6190" s="57">
        <v>0</v>
      </c>
      <c r="W6190" s="57">
        <v>0</v>
      </c>
      <c r="X6190" s="57">
        <v>0</v>
      </c>
    </row>
    <row r="6191" spans="1:24" hidden="1" x14ac:dyDescent="0.35">
      <c r="A6191">
        <v>6187</v>
      </c>
      <c r="B6191">
        <v>6188</v>
      </c>
      <c r="C6191">
        <v>146.082160364</v>
      </c>
      <c r="D6191">
        <v>-17.6306822881999</v>
      </c>
      <c r="F6191" t="str">
        <f>HYPERLINK("D:\Data From Lucan\2024\Moresby\Frames_for_Analysis/6188_20240611_0004_R_0605.jpg","6188_20240611_0004_R_0605.jpg")</f>
        <v>6188_20240611_0004_R_0605.jpg</v>
      </c>
      <c r="G6191" s="92" t="s">
        <v>6388</v>
      </c>
      <c r="I6191">
        <v>3</v>
      </c>
      <c r="K6191" s="57">
        <v>0</v>
      </c>
      <c r="L6191" t="s">
        <v>3959</v>
      </c>
      <c r="M6191" t="s">
        <v>3959</v>
      </c>
      <c r="N6191" t="s">
        <v>3959</v>
      </c>
      <c r="O6191" t="s">
        <v>3959</v>
      </c>
      <c r="P6191" s="57">
        <v>1</v>
      </c>
      <c r="Q6191" s="57">
        <v>0</v>
      </c>
      <c r="R6191" s="57">
        <v>0</v>
      </c>
      <c r="S6191" s="57">
        <v>0</v>
      </c>
      <c r="T6191" s="57">
        <v>0</v>
      </c>
      <c r="U6191" s="57">
        <v>0</v>
      </c>
      <c r="V6191" s="57">
        <v>0</v>
      </c>
      <c r="W6191" s="57">
        <v>0</v>
      </c>
      <c r="X6191" s="57">
        <v>0</v>
      </c>
    </row>
    <row r="6192" spans="1:24" hidden="1" x14ac:dyDescent="0.35">
      <c r="A6192">
        <v>6188</v>
      </c>
      <c r="B6192">
        <v>6189</v>
      </c>
      <c r="C6192">
        <v>146.082193832999</v>
      </c>
      <c r="D6192">
        <v>-17.630602840000002</v>
      </c>
      <c r="F6192" t="str">
        <f>HYPERLINK("D:\Data From Lucan\2024\Moresby\Frames_for_Analysis/6189_20240611_0004_R_0602.jpg","6189_20240611_0004_R_0602.jpg")</f>
        <v>6189_20240611_0004_R_0602.jpg</v>
      </c>
      <c r="G6192" s="92" t="s">
        <v>6389</v>
      </c>
      <c r="I6192">
        <v>3</v>
      </c>
      <c r="K6192" s="57">
        <v>0</v>
      </c>
      <c r="L6192" t="s">
        <v>3959</v>
      </c>
      <c r="M6192" t="s">
        <v>3959</v>
      </c>
      <c r="N6192" t="s">
        <v>3959</v>
      </c>
      <c r="O6192" t="s">
        <v>3959</v>
      </c>
      <c r="P6192" s="57">
        <v>1</v>
      </c>
      <c r="Q6192" s="57">
        <v>0</v>
      </c>
      <c r="R6192" s="57">
        <v>0</v>
      </c>
      <c r="S6192" s="57">
        <v>0</v>
      </c>
      <c r="T6192" s="57">
        <v>0</v>
      </c>
      <c r="U6192" s="57">
        <v>0</v>
      </c>
      <c r="V6192" s="57">
        <v>0</v>
      </c>
      <c r="W6192" s="57">
        <v>0</v>
      </c>
      <c r="X6192" s="57">
        <v>0</v>
      </c>
    </row>
    <row r="6193" spans="1:24" hidden="1" x14ac:dyDescent="0.35">
      <c r="A6193">
        <v>6189</v>
      </c>
      <c r="B6193">
        <v>6190</v>
      </c>
      <c r="C6193">
        <v>146.08222730200001</v>
      </c>
      <c r="D6193">
        <v>-17.630523391899899</v>
      </c>
      <c r="F6193" t="str">
        <f>HYPERLINK("D:\Data From Lucan\2024\Moresby\Frames_for_Analysis/6190_20240611_0004_R_0599.jpg","6190_20240611_0004_R_0599.jpg")</f>
        <v>6190_20240611_0004_R_0599.jpg</v>
      </c>
      <c r="G6193" s="92" t="s">
        <v>6390</v>
      </c>
      <c r="I6193">
        <v>3</v>
      </c>
      <c r="K6193" s="57">
        <v>1</v>
      </c>
      <c r="L6193" t="s">
        <v>3959</v>
      </c>
      <c r="M6193" t="s">
        <v>3959</v>
      </c>
      <c r="N6193" t="s">
        <v>3959</v>
      </c>
      <c r="O6193" t="s">
        <v>3959</v>
      </c>
      <c r="P6193" s="57">
        <v>1</v>
      </c>
      <c r="Q6193" s="57">
        <v>0</v>
      </c>
      <c r="R6193" s="57">
        <v>0</v>
      </c>
      <c r="S6193" s="57">
        <v>0</v>
      </c>
      <c r="T6193" s="57">
        <v>0</v>
      </c>
      <c r="U6193" s="57">
        <v>0</v>
      </c>
      <c r="V6193" s="57">
        <v>0</v>
      </c>
      <c r="W6193" s="57">
        <v>0</v>
      </c>
      <c r="X6193" s="57">
        <v>0</v>
      </c>
    </row>
    <row r="6194" spans="1:24" hidden="1" x14ac:dyDescent="0.35">
      <c r="A6194">
        <v>6190</v>
      </c>
      <c r="B6194">
        <v>6191</v>
      </c>
      <c r="C6194">
        <v>146.08226077</v>
      </c>
      <c r="D6194">
        <v>-17.6304439436</v>
      </c>
      <c r="F6194" t="str">
        <f>HYPERLINK("D:\Data From Lucan\2024\Moresby\Frames_for_Analysis/6191_20240611_0004_R_0596.jpg","6191_20240611_0004_R_0596.jpg")</f>
        <v>6191_20240611_0004_R_0596.jpg</v>
      </c>
      <c r="G6194" s="92" t="s">
        <v>6391</v>
      </c>
      <c r="I6194">
        <v>3</v>
      </c>
      <c r="K6194" s="57">
        <v>0</v>
      </c>
      <c r="L6194" t="s">
        <v>3959</v>
      </c>
      <c r="M6194" t="s">
        <v>3959</v>
      </c>
      <c r="N6194" t="s">
        <v>3959</v>
      </c>
      <c r="O6194" t="s">
        <v>3959</v>
      </c>
      <c r="P6194" s="57">
        <v>1</v>
      </c>
      <c r="Q6194" s="57">
        <v>0</v>
      </c>
      <c r="R6194" s="57">
        <v>0</v>
      </c>
      <c r="S6194" s="57">
        <v>0</v>
      </c>
      <c r="T6194" s="57">
        <v>0</v>
      </c>
      <c r="U6194" s="57">
        <v>0</v>
      </c>
      <c r="V6194" s="57">
        <v>0</v>
      </c>
      <c r="W6194" s="57">
        <v>0</v>
      </c>
      <c r="X6194" s="57">
        <v>0</v>
      </c>
    </row>
    <row r="6195" spans="1:24" hidden="1" x14ac:dyDescent="0.35">
      <c r="A6195">
        <v>6191</v>
      </c>
      <c r="B6195">
        <v>6192</v>
      </c>
      <c r="C6195">
        <v>146.082294238999</v>
      </c>
      <c r="D6195">
        <v>-17.6303644953</v>
      </c>
      <c r="F6195" t="str">
        <f>HYPERLINK("D:\Data From Lucan\2024\Moresby\Frames_for_Analysis/6192_20240611_0004_R_0593.jpg","6192_20240611_0004_R_0593.jpg")</f>
        <v>6192_20240611_0004_R_0593.jpg</v>
      </c>
      <c r="G6195" s="92" t="s">
        <v>6392</v>
      </c>
      <c r="I6195">
        <v>3</v>
      </c>
      <c r="K6195" s="57">
        <v>1</v>
      </c>
      <c r="L6195" t="s">
        <v>3959</v>
      </c>
      <c r="M6195" t="s">
        <v>3959</v>
      </c>
      <c r="N6195" t="s">
        <v>3959</v>
      </c>
      <c r="O6195" t="s">
        <v>3959</v>
      </c>
      <c r="P6195" s="57">
        <v>1</v>
      </c>
      <c r="Q6195" s="57">
        <v>0</v>
      </c>
      <c r="R6195" s="57">
        <v>0</v>
      </c>
      <c r="S6195" s="57">
        <v>0</v>
      </c>
      <c r="T6195" s="57">
        <v>0</v>
      </c>
      <c r="U6195" s="57">
        <v>0</v>
      </c>
      <c r="V6195" s="57">
        <v>0</v>
      </c>
      <c r="W6195" s="57">
        <v>0</v>
      </c>
      <c r="X6195" s="57">
        <v>0</v>
      </c>
    </row>
    <row r="6196" spans="1:24" hidden="1" x14ac:dyDescent="0.35">
      <c r="A6196">
        <v>6192</v>
      </c>
      <c r="B6196">
        <v>6193</v>
      </c>
      <c r="C6196">
        <v>146.08232770800001</v>
      </c>
      <c r="D6196">
        <v>-17.6302850468999</v>
      </c>
      <c r="F6196" t="str">
        <f>HYPERLINK("D:\Data From Lucan\2024\Moresby\Frames_for_Analysis/6193_20240611_0004_R_0591.jpg","6193_20240611_0004_R_0591.jpg")</f>
        <v>6193_20240611_0004_R_0591.jpg</v>
      </c>
      <c r="G6196" s="92" t="s">
        <v>6393</v>
      </c>
      <c r="I6196">
        <v>3</v>
      </c>
      <c r="K6196" s="57">
        <v>1</v>
      </c>
      <c r="L6196" t="s">
        <v>3959</v>
      </c>
      <c r="M6196" t="s">
        <v>3959</v>
      </c>
      <c r="N6196" t="s">
        <v>3959</v>
      </c>
      <c r="O6196" t="s">
        <v>3959</v>
      </c>
      <c r="P6196" s="57">
        <v>1</v>
      </c>
      <c r="Q6196" s="57">
        <v>0</v>
      </c>
      <c r="R6196" s="57">
        <v>0</v>
      </c>
      <c r="S6196" s="57">
        <v>0</v>
      </c>
      <c r="T6196" s="57">
        <v>0</v>
      </c>
      <c r="U6196" s="57">
        <v>0</v>
      </c>
      <c r="V6196" s="57">
        <v>0</v>
      </c>
      <c r="W6196" s="57">
        <v>0</v>
      </c>
      <c r="X6196" s="57">
        <v>0</v>
      </c>
    </row>
    <row r="6197" spans="1:24" hidden="1" x14ac:dyDescent="0.35">
      <c r="A6197">
        <v>6193</v>
      </c>
      <c r="B6197">
        <v>6194</v>
      </c>
      <c r="C6197">
        <v>146.082361176999</v>
      </c>
      <c r="D6197">
        <v>-17.6302055984</v>
      </c>
      <c r="F6197" t="str">
        <f>HYPERLINK("D:\Data From Lucan\2024\Moresby\Frames_for_Analysis/6194_20240611_0004_R_0588.jpg","6194_20240611_0004_R_0588.jpg")</f>
        <v>6194_20240611_0004_R_0588.jpg</v>
      </c>
      <c r="G6197" s="92" t="s">
        <v>6394</v>
      </c>
      <c r="I6197">
        <v>3</v>
      </c>
      <c r="K6197" s="57">
        <v>0</v>
      </c>
      <c r="L6197" t="s">
        <v>3959</v>
      </c>
      <c r="M6197" t="s">
        <v>3959</v>
      </c>
      <c r="N6197" t="s">
        <v>3959</v>
      </c>
      <c r="O6197" t="s">
        <v>3959</v>
      </c>
      <c r="P6197" s="57">
        <v>1</v>
      </c>
      <c r="Q6197" s="57">
        <v>0</v>
      </c>
      <c r="R6197" s="57">
        <v>0</v>
      </c>
      <c r="S6197" s="57">
        <v>0</v>
      </c>
      <c r="T6197" s="57">
        <v>0</v>
      </c>
      <c r="U6197" s="57">
        <v>0</v>
      </c>
      <c r="V6197" s="57">
        <v>0</v>
      </c>
      <c r="W6197" s="57">
        <v>0</v>
      </c>
      <c r="X6197" s="57">
        <v>0</v>
      </c>
    </row>
    <row r="6198" spans="1:24" hidden="1" x14ac:dyDescent="0.35">
      <c r="A6198">
        <v>6194</v>
      </c>
      <c r="B6198">
        <v>6195</v>
      </c>
      <c r="C6198">
        <v>146.082394644999</v>
      </c>
      <c r="D6198">
        <v>-17.630126149999899</v>
      </c>
      <c r="F6198" t="str">
        <f>HYPERLINK("D:\Data From Lucan\2024\Moresby\Frames_for_Analysis/6195_20240611_0004_R_0586.jpg","6195_20240611_0004_R_0586.jpg")</f>
        <v>6195_20240611_0004_R_0586.jpg</v>
      </c>
      <c r="G6198" s="92" t="s">
        <v>6395</v>
      </c>
      <c r="I6198">
        <v>3</v>
      </c>
      <c r="K6198" s="57">
        <v>0</v>
      </c>
      <c r="L6198" t="s">
        <v>3959</v>
      </c>
      <c r="M6198" t="s">
        <v>3959</v>
      </c>
      <c r="N6198" t="s">
        <v>3959</v>
      </c>
      <c r="O6198" t="s">
        <v>3959</v>
      </c>
      <c r="P6198" s="57">
        <v>1</v>
      </c>
      <c r="Q6198" s="57">
        <v>0</v>
      </c>
      <c r="R6198" s="57">
        <v>0</v>
      </c>
      <c r="S6198" s="57">
        <v>0</v>
      </c>
      <c r="T6198" s="57">
        <v>0</v>
      </c>
      <c r="U6198" s="57">
        <v>0</v>
      </c>
      <c r="V6198" s="57">
        <v>0</v>
      </c>
      <c r="W6198" s="57">
        <v>0</v>
      </c>
      <c r="X6198" s="57">
        <v>0</v>
      </c>
    </row>
    <row r="6199" spans="1:24" hidden="1" x14ac:dyDescent="0.35">
      <c r="A6199">
        <v>6195</v>
      </c>
      <c r="B6199">
        <v>6196</v>
      </c>
      <c r="C6199">
        <v>146.082433172999</v>
      </c>
      <c r="D6199">
        <v>-17.630048936000001</v>
      </c>
      <c r="F6199" t="str">
        <f>HYPERLINK("D:\Data From Lucan\2024\Moresby\Frames_for_Analysis/6196_20240611_0004_R_0584.jpg","6196_20240611_0004_R_0584.jpg")</f>
        <v>6196_20240611_0004_R_0584.jpg</v>
      </c>
      <c r="G6199" s="92" t="s">
        <v>6396</v>
      </c>
      <c r="I6199">
        <v>3</v>
      </c>
      <c r="K6199" s="57">
        <v>0</v>
      </c>
      <c r="L6199" t="s">
        <v>3959</v>
      </c>
      <c r="M6199" t="s">
        <v>3959</v>
      </c>
      <c r="N6199" t="s">
        <v>3959</v>
      </c>
      <c r="O6199" t="s">
        <v>3959</v>
      </c>
      <c r="P6199" s="57">
        <v>1</v>
      </c>
      <c r="Q6199" s="57">
        <v>0</v>
      </c>
      <c r="R6199" s="57">
        <v>0</v>
      </c>
      <c r="S6199" s="57">
        <v>0</v>
      </c>
      <c r="T6199" s="57">
        <v>0</v>
      </c>
      <c r="U6199" s="57">
        <v>0</v>
      </c>
      <c r="V6199" s="57">
        <v>0</v>
      </c>
      <c r="W6199" s="57">
        <v>0</v>
      </c>
      <c r="X6199" s="57">
        <v>0</v>
      </c>
    </row>
    <row r="6200" spans="1:24" hidden="1" x14ac:dyDescent="0.35">
      <c r="A6200">
        <v>6196</v>
      </c>
      <c r="B6200">
        <v>6197</v>
      </c>
      <c r="C6200">
        <v>146.082475141</v>
      </c>
      <c r="D6200">
        <v>-17.629973240999899</v>
      </c>
      <c r="F6200" t="str">
        <f>HYPERLINK("D:\Data From Lucan\2024\Moresby\Frames_for_Analysis/6197_20240611_0004_R_0581.jpg","6197_20240611_0004_R_0581.jpg")</f>
        <v>6197_20240611_0004_R_0581.jpg</v>
      </c>
      <c r="G6200" s="92" t="s">
        <v>6397</v>
      </c>
      <c r="I6200">
        <v>3</v>
      </c>
      <c r="K6200" s="57">
        <v>0</v>
      </c>
      <c r="L6200" t="s">
        <v>3959</v>
      </c>
      <c r="M6200" t="s">
        <v>3959</v>
      </c>
      <c r="N6200" t="s">
        <v>3959</v>
      </c>
      <c r="O6200" t="s">
        <v>3959</v>
      </c>
      <c r="P6200" s="57">
        <v>1</v>
      </c>
      <c r="Q6200" s="57">
        <v>0</v>
      </c>
      <c r="R6200" s="57">
        <v>0</v>
      </c>
      <c r="S6200" s="57">
        <v>0</v>
      </c>
      <c r="T6200" s="57">
        <v>0</v>
      </c>
      <c r="U6200" s="57">
        <v>0</v>
      </c>
      <c r="V6200" s="57">
        <v>0</v>
      </c>
      <c r="W6200" s="57">
        <v>0</v>
      </c>
      <c r="X6200" s="57">
        <v>0</v>
      </c>
    </row>
    <row r="6201" spans="1:24" hidden="1" x14ac:dyDescent="0.35">
      <c r="A6201">
        <v>6197</v>
      </c>
      <c r="B6201">
        <v>6198</v>
      </c>
      <c r="C6201">
        <v>146.08251710900001</v>
      </c>
      <c r="D6201">
        <v>-17.629897545999899</v>
      </c>
      <c r="F6201" t="str">
        <f>HYPERLINK("D:\Data From Lucan\2024\Moresby\Frames_for_Analysis/6198_20240611_0004_R_0579.jpg","6198_20240611_0004_R_0579.jpg")</f>
        <v>6198_20240611_0004_R_0579.jpg</v>
      </c>
      <c r="G6201" s="92" t="s">
        <v>6398</v>
      </c>
      <c r="I6201">
        <v>3</v>
      </c>
      <c r="K6201" s="57">
        <v>0</v>
      </c>
      <c r="L6201" t="s">
        <v>3959</v>
      </c>
      <c r="M6201" t="s">
        <v>3959</v>
      </c>
      <c r="N6201" t="s">
        <v>3959</v>
      </c>
      <c r="O6201" t="s">
        <v>3959</v>
      </c>
      <c r="P6201" s="57">
        <v>1</v>
      </c>
      <c r="Q6201" s="57">
        <v>0</v>
      </c>
      <c r="R6201" s="57">
        <v>0</v>
      </c>
      <c r="S6201" s="57">
        <v>0</v>
      </c>
      <c r="T6201" s="57">
        <v>0</v>
      </c>
      <c r="U6201" s="57">
        <v>0</v>
      </c>
      <c r="V6201" s="57">
        <v>0</v>
      </c>
      <c r="W6201" s="57">
        <v>0</v>
      </c>
      <c r="X6201" s="57">
        <v>0</v>
      </c>
    </row>
    <row r="6202" spans="1:24" hidden="1" x14ac:dyDescent="0.35">
      <c r="A6202">
        <v>6198</v>
      </c>
      <c r="B6202">
        <v>6199</v>
      </c>
      <c r="C6202">
        <v>146.08255907700001</v>
      </c>
      <c r="D6202">
        <v>-17.6298218509999</v>
      </c>
      <c r="F6202" t="str">
        <f>HYPERLINK("D:\Data From Lucan\2024\Moresby\Frames_for_Analysis/6199_20240611_0004_R_0576.jpg","6199_20240611_0004_R_0576.jpg")</f>
        <v>6199_20240611_0004_R_0576.jpg</v>
      </c>
      <c r="G6202" s="92" t="s">
        <v>6399</v>
      </c>
      <c r="I6202">
        <v>3</v>
      </c>
      <c r="K6202" s="57">
        <v>0</v>
      </c>
      <c r="L6202" t="s">
        <v>3959</v>
      </c>
      <c r="M6202" t="s">
        <v>3959</v>
      </c>
      <c r="N6202" t="s">
        <v>3959</v>
      </c>
      <c r="O6202" t="s">
        <v>3959</v>
      </c>
      <c r="P6202" s="57">
        <v>1</v>
      </c>
      <c r="Q6202" s="57">
        <v>0</v>
      </c>
      <c r="R6202" s="57">
        <v>0</v>
      </c>
      <c r="S6202" s="57">
        <v>0</v>
      </c>
      <c r="T6202" s="57">
        <v>0</v>
      </c>
      <c r="U6202" s="57">
        <v>0</v>
      </c>
      <c r="V6202" s="57">
        <v>0</v>
      </c>
      <c r="W6202" s="57">
        <v>0</v>
      </c>
      <c r="X6202" s="57">
        <v>0</v>
      </c>
    </row>
    <row r="6203" spans="1:24" hidden="1" x14ac:dyDescent="0.35">
      <c r="A6203">
        <v>6199</v>
      </c>
      <c r="B6203">
        <v>6200</v>
      </c>
      <c r="C6203">
        <v>146.082601044999</v>
      </c>
      <c r="D6203">
        <v>-17.629746155900001</v>
      </c>
      <c r="F6203" t="str">
        <f>HYPERLINK("D:\Data From Lucan\2024\Moresby\Frames_for_Analysis/6200_20240611_0004_R_0573.jpg","6200_20240611_0004_R_0573.jpg")</f>
        <v>6200_20240611_0004_R_0573.jpg</v>
      </c>
      <c r="G6203" s="92" t="s">
        <v>6400</v>
      </c>
      <c r="I6203">
        <v>3</v>
      </c>
      <c r="K6203" s="57">
        <v>0</v>
      </c>
      <c r="L6203" t="s">
        <v>3959</v>
      </c>
      <c r="M6203" t="s">
        <v>3959</v>
      </c>
      <c r="N6203" t="s">
        <v>3959</v>
      </c>
      <c r="O6203" t="s">
        <v>3959</v>
      </c>
      <c r="P6203" s="57">
        <v>1</v>
      </c>
      <c r="Q6203" s="57">
        <v>0</v>
      </c>
      <c r="R6203" s="57">
        <v>0</v>
      </c>
      <c r="S6203" s="57">
        <v>0</v>
      </c>
      <c r="T6203" s="57">
        <v>0</v>
      </c>
      <c r="U6203" s="57">
        <v>0</v>
      </c>
      <c r="V6203" s="57">
        <v>0</v>
      </c>
      <c r="W6203" s="57">
        <v>0</v>
      </c>
      <c r="X6203" s="57">
        <v>0</v>
      </c>
    </row>
    <row r="6204" spans="1:24" hidden="1" x14ac:dyDescent="0.35">
      <c r="A6204">
        <v>6200</v>
      </c>
      <c r="B6204">
        <v>6201</v>
      </c>
      <c r="C6204">
        <v>146.082643012999</v>
      </c>
      <c r="D6204">
        <v>-17.629670460900002</v>
      </c>
      <c r="F6204" t="str">
        <f>HYPERLINK("D:\Data From Lucan\2024\Moresby\Frames_for_Analysis/6201_20240611_0004_R_0571.jpg","6201_20240611_0004_R_0571.jpg")</f>
        <v>6201_20240611_0004_R_0571.jpg</v>
      </c>
      <c r="G6204" s="92" t="s">
        <v>6401</v>
      </c>
      <c r="I6204">
        <v>3</v>
      </c>
      <c r="K6204" s="57">
        <v>0</v>
      </c>
      <c r="L6204" t="s">
        <v>3959</v>
      </c>
      <c r="M6204" t="s">
        <v>3959</v>
      </c>
      <c r="N6204" t="s">
        <v>3959</v>
      </c>
      <c r="O6204" t="s">
        <v>3959</v>
      </c>
      <c r="P6204" s="57">
        <v>1</v>
      </c>
      <c r="Q6204" s="57">
        <v>0</v>
      </c>
      <c r="R6204" s="57">
        <v>0</v>
      </c>
      <c r="S6204" s="57">
        <v>0</v>
      </c>
      <c r="T6204" s="57">
        <v>0</v>
      </c>
      <c r="U6204" s="57">
        <v>0</v>
      </c>
      <c r="V6204" s="57">
        <v>0</v>
      </c>
      <c r="W6204" s="57">
        <v>0</v>
      </c>
      <c r="X6204" s="57">
        <v>0</v>
      </c>
    </row>
    <row r="6205" spans="1:24" hidden="1" x14ac:dyDescent="0.35">
      <c r="A6205">
        <v>6201</v>
      </c>
      <c r="B6205">
        <v>6202</v>
      </c>
      <c r="C6205">
        <v>146.082684981</v>
      </c>
      <c r="D6205">
        <v>-17.6295947658</v>
      </c>
      <c r="F6205" t="str">
        <f>HYPERLINK("D:\Data From Lucan\2024\Moresby\Frames_for_Analysis/6202_20240611_0004_R_0568.jpg","6202_20240611_0004_R_0568.jpg")</f>
        <v>6202_20240611_0004_R_0568.jpg</v>
      </c>
      <c r="G6205" s="92" t="s">
        <v>6402</v>
      </c>
      <c r="I6205">
        <v>3</v>
      </c>
      <c r="K6205" s="57">
        <v>1</v>
      </c>
      <c r="L6205" t="s">
        <v>3959</v>
      </c>
      <c r="M6205" t="s">
        <v>3959</v>
      </c>
      <c r="N6205" t="s">
        <v>3959</v>
      </c>
      <c r="O6205" t="s">
        <v>3959</v>
      </c>
      <c r="P6205" s="57">
        <v>1</v>
      </c>
      <c r="Q6205" s="57">
        <v>0</v>
      </c>
      <c r="R6205" s="57">
        <v>0</v>
      </c>
      <c r="S6205" s="57">
        <v>0</v>
      </c>
      <c r="T6205" s="57">
        <v>0</v>
      </c>
      <c r="U6205" s="57">
        <v>0</v>
      </c>
      <c r="V6205" s="57">
        <v>0</v>
      </c>
      <c r="W6205" s="57">
        <v>0</v>
      </c>
      <c r="X6205" s="57">
        <v>0</v>
      </c>
    </row>
    <row r="6206" spans="1:24" hidden="1" x14ac:dyDescent="0.35">
      <c r="A6206">
        <v>6202</v>
      </c>
      <c r="B6206">
        <v>6203</v>
      </c>
      <c r="C6206">
        <v>146.082726949</v>
      </c>
      <c r="D6206">
        <v>-17.629519070600001</v>
      </c>
      <c r="F6206" t="str">
        <f>HYPERLINK("D:\Data From Lucan\2024\Moresby\Frames_for_Analysis/6203_20240611_0004_R_0565.jpg","6203_20240611_0004_R_0565.jpg")</f>
        <v>6203_20240611_0004_R_0565.jpg</v>
      </c>
      <c r="G6206" s="92" t="s">
        <v>6403</v>
      </c>
      <c r="I6206">
        <v>3</v>
      </c>
      <c r="K6206" s="57">
        <v>1</v>
      </c>
      <c r="L6206" t="s">
        <v>3959</v>
      </c>
      <c r="M6206" t="s">
        <v>3959</v>
      </c>
      <c r="N6206" t="s">
        <v>3959</v>
      </c>
      <c r="O6206" t="s">
        <v>3959</v>
      </c>
      <c r="P6206" s="57">
        <v>1</v>
      </c>
      <c r="Q6206" s="57">
        <v>0</v>
      </c>
      <c r="R6206" s="57">
        <v>0</v>
      </c>
      <c r="S6206" s="57">
        <v>0</v>
      </c>
      <c r="T6206" s="57">
        <v>0</v>
      </c>
      <c r="U6206" s="57">
        <v>0</v>
      </c>
      <c r="V6206" s="57">
        <v>0</v>
      </c>
      <c r="W6206" s="57">
        <v>0</v>
      </c>
      <c r="X6206" s="57">
        <v>0</v>
      </c>
    </row>
    <row r="6207" spans="1:24" hidden="1" x14ac:dyDescent="0.35">
      <c r="A6207">
        <v>6203</v>
      </c>
      <c r="B6207">
        <v>6204</v>
      </c>
      <c r="C6207">
        <v>146.08276891700001</v>
      </c>
      <c r="D6207">
        <v>-17.629443375400001</v>
      </c>
      <c r="F6207" t="str">
        <f>HYPERLINK("D:\Data From Lucan\2024\Moresby\Frames_for_Analysis/6204_20240611_0004_R_0562.jpg","6204_20240611_0004_R_0562.jpg")</f>
        <v>6204_20240611_0004_R_0562.jpg</v>
      </c>
      <c r="G6207" s="92" t="s">
        <v>6404</v>
      </c>
      <c r="I6207">
        <v>3</v>
      </c>
      <c r="K6207" s="57">
        <v>1</v>
      </c>
      <c r="L6207" t="s">
        <v>3959</v>
      </c>
      <c r="M6207" t="s">
        <v>3959</v>
      </c>
      <c r="N6207" t="s">
        <v>3959</v>
      </c>
      <c r="O6207" t="s">
        <v>3959</v>
      </c>
      <c r="P6207" s="57">
        <v>1</v>
      </c>
      <c r="Q6207" s="57">
        <v>0</v>
      </c>
      <c r="R6207" s="57">
        <v>0</v>
      </c>
      <c r="S6207" s="57">
        <v>0</v>
      </c>
      <c r="T6207" s="57">
        <v>0</v>
      </c>
      <c r="U6207" s="57">
        <v>0</v>
      </c>
      <c r="V6207" s="57">
        <v>0</v>
      </c>
      <c r="W6207" s="57">
        <v>0</v>
      </c>
      <c r="X6207" s="57">
        <v>0</v>
      </c>
    </row>
    <row r="6208" spans="1:24" hidden="1" x14ac:dyDescent="0.35">
      <c r="A6208">
        <v>6204</v>
      </c>
      <c r="B6208">
        <v>6205</v>
      </c>
      <c r="C6208">
        <v>146.08281088499899</v>
      </c>
      <c r="D6208">
        <v>-17.629367680200001</v>
      </c>
      <c r="F6208" t="str">
        <f>HYPERLINK("D:\Data From Lucan\2024\Moresby\Frames_for_Analysis/6205_20240611_0004_R_0558.jpg","6205_20240611_0004_R_0558.jpg")</f>
        <v>6205_20240611_0004_R_0558.jpg</v>
      </c>
      <c r="G6208" s="92" t="s">
        <v>6405</v>
      </c>
      <c r="I6208">
        <v>3</v>
      </c>
      <c r="K6208" s="57">
        <v>0</v>
      </c>
      <c r="L6208" t="s">
        <v>3959</v>
      </c>
      <c r="M6208" t="s">
        <v>3959</v>
      </c>
      <c r="N6208" t="s">
        <v>3959</v>
      </c>
      <c r="O6208" t="s">
        <v>3959</v>
      </c>
      <c r="P6208" s="57">
        <v>1</v>
      </c>
      <c r="Q6208" s="57">
        <v>0</v>
      </c>
      <c r="R6208" s="57">
        <v>0</v>
      </c>
      <c r="S6208" s="57">
        <v>0</v>
      </c>
      <c r="T6208" s="57">
        <v>0</v>
      </c>
      <c r="U6208" s="57">
        <v>0</v>
      </c>
      <c r="V6208" s="57">
        <v>0</v>
      </c>
      <c r="W6208" s="57">
        <v>0</v>
      </c>
      <c r="X6208" s="57">
        <v>0</v>
      </c>
    </row>
    <row r="6209" spans="1:24" hidden="1" x14ac:dyDescent="0.35">
      <c r="A6209">
        <v>6205</v>
      </c>
      <c r="B6209">
        <v>6206</v>
      </c>
      <c r="C6209">
        <v>146.082852747</v>
      </c>
      <c r="D6209">
        <v>-17.629291931800001</v>
      </c>
      <c r="F6209" t="str">
        <f>HYPERLINK("D:\Data From Lucan\2024\Moresby\Frames_for_Analysis/6206_20240611_0004_R_0556.jpg","6206_20240611_0004_R_0556.jpg")</f>
        <v>6206_20240611_0004_R_0556.jpg</v>
      </c>
      <c r="G6209" s="92" t="s">
        <v>6406</v>
      </c>
      <c r="I6209">
        <v>3</v>
      </c>
      <c r="K6209" s="57">
        <v>1</v>
      </c>
      <c r="L6209" t="s">
        <v>3959</v>
      </c>
      <c r="M6209" t="s">
        <v>3959</v>
      </c>
      <c r="N6209" t="s">
        <v>3959</v>
      </c>
      <c r="O6209" t="s">
        <v>3959</v>
      </c>
      <c r="P6209" s="57">
        <v>1</v>
      </c>
      <c r="Q6209" s="57">
        <v>0</v>
      </c>
      <c r="R6209" s="57">
        <v>0</v>
      </c>
      <c r="S6209" s="57">
        <v>0</v>
      </c>
      <c r="T6209" s="57">
        <v>0</v>
      </c>
      <c r="U6209" s="57">
        <v>0</v>
      </c>
      <c r="V6209" s="57">
        <v>0</v>
      </c>
      <c r="W6209" s="57">
        <v>0</v>
      </c>
      <c r="X6209" s="57">
        <v>0</v>
      </c>
    </row>
    <row r="6210" spans="1:24" hidden="1" x14ac:dyDescent="0.35">
      <c r="A6210">
        <v>6206</v>
      </c>
      <c r="B6210">
        <v>6207</v>
      </c>
      <c r="C6210">
        <v>146.082894439999</v>
      </c>
      <c r="D6210">
        <v>-17.629216098699899</v>
      </c>
      <c r="F6210" t="str">
        <f>HYPERLINK("D:\Data From Lucan\2024\Moresby\Frames_for_Analysis/6207_20240611_0004_R_0554.jpg","6207_20240611_0004_R_0554.jpg")</f>
        <v>6207_20240611_0004_R_0554.jpg</v>
      </c>
      <c r="G6210" s="92" t="s">
        <v>6407</v>
      </c>
      <c r="I6210">
        <v>3</v>
      </c>
      <c r="K6210" s="57">
        <v>0</v>
      </c>
      <c r="L6210" t="s">
        <v>3959</v>
      </c>
      <c r="M6210" t="s">
        <v>3959</v>
      </c>
      <c r="N6210" t="s">
        <v>3959</v>
      </c>
      <c r="O6210" t="s">
        <v>3959</v>
      </c>
      <c r="P6210" s="57">
        <v>1</v>
      </c>
      <c r="Q6210" s="57">
        <v>0</v>
      </c>
      <c r="R6210" s="57">
        <v>0</v>
      </c>
      <c r="S6210" s="57">
        <v>0</v>
      </c>
      <c r="T6210" s="57">
        <v>0</v>
      </c>
      <c r="U6210" s="57">
        <v>0</v>
      </c>
      <c r="V6210" s="57">
        <v>0</v>
      </c>
      <c r="W6210" s="57">
        <v>0</v>
      </c>
      <c r="X6210" s="57">
        <v>0</v>
      </c>
    </row>
    <row r="6211" spans="1:24" hidden="1" x14ac:dyDescent="0.35">
      <c r="A6211">
        <v>6207</v>
      </c>
      <c r="B6211">
        <v>6208</v>
      </c>
      <c r="C6211">
        <v>146.082936133</v>
      </c>
      <c r="D6211">
        <v>-17.629140265499899</v>
      </c>
      <c r="F6211" t="str">
        <f>HYPERLINK("D:\Data From Lucan\2024\Moresby\Frames_for_Analysis/6208_20240611_0004_R_0551.jpg","6208_20240611_0004_R_0551.jpg")</f>
        <v>6208_20240611_0004_R_0551.jpg</v>
      </c>
      <c r="G6211" s="92" t="s">
        <v>6408</v>
      </c>
      <c r="I6211">
        <v>3</v>
      </c>
      <c r="K6211" s="57">
        <v>1</v>
      </c>
      <c r="L6211" t="s">
        <v>3959</v>
      </c>
      <c r="M6211" t="s">
        <v>3959</v>
      </c>
      <c r="N6211" t="s">
        <v>3959</v>
      </c>
      <c r="O6211" t="s">
        <v>3959</v>
      </c>
      <c r="P6211" s="57">
        <v>1</v>
      </c>
      <c r="Q6211" s="57">
        <v>0</v>
      </c>
      <c r="R6211" s="57">
        <v>0</v>
      </c>
      <c r="S6211" s="57">
        <v>0</v>
      </c>
      <c r="T6211" s="57">
        <v>0</v>
      </c>
      <c r="U6211" s="57">
        <v>0</v>
      </c>
      <c r="V6211" s="57">
        <v>0</v>
      </c>
      <c r="W6211" s="57">
        <v>0</v>
      </c>
      <c r="X6211" s="57">
        <v>0</v>
      </c>
    </row>
    <row r="6212" spans="1:24" hidden="1" x14ac:dyDescent="0.35">
      <c r="A6212">
        <v>6208</v>
      </c>
      <c r="B6212">
        <v>6209</v>
      </c>
      <c r="C6212">
        <v>146.082977825999</v>
      </c>
      <c r="D6212">
        <v>-17.629064432300002</v>
      </c>
      <c r="F6212" t="str">
        <f>HYPERLINK("D:\Data From Lucan\2024\Moresby\Frames_for_Analysis/6209_20240611_0004_R_0549.jpg","6209_20240611_0004_R_0549.jpg")</f>
        <v>6209_20240611_0004_R_0549.jpg</v>
      </c>
      <c r="G6212" s="92" t="s">
        <v>6409</v>
      </c>
      <c r="I6212">
        <v>3</v>
      </c>
      <c r="K6212" s="57">
        <v>0</v>
      </c>
      <c r="L6212" t="s">
        <v>3959</v>
      </c>
      <c r="M6212" t="s">
        <v>3959</v>
      </c>
      <c r="N6212" t="s">
        <v>3959</v>
      </c>
      <c r="O6212" t="s">
        <v>3959</v>
      </c>
      <c r="P6212" s="57">
        <v>1</v>
      </c>
      <c r="Q6212" s="57">
        <v>0</v>
      </c>
      <c r="R6212" s="57">
        <v>0</v>
      </c>
      <c r="S6212" s="57">
        <v>0</v>
      </c>
      <c r="T6212" s="57">
        <v>0</v>
      </c>
      <c r="U6212" s="57">
        <v>0</v>
      </c>
      <c r="V6212" s="57">
        <v>0</v>
      </c>
      <c r="W6212" s="57">
        <v>0</v>
      </c>
      <c r="X6212" s="57">
        <v>0</v>
      </c>
    </row>
    <row r="6213" spans="1:24" hidden="1" x14ac:dyDescent="0.35">
      <c r="A6213">
        <v>6209</v>
      </c>
      <c r="B6213">
        <v>6210</v>
      </c>
      <c r="C6213">
        <v>146.083019519</v>
      </c>
      <c r="D6213">
        <v>-17.6289885989999</v>
      </c>
      <c r="F6213" t="str">
        <f>HYPERLINK("D:\Data From Lucan\2024\Moresby\Frames_for_Analysis/6210_20240611_0004_R_0546.jpg","6210_20240611_0004_R_0546.jpg")</f>
        <v>6210_20240611_0004_R_0546.jpg</v>
      </c>
      <c r="G6213" s="92" t="s">
        <v>6410</v>
      </c>
      <c r="I6213">
        <v>3</v>
      </c>
      <c r="K6213" s="57">
        <v>0</v>
      </c>
      <c r="L6213" t="s">
        <v>3959</v>
      </c>
      <c r="M6213" t="s">
        <v>3959</v>
      </c>
      <c r="N6213" t="s">
        <v>3959</v>
      </c>
      <c r="O6213" t="s">
        <v>3959</v>
      </c>
      <c r="P6213" s="57">
        <v>1</v>
      </c>
      <c r="Q6213" s="57">
        <v>0</v>
      </c>
      <c r="R6213" s="57">
        <v>0</v>
      </c>
      <c r="S6213" s="57">
        <v>0</v>
      </c>
      <c r="T6213" s="57">
        <v>0</v>
      </c>
      <c r="U6213" s="57">
        <v>0</v>
      </c>
      <c r="V6213" s="57">
        <v>0</v>
      </c>
      <c r="W6213" s="57">
        <v>0</v>
      </c>
      <c r="X6213" s="57">
        <v>0</v>
      </c>
    </row>
    <row r="6214" spans="1:24" hidden="1" x14ac:dyDescent="0.35">
      <c r="A6214">
        <v>6210</v>
      </c>
      <c r="B6214">
        <v>6211</v>
      </c>
      <c r="C6214">
        <v>146.083061211999</v>
      </c>
      <c r="D6214">
        <v>-17.628912765700001</v>
      </c>
      <c r="F6214" t="str">
        <f>HYPERLINK("D:\Data From Lucan\2024\Moresby\Frames_for_Analysis/6211_20240611_0004_R_0543.jpg","6211_20240611_0004_R_0543.jpg")</f>
        <v>6211_20240611_0004_R_0543.jpg</v>
      </c>
      <c r="G6214" s="92" t="s">
        <v>6411</v>
      </c>
      <c r="I6214">
        <v>3</v>
      </c>
      <c r="K6214" s="57">
        <v>1</v>
      </c>
      <c r="L6214" t="s">
        <v>3959</v>
      </c>
      <c r="M6214" t="s">
        <v>3959</v>
      </c>
      <c r="N6214" t="s">
        <v>3959</v>
      </c>
      <c r="O6214" t="s">
        <v>3959</v>
      </c>
      <c r="P6214" s="57">
        <v>1</v>
      </c>
      <c r="Q6214" s="57">
        <v>0</v>
      </c>
      <c r="R6214" s="57">
        <v>0</v>
      </c>
      <c r="S6214" s="57">
        <v>0</v>
      </c>
      <c r="T6214" s="57">
        <v>0</v>
      </c>
      <c r="U6214" s="57">
        <v>0</v>
      </c>
      <c r="V6214" s="57">
        <v>0</v>
      </c>
      <c r="W6214" s="57">
        <v>0</v>
      </c>
      <c r="X6214" s="57">
        <v>0</v>
      </c>
    </row>
    <row r="6215" spans="1:24" hidden="1" x14ac:dyDescent="0.35">
      <c r="A6215">
        <v>6211</v>
      </c>
      <c r="B6215">
        <v>6212</v>
      </c>
      <c r="C6215">
        <v>146.083102905</v>
      </c>
      <c r="D6215">
        <v>-17.628836932399899</v>
      </c>
      <c r="F6215" t="str">
        <f>HYPERLINK("D:\Data From Lucan\2024\Moresby\Frames_for_Analysis/6212_20240611_0004_R_0540.jpg","6212_20240611_0004_R_0540.jpg")</f>
        <v>6212_20240611_0004_R_0540.jpg</v>
      </c>
      <c r="G6215" s="92" t="s">
        <v>6412</v>
      </c>
      <c r="I6215">
        <v>3</v>
      </c>
      <c r="K6215" s="57">
        <v>0</v>
      </c>
      <c r="L6215" t="s">
        <v>3959</v>
      </c>
      <c r="M6215" t="s">
        <v>3959</v>
      </c>
      <c r="N6215" t="s">
        <v>3959</v>
      </c>
      <c r="O6215" t="s">
        <v>3959</v>
      </c>
      <c r="P6215" s="57">
        <v>1</v>
      </c>
      <c r="Q6215" s="57">
        <v>0</v>
      </c>
      <c r="R6215" s="57">
        <v>0</v>
      </c>
      <c r="S6215" s="57">
        <v>0</v>
      </c>
      <c r="T6215" s="57">
        <v>0</v>
      </c>
      <c r="U6215" s="57">
        <v>0</v>
      </c>
      <c r="V6215" s="57">
        <v>0</v>
      </c>
      <c r="W6215" s="57">
        <v>0</v>
      </c>
      <c r="X6215" s="57">
        <v>0</v>
      </c>
    </row>
    <row r="6216" spans="1:24" hidden="1" x14ac:dyDescent="0.35">
      <c r="A6216">
        <v>6212</v>
      </c>
      <c r="B6216">
        <v>6213</v>
      </c>
      <c r="C6216">
        <v>146.083144597999</v>
      </c>
      <c r="D6216">
        <v>-17.6287610991</v>
      </c>
      <c r="F6216" t="str">
        <f>HYPERLINK("D:\Data From Lucan\2024\Moresby\Frames_for_Analysis/6213_20240611_0004_R_0537.jpg","6213_20240611_0004_R_0537.jpg")</f>
        <v>6213_20240611_0004_R_0537.jpg</v>
      </c>
      <c r="G6216" s="92" t="s">
        <v>6413</v>
      </c>
      <c r="I6216">
        <v>3</v>
      </c>
      <c r="K6216" s="57">
        <v>1</v>
      </c>
      <c r="L6216" t="s">
        <v>3959</v>
      </c>
      <c r="M6216" t="s">
        <v>3959</v>
      </c>
      <c r="N6216" t="s">
        <v>3959</v>
      </c>
      <c r="O6216" t="s">
        <v>3959</v>
      </c>
      <c r="P6216" s="57">
        <v>1</v>
      </c>
      <c r="Q6216" s="57">
        <v>0</v>
      </c>
      <c r="R6216" s="57">
        <v>0</v>
      </c>
      <c r="S6216" s="57">
        <v>0</v>
      </c>
      <c r="T6216" s="57">
        <v>0</v>
      </c>
      <c r="U6216" s="57">
        <v>0</v>
      </c>
      <c r="V6216" s="57">
        <v>0</v>
      </c>
      <c r="W6216" s="57">
        <v>0</v>
      </c>
      <c r="X6216" s="57">
        <v>0</v>
      </c>
    </row>
    <row r="6217" spans="1:24" hidden="1" x14ac:dyDescent="0.35">
      <c r="A6217">
        <v>6213</v>
      </c>
      <c r="B6217">
        <v>6214</v>
      </c>
      <c r="C6217">
        <v>146.083186291</v>
      </c>
      <c r="D6217">
        <v>-17.628685265600001</v>
      </c>
      <c r="F6217" t="str">
        <f>HYPERLINK("D:\Data From Lucan\2024\Moresby\Frames_for_Analysis/6214_20240611_0004_R_0535.jpg","6214_20240611_0004_R_0535.jpg")</f>
        <v>6214_20240611_0004_R_0535.jpg</v>
      </c>
      <c r="G6217" s="92" t="s">
        <v>6414</v>
      </c>
      <c r="I6217">
        <v>3</v>
      </c>
      <c r="K6217" s="57">
        <v>0</v>
      </c>
      <c r="L6217" t="s">
        <v>3959</v>
      </c>
      <c r="M6217" t="s">
        <v>3959</v>
      </c>
      <c r="N6217" t="s">
        <v>3959</v>
      </c>
      <c r="O6217" t="s">
        <v>3959</v>
      </c>
      <c r="P6217" s="57">
        <v>1</v>
      </c>
      <c r="Q6217" s="57">
        <v>0</v>
      </c>
      <c r="R6217" s="57">
        <v>0</v>
      </c>
      <c r="S6217" s="57">
        <v>0</v>
      </c>
      <c r="T6217" s="57">
        <v>0</v>
      </c>
      <c r="U6217" s="57">
        <v>0</v>
      </c>
      <c r="V6217" s="57">
        <v>0</v>
      </c>
      <c r="W6217" s="57">
        <v>0</v>
      </c>
      <c r="X6217" s="57">
        <v>0</v>
      </c>
    </row>
    <row r="6218" spans="1:24" hidden="1" x14ac:dyDescent="0.35">
      <c r="A6218">
        <v>6214</v>
      </c>
      <c r="B6218">
        <v>6215</v>
      </c>
      <c r="C6218">
        <v>146.083227983999</v>
      </c>
      <c r="D6218">
        <v>-17.6286094322999</v>
      </c>
      <c r="F6218" t="str">
        <f>HYPERLINK("D:\Data From Lucan\2024\Moresby\Frames_for_Analysis/6215_20240611_0004_R_0532.jpg","6215_20240611_0004_R_0532.jpg")</f>
        <v>6215_20240611_0004_R_0532.jpg</v>
      </c>
      <c r="G6218" s="92" t="s">
        <v>6415</v>
      </c>
      <c r="I6218">
        <v>3</v>
      </c>
      <c r="K6218" s="57">
        <v>1</v>
      </c>
      <c r="L6218" t="s">
        <v>3959</v>
      </c>
      <c r="M6218" t="s">
        <v>3959</v>
      </c>
      <c r="N6218" t="s">
        <v>3959</v>
      </c>
      <c r="O6218" t="s">
        <v>3959</v>
      </c>
      <c r="P6218" s="57">
        <v>1</v>
      </c>
      <c r="Q6218" s="57">
        <v>0</v>
      </c>
      <c r="R6218" s="57">
        <v>0</v>
      </c>
      <c r="S6218" s="57">
        <v>0</v>
      </c>
      <c r="T6218" s="57">
        <v>0</v>
      </c>
      <c r="U6218" s="57">
        <v>0</v>
      </c>
      <c r="V6218" s="57">
        <v>0</v>
      </c>
      <c r="W6218" s="57">
        <v>0</v>
      </c>
      <c r="X6218" s="57">
        <v>0</v>
      </c>
    </row>
    <row r="6219" spans="1:24" hidden="1" x14ac:dyDescent="0.35">
      <c r="A6219">
        <v>6215</v>
      </c>
      <c r="B6219">
        <v>6216</v>
      </c>
      <c r="C6219">
        <v>146.08327177199899</v>
      </c>
      <c r="D6219">
        <v>-17.6285350102</v>
      </c>
      <c r="F6219" t="str">
        <f>HYPERLINK("D:\Data From Lucan\2024\Moresby\Frames_for_Analysis/6216_20240611_0004_R_0529.jpg","6216_20240611_0004_R_0529.jpg")</f>
        <v>6216_20240611_0004_R_0529.jpg</v>
      </c>
      <c r="G6219" s="92" t="s">
        <v>6416</v>
      </c>
      <c r="I6219">
        <v>3</v>
      </c>
      <c r="K6219" s="57">
        <v>0</v>
      </c>
      <c r="L6219" t="s">
        <v>3959</v>
      </c>
      <c r="M6219" t="s">
        <v>3959</v>
      </c>
      <c r="N6219" t="s">
        <v>3959</v>
      </c>
      <c r="O6219" t="s">
        <v>3959</v>
      </c>
      <c r="P6219" s="57">
        <v>1</v>
      </c>
      <c r="Q6219" s="57">
        <v>0</v>
      </c>
      <c r="R6219" s="57">
        <v>0</v>
      </c>
      <c r="S6219" s="57">
        <v>0</v>
      </c>
      <c r="T6219" s="57">
        <v>0</v>
      </c>
      <c r="U6219" s="57">
        <v>0</v>
      </c>
      <c r="V6219" s="57">
        <v>0</v>
      </c>
      <c r="W6219" s="57">
        <v>0</v>
      </c>
      <c r="X6219" s="57">
        <v>0</v>
      </c>
    </row>
    <row r="6220" spans="1:24" hidden="1" x14ac:dyDescent="0.35">
      <c r="A6220">
        <v>6216</v>
      </c>
      <c r="B6220">
        <v>6217</v>
      </c>
      <c r="C6220">
        <v>146.08333289000001</v>
      </c>
      <c r="D6220">
        <v>-17.628472266500001</v>
      </c>
      <c r="F6220" t="str">
        <f>HYPERLINK("D:\Data From Lucan\2024\Moresby\Frames_for_Analysis/6217_20240611_0004_R_0527.jpg","6217_20240611_0004_R_0527.jpg")</f>
        <v>6217_20240611_0004_R_0527.jpg</v>
      </c>
      <c r="G6220" s="92" t="s">
        <v>6417</v>
      </c>
      <c r="I6220">
        <v>3</v>
      </c>
      <c r="K6220" s="57">
        <v>0</v>
      </c>
      <c r="L6220" t="s">
        <v>3959</v>
      </c>
      <c r="M6220" t="s">
        <v>3959</v>
      </c>
      <c r="N6220" t="s">
        <v>3959</v>
      </c>
      <c r="O6220" t="s">
        <v>3959</v>
      </c>
      <c r="P6220" s="57">
        <v>1</v>
      </c>
      <c r="Q6220" s="57">
        <v>0</v>
      </c>
      <c r="R6220" s="57">
        <v>0</v>
      </c>
      <c r="S6220" s="57">
        <v>0</v>
      </c>
      <c r="T6220" s="57">
        <v>0</v>
      </c>
      <c r="U6220" s="57">
        <v>0</v>
      </c>
      <c r="V6220" s="57">
        <v>0</v>
      </c>
      <c r="W6220" s="57">
        <v>0</v>
      </c>
      <c r="X6220" s="57">
        <v>0</v>
      </c>
    </row>
    <row r="6221" spans="1:24" hidden="1" x14ac:dyDescent="0.35">
      <c r="A6221">
        <v>6217</v>
      </c>
      <c r="B6221">
        <v>6218</v>
      </c>
      <c r="C6221">
        <v>146.083394007999</v>
      </c>
      <c r="D6221">
        <v>-17.628409522799899</v>
      </c>
      <c r="F6221" t="str">
        <f>HYPERLINK("D:\Data From Lucan\2024\Moresby\Frames_for_Analysis/6218_20240611_0004_R_0524.jpg","6218_20240611_0004_R_0524.jpg")</f>
        <v>6218_20240611_0004_R_0524.jpg</v>
      </c>
      <c r="G6221" s="92" t="s">
        <v>6418</v>
      </c>
      <c r="I6221">
        <v>3</v>
      </c>
      <c r="K6221" s="57">
        <v>1</v>
      </c>
      <c r="L6221" t="s">
        <v>3959</v>
      </c>
      <c r="M6221" t="s">
        <v>3959</v>
      </c>
      <c r="N6221" t="s">
        <v>3959</v>
      </c>
      <c r="O6221" t="s">
        <v>3959</v>
      </c>
      <c r="P6221" s="57">
        <v>1</v>
      </c>
      <c r="Q6221" s="57">
        <v>0</v>
      </c>
      <c r="R6221" s="57">
        <v>0</v>
      </c>
      <c r="S6221" s="57">
        <v>0</v>
      </c>
      <c r="T6221" s="57">
        <v>0</v>
      </c>
      <c r="U6221" s="57">
        <v>0</v>
      </c>
      <c r="V6221" s="57">
        <v>0</v>
      </c>
      <c r="W6221" s="57">
        <v>0</v>
      </c>
      <c r="X6221" s="57">
        <v>0</v>
      </c>
    </row>
    <row r="6222" spans="1:24" hidden="1" x14ac:dyDescent="0.35">
      <c r="A6222">
        <v>6218</v>
      </c>
      <c r="B6222">
        <v>6219</v>
      </c>
      <c r="C6222">
        <v>146.083455125999</v>
      </c>
      <c r="D6222">
        <v>-17.628346779000001</v>
      </c>
      <c r="F6222" t="str">
        <f>HYPERLINK("D:\Data From Lucan\2024\Moresby\Frames_for_Analysis/6219_20240611_0004_R_0521.jpg","6219_20240611_0004_R_0521.jpg")</f>
        <v>6219_20240611_0004_R_0521.jpg</v>
      </c>
      <c r="G6222" s="92" t="s">
        <v>6419</v>
      </c>
      <c r="I6222">
        <v>3</v>
      </c>
      <c r="K6222" s="57">
        <v>0</v>
      </c>
      <c r="L6222" t="s">
        <v>3959</v>
      </c>
      <c r="M6222" t="s">
        <v>3959</v>
      </c>
      <c r="N6222" t="s">
        <v>3959</v>
      </c>
      <c r="O6222" t="s">
        <v>3959</v>
      </c>
      <c r="P6222" s="57">
        <v>1</v>
      </c>
      <c r="Q6222" s="57">
        <v>0</v>
      </c>
      <c r="R6222" s="57">
        <v>0</v>
      </c>
      <c r="S6222" s="57">
        <v>0</v>
      </c>
      <c r="T6222" s="57">
        <v>0</v>
      </c>
      <c r="U6222" s="57">
        <v>0</v>
      </c>
      <c r="V6222" s="57">
        <v>0</v>
      </c>
      <c r="W6222" s="57">
        <v>0</v>
      </c>
      <c r="X6222" s="57">
        <v>0</v>
      </c>
    </row>
    <row r="6223" spans="1:24" hidden="1" x14ac:dyDescent="0.35">
      <c r="A6223">
        <v>6219</v>
      </c>
      <c r="B6223">
        <v>6220</v>
      </c>
      <c r="C6223">
        <v>146.08351624400001</v>
      </c>
      <c r="D6223">
        <v>-17.628284035299899</v>
      </c>
      <c r="F6223" t="str">
        <f>HYPERLINK("D:\Data From Lucan\2024\Moresby\Frames_for_Analysis/6220_20240611_0004_R_0518.jpg","6220_20240611_0004_R_0518.jpg")</f>
        <v>6220_20240611_0004_R_0518.jpg</v>
      </c>
      <c r="G6223" s="92" t="s">
        <v>6420</v>
      </c>
      <c r="I6223">
        <v>3</v>
      </c>
      <c r="K6223" s="57">
        <v>1</v>
      </c>
      <c r="L6223" t="s">
        <v>3959</v>
      </c>
      <c r="M6223" t="s">
        <v>3959</v>
      </c>
      <c r="N6223" t="s">
        <v>3959</v>
      </c>
      <c r="O6223" t="s">
        <v>3959</v>
      </c>
      <c r="P6223" s="57">
        <v>1</v>
      </c>
      <c r="Q6223" s="57">
        <v>0</v>
      </c>
      <c r="R6223" s="57">
        <v>0</v>
      </c>
      <c r="S6223" s="57">
        <v>0</v>
      </c>
      <c r="T6223" s="57">
        <v>0</v>
      </c>
      <c r="U6223" s="57">
        <v>0</v>
      </c>
      <c r="V6223" s="57">
        <v>0</v>
      </c>
      <c r="W6223" s="57">
        <v>0</v>
      </c>
      <c r="X6223" s="57">
        <v>0</v>
      </c>
    </row>
    <row r="6224" spans="1:24" hidden="1" x14ac:dyDescent="0.35">
      <c r="A6224">
        <v>6220</v>
      </c>
      <c r="B6224">
        <v>6221</v>
      </c>
      <c r="C6224">
        <v>146.083580697999</v>
      </c>
      <c r="D6224">
        <v>-17.6282244115</v>
      </c>
      <c r="F6224" t="str">
        <f>HYPERLINK("D:\Data From Lucan\2024\Moresby\Frames_for_Analysis/6221_20240611_0004_R_0516.jpg","6221_20240611_0004_R_0516.jpg")</f>
        <v>6221_20240611_0004_R_0516.jpg</v>
      </c>
      <c r="G6224" s="92" t="s">
        <v>6421</v>
      </c>
      <c r="I6224">
        <v>3</v>
      </c>
      <c r="K6224" s="57">
        <v>1</v>
      </c>
      <c r="L6224" t="s">
        <v>3959</v>
      </c>
      <c r="M6224" t="s">
        <v>3959</v>
      </c>
      <c r="N6224" t="s">
        <v>3959</v>
      </c>
      <c r="O6224" t="s">
        <v>3959</v>
      </c>
      <c r="P6224" s="57">
        <v>1</v>
      </c>
      <c r="Q6224" s="57">
        <v>0</v>
      </c>
      <c r="R6224" s="57">
        <v>0</v>
      </c>
      <c r="S6224" s="57">
        <v>0</v>
      </c>
      <c r="T6224" s="57">
        <v>0</v>
      </c>
      <c r="U6224" s="57">
        <v>0</v>
      </c>
      <c r="V6224" s="57">
        <v>0</v>
      </c>
      <c r="W6224" s="57">
        <v>0</v>
      </c>
      <c r="X6224" s="57">
        <v>0</v>
      </c>
    </row>
    <row r="6225" spans="1:24" hidden="1" x14ac:dyDescent="0.35">
      <c r="A6225">
        <v>6221</v>
      </c>
      <c r="B6225">
        <v>6222</v>
      </c>
      <c r="C6225">
        <v>146.08364536400001</v>
      </c>
      <c r="D6225">
        <v>-17.628164984800001</v>
      </c>
      <c r="F6225" t="str">
        <f>HYPERLINK("D:\Data From Lucan\2024\Moresby\Frames_for_Analysis/6222_20240611_0004_R_0514.jpg","6222_20240611_0004_R_0514.jpg")</f>
        <v>6222_20240611_0004_R_0514.jpg</v>
      </c>
      <c r="G6225" s="92" t="s">
        <v>6422</v>
      </c>
      <c r="I6225">
        <v>3</v>
      </c>
      <c r="K6225" s="57">
        <v>0</v>
      </c>
      <c r="L6225" t="s">
        <v>3959</v>
      </c>
      <c r="M6225" t="s">
        <v>3959</v>
      </c>
      <c r="N6225" t="s">
        <v>3959</v>
      </c>
      <c r="O6225" t="s">
        <v>3959</v>
      </c>
      <c r="P6225" s="57">
        <v>1</v>
      </c>
      <c r="Q6225" s="57">
        <v>0</v>
      </c>
      <c r="R6225" s="57">
        <v>0</v>
      </c>
      <c r="S6225" s="57">
        <v>0</v>
      </c>
      <c r="T6225" s="57">
        <v>0</v>
      </c>
      <c r="U6225" s="57">
        <v>0</v>
      </c>
      <c r="V6225" s="57">
        <v>0</v>
      </c>
      <c r="W6225" s="57">
        <v>0</v>
      </c>
      <c r="X6225" s="57">
        <v>0</v>
      </c>
    </row>
    <row r="6226" spans="1:24" hidden="1" x14ac:dyDescent="0.35">
      <c r="A6226">
        <v>6222</v>
      </c>
      <c r="B6226">
        <v>6223</v>
      </c>
      <c r="C6226">
        <v>146.083710029</v>
      </c>
      <c r="D6226">
        <v>-17.6281055583</v>
      </c>
      <c r="F6226" t="str">
        <f>HYPERLINK("D:\Data From Lucan\2024\Moresby\Frames_for_Analysis/6223_20240611_0004_R_0511.jpg","6223_20240611_0004_R_0511.jpg")</f>
        <v>6223_20240611_0004_R_0511.jpg</v>
      </c>
      <c r="G6226" s="92" t="s">
        <v>6423</v>
      </c>
      <c r="I6226">
        <v>3</v>
      </c>
      <c r="K6226" s="57">
        <v>1</v>
      </c>
      <c r="L6226" t="s">
        <v>3959</v>
      </c>
      <c r="M6226" t="s">
        <v>3959</v>
      </c>
      <c r="N6226" t="s">
        <v>3959</v>
      </c>
      <c r="O6226" t="s">
        <v>3959</v>
      </c>
      <c r="P6226" s="57">
        <v>1</v>
      </c>
      <c r="Q6226" s="57">
        <v>0</v>
      </c>
      <c r="R6226" s="57">
        <v>0</v>
      </c>
      <c r="S6226" s="57">
        <v>0</v>
      </c>
      <c r="T6226" s="57">
        <v>0</v>
      </c>
      <c r="U6226" s="57">
        <v>0</v>
      </c>
      <c r="V6226" s="57">
        <v>0</v>
      </c>
      <c r="W6226" s="57">
        <v>0</v>
      </c>
      <c r="X6226" s="57">
        <v>0</v>
      </c>
    </row>
    <row r="6227" spans="1:24" hidden="1" x14ac:dyDescent="0.35">
      <c r="A6227">
        <v>6223</v>
      </c>
      <c r="B6227">
        <v>6224</v>
      </c>
      <c r="C6227">
        <v>146.08377204799899</v>
      </c>
      <c r="D6227">
        <v>-17.6280436784999</v>
      </c>
      <c r="F6227" t="str">
        <f>HYPERLINK("D:\Data From Lucan\2024\Moresby\Frames_for_Analysis/6224_20240611_0004_R_0509.jpg","6224_20240611_0004_R_0509.jpg")</f>
        <v>6224_20240611_0004_R_0509.jpg</v>
      </c>
      <c r="G6227" s="92" t="s">
        <v>6424</v>
      </c>
      <c r="I6227">
        <v>3</v>
      </c>
      <c r="K6227" s="57">
        <v>1</v>
      </c>
      <c r="L6227" t="s">
        <v>3959</v>
      </c>
      <c r="M6227" t="s">
        <v>3959</v>
      </c>
      <c r="N6227" t="s">
        <v>3959</v>
      </c>
      <c r="O6227" t="s">
        <v>3959</v>
      </c>
      <c r="P6227" s="57">
        <v>1</v>
      </c>
      <c r="Q6227" s="57">
        <v>0</v>
      </c>
      <c r="R6227" s="57">
        <v>0</v>
      </c>
      <c r="S6227" s="57">
        <v>0</v>
      </c>
      <c r="T6227" s="57">
        <v>0</v>
      </c>
      <c r="U6227" s="57">
        <v>0</v>
      </c>
      <c r="V6227" s="57">
        <v>0</v>
      </c>
      <c r="W6227" s="57">
        <v>0</v>
      </c>
      <c r="X6227" s="57">
        <v>0</v>
      </c>
    </row>
    <row r="6228" spans="1:24" hidden="1" x14ac:dyDescent="0.35">
      <c r="A6228">
        <v>6224</v>
      </c>
      <c r="B6228">
        <v>6225</v>
      </c>
      <c r="C6228">
        <v>146.083832594999</v>
      </c>
      <c r="D6228">
        <v>-17.6279804332999</v>
      </c>
      <c r="F6228" t="str">
        <f>HYPERLINK("D:\Data From Lucan\2024\Moresby\Frames_for_Analysis/6225_20240611_0004_R_0506.jpg","6225_20240611_0004_R_0506.jpg")</f>
        <v>6225_20240611_0004_R_0506.jpg</v>
      </c>
      <c r="G6228" s="92" t="s">
        <v>6425</v>
      </c>
      <c r="I6228">
        <v>3</v>
      </c>
      <c r="K6228" s="57">
        <v>1</v>
      </c>
      <c r="L6228" t="s">
        <v>3959</v>
      </c>
      <c r="M6228" t="s">
        <v>3959</v>
      </c>
      <c r="N6228" t="s">
        <v>3959</v>
      </c>
      <c r="O6228" t="s">
        <v>3959</v>
      </c>
      <c r="P6228" s="57">
        <v>1</v>
      </c>
      <c r="Q6228" s="57">
        <v>0</v>
      </c>
      <c r="R6228" s="57">
        <v>0</v>
      </c>
      <c r="S6228" s="57">
        <v>0</v>
      </c>
      <c r="T6228" s="57">
        <v>0</v>
      </c>
      <c r="U6228" s="57">
        <v>0</v>
      </c>
      <c r="V6228" s="57">
        <v>0</v>
      </c>
      <c r="W6228" s="57">
        <v>0</v>
      </c>
      <c r="X6228" s="57">
        <v>0</v>
      </c>
    </row>
    <row r="6229" spans="1:24" hidden="1" x14ac:dyDescent="0.35">
      <c r="A6229">
        <v>6225</v>
      </c>
      <c r="B6229">
        <v>6226</v>
      </c>
      <c r="C6229">
        <v>146.083897678</v>
      </c>
      <c r="D6229">
        <v>-17.627922039400001</v>
      </c>
      <c r="F6229" t="str">
        <f>HYPERLINK("D:\Data From Lucan\2024\Moresby\Frames_for_Analysis/6226_20240611_0004_R_0504.jpg","6226_20240611_0004_R_0504.jpg")</f>
        <v>6226_20240611_0004_R_0504.jpg</v>
      </c>
      <c r="G6229" s="92" t="s">
        <v>6426</v>
      </c>
      <c r="I6229">
        <v>3</v>
      </c>
      <c r="K6229" s="57">
        <v>1</v>
      </c>
      <c r="L6229" t="s">
        <v>3959</v>
      </c>
      <c r="M6229" t="s">
        <v>3959</v>
      </c>
      <c r="N6229" t="s">
        <v>3959</v>
      </c>
      <c r="O6229" t="s">
        <v>3959</v>
      </c>
      <c r="P6229" s="57">
        <v>1</v>
      </c>
      <c r="Q6229" s="57">
        <v>0</v>
      </c>
      <c r="R6229" s="57">
        <v>0</v>
      </c>
      <c r="S6229" s="57">
        <v>0</v>
      </c>
      <c r="T6229" s="57">
        <v>0</v>
      </c>
      <c r="U6229" s="57">
        <v>0</v>
      </c>
      <c r="V6229" s="57">
        <v>0</v>
      </c>
      <c r="W6229" s="57">
        <v>0</v>
      </c>
      <c r="X6229" s="57">
        <v>0</v>
      </c>
    </row>
    <row r="6230" spans="1:24" hidden="1" x14ac:dyDescent="0.35">
      <c r="A6230">
        <v>6226</v>
      </c>
      <c r="B6230">
        <v>6227</v>
      </c>
      <c r="C6230">
        <v>146.08397053900001</v>
      </c>
      <c r="D6230">
        <v>-17.6278719618</v>
      </c>
      <c r="F6230" t="str">
        <f>HYPERLINK("D:\Data From Lucan\2024\Moresby\Frames_for_Analysis/6227_20240611_0004_R_0501.jpg","6227_20240611_0004_R_0501.jpg")</f>
        <v>6227_20240611_0004_R_0501.jpg</v>
      </c>
      <c r="G6230" s="92" t="s">
        <v>6427</v>
      </c>
      <c r="I6230">
        <v>3</v>
      </c>
      <c r="K6230" s="57">
        <v>1</v>
      </c>
      <c r="L6230" t="s">
        <v>3959</v>
      </c>
      <c r="M6230" t="s">
        <v>3959</v>
      </c>
      <c r="N6230" t="s">
        <v>3959</v>
      </c>
      <c r="O6230" t="s">
        <v>3959</v>
      </c>
      <c r="P6230" s="57">
        <v>1</v>
      </c>
      <c r="Q6230" s="57">
        <v>0</v>
      </c>
      <c r="R6230" s="57">
        <v>0</v>
      </c>
      <c r="S6230" s="57">
        <v>0</v>
      </c>
      <c r="T6230" s="57">
        <v>0</v>
      </c>
      <c r="U6230" s="57">
        <v>0</v>
      </c>
      <c r="V6230" s="57">
        <v>0</v>
      </c>
      <c r="W6230" s="57">
        <v>0</v>
      </c>
      <c r="X6230" s="57">
        <v>0</v>
      </c>
    </row>
    <row r="6231" spans="1:24" hidden="1" x14ac:dyDescent="0.35">
      <c r="A6231">
        <v>6227</v>
      </c>
      <c r="B6231">
        <v>6228</v>
      </c>
      <c r="C6231">
        <v>146.08404340000001</v>
      </c>
      <c r="D6231">
        <v>-17.6278218841999</v>
      </c>
      <c r="F6231" t="str">
        <f>HYPERLINK("D:\Data From Lucan\2024\Moresby\Frames_for_Analysis/6228_20240611_0004_R_0499.jpg","6228_20240611_0004_R_0499.jpg")</f>
        <v>6228_20240611_0004_R_0499.jpg</v>
      </c>
      <c r="G6231" s="92" t="s">
        <v>6428</v>
      </c>
      <c r="I6231">
        <v>3</v>
      </c>
      <c r="K6231" s="57">
        <v>1</v>
      </c>
      <c r="L6231" t="s">
        <v>3959</v>
      </c>
      <c r="M6231" t="s">
        <v>3959</v>
      </c>
      <c r="N6231" t="s">
        <v>3959</v>
      </c>
      <c r="O6231" t="s">
        <v>3959</v>
      </c>
      <c r="P6231" s="57">
        <v>1</v>
      </c>
      <c r="Q6231" s="57">
        <v>0</v>
      </c>
      <c r="R6231" s="57">
        <v>0</v>
      </c>
      <c r="S6231" s="57">
        <v>0</v>
      </c>
      <c r="T6231" s="57">
        <v>0</v>
      </c>
      <c r="U6231" s="57">
        <v>0</v>
      </c>
      <c r="V6231" s="57">
        <v>0</v>
      </c>
      <c r="W6231" s="57">
        <v>0</v>
      </c>
      <c r="X6231" s="57">
        <v>0</v>
      </c>
    </row>
    <row r="6232" spans="1:24" hidden="1" x14ac:dyDescent="0.35">
      <c r="A6232">
        <v>6228</v>
      </c>
      <c r="B6232">
        <v>6229</v>
      </c>
      <c r="C6232">
        <v>146.084116260999</v>
      </c>
      <c r="D6232">
        <v>-17.627771806599899</v>
      </c>
      <c r="F6232" t="str">
        <f>HYPERLINK("D:\Data From Lucan\2024\Moresby\Frames_for_Analysis/6229_20240611_0004_R_0496.jpg","6229_20240611_0004_R_0496.jpg")</f>
        <v>6229_20240611_0004_R_0496.jpg</v>
      </c>
      <c r="G6232" s="92" t="s">
        <v>6429</v>
      </c>
      <c r="I6232">
        <v>3</v>
      </c>
      <c r="K6232" s="57">
        <v>1</v>
      </c>
      <c r="L6232" t="s">
        <v>3959</v>
      </c>
      <c r="M6232" t="s">
        <v>3959</v>
      </c>
      <c r="N6232" t="s">
        <v>3959</v>
      </c>
      <c r="O6232" t="s">
        <v>3959</v>
      </c>
      <c r="P6232" s="57">
        <v>1</v>
      </c>
      <c r="Q6232" s="57">
        <v>0</v>
      </c>
      <c r="R6232" s="57">
        <v>0</v>
      </c>
      <c r="S6232" s="57">
        <v>0</v>
      </c>
      <c r="T6232" s="57">
        <v>0</v>
      </c>
      <c r="U6232" s="57">
        <v>0</v>
      </c>
      <c r="V6232" s="57">
        <v>0</v>
      </c>
      <c r="W6232" s="57">
        <v>0</v>
      </c>
      <c r="X6232" s="57">
        <v>0</v>
      </c>
    </row>
    <row r="6233" spans="1:24" hidden="1" x14ac:dyDescent="0.35">
      <c r="A6233">
        <v>6229</v>
      </c>
      <c r="B6233">
        <v>6230</v>
      </c>
      <c r="C6233">
        <v>146.084189121999</v>
      </c>
      <c r="D6233">
        <v>-17.6277217288999</v>
      </c>
      <c r="F6233" t="str">
        <f>HYPERLINK("D:\Data From Lucan\2024\Moresby\Frames_for_Analysis/6230_20240611_0004_R_0493.jpg","6230_20240611_0004_R_0493.jpg")</f>
        <v>6230_20240611_0004_R_0493.jpg</v>
      </c>
      <c r="G6233" s="92" t="s">
        <v>6430</v>
      </c>
      <c r="I6233">
        <v>3</v>
      </c>
      <c r="K6233" s="57">
        <v>1</v>
      </c>
      <c r="L6233" t="s">
        <v>3959</v>
      </c>
      <c r="M6233" t="s">
        <v>3959</v>
      </c>
      <c r="N6233" t="s">
        <v>3959</v>
      </c>
      <c r="O6233" t="s">
        <v>3959</v>
      </c>
      <c r="P6233" s="57">
        <v>1</v>
      </c>
      <c r="Q6233" s="57">
        <v>0</v>
      </c>
      <c r="R6233" s="57">
        <v>0</v>
      </c>
      <c r="S6233" s="57">
        <v>0</v>
      </c>
      <c r="T6233" s="57">
        <v>0</v>
      </c>
      <c r="U6233" s="57">
        <v>0</v>
      </c>
      <c r="V6233" s="57">
        <v>0</v>
      </c>
      <c r="W6233" s="57">
        <v>0</v>
      </c>
      <c r="X6233" s="57">
        <v>0</v>
      </c>
    </row>
    <row r="6234" spans="1:24" hidden="1" x14ac:dyDescent="0.35">
      <c r="A6234">
        <v>6230</v>
      </c>
      <c r="B6234">
        <v>6231</v>
      </c>
      <c r="C6234">
        <v>146.084261983</v>
      </c>
      <c r="D6234">
        <v>-17.627671651299899</v>
      </c>
      <c r="F6234" t="str">
        <f>HYPERLINK("D:\Data From Lucan\2024\Moresby\Frames_for_Analysis/6231_20240611_0004_R_0491.jpg","6231_20240611_0004_R_0491.jpg")</f>
        <v>6231_20240611_0004_R_0491.jpg</v>
      </c>
      <c r="G6234" s="92" t="s">
        <v>6431</v>
      </c>
      <c r="I6234">
        <v>3</v>
      </c>
      <c r="K6234" s="57">
        <v>1</v>
      </c>
      <c r="L6234" t="s">
        <v>3959</v>
      </c>
      <c r="M6234" t="s">
        <v>3959</v>
      </c>
      <c r="N6234" t="s">
        <v>3959</v>
      </c>
      <c r="O6234" t="s">
        <v>3959</v>
      </c>
      <c r="P6234" s="57">
        <v>1</v>
      </c>
      <c r="Q6234" s="57">
        <v>0</v>
      </c>
      <c r="R6234" s="57">
        <v>0</v>
      </c>
      <c r="S6234" s="57">
        <v>0</v>
      </c>
      <c r="T6234" s="57">
        <v>0</v>
      </c>
      <c r="U6234" s="57">
        <v>0</v>
      </c>
      <c r="V6234" s="57">
        <v>0</v>
      </c>
      <c r="W6234" s="57">
        <v>0</v>
      </c>
      <c r="X6234" s="57">
        <v>0</v>
      </c>
    </row>
    <row r="6235" spans="1:24" hidden="1" x14ac:dyDescent="0.35">
      <c r="A6235">
        <v>6231</v>
      </c>
      <c r="B6235">
        <v>6232</v>
      </c>
      <c r="C6235">
        <v>146.084340916</v>
      </c>
      <c r="D6235">
        <v>-17.627630946</v>
      </c>
      <c r="F6235" t="str">
        <f>HYPERLINK("D:\Data From Lucan\2024\Moresby\Frames_for_Analysis/6232_20240611_0004_R_0488.jpg","6232_20240611_0004_R_0488.jpg")</f>
        <v>6232_20240611_0004_R_0488.jpg</v>
      </c>
      <c r="G6235" s="92" t="s">
        <v>6432</v>
      </c>
      <c r="I6235">
        <v>3</v>
      </c>
      <c r="K6235" s="57">
        <v>1</v>
      </c>
      <c r="L6235" t="s">
        <v>3959</v>
      </c>
      <c r="M6235" t="s">
        <v>3959</v>
      </c>
      <c r="N6235" t="s">
        <v>3959</v>
      </c>
      <c r="O6235" t="s">
        <v>3959</v>
      </c>
      <c r="P6235" s="57">
        <v>1</v>
      </c>
      <c r="Q6235" s="57">
        <v>0</v>
      </c>
      <c r="R6235" s="57">
        <v>0</v>
      </c>
      <c r="S6235" s="57">
        <v>0</v>
      </c>
      <c r="T6235" s="57">
        <v>0</v>
      </c>
      <c r="U6235" s="57">
        <v>0</v>
      </c>
      <c r="V6235" s="57">
        <v>0</v>
      </c>
      <c r="W6235" s="57">
        <v>0</v>
      </c>
      <c r="X6235" s="57">
        <v>0</v>
      </c>
    </row>
    <row r="6236" spans="1:24" hidden="1" x14ac:dyDescent="0.35">
      <c r="A6236">
        <v>6232</v>
      </c>
      <c r="B6236">
        <v>6233</v>
      </c>
      <c r="C6236">
        <v>146.08442053600001</v>
      </c>
      <c r="D6236">
        <v>-17.6275913019999</v>
      </c>
      <c r="F6236" t="str">
        <f>HYPERLINK("D:\Data From Lucan\2024\Moresby\Frames_for_Analysis/6233_20240611_0004_R_0485.jpg","6233_20240611_0004_R_0485.jpg")</f>
        <v>6233_20240611_0004_R_0485.jpg</v>
      </c>
      <c r="G6236" s="92" t="s">
        <v>6433</v>
      </c>
      <c r="I6236">
        <v>3</v>
      </c>
      <c r="K6236" s="57">
        <v>1</v>
      </c>
      <c r="L6236" t="s">
        <v>3959</v>
      </c>
      <c r="M6236" t="s">
        <v>3959</v>
      </c>
      <c r="N6236" t="s">
        <v>3959</v>
      </c>
      <c r="O6236" t="s">
        <v>3959</v>
      </c>
      <c r="P6236" s="57">
        <v>1</v>
      </c>
      <c r="Q6236" s="57">
        <v>0</v>
      </c>
      <c r="R6236" s="57">
        <v>0</v>
      </c>
      <c r="S6236" s="57">
        <v>0</v>
      </c>
      <c r="T6236" s="57">
        <v>0</v>
      </c>
      <c r="U6236" s="57">
        <v>0</v>
      </c>
      <c r="V6236" s="57">
        <v>0</v>
      </c>
      <c r="W6236" s="57">
        <v>0</v>
      </c>
      <c r="X6236" s="57">
        <v>0</v>
      </c>
    </row>
    <row r="6237" spans="1:24" hidden="1" x14ac:dyDescent="0.35">
      <c r="A6237">
        <v>6233</v>
      </c>
      <c r="B6237">
        <v>6234</v>
      </c>
      <c r="C6237">
        <v>146.08450015700001</v>
      </c>
      <c r="D6237">
        <v>-17.6275516581</v>
      </c>
      <c r="F6237" t="str">
        <f>HYPERLINK("D:\Data From Lucan\2024\Moresby\Frames_for_Analysis/6234_20240611_0004_R_0483.jpg","6234_20240611_0004_R_0483.jpg")</f>
        <v>6234_20240611_0004_R_0483.jpg</v>
      </c>
      <c r="G6237" s="92" t="s">
        <v>6434</v>
      </c>
      <c r="I6237">
        <v>3</v>
      </c>
      <c r="K6237" s="57">
        <v>1</v>
      </c>
      <c r="L6237" t="s">
        <v>3959</v>
      </c>
      <c r="M6237" t="s">
        <v>3959</v>
      </c>
      <c r="N6237" t="s">
        <v>3959</v>
      </c>
      <c r="O6237" t="s">
        <v>3959</v>
      </c>
      <c r="P6237" s="57">
        <v>1</v>
      </c>
      <c r="Q6237" s="57">
        <v>0</v>
      </c>
      <c r="R6237" s="57">
        <v>0</v>
      </c>
      <c r="S6237" s="57">
        <v>0</v>
      </c>
      <c r="T6237" s="57">
        <v>0</v>
      </c>
      <c r="U6237" s="57">
        <v>0</v>
      </c>
      <c r="V6237" s="57">
        <v>0</v>
      </c>
      <c r="W6237" s="57">
        <v>0</v>
      </c>
      <c r="X6237" s="57">
        <v>0</v>
      </c>
    </row>
    <row r="6238" spans="1:24" hidden="1" x14ac:dyDescent="0.35">
      <c r="A6238">
        <v>6234</v>
      </c>
      <c r="B6238">
        <v>6235</v>
      </c>
      <c r="C6238">
        <v>146.08457977699899</v>
      </c>
      <c r="D6238">
        <v>-17.627512014099899</v>
      </c>
      <c r="F6238" t="str">
        <f>HYPERLINK("D:\Data From Lucan\2024\Moresby\Frames_for_Analysis/6235_20240611_0004_R_0480.jpg","6235_20240611_0004_R_0480.jpg")</f>
        <v>6235_20240611_0004_R_0480.jpg</v>
      </c>
      <c r="G6238" s="92" t="s">
        <v>6435</v>
      </c>
      <c r="I6238">
        <v>3</v>
      </c>
      <c r="K6238" s="57">
        <v>1</v>
      </c>
      <c r="L6238" t="s">
        <v>3959</v>
      </c>
      <c r="M6238" t="s">
        <v>3959</v>
      </c>
      <c r="N6238" t="s">
        <v>3959</v>
      </c>
      <c r="O6238" t="s">
        <v>3959</v>
      </c>
      <c r="P6238" s="57">
        <v>1</v>
      </c>
      <c r="Q6238" s="57">
        <v>0</v>
      </c>
      <c r="R6238" s="57">
        <v>0</v>
      </c>
      <c r="S6238" s="57">
        <v>0</v>
      </c>
      <c r="T6238" s="57">
        <v>0</v>
      </c>
      <c r="U6238" s="57">
        <v>0</v>
      </c>
      <c r="V6238" s="57">
        <v>0</v>
      </c>
      <c r="W6238" s="57">
        <v>0</v>
      </c>
      <c r="X6238" s="57">
        <v>0</v>
      </c>
    </row>
    <row r="6239" spans="1:24" hidden="1" x14ac:dyDescent="0.35">
      <c r="A6239">
        <v>6235</v>
      </c>
      <c r="B6239">
        <v>6236</v>
      </c>
      <c r="C6239">
        <v>146.084659396999</v>
      </c>
      <c r="D6239">
        <v>-17.6274723702</v>
      </c>
      <c r="F6239" t="str">
        <f>HYPERLINK("D:\Data From Lucan\2024\Moresby\Frames_for_Analysis/6236_20240611_0004_R_0478.jpg","6236_20240611_0004_R_0478.jpg")</f>
        <v>6236_20240611_0004_R_0478.jpg</v>
      </c>
      <c r="G6239" s="92" t="s">
        <v>6436</v>
      </c>
      <c r="I6239">
        <v>3</v>
      </c>
      <c r="K6239" s="57">
        <v>1</v>
      </c>
      <c r="L6239" t="s">
        <v>3959</v>
      </c>
      <c r="M6239" t="s">
        <v>3959</v>
      </c>
      <c r="N6239" t="s">
        <v>3959</v>
      </c>
      <c r="O6239" t="s">
        <v>3959</v>
      </c>
      <c r="P6239" s="57">
        <v>1</v>
      </c>
      <c r="Q6239" s="57">
        <v>0</v>
      </c>
      <c r="R6239" s="57">
        <v>0</v>
      </c>
      <c r="S6239" s="57">
        <v>0</v>
      </c>
      <c r="T6239" s="57">
        <v>0</v>
      </c>
      <c r="U6239" s="57">
        <v>0</v>
      </c>
      <c r="V6239" s="57">
        <v>0</v>
      </c>
      <c r="W6239" s="57">
        <v>0</v>
      </c>
      <c r="X6239" s="57">
        <v>0</v>
      </c>
    </row>
    <row r="6240" spans="1:24" hidden="1" x14ac:dyDescent="0.35">
      <c r="A6240">
        <v>6236</v>
      </c>
      <c r="B6240">
        <v>6237</v>
      </c>
      <c r="C6240">
        <v>146.08474693599899</v>
      </c>
      <c r="D6240">
        <v>-17.627457946900002</v>
      </c>
      <c r="F6240" t="str">
        <f>HYPERLINK("D:\Data From Lucan\2024\Moresby\Frames_for_Analysis/6237_20240611_0004_R_0476.jpg","6237_20240611_0004_R_0476.jpg")</f>
        <v>6237_20240611_0004_R_0476.jpg</v>
      </c>
      <c r="G6240" s="92" t="s">
        <v>6437</v>
      </c>
      <c r="I6240">
        <v>3</v>
      </c>
      <c r="K6240" s="57">
        <v>1</v>
      </c>
      <c r="L6240" t="s">
        <v>3959</v>
      </c>
      <c r="M6240" t="s">
        <v>3959</v>
      </c>
      <c r="N6240" t="s">
        <v>3959</v>
      </c>
      <c r="O6240" t="s">
        <v>3959</v>
      </c>
      <c r="P6240" s="57">
        <v>1</v>
      </c>
      <c r="Q6240" s="57">
        <v>0</v>
      </c>
      <c r="R6240" s="57">
        <v>0</v>
      </c>
      <c r="S6240" s="57">
        <v>0</v>
      </c>
      <c r="T6240" s="57">
        <v>0</v>
      </c>
      <c r="U6240" s="57">
        <v>0</v>
      </c>
      <c r="V6240" s="57">
        <v>0</v>
      </c>
      <c r="W6240" s="57">
        <v>0</v>
      </c>
      <c r="X6240" s="57">
        <v>0</v>
      </c>
    </row>
    <row r="6241" spans="1:24" hidden="1" x14ac:dyDescent="0.35">
      <c r="A6241">
        <v>6237</v>
      </c>
      <c r="B6241">
        <v>6238</v>
      </c>
      <c r="C6241">
        <v>146.08483631799899</v>
      </c>
      <c r="D6241">
        <v>-17.6274493965999</v>
      </c>
      <c r="F6241" t="str">
        <f>HYPERLINK("D:\Data From Lucan\2024\Moresby\Frames_for_Analysis/6238_20240611_0004_R_0473.jpg","6238_20240611_0004_R_0473.jpg")</f>
        <v>6238_20240611_0004_R_0473.jpg</v>
      </c>
      <c r="G6241" s="92" t="s">
        <v>6438</v>
      </c>
      <c r="I6241">
        <v>3</v>
      </c>
      <c r="K6241" s="57">
        <v>1</v>
      </c>
      <c r="L6241" t="s">
        <v>3959</v>
      </c>
      <c r="M6241" t="s">
        <v>3959</v>
      </c>
      <c r="N6241" t="s">
        <v>3959</v>
      </c>
      <c r="O6241" t="s">
        <v>3959</v>
      </c>
      <c r="P6241" s="57">
        <v>1</v>
      </c>
      <c r="Q6241" s="57">
        <v>0</v>
      </c>
      <c r="R6241" s="57">
        <v>0</v>
      </c>
      <c r="S6241" s="57">
        <v>0</v>
      </c>
      <c r="T6241" s="57">
        <v>0</v>
      </c>
      <c r="U6241" s="57">
        <v>0</v>
      </c>
      <c r="V6241" s="57">
        <v>0</v>
      </c>
      <c r="W6241" s="57">
        <v>0</v>
      </c>
      <c r="X6241" s="57">
        <v>0</v>
      </c>
    </row>
    <row r="6242" spans="1:24" hidden="1" x14ac:dyDescent="0.35">
      <c r="A6242">
        <v>6238</v>
      </c>
      <c r="B6242">
        <v>6239</v>
      </c>
      <c r="C6242">
        <v>146.08492570000001</v>
      </c>
      <c r="D6242">
        <v>-17.627440846199899</v>
      </c>
      <c r="F6242" t="str">
        <f>HYPERLINK("D:\Data From Lucan\2024\Moresby\Frames_for_Analysis/6239_20240611_0004_R_0471.jpg","6239_20240611_0004_R_0471.jpg")</f>
        <v>6239_20240611_0004_R_0471.jpg</v>
      </c>
      <c r="G6242" s="92" t="s">
        <v>6439</v>
      </c>
      <c r="I6242">
        <v>3</v>
      </c>
      <c r="K6242" s="57">
        <v>1</v>
      </c>
      <c r="L6242" t="s">
        <v>3959</v>
      </c>
      <c r="M6242" t="s">
        <v>3959</v>
      </c>
      <c r="N6242" t="s">
        <v>3959</v>
      </c>
      <c r="O6242" t="s">
        <v>3959</v>
      </c>
      <c r="P6242" s="57">
        <v>1</v>
      </c>
      <c r="Q6242" s="57">
        <v>0</v>
      </c>
      <c r="R6242" s="57">
        <v>0</v>
      </c>
      <c r="S6242" s="57">
        <v>0</v>
      </c>
      <c r="T6242" s="57">
        <v>0</v>
      </c>
      <c r="U6242" s="57">
        <v>0</v>
      </c>
      <c r="V6242" s="57">
        <v>0</v>
      </c>
      <c r="W6242" s="57">
        <v>0</v>
      </c>
      <c r="X6242" s="57">
        <v>0</v>
      </c>
    </row>
    <row r="6243" spans="1:24" hidden="1" x14ac:dyDescent="0.35">
      <c r="A6243">
        <v>6239</v>
      </c>
      <c r="B6243">
        <v>6240</v>
      </c>
      <c r="C6243">
        <v>146.085015083</v>
      </c>
      <c r="D6243">
        <v>-17.6274322959</v>
      </c>
      <c r="F6243" t="str">
        <f>HYPERLINK("D:\Data From Lucan\2024\Moresby\Frames_for_Analysis/6240_20240611_0004_R_0469.jpg","6240_20240611_0004_R_0469.jpg")</f>
        <v>6240_20240611_0004_R_0469.jpg</v>
      </c>
      <c r="G6243" s="92" t="s">
        <v>6440</v>
      </c>
      <c r="I6243">
        <v>3</v>
      </c>
      <c r="K6243" s="57">
        <v>0</v>
      </c>
      <c r="L6243" t="s">
        <v>3959</v>
      </c>
      <c r="M6243" t="s">
        <v>3959</v>
      </c>
      <c r="N6243" t="s">
        <v>3959</v>
      </c>
      <c r="O6243" t="s">
        <v>3959</v>
      </c>
      <c r="P6243" s="57">
        <v>1</v>
      </c>
      <c r="Q6243" s="57">
        <v>0</v>
      </c>
      <c r="R6243" s="57">
        <v>0</v>
      </c>
      <c r="S6243" s="57">
        <v>0</v>
      </c>
      <c r="T6243" s="57">
        <v>0</v>
      </c>
      <c r="U6243" s="57">
        <v>0</v>
      </c>
      <c r="V6243" s="57">
        <v>0</v>
      </c>
      <c r="W6243" s="57">
        <v>0</v>
      </c>
      <c r="X6243" s="57">
        <v>0</v>
      </c>
    </row>
    <row r="6244" spans="1:24" hidden="1" x14ac:dyDescent="0.35">
      <c r="A6244">
        <v>6240</v>
      </c>
      <c r="B6244">
        <v>6241</v>
      </c>
      <c r="C6244">
        <v>146.085104465</v>
      </c>
      <c r="D6244">
        <v>-17.6274237455</v>
      </c>
      <c r="F6244" t="str">
        <f>HYPERLINK("D:\Data From Lucan\2024\Moresby\Frames_for_Analysis/6241_20240611_0004_R_0466.jpg","6241_20240611_0004_R_0466.jpg")</f>
        <v>6241_20240611_0004_R_0466.jpg</v>
      </c>
      <c r="G6244" s="92" t="s">
        <v>6441</v>
      </c>
      <c r="I6244">
        <v>3</v>
      </c>
      <c r="K6244" s="57">
        <v>1</v>
      </c>
      <c r="L6244" t="s">
        <v>3959</v>
      </c>
      <c r="M6244" t="s">
        <v>3959</v>
      </c>
      <c r="N6244" t="s">
        <v>3959</v>
      </c>
      <c r="O6244" t="s">
        <v>3959</v>
      </c>
      <c r="P6244" s="57">
        <v>1</v>
      </c>
      <c r="Q6244" s="57">
        <v>0</v>
      </c>
      <c r="R6244" s="57">
        <v>0</v>
      </c>
      <c r="S6244" s="57">
        <v>0</v>
      </c>
      <c r="T6244" s="57">
        <v>0</v>
      </c>
      <c r="U6244" s="57">
        <v>0</v>
      </c>
      <c r="V6244" s="57">
        <v>0</v>
      </c>
      <c r="W6244" s="57">
        <v>0</v>
      </c>
      <c r="X6244" s="57">
        <v>0</v>
      </c>
    </row>
    <row r="6245" spans="1:24" hidden="1" x14ac:dyDescent="0.35">
      <c r="A6245">
        <v>6241</v>
      </c>
      <c r="B6245">
        <v>6242</v>
      </c>
      <c r="C6245">
        <v>146.08519384799899</v>
      </c>
      <c r="D6245">
        <v>-17.627415195200001</v>
      </c>
      <c r="F6245" t="str">
        <f>HYPERLINK("D:\Data From Lucan\2024\Moresby\Frames_for_Analysis/6242_20240611_0004_R_0463.jpg","6242_20240611_0004_R_0463.jpg")</f>
        <v>6242_20240611_0004_R_0463.jpg</v>
      </c>
      <c r="G6245" s="92" t="s">
        <v>6442</v>
      </c>
      <c r="I6245">
        <v>3</v>
      </c>
      <c r="K6245" s="57">
        <v>1</v>
      </c>
      <c r="L6245" t="s">
        <v>3959</v>
      </c>
      <c r="M6245" t="s">
        <v>3959</v>
      </c>
      <c r="N6245" t="s">
        <v>3959</v>
      </c>
      <c r="O6245" t="s">
        <v>3959</v>
      </c>
      <c r="P6245" s="57">
        <v>1</v>
      </c>
      <c r="Q6245" s="57">
        <v>0</v>
      </c>
      <c r="R6245" s="57">
        <v>0</v>
      </c>
      <c r="S6245" s="57">
        <v>0</v>
      </c>
      <c r="T6245" s="57">
        <v>0</v>
      </c>
      <c r="U6245" s="57">
        <v>0</v>
      </c>
      <c r="V6245" s="57">
        <v>0</v>
      </c>
      <c r="W6245" s="57">
        <v>0</v>
      </c>
      <c r="X6245" s="57">
        <v>0</v>
      </c>
    </row>
    <row r="6246" spans="1:24" hidden="1" x14ac:dyDescent="0.35">
      <c r="A6246">
        <v>6242</v>
      </c>
      <c r="B6246">
        <v>6243</v>
      </c>
      <c r="C6246">
        <v>146.085282917999</v>
      </c>
      <c r="D6246">
        <v>-17.6274047064</v>
      </c>
      <c r="F6246" t="str">
        <f>HYPERLINK("D:\Data From Lucan\2024\Moresby\Frames_for_Analysis/6243_20240611_0004_R_0460.jpg","6243_20240611_0004_R_0460.jpg")</f>
        <v>6243_20240611_0004_R_0460.jpg</v>
      </c>
      <c r="G6246" s="92" t="s">
        <v>6443</v>
      </c>
      <c r="I6246">
        <v>3</v>
      </c>
      <c r="K6246" s="57">
        <v>1</v>
      </c>
      <c r="L6246" t="s">
        <v>3959</v>
      </c>
      <c r="M6246" t="s">
        <v>3959</v>
      </c>
      <c r="N6246" t="s">
        <v>3959</v>
      </c>
      <c r="O6246" t="s">
        <v>3959</v>
      </c>
      <c r="P6246" s="57">
        <v>1</v>
      </c>
      <c r="Q6246" s="57">
        <v>0</v>
      </c>
      <c r="R6246" s="57">
        <v>0</v>
      </c>
      <c r="S6246" s="57">
        <v>0</v>
      </c>
      <c r="T6246" s="57">
        <v>0</v>
      </c>
      <c r="U6246" s="57">
        <v>0</v>
      </c>
      <c r="V6246" s="57">
        <v>0</v>
      </c>
      <c r="W6246" s="57">
        <v>0</v>
      </c>
      <c r="X6246" s="57">
        <v>0</v>
      </c>
    </row>
    <row r="6247" spans="1:24" hidden="1" x14ac:dyDescent="0.35">
      <c r="A6247">
        <v>6243</v>
      </c>
      <c r="B6247">
        <v>6244</v>
      </c>
      <c r="C6247">
        <v>146.08537087600001</v>
      </c>
      <c r="D6247">
        <v>-17.627387313100002</v>
      </c>
      <c r="F6247" t="str">
        <f>HYPERLINK("D:\Data From Lucan\2024\Moresby\Frames_for_Analysis/6244_20240611_0004_R_0457.jpg","6244_20240611_0004_R_0457.jpg")</f>
        <v>6244_20240611_0004_R_0457.jpg</v>
      </c>
      <c r="G6247" s="92" t="s">
        <v>6444</v>
      </c>
      <c r="I6247">
        <v>3</v>
      </c>
      <c r="K6247" s="57">
        <v>1</v>
      </c>
      <c r="L6247" t="s">
        <v>3959</v>
      </c>
      <c r="M6247" t="s">
        <v>3959</v>
      </c>
      <c r="N6247" t="s">
        <v>3959</v>
      </c>
      <c r="O6247" t="s">
        <v>3959</v>
      </c>
      <c r="P6247" s="57">
        <v>1</v>
      </c>
      <c r="Q6247" s="57">
        <v>0</v>
      </c>
      <c r="R6247" s="57">
        <v>0</v>
      </c>
      <c r="S6247" s="57">
        <v>0</v>
      </c>
      <c r="T6247" s="57">
        <v>0</v>
      </c>
      <c r="U6247" s="57">
        <v>0</v>
      </c>
      <c r="V6247" s="57">
        <v>0</v>
      </c>
      <c r="W6247" s="57">
        <v>0</v>
      </c>
      <c r="X6247" s="57">
        <v>0</v>
      </c>
    </row>
    <row r="6248" spans="1:24" hidden="1" x14ac:dyDescent="0.35">
      <c r="A6248">
        <v>6244</v>
      </c>
      <c r="B6248">
        <v>6245</v>
      </c>
      <c r="C6248">
        <v>146.08545883400001</v>
      </c>
      <c r="D6248">
        <v>-17.627369919700001</v>
      </c>
      <c r="F6248" t="str">
        <f>HYPERLINK("D:\Data From Lucan\2024\Moresby\Frames_for_Analysis/6245_20240611_0004_R_0455.jpg","6245_20240611_0004_R_0455.jpg")</f>
        <v>6245_20240611_0004_R_0455.jpg</v>
      </c>
      <c r="G6248" s="92" t="s">
        <v>6445</v>
      </c>
      <c r="I6248">
        <v>3</v>
      </c>
      <c r="K6248" s="57">
        <v>1</v>
      </c>
      <c r="L6248" t="s">
        <v>3959</v>
      </c>
      <c r="M6248" t="s">
        <v>3959</v>
      </c>
      <c r="N6248" t="s">
        <v>3959</v>
      </c>
      <c r="O6248" t="s">
        <v>3959</v>
      </c>
      <c r="P6248" s="57">
        <v>1</v>
      </c>
      <c r="Q6248" s="57">
        <v>0</v>
      </c>
      <c r="R6248" s="57">
        <v>0</v>
      </c>
      <c r="S6248" s="57">
        <v>0</v>
      </c>
      <c r="T6248" s="57">
        <v>0</v>
      </c>
      <c r="U6248" s="57">
        <v>0</v>
      </c>
      <c r="V6248" s="57">
        <v>0</v>
      </c>
      <c r="W6248" s="57">
        <v>0</v>
      </c>
      <c r="X6248" s="57">
        <v>0</v>
      </c>
    </row>
    <row r="6249" spans="1:24" hidden="1" x14ac:dyDescent="0.35">
      <c r="A6249">
        <v>6245</v>
      </c>
      <c r="B6249">
        <v>6246</v>
      </c>
      <c r="C6249">
        <v>146.085546792</v>
      </c>
      <c r="D6249">
        <v>-17.627352526300001</v>
      </c>
      <c r="F6249" t="str">
        <f>HYPERLINK("D:\Data From Lucan\2024\Moresby\Frames_for_Analysis/6246_20240611_0004_R_0452.jpg","6246_20240611_0004_R_0452.jpg")</f>
        <v>6246_20240611_0004_R_0452.jpg</v>
      </c>
      <c r="G6249" s="92" t="s">
        <v>6446</v>
      </c>
      <c r="I6249">
        <v>3</v>
      </c>
      <c r="K6249" s="57">
        <v>1</v>
      </c>
      <c r="L6249" t="s">
        <v>3959</v>
      </c>
      <c r="M6249" t="s">
        <v>3959</v>
      </c>
      <c r="N6249" t="s">
        <v>3959</v>
      </c>
      <c r="O6249" t="s">
        <v>3959</v>
      </c>
      <c r="P6249" s="57">
        <v>1</v>
      </c>
      <c r="Q6249" s="57">
        <v>0</v>
      </c>
      <c r="R6249" s="57">
        <v>0</v>
      </c>
      <c r="S6249" s="57">
        <v>0</v>
      </c>
      <c r="T6249" s="57">
        <v>0</v>
      </c>
      <c r="U6249" s="57">
        <v>0</v>
      </c>
      <c r="V6249" s="57">
        <v>0</v>
      </c>
      <c r="W6249" s="57">
        <v>0</v>
      </c>
      <c r="X6249" s="57">
        <v>0</v>
      </c>
    </row>
    <row r="6250" spans="1:24" hidden="1" x14ac:dyDescent="0.35">
      <c r="A6250">
        <v>6246</v>
      </c>
      <c r="B6250">
        <v>6247</v>
      </c>
      <c r="C6250">
        <v>146.085634749999</v>
      </c>
      <c r="D6250">
        <v>-17.6273351329999</v>
      </c>
      <c r="F6250" t="str">
        <f>HYPERLINK("D:\Data From Lucan\2024\Moresby\Frames_for_Analysis/6247_20240611_0004_R_0449.jpg","6247_20240611_0004_R_0449.jpg")</f>
        <v>6247_20240611_0004_R_0449.jpg</v>
      </c>
      <c r="G6250" s="92" t="s">
        <v>6447</v>
      </c>
      <c r="I6250">
        <v>3</v>
      </c>
      <c r="K6250" s="57">
        <v>1</v>
      </c>
      <c r="L6250" t="s">
        <v>3959</v>
      </c>
      <c r="M6250" t="s">
        <v>3959</v>
      </c>
      <c r="N6250" t="s">
        <v>3959</v>
      </c>
      <c r="O6250" t="s">
        <v>3959</v>
      </c>
      <c r="P6250" s="57">
        <v>1</v>
      </c>
      <c r="Q6250" s="57">
        <v>0</v>
      </c>
      <c r="R6250" s="57">
        <v>0</v>
      </c>
      <c r="S6250" s="57">
        <v>0</v>
      </c>
      <c r="T6250" s="57">
        <v>0</v>
      </c>
      <c r="U6250" s="57">
        <v>0</v>
      </c>
      <c r="V6250" s="57">
        <v>0</v>
      </c>
      <c r="W6250" s="57">
        <v>0</v>
      </c>
      <c r="X6250" s="57">
        <v>0</v>
      </c>
    </row>
    <row r="6251" spans="1:24" hidden="1" x14ac:dyDescent="0.35">
      <c r="A6251">
        <v>6247</v>
      </c>
      <c r="B6251">
        <v>6248</v>
      </c>
      <c r="C6251">
        <v>146.085722707999</v>
      </c>
      <c r="D6251">
        <v>-17.627317739599899</v>
      </c>
      <c r="F6251" t="str">
        <f>HYPERLINK("D:\Data From Lucan\2024\Moresby\Frames_for_Analysis/6248_20240611_0004_R_0446.jpg","6248_20240611_0004_R_0446.jpg")</f>
        <v>6248_20240611_0004_R_0446.jpg</v>
      </c>
      <c r="G6251" s="92" t="s">
        <v>6448</v>
      </c>
      <c r="I6251">
        <v>3</v>
      </c>
      <c r="K6251" s="57">
        <v>1</v>
      </c>
      <c r="L6251" t="s">
        <v>3959</v>
      </c>
      <c r="M6251" t="s">
        <v>3959</v>
      </c>
      <c r="N6251" t="s">
        <v>3959</v>
      </c>
      <c r="O6251" t="s">
        <v>3959</v>
      </c>
      <c r="P6251" s="57">
        <v>1</v>
      </c>
      <c r="Q6251" s="57">
        <v>0</v>
      </c>
      <c r="R6251" s="57">
        <v>0</v>
      </c>
      <c r="S6251" s="57">
        <v>0</v>
      </c>
      <c r="T6251" s="57">
        <v>0</v>
      </c>
      <c r="U6251" s="57">
        <v>0</v>
      </c>
      <c r="V6251" s="57">
        <v>0</v>
      </c>
      <c r="W6251" s="57">
        <v>0</v>
      </c>
      <c r="X6251" s="57">
        <v>0</v>
      </c>
    </row>
    <row r="6252" spans="1:24" hidden="1" x14ac:dyDescent="0.35">
      <c r="A6252">
        <v>6248</v>
      </c>
      <c r="B6252">
        <v>6249</v>
      </c>
      <c r="C6252">
        <v>146.085811712999</v>
      </c>
      <c r="D6252">
        <v>-17.627307115200001</v>
      </c>
      <c r="F6252" t="str">
        <f>HYPERLINK("D:\Data From Lucan\2024\Moresby\Frames_for_Analysis/6249_20240611_0004_R_0444.jpg","6249_20240611_0004_R_0444.jpg")</f>
        <v>6249_20240611_0004_R_0444.jpg</v>
      </c>
      <c r="G6252" s="92" t="s">
        <v>6449</v>
      </c>
      <c r="I6252">
        <v>3</v>
      </c>
      <c r="K6252" s="57">
        <v>0</v>
      </c>
      <c r="L6252" t="s">
        <v>3959</v>
      </c>
      <c r="M6252" t="s">
        <v>3959</v>
      </c>
      <c r="N6252" t="s">
        <v>3959</v>
      </c>
      <c r="O6252" t="s">
        <v>3959</v>
      </c>
      <c r="P6252" s="57">
        <v>1</v>
      </c>
      <c r="Q6252" s="57">
        <v>0</v>
      </c>
      <c r="R6252" s="57">
        <v>0</v>
      </c>
      <c r="S6252" s="57">
        <v>0</v>
      </c>
      <c r="T6252" s="57">
        <v>0</v>
      </c>
      <c r="U6252" s="57">
        <v>0</v>
      </c>
      <c r="V6252" s="57">
        <v>0</v>
      </c>
      <c r="W6252" s="57">
        <v>0</v>
      </c>
      <c r="X6252" s="57">
        <v>0</v>
      </c>
    </row>
    <row r="6253" spans="1:24" hidden="1" x14ac:dyDescent="0.35">
      <c r="A6253">
        <v>6249</v>
      </c>
      <c r="B6253">
        <v>6250</v>
      </c>
      <c r="C6253">
        <v>146.085901196999</v>
      </c>
      <c r="D6253">
        <v>-17.627299588300001</v>
      </c>
      <c r="F6253" t="str">
        <f>HYPERLINK("D:\Data From Lucan\2024\Moresby\Frames_for_Analysis/6250_20240611_0004_R_0441.jpg","6250_20240611_0004_R_0441.jpg")</f>
        <v>6250_20240611_0004_R_0441.jpg</v>
      </c>
      <c r="G6253" s="92" t="s">
        <v>6450</v>
      </c>
      <c r="I6253">
        <v>3</v>
      </c>
      <c r="K6253" s="57">
        <v>1</v>
      </c>
      <c r="L6253" t="s">
        <v>3959</v>
      </c>
      <c r="M6253" t="s">
        <v>3959</v>
      </c>
      <c r="N6253" t="s">
        <v>3959</v>
      </c>
      <c r="O6253" t="s">
        <v>3959</v>
      </c>
      <c r="P6253" s="57">
        <v>1</v>
      </c>
      <c r="Q6253" s="57">
        <v>0</v>
      </c>
      <c r="R6253" s="57">
        <v>0</v>
      </c>
      <c r="S6253" s="57">
        <v>0</v>
      </c>
      <c r="T6253" s="57">
        <v>0</v>
      </c>
      <c r="U6253" s="57">
        <v>0</v>
      </c>
      <c r="V6253" s="57">
        <v>0</v>
      </c>
      <c r="W6253" s="57">
        <v>0</v>
      </c>
      <c r="X6253" s="57">
        <v>0</v>
      </c>
    </row>
    <row r="6254" spans="1:24" hidden="1" x14ac:dyDescent="0.35">
      <c r="A6254">
        <v>6250</v>
      </c>
      <c r="B6254">
        <v>6251</v>
      </c>
      <c r="C6254">
        <v>146.08599068000001</v>
      </c>
      <c r="D6254">
        <v>-17.6272920613</v>
      </c>
      <c r="F6254" t="str">
        <f>HYPERLINK("D:\Data From Lucan\2024\Moresby\Frames_for_Analysis/6251_20240611_0004_R_0438.jpg","6251_20240611_0004_R_0438.jpg")</f>
        <v>6251_20240611_0004_R_0438.jpg</v>
      </c>
      <c r="G6254" s="92" t="s">
        <v>6451</v>
      </c>
      <c r="I6254">
        <v>3</v>
      </c>
      <c r="K6254" s="57">
        <v>1</v>
      </c>
      <c r="L6254" t="s">
        <v>3959</v>
      </c>
      <c r="M6254" t="s">
        <v>3959</v>
      </c>
      <c r="N6254" t="s">
        <v>3959</v>
      </c>
      <c r="O6254" t="s">
        <v>3959</v>
      </c>
      <c r="P6254" s="57">
        <v>1</v>
      </c>
      <c r="Q6254" s="57">
        <v>0</v>
      </c>
      <c r="R6254" s="57">
        <v>0</v>
      </c>
      <c r="S6254" s="57">
        <v>0</v>
      </c>
      <c r="T6254" s="57">
        <v>0</v>
      </c>
      <c r="U6254" s="57">
        <v>0</v>
      </c>
      <c r="V6254" s="57">
        <v>0</v>
      </c>
      <c r="W6254" s="57">
        <v>0</v>
      </c>
      <c r="X6254" s="57">
        <v>0</v>
      </c>
    </row>
    <row r="6255" spans="1:24" hidden="1" x14ac:dyDescent="0.35">
      <c r="A6255">
        <v>6251</v>
      </c>
      <c r="B6255">
        <v>6252</v>
      </c>
      <c r="C6255">
        <v>146.08608016400001</v>
      </c>
      <c r="D6255">
        <v>-17.627284534400001</v>
      </c>
      <c r="F6255" t="str">
        <f>HYPERLINK("D:\Data From Lucan\2024\Moresby\Frames_for_Analysis/6252_20240611_0004_R_0436.jpg","6252_20240611_0004_R_0436.jpg")</f>
        <v>6252_20240611_0004_R_0436.jpg</v>
      </c>
      <c r="G6255" s="92" t="s">
        <v>6452</v>
      </c>
      <c r="I6255">
        <v>3</v>
      </c>
      <c r="K6255" s="57">
        <v>1</v>
      </c>
      <c r="L6255" t="s">
        <v>3959</v>
      </c>
      <c r="M6255" t="s">
        <v>3959</v>
      </c>
      <c r="N6255" t="s">
        <v>3959</v>
      </c>
      <c r="O6255" t="s">
        <v>3959</v>
      </c>
      <c r="P6255" s="57">
        <v>1</v>
      </c>
      <c r="Q6255" s="57">
        <v>0</v>
      </c>
      <c r="R6255" s="57">
        <v>0</v>
      </c>
      <c r="S6255" s="57">
        <v>0</v>
      </c>
      <c r="T6255" s="57">
        <v>0</v>
      </c>
      <c r="U6255" s="57">
        <v>0</v>
      </c>
      <c r="V6255" s="57">
        <v>0</v>
      </c>
      <c r="W6255" s="57">
        <v>0</v>
      </c>
      <c r="X6255" s="57">
        <v>0</v>
      </c>
    </row>
    <row r="6256" spans="1:24" hidden="1" x14ac:dyDescent="0.35">
      <c r="A6256">
        <v>6252</v>
      </c>
      <c r="B6256">
        <v>6253</v>
      </c>
      <c r="C6256">
        <v>146.086169552</v>
      </c>
      <c r="D6256">
        <v>-17.627286248200001</v>
      </c>
      <c r="F6256" t="str">
        <f>HYPERLINK("D:\Data From Lucan\2024\Moresby\Frames_for_Analysis/6253_20240611_0004_R_0433.jpg","6253_20240611_0004_R_0433.jpg")</f>
        <v>6253_20240611_0004_R_0433.jpg</v>
      </c>
      <c r="G6256" s="92" t="s">
        <v>6453</v>
      </c>
      <c r="I6256">
        <v>3</v>
      </c>
      <c r="K6256" s="57">
        <v>1</v>
      </c>
      <c r="L6256" t="s">
        <v>3959</v>
      </c>
      <c r="M6256" t="s">
        <v>3959</v>
      </c>
      <c r="N6256" t="s">
        <v>3959</v>
      </c>
      <c r="O6256" t="s">
        <v>3959</v>
      </c>
      <c r="P6256" s="57">
        <v>1</v>
      </c>
      <c r="Q6256" s="57">
        <v>0</v>
      </c>
      <c r="R6256" s="57">
        <v>0</v>
      </c>
      <c r="S6256" s="57">
        <v>0</v>
      </c>
      <c r="T6256" s="57">
        <v>0</v>
      </c>
      <c r="U6256" s="57">
        <v>0</v>
      </c>
      <c r="V6256" s="57">
        <v>0</v>
      </c>
      <c r="W6256" s="57">
        <v>0</v>
      </c>
      <c r="X6256" s="57">
        <v>0</v>
      </c>
    </row>
    <row r="6257" spans="1:24" hidden="1" x14ac:dyDescent="0.35">
      <c r="A6257">
        <v>6253</v>
      </c>
      <c r="B6257">
        <v>6254</v>
      </c>
      <c r="C6257">
        <v>146.086258861</v>
      </c>
      <c r="D6257">
        <v>-17.6272954648</v>
      </c>
      <c r="F6257" t="str">
        <f>HYPERLINK("D:\Data From Lucan\2024\Moresby\Frames_for_Analysis/6254_20240611_0004_R_0430.jpg","6254_20240611_0004_R_0430.jpg")</f>
        <v>6254_20240611_0004_R_0430.jpg</v>
      </c>
      <c r="G6257" s="92" t="s">
        <v>6454</v>
      </c>
      <c r="I6257">
        <v>3</v>
      </c>
      <c r="K6257" s="57">
        <v>1</v>
      </c>
      <c r="L6257" t="s">
        <v>3959</v>
      </c>
      <c r="M6257" t="s">
        <v>3959</v>
      </c>
      <c r="N6257" t="s">
        <v>3959</v>
      </c>
      <c r="O6257" t="s">
        <v>3959</v>
      </c>
      <c r="P6257" s="57">
        <v>1</v>
      </c>
      <c r="Q6257" s="57">
        <v>0</v>
      </c>
      <c r="R6257" s="57">
        <v>0</v>
      </c>
      <c r="S6257" s="57">
        <v>0</v>
      </c>
      <c r="T6257" s="57">
        <v>0</v>
      </c>
      <c r="U6257" s="57">
        <v>0</v>
      </c>
      <c r="V6257" s="57">
        <v>0</v>
      </c>
      <c r="W6257" s="57">
        <v>0</v>
      </c>
      <c r="X6257" s="57">
        <v>0</v>
      </c>
    </row>
    <row r="6258" spans="1:24" hidden="1" x14ac:dyDescent="0.35">
      <c r="A6258">
        <v>6254</v>
      </c>
      <c r="B6258">
        <v>6255</v>
      </c>
      <c r="C6258">
        <v>146.086348170999</v>
      </c>
      <c r="D6258">
        <v>-17.627304681399899</v>
      </c>
      <c r="F6258" t="str">
        <f>HYPERLINK("D:\Data From Lucan\2024\Moresby\Frames_for_Analysis/6255_20240611_0004_R_0427.jpg","6255_20240611_0004_R_0427.jpg")</f>
        <v>6255_20240611_0004_R_0427.jpg</v>
      </c>
      <c r="G6258" s="92" t="s">
        <v>6455</v>
      </c>
      <c r="I6258">
        <v>3</v>
      </c>
      <c r="K6258" s="57">
        <v>1</v>
      </c>
      <c r="L6258" t="s">
        <v>3959</v>
      </c>
      <c r="M6258" t="s">
        <v>3959</v>
      </c>
      <c r="N6258" t="s">
        <v>3959</v>
      </c>
      <c r="O6258" t="s">
        <v>3959</v>
      </c>
      <c r="P6258" s="57">
        <v>1</v>
      </c>
      <c r="Q6258" s="57">
        <v>0</v>
      </c>
      <c r="R6258" s="57">
        <v>0</v>
      </c>
      <c r="S6258" s="57">
        <v>0</v>
      </c>
      <c r="T6258" s="57">
        <v>0</v>
      </c>
      <c r="U6258" s="57">
        <v>0</v>
      </c>
      <c r="V6258" s="57">
        <v>0</v>
      </c>
      <c r="W6258" s="57">
        <v>0</v>
      </c>
      <c r="X6258" s="57">
        <v>0</v>
      </c>
    </row>
    <row r="6259" spans="1:24" hidden="1" x14ac:dyDescent="0.35">
      <c r="A6259">
        <v>6255</v>
      </c>
      <c r="B6259">
        <v>6256</v>
      </c>
      <c r="C6259">
        <v>146.08643748</v>
      </c>
      <c r="D6259">
        <v>-17.627313898000001</v>
      </c>
      <c r="F6259" t="str">
        <f>HYPERLINK("D:\Data From Lucan\2024\Moresby\Frames_for_Analysis/6256_20240611_0004_R_0425.jpg","6256_20240611_0004_R_0425.jpg")</f>
        <v>6256_20240611_0004_R_0425.jpg</v>
      </c>
      <c r="G6259" s="92" t="s">
        <v>6456</v>
      </c>
      <c r="I6259">
        <v>3</v>
      </c>
      <c r="K6259" s="57">
        <v>1</v>
      </c>
      <c r="L6259" t="s">
        <v>3959</v>
      </c>
      <c r="M6259" t="s">
        <v>3959</v>
      </c>
      <c r="N6259" t="s">
        <v>3959</v>
      </c>
      <c r="O6259" t="s">
        <v>3959</v>
      </c>
      <c r="P6259" s="57">
        <v>1</v>
      </c>
      <c r="Q6259" s="57">
        <v>0</v>
      </c>
      <c r="R6259" s="57">
        <v>0</v>
      </c>
      <c r="S6259" s="57">
        <v>0</v>
      </c>
      <c r="T6259" s="57">
        <v>0</v>
      </c>
      <c r="U6259" s="57">
        <v>0</v>
      </c>
      <c r="V6259" s="57">
        <v>0</v>
      </c>
      <c r="W6259" s="57">
        <v>0</v>
      </c>
      <c r="X6259" s="57">
        <v>0</v>
      </c>
    </row>
    <row r="6260" spans="1:24" hidden="1" x14ac:dyDescent="0.35">
      <c r="A6260">
        <v>6256</v>
      </c>
      <c r="B6260">
        <v>6257</v>
      </c>
      <c r="C6260">
        <v>146.086526789999</v>
      </c>
      <c r="D6260">
        <v>-17.6273231145999</v>
      </c>
      <c r="F6260" t="str">
        <f>HYPERLINK("D:\Data From Lucan\2024\Moresby\Frames_for_Analysis/6257_20240611_0004_R_0422.jpg","6257_20240611_0004_R_0422.jpg")</f>
        <v>6257_20240611_0004_R_0422.jpg</v>
      </c>
      <c r="G6260" s="92" t="s">
        <v>6457</v>
      </c>
      <c r="I6260">
        <v>3</v>
      </c>
      <c r="K6260" s="57">
        <v>1</v>
      </c>
      <c r="L6260" t="s">
        <v>3959</v>
      </c>
      <c r="M6260" t="s">
        <v>3959</v>
      </c>
      <c r="N6260" t="s">
        <v>3959</v>
      </c>
      <c r="O6260" t="s">
        <v>3959</v>
      </c>
      <c r="P6260" s="57">
        <v>1</v>
      </c>
      <c r="Q6260" s="57">
        <v>0</v>
      </c>
      <c r="R6260" s="57">
        <v>0</v>
      </c>
      <c r="S6260" s="57">
        <v>0</v>
      </c>
      <c r="T6260" s="57">
        <v>0</v>
      </c>
      <c r="U6260" s="57">
        <v>0</v>
      </c>
      <c r="V6260" s="57">
        <v>0</v>
      </c>
      <c r="W6260" s="57">
        <v>0</v>
      </c>
      <c r="X6260" s="57">
        <v>0</v>
      </c>
    </row>
    <row r="6261" spans="1:24" hidden="1" x14ac:dyDescent="0.35">
      <c r="A6261">
        <v>6257</v>
      </c>
      <c r="B6261">
        <v>6258</v>
      </c>
      <c r="C6261">
        <v>146.086616098999</v>
      </c>
      <c r="D6261">
        <v>-17.6273323311</v>
      </c>
      <c r="F6261" t="str">
        <f>HYPERLINK("D:\Data From Lucan\2024\Moresby\Frames_for_Analysis/6258_20240611_0004_R_0419.jpg","6258_20240611_0004_R_0419.jpg")</f>
        <v>6258_20240611_0004_R_0419.jpg</v>
      </c>
      <c r="G6261" s="92" t="s">
        <v>6458</v>
      </c>
      <c r="I6261">
        <v>3</v>
      </c>
      <c r="K6261" s="57">
        <v>1</v>
      </c>
      <c r="L6261" t="s">
        <v>3959</v>
      </c>
      <c r="M6261" t="s">
        <v>3959</v>
      </c>
      <c r="N6261" t="s">
        <v>3959</v>
      </c>
      <c r="O6261" t="s">
        <v>3959</v>
      </c>
      <c r="P6261" s="57">
        <v>1</v>
      </c>
      <c r="Q6261" s="57">
        <v>0</v>
      </c>
      <c r="R6261" s="57">
        <v>0</v>
      </c>
      <c r="S6261" s="57">
        <v>0</v>
      </c>
      <c r="T6261" s="57">
        <v>0</v>
      </c>
      <c r="U6261" s="57">
        <v>0</v>
      </c>
      <c r="V6261" s="57">
        <v>0</v>
      </c>
      <c r="W6261" s="57">
        <v>0</v>
      </c>
      <c r="X6261" s="57">
        <v>0</v>
      </c>
    </row>
    <row r="6262" spans="1:24" hidden="1" x14ac:dyDescent="0.35">
      <c r="A6262">
        <v>6258</v>
      </c>
      <c r="B6262">
        <v>6259</v>
      </c>
      <c r="C6262">
        <v>146.086705770999</v>
      </c>
      <c r="D6262">
        <v>-17.6273351978999</v>
      </c>
      <c r="F6262" t="str">
        <f>HYPERLINK("D:\Data From Lucan\2024\Moresby\Frames_for_Analysis/6259_20240611_0004_R_0416.jpg","6259_20240611_0004_R_0416.jpg")</f>
        <v>6259_20240611_0004_R_0416.jpg</v>
      </c>
      <c r="G6262" s="92" t="s">
        <v>6459</v>
      </c>
      <c r="I6262">
        <v>3</v>
      </c>
      <c r="K6262" s="57">
        <v>0</v>
      </c>
      <c r="L6262" t="s">
        <v>3959</v>
      </c>
      <c r="M6262" t="s">
        <v>3959</v>
      </c>
      <c r="N6262" t="s">
        <v>3959</v>
      </c>
      <c r="O6262" t="s">
        <v>3959</v>
      </c>
      <c r="P6262" s="57">
        <v>1</v>
      </c>
      <c r="Q6262" s="57">
        <v>0</v>
      </c>
      <c r="R6262" s="57">
        <v>0</v>
      </c>
      <c r="S6262" s="57">
        <v>0</v>
      </c>
      <c r="T6262" s="57">
        <v>0</v>
      </c>
      <c r="U6262" s="57">
        <v>0</v>
      </c>
      <c r="V6262" s="57">
        <v>0</v>
      </c>
      <c r="W6262" s="57">
        <v>0</v>
      </c>
      <c r="X6262" s="57">
        <v>0</v>
      </c>
    </row>
    <row r="6263" spans="1:24" hidden="1" x14ac:dyDescent="0.35">
      <c r="A6263">
        <v>6259</v>
      </c>
      <c r="B6263">
        <v>6260</v>
      </c>
      <c r="C6263">
        <v>146.08679558399899</v>
      </c>
      <c r="D6263">
        <v>-17.627336924400002</v>
      </c>
      <c r="F6263" t="str">
        <f>HYPERLINK("D:\Data From Lucan\2024\Moresby\Frames_for_Analysis/6260_20240611_0004_R_0413.jpg","6260_20240611_0004_R_0413.jpg")</f>
        <v>6260_20240611_0004_R_0413.jpg</v>
      </c>
      <c r="G6263" s="92" t="s">
        <v>6460</v>
      </c>
      <c r="I6263">
        <v>3</v>
      </c>
      <c r="K6263" s="57">
        <v>0</v>
      </c>
      <c r="L6263" t="s">
        <v>3959</v>
      </c>
      <c r="M6263" t="s">
        <v>3959</v>
      </c>
      <c r="N6263" t="s">
        <v>3959</v>
      </c>
      <c r="O6263" t="s">
        <v>3959</v>
      </c>
      <c r="P6263" s="57">
        <v>1</v>
      </c>
      <c r="Q6263" s="57">
        <v>0</v>
      </c>
      <c r="R6263" s="57">
        <v>0</v>
      </c>
      <c r="S6263" s="57">
        <v>0</v>
      </c>
      <c r="T6263" s="57">
        <v>0</v>
      </c>
      <c r="U6263" s="57">
        <v>0</v>
      </c>
      <c r="V6263" s="57">
        <v>0</v>
      </c>
      <c r="W6263" s="57">
        <v>0</v>
      </c>
      <c r="X6263" s="57">
        <v>0</v>
      </c>
    </row>
    <row r="6264" spans="1:24" hidden="1" x14ac:dyDescent="0.35">
      <c r="A6264">
        <v>6260</v>
      </c>
      <c r="B6264">
        <v>6261</v>
      </c>
      <c r="C6264">
        <v>146.086885397</v>
      </c>
      <c r="D6264">
        <v>-17.627338650799899</v>
      </c>
      <c r="F6264" t="str">
        <f>HYPERLINK("D:\Data From Lucan\2024\Moresby\Frames_for_Analysis/6261_20240611_0004_R_0410.jpg","6261_20240611_0004_R_0410.jpg")</f>
        <v>6261_20240611_0004_R_0410.jpg</v>
      </c>
      <c r="G6264" s="92" t="s">
        <v>6461</v>
      </c>
      <c r="I6264">
        <v>3</v>
      </c>
      <c r="K6264" s="57">
        <v>0</v>
      </c>
      <c r="L6264" t="s">
        <v>3959</v>
      </c>
      <c r="M6264" t="s">
        <v>3959</v>
      </c>
      <c r="N6264" t="s">
        <v>3959</v>
      </c>
      <c r="O6264" t="s">
        <v>3959</v>
      </c>
      <c r="P6264" s="57">
        <v>1</v>
      </c>
      <c r="Q6264" s="57">
        <v>0</v>
      </c>
      <c r="R6264" s="57">
        <v>0</v>
      </c>
      <c r="S6264" s="57">
        <v>0</v>
      </c>
      <c r="T6264" s="57">
        <v>0</v>
      </c>
      <c r="U6264" s="57">
        <v>0</v>
      </c>
      <c r="V6264" s="57">
        <v>0</v>
      </c>
      <c r="W6264" s="57">
        <v>0</v>
      </c>
      <c r="X6264" s="57">
        <v>0</v>
      </c>
    </row>
    <row r="6265" spans="1:24" hidden="1" x14ac:dyDescent="0.35">
      <c r="A6265">
        <v>6261</v>
      </c>
      <c r="B6265">
        <v>6262</v>
      </c>
      <c r="C6265">
        <v>146.086975209999</v>
      </c>
      <c r="D6265">
        <v>-17.627340377300001</v>
      </c>
      <c r="F6265" t="str">
        <f>HYPERLINK("D:\Data From Lucan\2024\Moresby\Frames_for_Analysis/6262_20240611_0004_R_0408.jpg","6262_20240611_0004_R_0408.jpg")</f>
        <v>6262_20240611_0004_R_0408.jpg</v>
      </c>
      <c r="G6265" s="92" t="s">
        <v>6462</v>
      </c>
      <c r="I6265">
        <v>3</v>
      </c>
      <c r="K6265" s="57">
        <v>0</v>
      </c>
      <c r="L6265" t="s">
        <v>3959</v>
      </c>
      <c r="M6265" t="s">
        <v>3959</v>
      </c>
      <c r="N6265" t="s">
        <v>3959</v>
      </c>
      <c r="O6265" t="s">
        <v>3959</v>
      </c>
      <c r="P6265" s="57">
        <v>1</v>
      </c>
      <c r="Q6265" s="57">
        <v>0</v>
      </c>
      <c r="R6265" s="57">
        <v>2</v>
      </c>
      <c r="S6265" s="57">
        <v>0</v>
      </c>
      <c r="T6265" s="57">
        <v>0</v>
      </c>
      <c r="U6265" s="57">
        <v>0</v>
      </c>
      <c r="V6265" s="57">
        <v>0</v>
      </c>
      <c r="W6265" s="57">
        <v>0</v>
      </c>
      <c r="X6265" s="57">
        <v>0</v>
      </c>
    </row>
    <row r="6266" spans="1:24" hidden="1" x14ac:dyDescent="0.35">
      <c r="A6266">
        <v>6262</v>
      </c>
      <c r="B6266">
        <v>6263</v>
      </c>
      <c r="C6266">
        <v>146.087065023999</v>
      </c>
      <c r="D6266">
        <v>-17.6273421038</v>
      </c>
      <c r="F6266" t="str">
        <f>HYPERLINK("D:\Data From Lucan\2024\Moresby\Frames_for_Analysis/6263_20240611_0004_R_0405.jpg","6263_20240611_0004_R_0405.jpg")</f>
        <v>6263_20240611_0004_R_0405.jpg</v>
      </c>
      <c r="G6266" s="92" t="s">
        <v>6463</v>
      </c>
      <c r="I6266">
        <v>3</v>
      </c>
      <c r="K6266" s="57">
        <v>0</v>
      </c>
      <c r="L6266" t="s">
        <v>3959</v>
      </c>
      <c r="M6266" t="s">
        <v>3959</v>
      </c>
      <c r="N6266" t="s">
        <v>3959</v>
      </c>
      <c r="O6266" t="s">
        <v>3959</v>
      </c>
      <c r="P6266" s="57">
        <v>1</v>
      </c>
      <c r="Q6266" s="57">
        <v>0</v>
      </c>
      <c r="R6266" s="57">
        <v>0</v>
      </c>
      <c r="S6266" s="57">
        <v>0</v>
      </c>
      <c r="T6266" s="57">
        <v>0</v>
      </c>
      <c r="U6266" s="57">
        <v>0</v>
      </c>
      <c r="V6266" s="57">
        <v>0</v>
      </c>
      <c r="W6266" s="57">
        <v>0</v>
      </c>
      <c r="X6266" s="57">
        <v>0</v>
      </c>
    </row>
    <row r="6267" spans="1:24" hidden="1" x14ac:dyDescent="0.35">
      <c r="A6267">
        <v>6263</v>
      </c>
      <c r="B6267">
        <v>6264</v>
      </c>
      <c r="C6267">
        <v>146.08715483700001</v>
      </c>
      <c r="D6267">
        <v>-17.6273438302999</v>
      </c>
      <c r="F6267" t="str">
        <f>HYPERLINK("D:\Data From Lucan\2024\Moresby\Frames_for_Analysis/6264_20240611_0004_R_0402.jpg","6264_20240611_0004_R_0402.jpg")</f>
        <v>6264_20240611_0004_R_0402.jpg</v>
      </c>
      <c r="G6267" s="92" t="s">
        <v>6464</v>
      </c>
      <c r="I6267">
        <v>3</v>
      </c>
      <c r="K6267" s="57">
        <v>1</v>
      </c>
      <c r="L6267" t="s">
        <v>3959</v>
      </c>
      <c r="M6267" t="s">
        <v>3959</v>
      </c>
      <c r="N6267" t="s">
        <v>3959</v>
      </c>
      <c r="O6267" t="s">
        <v>3959</v>
      </c>
      <c r="P6267" s="57">
        <v>1</v>
      </c>
      <c r="Q6267" s="57">
        <v>0</v>
      </c>
      <c r="R6267" s="57">
        <v>0</v>
      </c>
      <c r="S6267" s="57">
        <v>0</v>
      </c>
      <c r="T6267" s="57">
        <v>0</v>
      </c>
      <c r="U6267" s="57">
        <v>0</v>
      </c>
      <c r="V6267" s="57">
        <v>0</v>
      </c>
      <c r="W6267" s="57">
        <v>0</v>
      </c>
      <c r="X6267" s="57">
        <v>0</v>
      </c>
    </row>
    <row r="6268" spans="1:24" hidden="1" x14ac:dyDescent="0.35">
      <c r="A6268">
        <v>6264</v>
      </c>
      <c r="B6268">
        <v>6265</v>
      </c>
      <c r="C6268">
        <v>146.08724448800001</v>
      </c>
      <c r="D6268">
        <v>-17.627340647400001</v>
      </c>
      <c r="F6268" t="str">
        <f>HYPERLINK("D:\Data From Lucan\2024\Moresby\Frames_for_Analysis/6265_20240611_0004_R_0399.jpg","6265_20240611_0004_R_0399.jpg")</f>
        <v>6265_20240611_0004_R_0399.jpg</v>
      </c>
      <c r="G6268" s="92" t="s">
        <v>6465</v>
      </c>
      <c r="I6268">
        <v>3</v>
      </c>
      <c r="K6268" s="57">
        <v>0</v>
      </c>
      <c r="L6268" t="s">
        <v>3959</v>
      </c>
      <c r="M6268" t="s">
        <v>3959</v>
      </c>
      <c r="N6268" t="s">
        <v>3959</v>
      </c>
      <c r="O6268" t="s">
        <v>3959</v>
      </c>
      <c r="P6268" s="57">
        <v>1</v>
      </c>
      <c r="Q6268" s="57">
        <v>0</v>
      </c>
      <c r="R6268" s="57">
        <v>0</v>
      </c>
      <c r="S6268" s="57">
        <v>0</v>
      </c>
      <c r="T6268" s="57">
        <v>0</v>
      </c>
      <c r="U6268" s="57">
        <v>0</v>
      </c>
      <c r="V6268" s="57">
        <v>0</v>
      </c>
      <c r="W6268" s="57">
        <v>0</v>
      </c>
      <c r="X6268" s="57">
        <v>0</v>
      </c>
    </row>
    <row r="6269" spans="1:24" hidden="1" x14ac:dyDescent="0.35">
      <c r="A6269">
        <v>6265</v>
      </c>
      <c r="B6269">
        <v>6266</v>
      </c>
      <c r="C6269">
        <v>146.087334007999</v>
      </c>
      <c r="D6269">
        <v>-17.6273335254999</v>
      </c>
      <c r="F6269" t="str">
        <f>HYPERLINK("D:\Data From Lucan\2024\Moresby\Frames_for_Analysis/6266_20240611_0004_R_0397.jpg","6266_20240611_0004_R_0397.jpg")</f>
        <v>6266_20240611_0004_R_0397.jpg</v>
      </c>
      <c r="G6269" s="92" t="s">
        <v>6466</v>
      </c>
      <c r="I6269">
        <v>3</v>
      </c>
      <c r="K6269" s="57">
        <v>0</v>
      </c>
      <c r="L6269" t="s">
        <v>3959</v>
      </c>
      <c r="M6269" t="s">
        <v>3959</v>
      </c>
      <c r="N6269" t="s">
        <v>3959</v>
      </c>
      <c r="O6269" t="s">
        <v>3959</v>
      </c>
      <c r="P6269" s="57">
        <v>1</v>
      </c>
      <c r="Q6269" s="57">
        <v>0</v>
      </c>
      <c r="R6269" s="57">
        <v>0</v>
      </c>
      <c r="S6269" s="57">
        <v>0</v>
      </c>
      <c r="T6269" s="57">
        <v>0</v>
      </c>
      <c r="U6269" s="57">
        <v>0</v>
      </c>
      <c r="V6269" s="57">
        <v>0</v>
      </c>
      <c r="W6269" s="57">
        <v>0</v>
      </c>
      <c r="X6269" s="57">
        <v>0</v>
      </c>
    </row>
    <row r="6270" spans="1:24" hidden="1" x14ac:dyDescent="0.35">
      <c r="A6270">
        <v>6266</v>
      </c>
      <c r="B6270">
        <v>6267</v>
      </c>
      <c r="C6270">
        <v>146.08742352799899</v>
      </c>
      <c r="D6270">
        <v>-17.6273264035</v>
      </c>
      <c r="F6270" t="str">
        <f>HYPERLINK("D:\Data From Lucan\2024\Moresby\Frames_for_Analysis/6267_20240611_0004_R_0394.jpg","6267_20240611_0004_R_0394.jpg")</f>
        <v>6267_20240611_0004_R_0394.jpg</v>
      </c>
      <c r="G6270" s="92" t="s">
        <v>6467</v>
      </c>
      <c r="I6270">
        <v>3</v>
      </c>
      <c r="K6270" s="57">
        <v>0</v>
      </c>
      <c r="L6270" t="s">
        <v>3959</v>
      </c>
      <c r="M6270" t="s">
        <v>3959</v>
      </c>
      <c r="N6270" t="s">
        <v>3959</v>
      </c>
      <c r="O6270" t="s">
        <v>3959</v>
      </c>
      <c r="P6270" s="57">
        <v>1</v>
      </c>
      <c r="Q6270" s="57">
        <v>0</v>
      </c>
      <c r="R6270" s="57">
        <v>0</v>
      </c>
      <c r="S6270" s="57">
        <v>0</v>
      </c>
      <c r="T6270" s="57">
        <v>0</v>
      </c>
      <c r="U6270" s="57">
        <v>0</v>
      </c>
      <c r="V6270" s="57">
        <v>0</v>
      </c>
      <c r="W6270" s="57">
        <v>0</v>
      </c>
      <c r="X6270" s="57">
        <v>0</v>
      </c>
    </row>
    <row r="6271" spans="1:24" hidden="1" x14ac:dyDescent="0.35">
      <c r="A6271">
        <v>6267</v>
      </c>
      <c r="B6271">
        <v>6268</v>
      </c>
      <c r="C6271">
        <v>146.08751304800001</v>
      </c>
      <c r="D6271">
        <v>-17.627319281399899</v>
      </c>
      <c r="F6271" t="str">
        <f>HYPERLINK("D:\Data From Lucan\2024\Moresby\Frames_for_Analysis/6268_20240611_0004_R_0391.jpg","6268_20240611_0004_R_0391.jpg")</f>
        <v>6268_20240611_0004_R_0391.jpg</v>
      </c>
      <c r="G6271" s="92" t="s">
        <v>6468</v>
      </c>
      <c r="I6271">
        <v>3</v>
      </c>
      <c r="K6271" s="57">
        <v>1</v>
      </c>
      <c r="L6271" t="s">
        <v>3959</v>
      </c>
      <c r="M6271" t="s">
        <v>3959</v>
      </c>
      <c r="N6271" t="s">
        <v>3959</v>
      </c>
      <c r="O6271" t="s">
        <v>3959</v>
      </c>
      <c r="P6271" s="57">
        <v>1</v>
      </c>
      <c r="Q6271" s="57">
        <v>0</v>
      </c>
      <c r="R6271" s="57">
        <v>0</v>
      </c>
      <c r="S6271" s="57">
        <v>0</v>
      </c>
      <c r="T6271" s="57">
        <v>0</v>
      </c>
      <c r="U6271" s="57">
        <v>0</v>
      </c>
      <c r="V6271" s="57">
        <v>0</v>
      </c>
      <c r="W6271" s="57">
        <v>0</v>
      </c>
      <c r="X6271" s="57">
        <v>0</v>
      </c>
    </row>
    <row r="6272" spans="1:24" hidden="1" x14ac:dyDescent="0.35">
      <c r="A6272">
        <v>6268</v>
      </c>
      <c r="B6272">
        <v>6269</v>
      </c>
      <c r="C6272">
        <v>146.08760258000001</v>
      </c>
      <c r="D6272">
        <v>-17.6273140459</v>
      </c>
      <c r="F6272" t="str">
        <f>HYPERLINK("D:\Data From Lucan\2024\Moresby\Frames_for_Analysis/6269_20240611_0004_R_0388.jpg","6269_20240611_0004_R_0388.jpg")</f>
        <v>6269_20240611_0004_R_0388.jpg</v>
      </c>
      <c r="G6272" s="92" t="s">
        <v>6469</v>
      </c>
      <c r="I6272">
        <v>3</v>
      </c>
      <c r="K6272" s="57">
        <v>1</v>
      </c>
      <c r="L6272" t="s">
        <v>3959</v>
      </c>
      <c r="M6272" t="s">
        <v>3959</v>
      </c>
      <c r="N6272" t="s">
        <v>3959</v>
      </c>
      <c r="O6272" t="s">
        <v>3959</v>
      </c>
      <c r="P6272" s="57">
        <v>1</v>
      </c>
      <c r="Q6272" s="57">
        <v>0</v>
      </c>
      <c r="R6272" s="57">
        <v>0</v>
      </c>
      <c r="S6272" s="57">
        <v>0</v>
      </c>
      <c r="T6272" s="57">
        <v>0</v>
      </c>
      <c r="U6272" s="57">
        <v>0</v>
      </c>
      <c r="V6272" s="57">
        <v>0</v>
      </c>
      <c r="W6272" s="57">
        <v>0</v>
      </c>
      <c r="X6272" s="57">
        <v>0</v>
      </c>
    </row>
    <row r="6273" spans="1:24" hidden="1" x14ac:dyDescent="0.35">
      <c r="A6273">
        <v>6269</v>
      </c>
      <c r="B6273">
        <v>6270</v>
      </c>
      <c r="C6273">
        <v>146.08769218500001</v>
      </c>
      <c r="D6273">
        <v>-17.627320130000001</v>
      </c>
      <c r="F6273" t="str">
        <f>HYPERLINK("D:\Data From Lucan\2024\Moresby\Frames_for_Analysis/6270_20240611_0004_R_0385.jpg","6270_20240611_0004_R_0385.jpg")</f>
        <v>6270_20240611_0004_R_0385.jpg</v>
      </c>
      <c r="G6273" s="92" t="s">
        <v>6470</v>
      </c>
      <c r="I6273">
        <v>3</v>
      </c>
      <c r="K6273" s="57">
        <v>1</v>
      </c>
      <c r="L6273" t="s">
        <v>3959</v>
      </c>
      <c r="M6273" t="s">
        <v>3959</v>
      </c>
      <c r="N6273" t="s">
        <v>3959</v>
      </c>
      <c r="O6273" t="s">
        <v>3959</v>
      </c>
      <c r="P6273" s="57">
        <v>1</v>
      </c>
      <c r="Q6273" s="57">
        <v>0</v>
      </c>
      <c r="R6273" s="57">
        <v>0</v>
      </c>
      <c r="S6273" s="57">
        <v>0</v>
      </c>
      <c r="T6273" s="57">
        <v>0</v>
      </c>
      <c r="U6273" s="57">
        <v>0</v>
      </c>
      <c r="V6273" s="57">
        <v>0</v>
      </c>
      <c r="W6273" s="57">
        <v>0</v>
      </c>
      <c r="X6273" s="57">
        <v>0</v>
      </c>
    </row>
    <row r="6274" spans="1:24" hidden="1" x14ac:dyDescent="0.35">
      <c r="A6274">
        <v>6270</v>
      </c>
      <c r="B6274">
        <v>6271</v>
      </c>
      <c r="C6274">
        <v>146.087781788999</v>
      </c>
      <c r="D6274">
        <v>-17.627326213500002</v>
      </c>
      <c r="F6274" t="str">
        <f>HYPERLINK("D:\Data From Lucan\2024\Moresby\Frames_for_Analysis/6271_20240611_0004_R_0382.jpg","6271_20240611_0004_R_0382.jpg")</f>
        <v>6271_20240611_0004_R_0382.jpg</v>
      </c>
      <c r="G6274" s="92" t="s">
        <v>6471</v>
      </c>
      <c r="I6274">
        <v>3</v>
      </c>
      <c r="K6274" s="57">
        <v>1</v>
      </c>
      <c r="L6274" t="s">
        <v>3959</v>
      </c>
      <c r="M6274" t="s">
        <v>3959</v>
      </c>
      <c r="N6274" t="s">
        <v>3959</v>
      </c>
      <c r="O6274" t="s">
        <v>3959</v>
      </c>
      <c r="P6274" s="57">
        <v>1</v>
      </c>
      <c r="Q6274" s="57">
        <v>0</v>
      </c>
      <c r="R6274" s="57">
        <v>0</v>
      </c>
      <c r="S6274" s="57">
        <v>0</v>
      </c>
      <c r="T6274" s="57">
        <v>0</v>
      </c>
      <c r="U6274" s="57">
        <v>0</v>
      </c>
      <c r="V6274" s="57">
        <v>0</v>
      </c>
      <c r="W6274" s="57">
        <v>0</v>
      </c>
      <c r="X6274" s="57">
        <v>0</v>
      </c>
    </row>
    <row r="6275" spans="1:24" hidden="1" x14ac:dyDescent="0.35">
      <c r="A6275">
        <v>6271</v>
      </c>
      <c r="B6275">
        <v>6272</v>
      </c>
      <c r="C6275">
        <v>146.087871540999</v>
      </c>
      <c r="D6275">
        <v>-17.627324281100002</v>
      </c>
      <c r="F6275" t="str">
        <f>HYPERLINK("D:\Data From Lucan\2024\Moresby\Frames_for_Analysis/6272_20240611_0004_R_0379.jpg","6272_20240611_0004_R_0379.jpg")</f>
        <v>6272_20240611_0004_R_0379.jpg</v>
      </c>
      <c r="G6275" s="92" t="s">
        <v>6472</v>
      </c>
      <c r="I6275">
        <v>3</v>
      </c>
      <c r="K6275" s="57">
        <v>1</v>
      </c>
      <c r="L6275" t="s">
        <v>3959</v>
      </c>
      <c r="M6275" t="s">
        <v>3959</v>
      </c>
      <c r="N6275" t="s">
        <v>3959</v>
      </c>
      <c r="O6275" t="s">
        <v>3959</v>
      </c>
      <c r="P6275" s="57">
        <v>1</v>
      </c>
      <c r="Q6275" s="57">
        <v>0</v>
      </c>
      <c r="R6275" s="57">
        <v>0</v>
      </c>
      <c r="S6275" s="57">
        <v>0</v>
      </c>
      <c r="T6275" s="57">
        <v>0</v>
      </c>
      <c r="U6275" s="57">
        <v>0</v>
      </c>
      <c r="V6275" s="57">
        <v>0</v>
      </c>
      <c r="W6275" s="57">
        <v>0</v>
      </c>
      <c r="X6275" s="57">
        <v>0</v>
      </c>
    </row>
    <row r="6276" spans="1:24" hidden="1" x14ac:dyDescent="0.35">
      <c r="A6276">
        <v>6272</v>
      </c>
      <c r="B6276">
        <v>6273</v>
      </c>
      <c r="C6276">
        <v>146.08796131400001</v>
      </c>
      <c r="D6276">
        <v>-17.6273211942</v>
      </c>
      <c r="F6276" t="str">
        <f>HYPERLINK("D:\Data From Lucan\2024\Moresby\Frames_for_Analysis/6273_20240611_0004_R_0376.jpg","6273_20240611_0004_R_0376.jpg")</f>
        <v>6273_20240611_0004_R_0376.jpg</v>
      </c>
      <c r="G6276" s="92" t="s">
        <v>6473</v>
      </c>
      <c r="I6276">
        <v>3</v>
      </c>
      <c r="K6276" s="57">
        <v>1</v>
      </c>
      <c r="L6276" t="s">
        <v>3959</v>
      </c>
      <c r="M6276" t="s">
        <v>3959</v>
      </c>
      <c r="N6276" t="s">
        <v>3959</v>
      </c>
      <c r="O6276" t="s">
        <v>3959</v>
      </c>
      <c r="P6276" s="57">
        <v>1</v>
      </c>
      <c r="Q6276" s="57">
        <v>0</v>
      </c>
      <c r="R6276" s="57">
        <v>0</v>
      </c>
      <c r="S6276" s="57">
        <v>0</v>
      </c>
      <c r="T6276" s="57">
        <v>0</v>
      </c>
      <c r="U6276" s="57">
        <v>0</v>
      </c>
      <c r="V6276" s="57">
        <v>0</v>
      </c>
      <c r="W6276" s="57">
        <v>0</v>
      </c>
      <c r="X6276" s="57">
        <v>0</v>
      </c>
    </row>
    <row r="6277" spans="1:24" hidden="1" x14ac:dyDescent="0.35">
      <c r="A6277">
        <v>6273</v>
      </c>
      <c r="B6277">
        <v>6274</v>
      </c>
      <c r="C6277">
        <v>146.088051086999</v>
      </c>
      <c r="D6277">
        <v>-17.627318107299899</v>
      </c>
      <c r="F6277" t="str">
        <f>HYPERLINK("D:\Data From Lucan\2024\Moresby\Frames_for_Analysis/6274_20240611_0004_R_0373.jpg","6274_20240611_0004_R_0373.jpg")</f>
        <v>6274_20240611_0004_R_0373.jpg</v>
      </c>
      <c r="G6277" s="92" t="s">
        <v>6474</v>
      </c>
      <c r="I6277">
        <v>3</v>
      </c>
      <c r="K6277" s="57">
        <v>1</v>
      </c>
      <c r="L6277" t="s">
        <v>3959</v>
      </c>
      <c r="M6277" t="s">
        <v>3959</v>
      </c>
      <c r="N6277" t="s">
        <v>3959</v>
      </c>
      <c r="O6277" t="s">
        <v>3959</v>
      </c>
      <c r="P6277" s="57">
        <v>1</v>
      </c>
      <c r="Q6277" s="57">
        <v>0</v>
      </c>
      <c r="R6277" s="57">
        <v>0</v>
      </c>
      <c r="S6277" s="57">
        <v>0</v>
      </c>
      <c r="T6277" s="57">
        <v>0</v>
      </c>
      <c r="U6277" s="57">
        <v>0</v>
      </c>
      <c r="V6277" s="57">
        <v>0</v>
      </c>
      <c r="W6277" s="57">
        <v>0</v>
      </c>
      <c r="X6277" s="57">
        <v>0</v>
      </c>
    </row>
    <row r="6278" spans="1:24" hidden="1" x14ac:dyDescent="0.35">
      <c r="A6278">
        <v>6274</v>
      </c>
      <c r="B6278">
        <v>6275</v>
      </c>
      <c r="C6278">
        <v>146.08814085399899</v>
      </c>
      <c r="D6278">
        <v>-17.6273148619</v>
      </c>
      <c r="F6278" t="str">
        <f>HYPERLINK("D:\Data From Lucan\2024\Moresby\Frames_for_Analysis/6275_20240611_0004_R_0370.jpg","6275_20240611_0004_R_0370.jpg")</f>
        <v>6275_20240611_0004_R_0370.jpg</v>
      </c>
      <c r="G6278" s="92" t="s">
        <v>6475</v>
      </c>
      <c r="I6278">
        <v>3</v>
      </c>
      <c r="K6278" s="57">
        <v>1</v>
      </c>
      <c r="L6278" t="s">
        <v>3959</v>
      </c>
      <c r="M6278" t="s">
        <v>3959</v>
      </c>
      <c r="N6278" t="s">
        <v>3959</v>
      </c>
      <c r="O6278" t="s">
        <v>3959</v>
      </c>
      <c r="P6278" s="57">
        <v>1</v>
      </c>
      <c r="Q6278" s="57">
        <v>0</v>
      </c>
      <c r="R6278" s="57">
        <v>0</v>
      </c>
      <c r="S6278" s="57">
        <v>0</v>
      </c>
      <c r="T6278" s="57">
        <v>0</v>
      </c>
      <c r="U6278" s="57">
        <v>0</v>
      </c>
      <c r="V6278" s="57">
        <v>0</v>
      </c>
      <c r="W6278" s="57">
        <v>0</v>
      </c>
      <c r="X6278" s="57">
        <v>0</v>
      </c>
    </row>
    <row r="6279" spans="1:24" hidden="1" x14ac:dyDescent="0.35">
      <c r="A6279">
        <v>6275</v>
      </c>
      <c r="B6279">
        <v>6276</v>
      </c>
      <c r="C6279">
        <v>146.088230619</v>
      </c>
      <c r="D6279">
        <v>-17.6273115605999</v>
      </c>
      <c r="F6279" t="str">
        <f>HYPERLINK("D:\Data From Lucan\2024\Moresby\Frames_for_Analysis/6276_20240611_0004_R_0368.jpg","6276_20240611_0004_R_0368.jpg")</f>
        <v>6276_20240611_0004_R_0368.jpg</v>
      </c>
      <c r="G6279" s="92" t="s">
        <v>6476</v>
      </c>
      <c r="I6279">
        <v>3</v>
      </c>
      <c r="K6279" s="57">
        <v>1</v>
      </c>
      <c r="L6279" t="s">
        <v>3959</v>
      </c>
      <c r="M6279" t="s">
        <v>3959</v>
      </c>
      <c r="N6279" t="s">
        <v>3959</v>
      </c>
      <c r="O6279" t="s">
        <v>3959</v>
      </c>
      <c r="P6279" s="57">
        <v>1</v>
      </c>
      <c r="Q6279" s="57">
        <v>0</v>
      </c>
      <c r="R6279" s="57">
        <v>0</v>
      </c>
      <c r="S6279" s="57">
        <v>0</v>
      </c>
      <c r="T6279" s="57">
        <v>0</v>
      </c>
      <c r="U6279" s="57">
        <v>0</v>
      </c>
      <c r="V6279" s="57">
        <v>0</v>
      </c>
      <c r="W6279" s="57">
        <v>0</v>
      </c>
      <c r="X6279" s="57">
        <v>0</v>
      </c>
    </row>
    <row r="6280" spans="1:24" hidden="1" x14ac:dyDescent="0.35">
      <c r="A6280">
        <v>6276</v>
      </c>
      <c r="B6280">
        <v>6277</v>
      </c>
      <c r="C6280">
        <v>146.088320382999</v>
      </c>
      <c r="D6280">
        <v>-17.6273082593999</v>
      </c>
      <c r="F6280" t="str">
        <f>HYPERLINK("D:\Data From Lucan\2024\Moresby\Frames_for_Analysis/6277_20240611_0004_R_0365.jpg","6277_20240611_0004_R_0365.jpg")</f>
        <v>6277_20240611_0004_R_0365.jpg</v>
      </c>
      <c r="G6280" s="92" t="s">
        <v>6477</v>
      </c>
      <c r="I6280">
        <v>3</v>
      </c>
      <c r="K6280" s="57">
        <v>1</v>
      </c>
      <c r="L6280" t="s">
        <v>3959</v>
      </c>
      <c r="M6280" t="s">
        <v>3959</v>
      </c>
      <c r="N6280" t="s">
        <v>3959</v>
      </c>
      <c r="O6280" t="s">
        <v>3959</v>
      </c>
      <c r="P6280" s="57">
        <v>1</v>
      </c>
      <c r="Q6280" s="57">
        <v>0</v>
      </c>
      <c r="R6280" s="57">
        <v>0</v>
      </c>
      <c r="S6280" s="57">
        <v>0</v>
      </c>
      <c r="T6280" s="57">
        <v>0</v>
      </c>
      <c r="U6280" s="57">
        <v>0</v>
      </c>
      <c r="V6280" s="57">
        <v>0</v>
      </c>
      <c r="W6280" s="57">
        <v>0</v>
      </c>
      <c r="X6280" s="57">
        <v>0</v>
      </c>
    </row>
    <row r="6281" spans="1:24" hidden="1" x14ac:dyDescent="0.35">
      <c r="A6281">
        <v>6277</v>
      </c>
      <c r="B6281">
        <v>6278</v>
      </c>
      <c r="C6281">
        <v>146.08841014800001</v>
      </c>
      <c r="D6281">
        <v>-17.6273049582</v>
      </c>
      <c r="F6281" t="str">
        <f>HYPERLINK("D:\Data From Lucan\2024\Moresby\Frames_for_Analysis/6278_20240611_0004_R_0362.jpg","6278_20240611_0004_R_0362.jpg")</f>
        <v>6278_20240611_0004_R_0362.jpg</v>
      </c>
      <c r="G6281" s="92" t="s">
        <v>6478</v>
      </c>
      <c r="I6281">
        <v>3</v>
      </c>
      <c r="K6281" s="57">
        <v>1</v>
      </c>
      <c r="L6281" t="s">
        <v>3959</v>
      </c>
      <c r="M6281" t="s">
        <v>3959</v>
      </c>
      <c r="N6281" t="s">
        <v>3959</v>
      </c>
      <c r="O6281" t="s">
        <v>3959</v>
      </c>
      <c r="P6281" s="57">
        <v>1</v>
      </c>
      <c r="Q6281" s="57">
        <v>0</v>
      </c>
      <c r="R6281" s="57">
        <v>0</v>
      </c>
      <c r="S6281" s="57">
        <v>0</v>
      </c>
      <c r="T6281" s="57">
        <v>0</v>
      </c>
      <c r="U6281" s="57">
        <v>0</v>
      </c>
      <c r="V6281" s="57">
        <v>0</v>
      </c>
      <c r="W6281" s="57">
        <v>0</v>
      </c>
      <c r="X6281" s="57">
        <v>0</v>
      </c>
    </row>
    <row r="6282" spans="1:24" hidden="1" x14ac:dyDescent="0.35">
      <c r="A6282">
        <v>6278</v>
      </c>
      <c r="B6282">
        <v>6279</v>
      </c>
      <c r="C6282">
        <v>146.088499912999</v>
      </c>
      <c r="D6282">
        <v>-17.627301657</v>
      </c>
      <c r="F6282" t="str">
        <f>HYPERLINK("D:\Data From Lucan\2024\Moresby\Frames_for_Analysis/6279_20240611_0004_R_0359.jpg","6279_20240611_0004_R_0359.jpg")</f>
        <v>6279_20240611_0004_R_0359.jpg</v>
      </c>
      <c r="G6282" s="92" t="s">
        <v>6479</v>
      </c>
      <c r="I6282">
        <v>3</v>
      </c>
      <c r="K6282" s="57">
        <v>1</v>
      </c>
      <c r="L6282" t="s">
        <v>3959</v>
      </c>
      <c r="M6282" t="s">
        <v>3959</v>
      </c>
      <c r="N6282" t="s">
        <v>3959</v>
      </c>
      <c r="O6282" t="s">
        <v>3959</v>
      </c>
      <c r="P6282" s="57">
        <v>1</v>
      </c>
      <c r="Q6282" s="57">
        <v>0</v>
      </c>
      <c r="R6282" s="57">
        <v>0</v>
      </c>
      <c r="S6282" s="57">
        <v>0</v>
      </c>
      <c r="T6282" s="57">
        <v>0</v>
      </c>
      <c r="U6282" s="57">
        <v>0</v>
      </c>
      <c r="V6282" s="57">
        <v>0</v>
      </c>
      <c r="W6282" s="57">
        <v>0</v>
      </c>
      <c r="X6282" s="57">
        <v>0</v>
      </c>
    </row>
    <row r="6283" spans="1:24" hidden="1" x14ac:dyDescent="0.35">
      <c r="A6283">
        <v>6279</v>
      </c>
      <c r="B6283">
        <v>6280</v>
      </c>
      <c r="C6283">
        <v>146.08858967800001</v>
      </c>
      <c r="D6283">
        <v>-17.627298355699899</v>
      </c>
      <c r="F6283" t="str">
        <f>HYPERLINK("D:\Data From Lucan\2024\Moresby\Frames_for_Analysis/6280_20240611_0004_R_0356.jpg","6280_20240611_0004_R_0356.jpg")</f>
        <v>6280_20240611_0004_R_0356.jpg</v>
      </c>
      <c r="G6283" s="92" t="s">
        <v>6480</v>
      </c>
      <c r="I6283">
        <v>3</v>
      </c>
      <c r="K6283" s="57">
        <v>1</v>
      </c>
      <c r="L6283" t="s">
        <v>3959</v>
      </c>
      <c r="M6283" t="s">
        <v>3959</v>
      </c>
      <c r="N6283" t="s">
        <v>3959</v>
      </c>
      <c r="O6283" t="s">
        <v>3959</v>
      </c>
      <c r="P6283" s="57">
        <v>1</v>
      </c>
      <c r="Q6283" s="57">
        <v>0</v>
      </c>
      <c r="R6283" s="57">
        <v>0</v>
      </c>
      <c r="S6283" s="57">
        <v>0</v>
      </c>
      <c r="T6283" s="57">
        <v>0</v>
      </c>
      <c r="U6283" s="57">
        <v>0</v>
      </c>
      <c r="V6283" s="57">
        <v>0</v>
      </c>
      <c r="W6283" s="57">
        <v>0</v>
      </c>
      <c r="X6283" s="57">
        <v>0</v>
      </c>
    </row>
    <row r="6284" spans="1:24" hidden="1" x14ac:dyDescent="0.35">
      <c r="A6284">
        <v>6280</v>
      </c>
      <c r="B6284">
        <v>6281</v>
      </c>
      <c r="C6284">
        <v>146.088679253999</v>
      </c>
      <c r="D6284">
        <v>-17.6272929115</v>
      </c>
      <c r="F6284" t="str">
        <f>HYPERLINK("D:\Data From Lucan\2024\Moresby\Frames_for_Analysis/6281_20240611_0004_R_0354.jpg","6281_20240611_0004_R_0354.jpg")</f>
        <v>6281_20240611_0004_R_0354.jpg</v>
      </c>
      <c r="G6284" s="92" t="s">
        <v>6481</v>
      </c>
      <c r="I6284">
        <v>3</v>
      </c>
      <c r="K6284" s="57">
        <v>1</v>
      </c>
      <c r="L6284" t="s">
        <v>3959</v>
      </c>
      <c r="M6284" t="s">
        <v>3959</v>
      </c>
      <c r="N6284" t="s">
        <v>3959</v>
      </c>
      <c r="O6284" t="s">
        <v>3959</v>
      </c>
      <c r="P6284" s="57">
        <v>1</v>
      </c>
      <c r="Q6284" s="57">
        <v>0</v>
      </c>
      <c r="R6284" s="57">
        <v>0</v>
      </c>
      <c r="S6284" s="57">
        <v>0</v>
      </c>
      <c r="T6284" s="57">
        <v>0</v>
      </c>
      <c r="U6284" s="57">
        <v>0</v>
      </c>
      <c r="V6284" s="57">
        <v>0</v>
      </c>
      <c r="W6284" s="57">
        <v>0</v>
      </c>
      <c r="X6284" s="57">
        <v>0</v>
      </c>
    </row>
    <row r="6285" spans="1:24" hidden="1" x14ac:dyDescent="0.35">
      <c r="A6285">
        <v>6281</v>
      </c>
      <c r="B6285">
        <v>6282</v>
      </c>
      <c r="C6285">
        <v>146.08876834200001</v>
      </c>
      <c r="D6285">
        <v>-17.627281919000001</v>
      </c>
      <c r="F6285" t="str">
        <f>HYPERLINK("D:\Data From Lucan\2024\Moresby\Frames_for_Analysis/6282_20240611_0004_R_0351.jpg","6282_20240611_0004_R_0351.jpg")</f>
        <v>6282_20240611_0004_R_0351.jpg</v>
      </c>
      <c r="G6285" s="92" t="s">
        <v>6482</v>
      </c>
      <c r="I6285">
        <v>3</v>
      </c>
      <c r="K6285" s="57">
        <v>1</v>
      </c>
      <c r="L6285" t="s">
        <v>3959</v>
      </c>
      <c r="M6285" t="s">
        <v>3959</v>
      </c>
      <c r="N6285" t="s">
        <v>3959</v>
      </c>
      <c r="O6285" t="s">
        <v>3959</v>
      </c>
      <c r="P6285" s="57">
        <v>1</v>
      </c>
      <c r="Q6285" s="57">
        <v>0</v>
      </c>
      <c r="R6285" s="57">
        <v>0</v>
      </c>
      <c r="S6285" s="57">
        <v>0</v>
      </c>
      <c r="T6285" s="57">
        <v>0</v>
      </c>
      <c r="U6285" s="57">
        <v>0</v>
      </c>
      <c r="V6285" s="57">
        <v>0</v>
      </c>
      <c r="W6285" s="57">
        <v>0</v>
      </c>
      <c r="X6285" s="57">
        <v>0</v>
      </c>
    </row>
    <row r="6286" spans="1:24" hidden="1" x14ac:dyDescent="0.35">
      <c r="A6286">
        <v>6282</v>
      </c>
      <c r="B6286">
        <v>6283</v>
      </c>
      <c r="C6286">
        <v>146.088857429999</v>
      </c>
      <c r="D6286">
        <v>-17.627270926400001</v>
      </c>
      <c r="F6286" t="str">
        <f>HYPERLINK("D:\Data From Lucan\2024\Moresby\Frames_for_Analysis/6283_20240611_0004_R_0348.jpg","6283_20240611_0004_R_0348.jpg")</f>
        <v>6283_20240611_0004_R_0348.jpg</v>
      </c>
      <c r="G6286" s="92" t="s">
        <v>6483</v>
      </c>
      <c r="I6286">
        <v>3</v>
      </c>
      <c r="K6286" s="57">
        <v>1</v>
      </c>
      <c r="L6286" t="s">
        <v>3959</v>
      </c>
      <c r="M6286" t="s">
        <v>3959</v>
      </c>
      <c r="N6286" t="s">
        <v>3959</v>
      </c>
      <c r="O6286" t="s">
        <v>3959</v>
      </c>
      <c r="P6286" s="57">
        <v>1</v>
      </c>
      <c r="Q6286" s="57">
        <v>0</v>
      </c>
      <c r="R6286" s="57">
        <v>0</v>
      </c>
      <c r="S6286" s="57">
        <v>0</v>
      </c>
      <c r="T6286" s="57">
        <v>0</v>
      </c>
      <c r="U6286" s="57">
        <v>0</v>
      </c>
      <c r="V6286" s="57">
        <v>0</v>
      </c>
      <c r="W6286" s="57">
        <v>0</v>
      </c>
      <c r="X6286" s="57">
        <v>0</v>
      </c>
    </row>
    <row r="6287" spans="1:24" hidden="1" x14ac:dyDescent="0.35">
      <c r="A6287">
        <v>6283</v>
      </c>
      <c r="B6287">
        <v>6284</v>
      </c>
      <c r="C6287">
        <v>146.088946518</v>
      </c>
      <c r="D6287">
        <v>-17.6272599339</v>
      </c>
      <c r="F6287" t="str">
        <f>HYPERLINK("D:\Data From Lucan\2024\Moresby\Frames_for_Analysis/6284_20240611_0004_R_0345.jpg","6284_20240611_0004_R_0345.jpg")</f>
        <v>6284_20240611_0004_R_0345.jpg</v>
      </c>
      <c r="G6287" s="92" t="s">
        <v>6484</v>
      </c>
      <c r="I6287">
        <v>3</v>
      </c>
      <c r="K6287" s="57">
        <v>1</v>
      </c>
      <c r="L6287" t="s">
        <v>3959</v>
      </c>
      <c r="M6287" t="s">
        <v>3959</v>
      </c>
      <c r="N6287" t="s">
        <v>3959</v>
      </c>
      <c r="O6287" t="s">
        <v>3959</v>
      </c>
      <c r="P6287" s="57">
        <v>1</v>
      </c>
      <c r="Q6287" s="57">
        <v>0</v>
      </c>
      <c r="R6287" s="57">
        <v>0</v>
      </c>
      <c r="S6287" s="57">
        <v>0</v>
      </c>
      <c r="T6287" s="57">
        <v>0</v>
      </c>
      <c r="U6287" s="57">
        <v>0</v>
      </c>
      <c r="V6287" s="57">
        <v>0</v>
      </c>
      <c r="W6287" s="57">
        <v>0</v>
      </c>
      <c r="X6287" s="57">
        <v>0</v>
      </c>
    </row>
    <row r="6288" spans="1:24" x14ac:dyDescent="0.35">
      <c r="A6288">
        <v>6284</v>
      </c>
      <c r="B6288">
        <v>6285</v>
      </c>
      <c r="C6288">
        <v>146.08903560600001</v>
      </c>
      <c r="D6288">
        <v>-17.627248941400001</v>
      </c>
      <c r="E6288" s="92">
        <f t="shared" ref="E6288:E6351" si="4">IF(MOD(B6288,5)=0, 50, "")</f>
        <v>50</v>
      </c>
      <c r="F6288" t="str">
        <f>HYPERLINK("D:\Data From Lucan\2024\Moresby\Frames_for_Analysis/6285_20240611_0004_R_0343.jpg","6285_20240611_0004_R_0343.jpg")</f>
        <v>6285_20240611_0004_R_0343.jpg</v>
      </c>
      <c r="G6288" s="92" t="s">
        <v>6485</v>
      </c>
      <c r="I6288">
        <v>2</v>
      </c>
      <c r="K6288" s="97">
        <v>1</v>
      </c>
      <c r="L6288" t="s">
        <v>3959</v>
      </c>
      <c r="M6288" t="s">
        <v>3959</v>
      </c>
      <c r="N6288" t="s">
        <v>3959</v>
      </c>
      <c r="O6288" t="s">
        <v>3959</v>
      </c>
      <c r="P6288" s="57">
        <v>1</v>
      </c>
      <c r="Q6288" s="57">
        <v>0</v>
      </c>
      <c r="R6288" s="57">
        <v>0</v>
      </c>
      <c r="S6288" s="97">
        <v>0</v>
      </c>
      <c r="T6288" s="57">
        <v>0</v>
      </c>
      <c r="U6288" s="57">
        <v>0</v>
      </c>
      <c r="V6288" s="57">
        <v>0</v>
      </c>
      <c r="W6288" s="57">
        <v>0</v>
      </c>
      <c r="X6288" s="97">
        <v>0</v>
      </c>
    </row>
    <row r="6289" spans="1:24" x14ac:dyDescent="0.35">
      <c r="A6289">
        <v>6285</v>
      </c>
      <c r="B6289">
        <v>6286</v>
      </c>
      <c r="C6289">
        <v>146.089124693999</v>
      </c>
      <c r="D6289">
        <v>-17.627237948800001</v>
      </c>
      <c r="E6289" s="92" t="str">
        <f t="shared" si="4"/>
        <v/>
      </c>
      <c r="F6289" t="str">
        <f>HYPERLINK("D:\Data From Lucan\2024\Moresby\Frames_for_Analysis/6286_20240611_0004_R_0340.jpg","6286_20240611_0004_R_0340.jpg")</f>
        <v>6286_20240611_0004_R_0340.jpg</v>
      </c>
      <c r="G6289" s="92" t="s">
        <v>6486</v>
      </c>
      <c r="I6289">
        <v>2</v>
      </c>
      <c r="K6289" s="97">
        <v>1</v>
      </c>
      <c r="L6289" t="s">
        <v>3959</v>
      </c>
      <c r="M6289" t="s">
        <v>3959</v>
      </c>
      <c r="N6289" t="s">
        <v>3959</v>
      </c>
      <c r="O6289" t="s">
        <v>3959</v>
      </c>
      <c r="P6289" s="57">
        <v>1</v>
      </c>
      <c r="Q6289" s="57">
        <v>0</v>
      </c>
      <c r="R6289" s="57">
        <v>0</v>
      </c>
      <c r="S6289" s="97">
        <v>0</v>
      </c>
      <c r="T6289" s="57">
        <v>0</v>
      </c>
      <c r="U6289" s="57">
        <v>0</v>
      </c>
      <c r="V6289" s="57">
        <v>0</v>
      </c>
      <c r="W6289" s="57">
        <v>0</v>
      </c>
      <c r="X6289" s="97">
        <v>0</v>
      </c>
    </row>
    <row r="6290" spans="1:24" x14ac:dyDescent="0.35">
      <c r="A6290">
        <v>6286</v>
      </c>
      <c r="B6290">
        <v>6287</v>
      </c>
      <c r="C6290">
        <v>146.089213782</v>
      </c>
      <c r="D6290">
        <v>-17.6272269562999</v>
      </c>
      <c r="E6290" s="92" t="str">
        <f t="shared" si="4"/>
        <v/>
      </c>
      <c r="F6290" t="str">
        <f>HYPERLINK("D:\Data From Lucan\2024\Moresby\Frames_for_Analysis/6287_20240611_0004_R_0337.jpg","6287_20240611_0004_R_0337.jpg")</f>
        <v>6287_20240611_0004_R_0337.jpg</v>
      </c>
      <c r="G6290" s="92" t="s">
        <v>6487</v>
      </c>
      <c r="I6290">
        <v>2</v>
      </c>
      <c r="K6290" s="97">
        <v>1</v>
      </c>
      <c r="L6290" t="s">
        <v>3959</v>
      </c>
      <c r="M6290" t="s">
        <v>3959</v>
      </c>
      <c r="N6290" t="s">
        <v>3959</v>
      </c>
      <c r="O6290" t="s">
        <v>3959</v>
      </c>
      <c r="P6290" s="57">
        <v>1</v>
      </c>
      <c r="Q6290" s="57">
        <v>0</v>
      </c>
      <c r="R6290" s="57">
        <v>0</v>
      </c>
      <c r="S6290" s="97">
        <v>0</v>
      </c>
      <c r="T6290" s="57">
        <v>0</v>
      </c>
      <c r="U6290" s="57">
        <v>0</v>
      </c>
      <c r="V6290" s="57">
        <v>0</v>
      </c>
      <c r="W6290" s="57">
        <v>0</v>
      </c>
      <c r="X6290" s="97">
        <v>0</v>
      </c>
    </row>
    <row r="6291" spans="1:24" x14ac:dyDescent="0.35">
      <c r="A6291">
        <v>6287</v>
      </c>
      <c r="B6291">
        <v>6288</v>
      </c>
      <c r="C6291">
        <v>146.089303113</v>
      </c>
      <c r="D6291">
        <v>-17.627228077400002</v>
      </c>
      <c r="E6291" s="92" t="str">
        <f t="shared" si="4"/>
        <v/>
      </c>
      <c r="F6291" t="str">
        <f>HYPERLINK("D:\Data From Lucan\2024\Moresby\Frames_for_Analysis/6288_20240611_0004_R_0335.jpg","6288_20240611_0004_R_0335.jpg")</f>
        <v>6288_20240611_0004_R_0335.jpg</v>
      </c>
      <c r="G6291" s="92" t="s">
        <v>6488</v>
      </c>
      <c r="I6291">
        <v>2</v>
      </c>
      <c r="K6291" s="97">
        <v>1</v>
      </c>
      <c r="L6291" t="s">
        <v>3959</v>
      </c>
      <c r="M6291" t="s">
        <v>3959</v>
      </c>
      <c r="N6291" t="s">
        <v>3959</v>
      </c>
      <c r="O6291" t="s">
        <v>3959</v>
      </c>
      <c r="P6291" s="57">
        <v>1</v>
      </c>
      <c r="Q6291" s="57">
        <v>0</v>
      </c>
      <c r="R6291" s="57">
        <v>0</v>
      </c>
      <c r="S6291" s="97">
        <v>0</v>
      </c>
      <c r="T6291" s="57">
        <v>0</v>
      </c>
      <c r="U6291" s="57">
        <v>0</v>
      </c>
      <c r="V6291" s="57">
        <v>0</v>
      </c>
      <c r="W6291" s="57">
        <v>0</v>
      </c>
      <c r="X6291" s="97">
        <v>0</v>
      </c>
    </row>
    <row r="6292" spans="1:24" x14ac:dyDescent="0.35">
      <c r="A6292">
        <v>6288</v>
      </c>
      <c r="B6292">
        <v>6289</v>
      </c>
      <c r="C6292">
        <v>146.089392575999</v>
      </c>
      <c r="D6292">
        <v>-17.627235816500001</v>
      </c>
      <c r="E6292" s="92" t="str">
        <f t="shared" si="4"/>
        <v/>
      </c>
      <c r="F6292" t="str">
        <f>HYPERLINK("D:\Data From Lucan\2024\Moresby\Frames_for_Analysis/6289_20240611_0004_R_0332.jpg","6289_20240611_0004_R_0332.jpg")</f>
        <v>6289_20240611_0004_R_0332.jpg</v>
      </c>
      <c r="G6292" s="92" t="s">
        <v>6489</v>
      </c>
      <c r="I6292">
        <v>2</v>
      </c>
      <c r="K6292" s="97">
        <v>1</v>
      </c>
      <c r="L6292" t="s">
        <v>3959</v>
      </c>
      <c r="M6292" t="s">
        <v>3959</v>
      </c>
      <c r="N6292" t="s">
        <v>3959</v>
      </c>
      <c r="O6292" t="s">
        <v>3959</v>
      </c>
      <c r="P6292" s="57">
        <v>1</v>
      </c>
      <c r="Q6292" s="57">
        <v>0</v>
      </c>
      <c r="R6292" s="57">
        <v>0</v>
      </c>
      <c r="S6292" s="97">
        <v>0</v>
      </c>
      <c r="T6292" s="57">
        <v>0</v>
      </c>
      <c r="U6292" s="57">
        <v>0</v>
      </c>
      <c r="V6292" s="57">
        <v>0</v>
      </c>
      <c r="W6292" s="57">
        <v>0</v>
      </c>
      <c r="X6292" s="97">
        <v>0</v>
      </c>
    </row>
    <row r="6293" spans="1:24" x14ac:dyDescent="0.35">
      <c r="A6293">
        <v>6289</v>
      </c>
      <c r="B6293">
        <v>6290</v>
      </c>
      <c r="C6293">
        <v>146.08948204000001</v>
      </c>
      <c r="D6293">
        <v>-17.6272435556</v>
      </c>
      <c r="E6293" s="92">
        <f t="shared" si="4"/>
        <v>50</v>
      </c>
      <c r="F6293" t="str">
        <f>HYPERLINK("D:\Data From Lucan\2024\Moresby\Frames_for_Analysis/6290_20240611_0004_R_0329.jpg","6290_20240611_0004_R_0329.jpg")</f>
        <v>6290_20240611_0004_R_0329.jpg</v>
      </c>
      <c r="G6293" s="92" t="s">
        <v>6490</v>
      </c>
      <c r="I6293">
        <v>2</v>
      </c>
      <c r="K6293" s="97">
        <v>1</v>
      </c>
      <c r="L6293" t="s">
        <v>3959</v>
      </c>
      <c r="M6293" t="s">
        <v>3959</v>
      </c>
      <c r="N6293" t="s">
        <v>3959</v>
      </c>
      <c r="O6293" t="s">
        <v>3959</v>
      </c>
      <c r="P6293" s="57">
        <v>1</v>
      </c>
      <c r="Q6293" s="57">
        <v>0</v>
      </c>
      <c r="R6293" s="57">
        <v>0</v>
      </c>
      <c r="S6293" s="97">
        <v>0</v>
      </c>
      <c r="T6293" s="57">
        <v>0</v>
      </c>
      <c r="U6293" s="57">
        <v>0</v>
      </c>
      <c r="V6293" s="57">
        <v>0</v>
      </c>
      <c r="W6293" s="57">
        <v>0</v>
      </c>
      <c r="X6293" s="97">
        <v>0</v>
      </c>
    </row>
    <row r="6294" spans="1:24" x14ac:dyDescent="0.35">
      <c r="A6294">
        <v>6290</v>
      </c>
      <c r="B6294">
        <v>6291</v>
      </c>
      <c r="C6294">
        <v>146.089571444999</v>
      </c>
      <c r="D6294">
        <v>-17.627251891499899</v>
      </c>
      <c r="E6294" s="92" t="str">
        <f t="shared" si="4"/>
        <v/>
      </c>
      <c r="F6294" t="str">
        <f>HYPERLINK("D:\Data From Lucan\2024\Moresby\Frames_for_Analysis/6291_20240611_0004_R_0325.jpg","6291_20240611_0004_R_0325.jpg")</f>
        <v>6291_20240611_0004_R_0325.jpg</v>
      </c>
      <c r="G6294" s="92" t="s">
        <v>6491</v>
      </c>
      <c r="I6294">
        <v>2</v>
      </c>
      <c r="K6294" s="97">
        <v>1</v>
      </c>
      <c r="L6294" t="s">
        <v>3959</v>
      </c>
      <c r="M6294" t="s">
        <v>3959</v>
      </c>
      <c r="N6294" t="s">
        <v>3959</v>
      </c>
      <c r="O6294" t="s">
        <v>3959</v>
      </c>
      <c r="P6294" s="57">
        <v>1</v>
      </c>
      <c r="Q6294" s="57">
        <v>0</v>
      </c>
      <c r="R6294" s="57">
        <v>0</v>
      </c>
      <c r="S6294" s="97">
        <v>0</v>
      </c>
      <c r="T6294" s="57">
        <v>0</v>
      </c>
      <c r="U6294" s="57">
        <v>0</v>
      </c>
      <c r="V6294" s="57">
        <v>0</v>
      </c>
      <c r="W6294" s="57">
        <v>0</v>
      </c>
      <c r="X6294" s="97">
        <v>0</v>
      </c>
    </row>
    <row r="6295" spans="1:24" x14ac:dyDescent="0.35">
      <c r="A6295">
        <v>6291</v>
      </c>
      <c r="B6295">
        <v>6292</v>
      </c>
      <c r="C6295">
        <v>146.08966084400001</v>
      </c>
      <c r="D6295">
        <v>-17.627260282400002</v>
      </c>
      <c r="E6295" s="92" t="str">
        <f t="shared" si="4"/>
        <v/>
      </c>
      <c r="F6295" t="str">
        <f>HYPERLINK("D:\Data From Lucan\2024\Moresby\Frames_for_Analysis/6292_20240611_0004_R_0323.jpg","6292_20240611_0004_R_0323.jpg")</f>
        <v>6292_20240611_0004_R_0323.jpg</v>
      </c>
      <c r="G6295" s="92" t="s">
        <v>6492</v>
      </c>
      <c r="I6295">
        <v>2</v>
      </c>
      <c r="K6295" s="97">
        <v>1</v>
      </c>
      <c r="L6295" t="s">
        <v>3959</v>
      </c>
      <c r="M6295" t="s">
        <v>3959</v>
      </c>
      <c r="N6295" t="s">
        <v>3959</v>
      </c>
      <c r="O6295" t="s">
        <v>3959</v>
      </c>
      <c r="P6295" s="57">
        <v>1</v>
      </c>
      <c r="Q6295" s="57">
        <v>0</v>
      </c>
      <c r="R6295" s="57">
        <v>0</v>
      </c>
      <c r="S6295" s="97">
        <v>0</v>
      </c>
      <c r="T6295" s="57">
        <v>0</v>
      </c>
      <c r="U6295" s="57">
        <v>0</v>
      </c>
      <c r="V6295" s="57">
        <v>0</v>
      </c>
      <c r="W6295" s="57">
        <v>0</v>
      </c>
      <c r="X6295" s="97">
        <v>0</v>
      </c>
    </row>
    <row r="6296" spans="1:24" x14ac:dyDescent="0.35">
      <c r="A6296">
        <v>6292</v>
      </c>
      <c r="B6296">
        <v>6293</v>
      </c>
      <c r="C6296">
        <v>146.089741564999</v>
      </c>
      <c r="D6296">
        <v>-17.627259859900001</v>
      </c>
      <c r="E6296" s="92" t="str">
        <f t="shared" si="4"/>
        <v/>
      </c>
      <c r="F6296" t="str">
        <f>HYPERLINK("D:\Data From Lucan\2024\Moresby\Frames_for_Analysis/6293_20240611_0004_R_0320.jpg","6293_20240611_0004_R_0320.jpg")</f>
        <v>6293_20240611_0004_R_0320.jpg</v>
      </c>
      <c r="G6296" s="92" t="s">
        <v>6493</v>
      </c>
      <c r="I6296">
        <v>2</v>
      </c>
      <c r="K6296" s="97">
        <v>1</v>
      </c>
      <c r="L6296" t="s">
        <v>3959</v>
      </c>
      <c r="M6296" t="s">
        <v>3959</v>
      </c>
      <c r="N6296" t="s">
        <v>3959</v>
      </c>
      <c r="O6296" t="s">
        <v>3959</v>
      </c>
      <c r="P6296" s="57">
        <v>1</v>
      </c>
      <c r="Q6296" s="57">
        <v>0</v>
      </c>
      <c r="R6296" s="57">
        <v>0</v>
      </c>
      <c r="S6296" s="97">
        <v>0</v>
      </c>
      <c r="T6296" s="57">
        <v>0</v>
      </c>
      <c r="U6296" s="57">
        <v>0</v>
      </c>
      <c r="V6296" s="57">
        <v>0</v>
      </c>
      <c r="W6296" s="57">
        <v>0</v>
      </c>
      <c r="X6296" s="97">
        <v>0</v>
      </c>
    </row>
    <row r="6297" spans="1:24" x14ac:dyDescent="0.35">
      <c r="A6297">
        <v>6293</v>
      </c>
      <c r="B6297">
        <v>6294</v>
      </c>
      <c r="C6297">
        <v>146.08983069300001</v>
      </c>
      <c r="D6297">
        <v>-17.6272491635</v>
      </c>
      <c r="E6297" s="92" t="str">
        <f t="shared" si="4"/>
        <v/>
      </c>
      <c r="F6297" t="str">
        <f>HYPERLINK("D:\Data From Lucan\2024\Moresby\Frames_for_Analysis/6294_20240611_0004_R_0318.jpg","6294_20240611_0004_R_0318.jpg")</f>
        <v>6294_20240611_0004_R_0318.jpg</v>
      </c>
      <c r="G6297" s="92" t="s">
        <v>6494</v>
      </c>
      <c r="I6297">
        <v>2</v>
      </c>
      <c r="K6297" s="97">
        <v>1</v>
      </c>
      <c r="L6297" t="s">
        <v>3959</v>
      </c>
      <c r="M6297" t="s">
        <v>3959</v>
      </c>
      <c r="N6297" t="s">
        <v>3959</v>
      </c>
      <c r="O6297" t="s">
        <v>3959</v>
      </c>
      <c r="P6297" s="57">
        <v>1</v>
      </c>
      <c r="Q6297" s="57">
        <v>0</v>
      </c>
      <c r="R6297" s="57">
        <v>0</v>
      </c>
      <c r="S6297" s="97">
        <v>0</v>
      </c>
      <c r="T6297" s="57">
        <v>0</v>
      </c>
      <c r="U6297" s="57">
        <v>0</v>
      </c>
      <c r="V6297" s="57">
        <v>0</v>
      </c>
      <c r="W6297" s="57">
        <v>0</v>
      </c>
      <c r="X6297" s="97">
        <v>0</v>
      </c>
    </row>
    <row r="6298" spans="1:24" x14ac:dyDescent="0.35">
      <c r="A6298">
        <v>6294</v>
      </c>
      <c r="B6298">
        <v>6295</v>
      </c>
      <c r="C6298">
        <v>146.089920116</v>
      </c>
      <c r="D6298">
        <v>-17.6272411148</v>
      </c>
      <c r="E6298" s="92">
        <f t="shared" si="4"/>
        <v>50</v>
      </c>
      <c r="F6298" t="str">
        <f>HYPERLINK("D:\Data From Lucan\2024\Moresby\Frames_for_Analysis/6295_20240611_0004_R_0315.jpg","6295_20240611_0004_R_0315.jpg")</f>
        <v>6295_20240611_0004_R_0315.jpg</v>
      </c>
      <c r="G6298" s="92" t="s">
        <v>6495</v>
      </c>
      <c r="I6298">
        <v>2</v>
      </c>
      <c r="K6298" s="97">
        <v>1</v>
      </c>
      <c r="L6298" t="s">
        <v>3959</v>
      </c>
      <c r="M6298" t="s">
        <v>3959</v>
      </c>
      <c r="N6298" t="s">
        <v>3959</v>
      </c>
      <c r="O6298" t="s">
        <v>3959</v>
      </c>
      <c r="P6298" s="57">
        <v>1</v>
      </c>
      <c r="Q6298" s="57">
        <v>0</v>
      </c>
      <c r="R6298" s="57">
        <v>0</v>
      </c>
      <c r="S6298" s="97">
        <v>0</v>
      </c>
      <c r="T6298" s="57">
        <v>0</v>
      </c>
      <c r="U6298" s="57">
        <v>0</v>
      </c>
      <c r="V6298" s="57">
        <v>0</v>
      </c>
      <c r="W6298" s="57">
        <v>0</v>
      </c>
      <c r="X6298" s="97">
        <v>0</v>
      </c>
    </row>
    <row r="6299" spans="1:24" x14ac:dyDescent="0.35">
      <c r="A6299">
        <v>6295</v>
      </c>
      <c r="B6299">
        <v>6296</v>
      </c>
      <c r="C6299">
        <v>146.09000974899899</v>
      </c>
      <c r="D6299">
        <v>-17.627235595199899</v>
      </c>
      <c r="E6299" s="92" t="str">
        <f t="shared" si="4"/>
        <v/>
      </c>
      <c r="F6299" t="str">
        <f>HYPERLINK("D:\Data From Lucan\2024\Moresby\Frames_for_Analysis/6296_20240611_0004_R_0312.jpg","6296_20240611_0004_R_0312.jpg")</f>
        <v>6296_20240611_0004_R_0312.jpg</v>
      </c>
      <c r="G6299" s="92" t="s">
        <v>6496</v>
      </c>
      <c r="I6299">
        <v>2</v>
      </c>
      <c r="K6299" s="97">
        <v>1</v>
      </c>
      <c r="L6299" t="s">
        <v>3959</v>
      </c>
      <c r="M6299" t="s">
        <v>3959</v>
      </c>
      <c r="N6299" t="s">
        <v>3959</v>
      </c>
      <c r="O6299" t="s">
        <v>3959</v>
      </c>
      <c r="P6299" s="57">
        <v>1</v>
      </c>
      <c r="Q6299" s="57">
        <v>0</v>
      </c>
      <c r="R6299" s="57">
        <v>0</v>
      </c>
      <c r="S6299" s="97">
        <v>0</v>
      </c>
      <c r="T6299" s="57">
        <v>0</v>
      </c>
      <c r="U6299" s="57">
        <v>0</v>
      </c>
      <c r="V6299" s="57">
        <v>0</v>
      </c>
      <c r="W6299" s="57">
        <v>0</v>
      </c>
      <c r="X6299" s="97">
        <v>0</v>
      </c>
    </row>
    <row r="6300" spans="1:24" x14ac:dyDescent="0.35">
      <c r="A6300">
        <v>6296</v>
      </c>
      <c r="B6300">
        <v>6297</v>
      </c>
      <c r="C6300">
        <v>146.090099452999</v>
      </c>
      <c r="D6300">
        <v>-17.627231026400001</v>
      </c>
      <c r="E6300" s="92" t="str">
        <f t="shared" si="4"/>
        <v/>
      </c>
      <c r="F6300" t="str">
        <f>HYPERLINK("D:\Data From Lucan\2024\Moresby\Frames_for_Analysis/6297_20240611_0004_R_0309.jpg","6297_20240611_0004_R_0309.jpg")</f>
        <v>6297_20240611_0004_R_0309.jpg</v>
      </c>
      <c r="G6300" s="92" t="s">
        <v>6497</v>
      </c>
      <c r="I6300">
        <v>2</v>
      </c>
      <c r="K6300" s="97">
        <v>1</v>
      </c>
      <c r="L6300" t="s">
        <v>3959</v>
      </c>
      <c r="M6300" t="s">
        <v>3959</v>
      </c>
      <c r="N6300" t="s">
        <v>3959</v>
      </c>
      <c r="O6300" t="s">
        <v>3959</v>
      </c>
      <c r="P6300" s="57">
        <v>1</v>
      </c>
      <c r="Q6300" s="57">
        <v>0</v>
      </c>
      <c r="R6300" s="57">
        <v>0</v>
      </c>
      <c r="S6300" s="97">
        <v>0</v>
      </c>
      <c r="T6300" s="57">
        <v>0</v>
      </c>
      <c r="U6300" s="57">
        <v>0</v>
      </c>
      <c r="V6300" s="57">
        <v>0</v>
      </c>
      <c r="W6300" s="57">
        <v>0</v>
      </c>
      <c r="X6300" s="97">
        <v>0</v>
      </c>
    </row>
    <row r="6301" spans="1:24" x14ac:dyDescent="0.35">
      <c r="A6301">
        <v>6297</v>
      </c>
      <c r="B6301">
        <v>6298</v>
      </c>
      <c r="C6301">
        <v>146.09018915600001</v>
      </c>
      <c r="D6301">
        <v>-17.627226458500001</v>
      </c>
      <c r="E6301" s="92" t="str">
        <f t="shared" si="4"/>
        <v/>
      </c>
      <c r="F6301" t="str">
        <f>HYPERLINK("D:\Data From Lucan\2024\Moresby\Frames_for_Analysis/6298_20240611_0004_R_0307.jpg","6298_20240611_0004_R_0307.jpg")</f>
        <v>6298_20240611_0004_R_0307.jpg</v>
      </c>
      <c r="G6301" s="92" t="s">
        <v>6498</v>
      </c>
      <c r="I6301">
        <v>2</v>
      </c>
      <c r="K6301" s="97">
        <v>1</v>
      </c>
      <c r="L6301" t="s">
        <v>3959</v>
      </c>
      <c r="M6301" t="s">
        <v>3959</v>
      </c>
      <c r="N6301" t="s">
        <v>3959</v>
      </c>
      <c r="O6301" t="s">
        <v>3959</v>
      </c>
      <c r="P6301" s="57">
        <v>1</v>
      </c>
      <c r="Q6301" s="57">
        <v>0</v>
      </c>
      <c r="R6301" s="57">
        <v>0</v>
      </c>
      <c r="S6301" s="97">
        <v>0</v>
      </c>
      <c r="T6301" s="57">
        <v>0</v>
      </c>
      <c r="U6301" s="57">
        <v>0</v>
      </c>
      <c r="V6301" s="57">
        <v>0</v>
      </c>
      <c r="W6301" s="57">
        <v>0</v>
      </c>
      <c r="X6301" s="97">
        <v>0</v>
      </c>
    </row>
    <row r="6302" spans="1:24" x14ac:dyDescent="0.35">
      <c r="A6302">
        <v>6298</v>
      </c>
      <c r="B6302">
        <v>6299</v>
      </c>
      <c r="C6302">
        <v>146.09027886000001</v>
      </c>
      <c r="D6302">
        <v>-17.6272218907</v>
      </c>
      <c r="E6302" s="92" t="str">
        <f t="shared" si="4"/>
        <v/>
      </c>
      <c r="F6302" t="str">
        <f>HYPERLINK("D:\Data From Lucan\2024\Moresby\Frames_for_Analysis/6299_20240611_0004_R_0304.jpg","6299_20240611_0004_R_0304.jpg")</f>
        <v>6299_20240611_0004_R_0304.jpg</v>
      </c>
      <c r="G6302" s="92" t="s">
        <v>6499</v>
      </c>
      <c r="I6302">
        <v>2</v>
      </c>
      <c r="K6302" s="97">
        <v>1</v>
      </c>
      <c r="L6302" t="s">
        <v>3959</v>
      </c>
      <c r="M6302" t="s">
        <v>3959</v>
      </c>
      <c r="N6302" t="s">
        <v>3959</v>
      </c>
      <c r="O6302" t="s">
        <v>3959</v>
      </c>
      <c r="P6302" s="57">
        <v>1</v>
      </c>
      <c r="Q6302" s="57">
        <v>0</v>
      </c>
      <c r="R6302" s="57">
        <v>0</v>
      </c>
      <c r="S6302" s="97">
        <v>0</v>
      </c>
      <c r="T6302" s="57">
        <v>0</v>
      </c>
      <c r="U6302" s="57">
        <v>0</v>
      </c>
      <c r="V6302" s="57">
        <v>0</v>
      </c>
      <c r="W6302" s="57">
        <v>0</v>
      </c>
      <c r="X6302" s="97">
        <v>0</v>
      </c>
    </row>
    <row r="6303" spans="1:24" x14ac:dyDescent="0.35">
      <c r="A6303">
        <v>6299</v>
      </c>
      <c r="B6303">
        <v>6300</v>
      </c>
      <c r="C6303">
        <v>146.09036848700001</v>
      </c>
      <c r="D6303">
        <v>-17.627225273800001</v>
      </c>
      <c r="E6303" s="92">
        <f t="shared" si="4"/>
        <v>50</v>
      </c>
      <c r="F6303" t="str">
        <f>HYPERLINK("D:\Data From Lucan\2024\Moresby\Frames_for_Analysis/6300_20240611_0004_R_0301.jpg","6300_20240611_0004_R_0301.jpg")</f>
        <v>6300_20240611_0004_R_0301.jpg</v>
      </c>
      <c r="G6303" s="92" t="s">
        <v>6500</v>
      </c>
      <c r="I6303">
        <v>2</v>
      </c>
      <c r="K6303" s="97">
        <v>1</v>
      </c>
      <c r="L6303" t="s">
        <v>3959</v>
      </c>
      <c r="M6303" t="s">
        <v>3959</v>
      </c>
      <c r="N6303" t="s">
        <v>3959</v>
      </c>
      <c r="O6303" t="s">
        <v>3959</v>
      </c>
      <c r="P6303" s="57">
        <v>1</v>
      </c>
      <c r="Q6303" s="57">
        <v>0</v>
      </c>
      <c r="R6303" s="57">
        <v>0</v>
      </c>
      <c r="S6303" s="97">
        <v>0</v>
      </c>
      <c r="T6303" s="57">
        <v>0</v>
      </c>
      <c r="U6303" s="57">
        <v>0</v>
      </c>
      <c r="V6303" s="57">
        <v>0</v>
      </c>
      <c r="W6303" s="57">
        <v>0</v>
      </c>
      <c r="X6303" s="97">
        <v>0</v>
      </c>
    </row>
    <row r="6304" spans="1:24" x14ac:dyDescent="0.35">
      <c r="A6304">
        <v>6300</v>
      </c>
      <c r="B6304">
        <v>6301</v>
      </c>
      <c r="C6304">
        <v>146.090458087</v>
      </c>
      <c r="D6304">
        <v>-17.627231416800001</v>
      </c>
      <c r="E6304" s="92" t="str">
        <f t="shared" si="4"/>
        <v/>
      </c>
      <c r="F6304" t="str">
        <f>HYPERLINK("D:\Data From Lucan\2024\Moresby\Frames_for_Analysis/6301_20240611_0004_R_0298.jpg","6301_20240611_0004_R_0298.jpg")</f>
        <v>6301_20240611_0004_R_0298.jpg</v>
      </c>
      <c r="G6304" s="92" t="s">
        <v>6501</v>
      </c>
      <c r="I6304">
        <v>2</v>
      </c>
      <c r="K6304" s="97">
        <v>1</v>
      </c>
      <c r="L6304" t="s">
        <v>3959</v>
      </c>
      <c r="M6304" t="s">
        <v>3959</v>
      </c>
      <c r="N6304" t="s">
        <v>3959</v>
      </c>
      <c r="O6304" t="s">
        <v>3959</v>
      </c>
      <c r="P6304" s="57">
        <v>1</v>
      </c>
      <c r="Q6304" s="57">
        <v>0</v>
      </c>
      <c r="R6304" s="57">
        <v>0</v>
      </c>
      <c r="S6304" s="97">
        <v>0</v>
      </c>
      <c r="T6304" s="57">
        <v>0</v>
      </c>
      <c r="U6304" s="57">
        <v>0</v>
      </c>
      <c r="V6304" s="57">
        <v>0</v>
      </c>
      <c r="W6304" s="57">
        <v>0</v>
      </c>
      <c r="X6304" s="97">
        <v>0</v>
      </c>
    </row>
    <row r="6305" spans="1:24" x14ac:dyDescent="0.35">
      <c r="A6305">
        <v>6301</v>
      </c>
      <c r="B6305">
        <v>6302</v>
      </c>
      <c r="C6305">
        <v>146.090547686999</v>
      </c>
      <c r="D6305">
        <v>-17.627237559800001</v>
      </c>
      <c r="E6305" s="92" t="str">
        <f t="shared" si="4"/>
        <v/>
      </c>
      <c r="F6305" t="str">
        <f>HYPERLINK("D:\Data From Lucan\2024\Moresby\Frames_for_Analysis/6302_20240611_0004_R_0296.jpg","6302_20240611_0004_R_0296.jpg")</f>
        <v>6302_20240611_0004_R_0296.jpg</v>
      </c>
      <c r="G6305" s="92" t="s">
        <v>6502</v>
      </c>
      <c r="I6305">
        <v>2</v>
      </c>
      <c r="K6305" s="97">
        <v>1</v>
      </c>
      <c r="L6305" t="s">
        <v>3959</v>
      </c>
      <c r="M6305" t="s">
        <v>3959</v>
      </c>
      <c r="N6305" t="s">
        <v>3959</v>
      </c>
      <c r="O6305" t="s">
        <v>3959</v>
      </c>
      <c r="P6305" s="57">
        <v>1</v>
      </c>
      <c r="Q6305" s="57">
        <v>0</v>
      </c>
      <c r="R6305" s="57">
        <v>0</v>
      </c>
      <c r="S6305" s="97">
        <v>0</v>
      </c>
      <c r="T6305" s="57">
        <v>0</v>
      </c>
      <c r="U6305" s="57">
        <v>0</v>
      </c>
      <c r="V6305" s="57">
        <v>0</v>
      </c>
      <c r="W6305" s="57">
        <v>0</v>
      </c>
      <c r="X6305" s="97">
        <v>0</v>
      </c>
    </row>
    <row r="6306" spans="1:24" x14ac:dyDescent="0.35">
      <c r="A6306">
        <v>6302</v>
      </c>
      <c r="B6306">
        <v>6303</v>
      </c>
      <c r="C6306">
        <v>146.090637286999</v>
      </c>
      <c r="D6306">
        <v>-17.6272437027</v>
      </c>
      <c r="E6306" s="92" t="str">
        <f t="shared" si="4"/>
        <v/>
      </c>
      <c r="F6306" t="str">
        <f>HYPERLINK("D:\Data From Lucan\2024\Moresby\Frames_for_Analysis/6303_20240611_0004_R_0293.jpg","6303_20240611_0004_R_0293.jpg")</f>
        <v>6303_20240611_0004_R_0293.jpg</v>
      </c>
      <c r="G6306" s="92" t="s">
        <v>6503</v>
      </c>
      <c r="I6306">
        <v>2</v>
      </c>
      <c r="K6306" s="97">
        <v>1</v>
      </c>
      <c r="L6306" t="s">
        <v>3959</v>
      </c>
      <c r="M6306" t="s">
        <v>3959</v>
      </c>
      <c r="N6306" t="s">
        <v>3959</v>
      </c>
      <c r="O6306" t="s">
        <v>3959</v>
      </c>
      <c r="P6306" s="57">
        <v>1</v>
      </c>
      <c r="Q6306" s="57">
        <v>0</v>
      </c>
      <c r="R6306" s="57">
        <v>0</v>
      </c>
      <c r="S6306" s="97">
        <v>0</v>
      </c>
      <c r="T6306" s="57">
        <v>0</v>
      </c>
      <c r="U6306" s="57">
        <v>0</v>
      </c>
      <c r="V6306" s="57">
        <v>0</v>
      </c>
      <c r="W6306" s="57">
        <v>0</v>
      </c>
      <c r="X6306" s="97">
        <v>0</v>
      </c>
    </row>
    <row r="6307" spans="1:24" x14ac:dyDescent="0.35">
      <c r="A6307">
        <v>6303</v>
      </c>
      <c r="B6307">
        <v>6304</v>
      </c>
      <c r="C6307">
        <v>146.09072688699899</v>
      </c>
      <c r="D6307">
        <v>-17.6272498457</v>
      </c>
      <c r="E6307" s="92" t="str">
        <f t="shared" si="4"/>
        <v/>
      </c>
      <c r="F6307" t="str">
        <f>HYPERLINK("D:\Data From Lucan\2024\Moresby\Frames_for_Analysis/6304_20240611_0004_R_0290.jpg","6304_20240611_0004_R_0290.jpg")</f>
        <v>6304_20240611_0004_R_0290.jpg</v>
      </c>
      <c r="G6307" s="92" t="s">
        <v>6504</v>
      </c>
      <c r="I6307">
        <v>2</v>
      </c>
      <c r="K6307" s="97">
        <v>1</v>
      </c>
      <c r="L6307" t="s">
        <v>3959</v>
      </c>
      <c r="M6307" t="s">
        <v>3959</v>
      </c>
      <c r="N6307" t="s">
        <v>3959</v>
      </c>
      <c r="O6307" t="s">
        <v>3959</v>
      </c>
      <c r="P6307" s="57">
        <v>1</v>
      </c>
      <c r="Q6307" s="57">
        <v>0</v>
      </c>
      <c r="R6307" s="57">
        <v>0</v>
      </c>
      <c r="S6307" s="97">
        <v>0</v>
      </c>
      <c r="T6307" s="57">
        <v>0</v>
      </c>
      <c r="U6307" s="57">
        <v>0</v>
      </c>
      <c r="V6307" s="57">
        <v>0</v>
      </c>
      <c r="W6307" s="57">
        <v>0</v>
      </c>
      <c r="X6307" s="97">
        <v>0</v>
      </c>
    </row>
    <row r="6308" spans="1:24" x14ac:dyDescent="0.35">
      <c r="A6308">
        <v>6304</v>
      </c>
      <c r="B6308">
        <v>6305</v>
      </c>
      <c r="C6308">
        <v>146.09081648700001</v>
      </c>
      <c r="D6308">
        <v>-17.6272559887</v>
      </c>
      <c r="E6308" s="92">
        <f t="shared" si="4"/>
        <v>50</v>
      </c>
      <c r="F6308" t="str">
        <f>HYPERLINK("D:\Data From Lucan\2024\Moresby\Frames_for_Analysis/6305_20240611_0004_R_0287.jpg","6305_20240611_0004_R_0287.jpg")</f>
        <v>6305_20240611_0004_R_0287.jpg</v>
      </c>
      <c r="G6308" s="92" t="s">
        <v>6505</v>
      </c>
      <c r="I6308">
        <v>2</v>
      </c>
      <c r="K6308" s="97">
        <v>1</v>
      </c>
      <c r="L6308" t="s">
        <v>3959</v>
      </c>
      <c r="M6308" t="s">
        <v>3959</v>
      </c>
      <c r="N6308" t="s">
        <v>3959</v>
      </c>
      <c r="O6308" t="s">
        <v>3959</v>
      </c>
      <c r="P6308" s="57">
        <v>1</v>
      </c>
      <c r="Q6308" s="57">
        <v>0</v>
      </c>
      <c r="R6308" s="57">
        <v>0</v>
      </c>
      <c r="S6308" s="97">
        <v>0</v>
      </c>
      <c r="T6308" s="57">
        <v>0</v>
      </c>
      <c r="U6308" s="57">
        <v>0</v>
      </c>
      <c r="V6308" s="57">
        <v>0</v>
      </c>
      <c r="W6308" s="57">
        <v>0</v>
      </c>
      <c r="X6308" s="97">
        <v>0</v>
      </c>
    </row>
    <row r="6309" spans="1:24" x14ac:dyDescent="0.35">
      <c r="A6309">
        <v>6305</v>
      </c>
      <c r="B6309">
        <v>6306</v>
      </c>
      <c r="C6309">
        <v>146.09090608700001</v>
      </c>
      <c r="D6309">
        <v>-17.6272621317</v>
      </c>
      <c r="E6309" s="92" t="str">
        <f t="shared" si="4"/>
        <v/>
      </c>
      <c r="F6309" t="str">
        <f>HYPERLINK("D:\Data From Lucan\2024\Moresby\Frames_for_Analysis/6306_20240611_0004_R_0284.jpg","6306_20240611_0004_R_0284.jpg")</f>
        <v>6306_20240611_0004_R_0284.jpg</v>
      </c>
      <c r="G6309" s="92" t="s">
        <v>6506</v>
      </c>
      <c r="I6309">
        <v>2</v>
      </c>
      <c r="K6309" s="97">
        <v>1</v>
      </c>
      <c r="L6309" t="s">
        <v>3959</v>
      </c>
      <c r="M6309" t="s">
        <v>3959</v>
      </c>
      <c r="N6309" t="s">
        <v>3959</v>
      </c>
      <c r="O6309" t="s">
        <v>3959</v>
      </c>
      <c r="P6309" s="57">
        <v>1</v>
      </c>
      <c r="Q6309" s="57">
        <v>0</v>
      </c>
      <c r="R6309" s="57">
        <v>0</v>
      </c>
      <c r="S6309" s="97">
        <v>0</v>
      </c>
      <c r="T6309" s="57">
        <v>0</v>
      </c>
      <c r="U6309" s="57">
        <v>0</v>
      </c>
      <c r="V6309" s="57">
        <v>0</v>
      </c>
      <c r="W6309" s="57">
        <v>0</v>
      </c>
      <c r="X6309" s="97">
        <v>0</v>
      </c>
    </row>
    <row r="6310" spans="1:24" x14ac:dyDescent="0.35">
      <c r="A6310">
        <v>6306</v>
      </c>
      <c r="B6310">
        <v>6307</v>
      </c>
      <c r="C6310">
        <v>146.090995687</v>
      </c>
      <c r="D6310">
        <v>-17.6272682747</v>
      </c>
      <c r="E6310" s="92" t="str">
        <f t="shared" si="4"/>
        <v/>
      </c>
      <c r="F6310" t="str">
        <f>HYPERLINK("D:\Data From Lucan\2024\Moresby\Frames_for_Analysis/6307_20240611_0004_R_0282.jpg","6307_20240611_0004_R_0282.jpg")</f>
        <v>6307_20240611_0004_R_0282.jpg</v>
      </c>
      <c r="G6310" s="92" t="s">
        <v>6507</v>
      </c>
      <c r="I6310">
        <v>2</v>
      </c>
      <c r="K6310" s="97">
        <v>1</v>
      </c>
      <c r="L6310" t="s">
        <v>3959</v>
      </c>
      <c r="M6310" t="s">
        <v>3959</v>
      </c>
      <c r="N6310" t="s">
        <v>3959</v>
      </c>
      <c r="O6310" t="s">
        <v>3959</v>
      </c>
      <c r="P6310" s="57">
        <v>1</v>
      </c>
      <c r="Q6310" s="57">
        <v>0</v>
      </c>
      <c r="R6310" s="57">
        <v>0</v>
      </c>
      <c r="S6310" s="97">
        <v>0</v>
      </c>
      <c r="T6310" s="57">
        <v>0</v>
      </c>
      <c r="U6310" s="57">
        <v>0</v>
      </c>
      <c r="V6310" s="57">
        <v>0</v>
      </c>
      <c r="W6310" s="57">
        <v>0</v>
      </c>
      <c r="X6310" s="97">
        <v>0</v>
      </c>
    </row>
    <row r="6311" spans="1:24" x14ac:dyDescent="0.35">
      <c r="A6311">
        <v>6307</v>
      </c>
      <c r="B6311">
        <v>6308</v>
      </c>
      <c r="C6311">
        <v>146.091085155999</v>
      </c>
      <c r="D6311">
        <v>-17.627275259800001</v>
      </c>
      <c r="E6311" s="92" t="str">
        <f t="shared" si="4"/>
        <v/>
      </c>
      <c r="F6311" t="str">
        <f>HYPERLINK("D:\Data From Lucan\2024\Moresby\Frames_for_Analysis/6308_20240611_0004_R_0279.jpg","6308_20240611_0004_R_0279.jpg")</f>
        <v>6308_20240611_0004_R_0279.jpg</v>
      </c>
      <c r="G6311" s="92" t="s">
        <v>6508</v>
      </c>
      <c r="I6311">
        <v>2</v>
      </c>
      <c r="K6311" s="97">
        <v>1</v>
      </c>
      <c r="L6311" t="s">
        <v>3959</v>
      </c>
      <c r="M6311" t="s">
        <v>3959</v>
      </c>
      <c r="N6311" t="s">
        <v>3959</v>
      </c>
      <c r="O6311" t="s">
        <v>3959</v>
      </c>
      <c r="P6311" s="57">
        <v>1</v>
      </c>
      <c r="Q6311" s="57">
        <v>0</v>
      </c>
      <c r="R6311" s="57">
        <v>0</v>
      </c>
      <c r="S6311" s="97">
        <v>0</v>
      </c>
      <c r="T6311" s="57">
        <v>0</v>
      </c>
      <c r="U6311" s="57">
        <v>0</v>
      </c>
      <c r="V6311" s="57">
        <v>0</v>
      </c>
      <c r="W6311" s="57">
        <v>0</v>
      </c>
      <c r="X6311" s="97">
        <v>0</v>
      </c>
    </row>
    <row r="6312" spans="1:24" x14ac:dyDescent="0.35">
      <c r="A6312">
        <v>6308</v>
      </c>
      <c r="B6312">
        <v>6309</v>
      </c>
      <c r="C6312">
        <v>146.091173580999</v>
      </c>
      <c r="D6312">
        <v>-17.6272887979</v>
      </c>
      <c r="E6312" s="92" t="str">
        <f t="shared" si="4"/>
        <v/>
      </c>
      <c r="F6312" t="str">
        <f>HYPERLINK("D:\Data From Lucan\2024\Moresby\Frames_for_Analysis/6309_20240611_0004_R_0275.jpg","6309_20240611_0004_R_0275.jpg")</f>
        <v>6309_20240611_0004_R_0275.jpg</v>
      </c>
      <c r="G6312" s="92" t="s">
        <v>6509</v>
      </c>
      <c r="I6312">
        <v>2</v>
      </c>
      <c r="K6312" s="97">
        <v>1</v>
      </c>
      <c r="L6312" t="s">
        <v>3959</v>
      </c>
      <c r="M6312" t="s">
        <v>3959</v>
      </c>
      <c r="N6312" t="s">
        <v>3959</v>
      </c>
      <c r="O6312" t="s">
        <v>3959</v>
      </c>
      <c r="P6312" s="57">
        <v>1</v>
      </c>
      <c r="Q6312" s="57">
        <v>0</v>
      </c>
      <c r="R6312" s="57">
        <v>0</v>
      </c>
      <c r="S6312" s="97">
        <v>0</v>
      </c>
      <c r="T6312" s="57">
        <v>0</v>
      </c>
      <c r="U6312" s="57">
        <v>0</v>
      </c>
      <c r="V6312" s="57">
        <v>0</v>
      </c>
      <c r="W6312" s="57">
        <v>0</v>
      </c>
      <c r="X6312" s="97">
        <v>0</v>
      </c>
    </row>
    <row r="6313" spans="1:24" x14ac:dyDescent="0.35">
      <c r="A6313">
        <v>6309</v>
      </c>
      <c r="B6313">
        <v>6310</v>
      </c>
      <c r="C6313">
        <v>146.091263247</v>
      </c>
      <c r="D6313">
        <v>-17.627293988800002</v>
      </c>
      <c r="E6313" s="92">
        <f t="shared" si="4"/>
        <v>50</v>
      </c>
      <c r="F6313" t="str">
        <f>HYPERLINK("D:\Data From Lucan\2024\Moresby\Frames_for_Analysis/6310_20240611_0004_R_0273.jpg","6310_20240611_0004_R_0273.jpg")</f>
        <v>6310_20240611_0004_R_0273.jpg</v>
      </c>
      <c r="G6313" s="92" t="s">
        <v>6510</v>
      </c>
      <c r="I6313">
        <v>2</v>
      </c>
      <c r="K6313" s="97">
        <v>1</v>
      </c>
      <c r="L6313" t="s">
        <v>3959</v>
      </c>
      <c r="M6313" t="s">
        <v>3959</v>
      </c>
      <c r="N6313" t="s">
        <v>3959</v>
      </c>
      <c r="O6313" t="s">
        <v>3959</v>
      </c>
      <c r="P6313" s="57">
        <v>1</v>
      </c>
      <c r="Q6313" s="57">
        <v>0</v>
      </c>
      <c r="R6313" s="57">
        <v>0</v>
      </c>
      <c r="S6313" s="97">
        <v>0</v>
      </c>
      <c r="T6313" s="57">
        <v>0</v>
      </c>
      <c r="U6313" s="57">
        <v>0</v>
      </c>
      <c r="V6313" s="57">
        <v>0</v>
      </c>
      <c r="W6313" s="57">
        <v>0</v>
      </c>
      <c r="X6313" s="97">
        <v>0</v>
      </c>
    </row>
    <row r="6314" spans="1:24" x14ac:dyDescent="0.35">
      <c r="A6314">
        <v>6310</v>
      </c>
      <c r="B6314">
        <v>6311</v>
      </c>
      <c r="C6314">
        <v>146.09135291300001</v>
      </c>
      <c r="D6314">
        <v>-17.627299179800001</v>
      </c>
      <c r="E6314" s="92" t="str">
        <f t="shared" si="4"/>
        <v/>
      </c>
      <c r="F6314" t="str">
        <f>HYPERLINK("D:\Data From Lucan\2024\Moresby\Frames_for_Analysis/6311_20240611_0004_R_0272.jpg","6311_20240611_0004_R_0272.jpg")</f>
        <v>6311_20240611_0004_R_0272.jpg</v>
      </c>
      <c r="G6314" s="92" t="s">
        <v>6511</v>
      </c>
      <c r="I6314">
        <v>2</v>
      </c>
      <c r="K6314" s="97">
        <v>1</v>
      </c>
      <c r="L6314" t="s">
        <v>3959</v>
      </c>
      <c r="M6314" t="s">
        <v>3959</v>
      </c>
      <c r="N6314" t="s">
        <v>3959</v>
      </c>
      <c r="O6314" t="s">
        <v>3959</v>
      </c>
      <c r="P6314" s="57">
        <v>1</v>
      </c>
      <c r="Q6314" s="57">
        <v>0</v>
      </c>
      <c r="R6314" s="57">
        <v>0</v>
      </c>
      <c r="S6314" s="97">
        <v>0</v>
      </c>
      <c r="T6314" s="57">
        <v>0</v>
      </c>
      <c r="U6314" s="57">
        <v>0</v>
      </c>
      <c r="V6314" s="57">
        <v>0</v>
      </c>
      <c r="W6314" s="57">
        <v>0</v>
      </c>
      <c r="X6314" s="97">
        <v>0</v>
      </c>
    </row>
    <row r="6315" spans="1:24" x14ac:dyDescent="0.35">
      <c r="A6315">
        <v>6311</v>
      </c>
      <c r="B6315">
        <v>6312</v>
      </c>
      <c r="C6315">
        <v>146.09144257899899</v>
      </c>
      <c r="D6315">
        <v>-17.6273043706999</v>
      </c>
      <c r="E6315" s="92" t="str">
        <f t="shared" si="4"/>
        <v/>
      </c>
      <c r="F6315" t="str">
        <f>HYPERLINK("D:\Data From Lucan\2024\Moresby\Frames_for_Analysis/6312_20240611_0004_R_0267.jpg","6312_20240611_0004_R_0267.jpg")</f>
        <v>6312_20240611_0004_R_0267.jpg</v>
      </c>
      <c r="G6315" s="92" t="s">
        <v>6512</v>
      </c>
      <c r="I6315">
        <v>2</v>
      </c>
      <c r="K6315" s="97">
        <v>1</v>
      </c>
      <c r="L6315" t="s">
        <v>3959</v>
      </c>
      <c r="M6315" t="s">
        <v>3959</v>
      </c>
      <c r="N6315" t="s">
        <v>3959</v>
      </c>
      <c r="O6315" t="s">
        <v>3959</v>
      </c>
      <c r="P6315" s="57">
        <v>1</v>
      </c>
      <c r="Q6315" s="57">
        <v>0</v>
      </c>
      <c r="R6315" s="57">
        <v>0</v>
      </c>
      <c r="S6315" s="97">
        <v>0</v>
      </c>
      <c r="T6315" s="57">
        <v>0</v>
      </c>
      <c r="U6315" s="57">
        <v>0</v>
      </c>
      <c r="V6315" s="57">
        <v>0</v>
      </c>
      <c r="W6315" s="57">
        <v>0</v>
      </c>
      <c r="X6315" s="97">
        <v>0</v>
      </c>
    </row>
    <row r="6316" spans="1:24" x14ac:dyDescent="0.35">
      <c r="A6316">
        <v>6312</v>
      </c>
      <c r="B6316">
        <v>6313</v>
      </c>
      <c r="C6316">
        <v>146.09153224600001</v>
      </c>
      <c r="D6316">
        <v>-17.627309561600001</v>
      </c>
      <c r="E6316" s="92" t="str">
        <f t="shared" si="4"/>
        <v/>
      </c>
      <c r="F6316" t="str">
        <f>HYPERLINK("D:\Data From Lucan\2024\Moresby\Frames_for_Analysis/6313_20240611_0004_R_0265.jpg","6313_20240611_0004_R_0265.jpg")</f>
        <v>6313_20240611_0004_R_0265.jpg</v>
      </c>
      <c r="G6316" s="92" t="s">
        <v>6513</v>
      </c>
      <c r="I6316">
        <v>2</v>
      </c>
      <c r="K6316" s="97">
        <v>1</v>
      </c>
      <c r="L6316" t="s">
        <v>3959</v>
      </c>
      <c r="M6316" t="s">
        <v>3959</v>
      </c>
      <c r="N6316" t="s">
        <v>3959</v>
      </c>
      <c r="O6316" t="s">
        <v>3959</v>
      </c>
      <c r="P6316" s="57">
        <v>1</v>
      </c>
      <c r="Q6316" s="57">
        <v>0</v>
      </c>
      <c r="R6316" s="57">
        <v>0</v>
      </c>
      <c r="S6316" s="97">
        <v>0</v>
      </c>
      <c r="T6316" s="57">
        <v>0</v>
      </c>
      <c r="U6316" s="57">
        <v>0</v>
      </c>
      <c r="V6316" s="57">
        <v>0</v>
      </c>
      <c r="W6316" s="57">
        <v>0</v>
      </c>
      <c r="X6316" s="97">
        <v>0</v>
      </c>
    </row>
    <row r="6317" spans="1:24" x14ac:dyDescent="0.35">
      <c r="A6317">
        <v>6313</v>
      </c>
      <c r="B6317">
        <v>6314</v>
      </c>
      <c r="C6317">
        <v>146.091621911999</v>
      </c>
      <c r="D6317">
        <v>-17.6273147526</v>
      </c>
      <c r="E6317" s="92" t="str">
        <f t="shared" si="4"/>
        <v/>
      </c>
      <c r="F6317" t="str">
        <f>HYPERLINK("D:\Data From Lucan\2024\Moresby\Frames_for_Analysis/6314_20240611_0004_R_0261.jpg","6314_20240611_0004_R_0261.jpg")</f>
        <v>6314_20240611_0004_R_0261.jpg</v>
      </c>
      <c r="G6317" s="92" t="s">
        <v>6514</v>
      </c>
      <c r="I6317">
        <v>2</v>
      </c>
      <c r="K6317" s="97">
        <v>1</v>
      </c>
      <c r="L6317" t="s">
        <v>3959</v>
      </c>
      <c r="M6317" t="s">
        <v>3959</v>
      </c>
      <c r="N6317" t="s">
        <v>3959</v>
      </c>
      <c r="O6317" t="s">
        <v>3959</v>
      </c>
      <c r="P6317" s="57">
        <v>1</v>
      </c>
      <c r="Q6317" s="57">
        <v>0</v>
      </c>
      <c r="R6317" s="57">
        <v>0</v>
      </c>
      <c r="S6317" s="97">
        <v>0</v>
      </c>
      <c r="T6317" s="57">
        <v>0</v>
      </c>
      <c r="U6317" s="57">
        <v>0</v>
      </c>
      <c r="V6317" s="57">
        <v>0</v>
      </c>
      <c r="W6317" s="57">
        <v>0</v>
      </c>
      <c r="X6317" s="97">
        <v>0</v>
      </c>
    </row>
    <row r="6318" spans="1:24" x14ac:dyDescent="0.35">
      <c r="A6318">
        <v>6314</v>
      </c>
      <c r="B6318">
        <v>6315</v>
      </c>
      <c r="C6318">
        <v>146.091711578</v>
      </c>
      <c r="D6318">
        <v>-17.627319943300002</v>
      </c>
      <c r="E6318" s="92">
        <f t="shared" si="4"/>
        <v>50</v>
      </c>
      <c r="F6318" t="str">
        <f>HYPERLINK("D:\Data From Lucan\2024\Moresby\Frames_for_Analysis/6315_20240611_0004_R_0259.jpg","6315_20240611_0004_R_0259.jpg")</f>
        <v>6315_20240611_0004_R_0259.jpg</v>
      </c>
      <c r="G6318" s="92" t="s">
        <v>6515</v>
      </c>
      <c r="I6318">
        <v>2</v>
      </c>
      <c r="K6318" s="97">
        <v>1</v>
      </c>
      <c r="L6318" t="s">
        <v>3959</v>
      </c>
      <c r="M6318" t="s">
        <v>3959</v>
      </c>
      <c r="N6318" t="s">
        <v>3959</v>
      </c>
      <c r="O6318" t="s">
        <v>3959</v>
      </c>
      <c r="P6318" s="57">
        <v>1</v>
      </c>
      <c r="Q6318" s="57">
        <v>0</v>
      </c>
      <c r="R6318" s="57">
        <v>0</v>
      </c>
      <c r="S6318" s="97">
        <v>0</v>
      </c>
      <c r="T6318" s="57">
        <v>0</v>
      </c>
      <c r="U6318" s="57">
        <v>0</v>
      </c>
      <c r="V6318" s="57">
        <v>0</v>
      </c>
      <c r="W6318" s="57">
        <v>0</v>
      </c>
      <c r="X6318" s="97">
        <v>0</v>
      </c>
    </row>
    <row r="6319" spans="1:24" x14ac:dyDescent="0.35">
      <c r="A6319">
        <v>6315</v>
      </c>
      <c r="B6319">
        <v>6316</v>
      </c>
      <c r="C6319">
        <v>146.09180124400001</v>
      </c>
      <c r="D6319">
        <v>-17.6273251343999</v>
      </c>
      <c r="E6319" s="92" t="str">
        <f t="shared" si="4"/>
        <v/>
      </c>
      <c r="F6319" t="str">
        <f>HYPERLINK("D:\Data From Lucan\2024\Moresby\Frames_for_Analysis/6316_20240611_0004_R_0256.jpg","6316_20240611_0004_R_0256.jpg")</f>
        <v>6316_20240611_0004_R_0256.jpg</v>
      </c>
      <c r="G6319" s="92" t="s">
        <v>6516</v>
      </c>
      <c r="I6319">
        <v>2</v>
      </c>
      <c r="K6319" s="97">
        <v>1</v>
      </c>
      <c r="L6319" t="s">
        <v>3959</v>
      </c>
      <c r="M6319" t="s">
        <v>3959</v>
      </c>
      <c r="N6319" t="s">
        <v>3959</v>
      </c>
      <c r="O6319" t="s">
        <v>3959</v>
      </c>
      <c r="P6319" s="57">
        <v>1</v>
      </c>
      <c r="Q6319" s="57">
        <v>0</v>
      </c>
      <c r="R6319" s="57">
        <v>0</v>
      </c>
      <c r="S6319" s="97">
        <v>0</v>
      </c>
      <c r="T6319" s="57">
        <v>0</v>
      </c>
      <c r="U6319" s="57">
        <v>0</v>
      </c>
      <c r="V6319" s="57">
        <v>0</v>
      </c>
      <c r="W6319" s="57">
        <v>0</v>
      </c>
      <c r="X6319" s="97">
        <v>0</v>
      </c>
    </row>
    <row r="6320" spans="1:24" x14ac:dyDescent="0.35">
      <c r="A6320">
        <v>6316</v>
      </c>
      <c r="B6320">
        <v>6317</v>
      </c>
      <c r="C6320">
        <v>146.09189091100001</v>
      </c>
      <c r="D6320">
        <v>-17.6273303253999</v>
      </c>
      <c r="E6320" s="92" t="str">
        <f t="shared" si="4"/>
        <v/>
      </c>
      <c r="F6320" t="str">
        <f>HYPERLINK("D:\Data From Lucan\2024\Moresby\Frames_for_Analysis/6317_20240611_0004_R_0254.jpg","6317_20240611_0004_R_0254.jpg")</f>
        <v>6317_20240611_0004_R_0254.jpg</v>
      </c>
      <c r="G6320" s="92" t="s">
        <v>6517</v>
      </c>
      <c r="I6320">
        <v>2</v>
      </c>
      <c r="K6320" s="97">
        <v>1</v>
      </c>
      <c r="L6320" t="s">
        <v>3959</v>
      </c>
      <c r="M6320" t="s">
        <v>3959</v>
      </c>
      <c r="N6320" t="s">
        <v>3959</v>
      </c>
      <c r="O6320" t="s">
        <v>3959</v>
      </c>
      <c r="P6320" s="57">
        <v>1</v>
      </c>
      <c r="Q6320" s="57">
        <v>0</v>
      </c>
      <c r="R6320" s="57">
        <v>0</v>
      </c>
      <c r="S6320" s="97">
        <v>0</v>
      </c>
      <c r="T6320" s="57">
        <v>0</v>
      </c>
      <c r="U6320" s="57">
        <v>0</v>
      </c>
      <c r="V6320" s="57">
        <v>0</v>
      </c>
      <c r="W6320" s="57">
        <v>0</v>
      </c>
      <c r="X6320" s="97">
        <v>0</v>
      </c>
    </row>
    <row r="6321" spans="1:24" x14ac:dyDescent="0.35">
      <c r="A6321">
        <v>6317</v>
      </c>
      <c r="B6321">
        <v>6318</v>
      </c>
      <c r="C6321">
        <v>146.091980175999</v>
      </c>
      <c r="D6321">
        <v>-17.627338295800001</v>
      </c>
      <c r="E6321" s="92" t="str">
        <f t="shared" si="4"/>
        <v/>
      </c>
      <c r="F6321" t="str">
        <f>HYPERLINK("D:\Data From Lucan\2024\Moresby\Frames_for_Analysis/6318_20240611_0004_R_0251.jpg","6318_20240611_0004_R_0251.jpg")</f>
        <v>6318_20240611_0004_R_0251.jpg</v>
      </c>
      <c r="G6321" s="92" t="s">
        <v>6518</v>
      </c>
      <c r="I6321">
        <v>2</v>
      </c>
      <c r="K6321" s="97">
        <v>1</v>
      </c>
      <c r="L6321" t="s">
        <v>3959</v>
      </c>
      <c r="M6321" t="s">
        <v>3959</v>
      </c>
      <c r="N6321" t="s">
        <v>3959</v>
      </c>
      <c r="O6321" t="s">
        <v>3959</v>
      </c>
      <c r="P6321" s="57">
        <v>1</v>
      </c>
      <c r="Q6321" s="57">
        <v>0</v>
      </c>
      <c r="R6321" s="57">
        <v>0</v>
      </c>
      <c r="S6321" s="97">
        <v>0</v>
      </c>
      <c r="T6321" s="57">
        <v>0</v>
      </c>
      <c r="U6321" s="57">
        <v>0</v>
      </c>
      <c r="V6321" s="57">
        <v>0</v>
      </c>
      <c r="W6321" s="57">
        <v>0</v>
      </c>
      <c r="X6321" s="97">
        <v>0</v>
      </c>
    </row>
    <row r="6322" spans="1:24" x14ac:dyDescent="0.35">
      <c r="A6322">
        <v>6318</v>
      </c>
      <c r="B6322">
        <v>6319</v>
      </c>
      <c r="C6322">
        <v>146.09206798400001</v>
      </c>
      <c r="D6322">
        <v>-17.627356364000001</v>
      </c>
      <c r="E6322" s="92" t="str">
        <f t="shared" si="4"/>
        <v/>
      </c>
      <c r="F6322" t="str">
        <f>HYPERLINK("D:\Data From Lucan\2024\Moresby\Frames_for_Analysis/6319_20240611_0004_R_0247.jpg","6319_20240611_0004_R_0247.jpg")</f>
        <v>6319_20240611_0004_R_0247.jpg</v>
      </c>
      <c r="G6322" s="92" t="s">
        <v>6519</v>
      </c>
      <c r="I6322">
        <v>2</v>
      </c>
      <c r="K6322" s="97">
        <v>0</v>
      </c>
      <c r="L6322" t="s">
        <v>3959</v>
      </c>
      <c r="M6322" t="s">
        <v>3959</v>
      </c>
      <c r="N6322" t="s">
        <v>3959</v>
      </c>
      <c r="O6322" t="s">
        <v>3959</v>
      </c>
      <c r="P6322" s="57">
        <v>1</v>
      </c>
      <c r="Q6322" s="57">
        <v>0</v>
      </c>
      <c r="R6322" s="57">
        <v>0</v>
      </c>
      <c r="S6322" s="97">
        <v>0</v>
      </c>
      <c r="T6322" s="57">
        <v>0</v>
      </c>
      <c r="U6322" s="57">
        <v>0</v>
      </c>
      <c r="V6322" s="57">
        <v>0</v>
      </c>
      <c r="W6322" s="57">
        <v>0</v>
      </c>
      <c r="X6322" s="97">
        <v>0</v>
      </c>
    </row>
    <row r="6323" spans="1:24" x14ac:dyDescent="0.35">
      <c r="A6323">
        <v>6319</v>
      </c>
      <c r="B6323">
        <v>6320</v>
      </c>
      <c r="C6323">
        <v>146.092155792</v>
      </c>
      <c r="D6323">
        <v>-17.6273744322</v>
      </c>
      <c r="E6323" s="92">
        <f t="shared" si="4"/>
        <v>50</v>
      </c>
      <c r="F6323" t="str">
        <f>HYPERLINK("D:\Data From Lucan\2024\Moresby\Frames_for_Analysis/6320_20240611_0004_R_0244.jpg","6320_20240611_0004_R_0244.jpg")</f>
        <v>6320_20240611_0004_R_0244.jpg</v>
      </c>
      <c r="G6323" s="92" t="s">
        <v>6520</v>
      </c>
      <c r="I6323">
        <v>2</v>
      </c>
      <c r="K6323" s="97">
        <v>0</v>
      </c>
      <c r="L6323" t="s">
        <v>3959</v>
      </c>
      <c r="M6323" t="s">
        <v>3959</v>
      </c>
      <c r="N6323" t="s">
        <v>3959</v>
      </c>
      <c r="O6323" t="s">
        <v>3959</v>
      </c>
      <c r="P6323" s="57">
        <v>1</v>
      </c>
      <c r="Q6323" s="57">
        <v>0</v>
      </c>
      <c r="R6323" s="57">
        <v>0</v>
      </c>
      <c r="S6323" s="97">
        <v>0</v>
      </c>
      <c r="T6323" s="57">
        <v>0</v>
      </c>
      <c r="U6323" s="57">
        <v>0</v>
      </c>
      <c r="V6323" s="57">
        <v>0</v>
      </c>
      <c r="W6323" s="57">
        <v>0</v>
      </c>
      <c r="X6323" s="97">
        <v>0</v>
      </c>
    </row>
    <row r="6324" spans="1:24" x14ac:dyDescent="0.35">
      <c r="A6324">
        <v>6320</v>
      </c>
      <c r="B6324">
        <v>6321</v>
      </c>
      <c r="C6324">
        <v>146.09224359999899</v>
      </c>
      <c r="D6324">
        <v>-17.6273925003999</v>
      </c>
      <c r="E6324" s="92" t="str">
        <f t="shared" si="4"/>
        <v/>
      </c>
      <c r="F6324" t="str">
        <f>HYPERLINK("D:\Data From Lucan\2024\Moresby\Frames_for_Analysis/6321_20240611_0004_R_0242.jpg","6321_20240611_0004_R_0242.jpg")</f>
        <v>6321_20240611_0004_R_0242.jpg</v>
      </c>
      <c r="G6324" s="92" t="s">
        <v>6521</v>
      </c>
      <c r="I6324">
        <v>2</v>
      </c>
      <c r="K6324" s="97">
        <v>0</v>
      </c>
      <c r="L6324" t="s">
        <v>3959</v>
      </c>
      <c r="M6324" t="s">
        <v>3959</v>
      </c>
      <c r="N6324" t="s">
        <v>3959</v>
      </c>
      <c r="O6324" t="s">
        <v>3959</v>
      </c>
      <c r="P6324" s="57">
        <v>1</v>
      </c>
      <c r="Q6324" s="57">
        <v>0</v>
      </c>
      <c r="R6324" s="57">
        <v>0</v>
      </c>
      <c r="S6324" s="97">
        <v>0</v>
      </c>
      <c r="T6324" s="57">
        <v>0</v>
      </c>
      <c r="U6324" s="57">
        <v>0</v>
      </c>
      <c r="V6324" s="57">
        <v>0</v>
      </c>
      <c r="W6324" s="57">
        <v>0</v>
      </c>
      <c r="X6324" s="97">
        <v>0</v>
      </c>
    </row>
    <row r="6325" spans="1:24" x14ac:dyDescent="0.35">
      <c r="A6325">
        <v>6321</v>
      </c>
      <c r="B6325">
        <v>6322</v>
      </c>
      <c r="C6325">
        <v>146.092331408999</v>
      </c>
      <c r="D6325">
        <v>-17.627410568599899</v>
      </c>
      <c r="E6325" s="92" t="str">
        <f t="shared" si="4"/>
        <v/>
      </c>
      <c r="F6325" t="str">
        <f>HYPERLINK("D:\Data From Lucan\2024\Moresby\Frames_for_Analysis/6322_20240611_0004_R_0239.jpg","6322_20240611_0004_R_0239.jpg")</f>
        <v>6322_20240611_0004_R_0239.jpg</v>
      </c>
      <c r="G6325" s="92" t="s">
        <v>6522</v>
      </c>
      <c r="I6325">
        <v>2</v>
      </c>
      <c r="K6325" s="97">
        <v>0</v>
      </c>
      <c r="L6325" t="s">
        <v>3959</v>
      </c>
      <c r="M6325" t="s">
        <v>3959</v>
      </c>
      <c r="N6325" t="s">
        <v>3959</v>
      </c>
      <c r="O6325" t="s">
        <v>3959</v>
      </c>
      <c r="P6325" s="57">
        <v>1</v>
      </c>
      <c r="Q6325" s="57">
        <v>0</v>
      </c>
      <c r="R6325" s="57">
        <v>0</v>
      </c>
      <c r="S6325" s="97">
        <v>0</v>
      </c>
      <c r="T6325" s="57">
        <v>0</v>
      </c>
      <c r="U6325" s="57">
        <v>0</v>
      </c>
      <c r="V6325" s="57">
        <v>0</v>
      </c>
      <c r="W6325" s="57">
        <v>0</v>
      </c>
      <c r="X6325" s="97">
        <v>0</v>
      </c>
    </row>
    <row r="6326" spans="1:24" x14ac:dyDescent="0.35">
      <c r="A6326">
        <v>6322</v>
      </c>
      <c r="B6326">
        <v>6323</v>
      </c>
      <c r="C6326">
        <v>146.09241921700001</v>
      </c>
      <c r="D6326">
        <v>-17.627428636800001</v>
      </c>
      <c r="E6326" s="92" t="str">
        <f t="shared" si="4"/>
        <v/>
      </c>
      <c r="F6326" t="str">
        <f>HYPERLINK("D:\Data From Lucan\2024\Moresby\Frames_for_Analysis/6323_20240611_0004_R_0236.jpg","6323_20240611_0004_R_0236.jpg")</f>
        <v>6323_20240611_0004_R_0236.jpg</v>
      </c>
      <c r="G6326" s="92" t="s">
        <v>6523</v>
      </c>
      <c r="I6326">
        <v>2</v>
      </c>
      <c r="K6326" s="97">
        <v>1</v>
      </c>
      <c r="L6326" t="s">
        <v>3959</v>
      </c>
      <c r="M6326" t="s">
        <v>3959</v>
      </c>
      <c r="N6326" t="s">
        <v>3959</v>
      </c>
      <c r="O6326" t="s">
        <v>3959</v>
      </c>
      <c r="P6326" s="57">
        <v>1</v>
      </c>
      <c r="Q6326" s="57">
        <v>0</v>
      </c>
      <c r="R6326" s="57">
        <v>0</v>
      </c>
      <c r="S6326" s="97">
        <v>0</v>
      </c>
      <c r="T6326" s="57">
        <v>0</v>
      </c>
      <c r="U6326" s="57">
        <v>0</v>
      </c>
      <c r="V6326" s="57">
        <v>0</v>
      </c>
      <c r="W6326" s="57">
        <v>0</v>
      </c>
      <c r="X6326" s="97">
        <v>0</v>
      </c>
    </row>
    <row r="6327" spans="1:24" x14ac:dyDescent="0.35">
      <c r="A6327">
        <v>6323</v>
      </c>
      <c r="B6327">
        <v>6324</v>
      </c>
      <c r="C6327">
        <v>146.092507025</v>
      </c>
      <c r="D6327">
        <v>-17.627446705000001</v>
      </c>
      <c r="E6327" s="92" t="str">
        <f t="shared" si="4"/>
        <v/>
      </c>
      <c r="F6327" t="str">
        <f>HYPERLINK("D:\Data From Lucan\2024\Moresby\Frames_for_Analysis/6324_20240611_0004_R_0233.jpg","6324_20240611_0004_R_0233.jpg")</f>
        <v>6324_20240611_0004_R_0233.jpg</v>
      </c>
      <c r="G6327" s="92" t="s">
        <v>6524</v>
      </c>
      <c r="I6327">
        <v>2</v>
      </c>
      <c r="K6327" s="97">
        <v>1</v>
      </c>
      <c r="L6327" t="s">
        <v>3959</v>
      </c>
      <c r="M6327" t="s">
        <v>3959</v>
      </c>
      <c r="N6327" t="s">
        <v>3959</v>
      </c>
      <c r="O6327" t="s">
        <v>3959</v>
      </c>
      <c r="P6327" s="57">
        <v>1</v>
      </c>
      <c r="Q6327" s="57">
        <v>0</v>
      </c>
      <c r="R6327" s="57">
        <v>0</v>
      </c>
      <c r="S6327" s="97">
        <v>0</v>
      </c>
      <c r="T6327" s="57">
        <v>0</v>
      </c>
      <c r="U6327" s="57">
        <v>0</v>
      </c>
      <c r="V6327" s="57">
        <v>0</v>
      </c>
      <c r="W6327" s="57">
        <v>0</v>
      </c>
      <c r="X6327" s="97">
        <v>0</v>
      </c>
    </row>
    <row r="6328" spans="1:24" x14ac:dyDescent="0.35">
      <c r="A6328">
        <v>6324</v>
      </c>
      <c r="B6328">
        <v>6325</v>
      </c>
      <c r="C6328">
        <v>146.092594832999</v>
      </c>
      <c r="D6328">
        <v>-17.6274647732</v>
      </c>
      <c r="E6328" s="92">
        <f t="shared" si="4"/>
        <v>50</v>
      </c>
      <c r="F6328" t="str">
        <f>HYPERLINK("D:\Data From Lucan\2024\Moresby\Frames_for_Analysis/6325_20240611_0004_R_0231.jpg","6325_20240611_0004_R_0231.jpg")</f>
        <v>6325_20240611_0004_R_0231.jpg</v>
      </c>
      <c r="G6328" s="92" t="s">
        <v>6525</v>
      </c>
      <c r="I6328">
        <v>2</v>
      </c>
      <c r="K6328" s="97">
        <v>1</v>
      </c>
      <c r="L6328" t="s">
        <v>3959</v>
      </c>
      <c r="M6328" t="s">
        <v>3959</v>
      </c>
      <c r="N6328" t="s">
        <v>3959</v>
      </c>
      <c r="O6328" t="s">
        <v>3959</v>
      </c>
      <c r="P6328" s="57">
        <v>1</v>
      </c>
      <c r="Q6328" s="57">
        <v>0</v>
      </c>
      <c r="R6328" s="57">
        <v>0</v>
      </c>
      <c r="S6328" s="97">
        <v>0</v>
      </c>
      <c r="T6328" s="57">
        <v>0</v>
      </c>
      <c r="U6328" s="57">
        <v>0</v>
      </c>
      <c r="V6328" s="57">
        <v>0</v>
      </c>
      <c r="W6328" s="57">
        <v>0</v>
      </c>
      <c r="X6328" s="97">
        <v>0</v>
      </c>
    </row>
    <row r="6329" spans="1:24" x14ac:dyDescent="0.35">
      <c r="A6329">
        <v>6325</v>
      </c>
      <c r="B6329">
        <v>6326</v>
      </c>
      <c r="C6329">
        <v>146.092682642</v>
      </c>
      <c r="D6329">
        <v>-17.627482841300001</v>
      </c>
      <c r="E6329" s="92" t="str">
        <f t="shared" si="4"/>
        <v/>
      </c>
      <c r="F6329" t="str">
        <f>HYPERLINK("D:\Data From Lucan\2024\Moresby\Frames_for_Analysis/6326_20240611_0004_R_0228.jpg","6326_20240611_0004_R_0228.jpg")</f>
        <v>6326_20240611_0004_R_0228.jpg</v>
      </c>
      <c r="G6329" s="92" t="s">
        <v>6526</v>
      </c>
      <c r="I6329">
        <v>2</v>
      </c>
      <c r="K6329" s="97">
        <v>1</v>
      </c>
      <c r="L6329" t="s">
        <v>3959</v>
      </c>
      <c r="M6329" t="s">
        <v>3959</v>
      </c>
      <c r="N6329" t="s">
        <v>3959</v>
      </c>
      <c r="O6329" t="s">
        <v>3959</v>
      </c>
      <c r="P6329" s="57">
        <v>1</v>
      </c>
      <c r="Q6329" s="57">
        <v>0</v>
      </c>
      <c r="R6329" s="57">
        <v>0</v>
      </c>
      <c r="S6329" s="97">
        <v>0</v>
      </c>
      <c r="T6329" s="57">
        <v>0</v>
      </c>
      <c r="U6329" s="57">
        <v>0</v>
      </c>
      <c r="V6329" s="57">
        <v>0</v>
      </c>
      <c r="W6329" s="57">
        <v>0</v>
      </c>
      <c r="X6329" s="97">
        <v>0</v>
      </c>
    </row>
    <row r="6330" spans="1:24" x14ac:dyDescent="0.35">
      <c r="A6330">
        <v>6326</v>
      </c>
      <c r="B6330">
        <v>6327</v>
      </c>
      <c r="C6330">
        <v>146.09277044999899</v>
      </c>
      <c r="D6330">
        <v>-17.6275009095</v>
      </c>
      <c r="E6330" s="92" t="str">
        <f t="shared" si="4"/>
        <v/>
      </c>
      <c r="F6330" t="str">
        <f>HYPERLINK("D:\Data From Lucan\2024\Moresby\Frames_for_Analysis/6327_20240611_0004_R_0225.jpg","6327_20240611_0004_R_0225.jpg")</f>
        <v>6327_20240611_0004_R_0225.jpg</v>
      </c>
      <c r="G6330" s="92" t="s">
        <v>6527</v>
      </c>
      <c r="I6330">
        <v>2</v>
      </c>
      <c r="K6330" s="97">
        <v>1</v>
      </c>
      <c r="L6330" t="s">
        <v>3959</v>
      </c>
      <c r="M6330" t="s">
        <v>3959</v>
      </c>
      <c r="N6330" t="s">
        <v>3959</v>
      </c>
      <c r="O6330" t="s">
        <v>3959</v>
      </c>
      <c r="P6330" s="57">
        <v>1</v>
      </c>
      <c r="Q6330" s="57">
        <v>0</v>
      </c>
      <c r="R6330" s="57">
        <v>0</v>
      </c>
      <c r="S6330" s="97">
        <v>0</v>
      </c>
      <c r="T6330" s="57">
        <v>0</v>
      </c>
      <c r="U6330" s="57">
        <v>0</v>
      </c>
      <c r="V6330" s="57">
        <v>0</v>
      </c>
      <c r="W6330" s="57">
        <v>0</v>
      </c>
      <c r="X6330" s="97">
        <v>0</v>
      </c>
    </row>
    <row r="6331" spans="1:24" x14ac:dyDescent="0.35">
      <c r="A6331">
        <v>6327</v>
      </c>
      <c r="B6331">
        <v>6328</v>
      </c>
      <c r="C6331">
        <v>146.09285825800001</v>
      </c>
      <c r="D6331">
        <v>-17.6275189776999</v>
      </c>
      <c r="E6331" s="92" t="str">
        <f t="shared" si="4"/>
        <v/>
      </c>
      <c r="F6331" t="str">
        <f>HYPERLINK("D:\Data From Lucan\2024\Moresby\Frames_for_Analysis/6328_20240611_0004_R_0222.jpg","6328_20240611_0004_R_0222.jpg")</f>
        <v>6328_20240611_0004_R_0222.jpg</v>
      </c>
      <c r="G6331" s="92" t="s">
        <v>6528</v>
      </c>
      <c r="I6331">
        <v>2</v>
      </c>
      <c r="K6331" s="97">
        <v>1</v>
      </c>
      <c r="L6331" t="s">
        <v>3959</v>
      </c>
      <c r="M6331" t="s">
        <v>3959</v>
      </c>
      <c r="N6331" t="s">
        <v>3959</v>
      </c>
      <c r="O6331" t="s">
        <v>3959</v>
      </c>
      <c r="P6331" s="57">
        <v>1</v>
      </c>
      <c r="Q6331" s="57">
        <v>0</v>
      </c>
      <c r="R6331" s="57">
        <v>0</v>
      </c>
      <c r="S6331" s="97">
        <v>0</v>
      </c>
      <c r="T6331" s="57">
        <v>0</v>
      </c>
      <c r="U6331" s="57">
        <v>0</v>
      </c>
      <c r="V6331" s="57">
        <v>0</v>
      </c>
      <c r="W6331" s="57">
        <v>0</v>
      </c>
      <c r="X6331" s="97">
        <v>0</v>
      </c>
    </row>
    <row r="6332" spans="1:24" x14ac:dyDescent="0.35">
      <c r="A6332">
        <v>6328</v>
      </c>
      <c r="B6332">
        <v>6329</v>
      </c>
      <c r="C6332">
        <v>146.092946065999</v>
      </c>
      <c r="D6332">
        <v>-17.627537045899899</v>
      </c>
      <c r="E6332" s="92" t="str">
        <f t="shared" si="4"/>
        <v/>
      </c>
      <c r="F6332" t="str">
        <f>HYPERLINK("D:\Data From Lucan\2024\Moresby\Frames_for_Analysis/6329_20240611_0004_R_0220.jpg","6329_20240611_0004_R_0220.jpg")</f>
        <v>6329_20240611_0004_R_0220.jpg</v>
      </c>
      <c r="G6332" s="92" t="s">
        <v>6529</v>
      </c>
      <c r="I6332">
        <v>2</v>
      </c>
      <c r="K6332" s="97">
        <v>1</v>
      </c>
      <c r="L6332" t="s">
        <v>3959</v>
      </c>
      <c r="M6332" t="s">
        <v>3959</v>
      </c>
      <c r="N6332" t="s">
        <v>3959</v>
      </c>
      <c r="O6332" t="s">
        <v>3959</v>
      </c>
      <c r="P6332" s="57">
        <v>1</v>
      </c>
      <c r="Q6332" s="57">
        <v>0</v>
      </c>
      <c r="R6332" s="57">
        <v>0</v>
      </c>
      <c r="S6332" s="97">
        <v>0</v>
      </c>
      <c r="T6332" s="57">
        <v>0</v>
      </c>
      <c r="U6332" s="57">
        <v>0</v>
      </c>
      <c r="V6332" s="57">
        <v>0</v>
      </c>
      <c r="W6332" s="57">
        <v>0</v>
      </c>
      <c r="X6332" s="97">
        <v>0</v>
      </c>
    </row>
    <row r="6333" spans="1:24" x14ac:dyDescent="0.35">
      <c r="A6333">
        <v>6329</v>
      </c>
      <c r="B6333">
        <v>6330</v>
      </c>
      <c r="C6333">
        <v>146.09303387400001</v>
      </c>
      <c r="D6333">
        <v>-17.627555114100002</v>
      </c>
      <c r="E6333" s="92">
        <f t="shared" si="4"/>
        <v>50</v>
      </c>
      <c r="F6333" t="str">
        <f>HYPERLINK("D:\Data From Lucan\2024\Moresby\Frames_for_Analysis/6330_20240611_0004_R_0217.jpg","6330_20240611_0004_R_0217.jpg")</f>
        <v>6330_20240611_0004_R_0217.jpg</v>
      </c>
      <c r="G6333" s="92" t="s">
        <v>6530</v>
      </c>
      <c r="I6333">
        <v>2</v>
      </c>
      <c r="K6333" s="97">
        <v>1</v>
      </c>
      <c r="L6333" t="s">
        <v>3959</v>
      </c>
      <c r="M6333" t="s">
        <v>3959</v>
      </c>
      <c r="N6333" t="s">
        <v>3959</v>
      </c>
      <c r="O6333" t="s">
        <v>3959</v>
      </c>
      <c r="P6333" s="57">
        <v>1</v>
      </c>
      <c r="Q6333" s="57">
        <v>0</v>
      </c>
      <c r="R6333" s="57">
        <v>0</v>
      </c>
      <c r="S6333" s="97">
        <v>0</v>
      </c>
      <c r="T6333" s="57">
        <v>0</v>
      </c>
      <c r="U6333" s="57">
        <v>0</v>
      </c>
      <c r="V6333" s="57">
        <v>0</v>
      </c>
      <c r="W6333" s="57">
        <v>0</v>
      </c>
      <c r="X6333" s="97">
        <v>0</v>
      </c>
    </row>
    <row r="6334" spans="1:24" x14ac:dyDescent="0.35">
      <c r="A6334">
        <v>6330</v>
      </c>
      <c r="B6334">
        <v>6331</v>
      </c>
      <c r="C6334">
        <v>146.093121733</v>
      </c>
      <c r="D6334">
        <v>-17.627572952600001</v>
      </c>
      <c r="E6334" s="92" t="str">
        <f t="shared" si="4"/>
        <v/>
      </c>
      <c r="F6334" t="str">
        <f>HYPERLINK("D:\Data From Lucan\2024\Moresby\Frames_for_Analysis/6331_20240611_0004_R_0214.jpg","6331_20240611_0004_R_0214.jpg")</f>
        <v>6331_20240611_0004_R_0214.jpg</v>
      </c>
      <c r="G6334" s="92" t="s">
        <v>6531</v>
      </c>
      <c r="I6334">
        <v>2</v>
      </c>
      <c r="K6334" s="97">
        <v>1</v>
      </c>
      <c r="L6334" t="s">
        <v>3959</v>
      </c>
      <c r="M6334" t="s">
        <v>3959</v>
      </c>
      <c r="N6334" t="s">
        <v>3959</v>
      </c>
      <c r="O6334" t="s">
        <v>3959</v>
      </c>
      <c r="P6334" s="57">
        <v>1</v>
      </c>
      <c r="Q6334" s="57">
        <v>0</v>
      </c>
      <c r="R6334" s="57">
        <v>0</v>
      </c>
      <c r="S6334" s="97">
        <v>0</v>
      </c>
      <c r="T6334" s="57">
        <v>0</v>
      </c>
      <c r="U6334" s="57">
        <v>0</v>
      </c>
      <c r="V6334" s="57">
        <v>0</v>
      </c>
      <c r="W6334" s="57">
        <v>0</v>
      </c>
      <c r="X6334" s="97">
        <v>0</v>
      </c>
    </row>
    <row r="6335" spans="1:24" x14ac:dyDescent="0.35">
      <c r="A6335">
        <v>6331</v>
      </c>
      <c r="B6335">
        <v>6332</v>
      </c>
      <c r="C6335">
        <v>146.09320978599899</v>
      </c>
      <c r="D6335">
        <v>-17.627589902499899</v>
      </c>
      <c r="E6335" s="92" t="str">
        <f t="shared" si="4"/>
        <v/>
      </c>
      <c r="F6335" t="str">
        <f>HYPERLINK("D:\Data From Lucan\2024\Moresby\Frames_for_Analysis/6332_20240611_0004_R_0211.jpg","6332_20240611_0004_R_0211.jpg")</f>
        <v>6332_20240611_0004_R_0211.jpg</v>
      </c>
      <c r="G6335" s="92" t="s">
        <v>6532</v>
      </c>
      <c r="I6335">
        <v>2</v>
      </c>
      <c r="K6335" s="97">
        <v>1</v>
      </c>
      <c r="L6335" t="s">
        <v>3959</v>
      </c>
      <c r="M6335" t="s">
        <v>3959</v>
      </c>
      <c r="N6335" t="s">
        <v>3959</v>
      </c>
      <c r="O6335" t="s">
        <v>3959</v>
      </c>
      <c r="P6335" s="57">
        <v>1</v>
      </c>
      <c r="Q6335" s="57">
        <v>0</v>
      </c>
      <c r="R6335" s="57">
        <v>0</v>
      </c>
      <c r="S6335" s="97">
        <v>0</v>
      </c>
      <c r="T6335" s="57">
        <v>0</v>
      </c>
      <c r="U6335" s="57">
        <v>0</v>
      </c>
      <c r="V6335" s="57">
        <v>0</v>
      </c>
      <c r="W6335" s="57">
        <v>0</v>
      </c>
      <c r="X6335" s="97">
        <v>0</v>
      </c>
    </row>
    <row r="6336" spans="1:24" x14ac:dyDescent="0.35">
      <c r="A6336">
        <v>6332</v>
      </c>
      <c r="B6336">
        <v>6333</v>
      </c>
      <c r="C6336">
        <v>146.093297839999</v>
      </c>
      <c r="D6336">
        <v>-17.627606852100001</v>
      </c>
      <c r="E6336" s="92" t="str">
        <f t="shared" si="4"/>
        <v/>
      </c>
      <c r="F6336" t="str">
        <f>HYPERLINK("D:\Data From Lucan\2024\Moresby\Frames_for_Analysis/6333_20240611_0004_R_0208.jpg","6333_20240611_0004_R_0208.jpg")</f>
        <v>6333_20240611_0004_R_0208.jpg</v>
      </c>
      <c r="G6336" s="92" t="s">
        <v>6533</v>
      </c>
      <c r="I6336">
        <v>2</v>
      </c>
      <c r="K6336" s="97">
        <v>1</v>
      </c>
      <c r="L6336" t="s">
        <v>3959</v>
      </c>
      <c r="M6336" t="s">
        <v>3959</v>
      </c>
      <c r="N6336" t="s">
        <v>3959</v>
      </c>
      <c r="O6336" t="s">
        <v>3959</v>
      </c>
      <c r="P6336" s="57">
        <v>1</v>
      </c>
      <c r="Q6336" s="57">
        <v>0</v>
      </c>
      <c r="R6336" s="57">
        <v>0</v>
      </c>
      <c r="S6336" s="97">
        <v>0</v>
      </c>
      <c r="T6336" s="57">
        <v>0</v>
      </c>
      <c r="U6336" s="57">
        <v>0</v>
      </c>
      <c r="V6336" s="57">
        <v>0</v>
      </c>
      <c r="W6336" s="57">
        <v>0</v>
      </c>
      <c r="X6336" s="97">
        <v>0</v>
      </c>
    </row>
    <row r="6337" spans="1:24" x14ac:dyDescent="0.35">
      <c r="A6337">
        <v>6333</v>
      </c>
      <c r="B6337">
        <v>6334</v>
      </c>
      <c r="C6337">
        <v>146.093385893</v>
      </c>
      <c r="D6337">
        <v>-17.6276238015</v>
      </c>
      <c r="E6337" s="92" t="str">
        <f t="shared" si="4"/>
        <v/>
      </c>
      <c r="F6337" t="str">
        <f>HYPERLINK("D:\Data From Lucan\2024\Moresby\Frames_for_Analysis/6334_20240611_0004_R_0205.jpg","6334_20240611_0004_R_0205.jpg")</f>
        <v>6334_20240611_0004_R_0205.jpg</v>
      </c>
      <c r="G6337" s="92" t="s">
        <v>6534</v>
      </c>
      <c r="I6337">
        <v>2</v>
      </c>
      <c r="K6337" s="97">
        <v>1</v>
      </c>
      <c r="L6337" t="s">
        <v>3959</v>
      </c>
      <c r="M6337" t="s">
        <v>3959</v>
      </c>
      <c r="N6337" t="s">
        <v>3959</v>
      </c>
      <c r="O6337" t="s">
        <v>3959</v>
      </c>
      <c r="P6337" s="57">
        <v>1</v>
      </c>
      <c r="Q6337" s="57">
        <v>0</v>
      </c>
      <c r="R6337" s="57">
        <v>0</v>
      </c>
      <c r="S6337" s="97">
        <v>0</v>
      </c>
      <c r="T6337" s="57">
        <v>0</v>
      </c>
      <c r="U6337" s="57">
        <v>0</v>
      </c>
      <c r="V6337" s="57">
        <v>0</v>
      </c>
      <c r="W6337" s="57">
        <v>0</v>
      </c>
      <c r="X6337" s="97">
        <v>0</v>
      </c>
    </row>
    <row r="6338" spans="1:24" x14ac:dyDescent="0.35">
      <c r="A6338">
        <v>6334</v>
      </c>
      <c r="B6338">
        <v>6335</v>
      </c>
      <c r="C6338">
        <v>146.09347394700001</v>
      </c>
      <c r="D6338">
        <v>-17.6276407508999</v>
      </c>
      <c r="E6338" s="92">
        <f t="shared" si="4"/>
        <v>50</v>
      </c>
      <c r="F6338" t="str">
        <f>HYPERLINK("D:\Data From Lucan\2024\Moresby\Frames_for_Analysis/6335_20240611_0004_R_0202.jpg","6335_20240611_0004_R_0202.jpg")</f>
        <v>6335_20240611_0004_R_0202.jpg</v>
      </c>
      <c r="G6338" s="92" t="s">
        <v>6535</v>
      </c>
      <c r="I6338">
        <v>2</v>
      </c>
      <c r="K6338" s="97">
        <v>1</v>
      </c>
      <c r="L6338" t="s">
        <v>3959</v>
      </c>
      <c r="M6338" t="s">
        <v>3959</v>
      </c>
      <c r="N6338" t="s">
        <v>3959</v>
      </c>
      <c r="O6338" t="s">
        <v>3959</v>
      </c>
      <c r="P6338" s="57">
        <v>1</v>
      </c>
      <c r="Q6338" s="57">
        <v>0</v>
      </c>
      <c r="R6338" s="57">
        <v>0</v>
      </c>
      <c r="S6338" s="97">
        <v>0</v>
      </c>
      <c r="T6338" s="57">
        <v>0</v>
      </c>
      <c r="U6338" s="57">
        <v>0</v>
      </c>
      <c r="V6338" s="57">
        <v>0</v>
      </c>
      <c r="W6338" s="57">
        <v>0</v>
      </c>
      <c r="X6338" s="97">
        <v>0</v>
      </c>
    </row>
    <row r="6339" spans="1:24" x14ac:dyDescent="0.35">
      <c r="A6339">
        <v>6335</v>
      </c>
      <c r="B6339">
        <v>6336</v>
      </c>
      <c r="C6339">
        <v>146.093561999999</v>
      </c>
      <c r="D6339">
        <v>-17.6276577004</v>
      </c>
      <c r="E6339" s="92" t="str">
        <f t="shared" si="4"/>
        <v/>
      </c>
      <c r="F6339" t="str">
        <f>HYPERLINK("D:\Data From Lucan\2024\Moresby\Frames_for_Analysis/6336_20240611_0004_R_0199.jpg","6336_20240611_0004_R_0199.jpg")</f>
        <v>6336_20240611_0004_R_0199.jpg</v>
      </c>
      <c r="G6339" s="92" t="s">
        <v>6536</v>
      </c>
      <c r="I6339">
        <v>2</v>
      </c>
      <c r="K6339" s="97">
        <v>1</v>
      </c>
      <c r="L6339" t="s">
        <v>3959</v>
      </c>
      <c r="M6339" t="s">
        <v>3959</v>
      </c>
      <c r="N6339" t="s">
        <v>3959</v>
      </c>
      <c r="O6339" t="s">
        <v>3959</v>
      </c>
      <c r="P6339" s="57">
        <v>1</v>
      </c>
      <c r="Q6339" s="57">
        <v>0</v>
      </c>
      <c r="R6339" s="57">
        <v>0</v>
      </c>
      <c r="S6339" s="97">
        <v>0</v>
      </c>
      <c r="T6339" s="57">
        <v>0</v>
      </c>
      <c r="U6339" s="57">
        <v>0</v>
      </c>
      <c r="V6339" s="57">
        <v>0</v>
      </c>
      <c r="W6339" s="57">
        <v>0</v>
      </c>
      <c r="X6339" s="97">
        <v>0</v>
      </c>
    </row>
    <row r="6340" spans="1:24" x14ac:dyDescent="0.35">
      <c r="A6340">
        <v>6336</v>
      </c>
      <c r="B6340">
        <v>6337</v>
      </c>
      <c r="C6340">
        <v>146.093650053999</v>
      </c>
      <c r="D6340">
        <v>-17.627674649900001</v>
      </c>
      <c r="E6340" s="92" t="str">
        <f t="shared" si="4"/>
        <v/>
      </c>
      <c r="F6340" t="str">
        <f>HYPERLINK("D:\Data From Lucan\2024\Moresby\Frames_for_Analysis/6337_20240611_0004_R_0196.jpg","6337_20240611_0004_R_0196.jpg")</f>
        <v>6337_20240611_0004_R_0196.jpg</v>
      </c>
      <c r="G6340" s="92" t="s">
        <v>6537</v>
      </c>
      <c r="I6340">
        <v>2</v>
      </c>
      <c r="K6340" s="97">
        <v>1</v>
      </c>
      <c r="L6340" t="s">
        <v>3959</v>
      </c>
      <c r="M6340" t="s">
        <v>3959</v>
      </c>
      <c r="N6340" t="s">
        <v>3959</v>
      </c>
      <c r="O6340" t="s">
        <v>3959</v>
      </c>
      <c r="P6340" s="57">
        <v>1</v>
      </c>
      <c r="Q6340" s="57">
        <v>0</v>
      </c>
      <c r="R6340" s="57">
        <v>0</v>
      </c>
      <c r="S6340" s="97">
        <v>0</v>
      </c>
      <c r="T6340" s="57">
        <v>0</v>
      </c>
      <c r="U6340" s="57">
        <v>0</v>
      </c>
      <c r="V6340" s="57">
        <v>0</v>
      </c>
      <c r="W6340" s="57">
        <v>0</v>
      </c>
      <c r="X6340" s="97">
        <v>0</v>
      </c>
    </row>
    <row r="6341" spans="1:24" x14ac:dyDescent="0.35">
      <c r="A6341">
        <v>6337</v>
      </c>
      <c r="B6341">
        <v>6338</v>
      </c>
      <c r="C6341">
        <v>146.09373810700001</v>
      </c>
      <c r="D6341">
        <v>-17.627691599399899</v>
      </c>
      <c r="E6341" s="92" t="str">
        <f t="shared" si="4"/>
        <v/>
      </c>
      <c r="F6341" t="str">
        <f>HYPERLINK("D:\Data From Lucan\2024\Moresby\Frames_for_Analysis/6338_20240611_0004_R_0193.jpg","6338_20240611_0004_R_0193.jpg")</f>
        <v>6338_20240611_0004_R_0193.jpg</v>
      </c>
      <c r="G6341" s="92" t="s">
        <v>6538</v>
      </c>
      <c r="I6341">
        <v>2</v>
      </c>
      <c r="K6341" s="97">
        <v>1</v>
      </c>
      <c r="P6341" s="57">
        <v>1</v>
      </c>
      <c r="Q6341" s="57">
        <v>0</v>
      </c>
      <c r="R6341" s="57">
        <v>0</v>
      </c>
      <c r="S6341" s="97">
        <v>0</v>
      </c>
      <c r="T6341" s="57">
        <v>0</v>
      </c>
      <c r="U6341" s="57">
        <v>0</v>
      </c>
      <c r="V6341" s="57">
        <v>0</v>
      </c>
      <c r="W6341" s="57">
        <v>0</v>
      </c>
      <c r="X6341" s="97">
        <v>0</v>
      </c>
    </row>
    <row r="6342" spans="1:24" x14ac:dyDescent="0.35">
      <c r="A6342">
        <v>6338</v>
      </c>
      <c r="B6342">
        <v>6339</v>
      </c>
      <c r="C6342">
        <v>146.09382616100001</v>
      </c>
      <c r="D6342">
        <v>-17.6277085488999</v>
      </c>
      <c r="E6342" s="92" t="str">
        <f t="shared" si="4"/>
        <v/>
      </c>
      <c r="F6342" t="str">
        <f>HYPERLINK("D:\Data From Lucan\2024\Moresby\Frames_for_Analysis/6339_20240611_0004_R_0190.jpg","6339_20240611_0004_R_0190.jpg")</f>
        <v>6339_20240611_0004_R_0190.jpg</v>
      </c>
      <c r="G6342" s="92" t="s">
        <v>6539</v>
      </c>
      <c r="I6342">
        <v>2</v>
      </c>
      <c r="K6342" s="97">
        <v>1</v>
      </c>
      <c r="P6342" s="57">
        <v>1</v>
      </c>
      <c r="Q6342" s="57">
        <v>0</v>
      </c>
      <c r="R6342" s="57">
        <v>0</v>
      </c>
      <c r="S6342" s="97">
        <v>0</v>
      </c>
      <c r="T6342" s="57">
        <v>0</v>
      </c>
      <c r="U6342" s="57">
        <v>0</v>
      </c>
      <c r="V6342" s="57">
        <v>0</v>
      </c>
      <c r="W6342" s="57">
        <v>0</v>
      </c>
      <c r="X6342" s="97">
        <v>0</v>
      </c>
    </row>
    <row r="6343" spans="1:24" x14ac:dyDescent="0.35">
      <c r="A6343">
        <v>6339</v>
      </c>
      <c r="B6343">
        <v>6340</v>
      </c>
      <c r="C6343">
        <v>146.093914213999</v>
      </c>
      <c r="D6343">
        <v>-17.6277254984</v>
      </c>
      <c r="E6343" s="92">
        <f t="shared" si="4"/>
        <v>50</v>
      </c>
      <c r="F6343" t="str">
        <f>HYPERLINK("D:\Data From Lucan\2024\Moresby\Frames_for_Analysis/6340_20240611_0004_R_0187.jpg","6340_20240611_0004_R_0187.jpg")</f>
        <v>6340_20240611_0004_R_0187.jpg</v>
      </c>
      <c r="G6343" s="92" t="s">
        <v>6540</v>
      </c>
      <c r="I6343">
        <v>2</v>
      </c>
      <c r="K6343" s="97">
        <v>1</v>
      </c>
      <c r="P6343" s="57">
        <v>1</v>
      </c>
      <c r="Q6343" s="57">
        <v>0</v>
      </c>
      <c r="R6343" s="57">
        <v>0</v>
      </c>
      <c r="S6343" s="97">
        <v>0</v>
      </c>
      <c r="T6343" s="57">
        <v>0</v>
      </c>
      <c r="U6343" s="57">
        <v>0</v>
      </c>
      <c r="V6343" s="57">
        <v>0</v>
      </c>
      <c r="W6343" s="57">
        <v>0</v>
      </c>
      <c r="X6343" s="97">
        <v>0</v>
      </c>
    </row>
    <row r="6344" spans="1:24" x14ac:dyDescent="0.35">
      <c r="A6344">
        <v>6340</v>
      </c>
      <c r="B6344">
        <v>6341</v>
      </c>
      <c r="C6344">
        <v>146.094002267999</v>
      </c>
      <c r="D6344">
        <v>-17.6277424477999</v>
      </c>
      <c r="E6344" s="92" t="str">
        <f t="shared" si="4"/>
        <v/>
      </c>
      <c r="F6344" t="str">
        <f>HYPERLINK("D:\Data From Lucan\2024\Moresby\Frames_for_Analysis/6341_20240611_0004_R_0184.jpg","6341_20240611_0004_R_0184.jpg")</f>
        <v>6341_20240611_0004_R_0184.jpg</v>
      </c>
      <c r="G6344" s="92" t="s">
        <v>6541</v>
      </c>
      <c r="I6344">
        <v>2</v>
      </c>
      <c r="K6344" s="97">
        <v>1</v>
      </c>
      <c r="P6344" s="57">
        <v>1</v>
      </c>
      <c r="Q6344" s="57">
        <v>0</v>
      </c>
      <c r="R6344" s="57">
        <v>0</v>
      </c>
      <c r="S6344" s="97">
        <v>0</v>
      </c>
      <c r="T6344" s="57">
        <v>0</v>
      </c>
      <c r="U6344" s="57">
        <v>0</v>
      </c>
      <c r="V6344" s="57">
        <v>0</v>
      </c>
      <c r="W6344" s="57">
        <v>0</v>
      </c>
      <c r="X6344" s="97">
        <v>0</v>
      </c>
    </row>
    <row r="6345" spans="1:24" x14ac:dyDescent="0.35">
      <c r="A6345">
        <v>6341</v>
      </c>
      <c r="B6345">
        <v>6342</v>
      </c>
      <c r="C6345">
        <v>146.09409032100001</v>
      </c>
      <c r="D6345">
        <v>-17.627759397799899</v>
      </c>
      <c r="E6345" s="92" t="str">
        <f t="shared" si="4"/>
        <v/>
      </c>
      <c r="F6345" t="str">
        <f>HYPERLINK("D:\Data From Lucan\2024\Moresby\Frames_for_Analysis/6342_20240611_0004_R_0181.jpg","6342_20240611_0004_R_0181.jpg")</f>
        <v>6342_20240611_0004_R_0181.jpg</v>
      </c>
      <c r="G6345" s="92" t="s">
        <v>6542</v>
      </c>
      <c r="I6345">
        <v>2</v>
      </c>
      <c r="K6345" s="97">
        <v>1</v>
      </c>
      <c r="P6345" s="57">
        <v>1</v>
      </c>
      <c r="Q6345" s="57">
        <v>0</v>
      </c>
      <c r="R6345" s="57">
        <v>0</v>
      </c>
      <c r="S6345" s="97">
        <v>0</v>
      </c>
      <c r="T6345" s="57">
        <v>0</v>
      </c>
      <c r="U6345" s="57">
        <v>0</v>
      </c>
      <c r="V6345" s="57">
        <v>0</v>
      </c>
      <c r="W6345" s="57">
        <v>0</v>
      </c>
      <c r="X6345" s="97">
        <v>0</v>
      </c>
    </row>
    <row r="6346" spans="1:24" x14ac:dyDescent="0.35">
      <c r="A6346">
        <v>6342</v>
      </c>
      <c r="B6346">
        <v>6343</v>
      </c>
      <c r="C6346">
        <v>146.09417837500001</v>
      </c>
      <c r="D6346">
        <v>-17.6277763466999</v>
      </c>
      <c r="E6346" s="92" t="str">
        <f t="shared" si="4"/>
        <v/>
      </c>
      <c r="F6346" t="str">
        <f>HYPERLINK("D:\Data From Lucan\2024\Moresby\Frames_for_Analysis/6343_20240611_0004_R_0178.jpg","6343_20240611_0004_R_0178.jpg")</f>
        <v>6343_20240611_0004_R_0178.jpg</v>
      </c>
      <c r="G6346" s="92" t="s">
        <v>6543</v>
      </c>
      <c r="I6346">
        <v>2</v>
      </c>
      <c r="K6346" s="97">
        <v>1</v>
      </c>
      <c r="P6346" s="57">
        <v>1</v>
      </c>
      <c r="Q6346" s="57">
        <v>0</v>
      </c>
      <c r="R6346" s="57">
        <v>0</v>
      </c>
      <c r="S6346" s="97">
        <v>0</v>
      </c>
      <c r="T6346" s="57">
        <v>0</v>
      </c>
      <c r="U6346" s="57">
        <v>0</v>
      </c>
      <c r="V6346" s="57">
        <v>0</v>
      </c>
      <c r="W6346" s="57">
        <v>0</v>
      </c>
      <c r="X6346" s="97">
        <v>0</v>
      </c>
    </row>
    <row r="6347" spans="1:24" x14ac:dyDescent="0.35">
      <c r="A6347">
        <v>6343</v>
      </c>
      <c r="B6347">
        <v>6344</v>
      </c>
      <c r="C6347">
        <v>146.094266427999</v>
      </c>
      <c r="D6347">
        <v>-17.627793295699899</v>
      </c>
      <c r="E6347" s="92" t="str">
        <f t="shared" si="4"/>
        <v/>
      </c>
      <c r="F6347" t="str">
        <f>HYPERLINK("D:\Data From Lucan\2024\Moresby\Frames_for_Analysis/6344_20240611_0004_R_0174.jpg","6344_20240611_0004_R_0174.jpg")</f>
        <v>6344_20240611_0004_R_0174.jpg</v>
      </c>
      <c r="G6347" s="92" t="s">
        <v>6544</v>
      </c>
      <c r="I6347">
        <v>2</v>
      </c>
      <c r="K6347" s="97">
        <v>1</v>
      </c>
      <c r="P6347" s="57">
        <v>1</v>
      </c>
      <c r="Q6347" s="57">
        <v>0</v>
      </c>
      <c r="R6347" s="57">
        <v>0</v>
      </c>
      <c r="S6347" s="97">
        <v>0</v>
      </c>
      <c r="T6347" s="57">
        <v>0</v>
      </c>
      <c r="U6347" s="57">
        <v>0</v>
      </c>
      <c r="V6347" s="57">
        <v>0</v>
      </c>
      <c r="W6347" s="57">
        <v>0</v>
      </c>
      <c r="X6347" s="97">
        <v>0</v>
      </c>
    </row>
    <row r="6348" spans="1:24" x14ac:dyDescent="0.35">
      <c r="A6348">
        <v>6344</v>
      </c>
      <c r="B6348">
        <v>6345</v>
      </c>
      <c r="C6348">
        <v>146.094354482</v>
      </c>
      <c r="D6348">
        <v>-17.6278102445999</v>
      </c>
      <c r="E6348" s="92">
        <f t="shared" si="4"/>
        <v>50</v>
      </c>
      <c r="F6348" t="str">
        <f>HYPERLINK("D:\Data From Lucan\2024\Moresby\Frames_for_Analysis/6345_20240611_0004_R_0171.jpg","6345_20240611_0004_R_0171.jpg")</f>
        <v>6345_20240611_0004_R_0171.jpg</v>
      </c>
      <c r="G6348" s="92" t="s">
        <v>6545</v>
      </c>
      <c r="I6348">
        <v>2</v>
      </c>
      <c r="K6348" s="97">
        <v>1</v>
      </c>
      <c r="P6348" s="57">
        <v>1</v>
      </c>
      <c r="Q6348" s="57">
        <v>0</v>
      </c>
      <c r="R6348" s="57">
        <v>0</v>
      </c>
      <c r="S6348" s="97">
        <v>0</v>
      </c>
      <c r="T6348" s="57">
        <v>0</v>
      </c>
      <c r="U6348" s="57">
        <v>0</v>
      </c>
      <c r="V6348" s="57">
        <v>0</v>
      </c>
      <c r="W6348" s="57">
        <v>0</v>
      </c>
      <c r="X6348" s="97">
        <v>0</v>
      </c>
    </row>
    <row r="6349" spans="1:24" x14ac:dyDescent="0.35">
      <c r="A6349">
        <v>6345</v>
      </c>
      <c r="B6349">
        <v>6346</v>
      </c>
      <c r="C6349">
        <v>146.09444171600001</v>
      </c>
      <c r="D6349">
        <v>-17.6278304324</v>
      </c>
      <c r="E6349" s="92" t="str">
        <f t="shared" si="4"/>
        <v/>
      </c>
      <c r="F6349" t="str">
        <f>HYPERLINK("D:\Data From Lucan\2024\Moresby\Frames_for_Analysis/6346_20240611_0004_R_0168.jpg","6346_20240611_0004_R_0168.jpg")</f>
        <v>6346_20240611_0004_R_0168.jpg</v>
      </c>
      <c r="G6349" s="92" t="s">
        <v>6546</v>
      </c>
      <c r="I6349">
        <v>2</v>
      </c>
      <c r="K6349" s="97">
        <v>1</v>
      </c>
      <c r="P6349" s="57">
        <v>1</v>
      </c>
      <c r="Q6349" s="57">
        <v>0</v>
      </c>
      <c r="R6349" s="57">
        <v>0</v>
      </c>
      <c r="S6349" s="97">
        <v>0</v>
      </c>
      <c r="T6349" s="57">
        <v>0</v>
      </c>
      <c r="U6349" s="57">
        <v>0</v>
      </c>
      <c r="V6349" s="57">
        <v>0</v>
      </c>
      <c r="W6349" s="57">
        <v>0</v>
      </c>
      <c r="X6349" s="97">
        <v>0</v>
      </c>
    </row>
    <row r="6350" spans="1:24" x14ac:dyDescent="0.35">
      <c r="A6350">
        <v>6346</v>
      </c>
      <c r="B6350">
        <v>6347</v>
      </c>
      <c r="C6350">
        <v>146.09452819699899</v>
      </c>
      <c r="D6350">
        <v>-17.6278535969</v>
      </c>
      <c r="E6350" s="92" t="str">
        <f t="shared" si="4"/>
        <v/>
      </c>
      <c r="F6350" t="str">
        <f>HYPERLINK("D:\Data From Lucan\2024\Moresby\Frames_for_Analysis/6347_20240611_0004_R_0165.jpg","6347_20240611_0004_R_0165.jpg")</f>
        <v>6347_20240611_0004_R_0165.jpg</v>
      </c>
      <c r="G6350" s="92" t="s">
        <v>6547</v>
      </c>
      <c r="I6350">
        <v>2</v>
      </c>
      <c r="K6350" s="97">
        <v>1</v>
      </c>
      <c r="P6350" s="57">
        <v>1</v>
      </c>
      <c r="Q6350" s="57">
        <v>0</v>
      </c>
      <c r="R6350" s="57">
        <v>0</v>
      </c>
      <c r="S6350" s="97">
        <v>0</v>
      </c>
      <c r="T6350" s="57">
        <v>0</v>
      </c>
      <c r="U6350" s="57">
        <v>0</v>
      </c>
      <c r="V6350" s="57">
        <v>0</v>
      </c>
      <c r="W6350" s="57">
        <v>0</v>
      </c>
      <c r="X6350" s="97">
        <v>0</v>
      </c>
    </row>
    <row r="6351" spans="1:24" x14ac:dyDescent="0.35">
      <c r="A6351">
        <v>6347</v>
      </c>
      <c r="B6351">
        <v>6348</v>
      </c>
      <c r="C6351">
        <v>146.09461467700001</v>
      </c>
      <c r="D6351">
        <v>-17.6278767614</v>
      </c>
      <c r="E6351" s="92" t="str">
        <f t="shared" si="4"/>
        <v/>
      </c>
      <c r="F6351" t="str">
        <f>HYPERLINK("D:\Data From Lucan\2024\Moresby\Frames_for_Analysis/6348_20240611_0004_R_0161.jpg","6348_20240611_0004_R_0161.jpg")</f>
        <v>6348_20240611_0004_R_0161.jpg</v>
      </c>
      <c r="G6351" s="92" t="s">
        <v>6548</v>
      </c>
      <c r="I6351">
        <v>2</v>
      </c>
      <c r="K6351" s="97">
        <v>1</v>
      </c>
      <c r="P6351" s="57">
        <v>1</v>
      </c>
      <c r="Q6351" s="57">
        <v>0</v>
      </c>
      <c r="R6351" s="57">
        <v>0</v>
      </c>
      <c r="S6351" s="97">
        <v>0</v>
      </c>
      <c r="T6351" s="57">
        <v>0</v>
      </c>
      <c r="U6351" s="57">
        <v>0</v>
      </c>
      <c r="V6351" s="57">
        <v>0</v>
      </c>
      <c r="W6351" s="57">
        <v>0</v>
      </c>
      <c r="X6351" s="97">
        <v>0</v>
      </c>
    </row>
    <row r="6352" spans="1:24" x14ac:dyDescent="0.35">
      <c r="A6352">
        <v>6348</v>
      </c>
      <c r="B6352">
        <v>6349</v>
      </c>
      <c r="C6352">
        <v>146.094701157999</v>
      </c>
      <c r="D6352">
        <v>-17.627899925800001</v>
      </c>
      <c r="E6352" s="92" t="str">
        <f t="shared" ref="E6352:E6415" si="5">IF(MOD(B6352,5)=0, 50, "")</f>
        <v/>
      </c>
      <c r="F6352" t="str">
        <f>HYPERLINK("D:\Data From Lucan\2024\Moresby\Frames_for_Analysis/6349_20240611_0004_R_0158.jpg","6349_20240611_0004_R_0158.jpg")</f>
        <v>6349_20240611_0004_R_0158.jpg</v>
      </c>
      <c r="G6352" s="92" t="s">
        <v>6549</v>
      </c>
      <c r="I6352">
        <v>2</v>
      </c>
      <c r="K6352" s="97">
        <v>1</v>
      </c>
      <c r="P6352" s="57">
        <v>1</v>
      </c>
      <c r="Q6352" s="57">
        <v>0</v>
      </c>
      <c r="R6352" s="57">
        <v>0</v>
      </c>
      <c r="S6352" s="97">
        <v>0</v>
      </c>
      <c r="T6352" s="57">
        <v>0</v>
      </c>
      <c r="U6352" s="57">
        <v>0</v>
      </c>
      <c r="V6352" s="57">
        <v>0</v>
      </c>
      <c r="W6352" s="57">
        <v>0</v>
      </c>
      <c r="X6352" s="97">
        <v>0</v>
      </c>
    </row>
    <row r="6353" spans="1:24" x14ac:dyDescent="0.35">
      <c r="A6353">
        <v>6349</v>
      </c>
      <c r="B6353">
        <v>6350</v>
      </c>
      <c r="C6353">
        <v>146.094787639</v>
      </c>
      <c r="D6353">
        <v>-17.627923090300001</v>
      </c>
      <c r="E6353" s="92">
        <f t="shared" si="5"/>
        <v>50</v>
      </c>
      <c r="F6353" t="str">
        <f>HYPERLINK("D:\Data From Lucan\2024\Moresby\Frames_for_Analysis/6350_20240611_0004_R_0155.jpg","6350_20240611_0004_R_0155.jpg")</f>
        <v>6350_20240611_0004_R_0155.jpg</v>
      </c>
      <c r="G6353" s="92" t="s">
        <v>6550</v>
      </c>
      <c r="I6353">
        <v>2</v>
      </c>
      <c r="K6353" s="97">
        <v>1</v>
      </c>
      <c r="P6353" s="57">
        <v>1</v>
      </c>
      <c r="Q6353" s="57">
        <v>0</v>
      </c>
      <c r="R6353" s="57">
        <v>0</v>
      </c>
      <c r="S6353" s="97">
        <v>0</v>
      </c>
      <c r="T6353" s="57">
        <v>0</v>
      </c>
      <c r="U6353" s="57">
        <v>0</v>
      </c>
      <c r="V6353" s="57">
        <v>0</v>
      </c>
      <c r="W6353" s="57">
        <v>0</v>
      </c>
      <c r="X6353" s="97">
        <v>0</v>
      </c>
    </row>
    <row r="6354" spans="1:24" x14ac:dyDescent="0.35">
      <c r="A6354">
        <v>6350</v>
      </c>
      <c r="B6354">
        <v>6351</v>
      </c>
      <c r="C6354">
        <v>146.09487411999899</v>
      </c>
      <c r="D6354">
        <v>-17.627946254800001</v>
      </c>
      <c r="E6354" s="92" t="str">
        <f t="shared" si="5"/>
        <v/>
      </c>
      <c r="F6354" t="str">
        <f>HYPERLINK("D:\Data From Lucan\2024\Moresby\Frames_for_Analysis/6351_20240611_0004_R_0152.jpg","6351_20240611_0004_R_0152.jpg")</f>
        <v>6351_20240611_0004_R_0152.jpg</v>
      </c>
      <c r="G6354" s="92" t="s">
        <v>6551</v>
      </c>
      <c r="I6354">
        <v>2</v>
      </c>
      <c r="K6354" s="97">
        <v>1</v>
      </c>
      <c r="P6354" s="57">
        <v>1</v>
      </c>
      <c r="Q6354" s="57">
        <v>0</v>
      </c>
      <c r="R6354" s="57">
        <v>0</v>
      </c>
      <c r="S6354" s="97">
        <v>0</v>
      </c>
      <c r="T6354" s="57">
        <v>0</v>
      </c>
      <c r="U6354" s="57">
        <v>0</v>
      </c>
      <c r="V6354" s="57">
        <v>0</v>
      </c>
      <c r="W6354" s="57">
        <v>0</v>
      </c>
      <c r="X6354" s="97">
        <v>0</v>
      </c>
    </row>
    <row r="6355" spans="1:24" x14ac:dyDescent="0.35">
      <c r="A6355">
        <v>6351</v>
      </c>
      <c r="B6355">
        <v>6352</v>
      </c>
      <c r="C6355">
        <v>146.094960600999</v>
      </c>
      <c r="D6355">
        <v>-17.627969419300001</v>
      </c>
      <c r="E6355" s="92" t="str">
        <f t="shared" si="5"/>
        <v/>
      </c>
      <c r="F6355" t="str">
        <f>HYPERLINK("D:\Data From Lucan\2024\Moresby\Frames_for_Analysis/6352_20240611_0004_R_0148.jpg","6352_20240611_0004_R_0148.jpg")</f>
        <v>6352_20240611_0004_R_0148.jpg</v>
      </c>
      <c r="G6355" s="92" t="s">
        <v>6552</v>
      </c>
      <c r="I6355">
        <v>2</v>
      </c>
      <c r="K6355" s="97">
        <v>1</v>
      </c>
      <c r="P6355" s="57">
        <v>1</v>
      </c>
      <c r="Q6355" s="57">
        <v>0</v>
      </c>
      <c r="R6355" s="57">
        <v>0</v>
      </c>
      <c r="S6355" s="97">
        <v>0</v>
      </c>
      <c r="T6355" s="57">
        <v>0</v>
      </c>
      <c r="U6355" s="57">
        <v>0</v>
      </c>
      <c r="V6355" s="57">
        <v>0</v>
      </c>
      <c r="W6355" s="57">
        <v>0</v>
      </c>
      <c r="X6355" s="97">
        <v>0</v>
      </c>
    </row>
    <row r="6356" spans="1:24" x14ac:dyDescent="0.35">
      <c r="A6356">
        <v>6352</v>
      </c>
      <c r="B6356">
        <v>6353</v>
      </c>
      <c r="C6356">
        <v>146.095047080999</v>
      </c>
      <c r="D6356">
        <v>-17.627992583800001</v>
      </c>
      <c r="E6356" s="92" t="str">
        <f t="shared" si="5"/>
        <v/>
      </c>
      <c r="F6356" t="str">
        <f>HYPERLINK("D:\Data From Lucan\2024\Moresby\Frames_for_Analysis/6353_20240611_0004_R_0146.jpg","6353_20240611_0004_R_0146.jpg")</f>
        <v>6353_20240611_0004_R_0146.jpg</v>
      </c>
      <c r="G6356" s="92" t="s">
        <v>6553</v>
      </c>
      <c r="I6356">
        <v>2</v>
      </c>
      <c r="K6356" s="97">
        <v>1</v>
      </c>
      <c r="P6356" s="57">
        <v>1</v>
      </c>
      <c r="Q6356" s="57">
        <v>0</v>
      </c>
      <c r="R6356" s="57">
        <v>0</v>
      </c>
      <c r="S6356" s="97">
        <v>0</v>
      </c>
      <c r="T6356" s="57">
        <v>0</v>
      </c>
      <c r="U6356" s="57">
        <v>0</v>
      </c>
      <c r="V6356" s="57">
        <v>0</v>
      </c>
      <c r="W6356" s="57">
        <v>0</v>
      </c>
      <c r="X6356" s="97">
        <v>0</v>
      </c>
    </row>
    <row r="6357" spans="1:24" x14ac:dyDescent="0.35">
      <c r="A6357">
        <v>6353</v>
      </c>
      <c r="B6357">
        <v>6354</v>
      </c>
      <c r="C6357">
        <v>146.095133562</v>
      </c>
      <c r="D6357">
        <v>-17.6280157481999</v>
      </c>
      <c r="E6357" s="92" t="str">
        <f t="shared" si="5"/>
        <v/>
      </c>
      <c r="F6357" t="str">
        <f>HYPERLINK("D:\Data From Lucan\2024\Moresby\Frames_for_Analysis/6354_20240611_0004_R_0142.jpg","6354_20240611_0004_R_0142.jpg")</f>
        <v>6354_20240611_0004_R_0142.jpg</v>
      </c>
      <c r="G6357" s="92" t="s">
        <v>6554</v>
      </c>
      <c r="I6357">
        <v>2</v>
      </c>
      <c r="K6357" s="97">
        <v>1</v>
      </c>
      <c r="P6357" s="57">
        <v>1</v>
      </c>
      <c r="Q6357" s="57">
        <v>0</v>
      </c>
      <c r="R6357" s="57">
        <v>0</v>
      </c>
      <c r="S6357" s="97">
        <v>0</v>
      </c>
      <c r="T6357" s="57">
        <v>0</v>
      </c>
      <c r="U6357" s="57">
        <v>0</v>
      </c>
      <c r="V6357" s="57">
        <v>0</v>
      </c>
      <c r="W6357" s="57">
        <v>0</v>
      </c>
      <c r="X6357" s="97">
        <v>0</v>
      </c>
    </row>
    <row r="6358" spans="1:24" x14ac:dyDescent="0.35">
      <c r="A6358">
        <v>6354</v>
      </c>
      <c r="B6358">
        <v>6355</v>
      </c>
      <c r="C6358">
        <v>146.09522004300001</v>
      </c>
      <c r="D6358">
        <v>-17.6280389126999</v>
      </c>
      <c r="E6358" s="92">
        <f t="shared" si="5"/>
        <v>50</v>
      </c>
      <c r="F6358" t="str">
        <f>HYPERLINK("D:\Data From Lucan\2024\Moresby\Frames_for_Analysis/6355_20240611_0004_R_0139.jpg","6355_20240611_0004_R_0139.jpg")</f>
        <v>6355_20240611_0004_R_0139.jpg</v>
      </c>
      <c r="G6358" s="92" t="s">
        <v>6555</v>
      </c>
      <c r="I6358">
        <v>2</v>
      </c>
      <c r="K6358" s="97">
        <v>1</v>
      </c>
      <c r="P6358" s="57">
        <v>1</v>
      </c>
      <c r="Q6358" s="57">
        <v>0</v>
      </c>
      <c r="R6358" s="57">
        <v>0</v>
      </c>
      <c r="S6358" s="97">
        <v>0</v>
      </c>
      <c r="T6358" s="57">
        <v>0</v>
      </c>
      <c r="U6358" s="57">
        <v>0</v>
      </c>
      <c r="V6358" s="57">
        <v>0</v>
      </c>
      <c r="W6358" s="57">
        <v>0</v>
      </c>
      <c r="X6358" s="97">
        <v>0</v>
      </c>
    </row>
    <row r="6359" spans="1:24" x14ac:dyDescent="0.35">
      <c r="A6359">
        <v>6355</v>
      </c>
      <c r="B6359">
        <v>6356</v>
      </c>
      <c r="C6359">
        <v>146.095306523999</v>
      </c>
      <c r="D6359">
        <v>-17.628062077100001</v>
      </c>
      <c r="E6359" s="92" t="str">
        <f t="shared" si="5"/>
        <v/>
      </c>
      <c r="F6359" t="str">
        <f>HYPERLINK("D:\Data From Lucan\2024\Moresby\Frames_for_Analysis/6356_20240611_0004_R_0136.jpg","6356_20240611_0004_R_0136.jpg")</f>
        <v>6356_20240611_0004_R_0136.jpg</v>
      </c>
      <c r="G6359" s="92" t="s">
        <v>6556</v>
      </c>
      <c r="I6359">
        <v>2</v>
      </c>
      <c r="K6359" s="97">
        <v>1</v>
      </c>
      <c r="P6359" s="57">
        <v>1</v>
      </c>
      <c r="Q6359" s="57">
        <v>0</v>
      </c>
      <c r="R6359" s="57">
        <v>0</v>
      </c>
      <c r="S6359" s="97">
        <v>0</v>
      </c>
      <c r="T6359" s="57">
        <v>0</v>
      </c>
      <c r="U6359" s="57">
        <v>0</v>
      </c>
      <c r="V6359" s="57">
        <v>0</v>
      </c>
      <c r="W6359" s="57">
        <v>0</v>
      </c>
      <c r="X6359" s="97">
        <v>0</v>
      </c>
    </row>
    <row r="6360" spans="1:24" x14ac:dyDescent="0.35">
      <c r="A6360">
        <v>6356</v>
      </c>
      <c r="B6360">
        <v>6357</v>
      </c>
      <c r="C6360">
        <v>146.09539300500001</v>
      </c>
      <c r="D6360">
        <v>-17.628085241600001</v>
      </c>
      <c r="E6360" s="92" t="str">
        <f t="shared" si="5"/>
        <v/>
      </c>
      <c r="F6360" t="str">
        <f>HYPERLINK("D:\Data From Lucan\2024\Moresby\Frames_for_Analysis/6357_20240611_0004_R_0134.jpg","6357_20240611_0004_R_0134.jpg")</f>
        <v>6357_20240611_0004_R_0134.jpg</v>
      </c>
      <c r="G6360" s="92" t="s">
        <v>6557</v>
      </c>
      <c r="I6360">
        <v>2</v>
      </c>
      <c r="K6360" s="97">
        <v>1</v>
      </c>
      <c r="P6360" s="57">
        <v>1</v>
      </c>
      <c r="Q6360" s="57">
        <v>0</v>
      </c>
      <c r="R6360" s="57">
        <v>0</v>
      </c>
      <c r="S6360" s="97">
        <v>0</v>
      </c>
      <c r="T6360" s="57">
        <v>0</v>
      </c>
      <c r="U6360" s="57">
        <v>0</v>
      </c>
      <c r="V6360" s="57">
        <v>0</v>
      </c>
      <c r="W6360" s="57">
        <v>0</v>
      </c>
      <c r="X6360" s="97">
        <v>0</v>
      </c>
    </row>
    <row r="6361" spans="1:24" x14ac:dyDescent="0.35">
      <c r="A6361">
        <v>6357</v>
      </c>
      <c r="B6361">
        <v>6358</v>
      </c>
      <c r="C6361">
        <v>146.09547948599899</v>
      </c>
      <c r="D6361">
        <v>-17.628108406100001</v>
      </c>
      <c r="E6361" s="92" t="str">
        <f t="shared" si="5"/>
        <v/>
      </c>
      <c r="F6361" t="str">
        <f>HYPERLINK("D:\Data From Lucan\2024\Moresby\Frames_for_Analysis/6358_20240611_0004_R_0131.jpg","6358_20240611_0004_R_0131.jpg")</f>
        <v>6358_20240611_0004_R_0131.jpg</v>
      </c>
      <c r="G6361" s="92" t="s">
        <v>6558</v>
      </c>
      <c r="I6361">
        <v>2</v>
      </c>
      <c r="K6361" s="97">
        <v>1</v>
      </c>
      <c r="P6361" s="57">
        <v>1</v>
      </c>
      <c r="Q6361" s="57">
        <v>0</v>
      </c>
      <c r="R6361" s="57">
        <v>0</v>
      </c>
      <c r="S6361" s="97">
        <v>0</v>
      </c>
      <c r="T6361" s="57">
        <v>0</v>
      </c>
      <c r="U6361" s="57">
        <v>0</v>
      </c>
      <c r="V6361" s="57">
        <v>0</v>
      </c>
      <c r="W6361" s="57">
        <v>0</v>
      </c>
      <c r="X6361" s="97">
        <v>0</v>
      </c>
    </row>
    <row r="6362" spans="1:24" x14ac:dyDescent="0.35">
      <c r="A6362">
        <v>6358</v>
      </c>
      <c r="B6362">
        <v>6359</v>
      </c>
      <c r="C6362">
        <v>146.09556596600001</v>
      </c>
      <c r="D6362">
        <v>-17.6281315704999</v>
      </c>
      <c r="E6362" s="92" t="str">
        <f t="shared" si="5"/>
        <v/>
      </c>
      <c r="F6362" t="str">
        <f>HYPERLINK("D:\Data From Lucan\2024\Moresby\Frames_for_Analysis/6359_20240611_0004_R_0127.jpg","6359_20240611_0004_R_0127.jpg")</f>
        <v>6359_20240611_0004_R_0127.jpg</v>
      </c>
      <c r="G6362" s="92" t="s">
        <v>6559</v>
      </c>
      <c r="I6362">
        <v>2</v>
      </c>
      <c r="K6362" s="97">
        <v>1</v>
      </c>
      <c r="P6362" s="57">
        <v>1</v>
      </c>
      <c r="Q6362" s="57">
        <v>0</v>
      </c>
      <c r="R6362" s="57">
        <v>0</v>
      </c>
      <c r="S6362" s="97">
        <v>0</v>
      </c>
      <c r="T6362" s="57">
        <v>0</v>
      </c>
      <c r="U6362" s="57">
        <v>0</v>
      </c>
      <c r="V6362" s="57">
        <v>0</v>
      </c>
      <c r="W6362" s="57">
        <v>0</v>
      </c>
      <c r="X6362" s="97">
        <v>0</v>
      </c>
    </row>
    <row r="6363" spans="1:24" x14ac:dyDescent="0.35">
      <c r="A6363">
        <v>6359</v>
      </c>
      <c r="B6363">
        <v>6360</v>
      </c>
      <c r="C6363">
        <v>146.095652446999</v>
      </c>
      <c r="D6363">
        <v>-17.628154734999899</v>
      </c>
      <c r="E6363" s="92">
        <f t="shared" si="5"/>
        <v>50</v>
      </c>
      <c r="F6363" t="str">
        <f>HYPERLINK("D:\Data From Lucan\2024\Moresby\Frames_for_Analysis/6360_20240611_0004_R_0125.jpg","6360_20240611_0004_R_0125.jpg")</f>
        <v>6360_20240611_0004_R_0125.jpg</v>
      </c>
      <c r="G6363" s="92" t="s">
        <v>6560</v>
      </c>
      <c r="I6363">
        <v>2</v>
      </c>
      <c r="K6363" s="97">
        <v>1</v>
      </c>
      <c r="P6363" s="57">
        <v>1</v>
      </c>
      <c r="Q6363" s="57">
        <v>0</v>
      </c>
      <c r="R6363" s="57">
        <v>0</v>
      </c>
      <c r="S6363" s="97">
        <v>0</v>
      </c>
      <c r="T6363" s="57">
        <v>0</v>
      </c>
      <c r="U6363" s="57">
        <v>0</v>
      </c>
      <c r="V6363" s="57">
        <v>0</v>
      </c>
      <c r="W6363" s="57">
        <v>0</v>
      </c>
      <c r="X6363" s="97">
        <v>0</v>
      </c>
    </row>
    <row r="6364" spans="1:24" x14ac:dyDescent="0.35">
      <c r="A6364">
        <v>6360</v>
      </c>
      <c r="B6364">
        <v>6361</v>
      </c>
      <c r="C6364">
        <v>146.09573931700001</v>
      </c>
      <c r="D6364">
        <v>-17.628176524800001</v>
      </c>
      <c r="E6364" s="92" t="str">
        <f t="shared" si="5"/>
        <v/>
      </c>
      <c r="F6364" t="str">
        <f>HYPERLINK("D:\Data From Lucan\2024\Moresby\Frames_for_Analysis/6361_20240611_0004_R_0122.jpg","6361_20240611_0004_R_0122.jpg")</f>
        <v>6361_20240611_0004_R_0122.jpg</v>
      </c>
      <c r="G6364" s="92" t="s">
        <v>6561</v>
      </c>
      <c r="I6364">
        <v>2</v>
      </c>
      <c r="K6364" s="97">
        <v>1</v>
      </c>
      <c r="P6364" s="57">
        <v>1</v>
      </c>
      <c r="Q6364" s="57">
        <v>0</v>
      </c>
      <c r="R6364" s="57">
        <v>0</v>
      </c>
      <c r="S6364" s="97">
        <v>0</v>
      </c>
      <c r="T6364" s="57">
        <v>0</v>
      </c>
      <c r="U6364" s="57">
        <v>0</v>
      </c>
      <c r="V6364" s="57">
        <v>0</v>
      </c>
      <c r="W6364" s="57">
        <v>0</v>
      </c>
      <c r="X6364" s="97">
        <v>0</v>
      </c>
    </row>
    <row r="6365" spans="1:24" x14ac:dyDescent="0.35">
      <c r="A6365">
        <v>6361</v>
      </c>
      <c r="B6365">
        <v>6362</v>
      </c>
      <c r="C6365">
        <v>146.095826278</v>
      </c>
      <c r="D6365">
        <v>-17.6281979974999</v>
      </c>
      <c r="E6365" s="92" t="str">
        <f t="shared" si="5"/>
        <v/>
      </c>
      <c r="F6365" t="str">
        <f>HYPERLINK("D:\Data From Lucan\2024\Moresby\Frames_for_Analysis/6362_20240611_0004_R_0118.jpg","6362_20240611_0004_R_0118.jpg")</f>
        <v>6362_20240611_0004_R_0118.jpg</v>
      </c>
      <c r="G6365" s="92" t="s">
        <v>6562</v>
      </c>
      <c r="I6365">
        <v>2</v>
      </c>
      <c r="K6365" s="97">
        <v>1</v>
      </c>
      <c r="P6365" s="57">
        <v>1</v>
      </c>
      <c r="Q6365" s="57">
        <v>0</v>
      </c>
      <c r="R6365" s="57">
        <v>0</v>
      </c>
      <c r="S6365" s="97">
        <v>0</v>
      </c>
      <c r="T6365" s="57">
        <v>0</v>
      </c>
      <c r="U6365" s="57">
        <v>0</v>
      </c>
      <c r="V6365" s="57">
        <v>0</v>
      </c>
      <c r="W6365" s="57">
        <v>0</v>
      </c>
      <c r="X6365" s="97">
        <v>0</v>
      </c>
    </row>
    <row r="6366" spans="1:24" x14ac:dyDescent="0.35">
      <c r="A6366">
        <v>6362</v>
      </c>
      <c r="B6366">
        <v>6363</v>
      </c>
      <c r="C6366">
        <v>146.09591323800001</v>
      </c>
      <c r="D6366">
        <v>-17.6282194700999</v>
      </c>
      <c r="E6366" s="92" t="str">
        <f t="shared" si="5"/>
        <v/>
      </c>
      <c r="F6366" t="str">
        <f>HYPERLINK("D:\Data From Lucan\2024\Moresby\Frames_for_Analysis/6363_20240611_0004_R_0115.jpg","6363_20240611_0004_R_0115.jpg")</f>
        <v>6363_20240611_0004_R_0115.jpg</v>
      </c>
      <c r="G6366" s="92" t="s">
        <v>6563</v>
      </c>
      <c r="I6366">
        <v>2</v>
      </c>
      <c r="K6366" s="97">
        <v>1</v>
      </c>
      <c r="P6366" s="57">
        <v>1</v>
      </c>
      <c r="Q6366" s="57">
        <v>0</v>
      </c>
      <c r="R6366" s="57">
        <v>0</v>
      </c>
      <c r="S6366" s="97">
        <v>0</v>
      </c>
      <c r="T6366" s="57">
        <v>0</v>
      </c>
      <c r="U6366" s="57">
        <v>0</v>
      </c>
      <c r="V6366" s="57">
        <v>0</v>
      </c>
      <c r="W6366" s="57">
        <v>0</v>
      </c>
      <c r="X6366" s="97">
        <v>0</v>
      </c>
    </row>
    <row r="6367" spans="1:24" x14ac:dyDescent="0.35">
      <c r="A6367">
        <v>6363</v>
      </c>
      <c r="B6367">
        <v>6364</v>
      </c>
      <c r="C6367">
        <v>146.09600019800001</v>
      </c>
      <c r="D6367">
        <v>-17.628240942800002</v>
      </c>
      <c r="E6367" s="92" t="str">
        <f t="shared" si="5"/>
        <v/>
      </c>
      <c r="F6367" t="str">
        <f>HYPERLINK("D:\Data From Lucan\2024\Moresby\Frames_for_Analysis/6364_20240611_0004_R_0112.jpg","6364_20240611_0004_R_0112.jpg")</f>
        <v>6364_20240611_0004_R_0112.jpg</v>
      </c>
      <c r="G6367" s="92" t="s">
        <v>6564</v>
      </c>
      <c r="I6367">
        <v>2</v>
      </c>
      <c r="K6367" s="97">
        <v>1</v>
      </c>
      <c r="P6367" s="57">
        <v>1</v>
      </c>
      <c r="Q6367" s="57">
        <v>0</v>
      </c>
      <c r="R6367" s="57">
        <v>0</v>
      </c>
      <c r="S6367" s="97">
        <v>0</v>
      </c>
      <c r="T6367" s="57">
        <v>0</v>
      </c>
      <c r="U6367" s="57">
        <v>0</v>
      </c>
      <c r="V6367" s="57">
        <v>0</v>
      </c>
      <c r="W6367" s="57">
        <v>0</v>
      </c>
      <c r="X6367" s="97">
        <v>0</v>
      </c>
    </row>
    <row r="6368" spans="1:24" x14ac:dyDescent="0.35">
      <c r="A6368">
        <v>6364</v>
      </c>
      <c r="B6368">
        <v>6365</v>
      </c>
      <c r="C6368">
        <v>146.09608715799899</v>
      </c>
      <c r="D6368">
        <v>-17.628262415599899</v>
      </c>
      <c r="E6368" s="92">
        <f t="shared" si="5"/>
        <v>50</v>
      </c>
      <c r="F6368" t="str">
        <f>HYPERLINK("D:\Data From Lucan\2024\Moresby\Frames_for_Analysis/6365_20240611_0004_R_0107.jpg","6365_20240611_0004_R_0107.jpg")</f>
        <v>6365_20240611_0004_R_0107.jpg</v>
      </c>
      <c r="G6368" s="92" t="s">
        <v>6565</v>
      </c>
      <c r="I6368">
        <v>2</v>
      </c>
      <c r="K6368" s="97">
        <v>1</v>
      </c>
      <c r="P6368" s="57">
        <v>1</v>
      </c>
      <c r="Q6368" s="57">
        <v>0</v>
      </c>
      <c r="R6368" s="57">
        <v>0</v>
      </c>
      <c r="S6368" s="97">
        <v>0</v>
      </c>
      <c r="T6368" s="57">
        <v>0</v>
      </c>
      <c r="U6368" s="57">
        <v>0</v>
      </c>
      <c r="V6368" s="57">
        <v>0</v>
      </c>
      <c r="W6368" s="57">
        <v>0</v>
      </c>
      <c r="X6368" s="97">
        <v>0</v>
      </c>
    </row>
    <row r="6369" spans="1:24" x14ac:dyDescent="0.35">
      <c r="A6369">
        <v>6365</v>
      </c>
      <c r="B6369">
        <v>6366</v>
      </c>
      <c r="C6369">
        <v>146.096174117999</v>
      </c>
      <c r="D6369">
        <v>-17.628283888399899</v>
      </c>
      <c r="E6369" s="92" t="str">
        <f t="shared" si="5"/>
        <v/>
      </c>
      <c r="F6369" t="str">
        <f>HYPERLINK("D:\Data From Lucan\2024\Moresby\Frames_for_Analysis/6366_20240611_0004_R_0104.jpg","6366_20240611_0004_R_0104.jpg")</f>
        <v>6366_20240611_0004_R_0104.jpg</v>
      </c>
      <c r="G6369" s="92" t="s">
        <v>6566</v>
      </c>
      <c r="I6369">
        <v>2</v>
      </c>
      <c r="K6369" s="97">
        <v>1</v>
      </c>
      <c r="P6369" s="57">
        <v>1</v>
      </c>
      <c r="Q6369" s="57">
        <v>0</v>
      </c>
      <c r="R6369" s="57">
        <v>0</v>
      </c>
      <c r="S6369" s="97">
        <v>0</v>
      </c>
      <c r="T6369" s="57">
        <v>0</v>
      </c>
      <c r="U6369" s="57">
        <v>0</v>
      </c>
      <c r="V6369" s="57">
        <v>0</v>
      </c>
      <c r="W6369" s="57">
        <v>0</v>
      </c>
      <c r="X6369" s="97">
        <v>0</v>
      </c>
    </row>
    <row r="6370" spans="1:24" x14ac:dyDescent="0.35">
      <c r="A6370">
        <v>6366</v>
      </c>
      <c r="B6370">
        <v>6367</v>
      </c>
      <c r="C6370">
        <v>146.096261077999</v>
      </c>
      <c r="D6370">
        <v>-17.628305361199899</v>
      </c>
      <c r="E6370" s="92" t="str">
        <f t="shared" si="5"/>
        <v/>
      </c>
      <c r="F6370" t="str">
        <f>HYPERLINK("D:\Data From Lucan\2024\Moresby\Frames_for_Analysis/6367_20240611_0004_R_0101.jpg","6367_20240611_0004_R_0101.jpg")</f>
        <v>6367_20240611_0004_R_0101.jpg</v>
      </c>
      <c r="G6370" s="92" t="s">
        <v>6567</v>
      </c>
      <c r="I6370">
        <v>2</v>
      </c>
      <c r="K6370" s="97">
        <v>1</v>
      </c>
      <c r="P6370" s="57">
        <v>1</v>
      </c>
      <c r="Q6370" s="57">
        <v>0</v>
      </c>
      <c r="R6370" s="57">
        <v>0</v>
      </c>
      <c r="S6370" s="97">
        <v>0</v>
      </c>
      <c r="T6370" s="57">
        <v>0</v>
      </c>
      <c r="U6370" s="57">
        <v>0</v>
      </c>
      <c r="V6370" s="57">
        <v>0</v>
      </c>
      <c r="W6370" s="57">
        <v>0</v>
      </c>
      <c r="X6370" s="97">
        <v>0</v>
      </c>
    </row>
    <row r="6371" spans="1:24" x14ac:dyDescent="0.35">
      <c r="A6371">
        <v>6367</v>
      </c>
      <c r="B6371">
        <v>6368</v>
      </c>
      <c r="C6371">
        <v>146.096348038999</v>
      </c>
      <c r="D6371">
        <v>-17.6283268339999</v>
      </c>
      <c r="E6371" s="92" t="str">
        <f t="shared" si="5"/>
        <v/>
      </c>
      <c r="F6371" t="str">
        <f>HYPERLINK("D:\Data From Lucan\2024\Moresby\Frames_for_Analysis/6368_20240611_0004_R_0097.jpg","6368_20240611_0004_R_0097.jpg")</f>
        <v>6368_20240611_0004_R_0097.jpg</v>
      </c>
      <c r="G6371" s="92" t="s">
        <v>6568</v>
      </c>
      <c r="I6371">
        <v>2</v>
      </c>
      <c r="K6371" s="97">
        <v>1</v>
      </c>
      <c r="P6371" s="57">
        <v>1</v>
      </c>
      <c r="Q6371" s="57">
        <v>0</v>
      </c>
      <c r="R6371" s="57">
        <v>0</v>
      </c>
      <c r="S6371" s="97">
        <v>0</v>
      </c>
      <c r="T6371" s="57">
        <v>0</v>
      </c>
      <c r="U6371" s="57">
        <v>0</v>
      </c>
      <c r="V6371" s="57">
        <v>0</v>
      </c>
      <c r="W6371" s="57">
        <v>0</v>
      </c>
      <c r="X6371" s="97">
        <v>0</v>
      </c>
    </row>
    <row r="6372" spans="1:24" x14ac:dyDescent="0.35">
      <c r="A6372">
        <v>6368</v>
      </c>
      <c r="B6372">
        <v>6369</v>
      </c>
      <c r="C6372">
        <v>146.09643400100001</v>
      </c>
      <c r="D6372">
        <v>-17.628351592800001</v>
      </c>
      <c r="E6372" s="92" t="str">
        <f t="shared" si="5"/>
        <v/>
      </c>
      <c r="F6372" t="str">
        <f>HYPERLINK("D:\Data From Lucan\2024\Moresby\Frames_for_Analysis/6369_20240611_0004_R_0094.jpg","6369_20240611_0004_R_0094.jpg")</f>
        <v>6369_20240611_0004_R_0094.jpg</v>
      </c>
      <c r="G6372" s="92" t="s">
        <v>6569</v>
      </c>
      <c r="I6372">
        <v>2</v>
      </c>
      <c r="K6372" s="97">
        <v>1</v>
      </c>
      <c r="P6372" s="57">
        <v>1</v>
      </c>
      <c r="Q6372" s="57">
        <v>0</v>
      </c>
      <c r="R6372" s="57">
        <v>0</v>
      </c>
      <c r="S6372" s="97">
        <v>0</v>
      </c>
      <c r="T6372" s="57">
        <v>0</v>
      </c>
      <c r="U6372" s="57">
        <v>0</v>
      </c>
      <c r="V6372" s="57">
        <v>0</v>
      </c>
      <c r="W6372" s="57">
        <v>0</v>
      </c>
      <c r="X6372" s="97">
        <v>0</v>
      </c>
    </row>
    <row r="6373" spans="1:24" x14ac:dyDescent="0.35">
      <c r="A6373">
        <v>6369</v>
      </c>
      <c r="B6373">
        <v>6370</v>
      </c>
      <c r="C6373">
        <v>146.096519559999</v>
      </c>
      <c r="D6373">
        <v>-17.628377683899899</v>
      </c>
      <c r="E6373" s="92">
        <f t="shared" si="5"/>
        <v>50</v>
      </c>
      <c r="F6373" t="str">
        <f>HYPERLINK("D:\Data From Lucan\2024\Moresby\Frames_for_Analysis/6370_20240611_0004_R_0091.jpg","6370_20240611_0004_R_0091.jpg")</f>
        <v>6370_20240611_0004_R_0091.jpg</v>
      </c>
      <c r="G6373" s="92" t="s">
        <v>6570</v>
      </c>
      <c r="I6373">
        <v>2</v>
      </c>
      <c r="K6373" s="97">
        <v>1</v>
      </c>
      <c r="P6373" s="57">
        <v>1</v>
      </c>
      <c r="Q6373" s="57">
        <v>0</v>
      </c>
      <c r="R6373" s="57">
        <v>0</v>
      </c>
      <c r="S6373" s="97">
        <v>0</v>
      </c>
      <c r="T6373" s="57">
        <v>0</v>
      </c>
      <c r="U6373" s="57">
        <v>0</v>
      </c>
      <c r="V6373" s="57">
        <v>0</v>
      </c>
      <c r="W6373" s="57">
        <v>0</v>
      </c>
      <c r="X6373" s="97">
        <v>0</v>
      </c>
    </row>
    <row r="6374" spans="1:24" x14ac:dyDescent="0.35">
      <c r="A6374">
        <v>6370</v>
      </c>
      <c r="B6374">
        <v>6371</v>
      </c>
      <c r="C6374">
        <v>146.09660511800001</v>
      </c>
      <c r="D6374">
        <v>-17.628403775100001</v>
      </c>
      <c r="E6374" s="92" t="str">
        <f t="shared" si="5"/>
        <v/>
      </c>
      <c r="F6374" t="str">
        <f>HYPERLINK("D:\Data From Lucan\2024\Moresby\Frames_for_Analysis/6371_20240611_0004_R_0087.jpg","6371_20240611_0004_R_0087.jpg")</f>
        <v>6371_20240611_0004_R_0087.jpg</v>
      </c>
      <c r="G6374" s="92" t="s">
        <v>6571</v>
      </c>
      <c r="I6374">
        <v>2</v>
      </c>
      <c r="K6374" s="97">
        <v>1</v>
      </c>
      <c r="P6374" s="57">
        <v>1</v>
      </c>
      <c r="Q6374" s="57">
        <v>0</v>
      </c>
      <c r="R6374" s="57">
        <v>0</v>
      </c>
      <c r="S6374" s="97">
        <v>0</v>
      </c>
      <c r="T6374" s="57">
        <v>0</v>
      </c>
      <c r="U6374" s="57">
        <v>0</v>
      </c>
      <c r="V6374" s="57">
        <v>0</v>
      </c>
      <c r="W6374" s="57">
        <v>0</v>
      </c>
      <c r="X6374" s="97">
        <v>0</v>
      </c>
    </row>
    <row r="6375" spans="1:24" x14ac:dyDescent="0.35">
      <c r="A6375">
        <v>6371</v>
      </c>
      <c r="B6375">
        <v>6372</v>
      </c>
      <c r="C6375">
        <v>146.09669067600001</v>
      </c>
      <c r="D6375">
        <v>-17.628429866200001</v>
      </c>
      <c r="E6375" s="92" t="str">
        <f t="shared" si="5"/>
        <v/>
      </c>
      <c r="F6375" t="str">
        <f>HYPERLINK("D:\Data From Lucan\2024\Moresby\Frames_for_Analysis/6372_20240611_0004_R_0084.jpg","6372_20240611_0004_R_0084.jpg")</f>
        <v>6372_20240611_0004_R_0084.jpg</v>
      </c>
      <c r="G6375" s="92" t="s">
        <v>6572</v>
      </c>
      <c r="I6375">
        <v>2</v>
      </c>
      <c r="K6375" s="97">
        <v>1</v>
      </c>
      <c r="P6375" s="57">
        <v>1</v>
      </c>
      <c r="Q6375" s="57">
        <v>0</v>
      </c>
      <c r="R6375" s="57">
        <v>0</v>
      </c>
      <c r="S6375" s="97">
        <v>0</v>
      </c>
      <c r="T6375" s="57">
        <v>0</v>
      </c>
      <c r="U6375" s="57">
        <v>0</v>
      </c>
      <c r="V6375" s="57">
        <v>0</v>
      </c>
      <c r="W6375" s="57">
        <v>0</v>
      </c>
      <c r="X6375" s="97">
        <v>0</v>
      </c>
    </row>
    <row r="6376" spans="1:24" x14ac:dyDescent="0.35">
      <c r="A6376">
        <v>6372</v>
      </c>
      <c r="B6376">
        <v>6373</v>
      </c>
      <c r="C6376">
        <v>146.096776234</v>
      </c>
      <c r="D6376">
        <v>-17.628455957300002</v>
      </c>
      <c r="E6376" s="92" t="str">
        <f t="shared" si="5"/>
        <v/>
      </c>
      <c r="F6376" t="str">
        <f>HYPERLINK("D:\Data From Lucan\2024\Moresby\Frames_for_Analysis/6373_20240611_0004_R_0081.jpg","6373_20240611_0004_R_0081.jpg")</f>
        <v>6373_20240611_0004_R_0081.jpg</v>
      </c>
      <c r="G6376" s="92" t="s">
        <v>6573</v>
      </c>
      <c r="I6376">
        <v>2</v>
      </c>
      <c r="K6376" s="97">
        <v>1</v>
      </c>
      <c r="P6376" s="57">
        <v>1</v>
      </c>
      <c r="Q6376" s="57">
        <v>0</v>
      </c>
      <c r="R6376" s="57">
        <v>0</v>
      </c>
      <c r="S6376" s="97">
        <v>0</v>
      </c>
      <c r="T6376" s="57">
        <v>0</v>
      </c>
      <c r="U6376" s="57">
        <v>0</v>
      </c>
      <c r="V6376" s="57">
        <v>0</v>
      </c>
      <c r="W6376" s="57">
        <v>0</v>
      </c>
      <c r="X6376" s="97">
        <v>0</v>
      </c>
    </row>
    <row r="6377" spans="1:24" x14ac:dyDescent="0.35">
      <c r="A6377">
        <v>6373</v>
      </c>
      <c r="B6377">
        <v>6374</v>
      </c>
      <c r="C6377">
        <v>146.09686179299899</v>
      </c>
      <c r="D6377">
        <v>-17.628482048399899</v>
      </c>
      <c r="E6377" s="92" t="str">
        <f t="shared" si="5"/>
        <v/>
      </c>
      <c r="F6377" t="str">
        <f>HYPERLINK("D:\Data From Lucan\2024\Moresby\Frames_for_Analysis/6374_20240611_0004_R_0078.jpg","6374_20240611_0004_R_0078.jpg")</f>
        <v>6374_20240611_0004_R_0078.jpg</v>
      </c>
      <c r="G6377" s="92" t="s">
        <v>6574</v>
      </c>
      <c r="I6377">
        <v>2</v>
      </c>
      <c r="K6377" s="97">
        <v>1</v>
      </c>
      <c r="P6377" s="57">
        <v>1</v>
      </c>
      <c r="Q6377" s="57">
        <v>0</v>
      </c>
      <c r="R6377" s="57">
        <v>0</v>
      </c>
      <c r="S6377" s="97">
        <v>0</v>
      </c>
      <c r="T6377" s="57">
        <v>0</v>
      </c>
      <c r="U6377" s="57">
        <v>0</v>
      </c>
      <c r="V6377" s="57">
        <v>0</v>
      </c>
      <c r="W6377" s="57">
        <v>0</v>
      </c>
      <c r="X6377" s="97">
        <v>0</v>
      </c>
    </row>
    <row r="6378" spans="1:24" x14ac:dyDescent="0.35">
      <c r="A6378">
        <v>6374</v>
      </c>
      <c r="B6378">
        <v>6375</v>
      </c>
      <c r="C6378">
        <v>146.09694735100001</v>
      </c>
      <c r="D6378">
        <v>-17.6285081394999</v>
      </c>
      <c r="E6378" s="92">
        <f t="shared" si="5"/>
        <v>50</v>
      </c>
      <c r="F6378" t="str">
        <f>HYPERLINK("D:\Data From Lucan\2024\Moresby\Frames_for_Analysis/6375_20240611_0004_R_0075.jpg","6375_20240611_0004_R_0075.jpg")</f>
        <v>6375_20240611_0004_R_0075.jpg</v>
      </c>
      <c r="G6378" s="92" t="s">
        <v>6575</v>
      </c>
      <c r="I6378">
        <v>2</v>
      </c>
      <c r="K6378" s="97">
        <v>1</v>
      </c>
      <c r="P6378" s="57">
        <v>1</v>
      </c>
      <c r="Q6378" s="57">
        <v>0</v>
      </c>
      <c r="R6378" s="57">
        <v>0</v>
      </c>
      <c r="S6378" s="97">
        <v>0</v>
      </c>
      <c r="T6378" s="57">
        <v>0</v>
      </c>
      <c r="U6378" s="57">
        <v>0</v>
      </c>
      <c r="V6378" s="57">
        <v>0</v>
      </c>
      <c r="W6378" s="57">
        <v>0</v>
      </c>
      <c r="X6378" s="97">
        <v>0</v>
      </c>
    </row>
    <row r="6379" spans="1:24" x14ac:dyDescent="0.35">
      <c r="A6379">
        <v>6375</v>
      </c>
      <c r="B6379">
        <v>6376</v>
      </c>
      <c r="C6379">
        <v>146.09703290900001</v>
      </c>
      <c r="D6379">
        <v>-17.6285342306</v>
      </c>
      <c r="E6379" s="92" t="str">
        <f t="shared" si="5"/>
        <v/>
      </c>
      <c r="F6379" t="str">
        <f>HYPERLINK("D:\Data From Lucan\2024\Moresby\Frames_for_Analysis/6376_20240611_0004_R_0072.jpg","6376_20240611_0004_R_0072.jpg")</f>
        <v>6376_20240611_0004_R_0072.jpg</v>
      </c>
      <c r="G6379" s="92" t="s">
        <v>6576</v>
      </c>
      <c r="I6379">
        <v>2</v>
      </c>
      <c r="K6379" s="97">
        <v>1</v>
      </c>
      <c r="P6379" s="57">
        <v>1</v>
      </c>
      <c r="Q6379" s="57">
        <v>0</v>
      </c>
      <c r="R6379" s="57">
        <v>0</v>
      </c>
      <c r="S6379" s="97">
        <v>0</v>
      </c>
      <c r="T6379" s="57">
        <v>0</v>
      </c>
      <c r="U6379" s="57">
        <v>0</v>
      </c>
      <c r="V6379" s="57">
        <v>0</v>
      </c>
      <c r="W6379" s="57">
        <v>0</v>
      </c>
      <c r="X6379" s="97">
        <v>0</v>
      </c>
    </row>
    <row r="6380" spans="1:24" x14ac:dyDescent="0.35">
      <c r="A6380">
        <v>6376</v>
      </c>
      <c r="B6380">
        <v>6377</v>
      </c>
      <c r="C6380">
        <v>146.097118467999</v>
      </c>
      <c r="D6380">
        <v>-17.6285603217</v>
      </c>
      <c r="E6380" s="92" t="str">
        <f t="shared" si="5"/>
        <v/>
      </c>
      <c r="F6380" t="str">
        <f>HYPERLINK("D:\Data From Lucan\2024\Moresby\Frames_for_Analysis/6377_20240611_0004_R_0068.jpg","6377_20240611_0004_R_0068.jpg")</f>
        <v>6377_20240611_0004_R_0068.jpg</v>
      </c>
      <c r="G6380" s="92" t="s">
        <v>6577</v>
      </c>
      <c r="I6380">
        <v>2</v>
      </c>
      <c r="K6380" s="97">
        <v>1</v>
      </c>
      <c r="P6380" s="57">
        <v>1</v>
      </c>
      <c r="Q6380" s="57">
        <v>0</v>
      </c>
      <c r="R6380" s="57">
        <v>0</v>
      </c>
      <c r="S6380" s="97">
        <v>0</v>
      </c>
      <c r="T6380" s="57">
        <v>0</v>
      </c>
      <c r="U6380" s="57">
        <v>0</v>
      </c>
      <c r="V6380" s="57">
        <v>0</v>
      </c>
      <c r="W6380" s="57">
        <v>0</v>
      </c>
      <c r="X6380" s="97">
        <v>0</v>
      </c>
    </row>
    <row r="6381" spans="1:24" x14ac:dyDescent="0.35">
      <c r="A6381">
        <v>6377</v>
      </c>
      <c r="B6381">
        <v>6378</v>
      </c>
      <c r="C6381">
        <v>146.09720402599999</v>
      </c>
      <c r="D6381">
        <v>-17.628586412699899</v>
      </c>
      <c r="E6381" s="92" t="str">
        <f t="shared" si="5"/>
        <v/>
      </c>
      <c r="F6381" t="str">
        <f>HYPERLINK("D:\Data From Lucan\2024\Moresby\Frames_for_Analysis/6378_20240611_0004_R_0065.jpg","6378_20240611_0004_R_0065.jpg")</f>
        <v>6378_20240611_0004_R_0065.jpg</v>
      </c>
      <c r="G6381" s="92" t="s">
        <v>6578</v>
      </c>
      <c r="I6381">
        <v>2</v>
      </c>
      <c r="K6381" s="97">
        <v>1</v>
      </c>
      <c r="P6381" s="57">
        <v>1</v>
      </c>
      <c r="Q6381" s="57">
        <v>0</v>
      </c>
      <c r="R6381" s="57">
        <v>0</v>
      </c>
      <c r="S6381" s="97">
        <v>0</v>
      </c>
      <c r="T6381" s="57">
        <v>0</v>
      </c>
      <c r="U6381" s="57">
        <v>0</v>
      </c>
      <c r="V6381" s="57">
        <v>0</v>
      </c>
      <c r="W6381" s="57">
        <v>0</v>
      </c>
      <c r="X6381" s="97">
        <v>0</v>
      </c>
    </row>
    <row r="6382" spans="1:24" x14ac:dyDescent="0.35">
      <c r="A6382">
        <v>6378</v>
      </c>
      <c r="B6382">
        <v>6379</v>
      </c>
      <c r="C6382">
        <v>146.09728940700001</v>
      </c>
      <c r="D6382">
        <v>-17.628613024500002</v>
      </c>
      <c r="E6382" s="92" t="str">
        <f t="shared" si="5"/>
        <v/>
      </c>
      <c r="F6382" t="str">
        <f>HYPERLINK("D:\Data From Lucan\2024\Moresby\Frames_for_Analysis/6379_20240611_0004_R_0060.jpg","6379_20240611_0004_R_0060.jpg")</f>
        <v>6379_20240611_0004_R_0060.jpg</v>
      </c>
      <c r="G6382" s="92" t="s">
        <v>6579</v>
      </c>
      <c r="I6382">
        <v>2</v>
      </c>
      <c r="K6382" s="97">
        <v>1</v>
      </c>
      <c r="P6382" s="57">
        <v>1</v>
      </c>
      <c r="Q6382" s="57">
        <v>0</v>
      </c>
      <c r="R6382" s="57">
        <v>0</v>
      </c>
      <c r="S6382" s="97">
        <v>0</v>
      </c>
      <c r="T6382" s="57">
        <v>0</v>
      </c>
      <c r="U6382" s="57">
        <v>0</v>
      </c>
      <c r="V6382" s="57">
        <v>0</v>
      </c>
      <c r="W6382" s="57">
        <v>0</v>
      </c>
      <c r="X6382" s="97">
        <v>0</v>
      </c>
    </row>
    <row r="6383" spans="1:24" x14ac:dyDescent="0.35">
      <c r="A6383">
        <v>6379</v>
      </c>
      <c r="B6383">
        <v>6380</v>
      </c>
      <c r="C6383">
        <v>146.09737409799899</v>
      </c>
      <c r="D6383">
        <v>-17.628641569500001</v>
      </c>
      <c r="E6383" s="92">
        <f t="shared" si="5"/>
        <v>50</v>
      </c>
      <c r="F6383" t="str">
        <f>HYPERLINK("D:\Data From Lucan\2024\Moresby\Frames_for_Analysis/6380_20240611_0004_R_0058.jpg","6380_20240611_0004_R_0058.jpg")</f>
        <v>6380_20240611_0004_R_0058.jpg</v>
      </c>
      <c r="G6383" s="92" t="s">
        <v>6580</v>
      </c>
      <c r="I6383">
        <v>2</v>
      </c>
      <c r="K6383" s="97">
        <v>1</v>
      </c>
      <c r="P6383" s="57">
        <v>1</v>
      </c>
      <c r="Q6383" s="57">
        <v>0</v>
      </c>
      <c r="R6383" s="57">
        <v>0</v>
      </c>
      <c r="S6383" s="97">
        <v>0</v>
      </c>
      <c r="T6383" s="57">
        <v>0</v>
      </c>
      <c r="U6383" s="57">
        <v>0</v>
      </c>
      <c r="V6383" s="57">
        <v>0</v>
      </c>
      <c r="W6383" s="57">
        <v>0</v>
      </c>
      <c r="X6383" s="97">
        <v>0</v>
      </c>
    </row>
    <row r="6384" spans="1:24" x14ac:dyDescent="0.35">
      <c r="A6384">
        <v>6380</v>
      </c>
      <c r="B6384">
        <v>6381</v>
      </c>
      <c r="C6384">
        <v>146.097458789</v>
      </c>
      <c r="D6384">
        <v>-17.628670114599899</v>
      </c>
      <c r="E6384" s="92" t="str">
        <f t="shared" si="5"/>
        <v/>
      </c>
      <c r="F6384" t="str">
        <f>HYPERLINK("D:\Data From Lucan\2024\Moresby\Frames_for_Analysis/6381_20240611_0004_R_0054.jpg","6381_20240611_0004_R_0054.jpg")</f>
        <v>6381_20240611_0004_R_0054.jpg</v>
      </c>
      <c r="G6384" s="92" t="s">
        <v>6581</v>
      </c>
      <c r="I6384">
        <v>2</v>
      </c>
      <c r="K6384" s="97">
        <v>1</v>
      </c>
      <c r="P6384" s="57">
        <v>1</v>
      </c>
      <c r="Q6384" s="57">
        <v>0</v>
      </c>
      <c r="R6384" s="57">
        <v>0</v>
      </c>
      <c r="S6384" s="97">
        <v>0</v>
      </c>
      <c r="T6384" s="57">
        <v>0</v>
      </c>
      <c r="U6384" s="57">
        <v>0</v>
      </c>
      <c r="V6384" s="57">
        <v>0</v>
      </c>
      <c r="W6384" s="57">
        <v>0</v>
      </c>
      <c r="X6384" s="97">
        <v>0</v>
      </c>
    </row>
    <row r="6385" spans="1:24" x14ac:dyDescent="0.35">
      <c r="A6385">
        <v>6381</v>
      </c>
      <c r="B6385">
        <v>6382</v>
      </c>
      <c r="C6385">
        <v>146.097543481</v>
      </c>
      <c r="D6385">
        <v>-17.628698659600001</v>
      </c>
      <c r="E6385" s="92" t="str">
        <f t="shared" si="5"/>
        <v/>
      </c>
      <c r="F6385" t="str">
        <f>HYPERLINK("D:\Data From Lucan\2024\Moresby\Frames_for_Analysis/6382_20240611_0004_R_0049.jpg","6382_20240611_0004_R_0049.jpg")</f>
        <v>6382_20240611_0004_R_0049.jpg</v>
      </c>
      <c r="G6385" s="92" t="s">
        <v>6582</v>
      </c>
      <c r="I6385">
        <v>2</v>
      </c>
      <c r="K6385" s="97">
        <v>1</v>
      </c>
      <c r="P6385" s="57">
        <v>1</v>
      </c>
      <c r="Q6385" s="57">
        <v>0</v>
      </c>
      <c r="R6385" s="57">
        <v>0</v>
      </c>
      <c r="S6385" s="97">
        <v>0</v>
      </c>
      <c r="T6385" s="57">
        <v>0</v>
      </c>
      <c r="U6385" s="57">
        <v>0</v>
      </c>
      <c r="V6385" s="57">
        <v>0</v>
      </c>
      <c r="W6385" s="57">
        <v>0</v>
      </c>
      <c r="X6385" s="97">
        <v>0</v>
      </c>
    </row>
    <row r="6386" spans="1:24" x14ac:dyDescent="0.35">
      <c r="A6386">
        <v>6382</v>
      </c>
      <c r="B6386">
        <v>6383</v>
      </c>
      <c r="C6386">
        <v>146.09762817199899</v>
      </c>
      <c r="D6386">
        <v>-17.628727204600001</v>
      </c>
      <c r="E6386" s="92" t="str">
        <f t="shared" si="5"/>
        <v/>
      </c>
      <c r="F6386" t="str">
        <f>HYPERLINK("D:\Data From Lucan\2024\Moresby\Frames_for_Analysis/6383_20240611_0004_R_0046.jpg","6383_20240611_0004_R_0046.jpg")</f>
        <v>6383_20240611_0004_R_0046.jpg</v>
      </c>
      <c r="G6386" s="92" t="s">
        <v>6583</v>
      </c>
      <c r="I6386">
        <v>2</v>
      </c>
      <c r="K6386" s="97">
        <v>1</v>
      </c>
      <c r="P6386" s="57">
        <v>1</v>
      </c>
      <c r="Q6386" s="57">
        <v>0</v>
      </c>
      <c r="R6386" s="57">
        <v>0</v>
      </c>
      <c r="S6386" s="97">
        <v>0</v>
      </c>
      <c r="T6386" s="57">
        <v>0</v>
      </c>
      <c r="U6386" s="57">
        <v>0</v>
      </c>
      <c r="V6386" s="57">
        <v>0</v>
      </c>
      <c r="W6386" s="57">
        <v>0</v>
      </c>
      <c r="X6386" s="97">
        <v>0</v>
      </c>
    </row>
    <row r="6387" spans="1:24" x14ac:dyDescent="0.35">
      <c r="A6387">
        <v>6383</v>
      </c>
      <c r="B6387">
        <v>6384</v>
      </c>
      <c r="C6387">
        <v>146.097712862999</v>
      </c>
      <c r="D6387">
        <v>-17.6287557496</v>
      </c>
      <c r="E6387" s="92" t="str">
        <f t="shared" si="5"/>
        <v/>
      </c>
      <c r="F6387" t="str">
        <f>HYPERLINK("D:\Data From Lucan\2024\Moresby\Frames_for_Analysis/6384_20240611_0004_R_0041.jpg","6384_20240611_0004_R_0041.jpg")</f>
        <v>6384_20240611_0004_R_0041.jpg</v>
      </c>
      <c r="G6387" s="92" t="s">
        <v>6584</v>
      </c>
      <c r="I6387">
        <v>2</v>
      </c>
      <c r="K6387" s="97">
        <v>1</v>
      </c>
      <c r="P6387" s="57">
        <v>1</v>
      </c>
      <c r="Q6387" s="57">
        <v>0</v>
      </c>
      <c r="R6387" s="57">
        <v>0</v>
      </c>
      <c r="S6387" s="97">
        <v>0</v>
      </c>
      <c r="T6387" s="57">
        <v>0</v>
      </c>
      <c r="U6387" s="57">
        <v>0</v>
      </c>
      <c r="V6387" s="57">
        <v>0</v>
      </c>
      <c r="W6387" s="57">
        <v>0</v>
      </c>
      <c r="X6387" s="97">
        <v>0</v>
      </c>
    </row>
    <row r="6388" spans="1:24" x14ac:dyDescent="0.35">
      <c r="A6388">
        <v>6384</v>
      </c>
      <c r="B6388">
        <v>6385</v>
      </c>
      <c r="C6388">
        <v>146.09779755400001</v>
      </c>
      <c r="D6388">
        <v>-17.628784294500001</v>
      </c>
      <c r="E6388" s="92">
        <f t="shared" si="5"/>
        <v>50</v>
      </c>
      <c r="F6388" t="str">
        <f>HYPERLINK("D:\Data From Lucan\2024\Moresby\Frames_for_Analysis/6385_20240611_0004_R_0035.jpg","6385_20240611_0004_R_0035.jpg")</f>
        <v>6385_20240611_0004_R_0035.jpg</v>
      </c>
      <c r="G6388" s="92" t="s">
        <v>6585</v>
      </c>
      <c r="I6388">
        <v>2</v>
      </c>
      <c r="K6388" s="97">
        <v>1</v>
      </c>
      <c r="P6388" s="57">
        <v>1</v>
      </c>
      <c r="Q6388" s="57">
        <v>0</v>
      </c>
      <c r="R6388" s="57">
        <v>0</v>
      </c>
      <c r="S6388" s="97">
        <v>0</v>
      </c>
      <c r="T6388" s="57">
        <v>0</v>
      </c>
      <c r="U6388" s="57">
        <v>0</v>
      </c>
      <c r="V6388" s="57">
        <v>0</v>
      </c>
      <c r="W6388" s="57">
        <v>0</v>
      </c>
      <c r="X6388" s="97">
        <v>0</v>
      </c>
    </row>
    <row r="6389" spans="1:24" x14ac:dyDescent="0.35">
      <c r="A6389">
        <v>6385</v>
      </c>
      <c r="B6389">
        <v>6386</v>
      </c>
      <c r="C6389">
        <v>146.09788224600001</v>
      </c>
      <c r="D6389">
        <v>-17.6288128395</v>
      </c>
      <c r="E6389" s="92" t="str">
        <f t="shared" si="5"/>
        <v/>
      </c>
      <c r="F6389" t="str">
        <f>HYPERLINK("D:\Data From Lucan\2024\Moresby\Frames_for_Analysis/6386_20240611_0004_R_0030.jpg","6386_20240611_0004_R_0030.jpg")</f>
        <v>6386_20240611_0004_R_0030.jpg</v>
      </c>
      <c r="G6389" s="92" t="s">
        <v>6586</v>
      </c>
      <c r="I6389">
        <v>2</v>
      </c>
      <c r="K6389" s="97">
        <v>1</v>
      </c>
      <c r="P6389" s="57">
        <v>1</v>
      </c>
      <c r="Q6389" s="57">
        <v>0</v>
      </c>
      <c r="R6389" s="57">
        <v>0</v>
      </c>
      <c r="S6389" s="97">
        <v>0</v>
      </c>
      <c r="T6389" s="57">
        <v>0</v>
      </c>
      <c r="U6389" s="57">
        <v>0</v>
      </c>
      <c r="V6389" s="57">
        <v>0</v>
      </c>
      <c r="W6389" s="57">
        <v>0</v>
      </c>
      <c r="X6389" s="97">
        <v>0</v>
      </c>
    </row>
    <row r="6390" spans="1:24" x14ac:dyDescent="0.35">
      <c r="A6390">
        <v>6386</v>
      </c>
      <c r="B6390">
        <v>6387</v>
      </c>
      <c r="C6390">
        <v>146.097966936999</v>
      </c>
      <c r="D6390">
        <v>-17.6288413844999</v>
      </c>
      <c r="E6390" s="92" t="str">
        <f t="shared" si="5"/>
        <v/>
      </c>
      <c r="F6390" t="str">
        <f>HYPERLINK("D:\Data From Lucan\2024\Moresby\Frames_for_Analysis/6387_20240611_0004_R_0026.jpg","6387_20240611_0004_R_0026.jpg")</f>
        <v>6387_20240611_0004_R_0026.jpg</v>
      </c>
      <c r="G6390" s="92" t="s">
        <v>6587</v>
      </c>
      <c r="I6390">
        <v>2</v>
      </c>
      <c r="K6390" s="97">
        <v>1</v>
      </c>
      <c r="P6390" s="57">
        <v>1</v>
      </c>
      <c r="Q6390" s="57">
        <v>0</v>
      </c>
      <c r="R6390" s="57">
        <v>0</v>
      </c>
      <c r="S6390" s="97">
        <v>0</v>
      </c>
      <c r="T6390" s="57">
        <v>0</v>
      </c>
      <c r="U6390" s="57">
        <v>0</v>
      </c>
      <c r="V6390" s="57">
        <v>0</v>
      </c>
      <c r="W6390" s="57">
        <v>0</v>
      </c>
      <c r="X6390" s="97">
        <v>0</v>
      </c>
    </row>
    <row r="6391" spans="1:24" x14ac:dyDescent="0.35">
      <c r="A6391">
        <v>6387</v>
      </c>
      <c r="B6391">
        <v>6388</v>
      </c>
      <c r="C6391">
        <v>146.09805162800001</v>
      </c>
      <c r="D6391">
        <v>-17.628869929499899</v>
      </c>
      <c r="E6391" s="92" t="str">
        <f t="shared" si="5"/>
        <v/>
      </c>
      <c r="F6391" t="str">
        <f>HYPERLINK("D:\Data From Lucan\2024\Moresby\Frames_for_Analysis/6388_20240611_0004_R_0019.jpg","6388_20240611_0004_R_0019.jpg")</f>
        <v>6388_20240611_0004_R_0019.jpg</v>
      </c>
      <c r="G6391" s="92" t="s">
        <v>6588</v>
      </c>
      <c r="I6391">
        <v>2</v>
      </c>
      <c r="K6391" s="97">
        <v>1</v>
      </c>
      <c r="P6391" s="57">
        <v>1</v>
      </c>
      <c r="Q6391" s="57">
        <v>0</v>
      </c>
      <c r="R6391" s="57">
        <v>0</v>
      </c>
      <c r="S6391" s="97">
        <v>0</v>
      </c>
      <c r="T6391" s="57">
        <v>0</v>
      </c>
      <c r="U6391" s="57">
        <v>0</v>
      </c>
      <c r="V6391" s="57">
        <v>0</v>
      </c>
      <c r="W6391" s="57">
        <v>0</v>
      </c>
      <c r="X6391" s="97">
        <v>0</v>
      </c>
    </row>
    <row r="6392" spans="1:24" x14ac:dyDescent="0.35">
      <c r="A6392">
        <v>6388</v>
      </c>
      <c r="B6392">
        <v>6389</v>
      </c>
      <c r="C6392">
        <v>146.098136318999</v>
      </c>
      <c r="D6392">
        <v>-17.628898474500001</v>
      </c>
      <c r="E6392" s="92" t="str">
        <f t="shared" si="5"/>
        <v/>
      </c>
      <c r="F6392" t="str">
        <f>HYPERLINK("D:\Data From Lucan\2024\Moresby\Frames_for_Analysis/6389_20240611_0004_R_0015.jpg","6389_20240611_0004_R_0015.jpg")</f>
        <v>6389_20240611_0004_R_0015.jpg</v>
      </c>
      <c r="G6392" s="92" t="s">
        <v>6589</v>
      </c>
      <c r="I6392">
        <v>2</v>
      </c>
      <c r="K6392" s="97">
        <v>1</v>
      </c>
      <c r="P6392" s="57">
        <v>1</v>
      </c>
      <c r="Q6392" s="57">
        <v>0</v>
      </c>
      <c r="R6392" s="57">
        <v>0</v>
      </c>
      <c r="S6392" s="97">
        <v>0</v>
      </c>
      <c r="T6392" s="57">
        <v>0</v>
      </c>
      <c r="U6392" s="57">
        <v>0</v>
      </c>
      <c r="V6392" s="57">
        <v>0</v>
      </c>
      <c r="W6392" s="57">
        <v>0</v>
      </c>
      <c r="X6392" s="97">
        <v>0</v>
      </c>
    </row>
    <row r="6393" spans="1:24" x14ac:dyDescent="0.35">
      <c r="A6393">
        <v>6389</v>
      </c>
      <c r="B6393">
        <v>6390</v>
      </c>
      <c r="C6393">
        <v>146.098219207</v>
      </c>
      <c r="D6393">
        <v>-17.6289311801</v>
      </c>
      <c r="E6393" s="92">
        <f t="shared" si="5"/>
        <v>50</v>
      </c>
      <c r="F6393" t="str">
        <f>HYPERLINK("D:\Data From Lucan\2024\Moresby\Frames_for_Analysis/6390_20240611_0004_R_0009.jpg","6390_20240611_0004_R_0009.jpg")</f>
        <v>6390_20240611_0004_R_0009.jpg</v>
      </c>
      <c r="G6393" s="92" t="s">
        <v>6590</v>
      </c>
      <c r="I6393">
        <v>2</v>
      </c>
      <c r="K6393" s="97">
        <v>1</v>
      </c>
      <c r="P6393" s="57">
        <v>1</v>
      </c>
      <c r="Q6393" s="57">
        <v>0</v>
      </c>
      <c r="R6393" s="57">
        <v>0</v>
      </c>
      <c r="S6393" s="97">
        <v>0</v>
      </c>
      <c r="T6393" s="57">
        <v>0</v>
      </c>
      <c r="U6393" s="57">
        <v>0</v>
      </c>
      <c r="V6393" s="57">
        <v>0</v>
      </c>
      <c r="W6393" s="57">
        <v>0</v>
      </c>
      <c r="X6393" s="97">
        <v>0</v>
      </c>
    </row>
    <row r="6394" spans="1:24" x14ac:dyDescent="0.35">
      <c r="A6394">
        <v>6390</v>
      </c>
      <c r="B6394">
        <v>6391</v>
      </c>
      <c r="C6394">
        <v>146.098300338</v>
      </c>
      <c r="D6394">
        <v>-17.6289679365</v>
      </c>
      <c r="E6394" s="92" t="str">
        <f t="shared" si="5"/>
        <v/>
      </c>
      <c r="F6394" t="str">
        <f>HYPERLINK("D:\Data From Lucan\2024\Moresby\Frames_for_Analysis/6391_20240611_0004_R_0006.jpg","6391_20240611_0004_R_0006.jpg")</f>
        <v>6391_20240611_0004_R_0006.jpg</v>
      </c>
      <c r="G6394" s="92" t="s">
        <v>6591</v>
      </c>
      <c r="I6394">
        <v>2</v>
      </c>
      <c r="K6394" s="97">
        <v>1</v>
      </c>
      <c r="P6394" s="57">
        <v>1</v>
      </c>
      <c r="Q6394" s="57">
        <v>0</v>
      </c>
      <c r="R6394" s="57">
        <v>0</v>
      </c>
      <c r="S6394" s="97">
        <v>0</v>
      </c>
      <c r="T6394" s="57">
        <v>0</v>
      </c>
      <c r="U6394" s="57">
        <v>0</v>
      </c>
      <c r="V6394" s="57">
        <v>0</v>
      </c>
      <c r="W6394" s="57">
        <v>0</v>
      </c>
      <c r="X6394" s="97">
        <v>0</v>
      </c>
    </row>
    <row r="6395" spans="1:24" x14ac:dyDescent="0.35">
      <c r="A6395">
        <v>6391</v>
      </c>
      <c r="B6395">
        <v>6392</v>
      </c>
      <c r="C6395">
        <v>146.098381469</v>
      </c>
      <c r="D6395">
        <v>-17.629004692900001</v>
      </c>
      <c r="E6395" s="92" t="str">
        <f t="shared" si="5"/>
        <v/>
      </c>
      <c r="F6395" t="str">
        <f>HYPERLINK("D:\Data From Lucan\2024\Moresby\Frames_for_Analysis/6392_20240611_0004_R_0004.jpg","6392_20240611_0004_R_0004.jpg")</f>
        <v>6392_20240611_0004_R_0004.jpg</v>
      </c>
      <c r="G6395" s="92" t="s">
        <v>6592</v>
      </c>
      <c r="I6395">
        <v>2</v>
      </c>
      <c r="K6395" s="97">
        <v>1</v>
      </c>
      <c r="P6395" s="57">
        <v>1</v>
      </c>
      <c r="Q6395" s="57">
        <v>0</v>
      </c>
      <c r="R6395" s="57">
        <v>0</v>
      </c>
      <c r="S6395" s="97">
        <v>0</v>
      </c>
      <c r="T6395" s="57">
        <v>0</v>
      </c>
      <c r="U6395" s="57">
        <v>0</v>
      </c>
      <c r="V6395" s="57">
        <v>0</v>
      </c>
      <c r="W6395" s="57">
        <v>0</v>
      </c>
      <c r="X6395" s="97">
        <v>0</v>
      </c>
    </row>
    <row r="6396" spans="1:24" x14ac:dyDescent="0.35">
      <c r="A6396">
        <v>6392</v>
      </c>
      <c r="B6396">
        <v>6393</v>
      </c>
      <c r="C6396">
        <v>146.0984626</v>
      </c>
      <c r="D6396">
        <v>-17.629041449300001</v>
      </c>
      <c r="E6396" s="92" t="str">
        <f t="shared" si="5"/>
        <v/>
      </c>
      <c r="F6396" t="str">
        <f>HYPERLINK("D:\Data From Lucan\2024\Moresby\Frames_for_Analysis/6393_20240611_0004_R_0003.jpg","6393_20240611_0004_R_0003.jpg")</f>
        <v>6393_20240611_0004_R_0003.jpg</v>
      </c>
      <c r="G6396" s="92" t="s">
        <v>6593</v>
      </c>
      <c r="I6396">
        <v>2</v>
      </c>
      <c r="K6396" s="97">
        <v>1</v>
      </c>
      <c r="P6396" s="57">
        <v>1</v>
      </c>
      <c r="Q6396" s="57">
        <v>0</v>
      </c>
      <c r="R6396" s="57">
        <v>0</v>
      </c>
      <c r="S6396" s="97">
        <v>0</v>
      </c>
      <c r="T6396" s="57">
        <v>0</v>
      </c>
      <c r="U6396" s="57">
        <v>0</v>
      </c>
      <c r="V6396" s="57">
        <v>0</v>
      </c>
      <c r="W6396" s="57">
        <v>0</v>
      </c>
      <c r="X6396" s="97">
        <v>0</v>
      </c>
    </row>
    <row r="6397" spans="1:24" x14ac:dyDescent="0.35">
      <c r="A6397">
        <v>6393</v>
      </c>
      <c r="B6397">
        <v>6394</v>
      </c>
      <c r="C6397">
        <v>146.09854373100001</v>
      </c>
      <c r="D6397">
        <v>-17.629078205700001</v>
      </c>
      <c r="E6397" s="92" t="str">
        <f t="shared" si="5"/>
        <v/>
      </c>
      <c r="G6397" s="92"/>
      <c r="I6397">
        <v>2</v>
      </c>
      <c r="J6397" t="s">
        <v>26</v>
      </c>
      <c r="K6397" s="97" t="s">
        <v>26</v>
      </c>
    </row>
    <row r="6398" spans="1:24" x14ac:dyDescent="0.35">
      <c r="A6398">
        <v>6394</v>
      </c>
      <c r="B6398">
        <v>6395</v>
      </c>
      <c r="C6398">
        <v>146.098624115999</v>
      </c>
      <c r="D6398">
        <v>-17.6291163813999</v>
      </c>
      <c r="E6398" s="92">
        <f t="shared" si="5"/>
        <v>50</v>
      </c>
      <c r="G6398" s="92"/>
      <c r="I6398">
        <v>2</v>
      </c>
      <c r="J6398" t="s">
        <v>26</v>
      </c>
      <c r="K6398" s="97" t="s">
        <v>26</v>
      </c>
    </row>
    <row r="6399" spans="1:24" x14ac:dyDescent="0.35">
      <c r="A6399">
        <v>6395</v>
      </c>
      <c r="B6399">
        <v>6396</v>
      </c>
      <c r="C6399">
        <v>146.09870360400001</v>
      </c>
      <c r="D6399">
        <v>-17.629156266100001</v>
      </c>
      <c r="E6399" s="92" t="str">
        <f t="shared" si="5"/>
        <v/>
      </c>
      <c r="G6399" s="92"/>
      <c r="I6399">
        <v>2</v>
      </c>
      <c r="J6399" t="s">
        <v>26</v>
      </c>
      <c r="K6399" s="97" t="s">
        <v>26</v>
      </c>
    </row>
    <row r="6400" spans="1:24" x14ac:dyDescent="0.35">
      <c r="A6400">
        <v>6396</v>
      </c>
      <c r="B6400">
        <v>6397</v>
      </c>
      <c r="C6400">
        <v>146.098783091</v>
      </c>
      <c r="D6400">
        <v>-17.6291961507</v>
      </c>
      <c r="E6400" s="92" t="str">
        <f t="shared" si="5"/>
        <v/>
      </c>
      <c r="G6400" s="92"/>
      <c r="I6400">
        <v>2</v>
      </c>
      <c r="J6400" t="s">
        <v>26</v>
      </c>
      <c r="K6400" s="97" t="s">
        <v>26</v>
      </c>
    </row>
    <row r="6401" spans="1:24" x14ac:dyDescent="0.35">
      <c r="A6401">
        <v>6397</v>
      </c>
      <c r="B6401">
        <v>6398</v>
      </c>
      <c r="C6401">
        <v>146.09886257900001</v>
      </c>
      <c r="D6401">
        <v>-17.629236035400002</v>
      </c>
      <c r="E6401" s="92" t="str">
        <f t="shared" si="5"/>
        <v/>
      </c>
      <c r="G6401" s="92"/>
      <c r="I6401">
        <v>2</v>
      </c>
      <c r="J6401" t="s">
        <v>26</v>
      </c>
      <c r="K6401" s="97" t="s">
        <v>26</v>
      </c>
    </row>
    <row r="6402" spans="1:24" x14ac:dyDescent="0.35">
      <c r="A6402">
        <v>6398</v>
      </c>
      <c r="B6402">
        <v>6399</v>
      </c>
      <c r="C6402">
        <v>146.09894206600001</v>
      </c>
      <c r="D6402">
        <v>-17.629275920000001</v>
      </c>
      <c r="E6402" s="92" t="str">
        <f t="shared" si="5"/>
        <v/>
      </c>
      <c r="G6402" s="92"/>
      <c r="I6402">
        <v>2</v>
      </c>
      <c r="J6402" t="s">
        <v>26</v>
      </c>
      <c r="K6402" s="97" t="s">
        <v>26</v>
      </c>
    </row>
    <row r="6403" spans="1:24" x14ac:dyDescent="0.35">
      <c r="A6403">
        <v>6399</v>
      </c>
      <c r="B6403">
        <v>6400</v>
      </c>
      <c r="C6403">
        <v>146.09902155399899</v>
      </c>
      <c r="D6403">
        <v>-17.629315804600001</v>
      </c>
      <c r="E6403" s="92">
        <f t="shared" si="5"/>
        <v>50</v>
      </c>
      <c r="G6403" s="92"/>
      <c r="I6403">
        <v>2</v>
      </c>
      <c r="J6403" t="s">
        <v>26</v>
      </c>
      <c r="K6403" s="97" t="s">
        <v>26</v>
      </c>
    </row>
    <row r="6404" spans="1:24" x14ac:dyDescent="0.35">
      <c r="A6404">
        <v>6400</v>
      </c>
      <c r="B6404">
        <v>6401</v>
      </c>
      <c r="C6404">
        <v>146.099101042</v>
      </c>
      <c r="D6404">
        <v>-17.629355689299899</v>
      </c>
      <c r="E6404" s="92" t="str">
        <f t="shared" si="5"/>
        <v/>
      </c>
      <c r="G6404" s="92"/>
      <c r="I6404">
        <v>2</v>
      </c>
      <c r="J6404" t="s">
        <v>26</v>
      </c>
      <c r="K6404" s="97" t="s">
        <v>26</v>
      </c>
    </row>
    <row r="6405" spans="1:24" x14ac:dyDescent="0.35">
      <c r="A6405">
        <v>6401</v>
      </c>
      <c r="B6405">
        <v>6402</v>
      </c>
      <c r="C6405">
        <v>146.099180528999</v>
      </c>
      <c r="D6405">
        <v>-17.629395573899899</v>
      </c>
      <c r="E6405" s="92" t="str">
        <f t="shared" si="5"/>
        <v/>
      </c>
      <c r="G6405" s="92"/>
      <c r="I6405">
        <v>2</v>
      </c>
      <c r="J6405" t="s">
        <v>26</v>
      </c>
      <c r="K6405" s="97" t="s">
        <v>26</v>
      </c>
    </row>
    <row r="6406" spans="1:24" x14ac:dyDescent="0.35">
      <c r="A6406">
        <v>6402</v>
      </c>
      <c r="B6406">
        <v>6403</v>
      </c>
      <c r="C6406">
        <v>146.09925924800001</v>
      </c>
      <c r="D6406">
        <v>-17.6294368195</v>
      </c>
      <c r="E6406" s="92" t="str">
        <f t="shared" si="5"/>
        <v/>
      </c>
      <c r="G6406" s="92"/>
      <c r="I6406">
        <v>2</v>
      </c>
      <c r="J6406" t="s">
        <v>26</v>
      </c>
      <c r="K6406" s="97" t="s">
        <v>26</v>
      </c>
    </row>
    <row r="6407" spans="1:24" x14ac:dyDescent="0.35">
      <c r="A6407">
        <v>6403</v>
      </c>
      <c r="B6407">
        <v>6404</v>
      </c>
      <c r="C6407">
        <v>146.09933794899899</v>
      </c>
      <c r="D6407">
        <v>-17.629478096900002</v>
      </c>
      <c r="E6407" s="92" t="str">
        <f t="shared" si="5"/>
        <v/>
      </c>
      <c r="G6407" s="92"/>
      <c r="I6407">
        <v>2</v>
      </c>
      <c r="J6407" t="s">
        <v>26</v>
      </c>
      <c r="K6407" s="97" t="s">
        <v>26</v>
      </c>
    </row>
    <row r="6408" spans="1:24" x14ac:dyDescent="0.35">
      <c r="A6408">
        <v>6404</v>
      </c>
      <c r="B6408">
        <v>6405</v>
      </c>
      <c r="C6408">
        <v>146.099416649999</v>
      </c>
      <c r="D6408">
        <v>-17.6295193742999</v>
      </c>
      <c r="E6408" s="92">
        <f t="shared" si="5"/>
        <v>50</v>
      </c>
      <c r="G6408" s="92"/>
      <c r="I6408">
        <v>2</v>
      </c>
      <c r="J6408" t="s">
        <v>26</v>
      </c>
      <c r="K6408" s="97" t="s">
        <v>26</v>
      </c>
    </row>
    <row r="6409" spans="1:24" x14ac:dyDescent="0.35">
      <c r="A6409">
        <v>6405</v>
      </c>
      <c r="B6409">
        <v>6406</v>
      </c>
      <c r="C6409">
        <v>146.09949535000001</v>
      </c>
      <c r="D6409">
        <v>-17.6295606517</v>
      </c>
      <c r="E6409" s="92" t="str">
        <f t="shared" si="5"/>
        <v/>
      </c>
      <c r="F6409" t="str">
        <f>HYPERLINK("D:\Data From Lucan\2024\Moresby\Frames_for_Analysis/6406_20240611_0011_L_0003.jpg","6406_20240611_0011_L_0003.jpg")</f>
        <v>6406_20240611_0011_L_0003.jpg</v>
      </c>
      <c r="G6409" s="92" t="s">
        <v>6594</v>
      </c>
      <c r="I6409">
        <v>2</v>
      </c>
      <c r="K6409" s="97">
        <v>1</v>
      </c>
      <c r="P6409" s="57">
        <v>1</v>
      </c>
      <c r="Q6409" s="57">
        <v>0</v>
      </c>
      <c r="R6409" s="57">
        <v>0</v>
      </c>
      <c r="S6409" s="97">
        <v>0</v>
      </c>
      <c r="T6409" s="57">
        <v>0</v>
      </c>
      <c r="U6409" s="57">
        <v>0</v>
      </c>
      <c r="V6409" s="57">
        <v>0</v>
      </c>
      <c r="W6409" s="57">
        <v>0</v>
      </c>
      <c r="X6409" s="97">
        <v>0</v>
      </c>
    </row>
    <row r="6410" spans="1:24" x14ac:dyDescent="0.35">
      <c r="A6410">
        <v>6406</v>
      </c>
      <c r="B6410">
        <v>6407</v>
      </c>
      <c r="C6410">
        <v>146.099574050999</v>
      </c>
      <c r="D6410">
        <v>-17.629601929100001</v>
      </c>
      <c r="E6410" s="92" t="str">
        <f t="shared" si="5"/>
        <v/>
      </c>
      <c r="F6410" t="str">
        <f>HYPERLINK("D:\Data From Lucan\2024\Moresby\Frames_for_Analysis/6407_20240611_0011_L_0007.jpg","6407_20240611_0011_L_0007.jpg")</f>
        <v>6407_20240611_0011_L_0007.jpg</v>
      </c>
      <c r="G6410" s="92" t="s">
        <v>6595</v>
      </c>
      <c r="I6410">
        <v>2</v>
      </c>
      <c r="K6410" s="97">
        <v>1</v>
      </c>
      <c r="P6410" s="57">
        <v>1</v>
      </c>
      <c r="Q6410" s="57">
        <v>0</v>
      </c>
      <c r="R6410" s="57">
        <v>0</v>
      </c>
      <c r="S6410" s="97">
        <v>0</v>
      </c>
      <c r="T6410" s="57">
        <v>0</v>
      </c>
      <c r="U6410" s="57">
        <v>0</v>
      </c>
      <c r="V6410" s="57">
        <v>0</v>
      </c>
      <c r="W6410" s="57">
        <v>0</v>
      </c>
      <c r="X6410" s="97">
        <v>0</v>
      </c>
    </row>
    <row r="6411" spans="1:24" x14ac:dyDescent="0.35">
      <c r="A6411">
        <v>6407</v>
      </c>
      <c r="B6411">
        <v>6408</v>
      </c>
      <c r="C6411">
        <v>146.099652751999</v>
      </c>
      <c r="D6411">
        <v>-17.6296432064999</v>
      </c>
      <c r="E6411" s="92" t="str">
        <f t="shared" si="5"/>
        <v/>
      </c>
      <c r="F6411" t="str">
        <f>HYPERLINK("D:\Data From Lucan\2024\Moresby\Frames_for_Analysis/6408_20240611_0011_L_0010.jpg","6408_20240611_0011_L_0010.jpg")</f>
        <v>6408_20240611_0011_L_0010.jpg</v>
      </c>
      <c r="G6411" s="92" t="s">
        <v>6596</v>
      </c>
      <c r="I6411">
        <v>2</v>
      </c>
      <c r="K6411" s="97">
        <v>1</v>
      </c>
      <c r="P6411" s="57">
        <v>1</v>
      </c>
      <c r="Q6411" s="57">
        <v>0</v>
      </c>
      <c r="R6411" s="57">
        <v>0</v>
      </c>
      <c r="S6411" s="97">
        <v>0</v>
      </c>
      <c r="T6411" s="57">
        <v>0</v>
      </c>
      <c r="U6411" s="57">
        <v>0</v>
      </c>
      <c r="V6411" s="57">
        <v>0</v>
      </c>
      <c r="W6411" s="57">
        <v>0</v>
      </c>
      <c r="X6411" s="97">
        <v>0</v>
      </c>
    </row>
    <row r="6412" spans="1:24" x14ac:dyDescent="0.35">
      <c r="A6412">
        <v>6408</v>
      </c>
      <c r="B6412">
        <v>6409</v>
      </c>
      <c r="C6412">
        <v>146.099731453</v>
      </c>
      <c r="D6412">
        <v>-17.629684483799899</v>
      </c>
      <c r="E6412" s="92" t="str">
        <f t="shared" si="5"/>
        <v/>
      </c>
      <c r="F6412" t="str">
        <f>HYPERLINK("D:\Data From Lucan\2024\Moresby\Frames_for_Analysis/6409_20240611_0011_L_0013.jpg","6409_20240611_0011_L_0013.jpg")</f>
        <v>6409_20240611_0011_L_0013.jpg</v>
      </c>
      <c r="G6412" s="92" t="s">
        <v>6597</v>
      </c>
      <c r="I6412">
        <v>2</v>
      </c>
      <c r="K6412" s="97">
        <v>1</v>
      </c>
      <c r="P6412" s="57">
        <v>1</v>
      </c>
      <c r="Q6412" s="57">
        <v>0</v>
      </c>
      <c r="R6412" s="57">
        <v>0</v>
      </c>
      <c r="S6412" s="97">
        <v>0</v>
      </c>
      <c r="T6412" s="57">
        <v>0</v>
      </c>
      <c r="U6412" s="57">
        <v>0</v>
      </c>
      <c r="V6412" s="57">
        <v>0</v>
      </c>
      <c r="W6412" s="57">
        <v>0</v>
      </c>
      <c r="X6412" s="97">
        <v>0</v>
      </c>
    </row>
    <row r="6413" spans="1:24" x14ac:dyDescent="0.35">
      <c r="A6413">
        <v>6409</v>
      </c>
      <c r="B6413">
        <v>6410</v>
      </c>
      <c r="C6413">
        <v>146.099810152999</v>
      </c>
      <c r="D6413">
        <v>-17.6297257612</v>
      </c>
      <c r="E6413" s="92">
        <f t="shared" si="5"/>
        <v>50</v>
      </c>
      <c r="F6413" t="str">
        <f>HYPERLINK("D:\Data From Lucan\2024\Moresby\Frames_for_Analysis/6410_20240611_0011_L_0015.jpg","6410_20240611_0011_L_0015.jpg")</f>
        <v>6410_20240611_0011_L_0015.jpg</v>
      </c>
      <c r="G6413" s="92" t="s">
        <v>6598</v>
      </c>
      <c r="I6413">
        <v>2</v>
      </c>
      <c r="K6413" s="97">
        <v>1</v>
      </c>
      <c r="P6413" s="57">
        <v>1</v>
      </c>
      <c r="Q6413" s="57">
        <v>0</v>
      </c>
      <c r="R6413" s="57">
        <v>0</v>
      </c>
      <c r="S6413" s="97">
        <v>0</v>
      </c>
      <c r="T6413" s="57">
        <v>0</v>
      </c>
      <c r="U6413" s="57">
        <v>0</v>
      </c>
      <c r="V6413" s="57">
        <v>0</v>
      </c>
      <c r="W6413" s="57">
        <v>0</v>
      </c>
      <c r="X6413" s="97">
        <v>0</v>
      </c>
    </row>
    <row r="6414" spans="1:24" x14ac:dyDescent="0.35">
      <c r="A6414">
        <v>6410</v>
      </c>
      <c r="B6414">
        <v>6411</v>
      </c>
      <c r="C6414">
        <v>146.09988694800001</v>
      </c>
      <c r="D6414">
        <v>-17.6297700257999</v>
      </c>
      <c r="E6414" s="92" t="str">
        <f t="shared" si="5"/>
        <v/>
      </c>
      <c r="F6414" t="str">
        <f>HYPERLINK("D:\Data From Lucan\2024\Moresby\Frames_for_Analysis/6411_20240611_0011_L_0018.jpg","6411_20240611_0011_L_0018.jpg")</f>
        <v>6411_20240611_0011_L_0018.jpg</v>
      </c>
      <c r="G6414" s="92" t="s">
        <v>6599</v>
      </c>
      <c r="I6414">
        <v>2</v>
      </c>
      <c r="K6414" s="97">
        <v>1</v>
      </c>
      <c r="P6414" s="57">
        <v>1</v>
      </c>
      <c r="Q6414" s="57">
        <v>0</v>
      </c>
      <c r="R6414" s="57">
        <v>0</v>
      </c>
      <c r="S6414" s="97">
        <v>0</v>
      </c>
      <c r="T6414" s="57">
        <v>0</v>
      </c>
      <c r="U6414" s="57">
        <v>0</v>
      </c>
      <c r="V6414" s="57">
        <v>0</v>
      </c>
      <c r="W6414" s="57">
        <v>0</v>
      </c>
      <c r="X6414" s="97">
        <v>0</v>
      </c>
    </row>
    <row r="6415" spans="1:24" x14ac:dyDescent="0.35">
      <c r="A6415">
        <v>6411</v>
      </c>
      <c r="B6415">
        <v>6412</v>
      </c>
      <c r="C6415">
        <v>146.099961610999</v>
      </c>
      <c r="D6415">
        <v>-17.629817631400002</v>
      </c>
      <c r="E6415" s="92" t="str">
        <f t="shared" si="5"/>
        <v/>
      </c>
      <c r="F6415" t="str">
        <f>HYPERLINK("D:\Data From Lucan\2024\Moresby\Frames_for_Analysis/6412_20240611_0011_L_0020.jpg","6412_20240611_0011_L_0020.jpg")</f>
        <v>6412_20240611_0011_L_0020.jpg</v>
      </c>
      <c r="G6415" s="92" t="s">
        <v>6600</v>
      </c>
      <c r="I6415">
        <v>2</v>
      </c>
      <c r="K6415" s="97">
        <v>1</v>
      </c>
      <c r="P6415" s="57">
        <v>1</v>
      </c>
      <c r="Q6415" s="57">
        <v>0</v>
      </c>
      <c r="R6415" s="57">
        <v>0</v>
      </c>
      <c r="S6415" s="97">
        <v>0</v>
      </c>
      <c r="T6415" s="57">
        <v>0</v>
      </c>
      <c r="U6415" s="57">
        <v>0</v>
      </c>
      <c r="V6415" s="57">
        <v>0</v>
      </c>
      <c r="W6415" s="57">
        <v>0</v>
      </c>
      <c r="X6415" s="97">
        <v>0</v>
      </c>
    </row>
    <row r="6416" spans="1:24" x14ac:dyDescent="0.35">
      <c r="A6416">
        <v>6412</v>
      </c>
      <c r="B6416">
        <v>6413</v>
      </c>
      <c r="C6416">
        <v>146.100036273999</v>
      </c>
      <c r="D6416">
        <v>-17.629865236899899</v>
      </c>
      <c r="E6416" s="92" t="str">
        <f t="shared" ref="E6416:E6479" si="6">IF(MOD(B6416,5)=0, 50, "")</f>
        <v/>
      </c>
      <c r="F6416" t="str">
        <f>HYPERLINK("D:\Data From Lucan\2024\Moresby\Frames_for_Analysis/6413_20240611_0011_L_0023.jpg","6413_20240611_0011_L_0023.jpg")</f>
        <v>6413_20240611_0011_L_0023.jpg</v>
      </c>
      <c r="G6416" s="92" t="s">
        <v>6601</v>
      </c>
      <c r="I6416">
        <v>2</v>
      </c>
      <c r="K6416" s="97">
        <v>1</v>
      </c>
      <c r="P6416" s="57">
        <v>1</v>
      </c>
      <c r="Q6416" s="57">
        <v>0</v>
      </c>
      <c r="R6416" s="57">
        <v>0</v>
      </c>
      <c r="S6416" s="97">
        <v>0</v>
      </c>
      <c r="T6416" s="57">
        <v>0</v>
      </c>
      <c r="U6416" s="57">
        <v>0</v>
      </c>
      <c r="V6416" s="57">
        <v>0</v>
      </c>
      <c r="W6416" s="57">
        <v>0</v>
      </c>
      <c r="X6416" s="97">
        <v>0</v>
      </c>
    </row>
    <row r="6417" spans="1:24" x14ac:dyDescent="0.35">
      <c r="A6417">
        <v>6413</v>
      </c>
      <c r="B6417">
        <v>6414</v>
      </c>
      <c r="C6417">
        <v>146.10011093700001</v>
      </c>
      <c r="D6417">
        <v>-17.629912842500001</v>
      </c>
      <c r="E6417" s="92" t="str">
        <f t="shared" si="6"/>
        <v/>
      </c>
      <c r="F6417" t="str">
        <f>HYPERLINK("D:\Data From Lucan\2024\Moresby\Frames_for_Analysis/6414_20240611_0011_L_0025.jpg","6414_20240611_0011_L_0025.jpg")</f>
        <v>6414_20240611_0011_L_0025.jpg</v>
      </c>
      <c r="G6417" s="92" t="s">
        <v>6602</v>
      </c>
      <c r="I6417">
        <v>2</v>
      </c>
      <c r="K6417" s="97">
        <v>1</v>
      </c>
      <c r="P6417" s="57">
        <v>1</v>
      </c>
      <c r="Q6417" s="57">
        <v>0</v>
      </c>
      <c r="R6417" s="57">
        <v>0</v>
      </c>
      <c r="S6417" s="97">
        <v>0</v>
      </c>
      <c r="T6417" s="57">
        <v>0</v>
      </c>
      <c r="U6417" s="57">
        <v>0</v>
      </c>
      <c r="V6417" s="57">
        <v>0</v>
      </c>
      <c r="W6417" s="57">
        <v>0</v>
      </c>
      <c r="X6417" s="97">
        <v>0</v>
      </c>
    </row>
    <row r="6418" spans="1:24" x14ac:dyDescent="0.35">
      <c r="A6418">
        <v>6414</v>
      </c>
      <c r="B6418">
        <v>6415</v>
      </c>
      <c r="C6418">
        <v>146.10018559900001</v>
      </c>
      <c r="D6418">
        <v>-17.629960447999899</v>
      </c>
      <c r="E6418" s="92">
        <f t="shared" si="6"/>
        <v>50</v>
      </c>
      <c r="F6418" t="str">
        <f>HYPERLINK("D:\Data From Lucan\2024\Moresby\Frames_for_Analysis/6415_20240611_0011_L_0031.jpg","6415_20240611_0011_L_0031.jpg")</f>
        <v>6415_20240611_0011_L_0031.jpg</v>
      </c>
      <c r="G6418" s="92" t="s">
        <v>6603</v>
      </c>
      <c r="I6418">
        <v>2</v>
      </c>
      <c r="K6418" s="97">
        <v>1</v>
      </c>
      <c r="P6418" s="57">
        <v>1</v>
      </c>
      <c r="Q6418" s="57">
        <v>0</v>
      </c>
      <c r="R6418" s="57">
        <v>0</v>
      </c>
      <c r="S6418" s="97">
        <v>0</v>
      </c>
      <c r="T6418" s="57">
        <v>0</v>
      </c>
      <c r="U6418" s="57">
        <v>0</v>
      </c>
      <c r="V6418" s="57">
        <v>0</v>
      </c>
      <c r="W6418" s="57">
        <v>0</v>
      </c>
      <c r="X6418" s="97">
        <v>0</v>
      </c>
    </row>
    <row r="6419" spans="1:24" x14ac:dyDescent="0.35">
      <c r="A6419">
        <v>6415</v>
      </c>
      <c r="B6419">
        <v>6416</v>
      </c>
      <c r="C6419">
        <v>146.10026026200001</v>
      </c>
      <c r="D6419">
        <v>-17.6300080534999</v>
      </c>
      <c r="E6419" s="92" t="str">
        <f t="shared" si="6"/>
        <v/>
      </c>
      <c r="F6419" t="str">
        <f>HYPERLINK("D:\Data From Lucan\2024\Moresby\Frames_for_Analysis/6416_20240611_0011_L_0035.jpg","6416_20240611_0011_L_0035.jpg")</f>
        <v>6416_20240611_0011_L_0035.jpg</v>
      </c>
      <c r="G6419" s="92" t="s">
        <v>6604</v>
      </c>
      <c r="I6419">
        <v>2</v>
      </c>
      <c r="K6419" s="97">
        <v>1</v>
      </c>
      <c r="P6419" s="57">
        <v>1</v>
      </c>
      <c r="Q6419" s="57">
        <v>0</v>
      </c>
      <c r="R6419" s="57">
        <v>0</v>
      </c>
      <c r="S6419" s="97">
        <v>0</v>
      </c>
      <c r="T6419" s="57">
        <v>0</v>
      </c>
      <c r="U6419" s="57">
        <v>0</v>
      </c>
      <c r="V6419" s="57">
        <v>0</v>
      </c>
      <c r="W6419" s="57">
        <v>0</v>
      </c>
      <c r="X6419" s="97">
        <v>0</v>
      </c>
    </row>
    <row r="6420" spans="1:24" x14ac:dyDescent="0.35">
      <c r="A6420">
        <v>6416</v>
      </c>
      <c r="B6420">
        <v>6417</v>
      </c>
      <c r="C6420">
        <v>146.100334924999</v>
      </c>
      <c r="D6420">
        <v>-17.630055659</v>
      </c>
      <c r="E6420" s="92" t="str">
        <f t="shared" si="6"/>
        <v/>
      </c>
      <c r="F6420" t="str">
        <f>HYPERLINK("D:\Data From Lucan\2024\Moresby\Frames_for_Analysis/6417_20240611_0011_L_0038.jpg","6417_20240611_0011_L_0038.jpg")</f>
        <v>6417_20240611_0011_L_0038.jpg</v>
      </c>
      <c r="G6420" s="92" t="s">
        <v>6605</v>
      </c>
      <c r="I6420">
        <v>2</v>
      </c>
      <c r="K6420" s="97">
        <v>1</v>
      </c>
      <c r="P6420" s="57">
        <v>1</v>
      </c>
      <c r="Q6420" s="57">
        <v>0</v>
      </c>
      <c r="R6420" s="57">
        <v>0</v>
      </c>
      <c r="S6420" s="97">
        <v>0</v>
      </c>
      <c r="T6420" s="57">
        <v>0</v>
      </c>
      <c r="U6420" s="57">
        <v>0</v>
      </c>
      <c r="V6420" s="57">
        <v>0</v>
      </c>
      <c r="W6420" s="57">
        <v>0</v>
      </c>
      <c r="X6420" s="97">
        <v>0</v>
      </c>
    </row>
    <row r="6421" spans="1:24" x14ac:dyDescent="0.35">
      <c r="A6421">
        <v>6417</v>
      </c>
      <c r="B6421">
        <v>6418</v>
      </c>
      <c r="C6421">
        <v>146.100409587999</v>
      </c>
      <c r="D6421">
        <v>-17.630103264500001</v>
      </c>
      <c r="E6421" s="92" t="str">
        <f t="shared" si="6"/>
        <v/>
      </c>
      <c r="F6421" t="str">
        <f>HYPERLINK("D:\Data From Lucan\2024\Moresby\Frames_for_Analysis/6418_20240611_0011_L_0041.jpg","6418_20240611_0011_L_0041.jpg")</f>
        <v>6418_20240611_0011_L_0041.jpg</v>
      </c>
      <c r="G6421" s="92" t="s">
        <v>6606</v>
      </c>
      <c r="I6421">
        <v>2</v>
      </c>
      <c r="K6421" s="97">
        <v>1</v>
      </c>
      <c r="P6421" s="57">
        <v>1</v>
      </c>
      <c r="Q6421" s="57">
        <v>0</v>
      </c>
      <c r="R6421" s="57">
        <v>0</v>
      </c>
      <c r="S6421" s="97">
        <v>0</v>
      </c>
      <c r="T6421" s="57">
        <v>0</v>
      </c>
      <c r="U6421" s="57">
        <v>0</v>
      </c>
      <c r="V6421" s="57">
        <v>0</v>
      </c>
      <c r="W6421" s="57">
        <v>0</v>
      </c>
      <c r="X6421" s="97">
        <v>0</v>
      </c>
    </row>
    <row r="6422" spans="1:24" x14ac:dyDescent="0.35">
      <c r="A6422">
        <v>6418</v>
      </c>
      <c r="B6422">
        <v>6419</v>
      </c>
      <c r="C6422">
        <v>146.10048425100001</v>
      </c>
      <c r="D6422">
        <v>-17.6301508699</v>
      </c>
      <c r="E6422" s="92" t="str">
        <f t="shared" si="6"/>
        <v/>
      </c>
      <c r="F6422" t="str">
        <f>HYPERLINK("D:\Data From Lucan\2024\Moresby\Frames_for_Analysis/6419_20240611_0011_L_0044.jpg","6419_20240611_0011_L_0044.jpg")</f>
        <v>6419_20240611_0011_L_0044.jpg</v>
      </c>
      <c r="G6422" s="92" t="s">
        <v>6607</v>
      </c>
      <c r="I6422">
        <v>2</v>
      </c>
      <c r="K6422" s="97">
        <v>1</v>
      </c>
      <c r="P6422" s="57">
        <v>1</v>
      </c>
      <c r="Q6422" s="57">
        <v>0</v>
      </c>
      <c r="R6422" s="57">
        <v>0</v>
      </c>
      <c r="S6422" s="97">
        <v>0</v>
      </c>
      <c r="T6422" s="57">
        <v>0</v>
      </c>
      <c r="U6422" s="57">
        <v>0</v>
      </c>
      <c r="V6422" s="57">
        <v>0</v>
      </c>
      <c r="W6422" s="57">
        <v>0</v>
      </c>
      <c r="X6422" s="97">
        <v>0</v>
      </c>
    </row>
    <row r="6423" spans="1:24" x14ac:dyDescent="0.35">
      <c r="A6423">
        <v>6419</v>
      </c>
      <c r="B6423">
        <v>6420</v>
      </c>
      <c r="C6423">
        <v>146.100558914</v>
      </c>
      <c r="D6423">
        <v>-17.6301984754</v>
      </c>
      <c r="E6423" s="92">
        <f t="shared" si="6"/>
        <v>50</v>
      </c>
      <c r="F6423" t="str">
        <f>HYPERLINK("D:\Data From Lucan\2024\Moresby\Frames_for_Analysis/6420_20240611_0011_L_0046.jpg","6420_20240611_0011_L_0046.jpg")</f>
        <v>6420_20240611_0011_L_0046.jpg</v>
      </c>
      <c r="G6423" s="92" t="s">
        <v>6608</v>
      </c>
      <c r="I6423">
        <v>2</v>
      </c>
      <c r="K6423" s="97">
        <v>1</v>
      </c>
      <c r="P6423" s="57">
        <v>1</v>
      </c>
      <c r="Q6423" s="57">
        <v>0</v>
      </c>
      <c r="R6423" s="57">
        <v>0</v>
      </c>
      <c r="S6423" s="97">
        <v>0</v>
      </c>
      <c r="T6423" s="57">
        <v>0</v>
      </c>
      <c r="U6423" s="57">
        <v>0</v>
      </c>
      <c r="V6423" s="57">
        <v>0</v>
      </c>
      <c r="W6423" s="57">
        <v>0</v>
      </c>
      <c r="X6423" s="97">
        <v>0</v>
      </c>
    </row>
    <row r="6424" spans="1:24" x14ac:dyDescent="0.35">
      <c r="A6424">
        <v>6420</v>
      </c>
      <c r="B6424">
        <v>6421</v>
      </c>
      <c r="C6424">
        <v>146.10063357600001</v>
      </c>
      <c r="D6424">
        <v>-17.6302460807999</v>
      </c>
      <c r="E6424" s="92" t="str">
        <f t="shared" si="6"/>
        <v/>
      </c>
      <c r="F6424" t="str">
        <f>HYPERLINK("D:\Data From Lucan\2024\Moresby\Frames_for_Analysis/6421_20240611_0011_L_0049.jpg","6421_20240611_0011_L_0049.jpg")</f>
        <v>6421_20240611_0011_L_0049.jpg</v>
      </c>
      <c r="G6424" s="92" t="s">
        <v>6609</v>
      </c>
      <c r="I6424">
        <v>2</v>
      </c>
      <c r="K6424" s="97">
        <v>1</v>
      </c>
      <c r="P6424" s="57">
        <v>1</v>
      </c>
      <c r="Q6424" s="57">
        <v>0</v>
      </c>
      <c r="R6424" s="57">
        <v>0</v>
      </c>
      <c r="S6424" s="97">
        <v>0</v>
      </c>
      <c r="T6424" s="57">
        <v>0</v>
      </c>
      <c r="U6424" s="57">
        <v>0</v>
      </c>
      <c r="V6424" s="57">
        <v>0</v>
      </c>
      <c r="W6424" s="57">
        <v>0</v>
      </c>
      <c r="X6424" s="97">
        <v>0</v>
      </c>
    </row>
    <row r="6425" spans="1:24" x14ac:dyDescent="0.35">
      <c r="A6425">
        <v>6421</v>
      </c>
      <c r="B6425">
        <v>6422</v>
      </c>
      <c r="C6425">
        <v>146.10070389500001</v>
      </c>
      <c r="D6425">
        <v>-17.630299226399899</v>
      </c>
      <c r="E6425" s="92" t="str">
        <f t="shared" si="6"/>
        <v/>
      </c>
      <c r="F6425" t="str">
        <f>HYPERLINK("D:\Data From Lucan\2024\Moresby\Frames_for_Analysis/6422_20240611_0011_L_0052.jpg","6422_20240611_0011_L_0052.jpg")</f>
        <v>6422_20240611_0011_L_0052.jpg</v>
      </c>
      <c r="G6425" s="92" t="s">
        <v>6610</v>
      </c>
      <c r="I6425">
        <v>2</v>
      </c>
      <c r="K6425" s="97">
        <v>1</v>
      </c>
      <c r="P6425" s="57">
        <v>1</v>
      </c>
      <c r="Q6425" s="57">
        <v>0</v>
      </c>
      <c r="R6425" s="57">
        <v>0</v>
      </c>
      <c r="S6425" s="97">
        <v>0</v>
      </c>
      <c r="T6425" s="57">
        <v>0</v>
      </c>
      <c r="U6425" s="57">
        <v>0</v>
      </c>
      <c r="V6425" s="57">
        <v>0</v>
      </c>
      <c r="W6425" s="57">
        <v>0</v>
      </c>
      <c r="X6425" s="97">
        <v>0</v>
      </c>
    </row>
    <row r="6426" spans="1:24" x14ac:dyDescent="0.35">
      <c r="A6426">
        <v>6422</v>
      </c>
      <c r="B6426">
        <v>6423</v>
      </c>
      <c r="C6426">
        <v>146.10077295100001</v>
      </c>
      <c r="D6426">
        <v>-17.630353982100001</v>
      </c>
      <c r="E6426" s="92" t="str">
        <f t="shared" si="6"/>
        <v/>
      </c>
      <c r="F6426" t="str">
        <f>HYPERLINK("D:\Data From Lucan\2024\Moresby\Frames_for_Analysis/6423_20240611_0011_L_0054.jpg","6423_20240611_0011_L_0054.jpg")</f>
        <v>6423_20240611_0011_L_0054.jpg</v>
      </c>
      <c r="G6426" s="92" t="s">
        <v>6611</v>
      </c>
      <c r="I6426">
        <v>2</v>
      </c>
      <c r="K6426" s="97">
        <v>1</v>
      </c>
      <c r="P6426" s="57">
        <v>1</v>
      </c>
      <c r="Q6426" s="57">
        <v>0</v>
      </c>
      <c r="R6426" s="57">
        <v>0</v>
      </c>
      <c r="S6426" s="97">
        <v>0</v>
      </c>
      <c r="T6426" s="57">
        <v>0</v>
      </c>
      <c r="U6426" s="57">
        <v>0</v>
      </c>
      <c r="V6426" s="57">
        <v>0</v>
      </c>
      <c r="W6426" s="57">
        <v>0</v>
      </c>
      <c r="X6426" s="97">
        <v>0</v>
      </c>
    </row>
    <row r="6427" spans="1:24" x14ac:dyDescent="0.35">
      <c r="A6427">
        <v>6423</v>
      </c>
      <c r="B6427">
        <v>6424</v>
      </c>
      <c r="C6427">
        <v>146.10084200700001</v>
      </c>
      <c r="D6427">
        <v>-17.630408737700002</v>
      </c>
      <c r="E6427" s="92" t="str">
        <f t="shared" si="6"/>
        <v/>
      </c>
      <c r="F6427" t="str">
        <f>HYPERLINK("D:\Data From Lucan\2024\Moresby\Frames_for_Analysis/6424_20240611_0011_L_0057.jpg","6424_20240611_0011_L_0057.jpg")</f>
        <v>6424_20240611_0011_L_0057.jpg</v>
      </c>
      <c r="G6427" s="92" t="s">
        <v>6612</v>
      </c>
      <c r="I6427">
        <v>2</v>
      </c>
      <c r="K6427" s="97">
        <v>1</v>
      </c>
      <c r="P6427" s="57">
        <v>1</v>
      </c>
      <c r="Q6427" s="57">
        <v>0</v>
      </c>
      <c r="R6427" s="57">
        <v>0</v>
      </c>
      <c r="S6427" s="97">
        <v>0</v>
      </c>
      <c r="T6427" s="57">
        <v>0</v>
      </c>
      <c r="U6427" s="57">
        <v>0</v>
      </c>
      <c r="V6427" s="57">
        <v>0</v>
      </c>
      <c r="W6427" s="57">
        <v>0</v>
      </c>
      <c r="X6427" s="97">
        <v>0</v>
      </c>
    </row>
    <row r="6428" spans="1:24" x14ac:dyDescent="0.35">
      <c r="A6428">
        <v>6424</v>
      </c>
      <c r="B6428">
        <v>6425</v>
      </c>
      <c r="C6428">
        <v>146.100911061999</v>
      </c>
      <c r="D6428">
        <v>-17.630463493400001</v>
      </c>
      <c r="E6428" s="92">
        <f t="shared" si="6"/>
        <v>50</v>
      </c>
      <c r="F6428" t="str">
        <f>HYPERLINK("D:\Data From Lucan\2024\Moresby\Frames_for_Analysis/6425_20240611_0011_L_0060.jpg","6425_20240611_0011_L_0060.jpg")</f>
        <v>6425_20240611_0011_L_0060.jpg</v>
      </c>
      <c r="G6428" s="92" t="s">
        <v>6613</v>
      </c>
      <c r="I6428">
        <v>2</v>
      </c>
      <c r="K6428" s="97">
        <v>1</v>
      </c>
      <c r="L6428" t="s">
        <v>3959</v>
      </c>
      <c r="M6428" t="s">
        <v>3959</v>
      </c>
      <c r="N6428" t="s">
        <v>3959</v>
      </c>
      <c r="O6428" t="s">
        <v>3959</v>
      </c>
      <c r="P6428" s="57">
        <v>1</v>
      </c>
      <c r="Q6428" s="57">
        <v>0</v>
      </c>
      <c r="R6428" s="57">
        <v>0</v>
      </c>
      <c r="S6428" s="97">
        <v>0</v>
      </c>
      <c r="T6428" s="57">
        <v>0</v>
      </c>
      <c r="U6428" s="57">
        <v>0</v>
      </c>
      <c r="V6428" s="57">
        <v>0</v>
      </c>
      <c r="W6428" s="57">
        <v>0</v>
      </c>
      <c r="X6428" s="97">
        <v>0</v>
      </c>
    </row>
    <row r="6429" spans="1:24" x14ac:dyDescent="0.35">
      <c r="A6429">
        <v>6425</v>
      </c>
      <c r="B6429">
        <v>6426</v>
      </c>
      <c r="C6429">
        <v>146.100980117999</v>
      </c>
      <c r="D6429">
        <v>-17.630518249000001</v>
      </c>
      <c r="E6429" s="92" t="str">
        <f t="shared" si="6"/>
        <v/>
      </c>
      <c r="F6429" t="str">
        <f>HYPERLINK("D:\Data From Lucan\2024\Moresby\Frames_for_Analysis/6426_20240611_0011_L_0063.jpg","6426_20240611_0011_L_0063.jpg")</f>
        <v>6426_20240611_0011_L_0063.jpg</v>
      </c>
      <c r="G6429" s="92" t="s">
        <v>6614</v>
      </c>
      <c r="I6429">
        <v>2</v>
      </c>
      <c r="K6429" s="97">
        <v>1</v>
      </c>
      <c r="L6429" t="s">
        <v>3959</v>
      </c>
      <c r="M6429" t="s">
        <v>3959</v>
      </c>
      <c r="N6429" t="s">
        <v>3959</v>
      </c>
      <c r="O6429" t="s">
        <v>3959</v>
      </c>
      <c r="P6429" s="57">
        <v>1</v>
      </c>
      <c r="Q6429" s="57">
        <v>0</v>
      </c>
      <c r="R6429" s="57">
        <v>0</v>
      </c>
      <c r="S6429" s="97">
        <v>0</v>
      </c>
      <c r="T6429" s="57">
        <v>0</v>
      </c>
      <c r="U6429" s="57">
        <v>0</v>
      </c>
      <c r="V6429" s="57">
        <v>0</v>
      </c>
      <c r="W6429" s="57">
        <v>0</v>
      </c>
      <c r="X6429" s="97">
        <v>0</v>
      </c>
    </row>
    <row r="6430" spans="1:24" x14ac:dyDescent="0.35">
      <c r="A6430">
        <v>6426</v>
      </c>
      <c r="B6430">
        <v>6427</v>
      </c>
      <c r="C6430">
        <v>146.101049173999</v>
      </c>
      <c r="D6430">
        <v>-17.630573004599899</v>
      </c>
      <c r="E6430" s="92" t="str">
        <f t="shared" si="6"/>
        <v/>
      </c>
      <c r="F6430" t="str">
        <f>HYPERLINK("D:\Data From Lucan\2024\Moresby\Frames_for_Analysis/6427_20240611_0011_L_0066.jpg","6427_20240611_0011_L_0066.jpg")</f>
        <v>6427_20240611_0011_L_0066.jpg</v>
      </c>
      <c r="G6430" s="92" t="s">
        <v>6615</v>
      </c>
      <c r="I6430">
        <v>2</v>
      </c>
      <c r="K6430" s="97">
        <v>1</v>
      </c>
      <c r="L6430" t="s">
        <v>3959</v>
      </c>
      <c r="M6430" t="s">
        <v>3959</v>
      </c>
      <c r="N6430" t="s">
        <v>3959</v>
      </c>
      <c r="O6430" t="s">
        <v>3959</v>
      </c>
      <c r="P6430" s="57">
        <v>1</v>
      </c>
      <c r="Q6430" s="57">
        <v>0</v>
      </c>
      <c r="R6430" s="57">
        <v>0</v>
      </c>
      <c r="S6430" s="97">
        <v>0</v>
      </c>
      <c r="T6430" s="57">
        <v>0</v>
      </c>
      <c r="U6430" s="57">
        <v>0</v>
      </c>
      <c r="V6430" s="57">
        <v>0</v>
      </c>
      <c r="W6430" s="57">
        <v>0</v>
      </c>
      <c r="X6430" s="97">
        <v>0</v>
      </c>
    </row>
    <row r="6431" spans="1:24" x14ac:dyDescent="0.35">
      <c r="A6431">
        <v>6427</v>
      </c>
      <c r="B6431">
        <v>6428</v>
      </c>
      <c r="C6431">
        <v>146.101118229999</v>
      </c>
      <c r="D6431">
        <v>-17.6306277601999</v>
      </c>
      <c r="E6431" s="92" t="str">
        <f t="shared" si="6"/>
        <v/>
      </c>
      <c r="F6431" t="str">
        <f>HYPERLINK("D:\Data From Lucan\2024\Moresby\Frames_for_Analysis/6428_20240611_0011_L_0069.jpg","6428_20240611_0011_L_0069.jpg")</f>
        <v>6428_20240611_0011_L_0069.jpg</v>
      </c>
      <c r="G6431" s="92" t="s">
        <v>6616</v>
      </c>
      <c r="I6431">
        <v>2</v>
      </c>
      <c r="K6431" s="97">
        <v>1</v>
      </c>
      <c r="L6431" t="s">
        <v>3959</v>
      </c>
      <c r="M6431" t="s">
        <v>3959</v>
      </c>
      <c r="N6431" t="s">
        <v>3959</v>
      </c>
      <c r="O6431" t="s">
        <v>3959</v>
      </c>
      <c r="P6431" s="57">
        <v>1</v>
      </c>
      <c r="Q6431" s="57">
        <v>0</v>
      </c>
      <c r="R6431" s="57">
        <v>0</v>
      </c>
      <c r="S6431" s="97">
        <v>0</v>
      </c>
      <c r="T6431" s="57">
        <v>0</v>
      </c>
      <c r="U6431" s="57">
        <v>0</v>
      </c>
      <c r="V6431" s="57">
        <v>0</v>
      </c>
      <c r="W6431" s="57">
        <v>0</v>
      </c>
      <c r="X6431" s="97">
        <v>0</v>
      </c>
    </row>
    <row r="6432" spans="1:24" x14ac:dyDescent="0.35">
      <c r="A6432">
        <v>6428</v>
      </c>
      <c r="B6432">
        <v>6429</v>
      </c>
      <c r="C6432">
        <v>146.101187285999</v>
      </c>
      <c r="D6432">
        <v>-17.630682515699899</v>
      </c>
      <c r="E6432" s="92" t="str">
        <f t="shared" si="6"/>
        <v/>
      </c>
      <c r="F6432" t="str">
        <f>HYPERLINK("D:\Data From Lucan\2024\Moresby\Frames_for_Analysis/6429_20240611_0011_L_0071.jpg","6429_20240611_0011_L_0071.jpg")</f>
        <v>6429_20240611_0011_L_0071.jpg</v>
      </c>
      <c r="G6432" s="92" t="s">
        <v>6617</v>
      </c>
      <c r="I6432">
        <v>2</v>
      </c>
      <c r="K6432" s="97">
        <v>1</v>
      </c>
      <c r="P6432" s="57">
        <v>1</v>
      </c>
      <c r="Q6432" s="57">
        <v>0</v>
      </c>
      <c r="R6432" s="57">
        <v>0</v>
      </c>
      <c r="S6432" s="97">
        <v>0</v>
      </c>
      <c r="T6432" s="57">
        <v>0</v>
      </c>
      <c r="U6432" s="57">
        <v>0</v>
      </c>
      <c r="V6432" s="57">
        <v>0</v>
      </c>
      <c r="W6432" s="57">
        <v>0</v>
      </c>
      <c r="X6432" s="97">
        <v>0</v>
      </c>
    </row>
    <row r="6433" spans="1:24" x14ac:dyDescent="0.35">
      <c r="A6433">
        <v>6429</v>
      </c>
      <c r="B6433">
        <v>6430</v>
      </c>
      <c r="C6433">
        <v>146.101256341999</v>
      </c>
      <c r="D6433">
        <v>-17.6307372712999</v>
      </c>
      <c r="E6433" s="92">
        <f t="shared" si="6"/>
        <v>50</v>
      </c>
      <c r="F6433" t="str">
        <f>HYPERLINK("D:\Data From Lucan\2024\Moresby\Frames_for_Analysis/6430_20240611_0011_L_0075.jpg","6430_20240611_0011_L_0075.jpg")</f>
        <v>6430_20240611_0011_L_0075.jpg</v>
      </c>
      <c r="G6433" s="92" t="s">
        <v>6618</v>
      </c>
      <c r="I6433">
        <v>2</v>
      </c>
      <c r="K6433" s="97">
        <v>1</v>
      </c>
      <c r="L6433" t="s">
        <v>3959</v>
      </c>
      <c r="M6433" t="s">
        <v>3959</v>
      </c>
      <c r="N6433" t="s">
        <v>3959</v>
      </c>
      <c r="O6433" t="s">
        <v>3959</v>
      </c>
      <c r="P6433" s="57">
        <v>1</v>
      </c>
      <c r="Q6433" s="57">
        <v>0</v>
      </c>
      <c r="R6433" s="57">
        <v>0</v>
      </c>
      <c r="S6433" s="97">
        <v>0</v>
      </c>
      <c r="T6433" s="57">
        <v>0</v>
      </c>
      <c r="U6433" s="57">
        <v>0</v>
      </c>
      <c r="V6433" s="57">
        <v>0</v>
      </c>
      <c r="W6433" s="57">
        <v>0</v>
      </c>
      <c r="X6433" s="97">
        <v>0</v>
      </c>
    </row>
    <row r="6434" spans="1:24" x14ac:dyDescent="0.35">
      <c r="A6434">
        <v>6430</v>
      </c>
      <c r="B6434">
        <v>6431</v>
      </c>
      <c r="C6434">
        <v>146.101325398</v>
      </c>
      <c r="D6434">
        <v>-17.630792026799899</v>
      </c>
      <c r="E6434" s="92" t="str">
        <f t="shared" si="6"/>
        <v/>
      </c>
      <c r="F6434" t="str">
        <f>HYPERLINK("D:\Data From Lucan\2024\Moresby\Frames_for_Analysis/6431_20240611_0011_L_0078.jpg","6431_20240611_0011_L_0078.jpg")</f>
        <v>6431_20240611_0011_L_0078.jpg</v>
      </c>
      <c r="G6434" s="92" t="s">
        <v>6619</v>
      </c>
      <c r="I6434">
        <v>2</v>
      </c>
      <c r="K6434" s="97">
        <v>1</v>
      </c>
      <c r="P6434" s="57">
        <v>1</v>
      </c>
      <c r="Q6434" s="57">
        <v>0</v>
      </c>
      <c r="R6434" s="57">
        <v>0</v>
      </c>
      <c r="S6434" s="97">
        <v>0</v>
      </c>
      <c r="T6434" s="57">
        <v>0</v>
      </c>
      <c r="U6434" s="57">
        <v>0</v>
      </c>
      <c r="V6434" s="57">
        <v>0</v>
      </c>
      <c r="W6434" s="57">
        <v>0</v>
      </c>
      <c r="X6434" s="97">
        <v>0</v>
      </c>
    </row>
    <row r="6435" spans="1:24" x14ac:dyDescent="0.35">
      <c r="A6435">
        <v>6431</v>
      </c>
      <c r="B6435">
        <v>6432</v>
      </c>
      <c r="C6435">
        <v>146.10139445300001</v>
      </c>
      <c r="D6435">
        <v>-17.630846782300001</v>
      </c>
      <c r="E6435" s="92" t="str">
        <f t="shared" si="6"/>
        <v/>
      </c>
      <c r="F6435" t="str">
        <f>HYPERLINK("D:\Data From Lucan\2024\Moresby\Frames_for_Analysis/6432_20240611_0011_L_0080.jpg","6432_20240611_0011_L_0080.jpg")</f>
        <v>6432_20240611_0011_L_0080.jpg</v>
      </c>
      <c r="G6435" s="92" t="s">
        <v>6620</v>
      </c>
      <c r="I6435">
        <v>2</v>
      </c>
      <c r="K6435" s="97">
        <v>1</v>
      </c>
      <c r="L6435" t="s">
        <v>3959</v>
      </c>
      <c r="M6435" t="s">
        <v>3959</v>
      </c>
      <c r="N6435" t="s">
        <v>3959</v>
      </c>
      <c r="O6435" t="s">
        <v>3959</v>
      </c>
      <c r="P6435" s="57">
        <v>1</v>
      </c>
      <c r="Q6435" s="57">
        <v>0</v>
      </c>
      <c r="R6435" s="57">
        <v>2</v>
      </c>
      <c r="S6435" s="97">
        <v>0</v>
      </c>
      <c r="T6435" s="57">
        <v>0</v>
      </c>
      <c r="U6435" s="57">
        <v>0</v>
      </c>
      <c r="V6435" s="57">
        <v>0</v>
      </c>
      <c r="W6435" s="57">
        <v>0</v>
      </c>
      <c r="X6435" s="97">
        <v>0</v>
      </c>
    </row>
    <row r="6436" spans="1:24" x14ac:dyDescent="0.35">
      <c r="A6436">
        <v>6432</v>
      </c>
      <c r="B6436">
        <v>6433</v>
      </c>
      <c r="C6436">
        <v>146.10146288000001</v>
      </c>
      <c r="D6436">
        <v>-17.630902233899899</v>
      </c>
      <c r="E6436" s="92" t="str">
        <f t="shared" si="6"/>
        <v/>
      </c>
      <c r="F6436" t="str">
        <f>HYPERLINK("D:\Data From Lucan\2024\Moresby\Frames_for_Analysis/6433_20240611_0011_L_0083.jpg","6433_20240611_0011_L_0083.jpg")</f>
        <v>6433_20240611_0011_L_0083.jpg</v>
      </c>
      <c r="G6436" s="92" t="s">
        <v>6621</v>
      </c>
      <c r="I6436">
        <v>2</v>
      </c>
      <c r="K6436" s="97">
        <v>1</v>
      </c>
      <c r="L6436" t="s">
        <v>3959</v>
      </c>
      <c r="M6436" t="s">
        <v>3959</v>
      </c>
      <c r="N6436" t="s">
        <v>3959</v>
      </c>
      <c r="O6436" t="s">
        <v>3959</v>
      </c>
      <c r="P6436" s="57">
        <v>1</v>
      </c>
      <c r="Q6436" s="57">
        <v>0</v>
      </c>
      <c r="R6436" s="57">
        <v>0</v>
      </c>
      <c r="S6436" s="97">
        <v>0</v>
      </c>
      <c r="T6436" s="57">
        <v>0</v>
      </c>
      <c r="U6436" s="57">
        <v>0</v>
      </c>
      <c r="V6436" s="57">
        <v>0</v>
      </c>
      <c r="W6436" s="57">
        <v>0</v>
      </c>
      <c r="X6436" s="97">
        <v>0</v>
      </c>
    </row>
    <row r="6437" spans="1:24" x14ac:dyDescent="0.35">
      <c r="A6437">
        <v>6433</v>
      </c>
      <c r="B6437">
        <v>6434</v>
      </c>
      <c r="C6437">
        <v>146.101529948999</v>
      </c>
      <c r="D6437">
        <v>-17.6309591887</v>
      </c>
      <c r="E6437" s="92" t="str">
        <f t="shared" si="6"/>
        <v/>
      </c>
      <c r="F6437" t="str">
        <f>HYPERLINK("D:\Data From Lucan\2024\Moresby\Frames_for_Analysis/6434_20240611_0011_L_0086.jpg","6434_20240611_0011_L_0086.jpg")</f>
        <v>6434_20240611_0011_L_0086.jpg</v>
      </c>
      <c r="G6437" s="92" t="s">
        <v>6622</v>
      </c>
      <c r="I6437">
        <v>2</v>
      </c>
      <c r="K6437" s="97">
        <v>1</v>
      </c>
      <c r="L6437" t="s">
        <v>3959</v>
      </c>
      <c r="M6437" t="s">
        <v>3959</v>
      </c>
      <c r="N6437" t="s">
        <v>3959</v>
      </c>
      <c r="O6437" t="s">
        <v>3959</v>
      </c>
      <c r="P6437" s="57">
        <v>1</v>
      </c>
      <c r="Q6437" s="57">
        <v>0</v>
      </c>
      <c r="R6437" s="57">
        <v>0</v>
      </c>
      <c r="S6437" s="97">
        <v>0</v>
      </c>
      <c r="T6437" s="57">
        <v>0</v>
      </c>
      <c r="U6437" s="57">
        <v>0</v>
      </c>
      <c r="V6437" s="57">
        <v>0</v>
      </c>
      <c r="W6437" s="57">
        <v>0</v>
      </c>
      <c r="X6437" s="97">
        <v>0</v>
      </c>
    </row>
    <row r="6438" spans="1:24" x14ac:dyDescent="0.35">
      <c r="A6438">
        <v>6434</v>
      </c>
      <c r="B6438">
        <v>6435</v>
      </c>
      <c r="C6438">
        <v>146.10159701800001</v>
      </c>
      <c r="D6438">
        <v>-17.631016143299899</v>
      </c>
      <c r="E6438" s="92">
        <f t="shared" si="6"/>
        <v>50</v>
      </c>
      <c r="F6438" t="str">
        <f>HYPERLINK("D:\Data From Lucan\2024\Moresby\Frames_for_Analysis/6435_20240611_0011_L_0088.jpg","6435_20240611_0011_L_0088.jpg")</f>
        <v>6435_20240611_0011_L_0088.jpg</v>
      </c>
      <c r="G6438" s="92" t="s">
        <v>6623</v>
      </c>
      <c r="I6438">
        <v>2</v>
      </c>
      <c r="K6438" s="97">
        <v>1</v>
      </c>
      <c r="L6438" t="s">
        <v>3959</v>
      </c>
      <c r="M6438" t="s">
        <v>3959</v>
      </c>
      <c r="N6438" t="s">
        <v>3959</v>
      </c>
      <c r="O6438" t="s">
        <v>3959</v>
      </c>
      <c r="P6438" s="57">
        <v>1</v>
      </c>
      <c r="Q6438" s="57">
        <v>0</v>
      </c>
      <c r="R6438" s="57">
        <v>0</v>
      </c>
      <c r="S6438" s="97">
        <v>0</v>
      </c>
      <c r="T6438" s="57">
        <v>0</v>
      </c>
      <c r="U6438" s="57">
        <v>0</v>
      </c>
      <c r="V6438" s="57">
        <v>0</v>
      </c>
      <c r="W6438" s="57">
        <v>0</v>
      </c>
      <c r="X6438" s="97">
        <v>0</v>
      </c>
    </row>
    <row r="6439" spans="1:24" x14ac:dyDescent="0.35">
      <c r="A6439">
        <v>6435</v>
      </c>
      <c r="B6439">
        <v>6436</v>
      </c>
      <c r="C6439">
        <v>146.10166408699899</v>
      </c>
      <c r="D6439">
        <v>-17.631073098000002</v>
      </c>
      <c r="E6439" s="92" t="str">
        <f t="shared" si="6"/>
        <v/>
      </c>
      <c r="F6439" t="str">
        <f>HYPERLINK("D:\Data From Lucan\2024\Moresby\Frames_for_Analysis/6436_20240611_0011_L_0091.jpg","6436_20240611_0011_L_0091.jpg")</f>
        <v>6436_20240611_0011_L_0091.jpg</v>
      </c>
      <c r="G6439" s="92" t="s">
        <v>6624</v>
      </c>
      <c r="I6439">
        <v>2</v>
      </c>
      <c r="K6439" s="97">
        <v>1</v>
      </c>
      <c r="L6439" t="s">
        <v>3959</v>
      </c>
      <c r="M6439" t="s">
        <v>3959</v>
      </c>
      <c r="N6439" t="s">
        <v>3959</v>
      </c>
      <c r="O6439" t="s">
        <v>3959</v>
      </c>
      <c r="P6439" s="57">
        <v>1</v>
      </c>
      <c r="Q6439" s="57">
        <v>0</v>
      </c>
      <c r="R6439" s="57">
        <v>0</v>
      </c>
      <c r="S6439" s="97">
        <v>0</v>
      </c>
      <c r="T6439" s="57">
        <v>0</v>
      </c>
      <c r="U6439" s="57">
        <v>0</v>
      </c>
      <c r="V6439" s="57">
        <v>0</v>
      </c>
      <c r="W6439" s="57">
        <v>0</v>
      </c>
      <c r="X6439" s="97">
        <v>0</v>
      </c>
    </row>
    <row r="6440" spans="1:24" x14ac:dyDescent="0.35">
      <c r="A6440">
        <v>6436</v>
      </c>
      <c r="B6440">
        <v>6437</v>
      </c>
      <c r="C6440">
        <v>146.10173115500001</v>
      </c>
      <c r="D6440">
        <v>-17.631130052700001</v>
      </c>
      <c r="E6440" s="92" t="str">
        <f t="shared" si="6"/>
        <v/>
      </c>
      <c r="F6440" t="str">
        <f>HYPERLINK("D:\Data From Lucan\2024\Moresby\Frames_for_Analysis/6437_20240611_0011_L_0094.jpg","6437_20240611_0011_L_0094.jpg")</f>
        <v>6437_20240611_0011_L_0094.jpg</v>
      </c>
      <c r="G6440" s="92" t="s">
        <v>6625</v>
      </c>
      <c r="I6440">
        <v>2</v>
      </c>
      <c r="K6440" s="97">
        <v>1</v>
      </c>
      <c r="L6440" t="s">
        <v>3959</v>
      </c>
      <c r="M6440" t="s">
        <v>3959</v>
      </c>
      <c r="N6440" t="s">
        <v>3959</v>
      </c>
      <c r="O6440" t="s">
        <v>3959</v>
      </c>
      <c r="P6440" s="57">
        <v>1</v>
      </c>
      <c r="Q6440" s="57">
        <v>0</v>
      </c>
      <c r="R6440" s="57">
        <v>0</v>
      </c>
      <c r="S6440" s="97">
        <v>0</v>
      </c>
      <c r="T6440" s="57">
        <v>0</v>
      </c>
      <c r="U6440" s="57">
        <v>0</v>
      </c>
      <c r="V6440" s="57">
        <v>0</v>
      </c>
      <c r="W6440" s="57">
        <v>0</v>
      </c>
      <c r="X6440" s="97">
        <v>0</v>
      </c>
    </row>
    <row r="6441" spans="1:24" x14ac:dyDescent="0.35">
      <c r="A6441">
        <v>6437</v>
      </c>
      <c r="B6441">
        <v>6438</v>
      </c>
      <c r="C6441">
        <v>146.101798223999</v>
      </c>
      <c r="D6441">
        <v>-17.6311870072999</v>
      </c>
      <c r="E6441" s="92" t="str">
        <f t="shared" si="6"/>
        <v/>
      </c>
      <c r="F6441" t="str">
        <f>HYPERLINK("D:\Data From Lucan\2024\Moresby\Frames_for_Analysis/6438_20240611_0011_L_0097.jpg","6438_20240611_0011_L_0097.jpg")</f>
        <v>6438_20240611_0011_L_0097.jpg</v>
      </c>
      <c r="G6441" s="92" t="s">
        <v>6626</v>
      </c>
      <c r="I6441">
        <v>2</v>
      </c>
      <c r="K6441" s="97">
        <v>1</v>
      </c>
      <c r="L6441" t="s">
        <v>3959</v>
      </c>
      <c r="M6441" t="s">
        <v>3959</v>
      </c>
      <c r="N6441" t="s">
        <v>3959</v>
      </c>
      <c r="O6441" t="s">
        <v>3959</v>
      </c>
      <c r="P6441" s="57">
        <v>1</v>
      </c>
      <c r="Q6441" s="57">
        <v>0</v>
      </c>
      <c r="R6441" s="57">
        <v>0</v>
      </c>
      <c r="S6441" s="97">
        <v>0</v>
      </c>
      <c r="T6441" s="57">
        <v>0</v>
      </c>
      <c r="U6441" s="57">
        <v>0</v>
      </c>
      <c r="V6441" s="57">
        <v>0</v>
      </c>
      <c r="W6441" s="57">
        <v>0</v>
      </c>
      <c r="X6441" s="97">
        <v>0</v>
      </c>
    </row>
    <row r="6442" spans="1:24" x14ac:dyDescent="0.35">
      <c r="A6442">
        <v>6438</v>
      </c>
      <c r="B6442">
        <v>6439</v>
      </c>
      <c r="C6442">
        <v>146.101865226999</v>
      </c>
      <c r="D6442">
        <v>-17.6312440325</v>
      </c>
      <c r="E6442" s="92" t="str">
        <f t="shared" si="6"/>
        <v/>
      </c>
      <c r="F6442" t="str">
        <f>HYPERLINK("D:\Data From Lucan\2024\Moresby\Frames_for_Analysis/6439_20240611_0011_L_0100.jpg","6439_20240611_0011_L_0100.jpg")</f>
        <v>6439_20240611_0011_L_0100.jpg</v>
      </c>
      <c r="G6442" s="92" t="s">
        <v>6627</v>
      </c>
      <c r="I6442">
        <v>2</v>
      </c>
      <c r="K6442" s="97">
        <v>1</v>
      </c>
      <c r="L6442" t="s">
        <v>3959</v>
      </c>
      <c r="M6442" t="s">
        <v>3959</v>
      </c>
      <c r="N6442" t="s">
        <v>3959</v>
      </c>
      <c r="O6442" t="s">
        <v>3959</v>
      </c>
      <c r="P6442" s="57">
        <v>1</v>
      </c>
      <c r="Q6442" s="57">
        <v>0</v>
      </c>
      <c r="R6442" s="57">
        <v>0</v>
      </c>
      <c r="S6442" s="97">
        <v>0</v>
      </c>
      <c r="T6442" s="57">
        <v>0</v>
      </c>
      <c r="U6442" s="57">
        <v>0</v>
      </c>
      <c r="V6442" s="57">
        <v>0</v>
      </c>
      <c r="W6442" s="57">
        <v>0</v>
      </c>
      <c r="X6442" s="97">
        <v>0</v>
      </c>
    </row>
    <row r="6443" spans="1:24" x14ac:dyDescent="0.35">
      <c r="A6443">
        <v>6439</v>
      </c>
      <c r="B6443">
        <v>6440</v>
      </c>
      <c r="C6443">
        <v>146.10193216900001</v>
      </c>
      <c r="D6443">
        <v>-17.6313011226</v>
      </c>
      <c r="E6443" s="92">
        <f t="shared" si="6"/>
        <v>50</v>
      </c>
      <c r="F6443" t="str">
        <f>HYPERLINK("D:\Data From Lucan\2024\Moresby\Frames_for_Analysis/6440_20240611_0011_L_0103.jpg","6440_20240611_0011_L_0103.jpg")</f>
        <v>6440_20240611_0011_L_0103.jpg</v>
      </c>
      <c r="G6443" s="92" t="s">
        <v>6628</v>
      </c>
      <c r="I6443">
        <v>2</v>
      </c>
      <c r="K6443" s="97">
        <v>1</v>
      </c>
      <c r="L6443" t="s">
        <v>3959</v>
      </c>
      <c r="M6443" t="s">
        <v>3959</v>
      </c>
      <c r="N6443" t="s">
        <v>3959</v>
      </c>
      <c r="O6443" t="s">
        <v>3959</v>
      </c>
      <c r="P6443" s="57">
        <v>1</v>
      </c>
      <c r="Q6443" s="57">
        <v>0</v>
      </c>
      <c r="R6443" s="57">
        <v>0</v>
      </c>
      <c r="S6443" s="97">
        <v>0</v>
      </c>
      <c r="T6443" s="57">
        <v>0</v>
      </c>
      <c r="U6443" s="57">
        <v>0</v>
      </c>
      <c r="V6443" s="57">
        <v>0</v>
      </c>
      <c r="W6443" s="57">
        <v>0</v>
      </c>
      <c r="X6443" s="97">
        <v>0</v>
      </c>
    </row>
    <row r="6444" spans="1:24" x14ac:dyDescent="0.35">
      <c r="A6444">
        <v>6440</v>
      </c>
      <c r="B6444">
        <v>6441</v>
      </c>
      <c r="C6444">
        <v>146.10199911000001</v>
      </c>
      <c r="D6444">
        <v>-17.6313582127</v>
      </c>
      <c r="E6444" s="92" t="str">
        <f t="shared" si="6"/>
        <v/>
      </c>
      <c r="F6444" t="str">
        <f>HYPERLINK("D:\Data From Lucan\2024\Moresby\Frames_for_Analysis/6441_20240611_0011_L_0105.jpg","6441_20240611_0011_L_0105.jpg")</f>
        <v>6441_20240611_0011_L_0105.jpg</v>
      </c>
      <c r="G6444" s="92" t="s">
        <v>6629</v>
      </c>
      <c r="I6444">
        <v>2</v>
      </c>
      <c r="K6444" s="97">
        <v>1</v>
      </c>
      <c r="P6444" s="57">
        <v>1</v>
      </c>
      <c r="Q6444" s="57">
        <v>0</v>
      </c>
      <c r="R6444" s="57">
        <v>0</v>
      </c>
      <c r="S6444" s="97">
        <v>0</v>
      </c>
      <c r="T6444" s="57">
        <v>0</v>
      </c>
      <c r="U6444" s="57">
        <v>0</v>
      </c>
      <c r="V6444" s="57">
        <v>0</v>
      </c>
      <c r="W6444" s="57">
        <v>0</v>
      </c>
      <c r="X6444" s="97">
        <v>0</v>
      </c>
    </row>
    <row r="6445" spans="1:24" x14ac:dyDescent="0.35">
      <c r="A6445">
        <v>6441</v>
      </c>
      <c r="B6445">
        <v>6442</v>
      </c>
      <c r="C6445">
        <v>146.102066051999</v>
      </c>
      <c r="D6445">
        <v>-17.631415302800001</v>
      </c>
      <c r="E6445" s="92" t="str">
        <f t="shared" si="6"/>
        <v/>
      </c>
      <c r="F6445" t="str">
        <f>HYPERLINK("D:\Data From Lucan\2024\Moresby\Frames_for_Analysis/6442_20240611_0011_L_0108.jpg","6442_20240611_0011_L_0108.jpg")</f>
        <v>6442_20240611_0011_L_0108.jpg</v>
      </c>
      <c r="G6445" s="92" t="s">
        <v>6630</v>
      </c>
      <c r="I6445">
        <v>2</v>
      </c>
      <c r="K6445" s="97">
        <v>1</v>
      </c>
      <c r="P6445" s="57">
        <v>1</v>
      </c>
      <c r="Q6445" s="57">
        <v>0</v>
      </c>
      <c r="R6445" s="57">
        <v>0</v>
      </c>
      <c r="S6445" s="97">
        <v>0</v>
      </c>
      <c r="T6445" s="57">
        <v>0</v>
      </c>
      <c r="U6445" s="57">
        <v>0</v>
      </c>
      <c r="V6445" s="57">
        <v>0</v>
      </c>
      <c r="W6445" s="57">
        <v>0</v>
      </c>
      <c r="X6445" s="97">
        <v>0</v>
      </c>
    </row>
    <row r="6446" spans="1:24" x14ac:dyDescent="0.35">
      <c r="A6446">
        <v>6442</v>
      </c>
      <c r="B6446">
        <v>6443</v>
      </c>
      <c r="C6446">
        <v>146.10213139800001</v>
      </c>
      <c r="D6446">
        <v>-17.631473924200002</v>
      </c>
      <c r="E6446" s="92" t="str">
        <f t="shared" si="6"/>
        <v/>
      </c>
      <c r="F6446" t="str">
        <f>HYPERLINK("D:\Data From Lucan\2024\Moresby\Frames_for_Analysis/6443_20240611_0011_L_0111.jpg","6443_20240611_0011_L_0111.jpg")</f>
        <v>6443_20240611_0011_L_0111.jpg</v>
      </c>
      <c r="G6446" s="92" t="s">
        <v>6631</v>
      </c>
      <c r="I6446">
        <v>2</v>
      </c>
      <c r="K6446" s="97">
        <v>1</v>
      </c>
      <c r="P6446" s="57">
        <v>1</v>
      </c>
      <c r="Q6446" s="57">
        <v>0</v>
      </c>
      <c r="R6446" s="57">
        <v>0</v>
      </c>
      <c r="S6446" s="97">
        <v>0</v>
      </c>
      <c r="T6446" s="57">
        <v>0</v>
      </c>
      <c r="U6446" s="57">
        <v>0</v>
      </c>
      <c r="V6446" s="57">
        <v>0</v>
      </c>
      <c r="W6446" s="57">
        <v>0</v>
      </c>
      <c r="X6446" s="97">
        <v>0</v>
      </c>
    </row>
    <row r="6447" spans="1:24" x14ac:dyDescent="0.35">
      <c r="A6447">
        <v>6443</v>
      </c>
      <c r="B6447">
        <v>6444</v>
      </c>
      <c r="C6447">
        <v>146.102191758999</v>
      </c>
      <c r="D6447">
        <v>-17.631537329</v>
      </c>
      <c r="E6447" s="92" t="str">
        <f t="shared" si="6"/>
        <v/>
      </c>
      <c r="F6447" t="str">
        <f>HYPERLINK("D:\Data From Lucan\2024\Moresby\Frames_for_Analysis/6444_20240611_0011_L_0114.jpg","6444_20240611_0011_L_0114.jpg")</f>
        <v>6444_20240611_0011_L_0114.jpg</v>
      </c>
      <c r="G6447" s="92" t="s">
        <v>6632</v>
      </c>
      <c r="I6447">
        <v>2</v>
      </c>
      <c r="K6447" s="97">
        <v>1</v>
      </c>
      <c r="P6447" s="57">
        <v>1</v>
      </c>
      <c r="Q6447" s="57">
        <v>0</v>
      </c>
      <c r="R6447" s="57">
        <v>0</v>
      </c>
      <c r="S6447" s="97">
        <v>0</v>
      </c>
      <c r="T6447" s="57">
        <v>0</v>
      </c>
      <c r="U6447" s="57">
        <v>0</v>
      </c>
      <c r="V6447" s="57">
        <v>0</v>
      </c>
      <c r="W6447" s="57">
        <v>0</v>
      </c>
      <c r="X6447" s="97">
        <v>0</v>
      </c>
    </row>
    <row r="6448" spans="1:24" x14ac:dyDescent="0.35">
      <c r="A6448">
        <v>6444</v>
      </c>
      <c r="B6448">
        <v>6445</v>
      </c>
      <c r="C6448">
        <v>146.10225212</v>
      </c>
      <c r="D6448">
        <v>-17.631600733700001</v>
      </c>
      <c r="E6448" s="92">
        <f t="shared" si="6"/>
        <v>50</v>
      </c>
      <c r="F6448" t="str">
        <f>HYPERLINK("D:\Data From Lucan\2024\Moresby\Frames_for_Analysis/6445_20240611_0011_L_0116.jpg","6445_20240611_0011_L_0116.jpg")</f>
        <v>6445_20240611_0011_L_0116.jpg</v>
      </c>
      <c r="G6448" s="92" t="s">
        <v>6633</v>
      </c>
      <c r="I6448">
        <v>2</v>
      </c>
      <c r="K6448" s="97">
        <v>1</v>
      </c>
      <c r="P6448" s="57">
        <v>1</v>
      </c>
      <c r="Q6448" s="57">
        <v>0</v>
      </c>
      <c r="R6448" s="57">
        <v>0</v>
      </c>
      <c r="S6448" s="97">
        <v>0</v>
      </c>
      <c r="T6448" s="57">
        <v>0</v>
      </c>
      <c r="U6448" s="57">
        <v>0</v>
      </c>
      <c r="V6448" s="57">
        <v>0</v>
      </c>
      <c r="W6448" s="57">
        <v>0</v>
      </c>
      <c r="X6448" s="97">
        <v>0</v>
      </c>
    </row>
    <row r="6449" spans="1:24" x14ac:dyDescent="0.35">
      <c r="A6449">
        <v>6445</v>
      </c>
      <c r="B6449">
        <v>6446</v>
      </c>
      <c r="C6449">
        <v>146.10231248100001</v>
      </c>
      <c r="D6449">
        <v>-17.631664138400001</v>
      </c>
      <c r="E6449" s="92" t="str">
        <f t="shared" si="6"/>
        <v/>
      </c>
      <c r="F6449" t="str">
        <f>HYPERLINK("D:\Data From Lucan\2024\Moresby\Frames_for_Analysis/6446_20240611_0011_L_0119.jpg","6446_20240611_0011_L_0119.jpg")</f>
        <v>6446_20240611_0011_L_0119.jpg</v>
      </c>
      <c r="G6449" s="92" t="s">
        <v>6634</v>
      </c>
      <c r="I6449">
        <v>2</v>
      </c>
      <c r="K6449" s="97">
        <v>1</v>
      </c>
      <c r="P6449" s="57">
        <v>1</v>
      </c>
      <c r="Q6449" s="57">
        <v>0</v>
      </c>
      <c r="R6449" s="57">
        <v>0</v>
      </c>
      <c r="S6449" s="97">
        <v>0</v>
      </c>
      <c r="T6449" s="57">
        <v>0</v>
      </c>
      <c r="U6449" s="57">
        <v>0</v>
      </c>
      <c r="V6449" s="57">
        <v>0</v>
      </c>
      <c r="W6449" s="57">
        <v>0</v>
      </c>
      <c r="X6449" s="97">
        <v>0</v>
      </c>
    </row>
    <row r="6450" spans="1:24" x14ac:dyDescent="0.35">
      <c r="A6450">
        <v>6446</v>
      </c>
      <c r="B6450">
        <v>6447</v>
      </c>
      <c r="C6450">
        <v>146.102372841999</v>
      </c>
      <c r="D6450">
        <v>-17.631727543099899</v>
      </c>
      <c r="E6450" s="92" t="str">
        <f t="shared" si="6"/>
        <v/>
      </c>
      <c r="F6450" t="str">
        <f>HYPERLINK("D:\Data From Lucan\2024\Moresby\Frames_for_Analysis/6447_20240611_0011_L_0122.jpg","6447_20240611_0011_L_0122.jpg")</f>
        <v>6447_20240611_0011_L_0122.jpg</v>
      </c>
      <c r="G6450" s="92" t="s">
        <v>6635</v>
      </c>
      <c r="I6450">
        <v>2</v>
      </c>
      <c r="K6450" s="97">
        <v>1</v>
      </c>
      <c r="P6450" s="57">
        <v>1</v>
      </c>
      <c r="Q6450" s="57">
        <v>0</v>
      </c>
      <c r="R6450" s="57">
        <v>0</v>
      </c>
      <c r="S6450" s="97">
        <v>0</v>
      </c>
      <c r="T6450" s="57">
        <v>0</v>
      </c>
      <c r="U6450" s="57">
        <v>0</v>
      </c>
      <c r="V6450" s="57">
        <v>0</v>
      </c>
      <c r="W6450" s="57">
        <v>0</v>
      </c>
      <c r="X6450" s="97">
        <v>0</v>
      </c>
    </row>
    <row r="6451" spans="1:24" x14ac:dyDescent="0.35">
      <c r="A6451">
        <v>6447</v>
      </c>
      <c r="B6451">
        <v>6448</v>
      </c>
      <c r="C6451">
        <v>146.102433203</v>
      </c>
      <c r="D6451">
        <v>-17.631790947700001</v>
      </c>
      <c r="E6451" s="92" t="str">
        <f t="shared" si="6"/>
        <v/>
      </c>
      <c r="F6451" t="str">
        <f>HYPERLINK("D:\Data From Lucan\2024\Moresby\Frames_for_Analysis/6448_20240611_0011_L_0124.jpg","6448_20240611_0011_L_0124.jpg")</f>
        <v>6448_20240611_0011_L_0124.jpg</v>
      </c>
      <c r="G6451" s="92" t="s">
        <v>6636</v>
      </c>
      <c r="I6451">
        <v>2</v>
      </c>
      <c r="K6451" s="97">
        <v>1</v>
      </c>
      <c r="P6451" s="57">
        <v>1</v>
      </c>
      <c r="Q6451" s="57">
        <v>0</v>
      </c>
      <c r="R6451" s="57">
        <v>0</v>
      </c>
      <c r="S6451" s="97">
        <v>0</v>
      </c>
      <c r="T6451" s="57">
        <v>0</v>
      </c>
      <c r="U6451" s="57">
        <v>0</v>
      </c>
      <c r="V6451" s="57">
        <v>0</v>
      </c>
      <c r="W6451" s="57">
        <v>0</v>
      </c>
      <c r="X6451" s="97">
        <v>0</v>
      </c>
    </row>
    <row r="6452" spans="1:24" x14ac:dyDescent="0.35">
      <c r="A6452">
        <v>6448</v>
      </c>
      <c r="B6452">
        <v>6449</v>
      </c>
      <c r="C6452">
        <v>146.102492705</v>
      </c>
      <c r="D6452">
        <v>-17.631855085200002</v>
      </c>
      <c r="E6452" s="92" t="str">
        <f t="shared" si="6"/>
        <v/>
      </c>
      <c r="F6452" t="str">
        <f>HYPERLINK("D:\Data From Lucan\2024\Moresby\Frames_for_Analysis/6449_20240611_0011_L_0127.jpg","6449_20240611_0011_L_0127.jpg")</f>
        <v>6449_20240611_0011_L_0127.jpg</v>
      </c>
      <c r="G6452" s="92" t="s">
        <v>6637</v>
      </c>
      <c r="I6452">
        <v>2</v>
      </c>
      <c r="K6452" s="97">
        <v>1</v>
      </c>
      <c r="P6452" s="57">
        <v>1</v>
      </c>
      <c r="Q6452" s="57">
        <v>0</v>
      </c>
      <c r="R6452" s="57">
        <v>0</v>
      </c>
      <c r="S6452" s="97">
        <v>0</v>
      </c>
      <c r="T6452" s="57">
        <v>0</v>
      </c>
      <c r="U6452" s="57">
        <v>0</v>
      </c>
      <c r="V6452" s="57">
        <v>0</v>
      </c>
      <c r="W6452" s="57">
        <v>0</v>
      </c>
      <c r="X6452" s="97">
        <v>0</v>
      </c>
    </row>
    <row r="6453" spans="1:24" x14ac:dyDescent="0.35">
      <c r="A6453">
        <v>6449</v>
      </c>
      <c r="B6453">
        <v>6450</v>
      </c>
      <c r="C6453">
        <v>146.10255215000001</v>
      </c>
      <c r="D6453">
        <v>-17.6319192710999</v>
      </c>
      <c r="E6453" s="92">
        <f t="shared" si="6"/>
        <v>50</v>
      </c>
      <c r="F6453" t="str">
        <f>HYPERLINK("D:\Data From Lucan\2024\Moresby\Frames_for_Analysis/6450_20240611_0011_L_0130.jpg","6450_20240611_0011_L_0130.jpg")</f>
        <v>6450_20240611_0011_L_0130.jpg</v>
      </c>
      <c r="G6453" s="92" t="s">
        <v>6638</v>
      </c>
      <c r="I6453">
        <v>2</v>
      </c>
      <c r="K6453" s="97">
        <v>1</v>
      </c>
      <c r="P6453" s="57">
        <v>1</v>
      </c>
      <c r="Q6453" s="57">
        <v>0</v>
      </c>
      <c r="R6453" s="57">
        <v>0</v>
      </c>
      <c r="S6453" s="97">
        <v>0</v>
      </c>
      <c r="T6453" s="57">
        <v>0</v>
      </c>
      <c r="U6453" s="57">
        <v>0</v>
      </c>
      <c r="V6453" s="57">
        <v>0</v>
      </c>
      <c r="W6453" s="57">
        <v>0</v>
      </c>
      <c r="X6453" s="97">
        <v>0</v>
      </c>
    </row>
    <row r="6454" spans="1:24" x14ac:dyDescent="0.35">
      <c r="A6454">
        <v>6450</v>
      </c>
      <c r="B6454">
        <v>6451</v>
      </c>
      <c r="C6454">
        <v>146.10261159500001</v>
      </c>
      <c r="D6454">
        <v>-17.631983457</v>
      </c>
      <c r="E6454" s="92" t="str">
        <f t="shared" si="6"/>
        <v/>
      </c>
      <c r="F6454" t="str">
        <f>HYPERLINK("D:\Data From Lucan\2024\Moresby\Frames_for_Analysis/6451_20240611_0011_L_0133.jpg","6451_20240611_0011_L_0133.jpg")</f>
        <v>6451_20240611_0011_L_0133.jpg</v>
      </c>
      <c r="G6454" s="92" t="s">
        <v>6639</v>
      </c>
      <c r="I6454">
        <v>2</v>
      </c>
      <c r="K6454" s="97">
        <v>1</v>
      </c>
      <c r="P6454" s="57">
        <v>1</v>
      </c>
      <c r="Q6454" s="57">
        <v>0</v>
      </c>
      <c r="R6454" s="57">
        <v>0</v>
      </c>
      <c r="S6454" s="97">
        <v>0</v>
      </c>
      <c r="T6454" s="57">
        <v>0</v>
      </c>
      <c r="U6454" s="57">
        <v>0</v>
      </c>
      <c r="V6454" s="57">
        <v>0</v>
      </c>
      <c r="W6454" s="57">
        <v>0</v>
      </c>
      <c r="X6454" s="97">
        <v>0</v>
      </c>
    </row>
    <row r="6455" spans="1:24" x14ac:dyDescent="0.35">
      <c r="A6455">
        <v>6451</v>
      </c>
      <c r="B6455">
        <v>6452</v>
      </c>
      <c r="C6455">
        <v>146.102671039999</v>
      </c>
      <c r="D6455">
        <v>-17.632047642900002</v>
      </c>
      <c r="E6455" s="92" t="str">
        <f t="shared" si="6"/>
        <v/>
      </c>
      <c r="F6455" t="str">
        <f>HYPERLINK("D:\Data From Lucan\2024\Moresby\Frames_for_Analysis/6452_20240611_0011_L_0136.jpg","6452_20240611_0011_L_0136.jpg")</f>
        <v>6452_20240611_0011_L_0136.jpg</v>
      </c>
      <c r="G6455" s="92" t="s">
        <v>6640</v>
      </c>
      <c r="I6455">
        <v>2</v>
      </c>
      <c r="K6455" s="97">
        <v>1</v>
      </c>
      <c r="P6455" s="57">
        <v>1</v>
      </c>
      <c r="Q6455" s="57">
        <v>0</v>
      </c>
      <c r="R6455" s="57">
        <v>0</v>
      </c>
      <c r="S6455" s="97">
        <v>0</v>
      </c>
      <c r="T6455" s="57">
        <v>0</v>
      </c>
      <c r="U6455" s="57">
        <v>0</v>
      </c>
      <c r="V6455" s="57">
        <v>0</v>
      </c>
      <c r="W6455" s="57">
        <v>0</v>
      </c>
      <c r="X6455" s="97">
        <v>0</v>
      </c>
    </row>
    <row r="6456" spans="1:24" x14ac:dyDescent="0.35">
      <c r="A6456">
        <v>6452</v>
      </c>
      <c r="B6456">
        <v>6453</v>
      </c>
      <c r="C6456">
        <v>146.102730484999</v>
      </c>
      <c r="D6456">
        <v>-17.6321118287999</v>
      </c>
      <c r="E6456" s="92" t="str">
        <f t="shared" si="6"/>
        <v/>
      </c>
      <c r="F6456" t="str">
        <f>HYPERLINK("D:\Data From Lucan\2024\Moresby\Frames_for_Analysis/6453_20240611_0011_L_0139.jpg","6453_20240611_0011_L_0139.jpg")</f>
        <v>6453_20240611_0011_L_0139.jpg</v>
      </c>
      <c r="G6456" s="92" t="s">
        <v>6641</v>
      </c>
      <c r="I6456">
        <v>2</v>
      </c>
      <c r="K6456" s="97">
        <v>1</v>
      </c>
      <c r="P6456" s="57">
        <v>1</v>
      </c>
      <c r="Q6456" s="57">
        <v>0</v>
      </c>
      <c r="R6456" s="57">
        <v>0</v>
      </c>
      <c r="S6456" s="97">
        <v>0</v>
      </c>
      <c r="T6456" s="57">
        <v>0</v>
      </c>
      <c r="U6456" s="57">
        <v>0</v>
      </c>
      <c r="V6456" s="57">
        <v>0</v>
      </c>
      <c r="W6456" s="57">
        <v>0</v>
      </c>
      <c r="X6456" s="97">
        <v>0</v>
      </c>
    </row>
    <row r="6457" spans="1:24" x14ac:dyDescent="0.35">
      <c r="A6457">
        <v>6453</v>
      </c>
      <c r="B6457">
        <v>6454</v>
      </c>
      <c r="C6457">
        <v>146.10278993</v>
      </c>
      <c r="D6457">
        <v>-17.632176014700001</v>
      </c>
      <c r="E6457" s="92" t="str">
        <f t="shared" si="6"/>
        <v/>
      </c>
      <c r="F6457" t="str">
        <f>HYPERLINK("D:\Data From Lucan\2024\Moresby\Frames_for_Analysis/6454_20240611_0011_L_0142.jpg","6454_20240611_0011_L_0142.jpg")</f>
        <v>6454_20240611_0011_L_0142.jpg</v>
      </c>
      <c r="G6457" s="92" t="s">
        <v>6642</v>
      </c>
      <c r="I6457">
        <v>2</v>
      </c>
      <c r="K6457" s="97">
        <v>1</v>
      </c>
      <c r="P6457" s="57">
        <v>1</v>
      </c>
      <c r="Q6457" s="57">
        <v>0</v>
      </c>
      <c r="R6457" s="57">
        <v>0</v>
      </c>
      <c r="S6457" s="97">
        <v>0</v>
      </c>
      <c r="T6457" s="57">
        <v>0</v>
      </c>
      <c r="U6457" s="57">
        <v>0</v>
      </c>
      <c r="V6457" s="57">
        <v>0</v>
      </c>
      <c r="W6457" s="57">
        <v>0</v>
      </c>
      <c r="X6457" s="97">
        <v>0</v>
      </c>
    </row>
    <row r="6458" spans="1:24" x14ac:dyDescent="0.35">
      <c r="A6458">
        <v>6454</v>
      </c>
      <c r="B6458">
        <v>6455</v>
      </c>
      <c r="C6458">
        <v>146.10284937500001</v>
      </c>
      <c r="D6458">
        <v>-17.6322402005</v>
      </c>
      <c r="E6458" s="92">
        <f t="shared" si="6"/>
        <v>50</v>
      </c>
      <c r="F6458" t="str">
        <f>HYPERLINK("D:\Data From Lucan\2024\Moresby\Frames_for_Analysis/6455_20240611_0011_L_0145.jpg","6455_20240611_0011_L_0145.jpg")</f>
        <v>6455_20240611_0011_L_0145.jpg</v>
      </c>
      <c r="G6458" s="92" t="s">
        <v>6643</v>
      </c>
      <c r="I6458">
        <v>2</v>
      </c>
      <c r="K6458" s="97">
        <v>1</v>
      </c>
      <c r="P6458" s="57">
        <v>1</v>
      </c>
      <c r="Q6458" s="57">
        <v>0</v>
      </c>
      <c r="R6458" s="57">
        <v>0</v>
      </c>
      <c r="S6458" s="97">
        <v>0</v>
      </c>
      <c r="T6458" s="57">
        <v>0</v>
      </c>
      <c r="U6458" s="57">
        <v>0</v>
      </c>
      <c r="V6458" s="57">
        <v>0</v>
      </c>
      <c r="W6458" s="57">
        <v>0</v>
      </c>
      <c r="X6458" s="97">
        <v>0</v>
      </c>
    </row>
    <row r="6459" spans="1:24" x14ac:dyDescent="0.35">
      <c r="A6459">
        <v>6455</v>
      </c>
      <c r="B6459">
        <v>6456</v>
      </c>
      <c r="C6459">
        <v>146.10290882000001</v>
      </c>
      <c r="D6459">
        <v>-17.6323043863</v>
      </c>
      <c r="E6459" s="92" t="str">
        <f t="shared" si="6"/>
        <v/>
      </c>
      <c r="F6459" t="str">
        <f>HYPERLINK("D:\Data From Lucan\2024\Moresby\Frames_for_Analysis/6456_20240611_0011_L_0147.jpg","6456_20240611_0011_L_0147.jpg")</f>
        <v>6456_20240611_0011_L_0147.jpg</v>
      </c>
      <c r="G6459" s="92" t="s">
        <v>6644</v>
      </c>
      <c r="I6459">
        <v>2</v>
      </c>
      <c r="K6459" s="97">
        <v>1</v>
      </c>
      <c r="P6459" s="57">
        <v>1</v>
      </c>
      <c r="Q6459" s="57">
        <v>0</v>
      </c>
      <c r="R6459" s="57">
        <v>0</v>
      </c>
      <c r="S6459" s="97">
        <v>0</v>
      </c>
      <c r="T6459" s="57">
        <v>0</v>
      </c>
      <c r="U6459" s="57">
        <v>0</v>
      </c>
      <c r="V6459" s="57">
        <v>0</v>
      </c>
      <c r="W6459" s="57">
        <v>0</v>
      </c>
      <c r="X6459" s="97">
        <v>0</v>
      </c>
    </row>
    <row r="6460" spans="1:24" x14ac:dyDescent="0.35">
      <c r="A6460">
        <v>6456</v>
      </c>
      <c r="B6460">
        <v>6457</v>
      </c>
      <c r="C6460">
        <v>146.102968263999</v>
      </c>
      <c r="D6460">
        <v>-17.632368571600001</v>
      </c>
      <c r="E6460" s="92" t="str">
        <f t="shared" si="6"/>
        <v/>
      </c>
      <c r="F6460" t="str">
        <f>HYPERLINK("D:\Data From Lucan\2024\Moresby\Frames_for_Analysis/6457_20240611_0011_L_0150.jpg","6457_20240611_0011_L_0150.jpg")</f>
        <v>6457_20240611_0011_L_0150.jpg</v>
      </c>
      <c r="G6460" s="92" t="s">
        <v>6645</v>
      </c>
      <c r="I6460">
        <v>2</v>
      </c>
      <c r="K6460" s="97">
        <v>1</v>
      </c>
      <c r="P6460" s="57">
        <v>1</v>
      </c>
      <c r="Q6460" s="57">
        <v>0</v>
      </c>
      <c r="R6460" s="57">
        <v>0</v>
      </c>
      <c r="S6460" s="97">
        <v>0</v>
      </c>
      <c r="T6460" s="57">
        <v>0</v>
      </c>
      <c r="U6460" s="57">
        <v>0</v>
      </c>
      <c r="V6460" s="57">
        <v>0</v>
      </c>
      <c r="W6460" s="57">
        <v>0</v>
      </c>
      <c r="X6460" s="97">
        <v>0</v>
      </c>
    </row>
    <row r="6461" spans="1:24" x14ac:dyDescent="0.35">
      <c r="A6461">
        <v>6457</v>
      </c>
      <c r="B6461">
        <v>6458</v>
      </c>
      <c r="C6461">
        <v>146.103034194999</v>
      </c>
      <c r="D6461">
        <v>-17.6324267211</v>
      </c>
      <c r="E6461" s="92" t="str">
        <f t="shared" si="6"/>
        <v/>
      </c>
      <c r="F6461" t="str">
        <f>HYPERLINK("D:\Data From Lucan\2024\Moresby\Frames_for_Analysis/6458_20240611_0011_L_0153.jpg","6458_20240611_0011_L_0153.jpg")</f>
        <v>6458_20240611_0011_L_0153.jpg</v>
      </c>
      <c r="G6461" s="92" t="s">
        <v>6646</v>
      </c>
      <c r="I6461">
        <v>2</v>
      </c>
      <c r="K6461" s="97">
        <v>1</v>
      </c>
      <c r="P6461" s="57">
        <v>1</v>
      </c>
      <c r="Q6461" s="57">
        <v>0</v>
      </c>
      <c r="R6461" s="57">
        <v>0</v>
      </c>
      <c r="S6461" s="97">
        <v>0</v>
      </c>
      <c r="T6461" s="57">
        <v>0</v>
      </c>
      <c r="U6461" s="57">
        <v>0</v>
      </c>
      <c r="V6461" s="57">
        <v>0</v>
      </c>
      <c r="W6461" s="57">
        <v>0</v>
      </c>
      <c r="X6461" s="97">
        <v>0</v>
      </c>
    </row>
    <row r="6462" spans="1:24" x14ac:dyDescent="0.35">
      <c r="A6462">
        <v>6458</v>
      </c>
      <c r="B6462">
        <v>6459</v>
      </c>
      <c r="C6462">
        <v>146.103100124999</v>
      </c>
      <c r="D6462">
        <v>-17.6324848701999</v>
      </c>
      <c r="E6462" s="92" t="str">
        <f t="shared" si="6"/>
        <v/>
      </c>
      <c r="F6462" t="str">
        <f>HYPERLINK("D:\Data From Lucan\2024\Moresby\Frames_for_Analysis/6459_20240611_0011_L_0156.jpg","6459_20240611_0011_L_0156.jpg")</f>
        <v>6459_20240611_0011_L_0156.jpg</v>
      </c>
      <c r="G6462" s="92" t="s">
        <v>6647</v>
      </c>
      <c r="I6462">
        <v>2</v>
      </c>
      <c r="K6462" s="97">
        <v>1</v>
      </c>
      <c r="P6462" s="57">
        <v>1</v>
      </c>
      <c r="Q6462" s="57">
        <v>0</v>
      </c>
      <c r="R6462" s="57">
        <v>0</v>
      </c>
      <c r="S6462" s="97">
        <v>0</v>
      </c>
      <c r="T6462" s="57">
        <v>0</v>
      </c>
      <c r="U6462" s="57">
        <v>0</v>
      </c>
      <c r="V6462" s="57">
        <v>0</v>
      </c>
      <c r="W6462" s="57">
        <v>0</v>
      </c>
      <c r="X6462" s="97">
        <v>0</v>
      </c>
    </row>
    <row r="6463" spans="1:24" x14ac:dyDescent="0.35">
      <c r="A6463">
        <v>6459</v>
      </c>
      <c r="B6463">
        <v>6460</v>
      </c>
      <c r="C6463">
        <v>146.103166055</v>
      </c>
      <c r="D6463">
        <v>-17.6325430192</v>
      </c>
      <c r="E6463" s="92">
        <f t="shared" si="6"/>
        <v>50</v>
      </c>
      <c r="F6463" t="str">
        <f>HYPERLINK("D:\Data From Lucan\2024\Moresby\Frames_for_Analysis/6460_20240611_0011_L_0159.jpg","6460_20240611_0011_L_0159.jpg")</f>
        <v>6460_20240611_0011_L_0159.jpg</v>
      </c>
      <c r="G6463" s="92" t="s">
        <v>6648</v>
      </c>
      <c r="I6463">
        <v>2</v>
      </c>
      <c r="K6463" s="97">
        <v>1</v>
      </c>
      <c r="P6463" s="57">
        <v>1</v>
      </c>
      <c r="Q6463" s="57">
        <v>0</v>
      </c>
      <c r="R6463" s="57">
        <v>0</v>
      </c>
      <c r="S6463" s="97">
        <v>0</v>
      </c>
      <c r="T6463" s="57">
        <v>0</v>
      </c>
      <c r="U6463" s="57">
        <v>0</v>
      </c>
      <c r="V6463" s="57">
        <v>0</v>
      </c>
      <c r="W6463" s="57">
        <v>0</v>
      </c>
      <c r="X6463" s="97">
        <v>0</v>
      </c>
    </row>
    <row r="6464" spans="1:24" x14ac:dyDescent="0.35">
      <c r="A6464">
        <v>6460</v>
      </c>
      <c r="B6464">
        <v>6461</v>
      </c>
      <c r="C6464">
        <v>146.10323198500001</v>
      </c>
      <c r="D6464">
        <v>-17.6326011682999</v>
      </c>
      <c r="E6464" s="92" t="str">
        <f t="shared" si="6"/>
        <v/>
      </c>
      <c r="F6464" t="str">
        <f>HYPERLINK("D:\Data From Lucan\2024\Moresby\Frames_for_Analysis/6461_20240611_0011_L_0162.jpg","6461_20240611_0011_L_0162.jpg")</f>
        <v>6461_20240611_0011_L_0162.jpg</v>
      </c>
      <c r="G6464" s="92" t="s">
        <v>6649</v>
      </c>
      <c r="I6464">
        <v>2</v>
      </c>
      <c r="K6464" s="97">
        <v>1</v>
      </c>
      <c r="P6464" s="57">
        <v>1</v>
      </c>
      <c r="Q6464" s="57">
        <v>0</v>
      </c>
      <c r="R6464" s="57">
        <v>0</v>
      </c>
      <c r="S6464" s="97">
        <v>0</v>
      </c>
      <c r="T6464" s="57">
        <v>0</v>
      </c>
      <c r="U6464" s="57">
        <v>0</v>
      </c>
      <c r="V6464" s="57">
        <v>0</v>
      </c>
      <c r="W6464" s="57">
        <v>0</v>
      </c>
      <c r="X6464" s="97">
        <v>0</v>
      </c>
    </row>
    <row r="6465" spans="1:24" x14ac:dyDescent="0.35">
      <c r="A6465">
        <v>6461</v>
      </c>
      <c r="B6465">
        <v>6462</v>
      </c>
      <c r="C6465">
        <v>146.103292267</v>
      </c>
      <c r="D6465">
        <v>-17.632663893899899</v>
      </c>
      <c r="E6465" s="92" t="str">
        <f t="shared" si="6"/>
        <v/>
      </c>
      <c r="F6465" t="str">
        <f>HYPERLINK("D:\Data From Lucan\2024\Moresby\Frames_for_Analysis/6462_20240611_0011_L_0165.jpg","6462_20240611_0011_L_0165.jpg")</f>
        <v>6462_20240611_0011_L_0165.jpg</v>
      </c>
      <c r="G6465" s="92" t="s">
        <v>6650</v>
      </c>
      <c r="I6465">
        <v>2</v>
      </c>
      <c r="K6465" s="97">
        <v>1</v>
      </c>
      <c r="P6465" s="57">
        <v>1</v>
      </c>
      <c r="Q6465" s="57">
        <v>0</v>
      </c>
      <c r="R6465" s="57">
        <v>0</v>
      </c>
      <c r="S6465" s="97">
        <v>0</v>
      </c>
      <c r="T6465" s="57">
        <v>0</v>
      </c>
      <c r="U6465" s="57">
        <v>0</v>
      </c>
      <c r="V6465" s="57">
        <v>0</v>
      </c>
      <c r="W6465" s="57">
        <v>0</v>
      </c>
      <c r="X6465" s="97">
        <v>0</v>
      </c>
    </row>
    <row r="6466" spans="1:24" x14ac:dyDescent="0.35">
      <c r="A6466">
        <v>6462</v>
      </c>
      <c r="B6466">
        <v>6463</v>
      </c>
      <c r="C6466">
        <v>146.10334188300001</v>
      </c>
      <c r="D6466">
        <v>-17.632735262099899</v>
      </c>
      <c r="E6466" s="92" t="str">
        <f t="shared" si="6"/>
        <v/>
      </c>
      <c r="F6466" t="str">
        <f>HYPERLINK("D:\Data From Lucan\2024\Moresby\Frames_for_Analysis/6463_20240611_0011_L_0168.jpg","6463_20240611_0011_L_0168.jpg")</f>
        <v>6463_20240611_0011_L_0168.jpg</v>
      </c>
      <c r="G6466" s="92" t="s">
        <v>6651</v>
      </c>
      <c r="I6466">
        <v>2</v>
      </c>
      <c r="K6466" s="97">
        <v>1</v>
      </c>
      <c r="P6466" s="57">
        <v>1</v>
      </c>
      <c r="Q6466" s="57">
        <v>0</v>
      </c>
      <c r="R6466" s="57">
        <v>0</v>
      </c>
      <c r="S6466" s="97">
        <v>0</v>
      </c>
      <c r="T6466" s="57">
        <v>0</v>
      </c>
      <c r="U6466" s="57">
        <v>0</v>
      </c>
      <c r="V6466" s="57">
        <v>0</v>
      </c>
      <c r="W6466" s="57">
        <v>0</v>
      </c>
      <c r="X6466" s="97">
        <v>0</v>
      </c>
    </row>
    <row r="6467" spans="1:24" x14ac:dyDescent="0.35">
      <c r="A6467">
        <v>6463</v>
      </c>
      <c r="B6467">
        <v>6464</v>
      </c>
      <c r="C6467">
        <v>146.103391498999</v>
      </c>
      <c r="D6467">
        <v>-17.632806630200001</v>
      </c>
      <c r="E6467" s="92" t="str">
        <f t="shared" si="6"/>
        <v/>
      </c>
      <c r="F6467" t="str">
        <f>HYPERLINK("D:\Data From Lucan\2024\Moresby\Frames_for_Analysis/6464_20240611_0011_L_0171.jpg","6464_20240611_0011_L_0171.jpg")</f>
        <v>6464_20240611_0011_L_0171.jpg</v>
      </c>
      <c r="G6467" s="92" t="s">
        <v>6652</v>
      </c>
      <c r="I6467">
        <v>2</v>
      </c>
      <c r="K6467" s="97">
        <v>1</v>
      </c>
      <c r="P6467" s="57">
        <v>1</v>
      </c>
      <c r="Q6467" s="57">
        <v>0</v>
      </c>
      <c r="R6467" s="57">
        <v>0</v>
      </c>
      <c r="S6467" s="97">
        <v>0</v>
      </c>
      <c r="T6467" s="57">
        <v>0</v>
      </c>
      <c r="U6467" s="57">
        <v>0</v>
      </c>
      <c r="V6467" s="57">
        <v>0</v>
      </c>
      <c r="W6467" s="57">
        <v>0</v>
      </c>
      <c r="X6467" s="97">
        <v>0</v>
      </c>
    </row>
    <row r="6468" spans="1:24" x14ac:dyDescent="0.35">
      <c r="A6468">
        <v>6464</v>
      </c>
      <c r="B6468">
        <v>6465</v>
      </c>
      <c r="C6468">
        <v>146.103441113999</v>
      </c>
      <c r="D6468">
        <v>-17.632877998400001</v>
      </c>
      <c r="E6468" s="92">
        <f t="shared" si="6"/>
        <v>50</v>
      </c>
      <c r="F6468" t="str">
        <f>HYPERLINK("D:\Data From Lucan\2024\Moresby\Frames_for_Analysis/6465_20240611_0011_L_0173.jpg","6465_20240611_0011_L_0173.jpg")</f>
        <v>6465_20240611_0011_L_0173.jpg</v>
      </c>
      <c r="G6468" s="92" t="s">
        <v>6653</v>
      </c>
      <c r="I6468">
        <v>2</v>
      </c>
      <c r="K6468" s="97">
        <v>1</v>
      </c>
      <c r="P6468" s="57">
        <v>1</v>
      </c>
      <c r="Q6468" s="57">
        <v>0</v>
      </c>
      <c r="R6468" s="57">
        <v>0</v>
      </c>
      <c r="S6468" s="97">
        <v>0</v>
      </c>
      <c r="T6468" s="57">
        <v>0</v>
      </c>
      <c r="U6468" s="57">
        <v>0</v>
      </c>
      <c r="V6468" s="57">
        <v>0</v>
      </c>
      <c r="W6468" s="57">
        <v>0</v>
      </c>
      <c r="X6468" s="97">
        <v>0</v>
      </c>
    </row>
    <row r="6469" spans="1:24" x14ac:dyDescent="0.35">
      <c r="A6469">
        <v>6465</v>
      </c>
      <c r="B6469">
        <v>6466</v>
      </c>
      <c r="C6469">
        <v>146.10349073</v>
      </c>
      <c r="D6469">
        <v>-17.6329493665</v>
      </c>
      <c r="E6469" s="92" t="str">
        <f t="shared" si="6"/>
        <v/>
      </c>
      <c r="F6469" t="str">
        <f>HYPERLINK("D:\Data From Lucan\2024\Moresby\Frames_for_Analysis/6466_20240611_0011_L_0176.jpg","6466_20240611_0011_L_0176.jpg")</f>
        <v>6466_20240611_0011_L_0176.jpg</v>
      </c>
      <c r="G6469" s="92" t="s">
        <v>6654</v>
      </c>
      <c r="I6469">
        <v>2</v>
      </c>
      <c r="K6469" s="97">
        <v>1</v>
      </c>
      <c r="P6469" s="57">
        <v>1</v>
      </c>
      <c r="Q6469" s="57">
        <v>0</v>
      </c>
      <c r="R6469" s="57">
        <v>0</v>
      </c>
      <c r="S6469" s="97">
        <v>0</v>
      </c>
      <c r="T6469" s="57">
        <v>0</v>
      </c>
      <c r="U6469" s="57">
        <v>0</v>
      </c>
      <c r="V6469" s="57">
        <v>0</v>
      </c>
      <c r="W6469" s="57">
        <v>0</v>
      </c>
      <c r="X6469" s="97">
        <v>0</v>
      </c>
    </row>
    <row r="6470" spans="1:24" x14ac:dyDescent="0.35">
      <c r="A6470">
        <v>6466</v>
      </c>
      <c r="B6470">
        <v>6467</v>
      </c>
      <c r="C6470">
        <v>146.103548235999</v>
      </c>
      <c r="D6470">
        <v>-17.633014990500001</v>
      </c>
      <c r="E6470" s="92" t="str">
        <f t="shared" si="6"/>
        <v/>
      </c>
      <c r="F6470" t="str">
        <f>HYPERLINK("D:\Data From Lucan\2024\Moresby\Frames_for_Analysis/6467_20240611_0011_L_0179.jpg","6467_20240611_0011_L_0179.jpg")</f>
        <v>6467_20240611_0011_L_0179.jpg</v>
      </c>
      <c r="G6470" s="92" t="s">
        <v>6655</v>
      </c>
      <c r="I6470">
        <v>2</v>
      </c>
      <c r="K6470" s="97">
        <v>1</v>
      </c>
      <c r="P6470" s="57">
        <v>1</v>
      </c>
      <c r="Q6470" s="57">
        <v>0</v>
      </c>
      <c r="R6470" s="57">
        <v>0</v>
      </c>
      <c r="S6470" s="97">
        <v>0</v>
      </c>
      <c r="T6470" s="57">
        <v>0</v>
      </c>
      <c r="U6470" s="57">
        <v>0</v>
      </c>
      <c r="V6470" s="57">
        <v>0</v>
      </c>
      <c r="W6470" s="57">
        <v>0</v>
      </c>
      <c r="X6470" s="97">
        <v>0</v>
      </c>
    </row>
    <row r="6471" spans="1:24" x14ac:dyDescent="0.35">
      <c r="A6471">
        <v>6467</v>
      </c>
      <c r="B6471">
        <v>6468</v>
      </c>
      <c r="C6471">
        <v>146.10360743300001</v>
      </c>
      <c r="D6471">
        <v>-17.633079384399899</v>
      </c>
      <c r="E6471" s="92" t="str">
        <f t="shared" si="6"/>
        <v/>
      </c>
      <c r="F6471" t="str">
        <f>HYPERLINK("D:\Data From Lucan\2024\Moresby\Frames_for_Analysis/6468_20240611_0011_L_0182.jpg","6468_20240611_0011_L_0182.jpg")</f>
        <v>6468_20240611_0011_L_0182.jpg</v>
      </c>
      <c r="G6471" s="92" t="s">
        <v>6656</v>
      </c>
      <c r="I6471">
        <v>2</v>
      </c>
      <c r="K6471" s="97">
        <v>1</v>
      </c>
      <c r="P6471" s="57">
        <v>1</v>
      </c>
      <c r="Q6471" s="57">
        <v>0</v>
      </c>
      <c r="R6471" s="57">
        <v>0</v>
      </c>
      <c r="S6471" s="97">
        <v>0</v>
      </c>
      <c r="T6471" s="57">
        <v>0</v>
      </c>
      <c r="U6471" s="57">
        <v>0</v>
      </c>
      <c r="V6471" s="57">
        <v>0</v>
      </c>
      <c r="W6471" s="57">
        <v>0</v>
      </c>
      <c r="X6471" s="97">
        <v>0</v>
      </c>
    </row>
    <row r="6472" spans="1:24" x14ac:dyDescent="0.35">
      <c r="A6472">
        <v>6468</v>
      </c>
      <c r="B6472">
        <v>6469</v>
      </c>
      <c r="C6472">
        <v>146.103666629</v>
      </c>
      <c r="D6472">
        <v>-17.6331437782999</v>
      </c>
      <c r="E6472" s="92" t="str">
        <f t="shared" si="6"/>
        <v/>
      </c>
      <c r="F6472" t="str">
        <f>HYPERLINK("D:\Data From Lucan\2024\Moresby\Frames_for_Analysis/6469_20240611_0011_L_0185.jpg","6469_20240611_0011_L_0185.jpg")</f>
        <v>6469_20240611_0011_L_0185.jpg</v>
      </c>
      <c r="G6472" s="92" t="s">
        <v>6657</v>
      </c>
      <c r="I6472">
        <v>2</v>
      </c>
      <c r="K6472" s="97">
        <v>1</v>
      </c>
      <c r="P6472" s="57">
        <v>1</v>
      </c>
      <c r="Q6472" s="57">
        <v>0</v>
      </c>
      <c r="R6472" s="57">
        <v>0</v>
      </c>
      <c r="S6472" s="97">
        <v>0</v>
      </c>
      <c r="T6472" s="57">
        <v>0</v>
      </c>
      <c r="U6472" s="57">
        <v>0</v>
      </c>
      <c r="V6472" s="57">
        <v>0</v>
      </c>
      <c r="W6472" s="57">
        <v>0</v>
      </c>
      <c r="X6472" s="97">
        <v>0</v>
      </c>
    </row>
    <row r="6473" spans="1:24" x14ac:dyDescent="0.35">
      <c r="A6473">
        <v>6469</v>
      </c>
      <c r="B6473">
        <v>6470</v>
      </c>
      <c r="C6473">
        <v>146.103725824999</v>
      </c>
      <c r="D6473">
        <v>-17.633208172100002</v>
      </c>
      <c r="E6473" s="92">
        <f t="shared" si="6"/>
        <v>50</v>
      </c>
      <c r="F6473" t="str">
        <f>HYPERLINK("D:\Data From Lucan\2024\Moresby\Frames_for_Analysis/6470_20240611_0011_L_0188.jpg","6470_20240611_0011_L_0188.jpg")</f>
        <v>6470_20240611_0011_L_0188.jpg</v>
      </c>
      <c r="G6473" s="92" t="s">
        <v>6658</v>
      </c>
      <c r="I6473">
        <v>2</v>
      </c>
      <c r="K6473" s="97">
        <v>1</v>
      </c>
      <c r="P6473" s="57">
        <v>1</v>
      </c>
      <c r="Q6473" s="57">
        <v>0</v>
      </c>
      <c r="R6473" s="57">
        <v>0</v>
      </c>
      <c r="S6473" s="97">
        <v>0</v>
      </c>
      <c r="T6473" s="57">
        <v>0</v>
      </c>
      <c r="U6473" s="57">
        <v>0</v>
      </c>
      <c r="V6473" s="57">
        <v>0</v>
      </c>
      <c r="W6473" s="57">
        <v>0</v>
      </c>
      <c r="X6473" s="97">
        <v>0</v>
      </c>
    </row>
    <row r="6474" spans="1:24" x14ac:dyDescent="0.35">
      <c r="A6474">
        <v>6470</v>
      </c>
      <c r="B6474">
        <v>6471</v>
      </c>
      <c r="C6474">
        <v>146.10378502200001</v>
      </c>
      <c r="D6474">
        <v>-17.6332725659</v>
      </c>
      <c r="E6474" s="92" t="str">
        <f t="shared" si="6"/>
        <v/>
      </c>
      <c r="F6474" t="str">
        <f>HYPERLINK("D:\Data From Lucan\2024\Moresby\Frames_for_Analysis/6471_20240611_0011_L_0191.jpg","6471_20240611_0011_L_0191.jpg")</f>
        <v>6471_20240611_0011_L_0191.jpg</v>
      </c>
      <c r="G6474" s="92" t="s">
        <v>6659</v>
      </c>
      <c r="I6474">
        <v>2</v>
      </c>
      <c r="K6474" s="97">
        <v>1</v>
      </c>
      <c r="P6474" s="57">
        <v>1</v>
      </c>
      <c r="Q6474" s="57">
        <v>0</v>
      </c>
      <c r="R6474" s="57">
        <v>0</v>
      </c>
      <c r="S6474" s="97">
        <v>0</v>
      </c>
      <c r="T6474" s="57">
        <v>0</v>
      </c>
      <c r="U6474" s="57">
        <v>0</v>
      </c>
      <c r="V6474" s="57">
        <v>0</v>
      </c>
      <c r="W6474" s="57">
        <v>0</v>
      </c>
      <c r="X6474" s="97">
        <v>0</v>
      </c>
    </row>
    <row r="6475" spans="1:24" x14ac:dyDescent="0.35">
      <c r="A6475">
        <v>6471</v>
      </c>
      <c r="B6475">
        <v>6472</v>
      </c>
      <c r="C6475">
        <v>146.10384421800001</v>
      </c>
      <c r="D6475">
        <v>-17.6333369596999</v>
      </c>
      <c r="E6475" s="92" t="str">
        <f t="shared" si="6"/>
        <v/>
      </c>
      <c r="F6475" t="str">
        <f>HYPERLINK("D:\Data From Lucan\2024\Moresby\Frames_for_Analysis/6472_20240611_0011_L_0194.jpg","6472_20240611_0011_L_0194.jpg")</f>
        <v>6472_20240611_0011_L_0194.jpg</v>
      </c>
      <c r="G6475" s="92" t="s">
        <v>6660</v>
      </c>
      <c r="I6475">
        <v>2</v>
      </c>
      <c r="K6475" s="97">
        <v>1</v>
      </c>
      <c r="P6475" s="57">
        <v>1</v>
      </c>
      <c r="Q6475" s="57">
        <v>0</v>
      </c>
      <c r="R6475" s="57">
        <v>0</v>
      </c>
      <c r="S6475" s="97">
        <v>0</v>
      </c>
      <c r="T6475" s="57">
        <v>0</v>
      </c>
      <c r="U6475" s="57">
        <v>0</v>
      </c>
      <c r="V6475" s="57">
        <v>0</v>
      </c>
      <c r="W6475" s="57">
        <v>0</v>
      </c>
      <c r="X6475" s="97">
        <v>0</v>
      </c>
    </row>
    <row r="6476" spans="1:24" x14ac:dyDescent="0.35">
      <c r="A6476">
        <v>6472</v>
      </c>
      <c r="B6476">
        <v>6473</v>
      </c>
      <c r="C6476">
        <v>146.103903414</v>
      </c>
      <c r="D6476">
        <v>-17.633401353499899</v>
      </c>
      <c r="E6476" s="92" t="str">
        <f t="shared" si="6"/>
        <v/>
      </c>
      <c r="F6476" t="str">
        <f>HYPERLINK("D:\Data From Lucan\2024\Moresby\Frames_for_Analysis/6473_20240611_0011_L_0197.jpg","6473_20240611_0011_L_0197.jpg")</f>
        <v>6473_20240611_0011_L_0197.jpg</v>
      </c>
      <c r="G6476" s="92" t="s">
        <v>6661</v>
      </c>
      <c r="I6476">
        <v>2</v>
      </c>
      <c r="K6476" s="97">
        <v>1</v>
      </c>
      <c r="P6476" s="57">
        <v>1</v>
      </c>
      <c r="Q6476" s="57">
        <v>0</v>
      </c>
      <c r="R6476" s="57">
        <v>0</v>
      </c>
      <c r="S6476" s="97">
        <v>0</v>
      </c>
      <c r="T6476" s="57">
        <v>0</v>
      </c>
      <c r="U6476" s="57">
        <v>0</v>
      </c>
      <c r="V6476" s="57">
        <v>0</v>
      </c>
      <c r="W6476" s="57">
        <v>0</v>
      </c>
      <c r="X6476" s="97">
        <v>0</v>
      </c>
    </row>
    <row r="6477" spans="1:24" x14ac:dyDescent="0.35">
      <c r="A6477">
        <v>6473</v>
      </c>
      <c r="B6477">
        <v>6474</v>
      </c>
      <c r="C6477">
        <v>146.103962609999</v>
      </c>
      <c r="D6477">
        <v>-17.633465747199899</v>
      </c>
      <c r="E6477" s="92" t="str">
        <f t="shared" si="6"/>
        <v/>
      </c>
      <c r="F6477" t="str">
        <f>HYPERLINK("D:\Data From Lucan\2024\Moresby\Frames_for_Analysis/6474_20240611_0011_L_0200.jpg","6474_20240611_0011_L_0200.jpg")</f>
        <v>6474_20240611_0011_L_0200.jpg</v>
      </c>
      <c r="G6477" s="92" t="s">
        <v>6662</v>
      </c>
      <c r="I6477">
        <v>2</v>
      </c>
      <c r="K6477" s="97">
        <v>1</v>
      </c>
      <c r="P6477" s="57">
        <v>1</v>
      </c>
      <c r="Q6477" s="57">
        <v>0</v>
      </c>
      <c r="R6477" s="57">
        <v>0</v>
      </c>
      <c r="S6477" s="97">
        <v>0</v>
      </c>
      <c r="T6477" s="57">
        <v>0</v>
      </c>
      <c r="U6477" s="57">
        <v>0</v>
      </c>
      <c r="V6477" s="57">
        <v>0</v>
      </c>
      <c r="W6477" s="57">
        <v>0</v>
      </c>
      <c r="X6477" s="97">
        <v>0</v>
      </c>
    </row>
    <row r="6478" spans="1:24" x14ac:dyDescent="0.35">
      <c r="A6478">
        <v>6474</v>
      </c>
      <c r="B6478">
        <v>6475</v>
      </c>
      <c r="C6478">
        <v>146.10402180700001</v>
      </c>
      <c r="D6478">
        <v>-17.6335301409</v>
      </c>
      <c r="E6478" s="92">
        <f t="shared" si="6"/>
        <v>50</v>
      </c>
      <c r="F6478" t="str">
        <f>HYPERLINK("D:\Data From Lucan\2024\Moresby\Frames_for_Analysis/6475_20240611_0011_L_0203.jpg","6475_20240611_0011_L_0203.jpg")</f>
        <v>6475_20240611_0011_L_0203.jpg</v>
      </c>
      <c r="G6478" s="92" t="s">
        <v>6663</v>
      </c>
      <c r="I6478">
        <v>2</v>
      </c>
      <c r="K6478" s="97">
        <v>1</v>
      </c>
      <c r="P6478" s="57">
        <v>1</v>
      </c>
      <c r="Q6478" s="57">
        <v>0</v>
      </c>
      <c r="R6478" s="57">
        <v>0</v>
      </c>
      <c r="S6478" s="97">
        <v>0</v>
      </c>
      <c r="T6478" s="57">
        <v>0</v>
      </c>
      <c r="U6478" s="57">
        <v>0</v>
      </c>
      <c r="V6478" s="57">
        <v>0</v>
      </c>
      <c r="W6478" s="57">
        <v>0</v>
      </c>
      <c r="X6478" s="97">
        <v>0</v>
      </c>
    </row>
    <row r="6479" spans="1:24" x14ac:dyDescent="0.35">
      <c r="A6479">
        <v>6475</v>
      </c>
      <c r="B6479">
        <v>6476</v>
      </c>
      <c r="C6479">
        <v>146.104081003</v>
      </c>
      <c r="D6479">
        <v>-17.6335945346</v>
      </c>
      <c r="E6479" s="92" t="str">
        <f t="shared" si="6"/>
        <v/>
      </c>
      <c r="F6479" t="str">
        <f>HYPERLINK("D:\Data From Lucan\2024\Moresby\Frames_for_Analysis/6476_20240611_0011_L_0205.jpg","6476_20240611_0011_L_0205.jpg")</f>
        <v>6476_20240611_0011_L_0205.jpg</v>
      </c>
      <c r="G6479" s="92" t="s">
        <v>6664</v>
      </c>
      <c r="I6479">
        <v>2</v>
      </c>
      <c r="K6479" s="97">
        <v>1</v>
      </c>
      <c r="P6479" s="57">
        <v>1</v>
      </c>
      <c r="Q6479" s="57">
        <v>0</v>
      </c>
      <c r="R6479" s="57">
        <v>0</v>
      </c>
      <c r="S6479" s="97">
        <v>0</v>
      </c>
      <c r="T6479" s="57">
        <v>0</v>
      </c>
      <c r="U6479" s="57">
        <v>0</v>
      </c>
      <c r="V6479" s="57">
        <v>0</v>
      </c>
      <c r="W6479" s="57">
        <v>0</v>
      </c>
      <c r="X6479" s="97">
        <v>0</v>
      </c>
    </row>
    <row r="6480" spans="1:24" x14ac:dyDescent="0.35">
      <c r="A6480">
        <v>6476</v>
      </c>
      <c r="B6480">
        <v>6477</v>
      </c>
      <c r="C6480">
        <v>146.104140199</v>
      </c>
      <c r="D6480">
        <v>-17.633658928300001</v>
      </c>
      <c r="E6480" s="92" t="str">
        <f t="shared" ref="E6480:E6543" si="7">IF(MOD(B6480,5)=0, 50, "")</f>
        <v/>
      </c>
      <c r="F6480" t="str">
        <f>HYPERLINK("D:\Data From Lucan\2024\Moresby\Frames_for_Analysis/6477_20240611_0011_L_0208.jpg","6477_20240611_0011_L_0208.jpg")</f>
        <v>6477_20240611_0011_L_0208.jpg</v>
      </c>
      <c r="G6480" s="92" t="s">
        <v>6665</v>
      </c>
      <c r="I6480">
        <v>2</v>
      </c>
      <c r="K6480" s="97">
        <v>1</v>
      </c>
      <c r="P6480" s="57">
        <v>1</v>
      </c>
      <c r="Q6480" s="57">
        <v>0</v>
      </c>
      <c r="R6480" s="57">
        <v>0</v>
      </c>
      <c r="S6480" s="97">
        <v>0</v>
      </c>
      <c r="T6480" s="57">
        <v>0</v>
      </c>
      <c r="U6480" s="57">
        <v>0</v>
      </c>
      <c r="V6480" s="57">
        <v>0</v>
      </c>
      <c r="W6480" s="57">
        <v>0</v>
      </c>
      <c r="X6480" s="97">
        <v>0</v>
      </c>
    </row>
    <row r="6481" spans="1:24" x14ac:dyDescent="0.35">
      <c r="A6481">
        <v>6477</v>
      </c>
      <c r="B6481">
        <v>6478</v>
      </c>
      <c r="C6481">
        <v>146.104200923999</v>
      </c>
      <c r="D6481">
        <v>-17.633722000399899</v>
      </c>
      <c r="E6481" s="92" t="str">
        <f t="shared" si="7"/>
        <v/>
      </c>
      <c r="F6481" t="str">
        <f>HYPERLINK("D:\Data From Lucan\2024\Moresby\Frames_for_Analysis/6478_20240611_0011_L_0211.jpg","6478_20240611_0011_L_0211.jpg")</f>
        <v>6478_20240611_0011_L_0211.jpg</v>
      </c>
      <c r="G6481" s="92" t="s">
        <v>6666</v>
      </c>
      <c r="I6481">
        <v>2</v>
      </c>
      <c r="K6481" s="97">
        <v>1</v>
      </c>
      <c r="P6481" s="57">
        <v>1</v>
      </c>
      <c r="Q6481" s="57">
        <v>0</v>
      </c>
      <c r="R6481" s="57">
        <v>0</v>
      </c>
      <c r="S6481" s="97">
        <v>0</v>
      </c>
      <c r="T6481" s="57">
        <v>0</v>
      </c>
      <c r="U6481" s="57">
        <v>0</v>
      </c>
      <c r="V6481" s="57">
        <v>0</v>
      </c>
      <c r="W6481" s="57">
        <v>0</v>
      </c>
      <c r="X6481" s="97">
        <v>0</v>
      </c>
    </row>
    <row r="6482" spans="1:24" x14ac:dyDescent="0.35">
      <c r="A6482">
        <v>6478</v>
      </c>
      <c r="B6482">
        <v>6479</v>
      </c>
      <c r="C6482">
        <v>146.10426242899899</v>
      </c>
      <c r="D6482">
        <v>-17.6337843982</v>
      </c>
      <c r="E6482" s="92" t="str">
        <f t="shared" si="7"/>
        <v/>
      </c>
      <c r="F6482" t="str">
        <f>HYPERLINK("D:\Data From Lucan\2024\Moresby\Frames_for_Analysis/6479_20240611_0011_L_0214.jpg","6479_20240611_0011_L_0214.jpg")</f>
        <v>6479_20240611_0011_L_0214.jpg</v>
      </c>
      <c r="G6482" s="92" t="s">
        <v>6667</v>
      </c>
      <c r="I6482">
        <v>2</v>
      </c>
      <c r="K6482" s="97">
        <v>1</v>
      </c>
      <c r="P6482" s="57">
        <v>1</v>
      </c>
      <c r="Q6482" s="57">
        <v>0</v>
      </c>
      <c r="R6482" s="57">
        <v>0</v>
      </c>
      <c r="S6482" s="97">
        <v>0</v>
      </c>
      <c r="T6482" s="57">
        <v>0</v>
      </c>
      <c r="U6482" s="57">
        <v>0</v>
      </c>
      <c r="V6482" s="57">
        <v>0</v>
      </c>
      <c r="W6482" s="57">
        <v>0</v>
      </c>
      <c r="X6482" s="97">
        <v>0</v>
      </c>
    </row>
    <row r="6483" spans="1:24" x14ac:dyDescent="0.35">
      <c r="A6483">
        <v>6479</v>
      </c>
      <c r="B6483">
        <v>6480</v>
      </c>
      <c r="C6483">
        <v>146.10432393299899</v>
      </c>
      <c r="D6483">
        <v>-17.633846796</v>
      </c>
      <c r="E6483" s="92">
        <f t="shared" si="7"/>
        <v>50</v>
      </c>
      <c r="F6483" t="str">
        <f>HYPERLINK("D:\Data From Lucan\2024\Moresby\Frames_for_Analysis/6480_20240611_0011_L_0217.jpg","6480_20240611_0011_L_0217.jpg")</f>
        <v>6480_20240611_0011_L_0217.jpg</v>
      </c>
      <c r="G6483" s="92" t="s">
        <v>6668</v>
      </c>
      <c r="I6483">
        <v>2</v>
      </c>
      <c r="K6483" s="97">
        <v>1</v>
      </c>
      <c r="P6483" s="57">
        <v>1</v>
      </c>
      <c r="Q6483" s="57">
        <v>0</v>
      </c>
      <c r="R6483" s="57">
        <v>0</v>
      </c>
      <c r="S6483" s="97">
        <v>0</v>
      </c>
      <c r="T6483" s="57">
        <v>0</v>
      </c>
      <c r="U6483" s="57">
        <v>0</v>
      </c>
      <c r="V6483" s="57">
        <v>0</v>
      </c>
      <c r="W6483" s="57">
        <v>0</v>
      </c>
      <c r="X6483" s="97">
        <v>0</v>
      </c>
    </row>
    <row r="6484" spans="1:24" x14ac:dyDescent="0.35">
      <c r="A6484">
        <v>6480</v>
      </c>
      <c r="B6484">
        <v>6481</v>
      </c>
      <c r="C6484">
        <v>146.10438543800001</v>
      </c>
      <c r="D6484">
        <v>-17.633909193800001</v>
      </c>
      <c r="E6484" s="92" t="str">
        <f t="shared" si="7"/>
        <v/>
      </c>
      <c r="F6484" t="str">
        <f>HYPERLINK("D:\Data From Lucan\2024\Moresby\Frames_for_Analysis/6481_20240611_0011_L_0220.jpg","6481_20240611_0011_L_0220.jpg")</f>
        <v>6481_20240611_0011_L_0220.jpg</v>
      </c>
      <c r="G6484" s="92" t="s">
        <v>6669</v>
      </c>
      <c r="I6484">
        <v>2</v>
      </c>
      <c r="K6484" s="97">
        <v>1</v>
      </c>
      <c r="P6484" s="57">
        <v>1</v>
      </c>
      <c r="Q6484" s="57">
        <v>0</v>
      </c>
      <c r="R6484" s="57">
        <v>0</v>
      </c>
      <c r="S6484" s="97">
        <v>0</v>
      </c>
      <c r="T6484" s="57">
        <v>0</v>
      </c>
      <c r="U6484" s="57">
        <v>0</v>
      </c>
      <c r="V6484" s="57">
        <v>0</v>
      </c>
      <c r="W6484" s="57">
        <v>0</v>
      </c>
      <c r="X6484" s="97">
        <v>0</v>
      </c>
    </row>
    <row r="6485" spans="1:24" x14ac:dyDescent="0.35">
      <c r="A6485">
        <v>6481</v>
      </c>
      <c r="B6485">
        <v>6482</v>
      </c>
      <c r="C6485">
        <v>146.104446942999</v>
      </c>
      <c r="D6485">
        <v>-17.6339715915</v>
      </c>
      <c r="E6485" s="92" t="str">
        <f t="shared" si="7"/>
        <v/>
      </c>
      <c r="F6485" t="str">
        <f>HYPERLINK("D:\Data From Lucan\2024\Moresby\Frames_for_Analysis/6482_20240611_0011_L_0223.jpg","6482_20240611_0011_L_0223.jpg")</f>
        <v>6482_20240611_0011_L_0223.jpg</v>
      </c>
      <c r="G6485" s="92" t="s">
        <v>6670</v>
      </c>
      <c r="I6485">
        <v>2</v>
      </c>
      <c r="K6485" s="97">
        <v>1</v>
      </c>
      <c r="P6485" s="57">
        <v>1</v>
      </c>
      <c r="Q6485" s="57">
        <v>0</v>
      </c>
      <c r="R6485" s="57">
        <v>0</v>
      </c>
      <c r="S6485" s="97">
        <v>0</v>
      </c>
      <c r="T6485" s="57">
        <v>0</v>
      </c>
      <c r="U6485" s="57">
        <v>0</v>
      </c>
      <c r="V6485" s="57">
        <v>0</v>
      </c>
      <c r="W6485" s="57">
        <v>0</v>
      </c>
      <c r="X6485" s="97">
        <v>0</v>
      </c>
    </row>
    <row r="6486" spans="1:24" x14ac:dyDescent="0.35">
      <c r="A6486">
        <v>6482</v>
      </c>
      <c r="B6486">
        <v>6483</v>
      </c>
      <c r="C6486">
        <v>146.104508447</v>
      </c>
      <c r="D6486">
        <v>-17.634033989300001</v>
      </c>
      <c r="E6486" s="92" t="str">
        <f t="shared" si="7"/>
        <v/>
      </c>
      <c r="F6486" t="str">
        <f>HYPERLINK("D:\Data From Lucan\2024\Moresby\Frames_for_Analysis/6483_20240611_0011_L_0226.jpg","6483_20240611_0011_L_0226.jpg")</f>
        <v>6483_20240611_0011_L_0226.jpg</v>
      </c>
      <c r="G6486" s="92" t="s">
        <v>6671</v>
      </c>
      <c r="I6486">
        <v>2</v>
      </c>
      <c r="K6486" s="97">
        <v>1</v>
      </c>
      <c r="P6486" s="57">
        <v>1</v>
      </c>
      <c r="Q6486" s="57">
        <v>0</v>
      </c>
      <c r="R6486" s="57">
        <v>0</v>
      </c>
      <c r="S6486" s="97">
        <v>0</v>
      </c>
      <c r="T6486" s="57">
        <v>0</v>
      </c>
      <c r="U6486" s="57">
        <v>0</v>
      </c>
      <c r="V6486" s="57">
        <v>0</v>
      </c>
      <c r="W6486" s="57">
        <v>0</v>
      </c>
      <c r="X6486" s="97">
        <v>0</v>
      </c>
    </row>
    <row r="6487" spans="1:24" x14ac:dyDescent="0.35">
      <c r="A6487">
        <v>6483</v>
      </c>
      <c r="B6487">
        <v>6484</v>
      </c>
      <c r="C6487">
        <v>146.104569951999</v>
      </c>
      <c r="D6487">
        <v>-17.634096387</v>
      </c>
      <c r="E6487" s="92" t="str">
        <f t="shared" si="7"/>
        <v/>
      </c>
      <c r="F6487" t="str">
        <f>HYPERLINK("D:\Data From Lucan\2024\Moresby\Frames_for_Analysis/6484_20240611_0011_L_0229.jpg","6484_20240611_0011_L_0229.jpg")</f>
        <v>6484_20240611_0011_L_0229.jpg</v>
      </c>
      <c r="G6487" s="92" t="s">
        <v>6672</v>
      </c>
      <c r="I6487">
        <v>2</v>
      </c>
      <c r="K6487" s="97">
        <v>1</v>
      </c>
      <c r="P6487" s="57">
        <v>1</v>
      </c>
      <c r="Q6487" s="57">
        <v>0</v>
      </c>
      <c r="R6487" s="57">
        <v>0</v>
      </c>
      <c r="S6487" s="97">
        <v>0</v>
      </c>
      <c r="T6487" s="57">
        <v>0</v>
      </c>
      <c r="U6487" s="57">
        <v>0</v>
      </c>
      <c r="V6487" s="57">
        <v>0</v>
      </c>
      <c r="W6487" s="57">
        <v>0</v>
      </c>
      <c r="X6487" s="97">
        <v>0</v>
      </c>
    </row>
    <row r="6488" spans="1:24" x14ac:dyDescent="0.35">
      <c r="A6488">
        <v>6484</v>
      </c>
      <c r="B6488">
        <v>6485</v>
      </c>
      <c r="C6488">
        <v>146.104631455999</v>
      </c>
      <c r="D6488">
        <v>-17.634158784699899</v>
      </c>
      <c r="E6488" s="92">
        <f t="shared" si="7"/>
        <v>50</v>
      </c>
      <c r="F6488" t="str">
        <f>HYPERLINK("D:\Data From Lucan\2024\Moresby\Frames_for_Analysis/6485_20240611_0011_L_0232.jpg","6485_20240611_0011_L_0232.jpg")</f>
        <v>6485_20240611_0011_L_0232.jpg</v>
      </c>
      <c r="G6488" s="92" t="s">
        <v>6673</v>
      </c>
      <c r="I6488">
        <v>2</v>
      </c>
      <c r="K6488" s="97">
        <v>1</v>
      </c>
      <c r="P6488" s="57">
        <v>1</v>
      </c>
      <c r="Q6488" s="57">
        <v>0</v>
      </c>
      <c r="R6488" s="57">
        <v>0</v>
      </c>
      <c r="S6488" s="97">
        <v>0</v>
      </c>
      <c r="T6488" s="57">
        <v>0</v>
      </c>
      <c r="U6488" s="57">
        <v>0</v>
      </c>
      <c r="V6488" s="57">
        <v>0</v>
      </c>
      <c r="W6488" s="57">
        <v>0</v>
      </c>
      <c r="X6488" s="97">
        <v>0</v>
      </c>
    </row>
    <row r="6489" spans="1:24" x14ac:dyDescent="0.35">
      <c r="A6489">
        <v>6485</v>
      </c>
      <c r="B6489">
        <v>6486</v>
      </c>
      <c r="C6489">
        <v>146.10469296100001</v>
      </c>
      <c r="D6489">
        <v>-17.6342211822999</v>
      </c>
      <c r="E6489" s="92" t="str">
        <f t="shared" si="7"/>
        <v/>
      </c>
      <c r="F6489" t="str">
        <f>HYPERLINK("D:\Data From Lucan\2024\Moresby\Frames_for_Analysis/6486_20240611_0011_L_0235.jpg","6486_20240611_0011_L_0235.jpg")</f>
        <v>6486_20240611_0011_L_0235.jpg</v>
      </c>
      <c r="G6489" s="92" t="s">
        <v>6674</v>
      </c>
      <c r="I6489">
        <v>2</v>
      </c>
      <c r="K6489" s="97">
        <v>1</v>
      </c>
      <c r="P6489" s="57">
        <v>1</v>
      </c>
      <c r="Q6489" s="57">
        <v>0</v>
      </c>
      <c r="R6489" s="57">
        <v>0</v>
      </c>
      <c r="S6489" s="97">
        <v>0</v>
      </c>
      <c r="T6489" s="57">
        <v>0</v>
      </c>
      <c r="U6489" s="57">
        <v>0</v>
      </c>
      <c r="V6489" s="57">
        <v>0</v>
      </c>
      <c r="W6489" s="57">
        <v>0</v>
      </c>
      <c r="X6489" s="97">
        <v>0</v>
      </c>
    </row>
    <row r="6490" spans="1:24" x14ac:dyDescent="0.35">
      <c r="A6490">
        <v>6486</v>
      </c>
      <c r="B6490">
        <v>6487</v>
      </c>
      <c r="C6490">
        <v>146.104754466</v>
      </c>
      <c r="D6490">
        <v>-17.634283580000002</v>
      </c>
      <c r="E6490" s="92" t="str">
        <f t="shared" si="7"/>
        <v/>
      </c>
      <c r="F6490" t="str">
        <f>HYPERLINK("D:\Data From Lucan\2024\Moresby\Frames_for_Analysis/6487_20240611_0011_L_0238.jpg","6487_20240611_0011_L_0238.jpg")</f>
        <v>6487_20240611_0011_L_0238.jpg</v>
      </c>
      <c r="G6490" s="92" t="s">
        <v>6675</v>
      </c>
      <c r="I6490">
        <v>2</v>
      </c>
      <c r="K6490" s="97">
        <v>1</v>
      </c>
      <c r="P6490" s="57">
        <v>1</v>
      </c>
      <c r="Q6490" s="57">
        <v>0</v>
      </c>
      <c r="R6490" s="57">
        <v>0</v>
      </c>
      <c r="S6490" s="97">
        <v>0</v>
      </c>
      <c r="T6490" s="57">
        <v>0</v>
      </c>
      <c r="U6490" s="57">
        <v>0</v>
      </c>
      <c r="V6490" s="57">
        <v>0</v>
      </c>
      <c r="W6490" s="57">
        <v>0</v>
      </c>
      <c r="X6490" s="97">
        <v>0</v>
      </c>
    </row>
    <row r="6491" spans="1:24" x14ac:dyDescent="0.35">
      <c r="A6491">
        <v>6487</v>
      </c>
      <c r="B6491">
        <v>6488</v>
      </c>
      <c r="C6491">
        <v>146.10481597</v>
      </c>
      <c r="D6491">
        <v>-17.634345977599899</v>
      </c>
      <c r="E6491" s="92" t="str">
        <f t="shared" si="7"/>
        <v/>
      </c>
      <c r="F6491" t="str">
        <f>HYPERLINK("D:\Data From Lucan\2024\Moresby\Frames_for_Analysis/6488_20240611_0011_L_0240.jpg","6488_20240611_0011_L_0240.jpg")</f>
        <v>6488_20240611_0011_L_0240.jpg</v>
      </c>
      <c r="G6491" s="92" t="s">
        <v>6676</v>
      </c>
      <c r="I6491">
        <v>2</v>
      </c>
      <c r="K6491" s="97">
        <v>1</v>
      </c>
      <c r="P6491" s="57">
        <v>1</v>
      </c>
      <c r="Q6491" s="57">
        <v>0</v>
      </c>
      <c r="R6491" s="57">
        <v>0</v>
      </c>
      <c r="S6491" s="97">
        <v>0</v>
      </c>
      <c r="T6491" s="57">
        <v>0</v>
      </c>
      <c r="U6491" s="57">
        <v>0</v>
      </c>
      <c r="V6491" s="57">
        <v>0</v>
      </c>
      <c r="W6491" s="57">
        <v>0</v>
      </c>
      <c r="X6491" s="97">
        <v>0</v>
      </c>
    </row>
    <row r="6492" spans="1:24" x14ac:dyDescent="0.35">
      <c r="A6492">
        <v>6488</v>
      </c>
      <c r="B6492">
        <v>6489</v>
      </c>
      <c r="C6492">
        <v>146.104877321999</v>
      </c>
      <c r="D6492">
        <v>-17.634408509499899</v>
      </c>
      <c r="E6492" s="92" t="str">
        <f t="shared" si="7"/>
        <v/>
      </c>
      <c r="F6492" t="str">
        <f>HYPERLINK("D:\Data From Lucan\2024\Moresby\Frames_for_Analysis/6489_20240611_0011_L_0243.jpg","6489_20240611_0011_L_0243.jpg")</f>
        <v>6489_20240611_0011_L_0243.jpg</v>
      </c>
      <c r="G6492" s="92" t="s">
        <v>6677</v>
      </c>
      <c r="I6492">
        <v>2</v>
      </c>
      <c r="K6492" s="97">
        <v>1</v>
      </c>
      <c r="P6492" s="57">
        <v>1</v>
      </c>
      <c r="Q6492" s="57">
        <v>0</v>
      </c>
      <c r="R6492" s="57">
        <v>0</v>
      </c>
      <c r="S6492" s="97">
        <v>0</v>
      </c>
      <c r="T6492" s="57">
        <v>0</v>
      </c>
      <c r="U6492" s="57">
        <v>0</v>
      </c>
      <c r="V6492" s="57">
        <v>0</v>
      </c>
      <c r="W6492" s="57">
        <v>0</v>
      </c>
      <c r="X6492" s="97">
        <v>0</v>
      </c>
    </row>
    <row r="6493" spans="1:24" x14ac:dyDescent="0.35">
      <c r="A6493">
        <v>6489</v>
      </c>
      <c r="B6493">
        <v>6490</v>
      </c>
      <c r="C6493">
        <v>146.10493773900001</v>
      </c>
      <c r="D6493">
        <v>-17.634471865599899</v>
      </c>
      <c r="E6493" s="92">
        <f t="shared" si="7"/>
        <v>50</v>
      </c>
      <c r="F6493" t="str">
        <f>HYPERLINK("D:\Data From Lucan\2024\Moresby\Frames_for_Analysis/6490_20240611_0011_L_0246.jpg","6490_20240611_0011_L_0246.jpg")</f>
        <v>6490_20240611_0011_L_0246.jpg</v>
      </c>
      <c r="G6493" s="92" t="s">
        <v>6678</v>
      </c>
      <c r="I6493">
        <v>2</v>
      </c>
      <c r="K6493" s="97">
        <v>1</v>
      </c>
      <c r="P6493" s="57">
        <v>1</v>
      </c>
      <c r="Q6493" s="57">
        <v>0</v>
      </c>
      <c r="R6493" s="57">
        <v>0</v>
      </c>
      <c r="S6493" s="97">
        <v>0</v>
      </c>
      <c r="T6493" s="57">
        <v>0</v>
      </c>
      <c r="U6493" s="57">
        <v>0</v>
      </c>
      <c r="V6493" s="57">
        <v>0</v>
      </c>
      <c r="W6493" s="57">
        <v>0</v>
      </c>
      <c r="X6493" s="97">
        <v>0</v>
      </c>
    </row>
    <row r="6494" spans="1:24" x14ac:dyDescent="0.35">
      <c r="A6494">
        <v>6490</v>
      </c>
      <c r="B6494">
        <v>6491</v>
      </c>
      <c r="C6494">
        <v>146.104998155</v>
      </c>
      <c r="D6494">
        <v>-17.634535221699899</v>
      </c>
      <c r="E6494" s="92" t="str">
        <f t="shared" si="7"/>
        <v/>
      </c>
      <c r="F6494" t="str">
        <f>HYPERLINK("D:\Data From Lucan\2024\Moresby\Frames_for_Analysis/6491_20240611_0011_L_0249.jpg","6491_20240611_0011_L_0249.jpg")</f>
        <v>6491_20240611_0011_L_0249.jpg</v>
      </c>
      <c r="G6494" s="92" t="s">
        <v>6679</v>
      </c>
      <c r="I6494">
        <v>2</v>
      </c>
      <c r="K6494" s="97">
        <v>1</v>
      </c>
      <c r="P6494" s="57">
        <v>1</v>
      </c>
      <c r="Q6494" s="57">
        <v>0</v>
      </c>
      <c r="R6494" s="57">
        <v>0</v>
      </c>
      <c r="S6494" s="97">
        <v>0</v>
      </c>
      <c r="T6494" s="57">
        <v>0</v>
      </c>
      <c r="U6494" s="57">
        <v>0</v>
      </c>
      <c r="V6494" s="57">
        <v>0</v>
      </c>
      <c r="W6494" s="57">
        <v>0</v>
      </c>
      <c r="X6494" s="97">
        <v>0</v>
      </c>
    </row>
    <row r="6495" spans="1:24" x14ac:dyDescent="0.35">
      <c r="A6495">
        <v>6491</v>
      </c>
      <c r="B6495">
        <v>6492</v>
      </c>
      <c r="C6495">
        <v>146.105058571</v>
      </c>
      <c r="D6495">
        <v>-17.6345985777</v>
      </c>
      <c r="E6495" s="92" t="str">
        <f t="shared" si="7"/>
        <v/>
      </c>
      <c r="F6495" t="str">
        <f>HYPERLINK("D:\Data From Lucan\2024\Moresby\Frames_for_Analysis/6492_20240611_0011_L_0252.jpg","6492_20240611_0011_L_0252.jpg")</f>
        <v>6492_20240611_0011_L_0252.jpg</v>
      </c>
      <c r="G6495" s="92" t="s">
        <v>6680</v>
      </c>
      <c r="I6495">
        <v>2</v>
      </c>
      <c r="K6495" s="97">
        <v>1</v>
      </c>
      <c r="P6495" s="57">
        <v>1</v>
      </c>
      <c r="Q6495" s="57">
        <v>0</v>
      </c>
      <c r="R6495" s="57">
        <v>0</v>
      </c>
      <c r="S6495" s="97">
        <v>0</v>
      </c>
      <c r="T6495" s="57">
        <v>0</v>
      </c>
      <c r="U6495" s="57">
        <v>0</v>
      </c>
      <c r="V6495" s="57">
        <v>0</v>
      </c>
      <c r="W6495" s="57">
        <v>0</v>
      </c>
      <c r="X6495" s="97">
        <v>0</v>
      </c>
    </row>
    <row r="6496" spans="1:24" x14ac:dyDescent="0.35">
      <c r="A6496">
        <v>6492</v>
      </c>
      <c r="B6496">
        <v>6493</v>
      </c>
      <c r="C6496">
        <v>146.105118986999</v>
      </c>
      <c r="D6496">
        <v>-17.634661933699899</v>
      </c>
      <c r="E6496" s="92" t="str">
        <f t="shared" si="7"/>
        <v/>
      </c>
      <c r="F6496" t="str">
        <f>HYPERLINK("D:\Data From Lucan\2024\Moresby\Frames_for_Analysis/6493_20240611_0011_L_0255.jpg","6493_20240611_0011_L_0255.jpg")</f>
        <v>6493_20240611_0011_L_0255.jpg</v>
      </c>
      <c r="G6496" s="92" t="s">
        <v>6681</v>
      </c>
      <c r="I6496">
        <v>2</v>
      </c>
      <c r="K6496" s="97">
        <v>1</v>
      </c>
      <c r="P6496" s="57">
        <v>1</v>
      </c>
      <c r="Q6496" s="57">
        <v>0</v>
      </c>
      <c r="R6496" s="57">
        <v>0</v>
      </c>
      <c r="S6496" s="97">
        <v>0</v>
      </c>
      <c r="T6496" s="57">
        <v>0</v>
      </c>
      <c r="U6496" s="57">
        <v>0</v>
      </c>
      <c r="V6496" s="57">
        <v>0</v>
      </c>
      <c r="W6496" s="57">
        <v>0</v>
      </c>
      <c r="X6496" s="97">
        <v>0</v>
      </c>
    </row>
    <row r="6497" spans="1:24" x14ac:dyDescent="0.35">
      <c r="A6497">
        <v>6493</v>
      </c>
      <c r="B6497">
        <v>6494</v>
      </c>
      <c r="C6497">
        <v>146.105179402999</v>
      </c>
      <c r="D6497">
        <v>-17.6347252897</v>
      </c>
      <c r="E6497" s="92" t="str">
        <f t="shared" si="7"/>
        <v/>
      </c>
      <c r="F6497" t="str">
        <f>HYPERLINK("D:\Data From Lucan\2024\Moresby\Frames_for_Analysis/6494_20240611_0011_L_0258.jpg","6494_20240611_0011_L_0258.jpg")</f>
        <v>6494_20240611_0011_L_0258.jpg</v>
      </c>
      <c r="G6497" s="92" t="s">
        <v>6682</v>
      </c>
      <c r="I6497">
        <v>2</v>
      </c>
      <c r="K6497" s="97">
        <v>1</v>
      </c>
      <c r="P6497" s="57">
        <v>1</v>
      </c>
      <c r="Q6497" s="57">
        <v>0</v>
      </c>
      <c r="R6497" s="57">
        <v>0</v>
      </c>
      <c r="S6497" s="97">
        <v>0</v>
      </c>
      <c r="T6497" s="57">
        <v>0</v>
      </c>
      <c r="U6497" s="57">
        <v>0</v>
      </c>
      <c r="V6497" s="57">
        <v>0</v>
      </c>
      <c r="W6497" s="57">
        <v>0</v>
      </c>
      <c r="X6497" s="97">
        <v>0</v>
      </c>
    </row>
    <row r="6498" spans="1:24" x14ac:dyDescent="0.35">
      <c r="A6498">
        <v>6494</v>
      </c>
      <c r="B6498">
        <v>6495</v>
      </c>
      <c r="C6498">
        <v>146.105239818999</v>
      </c>
      <c r="D6498">
        <v>-17.6347886456</v>
      </c>
      <c r="E6498" s="92">
        <f t="shared" si="7"/>
        <v>50</v>
      </c>
      <c r="F6498" t="str">
        <f>HYPERLINK("D:\Data From Lucan\2024\Moresby\Frames_for_Analysis/6495_20240611_0011_L_0261.jpg","6495_20240611_0011_L_0261.jpg")</f>
        <v>6495_20240611_0011_L_0261.jpg</v>
      </c>
      <c r="G6498" s="92" t="s">
        <v>6683</v>
      </c>
      <c r="I6498">
        <v>2</v>
      </c>
      <c r="K6498" s="97">
        <v>1</v>
      </c>
      <c r="P6498" s="57">
        <v>1</v>
      </c>
      <c r="Q6498" s="57">
        <v>0</v>
      </c>
      <c r="R6498" s="57">
        <v>0</v>
      </c>
      <c r="S6498" s="97">
        <v>0</v>
      </c>
      <c r="T6498" s="57">
        <v>0</v>
      </c>
      <c r="U6498" s="57">
        <v>0</v>
      </c>
      <c r="V6498" s="57">
        <v>0</v>
      </c>
      <c r="W6498" s="57">
        <v>0</v>
      </c>
      <c r="X6498" s="97">
        <v>0</v>
      </c>
    </row>
    <row r="6499" spans="1:24" x14ac:dyDescent="0.35">
      <c r="A6499">
        <v>6495</v>
      </c>
      <c r="B6499">
        <v>6496</v>
      </c>
      <c r="C6499">
        <v>146.10530023499899</v>
      </c>
      <c r="D6499">
        <v>-17.634852001599899</v>
      </c>
      <c r="E6499" s="92" t="str">
        <f t="shared" si="7"/>
        <v/>
      </c>
      <c r="F6499" t="str">
        <f>HYPERLINK("D:\Data From Lucan\2024\Moresby\Frames_for_Analysis/6496_20240611_0011_L_0265.jpg","6496_20240611_0011_L_0265.jpg")</f>
        <v>6496_20240611_0011_L_0265.jpg</v>
      </c>
      <c r="G6499" s="92" t="s">
        <v>6684</v>
      </c>
      <c r="I6499">
        <v>2</v>
      </c>
      <c r="K6499" s="97">
        <v>1</v>
      </c>
      <c r="P6499" s="57">
        <v>1</v>
      </c>
      <c r="Q6499" s="57">
        <v>0</v>
      </c>
      <c r="R6499" s="57">
        <v>0</v>
      </c>
      <c r="S6499" s="97">
        <v>0</v>
      </c>
      <c r="T6499" s="57">
        <v>0</v>
      </c>
      <c r="U6499" s="57">
        <v>0</v>
      </c>
      <c r="V6499" s="57">
        <v>0</v>
      </c>
      <c r="W6499" s="57">
        <v>0</v>
      </c>
      <c r="X6499" s="97">
        <v>0</v>
      </c>
    </row>
    <row r="6500" spans="1:24" x14ac:dyDescent="0.35">
      <c r="A6500">
        <v>6496</v>
      </c>
      <c r="B6500">
        <v>6497</v>
      </c>
      <c r="C6500">
        <v>146.10536065100001</v>
      </c>
      <c r="D6500">
        <v>-17.634915357499899</v>
      </c>
      <c r="E6500" s="92" t="str">
        <f t="shared" si="7"/>
        <v/>
      </c>
      <c r="F6500" t="str">
        <f>HYPERLINK("D:\Data From Lucan\2024\Moresby\Frames_for_Analysis/6497_20240611_0011_L_0268.jpg","6497_20240611_0011_L_0268.jpg")</f>
        <v>6497_20240611_0011_L_0268.jpg</v>
      </c>
      <c r="G6500" s="92" t="s">
        <v>6685</v>
      </c>
      <c r="I6500">
        <v>2</v>
      </c>
      <c r="K6500" s="97">
        <v>1</v>
      </c>
      <c r="P6500" s="57">
        <v>1</v>
      </c>
      <c r="Q6500" s="57">
        <v>0</v>
      </c>
      <c r="R6500" s="57">
        <v>0</v>
      </c>
      <c r="S6500" s="97">
        <v>0</v>
      </c>
      <c r="T6500" s="57">
        <v>0</v>
      </c>
      <c r="U6500" s="57">
        <v>0</v>
      </c>
      <c r="V6500" s="57">
        <v>0</v>
      </c>
      <c r="W6500" s="57">
        <v>0</v>
      </c>
      <c r="X6500" s="97">
        <v>0</v>
      </c>
    </row>
    <row r="6501" spans="1:24" x14ac:dyDescent="0.35">
      <c r="A6501">
        <v>6497</v>
      </c>
      <c r="B6501">
        <v>6498</v>
      </c>
      <c r="C6501">
        <v>146.10542106700001</v>
      </c>
      <c r="D6501">
        <v>-17.634978713399899</v>
      </c>
      <c r="E6501" s="92" t="str">
        <f t="shared" si="7"/>
        <v/>
      </c>
      <c r="F6501" t="str">
        <f>HYPERLINK("D:\Data From Lucan\2024\Moresby\Frames_for_Analysis/6498_20240611_0011_L_0270.jpg","6498_20240611_0011_L_0270.jpg")</f>
        <v>6498_20240611_0011_L_0270.jpg</v>
      </c>
      <c r="G6501" s="92" t="s">
        <v>6686</v>
      </c>
      <c r="I6501">
        <v>2</v>
      </c>
      <c r="K6501" s="97">
        <v>1</v>
      </c>
      <c r="P6501" s="57">
        <v>1</v>
      </c>
      <c r="Q6501" s="57">
        <v>0</v>
      </c>
      <c r="R6501" s="57">
        <v>0</v>
      </c>
      <c r="S6501" s="97">
        <v>0</v>
      </c>
      <c r="T6501" s="57">
        <v>0</v>
      </c>
      <c r="U6501" s="57">
        <v>0</v>
      </c>
      <c r="V6501" s="57">
        <v>0</v>
      </c>
      <c r="W6501" s="57">
        <v>0</v>
      </c>
      <c r="X6501" s="97">
        <v>0</v>
      </c>
    </row>
    <row r="6502" spans="1:24" x14ac:dyDescent="0.35">
      <c r="A6502">
        <v>6498</v>
      </c>
      <c r="B6502">
        <v>6499</v>
      </c>
      <c r="C6502">
        <v>146.105486896999</v>
      </c>
      <c r="D6502">
        <v>-17.6350367291999</v>
      </c>
      <c r="E6502" s="92" t="str">
        <f t="shared" si="7"/>
        <v/>
      </c>
      <c r="F6502" t="str">
        <f>HYPERLINK("D:\Data From Lucan\2024\Moresby\Frames_for_Analysis/6499_20240611_0011_L_0273.jpg","6499_20240611_0011_L_0273.jpg")</f>
        <v>6499_20240611_0011_L_0273.jpg</v>
      </c>
      <c r="G6502" s="92" t="s">
        <v>6687</v>
      </c>
      <c r="I6502">
        <v>2</v>
      </c>
      <c r="K6502" s="97">
        <v>1</v>
      </c>
      <c r="P6502" s="57">
        <v>1</v>
      </c>
      <c r="Q6502" s="57">
        <v>0</v>
      </c>
      <c r="R6502" s="57">
        <v>0</v>
      </c>
      <c r="S6502" s="97">
        <v>0</v>
      </c>
      <c r="T6502" s="57">
        <v>0</v>
      </c>
      <c r="U6502" s="57">
        <v>0</v>
      </c>
      <c r="V6502" s="57">
        <v>0</v>
      </c>
      <c r="W6502" s="57">
        <v>0</v>
      </c>
      <c r="X6502" s="97">
        <v>0</v>
      </c>
    </row>
    <row r="6503" spans="1:24" x14ac:dyDescent="0.35">
      <c r="A6503">
        <v>6499</v>
      </c>
      <c r="B6503">
        <v>6500</v>
      </c>
      <c r="C6503">
        <v>146.10555541900001</v>
      </c>
      <c r="D6503">
        <v>-17.635092088699899</v>
      </c>
      <c r="E6503" s="92">
        <f t="shared" si="7"/>
        <v>50</v>
      </c>
      <c r="F6503" t="str">
        <f>HYPERLINK("D:\Data From Lucan\2024\Moresby\Frames_for_Analysis/6500_20240611_0011_L_0276.jpg","6500_20240611_0011_L_0276.jpg")</f>
        <v>6500_20240611_0011_L_0276.jpg</v>
      </c>
      <c r="G6503" s="92" t="s">
        <v>6688</v>
      </c>
      <c r="I6503">
        <v>2</v>
      </c>
      <c r="K6503" s="97">
        <v>1</v>
      </c>
      <c r="P6503" s="57">
        <v>1</v>
      </c>
      <c r="Q6503" s="57">
        <v>0</v>
      </c>
      <c r="R6503" s="57">
        <v>0</v>
      </c>
      <c r="S6503" s="97">
        <v>0</v>
      </c>
      <c r="T6503" s="57">
        <v>0</v>
      </c>
      <c r="U6503" s="57">
        <v>0</v>
      </c>
      <c r="V6503" s="57">
        <v>0</v>
      </c>
      <c r="W6503" s="57">
        <v>0</v>
      </c>
      <c r="X6503" s="97">
        <v>0</v>
      </c>
    </row>
    <row r="6504" spans="1:24" x14ac:dyDescent="0.35">
      <c r="A6504">
        <v>6500</v>
      </c>
      <c r="B6504">
        <v>6501</v>
      </c>
      <c r="C6504">
        <v>146.105623941999</v>
      </c>
      <c r="D6504">
        <v>-17.635147448200001</v>
      </c>
      <c r="E6504" s="92" t="str">
        <f t="shared" si="7"/>
        <v/>
      </c>
      <c r="F6504" t="str">
        <f>HYPERLINK("D:\Data From Lucan\2024\Moresby\Frames_for_Analysis/6501_20240611_0011_L_0279.jpg","6501_20240611_0011_L_0279.jpg")</f>
        <v>6501_20240611_0011_L_0279.jpg</v>
      </c>
      <c r="G6504" s="92" t="s">
        <v>6689</v>
      </c>
      <c r="I6504">
        <v>2</v>
      </c>
      <c r="K6504" s="97">
        <v>1</v>
      </c>
      <c r="P6504" s="57">
        <v>1</v>
      </c>
      <c r="Q6504" s="57">
        <v>0</v>
      </c>
      <c r="R6504" s="57">
        <v>0</v>
      </c>
      <c r="S6504" s="97">
        <v>0</v>
      </c>
      <c r="T6504" s="57">
        <v>0</v>
      </c>
      <c r="U6504" s="57">
        <v>0</v>
      </c>
      <c r="V6504" s="57">
        <v>0</v>
      </c>
      <c r="W6504" s="57">
        <v>0</v>
      </c>
      <c r="X6504" s="97">
        <v>0</v>
      </c>
    </row>
    <row r="6505" spans="1:24" x14ac:dyDescent="0.35">
      <c r="A6505">
        <v>6501</v>
      </c>
      <c r="B6505">
        <v>6502</v>
      </c>
      <c r="C6505">
        <v>146.10569246399899</v>
      </c>
      <c r="D6505">
        <v>-17.635202807599899</v>
      </c>
      <c r="E6505" s="92" t="str">
        <f t="shared" si="7"/>
        <v/>
      </c>
      <c r="F6505" t="str">
        <f>HYPERLINK("D:\Data From Lucan\2024\Moresby\Frames_for_Analysis/6502_20240611_0011_L_0282.jpg","6502_20240611_0011_L_0282.jpg")</f>
        <v>6502_20240611_0011_L_0282.jpg</v>
      </c>
      <c r="G6505" s="92" t="s">
        <v>6690</v>
      </c>
      <c r="I6505">
        <v>2</v>
      </c>
      <c r="K6505" s="97">
        <v>1</v>
      </c>
      <c r="P6505" s="57">
        <v>1</v>
      </c>
      <c r="Q6505" s="57">
        <v>0</v>
      </c>
      <c r="R6505" s="57">
        <v>0</v>
      </c>
      <c r="S6505" s="97">
        <v>0</v>
      </c>
      <c r="T6505" s="57">
        <v>0</v>
      </c>
      <c r="U6505" s="57">
        <v>0</v>
      </c>
      <c r="V6505" s="57">
        <v>0</v>
      </c>
      <c r="W6505" s="57">
        <v>0</v>
      </c>
      <c r="X6505" s="97">
        <v>0</v>
      </c>
    </row>
    <row r="6506" spans="1:24" x14ac:dyDescent="0.35">
      <c r="A6506">
        <v>6502</v>
      </c>
      <c r="B6506">
        <v>6503</v>
      </c>
      <c r="C6506">
        <v>146.105760986999</v>
      </c>
      <c r="D6506">
        <v>-17.635258167100002</v>
      </c>
      <c r="E6506" s="92" t="str">
        <f t="shared" si="7"/>
        <v/>
      </c>
      <c r="F6506" t="str">
        <f>HYPERLINK("D:\Data From Lucan\2024\Moresby\Frames_for_Analysis/6503_20240611_0011_L_0285.jpg","6503_20240611_0011_L_0285.jpg")</f>
        <v>6503_20240611_0011_L_0285.jpg</v>
      </c>
      <c r="G6506" s="92" t="s">
        <v>6691</v>
      </c>
      <c r="I6506">
        <v>2</v>
      </c>
      <c r="K6506" s="97">
        <v>1</v>
      </c>
      <c r="P6506" s="57">
        <v>1</v>
      </c>
      <c r="Q6506" s="57">
        <v>0</v>
      </c>
      <c r="R6506" s="57">
        <v>0</v>
      </c>
      <c r="S6506" s="97">
        <v>0</v>
      </c>
      <c r="T6506" s="57">
        <v>0</v>
      </c>
      <c r="U6506" s="57">
        <v>0</v>
      </c>
      <c r="V6506" s="57">
        <v>0</v>
      </c>
      <c r="W6506" s="57">
        <v>0</v>
      </c>
      <c r="X6506" s="97">
        <v>0</v>
      </c>
    </row>
    <row r="6507" spans="1:24" x14ac:dyDescent="0.35">
      <c r="A6507">
        <v>6503</v>
      </c>
      <c r="B6507">
        <v>6504</v>
      </c>
      <c r="C6507">
        <v>146.10582950899899</v>
      </c>
      <c r="D6507">
        <v>-17.6353135264999</v>
      </c>
      <c r="E6507" s="92" t="str">
        <f t="shared" si="7"/>
        <v/>
      </c>
      <c r="F6507" t="str">
        <f>HYPERLINK("D:\Data From Lucan\2024\Moresby\Frames_for_Analysis/6504_20240611_0011_L_0288.jpg","6504_20240611_0011_L_0288.jpg")</f>
        <v>6504_20240611_0011_L_0288.jpg</v>
      </c>
      <c r="G6507" s="92" t="s">
        <v>6692</v>
      </c>
      <c r="I6507">
        <v>2</v>
      </c>
      <c r="K6507" s="97">
        <v>1</v>
      </c>
      <c r="P6507" s="57">
        <v>1</v>
      </c>
      <c r="Q6507" s="57">
        <v>0</v>
      </c>
      <c r="R6507" s="57">
        <v>0</v>
      </c>
      <c r="S6507" s="97">
        <v>0</v>
      </c>
      <c r="T6507" s="57">
        <v>0</v>
      </c>
      <c r="U6507" s="57">
        <v>0</v>
      </c>
      <c r="V6507" s="57">
        <v>0</v>
      </c>
      <c r="W6507" s="57">
        <v>0</v>
      </c>
      <c r="X6507" s="97">
        <v>0</v>
      </c>
    </row>
    <row r="6508" spans="1:24" x14ac:dyDescent="0.35">
      <c r="A6508">
        <v>6504</v>
      </c>
      <c r="B6508">
        <v>6505</v>
      </c>
      <c r="C6508">
        <v>146.105898031999</v>
      </c>
      <c r="D6508">
        <v>-17.635368885999899</v>
      </c>
      <c r="E6508" s="92">
        <f t="shared" si="7"/>
        <v>50</v>
      </c>
      <c r="F6508" t="str">
        <f>HYPERLINK("D:\Data From Lucan\2024\Moresby\Frames_for_Analysis/6505_20240611_0011_L_0291.jpg","6505_20240611_0011_L_0291.jpg")</f>
        <v>6505_20240611_0011_L_0291.jpg</v>
      </c>
      <c r="G6508" s="92" t="s">
        <v>6693</v>
      </c>
      <c r="I6508">
        <v>2</v>
      </c>
      <c r="K6508" s="97">
        <v>1</v>
      </c>
      <c r="P6508" s="57">
        <v>1</v>
      </c>
      <c r="Q6508" s="57">
        <v>0</v>
      </c>
      <c r="R6508" s="57">
        <v>0</v>
      </c>
      <c r="S6508" s="97">
        <v>0</v>
      </c>
      <c r="T6508" s="57">
        <v>0</v>
      </c>
      <c r="U6508" s="57">
        <v>0</v>
      </c>
      <c r="V6508" s="57">
        <v>0</v>
      </c>
      <c r="W6508" s="57">
        <v>0</v>
      </c>
      <c r="X6508" s="97">
        <v>0</v>
      </c>
    </row>
    <row r="6509" spans="1:24" x14ac:dyDescent="0.35">
      <c r="A6509">
        <v>6505</v>
      </c>
      <c r="B6509">
        <v>6506</v>
      </c>
      <c r="C6509">
        <v>146.105966553999</v>
      </c>
      <c r="D6509">
        <v>-17.6354242453999</v>
      </c>
      <c r="E6509" s="92" t="str">
        <f t="shared" si="7"/>
        <v/>
      </c>
      <c r="F6509" t="str">
        <f>HYPERLINK("D:\Data From Lucan\2024\Moresby\Frames_for_Analysis/6506_20240611_0011_L_0294.jpg","6506_20240611_0011_L_0294.jpg")</f>
        <v>6506_20240611_0011_L_0294.jpg</v>
      </c>
      <c r="G6509" s="92" t="s">
        <v>6694</v>
      </c>
      <c r="I6509">
        <v>2</v>
      </c>
      <c r="K6509" s="97">
        <v>1</v>
      </c>
      <c r="P6509" s="57">
        <v>1</v>
      </c>
      <c r="Q6509" s="57">
        <v>0</v>
      </c>
      <c r="R6509" s="57">
        <v>0</v>
      </c>
      <c r="S6509" s="97">
        <v>0</v>
      </c>
      <c r="T6509" s="57">
        <v>0</v>
      </c>
      <c r="U6509" s="57">
        <v>0</v>
      </c>
      <c r="V6509" s="57">
        <v>0</v>
      </c>
      <c r="W6509" s="57">
        <v>0</v>
      </c>
      <c r="X6509" s="97">
        <v>0</v>
      </c>
    </row>
    <row r="6510" spans="1:24" x14ac:dyDescent="0.35">
      <c r="A6510">
        <v>6506</v>
      </c>
      <c r="B6510">
        <v>6507</v>
      </c>
      <c r="C6510">
        <v>146.106035077</v>
      </c>
      <c r="D6510">
        <v>-17.6354796048</v>
      </c>
      <c r="E6510" s="92" t="str">
        <f t="shared" si="7"/>
        <v/>
      </c>
      <c r="F6510" t="str">
        <f>HYPERLINK("D:\Data From Lucan\2024\Moresby\Frames_for_Analysis/6507_20240611_0011_L_0296.jpg","6507_20240611_0011_L_0296.jpg")</f>
        <v>6507_20240611_0011_L_0296.jpg</v>
      </c>
      <c r="G6510" s="92" t="s">
        <v>6695</v>
      </c>
      <c r="I6510">
        <v>2</v>
      </c>
      <c r="K6510" s="97">
        <v>1</v>
      </c>
      <c r="P6510" s="57">
        <v>1</v>
      </c>
      <c r="Q6510" s="57">
        <v>0</v>
      </c>
      <c r="R6510" s="57">
        <v>0</v>
      </c>
      <c r="S6510" s="97">
        <v>0</v>
      </c>
      <c r="T6510" s="57">
        <v>0</v>
      </c>
      <c r="U6510" s="57">
        <v>0</v>
      </c>
      <c r="V6510" s="57">
        <v>0</v>
      </c>
      <c r="W6510" s="57">
        <v>0</v>
      </c>
      <c r="X6510" s="97">
        <v>0</v>
      </c>
    </row>
    <row r="6511" spans="1:24" x14ac:dyDescent="0.35">
      <c r="A6511">
        <v>6507</v>
      </c>
      <c r="B6511">
        <v>6508</v>
      </c>
      <c r="C6511">
        <v>146.106103598999</v>
      </c>
      <c r="D6511">
        <v>-17.6355349641</v>
      </c>
      <c r="E6511" s="92" t="str">
        <f t="shared" si="7"/>
        <v/>
      </c>
      <c r="F6511" t="str">
        <f>HYPERLINK("D:\Data From Lucan\2024\Moresby\Frames_for_Analysis/6508_20240611_0011_L_0299.jpg","6508_20240611_0011_L_0299.jpg")</f>
        <v>6508_20240611_0011_L_0299.jpg</v>
      </c>
      <c r="G6511" s="92" t="s">
        <v>6696</v>
      </c>
      <c r="I6511">
        <v>2</v>
      </c>
      <c r="K6511" s="97">
        <v>1</v>
      </c>
      <c r="P6511" s="57">
        <v>1</v>
      </c>
      <c r="Q6511" s="57">
        <v>0</v>
      </c>
      <c r="R6511" s="57">
        <v>0</v>
      </c>
      <c r="S6511" s="97">
        <v>0</v>
      </c>
      <c r="T6511" s="57">
        <v>0</v>
      </c>
      <c r="U6511" s="57">
        <v>0</v>
      </c>
      <c r="V6511" s="57">
        <v>0</v>
      </c>
      <c r="W6511" s="57">
        <v>0</v>
      </c>
      <c r="X6511" s="97">
        <v>0</v>
      </c>
    </row>
    <row r="6512" spans="1:24" x14ac:dyDescent="0.35">
      <c r="A6512">
        <v>6508</v>
      </c>
      <c r="B6512">
        <v>6509</v>
      </c>
      <c r="C6512">
        <v>146.106172122</v>
      </c>
      <c r="D6512">
        <v>-17.635590323500001</v>
      </c>
      <c r="E6512" s="92" t="str">
        <f t="shared" si="7"/>
        <v/>
      </c>
      <c r="F6512" t="str">
        <f>HYPERLINK("D:\Data From Lucan\2024\Moresby\Frames_for_Analysis/6509_20240611_0011_L_0302.jpg","6509_20240611_0011_L_0302.jpg")</f>
        <v>6509_20240611_0011_L_0302.jpg</v>
      </c>
      <c r="G6512" s="92" t="s">
        <v>6697</v>
      </c>
      <c r="I6512">
        <v>2</v>
      </c>
      <c r="K6512" s="97">
        <v>1</v>
      </c>
      <c r="P6512" s="57">
        <v>1</v>
      </c>
      <c r="Q6512" s="57">
        <v>0</v>
      </c>
      <c r="R6512" s="57">
        <v>0</v>
      </c>
      <c r="S6512" s="97">
        <v>0</v>
      </c>
      <c r="T6512" s="57">
        <v>0</v>
      </c>
      <c r="U6512" s="57">
        <v>0</v>
      </c>
      <c r="V6512" s="57">
        <v>0</v>
      </c>
      <c r="W6512" s="57">
        <v>0</v>
      </c>
      <c r="X6512" s="97">
        <v>0</v>
      </c>
    </row>
    <row r="6513" spans="1:24" x14ac:dyDescent="0.35">
      <c r="A6513">
        <v>6509</v>
      </c>
      <c r="B6513">
        <v>6510</v>
      </c>
      <c r="C6513">
        <v>146.106240643999</v>
      </c>
      <c r="D6513">
        <v>-17.6356456828</v>
      </c>
      <c r="E6513" s="92">
        <f t="shared" si="7"/>
        <v>50</v>
      </c>
      <c r="F6513" t="str">
        <f>HYPERLINK("D:\Data From Lucan\2024\Moresby\Frames_for_Analysis/6510_20240611_0011_L_0304.jpg","6510_20240611_0011_L_0304.jpg")</f>
        <v>6510_20240611_0011_L_0304.jpg</v>
      </c>
      <c r="G6513" s="92" t="s">
        <v>6698</v>
      </c>
      <c r="I6513">
        <v>2</v>
      </c>
      <c r="K6513" s="97">
        <v>1</v>
      </c>
      <c r="P6513" s="57">
        <v>1</v>
      </c>
      <c r="Q6513" s="57">
        <v>0</v>
      </c>
      <c r="R6513" s="57">
        <v>0</v>
      </c>
      <c r="S6513" s="97">
        <v>0</v>
      </c>
      <c r="T6513" s="57">
        <v>0</v>
      </c>
      <c r="U6513" s="57">
        <v>0</v>
      </c>
      <c r="V6513" s="57">
        <v>0</v>
      </c>
      <c r="W6513" s="57">
        <v>0</v>
      </c>
      <c r="X6513" s="97">
        <v>0</v>
      </c>
    </row>
    <row r="6514" spans="1:24" x14ac:dyDescent="0.35">
      <c r="A6514">
        <v>6510</v>
      </c>
      <c r="B6514">
        <v>6511</v>
      </c>
      <c r="C6514">
        <v>146.10630916599899</v>
      </c>
      <c r="D6514">
        <v>-17.635701042200001</v>
      </c>
      <c r="E6514" s="92" t="str">
        <f t="shared" si="7"/>
        <v/>
      </c>
      <c r="F6514" t="str">
        <f>HYPERLINK("D:\Data From Lucan\2024\Moresby\Frames_for_Analysis/6511_20240611_0011_L_0307.jpg","6511_20240611_0011_L_0307.jpg")</f>
        <v>6511_20240611_0011_L_0307.jpg</v>
      </c>
      <c r="G6514" s="92" t="s">
        <v>6699</v>
      </c>
      <c r="I6514">
        <v>2</v>
      </c>
      <c r="K6514" s="97">
        <v>1</v>
      </c>
      <c r="P6514" s="57">
        <v>1</v>
      </c>
      <c r="Q6514" s="57">
        <v>0</v>
      </c>
      <c r="R6514" s="57">
        <v>0</v>
      </c>
      <c r="S6514" s="97">
        <v>0</v>
      </c>
      <c r="T6514" s="57">
        <v>0</v>
      </c>
      <c r="U6514" s="57">
        <v>0</v>
      </c>
      <c r="V6514" s="57">
        <v>0</v>
      </c>
      <c r="W6514" s="57">
        <v>0</v>
      </c>
      <c r="X6514" s="97">
        <v>0</v>
      </c>
    </row>
    <row r="6515" spans="1:24" x14ac:dyDescent="0.35">
      <c r="A6515">
        <v>6511</v>
      </c>
      <c r="B6515">
        <v>6512</v>
      </c>
      <c r="C6515">
        <v>146.106377688999</v>
      </c>
      <c r="D6515">
        <v>-17.6357564015</v>
      </c>
      <c r="E6515" s="92" t="str">
        <f t="shared" si="7"/>
        <v/>
      </c>
      <c r="F6515" t="str">
        <f>HYPERLINK("D:\Data From Lucan\2024\Moresby\Frames_for_Analysis/6512_20240611_0011_L_0310.jpg","6512_20240611_0011_L_0310.jpg")</f>
        <v>6512_20240611_0011_L_0310.jpg</v>
      </c>
      <c r="G6515" s="92" t="s">
        <v>6700</v>
      </c>
      <c r="I6515">
        <v>2</v>
      </c>
      <c r="K6515" s="97">
        <v>1</v>
      </c>
      <c r="P6515" s="57">
        <v>1</v>
      </c>
      <c r="Q6515" s="57">
        <v>0</v>
      </c>
      <c r="R6515" s="57">
        <v>0</v>
      </c>
      <c r="S6515" s="97">
        <v>0</v>
      </c>
      <c r="T6515" s="57">
        <v>0</v>
      </c>
      <c r="U6515" s="57">
        <v>0</v>
      </c>
      <c r="V6515" s="57">
        <v>0</v>
      </c>
      <c r="W6515" s="57">
        <v>0</v>
      </c>
      <c r="X6515" s="97">
        <v>0</v>
      </c>
    </row>
    <row r="6516" spans="1:24" x14ac:dyDescent="0.35">
      <c r="A6516">
        <v>6512</v>
      </c>
      <c r="B6516">
        <v>6513</v>
      </c>
      <c r="C6516">
        <v>146.106447973</v>
      </c>
      <c r="D6516">
        <v>-17.6358097038</v>
      </c>
      <c r="E6516" s="92" t="str">
        <f t="shared" si="7"/>
        <v/>
      </c>
      <c r="F6516" t="str">
        <f>HYPERLINK("D:\Data From Lucan\2024\Moresby\Frames_for_Analysis/6513_20240611_0011_L_0313.jpg","6513_20240611_0011_L_0313.jpg")</f>
        <v>6513_20240611_0011_L_0313.jpg</v>
      </c>
      <c r="G6516" s="92" t="s">
        <v>6701</v>
      </c>
      <c r="I6516">
        <v>2</v>
      </c>
      <c r="K6516" s="97">
        <v>1</v>
      </c>
      <c r="P6516" s="57">
        <v>1</v>
      </c>
      <c r="Q6516" s="57">
        <v>0</v>
      </c>
      <c r="R6516" s="57">
        <v>0</v>
      </c>
      <c r="S6516" s="97">
        <v>0</v>
      </c>
      <c r="T6516" s="57">
        <v>0</v>
      </c>
      <c r="U6516" s="57">
        <v>0</v>
      </c>
      <c r="V6516" s="57">
        <v>0</v>
      </c>
      <c r="W6516" s="57">
        <v>0</v>
      </c>
      <c r="X6516" s="97">
        <v>0</v>
      </c>
    </row>
    <row r="6517" spans="1:24" x14ac:dyDescent="0.35">
      <c r="A6517">
        <v>6513</v>
      </c>
      <c r="B6517">
        <v>6514</v>
      </c>
      <c r="C6517">
        <v>146.106518614999</v>
      </c>
      <c r="D6517">
        <v>-17.6358625883</v>
      </c>
      <c r="E6517" s="92" t="str">
        <f t="shared" si="7"/>
        <v/>
      </c>
      <c r="F6517" t="str">
        <f>HYPERLINK("D:\Data From Lucan\2024\Moresby\Frames_for_Analysis/6514_20240611_0011_L_0316.jpg","6514_20240611_0011_L_0316.jpg")</f>
        <v>6514_20240611_0011_L_0316.jpg</v>
      </c>
      <c r="G6517" s="92" t="s">
        <v>6702</v>
      </c>
      <c r="I6517">
        <v>2</v>
      </c>
      <c r="K6517" s="97">
        <v>1</v>
      </c>
      <c r="P6517" s="57">
        <v>1</v>
      </c>
      <c r="Q6517" s="57">
        <v>0</v>
      </c>
      <c r="R6517" s="57">
        <v>0</v>
      </c>
      <c r="S6517" s="97">
        <v>0</v>
      </c>
      <c r="T6517" s="57">
        <v>0</v>
      </c>
      <c r="U6517" s="57">
        <v>0</v>
      </c>
      <c r="V6517" s="57">
        <v>0</v>
      </c>
      <c r="W6517" s="57">
        <v>0</v>
      </c>
      <c r="X6517" s="97">
        <v>0</v>
      </c>
    </row>
    <row r="6518" spans="1:24" x14ac:dyDescent="0.35">
      <c r="A6518">
        <v>6514</v>
      </c>
      <c r="B6518">
        <v>6515</v>
      </c>
      <c r="C6518">
        <v>146.106589256999</v>
      </c>
      <c r="D6518">
        <v>-17.635915472800001</v>
      </c>
      <c r="E6518" s="92">
        <f t="shared" si="7"/>
        <v>50</v>
      </c>
      <c r="F6518" t="str">
        <f>HYPERLINK("D:\Data From Lucan\2024\Moresby\Frames_for_Analysis/6515_20240611_0011_L_0319.jpg","6515_20240611_0011_L_0319.jpg")</f>
        <v>6515_20240611_0011_L_0319.jpg</v>
      </c>
      <c r="G6518" s="92" t="s">
        <v>6703</v>
      </c>
      <c r="I6518">
        <v>2</v>
      </c>
      <c r="K6518" s="97">
        <v>1</v>
      </c>
      <c r="P6518" s="57">
        <v>1</v>
      </c>
      <c r="Q6518" s="57">
        <v>0</v>
      </c>
      <c r="R6518" s="57">
        <v>0</v>
      </c>
      <c r="S6518" s="97">
        <v>0</v>
      </c>
      <c r="T6518" s="57">
        <v>0</v>
      </c>
      <c r="U6518" s="57">
        <v>0</v>
      </c>
      <c r="V6518" s="57">
        <v>0</v>
      </c>
      <c r="W6518" s="57">
        <v>0</v>
      </c>
      <c r="X6518" s="97">
        <v>0</v>
      </c>
    </row>
    <row r="6519" spans="1:24" x14ac:dyDescent="0.35">
      <c r="A6519">
        <v>6515</v>
      </c>
      <c r="B6519">
        <v>6516</v>
      </c>
      <c r="C6519">
        <v>146.106659898999</v>
      </c>
      <c r="D6519">
        <v>-17.6359683571999</v>
      </c>
      <c r="E6519" s="92" t="str">
        <f t="shared" si="7"/>
        <v/>
      </c>
      <c r="F6519" t="str">
        <f>HYPERLINK("D:\Data From Lucan\2024\Moresby\Frames_for_Analysis/6516_20240611_0011_L_0322.jpg","6516_20240611_0011_L_0322.jpg")</f>
        <v>6516_20240611_0011_L_0322.jpg</v>
      </c>
      <c r="G6519" s="92" t="s">
        <v>6704</v>
      </c>
      <c r="I6519">
        <v>2</v>
      </c>
      <c r="K6519" s="97">
        <v>1</v>
      </c>
      <c r="P6519" s="57">
        <v>1</v>
      </c>
      <c r="Q6519" s="57">
        <v>0</v>
      </c>
      <c r="R6519" s="57">
        <v>0</v>
      </c>
      <c r="S6519" s="97">
        <v>0</v>
      </c>
      <c r="T6519" s="57">
        <v>0</v>
      </c>
      <c r="U6519" s="57">
        <v>0</v>
      </c>
      <c r="V6519" s="57">
        <v>0</v>
      </c>
      <c r="W6519" s="57">
        <v>0</v>
      </c>
      <c r="X6519" s="97">
        <v>0</v>
      </c>
    </row>
    <row r="6520" spans="1:24" x14ac:dyDescent="0.35">
      <c r="A6520">
        <v>6516</v>
      </c>
      <c r="B6520">
        <v>6517</v>
      </c>
      <c r="C6520">
        <v>146.106730540999</v>
      </c>
      <c r="D6520">
        <v>-17.6360212417</v>
      </c>
      <c r="E6520" s="92" t="str">
        <f t="shared" si="7"/>
        <v/>
      </c>
      <c r="F6520" t="str">
        <f>HYPERLINK("D:\Data From Lucan\2024\Moresby\Frames_for_Analysis/6517_20240611_0011_L_0325.jpg","6517_20240611_0011_L_0325.jpg")</f>
        <v>6517_20240611_0011_L_0325.jpg</v>
      </c>
      <c r="G6520" s="92" t="s">
        <v>6705</v>
      </c>
      <c r="I6520">
        <v>2</v>
      </c>
      <c r="K6520" s="97">
        <v>1</v>
      </c>
      <c r="P6520" s="57">
        <v>1</v>
      </c>
      <c r="Q6520" s="57">
        <v>0</v>
      </c>
      <c r="R6520" s="57">
        <v>0</v>
      </c>
      <c r="S6520" s="97">
        <v>0</v>
      </c>
      <c r="T6520" s="57">
        <v>0</v>
      </c>
      <c r="U6520" s="57">
        <v>0</v>
      </c>
      <c r="V6520" s="57">
        <v>0</v>
      </c>
      <c r="W6520" s="57">
        <v>0</v>
      </c>
      <c r="X6520" s="97">
        <v>0</v>
      </c>
    </row>
    <row r="6521" spans="1:24" x14ac:dyDescent="0.35">
      <c r="A6521">
        <v>6517</v>
      </c>
      <c r="B6521">
        <v>6518</v>
      </c>
      <c r="C6521">
        <v>146.106801181999</v>
      </c>
      <c r="D6521">
        <v>-17.636074126099899</v>
      </c>
      <c r="E6521" s="92" t="str">
        <f t="shared" si="7"/>
        <v/>
      </c>
      <c r="F6521" t="str">
        <f>HYPERLINK("D:\Data From Lucan\2024\Moresby\Frames_for_Analysis/6518_20240611_0011_L_0328.jpg","6518_20240611_0011_L_0328.jpg")</f>
        <v>6518_20240611_0011_L_0328.jpg</v>
      </c>
      <c r="G6521" s="92" t="s">
        <v>6706</v>
      </c>
      <c r="I6521">
        <v>2</v>
      </c>
      <c r="K6521" s="97">
        <v>1</v>
      </c>
      <c r="P6521" s="57">
        <v>1</v>
      </c>
      <c r="Q6521" s="57">
        <v>0</v>
      </c>
      <c r="R6521" s="57">
        <v>0</v>
      </c>
      <c r="S6521" s="97">
        <v>0</v>
      </c>
      <c r="T6521" s="57">
        <v>0</v>
      </c>
      <c r="U6521" s="57">
        <v>0</v>
      </c>
      <c r="V6521" s="57">
        <v>0</v>
      </c>
      <c r="W6521" s="57">
        <v>0</v>
      </c>
      <c r="X6521" s="97">
        <v>0</v>
      </c>
    </row>
    <row r="6522" spans="1:24" x14ac:dyDescent="0.35">
      <c r="A6522">
        <v>6518</v>
      </c>
      <c r="B6522">
        <v>6519</v>
      </c>
      <c r="C6522">
        <v>146.106871823999</v>
      </c>
      <c r="D6522">
        <v>-17.636127010500001</v>
      </c>
      <c r="E6522" s="92" t="str">
        <f t="shared" si="7"/>
        <v/>
      </c>
      <c r="F6522" t="str">
        <f>HYPERLINK("D:\Data From Lucan\2024\Moresby\Frames_for_Analysis/6519_20240611_0011_L_0330.jpg","6519_20240611_0011_L_0330.jpg")</f>
        <v>6519_20240611_0011_L_0330.jpg</v>
      </c>
      <c r="G6522" s="92" t="s">
        <v>6707</v>
      </c>
      <c r="I6522">
        <v>2</v>
      </c>
      <c r="K6522" s="97">
        <v>1</v>
      </c>
      <c r="P6522" s="57">
        <v>1</v>
      </c>
      <c r="Q6522" s="57">
        <v>0</v>
      </c>
      <c r="R6522" s="57">
        <v>0</v>
      </c>
      <c r="S6522" s="97">
        <v>0</v>
      </c>
      <c r="T6522" s="57">
        <v>0</v>
      </c>
      <c r="U6522" s="57">
        <v>0</v>
      </c>
      <c r="V6522" s="57">
        <v>0</v>
      </c>
      <c r="W6522" s="57">
        <v>0</v>
      </c>
      <c r="X6522" s="97">
        <v>0</v>
      </c>
    </row>
    <row r="6523" spans="1:24" x14ac:dyDescent="0.35">
      <c r="A6523">
        <v>6519</v>
      </c>
      <c r="B6523">
        <v>6520</v>
      </c>
      <c r="C6523">
        <v>146.106942465999</v>
      </c>
      <c r="D6523">
        <v>-17.6361798949</v>
      </c>
      <c r="E6523" s="92">
        <f t="shared" si="7"/>
        <v>50</v>
      </c>
      <c r="F6523" t="str">
        <f>HYPERLINK("D:\Data From Lucan\2024\Moresby\Frames_for_Analysis/6520_20240611_0011_L_0333.jpg","6520_20240611_0011_L_0333.jpg")</f>
        <v>6520_20240611_0011_L_0333.jpg</v>
      </c>
      <c r="G6523" s="92" t="s">
        <v>6708</v>
      </c>
      <c r="I6523">
        <v>2</v>
      </c>
      <c r="K6523" s="97">
        <v>1</v>
      </c>
      <c r="P6523" s="57">
        <v>1</v>
      </c>
      <c r="Q6523" s="57">
        <v>0</v>
      </c>
      <c r="R6523" s="57">
        <v>0</v>
      </c>
      <c r="S6523" s="97">
        <v>0</v>
      </c>
      <c r="T6523" s="57">
        <v>0</v>
      </c>
      <c r="U6523" s="57">
        <v>0</v>
      </c>
      <c r="V6523" s="57">
        <v>0</v>
      </c>
      <c r="W6523" s="57">
        <v>0</v>
      </c>
      <c r="X6523" s="97">
        <v>0</v>
      </c>
    </row>
    <row r="6524" spans="1:24" x14ac:dyDescent="0.35">
      <c r="A6524">
        <v>6520</v>
      </c>
      <c r="B6524">
        <v>6521</v>
      </c>
      <c r="C6524">
        <v>146.10701310799899</v>
      </c>
      <c r="D6524">
        <v>-17.636232779299899</v>
      </c>
      <c r="E6524" s="92" t="str">
        <f t="shared" si="7"/>
        <v/>
      </c>
      <c r="F6524" t="str">
        <f>HYPERLINK("D:\Data From Lucan\2024\Moresby\Frames_for_Analysis/6521_20240611_0011_L_0336.jpg","6521_20240611_0011_L_0336.jpg")</f>
        <v>6521_20240611_0011_L_0336.jpg</v>
      </c>
      <c r="G6524" s="92" t="s">
        <v>6709</v>
      </c>
      <c r="I6524">
        <v>2</v>
      </c>
      <c r="K6524" s="97">
        <v>1</v>
      </c>
      <c r="P6524" s="57">
        <v>1</v>
      </c>
      <c r="Q6524" s="57">
        <v>0</v>
      </c>
      <c r="R6524" s="57">
        <v>0</v>
      </c>
      <c r="S6524" s="97">
        <v>0</v>
      </c>
      <c r="T6524" s="57">
        <v>0</v>
      </c>
      <c r="U6524" s="57">
        <v>0</v>
      </c>
      <c r="V6524" s="57">
        <v>0</v>
      </c>
      <c r="W6524" s="57">
        <v>0</v>
      </c>
      <c r="X6524" s="97">
        <v>0</v>
      </c>
    </row>
    <row r="6525" spans="1:24" x14ac:dyDescent="0.35">
      <c r="A6525">
        <v>6521</v>
      </c>
      <c r="B6525">
        <v>6522</v>
      </c>
      <c r="C6525">
        <v>146.107085740999</v>
      </c>
      <c r="D6525">
        <v>-17.6362830337</v>
      </c>
      <c r="E6525" s="92" t="str">
        <f t="shared" si="7"/>
        <v/>
      </c>
      <c r="F6525" t="str">
        <f>HYPERLINK("D:\Data From Lucan\2024\Moresby\Frames_for_Analysis/6522_20240611_0011_L_0339.jpg","6522_20240611_0011_L_0339.jpg")</f>
        <v>6522_20240611_0011_L_0339.jpg</v>
      </c>
      <c r="G6525" s="92" t="s">
        <v>6710</v>
      </c>
      <c r="I6525">
        <v>2</v>
      </c>
      <c r="K6525" s="97">
        <v>1</v>
      </c>
      <c r="P6525" s="57">
        <v>1</v>
      </c>
      <c r="Q6525" s="57">
        <v>0</v>
      </c>
      <c r="R6525" s="57">
        <v>0</v>
      </c>
      <c r="S6525" s="97">
        <v>0</v>
      </c>
      <c r="T6525" s="57">
        <v>0</v>
      </c>
      <c r="U6525" s="57">
        <v>0</v>
      </c>
      <c r="V6525" s="57">
        <v>0</v>
      </c>
      <c r="W6525" s="57">
        <v>0</v>
      </c>
      <c r="X6525" s="97">
        <v>0</v>
      </c>
    </row>
    <row r="6526" spans="1:24" x14ac:dyDescent="0.35">
      <c r="A6526">
        <v>6522</v>
      </c>
      <c r="B6526">
        <v>6523</v>
      </c>
      <c r="C6526">
        <v>146.10716068900001</v>
      </c>
      <c r="D6526">
        <v>-17.636330228599899</v>
      </c>
      <c r="E6526" s="92" t="str">
        <f t="shared" si="7"/>
        <v/>
      </c>
      <c r="F6526" t="str">
        <f>HYPERLINK("D:\Data From Lucan\2024\Moresby\Frames_for_Analysis/6523_20240611_0011_L_0341.jpg","6523_20240611_0011_L_0341.jpg")</f>
        <v>6523_20240611_0011_L_0341.jpg</v>
      </c>
      <c r="G6526" s="92" t="s">
        <v>6711</v>
      </c>
      <c r="I6526">
        <v>2</v>
      </c>
      <c r="K6526" s="97">
        <v>1</v>
      </c>
      <c r="P6526" s="57">
        <v>1</v>
      </c>
      <c r="Q6526" s="57">
        <v>0</v>
      </c>
      <c r="R6526" s="57">
        <v>0</v>
      </c>
      <c r="S6526" s="97">
        <v>0</v>
      </c>
      <c r="T6526" s="57">
        <v>0</v>
      </c>
      <c r="U6526" s="57">
        <v>0</v>
      </c>
      <c r="V6526" s="57">
        <v>0</v>
      </c>
      <c r="W6526" s="57">
        <v>0</v>
      </c>
      <c r="X6526" s="97">
        <v>0</v>
      </c>
    </row>
    <row r="6527" spans="1:24" x14ac:dyDescent="0.35">
      <c r="A6527">
        <v>6523</v>
      </c>
      <c r="B6527">
        <v>6524</v>
      </c>
      <c r="C6527">
        <v>146.107235637</v>
      </c>
      <c r="D6527">
        <v>-17.6363774233999</v>
      </c>
      <c r="E6527" s="92" t="str">
        <f t="shared" si="7"/>
        <v/>
      </c>
      <c r="F6527" t="str">
        <f>HYPERLINK("D:\Data From Lucan\2024\Moresby\Frames_for_Analysis/6524_20240611_0011_L_0344.jpg","6524_20240611_0011_L_0344.jpg")</f>
        <v>6524_20240611_0011_L_0344.jpg</v>
      </c>
      <c r="G6527" s="92" t="s">
        <v>6712</v>
      </c>
      <c r="I6527">
        <v>2</v>
      </c>
      <c r="K6527" s="97">
        <v>1</v>
      </c>
      <c r="P6527" s="57">
        <v>1</v>
      </c>
      <c r="Q6527" s="57">
        <v>0</v>
      </c>
      <c r="R6527" s="57">
        <v>0</v>
      </c>
      <c r="S6527" s="97">
        <v>0</v>
      </c>
      <c r="T6527" s="57">
        <v>0</v>
      </c>
      <c r="U6527" s="57">
        <v>0</v>
      </c>
      <c r="V6527" s="57">
        <v>0</v>
      </c>
      <c r="W6527" s="57">
        <v>0</v>
      </c>
      <c r="X6527" s="97">
        <v>0</v>
      </c>
    </row>
    <row r="6528" spans="1:24" x14ac:dyDescent="0.35">
      <c r="A6528">
        <v>6524</v>
      </c>
      <c r="B6528">
        <v>6525</v>
      </c>
      <c r="C6528">
        <v>146.107310584999</v>
      </c>
      <c r="D6528">
        <v>-17.6364246182</v>
      </c>
      <c r="E6528" s="92">
        <f t="shared" si="7"/>
        <v>50</v>
      </c>
      <c r="F6528" t="str">
        <f>HYPERLINK("D:\Data From Lucan\2024\Moresby\Frames_for_Analysis/6525_20240611_0011_L_0347.jpg","6525_20240611_0011_L_0347.jpg")</f>
        <v>6525_20240611_0011_L_0347.jpg</v>
      </c>
      <c r="G6528" s="92" t="s">
        <v>6713</v>
      </c>
      <c r="I6528">
        <v>2</v>
      </c>
      <c r="K6528" s="97">
        <v>1</v>
      </c>
      <c r="P6528" s="57">
        <v>1</v>
      </c>
      <c r="Q6528" s="57">
        <v>0</v>
      </c>
      <c r="R6528" s="57">
        <v>0</v>
      </c>
      <c r="S6528" s="97">
        <v>0</v>
      </c>
      <c r="T6528" s="57">
        <v>0</v>
      </c>
      <c r="U6528" s="57">
        <v>0</v>
      </c>
      <c r="V6528" s="57">
        <v>0</v>
      </c>
      <c r="W6528" s="57">
        <v>0</v>
      </c>
      <c r="X6528" s="97">
        <v>0</v>
      </c>
    </row>
    <row r="6529" spans="1:24" x14ac:dyDescent="0.35">
      <c r="A6529">
        <v>6525</v>
      </c>
      <c r="B6529">
        <v>6526</v>
      </c>
      <c r="C6529">
        <v>146.10738553300001</v>
      </c>
      <c r="D6529">
        <v>-17.636471813</v>
      </c>
      <c r="E6529" s="92" t="str">
        <f t="shared" si="7"/>
        <v/>
      </c>
      <c r="F6529" t="str">
        <f>HYPERLINK("D:\Data From Lucan\2024\Moresby\Frames_for_Analysis/6526_20240611_0011_L_0350.jpg","6526_20240611_0011_L_0350.jpg")</f>
        <v>6526_20240611_0011_L_0350.jpg</v>
      </c>
      <c r="G6529" s="92" t="s">
        <v>6714</v>
      </c>
      <c r="I6529">
        <v>2</v>
      </c>
      <c r="K6529" s="97">
        <v>1</v>
      </c>
      <c r="P6529" s="57">
        <v>1</v>
      </c>
      <c r="Q6529" s="57">
        <v>0</v>
      </c>
      <c r="R6529" s="57">
        <v>0</v>
      </c>
      <c r="S6529" s="97">
        <v>0</v>
      </c>
      <c r="T6529" s="57">
        <v>0</v>
      </c>
      <c r="U6529" s="57">
        <v>0</v>
      </c>
      <c r="V6529" s="57">
        <v>0</v>
      </c>
      <c r="W6529" s="57">
        <v>0</v>
      </c>
      <c r="X6529" s="97">
        <v>0</v>
      </c>
    </row>
    <row r="6530" spans="1:24" x14ac:dyDescent="0.35">
      <c r="A6530">
        <v>6526</v>
      </c>
      <c r="B6530">
        <v>6527</v>
      </c>
      <c r="C6530">
        <v>146.107460481999</v>
      </c>
      <c r="D6530">
        <v>-17.6365190078</v>
      </c>
      <c r="E6530" s="92" t="str">
        <f t="shared" si="7"/>
        <v/>
      </c>
      <c r="F6530" t="str">
        <f>HYPERLINK("D:\Data From Lucan\2024\Moresby\Frames_for_Analysis/6527_20240611_0011_L_0352.jpg","6527_20240611_0011_L_0352.jpg")</f>
        <v>6527_20240611_0011_L_0352.jpg</v>
      </c>
      <c r="G6530" s="92" t="s">
        <v>6715</v>
      </c>
      <c r="I6530">
        <v>2</v>
      </c>
      <c r="K6530" s="97">
        <v>1</v>
      </c>
      <c r="P6530" s="57">
        <v>1</v>
      </c>
      <c r="Q6530" s="57">
        <v>0</v>
      </c>
      <c r="R6530" s="57">
        <v>0</v>
      </c>
      <c r="S6530" s="97">
        <v>0</v>
      </c>
      <c r="T6530" s="57">
        <v>0</v>
      </c>
      <c r="U6530" s="57">
        <v>0</v>
      </c>
      <c r="V6530" s="57">
        <v>0</v>
      </c>
      <c r="W6530" s="57">
        <v>0</v>
      </c>
      <c r="X6530" s="97">
        <v>0</v>
      </c>
    </row>
    <row r="6531" spans="1:24" x14ac:dyDescent="0.35">
      <c r="A6531">
        <v>6527</v>
      </c>
      <c r="B6531">
        <v>6528</v>
      </c>
      <c r="C6531">
        <v>146.10753543000001</v>
      </c>
      <c r="D6531">
        <v>-17.6365662024999</v>
      </c>
      <c r="E6531" s="92" t="str">
        <f t="shared" si="7"/>
        <v/>
      </c>
      <c r="F6531" t="str">
        <f>HYPERLINK("D:\Data From Lucan\2024\Moresby\Frames_for_Analysis/6528_20240611_0011_L_0355.jpg","6528_20240611_0011_L_0355.jpg")</f>
        <v>6528_20240611_0011_L_0355.jpg</v>
      </c>
      <c r="G6531" s="92" t="s">
        <v>6716</v>
      </c>
      <c r="I6531">
        <v>2</v>
      </c>
      <c r="K6531" s="97">
        <v>1</v>
      </c>
      <c r="P6531" s="57">
        <v>1</v>
      </c>
      <c r="Q6531" s="57">
        <v>0</v>
      </c>
      <c r="R6531" s="57">
        <v>0</v>
      </c>
      <c r="S6531" s="97">
        <v>0</v>
      </c>
      <c r="T6531" s="57">
        <v>0</v>
      </c>
      <c r="U6531" s="57">
        <v>0</v>
      </c>
      <c r="V6531" s="57">
        <v>0</v>
      </c>
      <c r="W6531" s="57">
        <v>0</v>
      </c>
      <c r="X6531" s="97">
        <v>0</v>
      </c>
    </row>
    <row r="6532" spans="1:24" x14ac:dyDescent="0.35">
      <c r="A6532">
        <v>6528</v>
      </c>
      <c r="B6532">
        <v>6529</v>
      </c>
      <c r="C6532">
        <v>146.107610378</v>
      </c>
      <c r="D6532">
        <v>-17.6366133973</v>
      </c>
      <c r="E6532" s="92" t="str">
        <f t="shared" si="7"/>
        <v/>
      </c>
      <c r="F6532" t="str">
        <f>HYPERLINK("D:\Data From Lucan\2024\Moresby\Frames_for_Analysis/6529_20240611_0011_L_0358.jpg","6529_20240611_0011_L_0358.jpg")</f>
        <v>6529_20240611_0011_L_0358.jpg</v>
      </c>
      <c r="G6532" s="92" t="s">
        <v>6717</v>
      </c>
      <c r="I6532">
        <v>2</v>
      </c>
      <c r="K6532" s="97">
        <v>1</v>
      </c>
      <c r="P6532" s="57">
        <v>1</v>
      </c>
      <c r="Q6532" s="57">
        <v>0</v>
      </c>
      <c r="R6532" s="57">
        <v>0</v>
      </c>
      <c r="S6532" s="97">
        <v>0</v>
      </c>
      <c r="T6532" s="57">
        <v>0</v>
      </c>
      <c r="U6532" s="57">
        <v>0</v>
      </c>
      <c r="V6532" s="57">
        <v>0</v>
      </c>
      <c r="W6532" s="57">
        <v>0</v>
      </c>
      <c r="X6532" s="97">
        <v>0</v>
      </c>
    </row>
    <row r="6533" spans="1:24" x14ac:dyDescent="0.35">
      <c r="A6533">
        <v>6529</v>
      </c>
      <c r="B6533">
        <v>6530</v>
      </c>
      <c r="C6533">
        <v>146.107685325999</v>
      </c>
      <c r="D6533">
        <v>-17.636660591999899</v>
      </c>
      <c r="E6533" s="92">
        <f t="shared" si="7"/>
        <v>50</v>
      </c>
      <c r="F6533" t="str">
        <f>HYPERLINK("D:\Data From Lucan\2024\Moresby\Frames_for_Analysis/6530_20240611_0011_L_0361.jpg","6530_20240611_0011_L_0361.jpg")</f>
        <v>6530_20240611_0011_L_0361.jpg</v>
      </c>
      <c r="G6533" s="92" t="s">
        <v>6718</v>
      </c>
      <c r="I6533">
        <v>2</v>
      </c>
      <c r="K6533" s="97">
        <v>1</v>
      </c>
      <c r="P6533" s="57">
        <v>1</v>
      </c>
      <c r="Q6533" s="57">
        <v>0</v>
      </c>
      <c r="R6533" s="57">
        <v>0</v>
      </c>
      <c r="S6533" s="97">
        <v>0</v>
      </c>
      <c r="T6533" s="57">
        <v>0</v>
      </c>
      <c r="U6533" s="57">
        <v>0</v>
      </c>
      <c r="V6533" s="57">
        <v>0</v>
      </c>
      <c r="W6533" s="57">
        <v>0</v>
      </c>
      <c r="X6533" s="97">
        <v>0</v>
      </c>
    </row>
    <row r="6534" spans="1:24" x14ac:dyDescent="0.35">
      <c r="A6534">
        <v>6530</v>
      </c>
      <c r="B6534">
        <v>6531</v>
      </c>
      <c r="C6534">
        <v>146.107763683999</v>
      </c>
      <c r="D6534">
        <v>-17.636701284000001</v>
      </c>
      <c r="E6534" s="92" t="str">
        <f t="shared" si="7"/>
        <v/>
      </c>
      <c r="F6534" t="str">
        <f>HYPERLINK("D:\Data From Lucan\2024\Moresby\Frames_for_Analysis/6531_20240611_0011_L_0364.jpg","6531_20240611_0011_L_0364.jpg")</f>
        <v>6531_20240611_0011_L_0364.jpg</v>
      </c>
      <c r="G6534" s="92" t="s">
        <v>6719</v>
      </c>
      <c r="I6534">
        <v>2</v>
      </c>
      <c r="K6534" s="97">
        <v>1</v>
      </c>
      <c r="P6534" s="57">
        <v>1</v>
      </c>
      <c r="Q6534" s="57">
        <v>0</v>
      </c>
      <c r="R6534" s="57">
        <v>0</v>
      </c>
      <c r="S6534" s="97">
        <v>0</v>
      </c>
      <c r="T6534" s="57">
        <v>0</v>
      </c>
      <c r="U6534" s="57">
        <v>0</v>
      </c>
      <c r="V6534" s="57">
        <v>0</v>
      </c>
      <c r="W6534" s="57">
        <v>0</v>
      </c>
      <c r="X6534" s="97">
        <v>0</v>
      </c>
    </row>
    <row r="6535" spans="1:24" x14ac:dyDescent="0.35">
      <c r="A6535">
        <v>6531</v>
      </c>
      <c r="B6535">
        <v>6532</v>
      </c>
      <c r="C6535">
        <v>146.10784828600001</v>
      </c>
      <c r="D6535">
        <v>-17.636730066399899</v>
      </c>
      <c r="E6535" s="92" t="str">
        <f t="shared" si="7"/>
        <v/>
      </c>
      <c r="F6535" t="str">
        <f>HYPERLINK("D:\Data From Lucan\2024\Moresby\Frames_for_Analysis/6532_20240611_0011_L_0367.jpg","6532_20240611_0011_L_0367.jpg")</f>
        <v>6532_20240611_0011_L_0367.jpg</v>
      </c>
      <c r="G6535" s="92" t="s">
        <v>6720</v>
      </c>
      <c r="I6535">
        <v>2</v>
      </c>
      <c r="K6535" s="97">
        <v>1</v>
      </c>
      <c r="P6535" s="57">
        <v>1</v>
      </c>
      <c r="Q6535" s="57">
        <v>0</v>
      </c>
      <c r="R6535" s="57">
        <v>0</v>
      </c>
      <c r="S6535" s="97">
        <v>0</v>
      </c>
      <c r="T6535" s="57">
        <v>0</v>
      </c>
      <c r="U6535" s="57">
        <v>0</v>
      </c>
      <c r="V6535" s="57">
        <v>0</v>
      </c>
      <c r="W6535" s="57">
        <v>0</v>
      </c>
      <c r="X6535" s="97">
        <v>0</v>
      </c>
    </row>
    <row r="6536" spans="1:24" x14ac:dyDescent="0.35">
      <c r="A6536">
        <v>6532</v>
      </c>
      <c r="B6536">
        <v>6533</v>
      </c>
      <c r="C6536">
        <v>146.107932887999</v>
      </c>
      <c r="D6536">
        <v>-17.636758848700001</v>
      </c>
      <c r="E6536" s="92" t="str">
        <f t="shared" si="7"/>
        <v/>
      </c>
      <c r="F6536" t="str">
        <f>HYPERLINK("D:\Data From Lucan\2024\Moresby\Frames_for_Analysis/6533_20240611_0011_L_0370.jpg","6533_20240611_0011_L_0370.jpg")</f>
        <v>6533_20240611_0011_L_0370.jpg</v>
      </c>
      <c r="G6536" s="92" t="s">
        <v>6721</v>
      </c>
      <c r="I6536">
        <v>2</v>
      </c>
      <c r="K6536" s="97">
        <v>1</v>
      </c>
      <c r="P6536" s="57">
        <v>1</v>
      </c>
      <c r="Q6536" s="57">
        <v>0</v>
      </c>
      <c r="R6536" s="57">
        <v>2</v>
      </c>
      <c r="S6536" s="97">
        <v>0</v>
      </c>
      <c r="T6536" s="57">
        <v>0</v>
      </c>
      <c r="U6536" s="57">
        <v>0</v>
      </c>
      <c r="V6536" s="57">
        <v>0</v>
      </c>
      <c r="W6536" s="57">
        <v>0</v>
      </c>
      <c r="X6536" s="97">
        <v>0</v>
      </c>
    </row>
    <row r="6537" spans="1:24" x14ac:dyDescent="0.35">
      <c r="A6537">
        <v>6533</v>
      </c>
      <c r="B6537">
        <v>6534</v>
      </c>
      <c r="C6537">
        <v>146.108017490999</v>
      </c>
      <c r="D6537">
        <v>-17.636787631099899</v>
      </c>
      <c r="E6537" s="92" t="str">
        <f t="shared" si="7"/>
        <v/>
      </c>
      <c r="F6537" t="str">
        <f>HYPERLINK("D:\Data From Lucan\2024\Moresby\Frames_for_Analysis/6534_20240611_0011_L_0373.jpg","6534_20240611_0011_L_0373.jpg")</f>
        <v>6534_20240611_0011_L_0373.jpg</v>
      </c>
      <c r="G6537" s="92" t="s">
        <v>6722</v>
      </c>
      <c r="I6537">
        <v>2</v>
      </c>
      <c r="K6537" s="97">
        <v>1</v>
      </c>
      <c r="P6537" s="57">
        <v>1</v>
      </c>
      <c r="Q6537" s="57">
        <v>0</v>
      </c>
      <c r="R6537" s="57">
        <v>0</v>
      </c>
      <c r="S6537" s="97">
        <v>0</v>
      </c>
      <c r="T6537" s="57">
        <v>0</v>
      </c>
      <c r="U6537" s="57">
        <v>0</v>
      </c>
      <c r="V6537" s="57">
        <v>0</v>
      </c>
      <c r="W6537" s="57">
        <v>0</v>
      </c>
      <c r="X6537" s="97">
        <v>0</v>
      </c>
    </row>
    <row r="6538" spans="1:24" x14ac:dyDescent="0.35">
      <c r="A6538">
        <v>6534</v>
      </c>
      <c r="B6538">
        <v>6535</v>
      </c>
      <c r="C6538">
        <v>146.10810209300001</v>
      </c>
      <c r="D6538">
        <v>-17.636816413399899</v>
      </c>
      <c r="E6538" s="92">
        <f t="shared" si="7"/>
        <v>50</v>
      </c>
      <c r="F6538" t="str">
        <f>HYPERLINK("D:\Data From Lucan\2024\Moresby\Frames_for_Analysis/6535_20240611_0011_L_0376.jpg","6535_20240611_0011_L_0376.jpg")</f>
        <v>6535_20240611_0011_L_0376.jpg</v>
      </c>
      <c r="G6538" s="92" t="s">
        <v>6723</v>
      </c>
      <c r="I6538">
        <v>2</v>
      </c>
      <c r="K6538" s="97">
        <v>1</v>
      </c>
      <c r="P6538" s="57">
        <v>1</v>
      </c>
      <c r="Q6538" s="57">
        <v>0</v>
      </c>
      <c r="R6538" s="57">
        <v>0</v>
      </c>
      <c r="S6538" s="97">
        <v>0</v>
      </c>
      <c r="T6538" s="57">
        <v>0</v>
      </c>
      <c r="U6538" s="57">
        <v>0</v>
      </c>
      <c r="V6538" s="57">
        <v>0</v>
      </c>
      <c r="W6538" s="57">
        <v>0</v>
      </c>
      <c r="X6538" s="97">
        <v>0</v>
      </c>
    </row>
    <row r="6539" spans="1:24" x14ac:dyDescent="0.35">
      <c r="A6539">
        <v>6535</v>
      </c>
      <c r="B6539">
        <v>6536</v>
      </c>
      <c r="C6539">
        <v>146.108186695</v>
      </c>
      <c r="D6539">
        <v>-17.636845195700001</v>
      </c>
      <c r="E6539" s="92" t="str">
        <f t="shared" si="7"/>
        <v/>
      </c>
      <c r="F6539" t="str">
        <f>HYPERLINK("D:\Data From Lucan\2024\Moresby\Frames_for_Analysis/6536_20240611_0011_L_0379.jpg","6536_20240611_0011_L_0379.jpg")</f>
        <v>6536_20240611_0011_L_0379.jpg</v>
      </c>
      <c r="G6539" s="92" t="s">
        <v>6724</v>
      </c>
      <c r="I6539">
        <v>2</v>
      </c>
      <c r="K6539" s="97">
        <v>1</v>
      </c>
      <c r="P6539" s="57">
        <v>1</v>
      </c>
      <c r="Q6539" s="57">
        <v>0</v>
      </c>
      <c r="R6539" s="57">
        <v>0</v>
      </c>
      <c r="S6539" s="97">
        <v>0</v>
      </c>
      <c r="T6539" s="57">
        <v>0</v>
      </c>
      <c r="U6539" s="57">
        <v>0</v>
      </c>
      <c r="V6539" s="57">
        <v>0</v>
      </c>
      <c r="W6539" s="57">
        <v>0</v>
      </c>
      <c r="X6539" s="97">
        <v>0</v>
      </c>
    </row>
    <row r="6540" spans="1:24" x14ac:dyDescent="0.35">
      <c r="A6540">
        <v>6536</v>
      </c>
      <c r="B6540">
        <v>6537</v>
      </c>
      <c r="C6540">
        <v>146.10827129800001</v>
      </c>
      <c r="D6540">
        <v>-17.636873978000001</v>
      </c>
      <c r="E6540" s="92" t="str">
        <f t="shared" si="7"/>
        <v/>
      </c>
      <c r="F6540" t="str">
        <f>HYPERLINK("D:\Data From Lucan\2024\Moresby\Frames_for_Analysis/6537_20240611_0002_R_1218.jpg","6537_20240611_0002_R_1218.jpg")</f>
        <v>6537_20240611_0002_R_1218.jpg</v>
      </c>
      <c r="G6540" s="92" t="s">
        <v>6725</v>
      </c>
      <c r="I6540">
        <v>2</v>
      </c>
      <c r="K6540" s="97">
        <v>1</v>
      </c>
      <c r="P6540" s="57">
        <v>1</v>
      </c>
      <c r="Q6540" s="57">
        <v>0</v>
      </c>
      <c r="R6540" s="57">
        <v>0</v>
      </c>
      <c r="S6540" s="97">
        <v>0</v>
      </c>
      <c r="T6540" s="57">
        <v>0</v>
      </c>
      <c r="U6540" s="57">
        <v>0</v>
      </c>
      <c r="V6540" s="57">
        <v>0</v>
      </c>
      <c r="W6540" s="57">
        <v>0</v>
      </c>
      <c r="X6540" s="97">
        <v>0</v>
      </c>
    </row>
    <row r="6541" spans="1:24" x14ac:dyDescent="0.35">
      <c r="A6541">
        <v>6537</v>
      </c>
      <c r="B6541">
        <v>6538</v>
      </c>
      <c r="C6541">
        <v>146.108355899999</v>
      </c>
      <c r="D6541">
        <v>-17.636902760400002</v>
      </c>
      <c r="E6541" s="92" t="str">
        <f t="shared" si="7"/>
        <v/>
      </c>
      <c r="F6541" t="str">
        <f>HYPERLINK("D:\Data From Lucan\2024\Moresby\Frames_for_Analysis/6538_20240611_0002_R_1215.jpg","6538_20240611_0002_R_1215.jpg")</f>
        <v>6538_20240611_0002_R_1215.jpg</v>
      </c>
      <c r="G6541" s="92" t="s">
        <v>6726</v>
      </c>
      <c r="I6541">
        <v>2</v>
      </c>
      <c r="K6541" s="97">
        <v>1</v>
      </c>
      <c r="P6541" s="57">
        <v>1</v>
      </c>
      <c r="Q6541" s="57">
        <v>0</v>
      </c>
      <c r="R6541" s="57">
        <v>0</v>
      </c>
      <c r="S6541" s="97">
        <v>0</v>
      </c>
      <c r="T6541" s="57">
        <v>0</v>
      </c>
      <c r="U6541" s="57">
        <v>0</v>
      </c>
      <c r="V6541" s="57">
        <v>0</v>
      </c>
      <c r="W6541" s="57">
        <v>0</v>
      </c>
      <c r="X6541" s="97">
        <v>0</v>
      </c>
    </row>
    <row r="6542" spans="1:24" x14ac:dyDescent="0.35">
      <c r="A6542">
        <v>6538</v>
      </c>
      <c r="B6542">
        <v>6539</v>
      </c>
      <c r="C6542">
        <v>146.108440634999</v>
      </c>
      <c r="D6542">
        <v>-17.6369310143</v>
      </c>
      <c r="E6542" s="92" t="str">
        <f t="shared" si="7"/>
        <v/>
      </c>
      <c r="F6542" t="str">
        <f>HYPERLINK("D:\Data From Lucan\2024\Moresby\Frames_for_Analysis/6539_20240611_0002_R_1212.jpg","6539_20240611_0002_R_1212.jpg")</f>
        <v>6539_20240611_0002_R_1212.jpg</v>
      </c>
      <c r="G6542" s="92" t="s">
        <v>6727</v>
      </c>
      <c r="I6542">
        <v>2</v>
      </c>
      <c r="K6542" s="97">
        <v>1</v>
      </c>
      <c r="P6542" s="57">
        <v>1</v>
      </c>
      <c r="Q6542" s="57">
        <v>0</v>
      </c>
      <c r="R6542" s="57">
        <v>0</v>
      </c>
      <c r="S6542" s="97">
        <v>0</v>
      </c>
      <c r="T6542" s="57">
        <v>0</v>
      </c>
      <c r="U6542" s="57">
        <v>0</v>
      </c>
      <c r="V6542" s="57">
        <v>0</v>
      </c>
      <c r="W6542" s="57">
        <v>0</v>
      </c>
      <c r="X6542" s="97">
        <v>0</v>
      </c>
    </row>
    <row r="6543" spans="1:24" x14ac:dyDescent="0.35">
      <c r="A6543">
        <v>6539</v>
      </c>
      <c r="B6543">
        <v>6540</v>
      </c>
      <c r="C6543">
        <v>146.10852972999899</v>
      </c>
      <c r="D6543">
        <v>-17.636941955600001</v>
      </c>
      <c r="E6543" s="92">
        <f t="shared" si="7"/>
        <v>50</v>
      </c>
      <c r="F6543" t="str">
        <f>HYPERLINK("D:\Data From Lucan\2024\Moresby\Frames_for_Analysis/6540_20240611_0002_R_1209.jpg","6540_20240611_0002_R_1209.jpg")</f>
        <v>6540_20240611_0002_R_1209.jpg</v>
      </c>
      <c r="G6543" s="92" t="s">
        <v>6728</v>
      </c>
      <c r="I6543">
        <v>2</v>
      </c>
      <c r="K6543" s="97">
        <v>1</v>
      </c>
      <c r="P6543" s="57">
        <v>1</v>
      </c>
      <c r="Q6543" s="57">
        <v>0</v>
      </c>
      <c r="R6543" s="57">
        <v>0</v>
      </c>
      <c r="S6543" s="97">
        <v>0</v>
      </c>
      <c r="T6543" s="57">
        <v>0</v>
      </c>
      <c r="U6543" s="57">
        <v>0</v>
      </c>
      <c r="V6543" s="57">
        <v>0</v>
      </c>
      <c r="W6543" s="57">
        <v>0</v>
      </c>
      <c r="X6543" s="97">
        <v>0</v>
      </c>
    </row>
    <row r="6544" spans="1:24" x14ac:dyDescent="0.35">
      <c r="A6544">
        <v>6540</v>
      </c>
      <c r="B6544">
        <v>6541</v>
      </c>
      <c r="C6544">
        <v>146.10861882500001</v>
      </c>
      <c r="D6544">
        <v>-17.636952896899899</v>
      </c>
      <c r="E6544" s="92" t="str">
        <f t="shared" ref="E6544:E6607" si="8">IF(MOD(B6544,5)=0, 50, "")</f>
        <v/>
      </c>
      <c r="F6544" t="str">
        <f>HYPERLINK("D:\Data From Lucan\2024\Moresby\Frames_for_Analysis/6541_20240611_0011_L_0393.jpg","6541_20240611_0011_L_0393.jpg")</f>
        <v>6541_20240611_0011_L_0393.jpg</v>
      </c>
      <c r="G6544" s="92" t="s">
        <v>6729</v>
      </c>
      <c r="I6544">
        <v>2</v>
      </c>
      <c r="K6544" s="97">
        <v>1</v>
      </c>
      <c r="P6544" s="57">
        <v>1</v>
      </c>
      <c r="Q6544" s="57">
        <v>0</v>
      </c>
      <c r="R6544" s="57">
        <v>0</v>
      </c>
      <c r="S6544" s="97">
        <v>0</v>
      </c>
      <c r="T6544" s="57">
        <v>0</v>
      </c>
      <c r="U6544" s="57">
        <v>0</v>
      </c>
      <c r="V6544" s="57">
        <v>0</v>
      </c>
      <c r="W6544" s="57">
        <v>0</v>
      </c>
      <c r="X6544" s="97">
        <v>0</v>
      </c>
    </row>
    <row r="6545" spans="1:24" x14ac:dyDescent="0.35">
      <c r="A6545">
        <v>6541</v>
      </c>
      <c r="B6545">
        <v>6542</v>
      </c>
      <c r="C6545">
        <v>146.10870792</v>
      </c>
      <c r="D6545">
        <v>-17.6369638382</v>
      </c>
      <c r="E6545" s="92" t="str">
        <f t="shared" si="8"/>
        <v/>
      </c>
      <c r="F6545" t="str">
        <f>HYPERLINK("D:\Data From Lucan\2024\Moresby\Frames_for_Analysis/6542_20240611_0002_R_1202.jpg","6542_20240611_0002_R_1202.jpg")</f>
        <v>6542_20240611_0002_R_1202.jpg</v>
      </c>
      <c r="G6545" s="92" t="s">
        <v>6730</v>
      </c>
      <c r="I6545">
        <v>2</v>
      </c>
      <c r="K6545" s="97">
        <v>1</v>
      </c>
      <c r="P6545" s="57">
        <v>1</v>
      </c>
      <c r="Q6545" s="57">
        <v>0</v>
      </c>
      <c r="R6545" s="57">
        <v>0</v>
      </c>
      <c r="S6545" s="97">
        <v>0</v>
      </c>
      <c r="T6545" s="57">
        <v>0</v>
      </c>
      <c r="U6545" s="57">
        <v>0</v>
      </c>
      <c r="V6545" s="57">
        <v>0</v>
      </c>
      <c r="W6545" s="57">
        <v>0</v>
      </c>
      <c r="X6545" s="97">
        <v>0</v>
      </c>
    </row>
    <row r="6546" spans="1:24" x14ac:dyDescent="0.35">
      <c r="A6546">
        <v>6542</v>
      </c>
      <c r="B6546">
        <v>6543</v>
      </c>
      <c r="C6546">
        <v>146.108797014999</v>
      </c>
      <c r="D6546">
        <v>-17.6369747795999</v>
      </c>
      <c r="E6546" s="92" t="str">
        <f t="shared" si="8"/>
        <v/>
      </c>
      <c r="F6546" t="str">
        <f>HYPERLINK("D:\Data From Lucan\2024\Moresby\Frames_for_Analysis/6543_20240611_0011_L_0399.jpg","6543_20240611_0011_L_0399.jpg")</f>
        <v>6543_20240611_0011_L_0399.jpg</v>
      </c>
      <c r="G6546" s="92" t="s">
        <v>6731</v>
      </c>
      <c r="I6546">
        <v>2</v>
      </c>
      <c r="K6546" s="97">
        <v>1</v>
      </c>
      <c r="P6546" s="57">
        <v>1</v>
      </c>
      <c r="Q6546" s="57">
        <v>0</v>
      </c>
      <c r="R6546" s="57">
        <v>0</v>
      </c>
      <c r="S6546" s="97">
        <v>0</v>
      </c>
      <c r="T6546" s="57">
        <v>0</v>
      </c>
      <c r="U6546" s="57">
        <v>0</v>
      </c>
      <c r="V6546" s="57">
        <v>0</v>
      </c>
      <c r="W6546" s="57">
        <v>0</v>
      </c>
      <c r="X6546" s="97">
        <v>0</v>
      </c>
    </row>
    <row r="6547" spans="1:24" x14ac:dyDescent="0.35">
      <c r="A6547">
        <v>6543</v>
      </c>
      <c r="B6547">
        <v>6544</v>
      </c>
      <c r="C6547">
        <v>146.108886108999</v>
      </c>
      <c r="D6547">
        <v>-17.6369857209</v>
      </c>
      <c r="E6547" s="92" t="str">
        <f t="shared" si="8"/>
        <v/>
      </c>
      <c r="F6547" t="str">
        <f>HYPERLINK("D:\Data From Lucan\2024\Moresby\Frames_for_Analysis/6544_20240611_0002_R_1195.jpg","6544_20240611_0002_R_1195.jpg")</f>
        <v>6544_20240611_0002_R_1195.jpg</v>
      </c>
      <c r="G6547" s="92" t="s">
        <v>6732</v>
      </c>
      <c r="I6547">
        <v>2</v>
      </c>
      <c r="K6547" s="97">
        <v>1</v>
      </c>
      <c r="P6547" s="57">
        <v>1</v>
      </c>
      <c r="Q6547" s="57">
        <v>0</v>
      </c>
      <c r="R6547" s="57">
        <v>0</v>
      </c>
      <c r="S6547" s="97">
        <v>0</v>
      </c>
      <c r="T6547" s="57">
        <v>0</v>
      </c>
      <c r="U6547" s="57">
        <v>0</v>
      </c>
      <c r="V6547" s="57">
        <v>0</v>
      </c>
      <c r="W6547" s="57">
        <v>0</v>
      </c>
      <c r="X6547" s="97">
        <v>0</v>
      </c>
    </row>
    <row r="6548" spans="1:24" x14ac:dyDescent="0.35">
      <c r="A6548">
        <v>6544</v>
      </c>
      <c r="B6548">
        <v>6545</v>
      </c>
      <c r="C6548">
        <v>146.108975442999</v>
      </c>
      <c r="D6548">
        <v>-17.636989826699899</v>
      </c>
      <c r="E6548" s="92">
        <f t="shared" si="8"/>
        <v>50</v>
      </c>
      <c r="F6548" t="str">
        <f>HYPERLINK("D:\Data From Lucan\2024\Moresby\Frames_for_Analysis/6545_20240611_0002_R_1191.jpg","6545_20240611_0002_R_1191.jpg")</f>
        <v>6545_20240611_0002_R_1191.jpg</v>
      </c>
      <c r="G6548" s="92" t="s">
        <v>6733</v>
      </c>
      <c r="I6548">
        <v>2</v>
      </c>
      <c r="K6548" s="97">
        <v>1</v>
      </c>
      <c r="P6548" s="57">
        <v>1</v>
      </c>
      <c r="Q6548" s="57">
        <v>0</v>
      </c>
      <c r="R6548" s="57">
        <v>0</v>
      </c>
      <c r="S6548" s="97">
        <v>0</v>
      </c>
      <c r="T6548" s="57">
        <v>0</v>
      </c>
      <c r="U6548" s="57">
        <v>0</v>
      </c>
      <c r="V6548" s="57">
        <v>0</v>
      </c>
      <c r="W6548" s="57">
        <v>0</v>
      </c>
      <c r="X6548" s="97">
        <v>0</v>
      </c>
    </row>
    <row r="6549" spans="1:24" x14ac:dyDescent="0.35">
      <c r="A6549">
        <v>6545</v>
      </c>
      <c r="B6549">
        <v>6546</v>
      </c>
      <c r="C6549">
        <v>146.10906510500001</v>
      </c>
      <c r="D6549">
        <v>-17.636984564900001</v>
      </c>
      <c r="E6549" s="92" t="str">
        <f t="shared" si="8"/>
        <v/>
      </c>
      <c r="F6549" t="str">
        <f>HYPERLINK("D:\Data From Lucan\2024\Moresby\Frames_for_Analysis/6546_20240611_0011_L_0408.jpg","6546_20240611_0011_L_0408.jpg")</f>
        <v>6546_20240611_0011_L_0408.jpg</v>
      </c>
      <c r="G6549" s="92" t="s">
        <v>6734</v>
      </c>
      <c r="I6549">
        <v>2</v>
      </c>
      <c r="K6549" s="97">
        <v>1</v>
      </c>
      <c r="P6549" s="57">
        <v>1</v>
      </c>
      <c r="Q6549" s="57">
        <v>0</v>
      </c>
      <c r="R6549" s="57">
        <v>0</v>
      </c>
      <c r="S6549" s="97">
        <v>0</v>
      </c>
      <c r="T6549" s="57">
        <v>0</v>
      </c>
      <c r="U6549" s="57">
        <v>0</v>
      </c>
      <c r="V6549" s="57">
        <v>0</v>
      </c>
      <c r="W6549" s="57">
        <v>0</v>
      </c>
      <c r="X6549" s="97">
        <v>0</v>
      </c>
    </row>
    <row r="6550" spans="1:24" x14ac:dyDescent="0.35">
      <c r="A6550">
        <v>6546</v>
      </c>
      <c r="B6550">
        <v>6547</v>
      </c>
      <c r="C6550">
        <v>146.10915476700001</v>
      </c>
      <c r="D6550">
        <v>-17.636979303099899</v>
      </c>
      <c r="E6550" s="92" t="str">
        <f t="shared" si="8"/>
        <v/>
      </c>
      <c r="F6550" t="str">
        <f>HYPERLINK("D:\Data From Lucan\2024\Moresby\Frames_for_Analysis/6547_20240611_0002_R_1185.jpg","6547_20240611_0002_R_1185.jpg")</f>
        <v>6547_20240611_0002_R_1185.jpg</v>
      </c>
      <c r="G6550" s="92" t="s">
        <v>6735</v>
      </c>
      <c r="I6550">
        <v>2</v>
      </c>
      <c r="K6550" s="97">
        <v>1</v>
      </c>
      <c r="P6550" s="57">
        <v>1</v>
      </c>
      <c r="Q6550" s="57">
        <v>0</v>
      </c>
      <c r="R6550" s="57">
        <v>0</v>
      </c>
      <c r="S6550" s="97">
        <v>0</v>
      </c>
      <c r="T6550" s="57">
        <v>0</v>
      </c>
      <c r="U6550" s="57">
        <v>0</v>
      </c>
      <c r="V6550" s="57">
        <v>0</v>
      </c>
      <c r="W6550" s="57">
        <v>0</v>
      </c>
      <c r="X6550" s="97">
        <v>0</v>
      </c>
    </row>
    <row r="6551" spans="1:24" x14ac:dyDescent="0.35">
      <c r="A6551">
        <v>6547</v>
      </c>
      <c r="B6551">
        <v>6548</v>
      </c>
      <c r="C6551">
        <v>146.10924442800001</v>
      </c>
      <c r="D6551">
        <v>-17.6369740413</v>
      </c>
      <c r="E6551" s="92" t="str">
        <f t="shared" si="8"/>
        <v/>
      </c>
      <c r="F6551" t="str">
        <f>HYPERLINK("D:\Data From Lucan\2024\Moresby\Frames_for_Analysis/6548_20240611_0002_R_1182.jpg","6548_20240611_0002_R_1182.jpg")</f>
        <v>6548_20240611_0002_R_1182.jpg</v>
      </c>
      <c r="G6551" s="92" t="s">
        <v>6736</v>
      </c>
      <c r="I6551">
        <v>2</v>
      </c>
      <c r="K6551" s="97">
        <v>1</v>
      </c>
      <c r="P6551" s="57">
        <v>1</v>
      </c>
      <c r="Q6551" s="57">
        <v>0</v>
      </c>
      <c r="R6551" s="57">
        <v>0</v>
      </c>
      <c r="S6551" s="97">
        <v>0</v>
      </c>
      <c r="T6551" s="57">
        <v>0</v>
      </c>
      <c r="U6551" s="57">
        <v>0</v>
      </c>
      <c r="V6551" s="57">
        <v>0</v>
      </c>
      <c r="W6551" s="57">
        <v>0</v>
      </c>
      <c r="X6551" s="97">
        <v>0</v>
      </c>
    </row>
    <row r="6552" spans="1:24" x14ac:dyDescent="0.35">
      <c r="A6552">
        <v>6548</v>
      </c>
      <c r="B6552">
        <v>6549</v>
      </c>
      <c r="C6552">
        <v>146.10933409</v>
      </c>
      <c r="D6552">
        <v>-17.636968779499899</v>
      </c>
      <c r="E6552" s="92" t="str">
        <f t="shared" si="8"/>
        <v/>
      </c>
      <c r="F6552" t="str">
        <f>HYPERLINK("D:\Data From Lucan\2024\Moresby\Frames_for_Analysis/6549_20240611_0011_L_0416.jpg","6549_20240611_0011_L_0416.jpg")</f>
        <v>6549_20240611_0011_L_0416.jpg</v>
      </c>
      <c r="G6552" s="92" t="s">
        <v>6737</v>
      </c>
      <c r="I6552">
        <v>2</v>
      </c>
      <c r="K6552" s="97">
        <v>1</v>
      </c>
      <c r="P6552" s="57">
        <v>1</v>
      </c>
      <c r="Q6552" s="57">
        <v>0</v>
      </c>
      <c r="R6552" s="57">
        <v>0</v>
      </c>
      <c r="S6552" s="97">
        <v>0</v>
      </c>
      <c r="T6552" s="57">
        <v>0</v>
      </c>
      <c r="U6552" s="57">
        <v>0</v>
      </c>
      <c r="V6552" s="57">
        <v>0</v>
      </c>
      <c r="W6552" s="57">
        <v>0</v>
      </c>
      <c r="X6552" s="97">
        <v>0</v>
      </c>
    </row>
    <row r="6553" spans="1:24" x14ac:dyDescent="0.35">
      <c r="A6553">
        <v>6549</v>
      </c>
      <c r="B6553">
        <v>6550</v>
      </c>
      <c r="C6553">
        <v>146.109423751999</v>
      </c>
      <c r="D6553">
        <v>-17.636963517600002</v>
      </c>
      <c r="E6553" s="92">
        <f t="shared" si="8"/>
        <v>50</v>
      </c>
      <c r="F6553" t="str">
        <f>HYPERLINK("D:\Data From Lucan\2024\Moresby\Frames_for_Analysis/6550_20240611_0002_R_1175.jpg","6550_20240611_0002_R_1175.jpg")</f>
        <v>6550_20240611_0002_R_1175.jpg</v>
      </c>
      <c r="G6553" s="92" t="s">
        <v>6738</v>
      </c>
      <c r="I6553">
        <v>2</v>
      </c>
      <c r="K6553" s="97">
        <v>1</v>
      </c>
      <c r="P6553" s="57">
        <v>1</v>
      </c>
      <c r="Q6553" s="57">
        <v>0</v>
      </c>
      <c r="R6553" s="57">
        <v>0</v>
      </c>
      <c r="S6553" s="97">
        <v>0</v>
      </c>
      <c r="T6553" s="57">
        <v>0</v>
      </c>
      <c r="U6553" s="57">
        <v>0</v>
      </c>
      <c r="V6553" s="57">
        <v>0</v>
      </c>
      <c r="W6553" s="57">
        <v>0</v>
      </c>
      <c r="X6553" s="97">
        <v>0</v>
      </c>
    </row>
    <row r="6554" spans="1:24" x14ac:dyDescent="0.35">
      <c r="A6554">
        <v>6550</v>
      </c>
      <c r="B6554">
        <v>6551</v>
      </c>
      <c r="C6554">
        <v>146.109513413</v>
      </c>
      <c r="D6554">
        <v>-17.6369582558</v>
      </c>
      <c r="E6554" s="92" t="str">
        <f t="shared" si="8"/>
        <v/>
      </c>
      <c r="F6554" t="str">
        <f>HYPERLINK("D:\Data From Lucan\2024\Moresby\Frames_for_Analysis/6551_20240611_0002_R_1171.jpg","6551_20240611_0002_R_1171.jpg")</f>
        <v>6551_20240611_0002_R_1171.jpg</v>
      </c>
      <c r="G6554" s="92" t="s">
        <v>6739</v>
      </c>
      <c r="I6554">
        <v>2</v>
      </c>
      <c r="K6554" s="97">
        <v>1</v>
      </c>
      <c r="P6554" s="57">
        <v>1</v>
      </c>
      <c r="Q6554" s="57">
        <v>0</v>
      </c>
      <c r="R6554" s="57">
        <v>0</v>
      </c>
      <c r="S6554" s="97">
        <v>0</v>
      </c>
      <c r="T6554" s="57">
        <v>0</v>
      </c>
      <c r="U6554" s="57">
        <v>0</v>
      </c>
      <c r="V6554" s="57">
        <v>0</v>
      </c>
      <c r="W6554" s="57">
        <v>0</v>
      </c>
      <c r="X6554" s="97">
        <v>0</v>
      </c>
    </row>
    <row r="6555" spans="1:24" x14ac:dyDescent="0.35">
      <c r="A6555">
        <v>6551</v>
      </c>
      <c r="B6555">
        <v>6552</v>
      </c>
      <c r="C6555">
        <v>146.10960161099899</v>
      </c>
      <c r="D6555">
        <v>-17.636944689900002</v>
      </c>
      <c r="E6555" s="92" t="str">
        <f t="shared" si="8"/>
        <v/>
      </c>
      <c r="F6555" t="str">
        <f>HYPERLINK("D:\Data From Lucan\2024\Moresby\Frames_for_Analysis/6552_20240611_0002_R_1168.jpg","6552_20240611_0002_R_1168.jpg")</f>
        <v>6552_20240611_0002_R_1168.jpg</v>
      </c>
      <c r="G6555" s="92" t="s">
        <v>6740</v>
      </c>
      <c r="I6555">
        <v>2</v>
      </c>
      <c r="K6555" s="97">
        <v>1</v>
      </c>
      <c r="P6555" s="57">
        <v>1</v>
      </c>
      <c r="Q6555" s="57">
        <v>0</v>
      </c>
      <c r="R6555" s="57">
        <v>0</v>
      </c>
      <c r="S6555" s="97">
        <v>0</v>
      </c>
      <c r="T6555" s="57">
        <v>0</v>
      </c>
      <c r="U6555" s="57">
        <v>0</v>
      </c>
      <c r="V6555" s="57">
        <v>0</v>
      </c>
      <c r="W6555" s="57">
        <v>0</v>
      </c>
      <c r="X6555" s="97">
        <v>0</v>
      </c>
    </row>
    <row r="6556" spans="1:24" x14ac:dyDescent="0.35">
      <c r="A6556">
        <v>6552</v>
      </c>
      <c r="B6556">
        <v>6553</v>
      </c>
      <c r="C6556">
        <v>146.10968815300001</v>
      </c>
      <c r="D6556">
        <v>-17.636921736400001</v>
      </c>
      <c r="E6556" s="92" t="str">
        <f t="shared" si="8"/>
        <v/>
      </c>
      <c r="F6556" t="str">
        <f>HYPERLINK("D:\Data From Lucan\2024\Moresby\Frames_for_Analysis/6553_20240611_0002_R_1165.jpg","6553_20240611_0002_R_1165.jpg")</f>
        <v>6553_20240611_0002_R_1165.jpg</v>
      </c>
      <c r="G6556" s="92" t="s">
        <v>6741</v>
      </c>
      <c r="I6556">
        <v>2</v>
      </c>
      <c r="K6556" s="97">
        <v>1</v>
      </c>
      <c r="P6556" s="57">
        <v>1</v>
      </c>
      <c r="Q6556" s="57">
        <v>0</v>
      </c>
      <c r="R6556" s="57">
        <v>0</v>
      </c>
      <c r="S6556" s="97">
        <v>0</v>
      </c>
      <c r="T6556" s="57">
        <v>0</v>
      </c>
      <c r="U6556" s="57">
        <v>0</v>
      </c>
      <c r="V6556" s="57">
        <v>0</v>
      </c>
      <c r="W6556" s="57">
        <v>0</v>
      </c>
      <c r="X6556" s="97">
        <v>0</v>
      </c>
    </row>
    <row r="6557" spans="1:24" x14ac:dyDescent="0.35">
      <c r="A6557">
        <v>6553</v>
      </c>
      <c r="B6557">
        <v>6554</v>
      </c>
      <c r="C6557">
        <v>146.10977469599899</v>
      </c>
      <c r="D6557">
        <v>-17.636898782900001</v>
      </c>
      <c r="E6557" s="92" t="str">
        <f t="shared" si="8"/>
        <v/>
      </c>
      <c r="F6557" t="str">
        <f>HYPERLINK("D:\Data From Lucan\2024\Moresby\Frames_for_Analysis/6554_20240611_0002_R_1162.jpg","6554_20240611_0002_R_1162.jpg")</f>
        <v>6554_20240611_0002_R_1162.jpg</v>
      </c>
      <c r="G6557" s="92" t="s">
        <v>6742</v>
      </c>
      <c r="I6557">
        <v>2</v>
      </c>
      <c r="K6557" s="97">
        <v>1</v>
      </c>
      <c r="P6557" s="57">
        <v>1</v>
      </c>
      <c r="Q6557" s="57">
        <v>0</v>
      </c>
      <c r="R6557" s="57">
        <v>0</v>
      </c>
      <c r="S6557" s="97">
        <v>0</v>
      </c>
      <c r="T6557" s="57">
        <v>0</v>
      </c>
      <c r="U6557" s="57">
        <v>0</v>
      </c>
      <c r="V6557" s="57">
        <v>0</v>
      </c>
      <c r="W6557" s="57">
        <v>0</v>
      </c>
      <c r="X6557" s="97">
        <v>0</v>
      </c>
    </row>
    <row r="6558" spans="1:24" x14ac:dyDescent="0.35">
      <c r="A6558">
        <v>6554</v>
      </c>
      <c r="B6558">
        <v>6555</v>
      </c>
      <c r="C6558">
        <v>146.10986123800001</v>
      </c>
      <c r="D6558">
        <v>-17.636875829400001</v>
      </c>
      <c r="E6558" s="92">
        <f t="shared" si="8"/>
        <v>50</v>
      </c>
      <c r="F6558" t="str">
        <f>HYPERLINK("D:\Data From Lucan\2024\Moresby\Frames_for_Analysis/6555_20240611_0002_R_1159.jpg","6555_20240611_0002_R_1159.jpg")</f>
        <v>6555_20240611_0002_R_1159.jpg</v>
      </c>
      <c r="G6558" s="92" t="s">
        <v>6743</v>
      </c>
      <c r="I6558">
        <v>2</v>
      </c>
      <c r="K6558" s="97">
        <v>1</v>
      </c>
      <c r="P6558" s="57">
        <v>1</v>
      </c>
      <c r="Q6558" s="57">
        <v>0</v>
      </c>
      <c r="R6558" s="57">
        <v>0</v>
      </c>
      <c r="S6558" s="97">
        <v>0</v>
      </c>
      <c r="T6558" s="57">
        <v>0</v>
      </c>
      <c r="U6558" s="57">
        <v>0</v>
      </c>
      <c r="V6558" s="57">
        <v>0</v>
      </c>
      <c r="W6558" s="57">
        <v>0</v>
      </c>
      <c r="X6558" s="97">
        <v>0</v>
      </c>
    </row>
    <row r="6559" spans="1:24" x14ac:dyDescent="0.35">
      <c r="A6559">
        <v>6555</v>
      </c>
      <c r="B6559">
        <v>6556</v>
      </c>
      <c r="C6559">
        <v>146.10994778099899</v>
      </c>
      <c r="D6559">
        <v>-17.636852875999899</v>
      </c>
      <c r="E6559" s="92" t="str">
        <f t="shared" si="8"/>
        <v/>
      </c>
      <c r="F6559" t="str">
        <f>HYPERLINK("D:\Data From Lucan\2024\Moresby\Frames_for_Analysis/6556_20240611_0002_R_1155.jpg","6556_20240611_0002_R_1155.jpg")</f>
        <v>6556_20240611_0002_R_1155.jpg</v>
      </c>
      <c r="G6559" s="92" t="s">
        <v>6744</v>
      </c>
      <c r="I6559">
        <v>2</v>
      </c>
      <c r="K6559" s="97">
        <v>1</v>
      </c>
      <c r="P6559" s="57">
        <v>1</v>
      </c>
      <c r="Q6559" s="57">
        <v>0</v>
      </c>
      <c r="R6559" s="57">
        <v>0</v>
      </c>
      <c r="S6559" s="97">
        <v>0</v>
      </c>
      <c r="T6559" s="57">
        <v>0</v>
      </c>
      <c r="U6559" s="57">
        <v>0</v>
      </c>
      <c r="V6559" s="57">
        <v>0</v>
      </c>
      <c r="W6559" s="57">
        <v>0</v>
      </c>
      <c r="X6559" s="97">
        <v>0</v>
      </c>
    </row>
    <row r="6560" spans="1:24" x14ac:dyDescent="0.35">
      <c r="A6560">
        <v>6556</v>
      </c>
      <c r="B6560">
        <v>6557</v>
      </c>
      <c r="C6560">
        <v>146.11003432300001</v>
      </c>
      <c r="D6560">
        <v>-17.636829922499899</v>
      </c>
      <c r="E6560" s="92" t="str">
        <f t="shared" si="8"/>
        <v/>
      </c>
      <c r="F6560" t="str">
        <f>HYPERLINK("D:\Data From Lucan\2024\Moresby\Frames_for_Analysis/6557_20240611_0002_R_1152.jpg","6557_20240611_0002_R_1152.jpg")</f>
        <v>6557_20240611_0002_R_1152.jpg</v>
      </c>
      <c r="G6560" s="92" t="s">
        <v>6745</v>
      </c>
      <c r="I6560">
        <v>2</v>
      </c>
      <c r="K6560" s="97">
        <v>1</v>
      </c>
      <c r="P6560" s="57">
        <v>1</v>
      </c>
      <c r="Q6560" s="57">
        <v>0</v>
      </c>
      <c r="R6560" s="57">
        <v>0</v>
      </c>
      <c r="S6560" s="97">
        <v>0</v>
      </c>
      <c r="T6560" s="57">
        <v>0</v>
      </c>
      <c r="U6560" s="57">
        <v>0</v>
      </c>
      <c r="V6560" s="57">
        <v>0</v>
      </c>
      <c r="W6560" s="57">
        <v>0</v>
      </c>
      <c r="X6560" s="97">
        <v>0</v>
      </c>
    </row>
    <row r="6561" spans="1:24" x14ac:dyDescent="0.35">
      <c r="A6561">
        <v>6557</v>
      </c>
      <c r="B6561">
        <v>6558</v>
      </c>
      <c r="C6561">
        <v>146.110113732999</v>
      </c>
      <c r="D6561">
        <v>-17.636790630699899</v>
      </c>
      <c r="E6561" s="92" t="str">
        <f t="shared" si="8"/>
        <v/>
      </c>
      <c r="F6561" t="str">
        <f>HYPERLINK("D:\Data From Lucan\2024\Moresby\Frames_for_Analysis/6558_20240611_0002_R_1149.jpg","6558_20240611_0002_R_1149.jpg")</f>
        <v>6558_20240611_0002_R_1149.jpg</v>
      </c>
      <c r="G6561" s="92" t="s">
        <v>6746</v>
      </c>
      <c r="I6561">
        <v>2</v>
      </c>
      <c r="K6561" s="97">
        <v>1</v>
      </c>
      <c r="P6561" s="57">
        <v>1</v>
      </c>
      <c r="Q6561" s="57">
        <v>0</v>
      </c>
      <c r="R6561" s="57">
        <v>0</v>
      </c>
      <c r="S6561" s="97">
        <v>0</v>
      </c>
      <c r="T6561" s="57">
        <v>0</v>
      </c>
      <c r="U6561" s="57">
        <v>0</v>
      </c>
      <c r="V6561" s="57">
        <v>0</v>
      </c>
      <c r="W6561" s="57">
        <v>0</v>
      </c>
      <c r="X6561" s="97">
        <v>0</v>
      </c>
    </row>
    <row r="6562" spans="1:24" x14ac:dyDescent="0.35">
      <c r="A6562">
        <v>6558</v>
      </c>
      <c r="B6562">
        <v>6559</v>
      </c>
      <c r="C6562">
        <v>146.110191821</v>
      </c>
      <c r="D6562">
        <v>-17.636748312000002</v>
      </c>
      <c r="E6562" s="92" t="str">
        <f t="shared" si="8"/>
        <v/>
      </c>
      <c r="F6562" t="str">
        <f>HYPERLINK("D:\Data From Lucan\2024\Moresby\Frames_for_Analysis/6559_20240611_0002_R_1143.jpg","6559_20240611_0002_R_1143.jpg")</f>
        <v>6559_20240611_0002_R_1143.jpg</v>
      </c>
      <c r="G6562" s="92" t="s">
        <v>6747</v>
      </c>
      <c r="I6562">
        <v>2</v>
      </c>
      <c r="K6562" s="97">
        <v>1</v>
      </c>
      <c r="P6562" s="57">
        <v>1</v>
      </c>
      <c r="Q6562" s="57">
        <v>0</v>
      </c>
      <c r="R6562" s="57">
        <v>0</v>
      </c>
      <c r="S6562" s="97">
        <v>0</v>
      </c>
      <c r="T6562" s="57">
        <v>0</v>
      </c>
      <c r="U6562" s="57">
        <v>0</v>
      </c>
      <c r="V6562" s="57">
        <v>0</v>
      </c>
      <c r="W6562" s="57">
        <v>0</v>
      </c>
      <c r="X6562" s="97">
        <v>0</v>
      </c>
    </row>
    <row r="6563" spans="1:24" x14ac:dyDescent="0.35">
      <c r="A6563">
        <v>6559</v>
      </c>
      <c r="B6563">
        <v>6560</v>
      </c>
      <c r="C6563">
        <v>146.11026991</v>
      </c>
      <c r="D6563">
        <v>-17.636705993300001</v>
      </c>
      <c r="E6563" s="92">
        <f t="shared" si="8"/>
        <v>50</v>
      </c>
      <c r="F6563" t="str">
        <f>HYPERLINK("D:\Data From Lucan\2024\Moresby\Frames_for_Analysis/6560_20240611_0002_R_1138.jpg","6560_20240611_0002_R_1138.jpg")</f>
        <v>6560_20240611_0002_R_1138.jpg</v>
      </c>
      <c r="G6563" s="92" t="s">
        <v>6748</v>
      </c>
      <c r="I6563">
        <v>2</v>
      </c>
      <c r="K6563" s="97">
        <v>1</v>
      </c>
      <c r="P6563" s="57">
        <v>1</v>
      </c>
      <c r="Q6563" s="57">
        <v>0</v>
      </c>
      <c r="R6563" s="57">
        <v>0</v>
      </c>
      <c r="S6563" s="97">
        <v>0</v>
      </c>
      <c r="T6563" s="57">
        <v>0</v>
      </c>
      <c r="U6563" s="57">
        <v>0</v>
      </c>
      <c r="V6563" s="57">
        <v>0</v>
      </c>
      <c r="W6563" s="57">
        <v>0</v>
      </c>
      <c r="X6563" s="97">
        <v>0</v>
      </c>
    </row>
    <row r="6564" spans="1:24" x14ac:dyDescent="0.35">
      <c r="A6564">
        <v>6560</v>
      </c>
      <c r="B6564">
        <v>6561</v>
      </c>
      <c r="C6564">
        <v>146.110347998999</v>
      </c>
      <c r="D6564">
        <v>-17.636663674600001</v>
      </c>
      <c r="E6564" s="92" t="str">
        <f t="shared" si="8"/>
        <v/>
      </c>
      <c r="F6564" t="str">
        <f>HYPERLINK("D:\Data From Lucan\2024\Moresby\Frames_for_Analysis/6561_20240611_0002_R_1134.jpg","6561_20240611_0002_R_1134.jpg")</f>
        <v>6561_20240611_0002_R_1134.jpg</v>
      </c>
      <c r="G6564" s="92" t="s">
        <v>6749</v>
      </c>
      <c r="I6564">
        <v>2</v>
      </c>
      <c r="K6564" s="97">
        <v>1</v>
      </c>
      <c r="P6564" s="57">
        <v>1</v>
      </c>
      <c r="Q6564" s="57">
        <v>0</v>
      </c>
      <c r="R6564" s="57">
        <v>0</v>
      </c>
      <c r="S6564" s="97">
        <v>0</v>
      </c>
      <c r="T6564" s="57">
        <v>0</v>
      </c>
      <c r="U6564" s="57">
        <v>0</v>
      </c>
      <c r="V6564" s="57">
        <v>0</v>
      </c>
      <c r="W6564" s="57">
        <v>0</v>
      </c>
      <c r="X6564" s="97">
        <v>0</v>
      </c>
    </row>
    <row r="6565" spans="1:24" x14ac:dyDescent="0.35">
      <c r="A6565">
        <v>6561</v>
      </c>
      <c r="B6565">
        <v>6562</v>
      </c>
      <c r="C6565">
        <v>146.11042608700001</v>
      </c>
      <c r="D6565">
        <v>-17.636621355900001</v>
      </c>
      <c r="E6565" s="92" t="str">
        <f t="shared" si="8"/>
        <v/>
      </c>
      <c r="F6565" t="str">
        <f>HYPERLINK("D:\Data From Lucan\2024\Moresby\Frames_for_Analysis/6562_20240611_0002_R_1130.jpg","6562_20240611_0002_R_1130.jpg")</f>
        <v>6562_20240611_0002_R_1130.jpg</v>
      </c>
      <c r="G6565" s="92" t="s">
        <v>6750</v>
      </c>
      <c r="I6565">
        <v>2</v>
      </c>
      <c r="K6565" s="97">
        <v>1</v>
      </c>
      <c r="P6565" s="57">
        <v>1</v>
      </c>
      <c r="Q6565" s="57">
        <v>0</v>
      </c>
      <c r="R6565" s="57">
        <v>0</v>
      </c>
      <c r="S6565" s="97">
        <v>0</v>
      </c>
      <c r="T6565" s="57">
        <v>0</v>
      </c>
      <c r="U6565" s="57">
        <v>0</v>
      </c>
      <c r="V6565" s="57">
        <v>0</v>
      </c>
      <c r="W6565" s="57">
        <v>0</v>
      </c>
      <c r="X6565" s="97">
        <v>0</v>
      </c>
    </row>
    <row r="6566" spans="1:24" x14ac:dyDescent="0.35">
      <c r="A6566">
        <v>6562</v>
      </c>
      <c r="B6566">
        <v>6563</v>
      </c>
      <c r="C6566">
        <v>146.11050417600001</v>
      </c>
      <c r="D6566">
        <v>-17.636579037099899</v>
      </c>
      <c r="E6566" s="92" t="str">
        <f t="shared" si="8"/>
        <v/>
      </c>
      <c r="F6566" t="str">
        <f>HYPERLINK("D:\Data From Lucan\2024\Moresby\Frames_for_Analysis/6563_20240611_0002_R_1121.jpg","6563_20240611_0002_R_1121.jpg")</f>
        <v>6563_20240611_0002_R_1121.jpg</v>
      </c>
      <c r="G6566" s="92" t="s">
        <v>6751</v>
      </c>
      <c r="I6566">
        <v>2</v>
      </c>
      <c r="K6566" s="97">
        <v>1</v>
      </c>
      <c r="P6566" s="57">
        <v>1</v>
      </c>
      <c r="Q6566" s="57">
        <v>0</v>
      </c>
      <c r="R6566" s="57">
        <v>0</v>
      </c>
      <c r="S6566" s="97">
        <v>0</v>
      </c>
      <c r="T6566" s="57">
        <v>0</v>
      </c>
      <c r="U6566" s="57">
        <v>0</v>
      </c>
      <c r="V6566" s="57">
        <v>0</v>
      </c>
      <c r="W6566" s="57">
        <v>0</v>
      </c>
      <c r="X6566" s="97">
        <v>0</v>
      </c>
    </row>
    <row r="6567" spans="1:24" x14ac:dyDescent="0.35">
      <c r="A6567">
        <v>6563</v>
      </c>
      <c r="B6567">
        <v>6564</v>
      </c>
      <c r="C6567">
        <v>146.11057563700001</v>
      </c>
      <c r="D6567">
        <v>-17.6365276943</v>
      </c>
      <c r="E6567" s="92" t="str">
        <f t="shared" si="8"/>
        <v/>
      </c>
      <c r="F6567" t="str">
        <f>HYPERLINK("D:\Data From Lucan\2024\Moresby\Frames_for_Analysis/6564_20240611_0002_R_1119.jpg","6564_20240611_0002_R_1119.jpg")</f>
        <v>6564_20240611_0002_R_1119.jpg</v>
      </c>
      <c r="G6567" s="92" t="s">
        <v>6752</v>
      </c>
      <c r="I6567">
        <v>2</v>
      </c>
      <c r="K6567" s="97">
        <v>1</v>
      </c>
      <c r="P6567" s="57">
        <v>1</v>
      </c>
      <c r="Q6567" s="57">
        <v>0</v>
      </c>
      <c r="R6567" s="57">
        <v>0</v>
      </c>
      <c r="S6567" s="97">
        <v>0</v>
      </c>
      <c r="T6567" s="57">
        <v>0</v>
      </c>
      <c r="U6567" s="57">
        <v>0</v>
      </c>
      <c r="V6567" s="57">
        <v>0</v>
      </c>
      <c r="W6567" s="57">
        <v>0</v>
      </c>
      <c r="X6567" s="97">
        <v>0</v>
      </c>
    </row>
    <row r="6568" spans="1:24" x14ac:dyDescent="0.35">
      <c r="A6568">
        <v>6564</v>
      </c>
      <c r="B6568">
        <v>6565</v>
      </c>
      <c r="C6568">
        <v>146.11064409900001</v>
      </c>
      <c r="D6568">
        <v>-17.636472266999899</v>
      </c>
      <c r="E6568" s="92">
        <f t="shared" si="8"/>
        <v>50</v>
      </c>
      <c r="F6568" t="str">
        <f>HYPERLINK("D:\Data From Lucan\2024\Moresby\Frames_for_Analysis/6565_20240611_0002_R_1117.jpg","6565_20240611_0002_R_1117.jpg")</f>
        <v>6565_20240611_0002_R_1117.jpg</v>
      </c>
      <c r="G6568" s="92" t="s">
        <v>6753</v>
      </c>
      <c r="I6568">
        <v>2</v>
      </c>
      <c r="K6568" s="97">
        <v>1</v>
      </c>
      <c r="P6568" s="57">
        <v>1</v>
      </c>
      <c r="Q6568" s="57">
        <v>0</v>
      </c>
      <c r="R6568" s="57">
        <v>0</v>
      </c>
      <c r="S6568" s="97">
        <v>0</v>
      </c>
      <c r="T6568" s="57">
        <v>0</v>
      </c>
      <c r="U6568" s="57">
        <v>0</v>
      </c>
      <c r="V6568" s="57">
        <v>0</v>
      </c>
      <c r="W6568" s="57">
        <v>0</v>
      </c>
      <c r="X6568" s="97">
        <v>0</v>
      </c>
    </row>
    <row r="6569" spans="1:24" x14ac:dyDescent="0.35">
      <c r="A6569">
        <v>6565</v>
      </c>
      <c r="B6569">
        <v>6566</v>
      </c>
      <c r="C6569">
        <v>146.110712559999</v>
      </c>
      <c r="D6569">
        <v>-17.636416839799899</v>
      </c>
      <c r="E6569" s="92" t="str">
        <f t="shared" si="8"/>
        <v/>
      </c>
      <c r="F6569" t="str">
        <f>HYPERLINK("D:\Data From Lucan\2024\Moresby\Frames_for_Analysis/6566_20240611_0002_R_1115.jpg","6566_20240611_0002_R_1115.jpg")</f>
        <v>6566_20240611_0002_R_1115.jpg</v>
      </c>
      <c r="G6569" s="92" t="s">
        <v>6754</v>
      </c>
      <c r="I6569">
        <v>2</v>
      </c>
      <c r="K6569" s="97">
        <v>1</v>
      </c>
      <c r="P6569" s="57">
        <v>1</v>
      </c>
      <c r="Q6569" s="57">
        <v>0</v>
      </c>
      <c r="R6569" s="57">
        <v>0</v>
      </c>
      <c r="S6569" s="97">
        <v>0</v>
      </c>
      <c r="T6569" s="57">
        <v>0</v>
      </c>
      <c r="U6569" s="57">
        <v>0</v>
      </c>
      <c r="V6569" s="57">
        <v>0</v>
      </c>
      <c r="W6569" s="57">
        <v>0</v>
      </c>
      <c r="X6569" s="97">
        <v>0</v>
      </c>
    </row>
    <row r="6570" spans="1:24" x14ac:dyDescent="0.35">
      <c r="A6570">
        <v>6566</v>
      </c>
      <c r="B6570">
        <v>6567</v>
      </c>
      <c r="C6570">
        <v>146.110781021999</v>
      </c>
      <c r="D6570">
        <v>-17.6363614125999</v>
      </c>
      <c r="E6570" s="92" t="str">
        <f t="shared" si="8"/>
        <v/>
      </c>
      <c r="F6570" t="str">
        <f>HYPERLINK("D:\Data From Lucan\2024\Moresby\Frames_for_Analysis/6567_20240611_0002_R_1112.jpg","6567_20240611_0002_R_1112.jpg")</f>
        <v>6567_20240611_0002_R_1112.jpg</v>
      </c>
      <c r="G6570" s="92" t="s">
        <v>6755</v>
      </c>
      <c r="I6570">
        <v>2</v>
      </c>
      <c r="K6570" s="97">
        <v>1</v>
      </c>
      <c r="P6570" s="57">
        <v>1</v>
      </c>
      <c r="Q6570" s="57">
        <v>0</v>
      </c>
      <c r="R6570" s="57">
        <v>0</v>
      </c>
      <c r="S6570" s="97">
        <v>0</v>
      </c>
      <c r="T6570" s="57">
        <v>0</v>
      </c>
      <c r="U6570" s="57">
        <v>0</v>
      </c>
      <c r="V6570" s="57">
        <v>0</v>
      </c>
      <c r="W6570" s="57">
        <v>0</v>
      </c>
      <c r="X6570" s="97">
        <v>0</v>
      </c>
    </row>
    <row r="6571" spans="1:24" x14ac:dyDescent="0.35">
      <c r="A6571">
        <v>6567</v>
      </c>
      <c r="B6571">
        <v>6568</v>
      </c>
      <c r="C6571">
        <v>146.110849483999</v>
      </c>
      <c r="D6571">
        <v>-17.636305985300002</v>
      </c>
      <c r="E6571" s="92" t="str">
        <f t="shared" si="8"/>
        <v/>
      </c>
      <c r="F6571" t="str">
        <f>HYPERLINK("D:\Data From Lucan\2024\Moresby\Frames_for_Analysis/6568_20240611_0002_R_1109.jpg","6568_20240611_0002_R_1109.jpg")</f>
        <v>6568_20240611_0002_R_1109.jpg</v>
      </c>
      <c r="G6571" s="92" t="s">
        <v>6756</v>
      </c>
      <c r="I6571">
        <v>2</v>
      </c>
      <c r="K6571" s="97">
        <v>1</v>
      </c>
      <c r="P6571" s="57">
        <v>1</v>
      </c>
      <c r="Q6571" s="57">
        <v>0</v>
      </c>
      <c r="R6571" s="57">
        <v>0</v>
      </c>
      <c r="S6571" s="97">
        <v>0</v>
      </c>
      <c r="T6571" s="57">
        <v>0</v>
      </c>
      <c r="U6571" s="57">
        <v>0</v>
      </c>
      <c r="V6571" s="57">
        <v>0</v>
      </c>
      <c r="W6571" s="57">
        <v>0</v>
      </c>
      <c r="X6571" s="97">
        <v>0</v>
      </c>
    </row>
    <row r="6572" spans="1:24" x14ac:dyDescent="0.35">
      <c r="A6572">
        <v>6568</v>
      </c>
      <c r="B6572">
        <v>6569</v>
      </c>
      <c r="C6572">
        <v>146.110917946</v>
      </c>
      <c r="D6572">
        <v>-17.636250558</v>
      </c>
      <c r="E6572" s="92" t="str">
        <f t="shared" si="8"/>
        <v/>
      </c>
      <c r="F6572" t="str">
        <f>HYPERLINK("D:\Data From Lucan\2024\Moresby\Frames_for_Analysis/6569_20240611_0002_R_1105.jpg","6569_20240611_0002_R_1105.jpg")</f>
        <v>6569_20240611_0002_R_1105.jpg</v>
      </c>
      <c r="G6572" s="92" t="s">
        <v>6757</v>
      </c>
      <c r="I6572">
        <v>2</v>
      </c>
      <c r="K6572" s="97">
        <v>1</v>
      </c>
      <c r="P6572" s="57">
        <v>1</v>
      </c>
      <c r="Q6572" s="57">
        <v>0</v>
      </c>
      <c r="R6572" s="57">
        <v>0</v>
      </c>
      <c r="S6572" s="97">
        <v>0</v>
      </c>
      <c r="T6572" s="57">
        <v>0</v>
      </c>
      <c r="U6572" s="57">
        <v>0</v>
      </c>
      <c r="V6572" s="57">
        <v>0</v>
      </c>
      <c r="W6572" s="57">
        <v>0</v>
      </c>
      <c r="X6572" s="97">
        <v>0</v>
      </c>
    </row>
    <row r="6573" spans="1:24" x14ac:dyDescent="0.35">
      <c r="A6573">
        <v>6569</v>
      </c>
      <c r="B6573">
        <v>6570</v>
      </c>
      <c r="C6573">
        <v>146.11098461399899</v>
      </c>
      <c r="D6573">
        <v>-17.6361932237999</v>
      </c>
      <c r="E6573" s="92">
        <f t="shared" si="8"/>
        <v>50</v>
      </c>
      <c r="F6573" t="str">
        <f>HYPERLINK("D:\Data From Lucan\2024\Moresby\Frames_for_Analysis/6570_20240611_0002_R_1100.jpg","6570_20240611_0002_R_1100.jpg")</f>
        <v>6570_20240611_0002_R_1100.jpg</v>
      </c>
      <c r="G6573" s="92" t="s">
        <v>6758</v>
      </c>
      <c r="I6573">
        <v>2</v>
      </c>
      <c r="K6573" s="97">
        <v>1</v>
      </c>
      <c r="P6573" s="57">
        <v>1</v>
      </c>
      <c r="Q6573" s="57">
        <v>0</v>
      </c>
      <c r="R6573" s="57">
        <v>0</v>
      </c>
      <c r="S6573" s="97">
        <v>0</v>
      </c>
      <c r="T6573" s="57">
        <v>0</v>
      </c>
      <c r="U6573" s="57">
        <v>0</v>
      </c>
      <c r="V6573" s="57">
        <v>0</v>
      </c>
      <c r="W6573" s="57">
        <v>0</v>
      </c>
      <c r="X6573" s="97">
        <v>0</v>
      </c>
    </row>
    <row r="6574" spans="1:24" x14ac:dyDescent="0.35">
      <c r="A6574">
        <v>6570</v>
      </c>
      <c r="B6574">
        <v>6571</v>
      </c>
      <c r="C6574">
        <v>146.111049885</v>
      </c>
      <c r="D6574">
        <v>-17.636134404900002</v>
      </c>
      <c r="E6574" s="92" t="str">
        <f t="shared" si="8"/>
        <v/>
      </c>
      <c r="F6574" t="str">
        <f>HYPERLINK("D:\Data From Lucan\2024\Moresby\Frames_for_Analysis/6571_20240611_0002_R_1097.jpg","6571_20240611_0002_R_1097.jpg")</f>
        <v>6571_20240611_0002_R_1097.jpg</v>
      </c>
      <c r="G6574" s="92" t="s">
        <v>6759</v>
      </c>
      <c r="I6574">
        <v>2</v>
      </c>
      <c r="K6574" s="97">
        <v>1</v>
      </c>
      <c r="P6574" s="57">
        <v>1</v>
      </c>
      <c r="Q6574" s="57">
        <v>0</v>
      </c>
      <c r="R6574" s="57">
        <v>0</v>
      </c>
      <c r="S6574" s="97">
        <v>0</v>
      </c>
      <c r="T6574" s="57">
        <v>0</v>
      </c>
      <c r="U6574" s="57">
        <v>0</v>
      </c>
      <c r="V6574" s="57">
        <v>0</v>
      </c>
      <c r="W6574" s="57">
        <v>0</v>
      </c>
      <c r="X6574" s="97">
        <v>0</v>
      </c>
    </row>
    <row r="6575" spans="1:24" x14ac:dyDescent="0.35">
      <c r="A6575">
        <v>6571</v>
      </c>
      <c r="B6575">
        <v>6572</v>
      </c>
      <c r="C6575">
        <v>146.111115157</v>
      </c>
      <c r="D6575">
        <v>-17.636075586299899</v>
      </c>
      <c r="E6575" s="92" t="str">
        <f t="shared" si="8"/>
        <v/>
      </c>
      <c r="F6575" t="str">
        <f>HYPERLINK("D:\Data From Lucan\2024\Moresby\Frames_for_Analysis/6572_20240611_0002_R_1094.jpg","6572_20240611_0002_R_1094.jpg")</f>
        <v>6572_20240611_0002_R_1094.jpg</v>
      </c>
      <c r="G6575" s="92" t="s">
        <v>6760</v>
      </c>
      <c r="I6575">
        <v>2</v>
      </c>
      <c r="K6575" s="97">
        <v>1</v>
      </c>
      <c r="P6575" s="57">
        <v>1</v>
      </c>
      <c r="Q6575" s="57">
        <v>0</v>
      </c>
      <c r="R6575" s="57">
        <v>0</v>
      </c>
      <c r="S6575" s="97">
        <v>0</v>
      </c>
      <c r="T6575" s="57">
        <v>0</v>
      </c>
      <c r="U6575" s="57">
        <v>0</v>
      </c>
      <c r="V6575" s="57">
        <v>0</v>
      </c>
      <c r="W6575" s="57">
        <v>0</v>
      </c>
      <c r="X6575" s="97">
        <v>0</v>
      </c>
    </row>
    <row r="6576" spans="1:24" x14ac:dyDescent="0.35">
      <c r="A6576">
        <v>6572</v>
      </c>
      <c r="B6576">
        <v>6573</v>
      </c>
      <c r="C6576">
        <v>146.111180429</v>
      </c>
      <c r="D6576">
        <v>-17.6360167676999</v>
      </c>
      <c r="E6576" s="92" t="str">
        <f t="shared" si="8"/>
        <v/>
      </c>
      <c r="F6576" t="str">
        <f>HYPERLINK("D:\Data From Lucan\2024\Moresby\Frames_for_Analysis/6573_20240611_0002_R_1091.jpg","6573_20240611_0002_R_1091.jpg")</f>
        <v>6573_20240611_0002_R_1091.jpg</v>
      </c>
      <c r="G6576" s="92" t="s">
        <v>6761</v>
      </c>
      <c r="I6576">
        <v>2</v>
      </c>
      <c r="K6576" s="97">
        <v>1</v>
      </c>
      <c r="P6576" s="57">
        <v>1</v>
      </c>
      <c r="Q6576" s="57">
        <v>0</v>
      </c>
      <c r="R6576" s="57">
        <v>0</v>
      </c>
      <c r="S6576" s="97">
        <v>0</v>
      </c>
      <c r="T6576" s="57">
        <v>0</v>
      </c>
      <c r="U6576" s="57">
        <v>0</v>
      </c>
      <c r="V6576" s="57">
        <v>0</v>
      </c>
      <c r="W6576" s="57">
        <v>0</v>
      </c>
      <c r="X6576" s="97">
        <v>0</v>
      </c>
    </row>
    <row r="6577" spans="1:24" x14ac:dyDescent="0.35">
      <c r="A6577">
        <v>6573</v>
      </c>
      <c r="B6577">
        <v>6574</v>
      </c>
      <c r="C6577">
        <v>146.111244212</v>
      </c>
      <c r="D6577">
        <v>-17.635956524000001</v>
      </c>
      <c r="E6577" s="92" t="str">
        <f t="shared" si="8"/>
        <v/>
      </c>
      <c r="F6577" t="str">
        <f>HYPERLINK("D:\Data From Lucan\2024\Moresby\Frames_for_Analysis/6574_20240611_0002_R_1088.jpg","6574_20240611_0002_R_1088.jpg")</f>
        <v>6574_20240611_0002_R_1088.jpg</v>
      </c>
      <c r="G6577" s="92" t="s">
        <v>6762</v>
      </c>
      <c r="I6577">
        <v>2</v>
      </c>
      <c r="K6577" s="97">
        <v>1</v>
      </c>
      <c r="P6577" s="57">
        <v>1</v>
      </c>
      <c r="Q6577" s="57">
        <v>0</v>
      </c>
      <c r="R6577" s="57">
        <v>0</v>
      </c>
      <c r="S6577" s="97">
        <v>0</v>
      </c>
      <c r="T6577" s="57">
        <v>0</v>
      </c>
      <c r="U6577" s="57">
        <v>0</v>
      </c>
      <c r="V6577" s="57">
        <v>0</v>
      </c>
      <c r="W6577" s="57">
        <v>0</v>
      </c>
      <c r="X6577" s="97">
        <v>0</v>
      </c>
    </row>
    <row r="6578" spans="1:24" x14ac:dyDescent="0.35">
      <c r="A6578">
        <v>6574</v>
      </c>
      <c r="B6578">
        <v>6575</v>
      </c>
      <c r="C6578">
        <v>146.111306189999</v>
      </c>
      <c r="D6578">
        <v>-17.6358945544</v>
      </c>
      <c r="E6578" s="92">
        <f t="shared" si="8"/>
        <v>50</v>
      </c>
      <c r="F6578" t="str">
        <f>HYPERLINK("D:\Data From Lucan\2024\Moresby\Frames_for_Analysis/6575_20240611_0002_R_1056.jpg","6575_20240611_0002_R_1056.jpg")</f>
        <v>6575_20240611_0002_R_1056.jpg</v>
      </c>
      <c r="G6578" s="92" t="s">
        <v>6763</v>
      </c>
      <c r="I6578">
        <v>2</v>
      </c>
      <c r="K6578" s="97">
        <v>1</v>
      </c>
      <c r="P6578" s="57">
        <v>1</v>
      </c>
      <c r="Q6578" s="57">
        <v>0</v>
      </c>
      <c r="R6578" s="57">
        <v>0</v>
      </c>
      <c r="S6578" s="97">
        <v>0</v>
      </c>
      <c r="T6578" s="57">
        <v>0</v>
      </c>
      <c r="U6578" s="57">
        <v>0</v>
      </c>
      <c r="V6578" s="57">
        <v>0</v>
      </c>
      <c r="W6578" s="57">
        <v>0</v>
      </c>
      <c r="X6578" s="97">
        <v>0</v>
      </c>
    </row>
    <row r="6579" spans="1:24" x14ac:dyDescent="0.35">
      <c r="A6579">
        <v>6575</v>
      </c>
      <c r="B6579">
        <v>6576</v>
      </c>
      <c r="C6579">
        <v>146.111368169</v>
      </c>
      <c r="D6579">
        <v>-17.635832584700001</v>
      </c>
      <c r="E6579" s="92" t="str">
        <f t="shared" si="8"/>
        <v/>
      </c>
      <c r="F6579" t="str">
        <f>HYPERLINK("D:\Data From Lucan\2024\Moresby\Frames_for_Analysis/6576_20240611_0002_R_1051.jpg","6576_20240611_0002_R_1051.jpg")</f>
        <v>6576_20240611_0002_R_1051.jpg</v>
      </c>
      <c r="G6579" s="92" t="s">
        <v>6764</v>
      </c>
      <c r="I6579">
        <v>2</v>
      </c>
      <c r="K6579" s="97">
        <v>1</v>
      </c>
      <c r="P6579" s="57">
        <v>1</v>
      </c>
      <c r="Q6579" s="57">
        <v>0</v>
      </c>
      <c r="R6579" s="57">
        <v>0</v>
      </c>
      <c r="S6579" s="97">
        <v>0</v>
      </c>
      <c r="T6579" s="57">
        <v>0</v>
      </c>
      <c r="U6579" s="57">
        <v>0</v>
      </c>
      <c r="V6579" s="57">
        <v>0</v>
      </c>
      <c r="W6579" s="57">
        <v>0</v>
      </c>
      <c r="X6579" s="97">
        <v>0</v>
      </c>
    </row>
    <row r="6580" spans="1:24" x14ac:dyDescent="0.35">
      <c r="A6580">
        <v>6576</v>
      </c>
      <c r="B6580">
        <v>6577</v>
      </c>
      <c r="C6580">
        <v>146.111430146999</v>
      </c>
      <c r="D6580">
        <v>-17.635770614999899</v>
      </c>
      <c r="E6580" s="92" t="str">
        <f t="shared" si="8"/>
        <v/>
      </c>
      <c r="F6580" t="str">
        <f>HYPERLINK("D:\Data From Lucan\2024\Moresby\Frames_for_Analysis/6577_20240611_0002_R_1064.jpg","6577_20240611_0002_R_1064.jpg")</f>
        <v>6577_20240611_0002_R_1064.jpg</v>
      </c>
      <c r="G6580" s="92" t="s">
        <v>6765</v>
      </c>
      <c r="I6580">
        <v>2</v>
      </c>
      <c r="K6580" s="97">
        <v>1</v>
      </c>
      <c r="P6580" s="57">
        <v>1</v>
      </c>
      <c r="Q6580" s="57">
        <v>0</v>
      </c>
      <c r="R6580" s="57">
        <v>0</v>
      </c>
      <c r="S6580" s="97">
        <v>0</v>
      </c>
      <c r="T6580" s="57">
        <v>0</v>
      </c>
      <c r="U6580" s="57">
        <v>0</v>
      </c>
      <c r="V6580" s="57">
        <v>0</v>
      </c>
      <c r="W6580" s="57">
        <v>0</v>
      </c>
      <c r="X6580" s="97">
        <v>0</v>
      </c>
    </row>
    <row r="6581" spans="1:24" x14ac:dyDescent="0.35">
      <c r="A6581">
        <v>6577</v>
      </c>
      <c r="B6581">
        <v>6578</v>
      </c>
      <c r="C6581">
        <v>146.11148337200001</v>
      </c>
      <c r="D6581">
        <v>-17.6357038891</v>
      </c>
      <c r="E6581" s="92" t="str">
        <f t="shared" si="8"/>
        <v/>
      </c>
      <c r="F6581" t="str">
        <f>HYPERLINK("D:\Data From Lucan\2024\Moresby\Frames_for_Analysis/6578_20240611_0002_R_1077.jpg","6578_20240611_0002_R_1077.jpg")</f>
        <v>6578_20240611_0002_R_1077.jpg</v>
      </c>
      <c r="G6581" s="92" t="s">
        <v>6766</v>
      </c>
      <c r="I6581">
        <v>2</v>
      </c>
      <c r="K6581" s="97">
        <v>1</v>
      </c>
      <c r="P6581" s="57">
        <v>1</v>
      </c>
      <c r="Q6581" s="57">
        <v>0</v>
      </c>
      <c r="R6581" s="57">
        <v>0</v>
      </c>
      <c r="S6581" s="97">
        <v>0</v>
      </c>
      <c r="T6581" s="57">
        <v>0</v>
      </c>
      <c r="U6581" s="57">
        <v>0</v>
      </c>
      <c r="V6581" s="57">
        <v>0</v>
      </c>
      <c r="W6581" s="57">
        <v>0</v>
      </c>
      <c r="X6581" s="97">
        <v>0</v>
      </c>
    </row>
    <row r="6582" spans="1:24" x14ac:dyDescent="0.35">
      <c r="A6582">
        <v>6578</v>
      </c>
      <c r="B6582">
        <v>6579</v>
      </c>
      <c r="C6582">
        <v>146.11150775600001</v>
      </c>
      <c r="D6582">
        <v>-17.635621493799899</v>
      </c>
      <c r="E6582" s="92" t="str">
        <f t="shared" si="8"/>
        <v/>
      </c>
      <c r="F6582" t="str">
        <f>HYPERLINK("D:\Data From Lucan\2024\Moresby\Frames_for_Analysis/6579_20240611_0002_R_1043.jpg","6579_20240611_0002_R_1043.jpg")</f>
        <v>6579_20240611_0002_R_1043.jpg</v>
      </c>
      <c r="G6582" s="92" t="s">
        <v>6767</v>
      </c>
      <c r="I6582">
        <v>2</v>
      </c>
      <c r="K6582" s="97">
        <v>1</v>
      </c>
      <c r="P6582" s="57">
        <v>1</v>
      </c>
      <c r="Q6582" s="57">
        <v>0</v>
      </c>
      <c r="R6582" s="57">
        <v>0</v>
      </c>
      <c r="S6582" s="97">
        <v>0</v>
      </c>
      <c r="T6582" s="57">
        <v>0</v>
      </c>
      <c r="U6582" s="57">
        <v>0</v>
      </c>
      <c r="V6582" s="57">
        <v>0</v>
      </c>
      <c r="W6582" s="57">
        <v>0</v>
      </c>
      <c r="X6582" s="97">
        <v>0</v>
      </c>
    </row>
    <row r="6583" spans="1:24" x14ac:dyDescent="0.35">
      <c r="A6583">
        <v>6579</v>
      </c>
      <c r="B6583">
        <v>6580</v>
      </c>
      <c r="C6583">
        <v>146.11153214000001</v>
      </c>
      <c r="D6583">
        <v>-17.635539098300001</v>
      </c>
      <c r="E6583" s="92">
        <f t="shared" si="8"/>
        <v>50</v>
      </c>
      <c r="F6583" t="str">
        <f>HYPERLINK("D:\Data From Lucan\2024\Moresby\Frames_for_Analysis/6580_20240611_0002_R_1040.jpg","6580_20240611_0002_R_1040.jpg")</f>
        <v>6580_20240611_0002_R_1040.jpg</v>
      </c>
      <c r="G6583" s="92" t="s">
        <v>6768</v>
      </c>
      <c r="I6583">
        <v>2</v>
      </c>
      <c r="K6583" s="97">
        <v>1</v>
      </c>
      <c r="P6583" s="57">
        <v>1</v>
      </c>
      <c r="Q6583" s="57">
        <v>0</v>
      </c>
      <c r="R6583" s="57">
        <v>0</v>
      </c>
      <c r="S6583" s="97">
        <v>0</v>
      </c>
      <c r="T6583" s="57">
        <v>0</v>
      </c>
      <c r="U6583" s="57">
        <v>0</v>
      </c>
      <c r="V6583" s="57">
        <v>0</v>
      </c>
      <c r="W6583" s="57">
        <v>0</v>
      </c>
      <c r="X6583" s="97">
        <v>0</v>
      </c>
    </row>
    <row r="6584" spans="1:24" x14ac:dyDescent="0.35">
      <c r="A6584">
        <v>6580</v>
      </c>
      <c r="B6584">
        <v>6581</v>
      </c>
      <c r="C6584">
        <v>146.11155652400001</v>
      </c>
      <c r="D6584">
        <v>-17.635456702900001</v>
      </c>
      <c r="E6584" s="92" t="str">
        <f t="shared" si="8"/>
        <v/>
      </c>
      <c r="F6584" t="str">
        <f>HYPERLINK("D:\Data From Lucan\2024\Moresby\Frames_for_Analysis/6581_20240611_0002_R_1039.jpg","6581_20240611_0002_R_1039.jpg")</f>
        <v>6581_20240611_0002_R_1039.jpg</v>
      </c>
      <c r="G6584" s="92" t="s">
        <v>6769</v>
      </c>
      <c r="I6584">
        <v>2</v>
      </c>
      <c r="K6584" s="97">
        <v>1</v>
      </c>
      <c r="P6584" s="57">
        <v>1</v>
      </c>
      <c r="Q6584" s="57">
        <v>0</v>
      </c>
      <c r="R6584" s="57">
        <v>0</v>
      </c>
      <c r="S6584" s="97">
        <v>0</v>
      </c>
      <c r="T6584" s="57">
        <v>0</v>
      </c>
      <c r="U6584" s="57">
        <v>0</v>
      </c>
      <c r="V6584" s="57">
        <v>0</v>
      </c>
      <c r="W6584" s="57">
        <v>0</v>
      </c>
      <c r="X6584" s="97">
        <v>0</v>
      </c>
    </row>
    <row r="6585" spans="1:24" x14ac:dyDescent="0.35">
      <c r="A6585">
        <v>6581</v>
      </c>
      <c r="B6585">
        <v>6582</v>
      </c>
      <c r="C6585">
        <v>146.111580908999</v>
      </c>
      <c r="D6585">
        <v>-17.6353743073999</v>
      </c>
      <c r="E6585" s="92" t="str">
        <f t="shared" si="8"/>
        <v/>
      </c>
      <c r="F6585" t="str">
        <f>HYPERLINK("D:\Data From Lucan\2024\Moresby\Frames_for_Analysis/6582_20240611_0002_R_1036.jpg","6582_20240611_0002_R_1036.jpg")</f>
        <v>6582_20240611_0002_R_1036.jpg</v>
      </c>
      <c r="G6585" s="92" t="s">
        <v>6770</v>
      </c>
      <c r="I6585">
        <v>2</v>
      </c>
      <c r="K6585" s="97">
        <v>1</v>
      </c>
      <c r="P6585" s="57">
        <v>1</v>
      </c>
      <c r="Q6585" s="57">
        <v>0</v>
      </c>
      <c r="R6585" s="57">
        <v>0</v>
      </c>
      <c r="S6585" s="97">
        <v>0</v>
      </c>
      <c r="T6585" s="57">
        <v>0</v>
      </c>
      <c r="U6585" s="57">
        <v>0</v>
      </c>
      <c r="V6585" s="57">
        <v>0</v>
      </c>
      <c r="W6585" s="57">
        <v>0</v>
      </c>
      <c r="X6585" s="97">
        <v>0</v>
      </c>
    </row>
    <row r="6586" spans="1:24" x14ac:dyDescent="0.35">
      <c r="A6586">
        <v>6582</v>
      </c>
      <c r="B6586">
        <v>6583</v>
      </c>
      <c r="C6586">
        <v>146.11160072000001</v>
      </c>
      <c r="D6586">
        <v>-17.635291000799899</v>
      </c>
      <c r="E6586" s="92" t="str">
        <f t="shared" si="8"/>
        <v/>
      </c>
      <c r="F6586" t="str">
        <f>HYPERLINK("D:\Data From Lucan\2024\Moresby\Frames_for_Analysis/6583_20240611_0002_R_1034.jpg","6583_20240611_0002_R_1034.jpg")</f>
        <v>6583_20240611_0002_R_1034.jpg</v>
      </c>
      <c r="G6586" s="92" t="s">
        <v>6771</v>
      </c>
      <c r="I6586">
        <v>2</v>
      </c>
      <c r="K6586" s="97">
        <v>1</v>
      </c>
      <c r="P6586" s="57">
        <v>1</v>
      </c>
      <c r="Q6586" s="57">
        <v>0</v>
      </c>
      <c r="R6586" s="57">
        <v>0</v>
      </c>
      <c r="S6586" s="97">
        <v>0</v>
      </c>
      <c r="T6586" s="57">
        <v>0</v>
      </c>
      <c r="U6586" s="57">
        <v>0</v>
      </c>
      <c r="V6586" s="57">
        <v>0</v>
      </c>
      <c r="W6586" s="57">
        <v>0</v>
      </c>
      <c r="X6586" s="97">
        <v>0</v>
      </c>
    </row>
    <row r="6587" spans="1:24" x14ac:dyDescent="0.35">
      <c r="A6587">
        <v>6583</v>
      </c>
      <c r="B6587">
        <v>6584</v>
      </c>
      <c r="C6587">
        <v>146.11161300800001</v>
      </c>
      <c r="D6587">
        <v>-17.6352061957</v>
      </c>
      <c r="E6587" s="92" t="str">
        <f t="shared" si="8"/>
        <v/>
      </c>
      <c r="F6587" t="str">
        <f>HYPERLINK("D:\Data From Lucan\2024\Moresby\Frames_for_Analysis/6584_20240611_0002_R_1032.jpg","6584_20240611_0002_R_1032.jpg")</f>
        <v>6584_20240611_0002_R_1032.jpg</v>
      </c>
      <c r="G6587" s="92" t="s">
        <v>6772</v>
      </c>
      <c r="I6587">
        <v>2</v>
      </c>
      <c r="K6587" s="97">
        <v>1</v>
      </c>
      <c r="P6587" s="57">
        <v>1</v>
      </c>
      <c r="Q6587" s="57">
        <v>0</v>
      </c>
      <c r="R6587" s="57">
        <v>0</v>
      </c>
      <c r="S6587" s="97">
        <v>0</v>
      </c>
      <c r="T6587" s="57">
        <v>0</v>
      </c>
      <c r="U6587" s="57">
        <v>0</v>
      </c>
      <c r="V6587" s="57">
        <v>0</v>
      </c>
      <c r="W6587" s="57">
        <v>0</v>
      </c>
      <c r="X6587" s="97">
        <v>0</v>
      </c>
    </row>
    <row r="6588" spans="1:24" x14ac:dyDescent="0.35">
      <c r="A6588">
        <v>6584</v>
      </c>
      <c r="B6588">
        <v>6585</v>
      </c>
      <c r="C6588">
        <v>146.111625296</v>
      </c>
      <c r="D6588">
        <v>-17.6351213905</v>
      </c>
      <c r="E6588" s="92">
        <f t="shared" si="8"/>
        <v>50</v>
      </c>
      <c r="F6588" t="str">
        <f>HYPERLINK("D:\Data From Lucan\2024\Moresby\Frames_for_Analysis/6585_20240611_0002_R_1029.jpg","6585_20240611_0002_R_1029.jpg")</f>
        <v>6585_20240611_0002_R_1029.jpg</v>
      </c>
      <c r="G6588" s="92" t="s">
        <v>6773</v>
      </c>
      <c r="I6588">
        <v>2</v>
      </c>
      <c r="K6588" s="97">
        <v>1</v>
      </c>
      <c r="P6588" s="57">
        <v>1</v>
      </c>
      <c r="Q6588" s="57">
        <v>0</v>
      </c>
      <c r="R6588" s="57">
        <v>0</v>
      </c>
      <c r="S6588" s="97">
        <v>0</v>
      </c>
      <c r="T6588" s="57">
        <v>0</v>
      </c>
      <c r="U6588" s="57">
        <v>0</v>
      </c>
      <c r="V6588" s="57">
        <v>0</v>
      </c>
      <c r="W6588" s="57">
        <v>0</v>
      </c>
      <c r="X6588" s="97">
        <v>0</v>
      </c>
    </row>
    <row r="6589" spans="1:24" x14ac:dyDescent="0.35">
      <c r="A6589">
        <v>6585</v>
      </c>
      <c r="B6589">
        <v>6586</v>
      </c>
      <c r="C6589">
        <v>146.111637583999</v>
      </c>
      <c r="D6589">
        <v>-17.6350365853</v>
      </c>
      <c r="E6589" s="92" t="str">
        <f t="shared" si="8"/>
        <v/>
      </c>
      <c r="F6589" t="str">
        <f>HYPERLINK("D:\Data From Lucan\2024\Moresby\Frames_for_Analysis/6586_20240611_0002_R_1026.jpg","6586_20240611_0002_R_1026.jpg")</f>
        <v>6586_20240611_0002_R_1026.jpg</v>
      </c>
      <c r="G6589" s="92" t="s">
        <v>6774</v>
      </c>
      <c r="I6589">
        <v>2</v>
      </c>
      <c r="K6589" s="97">
        <v>1</v>
      </c>
      <c r="P6589" s="57">
        <v>1</v>
      </c>
      <c r="Q6589" s="57">
        <v>0</v>
      </c>
      <c r="R6589" s="57">
        <v>0</v>
      </c>
      <c r="S6589" s="97">
        <v>0</v>
      </c>
      <c r="T6589" s="57">
        <v>0</v>
      </c>
      <c r="U6589" s="57">
        <v>0</v>
      </c>
      <c r="V6589" s="57">
        <v>0</v>
      </c>
      <c r="W6589" s="57">
        <v>0</v>
      </c>
      <c r="X6589" s="97">
        <v>0</v>
      </c>
    </row>
    <row r="6590" spans="1:24" x14ac:dyDescent="0.35">
      <c r="A6590">
        <v>6586</v>
      </c>
      <c r="B6590">
        <v>6587</v>
      </c>
      <c r="C6590">
        <v>146.11164987199899</v>
      </c>
      <c r="D6590">
        <v>-17.6349517801</v>
      </c>
      <c r="E6590" s="92" t="str">
        <f t="shared" si="8"/>
        <v/>
      </c>
      <c r="F6590" t="str">
        <f>HYPERLINK("D:\Data From Lucan\2024\Moresby\Frames_for_Analysis/6587_20240611_0002_R_1022.jpg","6587_20240611_0002_R_1022.jpg")</f>
        <v>6587_20240611_0002_R_1022.jpg</v>
      </c>
      <c r="G6590" s="92" t="s">
        <v>6775</v>
      </c>
      <c r="I6590">
        <v>2</v>
      </c>
      <c r="K6590" s="97">
        <v>1</v>
      </c>
      <c r="P6590" s="57">
        <v>1</v>
      </c>
      <c r="Q6590" s="57">
        <v>0</v>
      </c>
      <c r="R6590" s="57">
        <v>0</v>
      </c>
      <c r="S6590" s="97">
        <v>0</v>
      </c>
      <c r="T6590" s="57">
        <v>0</v>
      </c>
      <c r="U6590" s="57">
        <v>0</v>
      </c>
      <c r="V6590" s="57">
        <v>0</v>
      </c>
      <c r="W6590" s="57">
        <v>0</v>
      </c>
      <c r="X6590" s="97">
        <v>0</v>
      </c>
    </row>
    <row r="6591" spans="1:24" x14ac:dyDescent="0.35">
      <c r="A6591">
        <v>6587</v>
      </c>
      <c r="B6591">
        <v>6588</v>
      </c>
      <c r="C6591">
        <v>146.11166216000001</v>
      </c>
      <c r="D6591">
        <v>-17.634866974800001</v>
      </c>
      <c r="E6591" s="92" t="str">
        <f t="shared" si="8"/>
        <v/>
      </c>
      <c r="F6591" t="str">
        <f>HYPERLINK("D:\Data From Lucan\2024\Moresby\Frames_for_Analysis/6588_20240611_0002_R_1019.jpg","6588_20240611_0002_R_1019.jpg")</f>
        <v>6588_20240611_0002_R_1019.jpg</v>
      </c>
      <c r="G6591" s="92" t="s">
        <v>6776</v>
      </c>
      <c r="I6591">
        <v>2</v>
      </c>
      <c r="K6591" s="97">
        <v>1</v>
      </c>
      <c r="P6591" s="57">
        <v>1</v>
      </c>
      <c r="Q6591" s="57">
        <v>0</v>
      </c>
      <c r="R6591" s="57">
        <v>0</v>
      </c>
      <c r="S6591" s="97">
        <v>0</v>
      </c>
      <c r="T6591" s="57">
        <v>0</v>
      </c>
      <c r="U6591" s="57">
        <v>0</v>
      </c>
      <c r="V6591" s="57">
        <v>0</v>
      </c>
      <c r="W6591" s="57">
        <v>0</v>
      </c>
      <c r="X6591" s="97">
        <v>0</v>
      </c>
    </row>
    <row r="6592" spans="1:24" x14ac:dyDescent="0.35">
      <c r="A6592">
        <v>6588</v>
      </c>
      <c r="B6592">
        <v>6589</v>
      </c>
      <c r="C6592">
        <v>146.111674348999</v>
      </c>
      <c r="D6592">
        <v>-17.634782158099899</v>
      </c>
      <c r="E6592" s="92" t="str">
        <f t="shared" si="8"/>
        <v/>
      </c>
      <c r="F6592" t="str">
        <f>HYPERLINK("D:\Data From Lucan\2024\Moresby\Frames_for_Analysis/6589_20240611_0002_R_1015.jpg","6589_20240611_0002_R_1015.jpg")</f>
        <v>6589_20240611_0002_R_1015.jpg</v>
      </c>
      <c r="G6592" s="92" t="s">
        <v>6777</v>
      </c>
      <c r="I6592">
        <v>2</v>
      </c>
      <c r="K6592" s="97">
        <v>1</v>
      </c>
      <c r="P6592" s="57">
        <v>1</v>
      </c>
      <c r="Q6592" s="57">
        <v>0</v>
      </c>
      <c r="R6592" s="57">
        <v>0</v>
      </c>
      <c r="S6592" s="97">
        <v>0</v>
      </c>
      <c r="T6592" s="57">
        <v>0</v>
      </c>
      <c r="U6592" s="57">
        <v>0</v>
      </c>
      <c r="V6592" s="57">
        <v>0</v>
      </c>
      <c r="W6592" s="57">
        <v>0</v>
      </c>
      <c r="X6592" s="97">
        <v>0</v>
      </c>
    </row>
    <row r="6593" spans="1:24" x14ac:dyDescent="0.35">
      <c r="A6593">
        <v>6589</v>
      </c>
      <c r="B6593">
        <v>6590</v>
      </c>
      <c r="C6593">
        <v>146.111683650999</v>
      </c>
      <c r="D6593">
        <v>-17.6346970082</v>
      </c>
      <c r="E6593" s="92">
        <f t="shared" si="8"/>
        <v>50</v>
      </c>
      <c r="F6593" t="str">
        <f>HYPERLINK("D:\Data From Lucan\2024\Moresby\Frames_for_Analysis/6590_20240611_0002_R_1012.jpg","6590_20240611_0002_R_1012.jpg")</f>
        <v>6590_20240611_0002_R_1012.jpg</v>
      </c>
      <c r="G6593" s="92" t="s">
        <v>6778</v>
      </c>
      <c r="I6593">
        <v>2</v>
      </c>
      <c r="K6593" s="97">
        <v>1</v>
      </c>
      <c r="P6593" s="57">
        <v>1</v>
      </c>
      <c r="Q6593" s="57">
        <v>0</v>
      </c>
      <c r="R6593" s="57">
        <v>0</v>
      </c>
      <c r="S6593" s="97">
        <v>0</v>
      </c>
      <c r="T6593" s="57">
        <v>0</v>
      </c>
      <c r="U6593" s="57">
        <v>0</v>
      </c>
      <c r="V6593" s="57">
        <v>0</v>
      </c>
      <c r="W6593" s="57">
        <v>0</v>
      </c>
      <c r="X6593" s="97">
        <v>0</v>
      </c>
    </row>
    <row r="6594" spans="1:24" x14ac:dyDescent="0.35">
      <c r="A6594">
        <v>6590</v>
      </c>
      <c r="B6594">
        <v>6591</v>
      </c>
      <c r="C6594">
        <v>146.11169295299899</v>
      </c>
      <c r="D6594">
        <v>-17.634611858300001</v>
      </c>
      <c r="E6594" s="92" t="str">
        <f t="shared" si="8"/>
        <v/>
      </c>
      <c r="F6594" t="str">
        <f>HYPERLINK("D:\Data From Lucan\2024\Moresby\Frames_for_Analysis/6591_20240611_0002_R_1009.jpg","6591_20240611_0002_R_1009.jpg")</f>
        <v>6591_20240611_0002_R_1009.jpg</v>
      </c>
      <c r="G6594" s="92" t="s">
        <v>6779</v>
      </c>
      <c r="I6594">
        <v>2</v>
      </c>
      <c r="K6594" s="97">
        <v>1</v>
      </c>
      <c r="P6594" s="57">
        <v>1</v>
      </c>
      <c r="Q6594" s="57">
        <v>0</v>
      </c>
      <c r="R6594" s="57">
        <v>0</v>
      </c>
      <c r="S6594" s="97">
        <v>0</v>
      </c>
      <c r="T6594" s="57">
        <v>0</v>
      </c>
      <c r="U6594" s="57">
        <v>0</v>
      </c>
      <c r="V6594" s="57">
        <v>0</v>
      </c>
      <c r="W6594" s="57">
        <v>0</v>
      </c>
      <c r="X6594" s="97">
        <v>0</v>
      </c>
    </row>
    <row r="6595" spans="1:24" x14ac:dyDescent="0.35">
      <c r="A6595">
        <v>6591</v>
      </c>
      <c r="B6595">
        <v>6592</v>
      </c>
      <c r="C6595">
        <v>146.11170225500001</v>
      </c>
      <c r="D6595">
        <v>-17.6345267083999</v>
      </c>
      <c r="E6595" s="92" t="str">
        <f t="shared" si="8"/>
        <v/>
      </c>
      <c r="F6595" t="str">
        <f>HYPERLINK("D:\Data From Lucan\2024\Moresby\Frames_for_Analysis/6592_20240611_0002_R_1006.jpg","6592_20240611_0002_R_1006.jpg")</f>
        <v>6592_20240611_0002_R_1006.jpg</v>
      </c>
      <c r="G6595" s="92" t="s">
        <v>6780</v>
      </c>
      <c r="I6595">
        <v>2</v>
      </c>
      <c r="K6595" s="97">
        <v>1</v>
      </c>
      <c r="P6595" s="57">
        <v>1</v>
      </c>
      <c r="Q6595" s="57">
        <v>0</v>
      </c>
      <c r="R6595" s="57">
        <v>0</v>
      </c>
      <c r="S6595" s="97">
        <v>0</v>
      </c>
      <c r="T6595" s="57">
        <v>0</v>
      </c>
      <c r="U6595" s="57">
        <v>0</v>
      </c>
      <c r="V6595" s="57">
        <v>0</v>
      </c>
      <c r="W6595" s="57">
        <v>0</v>
      </c>
      <c r="X6595" s="97">
        <v>0</v>
      </c>
    </row>
    <row r="6596" spans="1:24" x14ac:dyDescent="0.35">
      <c r="A6596">
        <v>6592</v>
      </c>
      <c r="B6596">
        <v>6593</v>
      </c>
      <c r="C6596">
        <v>146.11171155700001</v>
      </c>
      <c r="D6596">
        <v>-17.634441558399899</v>
      </c>
      <c r="E6596" s="92" t="str">
        <f t="shared" si="8"/>
        <v/>
      </c>
      <c r="F6596" t="str">
        <f>HYPERLINK("D:\Data From Lucan\2024\Moresby\Frames_for_Analysis/6593_20240611_0002_R_1003.jpg","6593_20240611_0002_R_1003.jpg")</f>
        <v>6593_20240611_0002_R_1003.jpg</v>
      </c>
      <c r="G6596" s="92" t="s">
        <v>6781</v>
      </c>
      <c r="I6596">
        <v>2</v>
      </c>
      <c r="K6596" s="97">
        <v>1</v>
      </c>
      <c r="P6596" s="57">
        <v>1</v>
      </c>
      <c r="Q6596" s="57">
        <v>0</v>
      </c>
      <c r="R6596" s="57">
        <v>0</v>
      </c>
      <c r="S6596" s="97">
        <v>0</v>
      </c>
      <c r="T6596" s="57">
        <v>0</v>
      </c>
      <c r="U6596" s="57">
        <v>0</v>
      </c>
      <c r="V6596" s="57">
        <v>0</v>
      </c>
      <c r="W6596" s="57">
        <v>0</v>
      </c>
      <c r="X6596" s="97">
        <v>0</v>
      </c>
    </row>
    <row r="6597" spans="1:24" x14ac:dyDescent="0.35">
      <c r="A6597">
        <v>6593</v>
      </c>
      <c r="B6597">
        <v>6594</v>
      </c>
      <c r="C6597">
        <v>146.111720859</v>
      </c>
      <c r="D6597">
        <v>-17.6343564083</v>
      </c>
      <c r="E6597" s="92" t="str">
        <f t="shared" si="8"/>
        <v/>
      </c>
      <c r="F6597" t="str">
        <f>HYPERLINK("D:\Data From Lucan\2024\Moresby\Frames_for_Analysis/6594_20240611_0002_R_1001.jpg","6594_20240611_0002_R_1001.jpg")</f>
        <v>6594_20240611_0002_R_1001.jpg</v>
      </c>
      <c r="G6597" s="92" t="s">
        <v>6782</v>
      </c>
      <c r="I6597">
        <v>2</v>
      </c>
      <c r="K6597" s="97">
        <v>1</v>
      </c>
      <c r="P6597" s="57">
        <v>1</v>
      </c>
      <c r="Q6597" s="57">
        <v>0</v>
      </c>
      <c r="R6597" s="57">
        <v>0</v>
      </c>
      <c r="S6597" s="97">
        <v>0</v>
      </c>
      <c r="T6597" s="57">
        <v>0</v>
      </c>
      <c r="U6597" s="57">
        <v>0</v>
      </c>
      <c r="V6597" s="57">
        <v>0</v>
      </c>
      <c r="W6597" s="57">
        <v>0</v>
      </c>
      <c r="X6597" s="97">
        <v>0</v>
      </c>
    </row>
    <row r="6598" spans="1:24" x14ac:dyDescent="0.35">
      <c r="A6598">
        <v>6594</v>
      </c>
      <c r="B6598">
        <v>6595</v>
      </c>
      <c r="C6598">
        <v>146.111730160999</v>
      </c>
      <c r="D6598">
        <v>-17.634271258199899</v>
      </c>
      <c r="E6598" s="92">
        <f t="shared" si="8"/>
        <v>50</v>
      </c>
      <c r="F6598" t="str">
        <f>HYPERLINK("D:\Data From Lucan\2024\Moresby\Frames_for_Analysis/6595_20240611_0002_R_0997.jpg","6595_20240611_0002_R_0997.jpg")</f>
        <v>6595_20240611_0002_R_0997.jpg</v>
      </c>
      <c r="G6598" s="92" t="s">
        <v>6783</v>
      </c>
      <c r="I6598">
        <v>2</v>
      </c>
      <c r="K6598" s="97">
        <v>1</v>
      </c>
      <c r="P6598" s="57">
        <v>1</v>
      </c>
      <c r="Q6598" s="57">
        <v>0</v>
      </c>
      <c r="R6598" s="57">
        <v>0</v>
      </c>
      <c r="S6598" s="97">
        <v>0</v>
      </c>
      <c r="T6598" s="57">
        <v>0</v>
      </c>
      <c r="U6598" s="57">
        <v>0</v>
      </c>
      <c r="V6598" s="57">
        <v>0</v>
      </c>
      <c r="W6598" s="57">
        <v>0</v>
      </c>
      <c r="X6598" s="97">
        <v>0</v>
      </c>
    </row>
    <row r="6599" spans="1:24" x14ac:dyDescent="0.35">
      <c r="A6599">
        <v>6595</v>
      </c>
      <c r="B6599">
        <v>6596</v>
      </c>
      <c r="C6599">
        <v>146.111738879999</v>
      </c>
      <c r="D6599">
        <v>-17.634186069199899</v>
      </c>
      <c r="E6599" s="92" t="str">
        <f t="shared" si="8"/>
        <v/>
      </c>
      <c r="F6599" t="str">
        <f>HYPERLINK("D:\Data From Lucan\2024\Moresby\Frames_for_Analysis/6596_20240611_0002_R_0994.jpg","6596_20240611_0002_R_0994.jpg")</f>
        <v>6596_20240611_0002_R_0994.jpg</v>
      </c>
      <c r="G6599" s="92" t="s">
        <v>6784</v>
      </c>
      <c r="I6599">
        <v>2</v>
      </c>
      <c r="K6599" s="97">
        <v>1</v>
      </c>
      <c r="P6599" s="57">
        <v>1</v>
      </c>
      <c r="Q6599" s="57">
        <v>0</v>
      </c>
      <c r="R6599" s="57">
        <v>0</v>
      </c>
      <c r="S6599" s="97">
        <v>0</v>
      </c>
      <c r="T6599" s="57">
        <v>0</v>
      </c>
      <c r="U6599" s="57">
        <v>0</v>
      </c>
      <c r="V6599" s="57">
        <v>0</v>
      </c>
      <c r="W6599" s="57">
        <v>0</v>
      </c>
      <c r="X6599" s="97">
        <v>0</v>
      </c>
    </row>
    <row r="6600" spans="1:24" x14ac:dyDescent="0.35">
      <c r="A6600">
        <v>6596</v>
      </c>
      <c r="B6600">
        <v>6597</v>
      </c>
      <c r="C6600">
        <v>146.111742131</v>
      </c>
      <c r="D6600">
        <v>-17.634100514899899</v>
      </c>
      <c r="E6600" s="92" t="str">
        <f t="shared" si="8"/>
        <v/>
      </c>
      <c r="F6600" t="str">
        <f>HYPERLINK("D:\Data From Lucan\2024\Moresby\Frames_for_Analysis/6597_20240611_0002_R_0991.jpg","6597_20240611_0002_R_0991.jpg")</f>
        <v>6597_20240611_0002_R_0991.jpg</v>
      </c>
      <c r="G6600" s="92" t="s">
        <v>6785</v>
      </c>
      <c r="I6600">
        <v>2</v>
      </c>
      <c r="K6600" s="97">
        <v>1</v>
      </c>
      <c r="P6600" s="57">
        <v>1</v>
      </c>
      <c r="Q6600" s="57">
        <v>0</v>
      </c>
      <c r="R6600" s="57">
        <v>0</v>
      </c>
      <c r="S6600" s="97">
        <v>0</v>
      </c>
      <c r="T6600" s="57">
        <v>0</v>
      </c>
      <c r="U6600" s="57">
        <v>0</v>
      </c>
      <c r="V6600" s="57">
        <v>0</v>
      </c>
      <c r="W6600" s="57">
        <v>0</v>
      </c>
      <c r="X6600" s="97">
        <v>0</v>
      </c>
    </row>
    <row r="6601" spans="1:24" x14ac:dyDescent="0.35">
      <c r="A6601">
        <v>6597</v>
      </c>
      <c r="B6601">
        <v>6598</v>
      </c>
      <c r="C6601">
        <v>146.11174541700001</v>
      </c>
      <c r="D6601">
        <v>-17.6340149619</v>
      </c>
      <c r="E6601" s="92" t="str">
        <f t="shared" si="8"/>
        <v/>
      </c>
      <c r="F6601" t="str">
        <f>HYPERLINK("D:\Data From Lucan\2024\Moresby\Frames_for_Analysis/6598_20240611_0002_R_0987.jpg","6598_20240611_0002_R_0987.jpg")</f>
        <v>6598_20240611_0002_R_0987.jpg</v>
      </c>
      <c r="G6601" s="92" t="s">
        <v>6786</v>
      </c>
      <c r="I6601">
        <v>2</v>
      </c>
      <c r="K6601" s="97">
        <v>1</v>
      </c>
      <c r="P6601" s="57">
        <v>1</v>
      </c>
      <c r="Q6601" s="57">
        <v>0</v>
      </c>
      <c r="R6601" s="57">
        <v>0</v>
      </c>
      <c r="S6601" s="97">
        <v>0</v>
      </c>
      <c r="T6601" s="57">
        <v>0</v>
      </c>
      <c r="U6601" s="57">
        <v>0</v>
      </c>
      <c r="V6601" s="57">
        <v>0</v>
      </c>
      <c r="W6601" s="57">
        <v>0</v>
      </c>
      <c r="X6601" s="97">
        <v>0</v>
      </c>
    </row>
    <row r="6602" spans="1:24" x14ac:dyDescent="0.35">
      <c r="A6602">
        <v>6598</v>
      </c>
      <c r="B6602">
        <v>6599</v>
      </c>
      <c r="C6602">
        <v>146.11174924599899</v>
      </c>
      <c r="D6602">
        <v>-17.633929429199899</v>
      </c>
      <c r="E6602" s="92" t="str">
        <f t="shared" si="8"/>
        <v/>
      </c>
      <c r="F6602" t="str">
        <f>HYPERLINK("D:\Data From Lucan\2024\Moresby\Frames_for_Analysis/6599_20240611_0002_R_0984.jpg","6599_20240611_0002_R_0984.jpg")</f>
        <v>6599_20240611_0002_R_0984.jpg</v>
      </c>
      <c r="G6602" s="92" t="s">
        <v>6787</v>
      </c>
      <c r="I6602">
        <v>2</v>
      </c>
      <c r="K6602" s="97">
        <v>1</v>
      </c>
      <c r="P6602" s="57">
        <v>1</v>
      </c>
      <c r="Q6602" s="57">
        <v>0</v>
      </c>
      <c r="R6602" s="57">
        <v>0</v>
      </c>
      <c r="S6602" s="97">
        <v>0</v>
      </c>
      <c r="T6602" s="57">
        <v>0</v>
      </c>
      <c r="U6602" s="57">
        <v>0</v>
      </c>
      <c r="V6602" s="57">
        <v>0</v>
      </c>
      <c r="W6602" s="57">
        <v>0</v>
      </c>
      <c r="X6602" s="97">
        <v>0</v>
      </c>
    </row>
    <row r="6603" spans="1:24" x14ac:dyDescent="0.35">
      <c r="A6603">
        <v>6599</v>
      </c>
      <c r="B6603">
        <v>6600</v>
      </c>
      <c r="C6603">
        <v>146.11175307400001</v>
      </c>
      <c r="D6603">
        <v>-17.6338438965</v>
      </c>
      <c r="E6603" s="92">
        <f t="shared" si="8"/>
        <v>50</v>
      </c>
      <c r="F6603" t="str">
        <f>HYPERLINK("D:\Data From Lucan\2024\Moresby\Frames_for_Analysis/6600_20240611_0002_R_0981.jpg","6600_20240611_0002_R_0981.jpg")</f>
        <v>6600_20240611_0002_R_0981.jpg</v>
      </c>
      <c r="G6603" s="92" t="s">
        <v>6788</v>
      </c>
      <c r="I6603">
        <v>2</v>
      </c>
      <c r="K6603" s="97">
        <v>1</v>
      </c>
      <c r="P6603" s="57">
        <v>1</v>
      </c>
      <c r="Q6603" s="57">
        <v>0</v>
      </c>
      <c r="R6603" s="57">
        <v>0</v>
      </c>
      <c r="S6603" s="97">
        <v>0</v>
      </c>
      <c r="T6603" s="57">
        <v>0</v>
      </c>
      <c r="U6603" s="57">
        <v>0</v>
      </c>
      <c r="V6603" s="57">
        <v>0</v>
      </c>
      <c r="W6603" s="57">
        <v>0</v>
      </c>
      <c r="X6603" s="97">
        <v>0</v>
      </c>
    </row>
    <row r="6604" spans="1:24" x14ac:dyDescent="0.35">
      <c r="A6604">
        <v>6600</v>
      </c>
      <c r="B6604">
        <v>6601</v>
      </c>
      <c r="C6604">
        <v>146.11175690300001</v>
      </c>
      <c r="D6604">
        <v>-17.6337583637</v>
      </c>
      <c r="E6604" s="92" t="str">
        <f t="shared" si="8"/>
        <v/>
      </c>
      <c r="F6604" t="str">
        <f>HYPERLINK("D:\Data From Lucan\2024\Moresby\Frames_for_Analysis/6601_20240611_0002_R_0978.jpg","6601_20240611_0002_R_0978.jpg")</f>
        <v>6601_20240611_0002_R_0978.jpg</v>
      </c>
      <c r="G6604" s="92" t="s">
        <v>6789</v>
      </c>
      <c r="I6604">
        <v>2</v>
      </c>
      <c r="K6604" s="97">
        <v>1</v>
      </c>
      <c r="P6604" s="57">
        <v>1</v>
      </c>
      <c r="Q6604" s="57">
        <v>0</v>
      </c>
      <c r="R6604" s="57">
        <v>0</v>
      </c>
      <c r="S6604" s="97">
        <v>0</v>
      </c>
      <c r="T6604" s="57">
        <v>0</v>
      </c>
      <c r="U6604" s="57">
        <v>0</v>
      </c>
      <c r="V6604" s="57">
        <v>0</v>
      </c>
      <c r="W6604" s="57">
        <v>0</v>
      </c>
      <c r="X6604" s="97">
        <v>0</v>
      </c>
    </row>
    <row r="6605" spans="1:24" x14ac:dyDescent="0.35">
      <c r="A6605">
        <v>6601</v>
      </c>
      <c r="B6605">
        <v>6602</v>
      </c>
      <c r="C6605">
        <v>146.111760731</v>
      </c>
      <c r="D6605">
        <v>-17.6336728309</v>
      </c>
      <c r="E6605" s="92" t="str">
        <f t="shared" si="8"/>
        <v/>
      </c>
      <c r="F6605" t="str">
        <f>HYPERLINK("D:\Data From Lucan\2024\Moresby\Frames_for_Analysis/6602_20240611_0002_R_0975.jpg","6602_20240611_0002_R_0975.jpg")</f>
        <v>6602_20240611_0002_R_0975.jpg</v>
      </c>
      <c r="G6605" s="92" t="s">
        <v>6790</v>
      </c>
      <c r="I6605">
        <v>2</v>
      </c>
      <c r="K6605" s="97">
        <v>1</v>
      </c>
      <c r="P6605" s="57">
        <v>1</v>
      </c>
      <c r="Q6605" s="57">
        <v>0</v>
      </c>
      <c r="R6605" s="57">
        <v>0</v>
      </c>
      <c r="S6605" s="97">
        <v>0</v>
      </c>
      <c r="T6605" s="57">
        <v>0</v>
      </c>
      <c r="U6605" s="57">
        <v>0</v>
      </c>
      <c r="V6605" s="57">
        <v>0</v>
      </c>
      <c r="W6605" s="57">
        <v>0</v>
      </c>
      <c r="X6605" s="97">
        <v>0</v>
      </c>
    </row>
    <row r="6606" spans="1:24" s="75" customFormat="1" x14ac:dyDescent="0.35">
      <c r="A6606" s="75">
        <v>6602</v>
      </c>
      <c r="B6606" s="75">
        <v>6603</v>
      </c>
      <c r="C6606">
        <v>146.111754507999</v>
      </c>
      <c r="D6606">
        <v>-17.633587629200001</v>
      </c>
      <c r="E6606" s="92" t="str">
        <f t="shared" si="8"/>
        <v/>
      </c>
      <c r="F6606" s="93" t="str">
        <f>HYPERLINK("D:\Data From Lucan\2024\Moresby\Frames_for_Analysis\" &amp; G6606,G6606)</f>
        <v>6603_20240611_0002_R_0972.jpg</v>
      </c>
      <c r="G6606" s="75" t="s">
        <v>6791</v>
      </c>
      <c r="I6606" s="75">
        <v>2</v>
      </c>
      <c r="K6606" s="97">
        <v>1</v>
      </c>
      <c r="L6606"/>
      <c r="M6606"/>
      <c r="N6606"/>
      <c r="O6606"/>
      <c r="P6606" s="57"/>
      <c r="Q6606" s="57"/>
      <c r="R6606" s="57"/>
      <c r="S6606" s="97">
        <v>0</v>
      </c>
      <c r="T6606" s="57"/>
      <c r="U6606" s="57"/>
      <c r="V6606" s="57"/>
      <c r="W6606" s="57"/>
      <c r="X6606" s="97">
        <v>0</v>
      </c>
    </row>
    <row r="6607" spans="1:24" s="75" customFormat="1" x14ac:dyDescent="0.35">
      <c r="A6607" s="75">
        <v>6603</v>
      </c>
      <c r="B6607" s="75">
        <v>6604</v>
      </c>
      <c r="C6607">
        <v>146.111744490999</v>
      </c>
      <c r="D6607">
        <v>-17.6335025524</v>
      </c>
      <c r="E6607" s="92" t="str">
        <f t="shared" si="8"/>
        <v/>
      </c>
      <c r="F6607" s="93" t="str">
        <f t="shared" ref="F6607:F6670" si="9">HYPERLINK("D:\Data From Lucan\2024\Moresby\Frames_for_Analysis\" &amp; G6607,G6607)</f>
        <v>6604_20240611_0002_R_0969.jpg</v>
      </c>
      <c r="G6607" s="75" t="s">
        <v>6792</v>
      </c>
      <c r="I6607" s="75">
        <v>2</v>
      </c>
      <c r="K6607" s="97">
        <v>1</v>
      </c>
      <c r="L6607"/>
      <c r="M6607"/>
      <c r="N6607"/>
      <c r="O6607"/>
      <c r="P6607" s="57"/>
      <c r="Q6607" s="57"/>
      <c r="R6607" s="57"/>
      <c r="S6607" s="97">
        <v>0</v>
      </c>
      <c r="T6607" s="57"/>
      <c r="U6607" s="57"/>
      <c r="V6607" s="57"/>
      <c r="W6607" s="57"/>
      <c r="X6607" s="97">
        <v>0</v>
      </c>
    </row>
    <row r="6608" spans="1:24" s="75" customFormat="1" x14ac:dyDescent="0.35">
      <c r="A6608" s="75">
        <v>6604</v>
      </c>
      <c r="B6608" s="75">
        <v>6605</v>
      </c>
      <c r="C6608">
        <v>146.111734474999</v>
      </c>
      <c r="D6608">
        <v>-17.6334174755</v>
      </c>
      <c r="E6608" s="92">
        <f t="shared" ref="E6608:E6671" si="10">IF(MOD(B6608,5)=0, 50, "")</f>
        <v>50</v>
      </c>
      <c r="F6608" s="93" t="str">
        <f t="shared" si="9"/>
        <v>6605_20240611_0002_R_0967.jpg</v>
      </c>
      <c r="G6608" s="75" t="s">
        <v>6793</v>
      </c>
      <c r="I6608" s="75">
        <v>2</v>
      </c>
      <c r="K6608" s="97">
        <v>1</v>
      </c>
      <c r="L6608"/>
      <c r="M6608"/>
      <c r="N6608"/>
      <c r="O6608"/>
      <c r="P6608" s="57"/>
      <c r="Q6608" s="57"/>
      <c r="R6608" s="57"/>
      <c r="S6608" s="97">
        <v>0</v>
      </c>
      <c r="T6608" s="57"/>
      <c r="U6608" s="57"/>
      <c r="V6608" s="57"/>
      <c r="W6608" s="57"/>
      <c r="X6608" s="97">
        <v>0</v>
      </c>
    </row>
    <row r="6609" spans="1:24" s="75" customFormat="1" x14ac:dyDescent="0.35">
      <c r="A6609" s="75">
        <v>6605</v>
      </c>
      <c r="B6609" s="75">
        <v>6606</v>
      </c>
      <c r="C6609">
        <v>146.11172445899899</v>
      </c>
      <c r="D6609">
        <v>-17.6333323986</v>
      </c>
      <c r="E6609" s="92" t="str">
        <f t="shared" si="10"/>
        <v/>
      </c>
      <c r="F6609" s="93" t="str">
        <f t="shared" si="9"/>
        <v>6606_20240611_0002_R_0963.jpg</v>
      </c>
      <c r="G6609" s="75" t="s">
        <v>6794</v>
      </c>
      <c r="I6609" s="75">
        <v>2</v>
      </c>
      <c r="K6609" s="97">
        <v>1</v>
      </c>
      <c r="L6609"/>
      <c r="M6609"/>
      <c r="N6609"/>
      <c r="O6609"/>
      <c r="P6609" s="57"/>
      <c r="Q6609" s="57"/>
      <c r="R6609" s="57"/>
      <c r="S6609" s="97">
        <v>0</v>
      </c>
      <c r="T6609" s="57"/>
      <c r="U6609" s="57"/>
      <c r="V6609" s="57"/>
      <c r="W6609" s="57"/>
      <c r="X6609" s="97">
        <v>0</v>
      </c>
    </row>
    <row r="6610" spans="1:24" s="75" customFormat="1" x14ac:dyDescent="0.35">
      <c r="A6610" s="75">
        <v>6606</v>
      </c>
      <c r="B6610" s="75">
        <v>6607</v>
      </c>
      <c r="C6610">
        <v>146.11171444300001</v>
      </c>
      <c r="D6610">
        <v>-17.633247321700001</v>
      </c>
      <c r="E6610" s="92" t="str">
        <f t="shared" si="10"/>
        <v/>
      </c>
      <c r="F6610" s="93" t="str">
        <f t="shared" si="9"/>
        <v>6607_20240611_0002_R_0960.jpg</v>
      </c>
      <c r="G6610" s="75" t="s">
        <v>6795</v>
      </c>
      <c r="I6610" s="75">
        <v>2</v>
      </c>
      <c r="K6610" s="97">
        <v>1</v>
      </c>
      <c r="L6610"/>
      <c r="M6610"/>
      <c r="N6610"/>
      <c r="O6610"/>
      <c r="P6610" s="57"/>
      <c r="Q6610" s="57"/>
      <c r="R6610" s="57"/>
      <c r="S6610" s="97">
        <v>0</v>
      </c>
      <c r="T6610" s="57"/>
      <c r="U6610" s="57"/>
      <c r="V6610" s="57"/>
      <c r="W6610" s="57"/>
      <c r="X6610" s="97">
        <v>0</v>
      </c>
    </row>
    <row r="6611" spans="1:24" s="75" customFormat="1" x14ac:dyDescent="0.35">
      <c r="A6611" s="75">
        <v>6607</v>
      </c>
      <c r="B6611" s="75">
        <v>6608</v>
      </c>
      <c r="C6611">
        <v>146.11170442700001</v>
      </c>
      <c r="D6611">
        <v>-17.6331622446999</v>
      </c>
      <c r="E6611" s="92" t="str">
        <f t="shared" si="10"/>
        <v/>
      </c>
      <c r="F6611" s="93" t="str">
        <f t="shared" si="9"/>
        <v>6608_20240611_0002_R_0957.jpg</v>
      </c>
      <c r="G6611" s="75" t="s">
        <v>6796</v>
      </c>
      <c r="I6611" s="75">
        <v>2</v>
      </c>
      <c r="K6611" s="97">
        <v>1</v>
      </c>
      <c r="L6611"/>
      <c r="M6611"/>
      <c r="N6611"/>
      <c r="O6611"/>
      <c r="P6611" s="57"/>
      <c r="Q6611" s="57"/>
      <c r="R6611" s="57"/>
      <c r="S6611" s="97">
        <v>0</v>
      </c>
      <c r="T6611" s="57"/>
      <c r="U6611" s="57"/>
      <c r="V6611" s="57"/>
      <c r="W6611" s="57"/>
      <c r="X6611" s="97">
        <v>0</v>
      </c>
    </row>
    <row r="6612" spans="1:24" s="75" customFormat="1" x14ac:dyDescent="0.35">
      <c r="A6612" s="75">
        <v>6608</v>
      </c>
      <c r="B6612" s="75">
        <v>6609</v>
      </c>
      <c r="C6612">
        <v>146.111694411</v>
      </c>
      <c r="D6612">
        <v>-17.6330771676</v>
      </c>
      <c r="E6612" s="92" t="str">
        <f t="shared" si="10"/>
        <v/>
      </c>
      <c r="F6612" s="93" t="str">
        <f t="shared" si="9"/>
        <v>6609_20240611_0002_R_0953.jpg</v>
      </c>
      <c r="G6612" s="75" t="s">
        <v>6797</v>
      </c>
      <c r="I6612" s="75">
        <v>2</v>
      </c>
      <c r="K6612" s="97">
        <v>1</v>
      </c>
      <c r="L6612"/>
      <c r="M6612"/>
      <c r="N6612"/>
      <c r="O6612"/>
      <c r="P6612" s="57"/>
      <c r="Q6612" s="57"/>
      <c r="R6612" s="57"/>
      <c r="S6612" s="97">
        <v>0</v>
      </c>
      <c r="T6612" s="57"/>
      <c r="U6612" s="57"/>
      <c r="V6612" s="57"/>
      <c r="W6612" s="57"/>
      <c r="X6612" s="97">
        <v>0</v>
      </c>
    </row>
    <row r="6613" spans="1:24" s="75" customFormat="1" x14ac:dyDescent="0.35">
      <c r="A6613" s="75">
        <v>6609</v>
      </c>
      <c r="B6613" s="75">
        <v>6610</v>
      </c>
      <c r="C6613">
        <v>146.11168439400001</v>
      </c>
      <c r="D6613">
        <v>-17.632992090599899</v>
      </c>
      <c r="E6613" s="92">
        <f t="shared" si="10"/>
        <v>50</v>
      </c>
      <c r="F6613" s="93" t="str">
        <f t="shared" si="9"/>
        <v>6610_20240611_0002_R_0950.jpg</v>
      </c>
      <c r="G6613" s="75" t="s">
        <v>6798</v>
      </c>
      <c r="I6613" s="75">
        <v>2</v>
      </c>
      <c r="K6613" s="97">
        <v>1</v>
      </c>
      <c r="L6613"/>
      <c r="M6613"/>
      <c r="N6613"/>
      <c r="O6613"/>
      <c r="P6613" s="57"/>
      <c r="Q6613" s="57"/>
      <c r="R6613" s="57"/>
      <c r="S6613" s="97">
        <v>0</v>
      </c>
      <c r="T6613" s="57"/>
      <c r="U6613" s="57"/>
      <c r="V6613" s="57"/>
      <c r="W6613" s="57"/>
      <c r="X6613" s="97">
        <v>0</v>
      </c>
    </row>
    <row r="6614" spans="1:24" s="75" customFormat="1" x14ac:dyDescent="0.35">
      <c r="A6614" s="75">
        <v>6610</v>
      </c>
      <c r="B6614" s="75">
        <v>6611</v>
      </c>
      <c r="C6614">
        <v>146.11166527</v>
      </c>
      <c r="D6614">
        <v>-17.6329085244999</v>
      </c>
      <c r="E6614" s="92" t="str">
        <f t="shared" si="10"/>
        <v/>
      </c>
      <c r="F6614" s="93" t="str">
        <f t="shared" si="9"/>
        <v>6611_20240611_0002_R_0946.jpg</v>
      </c>
      <c r="G6614" s="75" t="s">
        <v>6799</v>
      </c>
      <c r="I6614" s="75">
        <v>2</v>
      </c>
      <c r="K6614" s="97">
        <v>1</v>
      </c>
      <c r="L6614"/>
      <c r="M6614"/>
      <c r="N6614"/>
      <c r="O6614"/>
      <c r="P6614" s="57"/>
      <c r="Q6614" s="57"/>
      <c r="R6614" s="57"/>
      <c r="S6614" s="97">
        <v>0</v>
      </c>
      <c r="T6614" s="57"/>
      <c r="U6614" s="57"/>
      <c r="V6614" s="57"/>
      <c r="W6614" s="57"/>
      <c r="X6614" s="97">
        <v>0</v>
      </c>
    </row>
    <row r="6615" spans="1:24" s="75" customFormat="1" x14ac:dyDescent="0.35">
      <c r="A6615" s="75">
        <v>6611</v>
      </c>
      <c r="B6615" s="75">
        <v>6612</v>
      </c>
      <c r="C6615">
        <v>146.111644530999</v>
      </c>
      <c r="D6615">
        <v>-17.6328252263</v>
      </c>
      <c r="E6615" s="92" t="str">
        <f t="shared" si="10"/>
        <v/>
      </c>
      <c r="F6615" s="93" t="str">
        <f t="shared" si="9"/>
        <v>6612_20240611_0002_R_0944.jpg</v>
      </c>
      <c r="G6615" s="75" t="s">
        <v>6800</v>
      </c>
      <c r="I6615" s="75">
        <v>2</v>
      </c>
      <c r="K6615" s="97">
        <v>1</v>
      </c>
      <c r="L6615"/>
      <c r="M6615"/>
      <c r="N6615"/>
      <c r="O6615"/>
      <c r="P6615" s="57"/>
      <c r="Q6615" s="57"/>
      <c r="R6615" s="57"/>
      <c r="S6615" s="97">
        <v>0</v>
      </c>
      <c r="T6615" s="57"/>
      <c r="U6615" s="57"/>
      <c r="V6615" s="57"/>
      <c r="W6615" s="57"/>
      <c r="X6615" s="97">
        <v>0</v>
      </c>
    </row>
    <row r="6616" spans="1:24" s="75" customFormat="1" x14ac:dyDescent="0.35">
      <c r="A6616" s="75">
        <v>6612</v>
      </c>
      <c r="B6616" s="75">
        <v>6613</v>
      </c>
      <c r="C6616">
        <v>146.11162379199899</v>
      </c>
      <c r="D6616">
        <v>-17.632741928000002</v>
      </c>
      <c r="E6616" s="92" t="str">
        <f t="shared" si="10"/>
        <v/>
      </c>
      <c r="F6616" s="93" t="str">
        <f t="shared" si="9"/>
        <v>6613_20240611_0002_R_0940.jpg</v>
      </c>
      <c r="G6616" s="75" t="s">
        <v>6801</v>
      </c>
      <c r="I6616" s="75">
        <v>2</v>
      </c>
      <c r="K6616" s="97">
        <v>1</v>
      </c>
      <c r="L6616"/>
      <c r="M6616"/>
      <c r="N6616"/>
      <c r="O6616"/>
      <c r="P6616" s="57"/>
      <c r="Q6616" s="57"/>
      <c r="R6616" s="57"/>
      <c r="S6616" s="97">
        <v>0</v>
      </c>
      <c r="T6616" s="57"/>
      <c r="U6616" s="57"/>
      <c r="V6616" s="57"/>
      <c r="W6616" s="57"/>
      <c r="X6616" s="97">
        <v>0</v>
      </c>
    </row>
    <row r="6617" spans="1:24" s="75" customFormat="1" x14ac:dyDescent="0.35">
      <c r="A6617" s="75">
        <v>6613</v>
      </c>
      <c r="B6617" s="75">
        <v>6614</v>
      </c>
      <c r="C6617">
        <v>146.111603051999</v>
      </c>
      <c r="D6617">
        <v>-17.6326586297</v>
      </c>
      <c r="E6617" s="92" t="str">
        <f t="shared" si="10"/>
        <v/>
      </c>
      <c r="F6617" s="93" t="str">
        <f t="shared" si="9"/>
        <v>6614_20240611_0002_R_0937.jpg</v>
      </c>
      <c r="G6617" s="75" t="s">
        <v>6802</v>
      </c>
      <c r="I6617" s="75">
        <v>2</v>
      </c>
      <c r="K6617" s="97">
        <v>1</v>
      </c>
      <c r="L6617"/>
      <c r="M6617"/>
      <c r="N6617"/>
      <c r="O6617"/>
      <c r="P6617" s="57"/>
      <c r="Q6617" s="57"/>
      <c r="R6617" s="57"/>
      <c r="S6617" s="97">
        <v>0</v>
      </c>
      <c r="T6617" s="57"/>
      <c r="U6617" s="57"/>
      <c r="V6617" s="57"/>
      <c r="W6617" s="57"/>
      <c r="X6617" s="97">
        <v>0</v>
      </c>
    </row>
    <row r="6618" spans="1:24" s="75" customFormat="1" x14ac:dyDescent="0.35">
      <c r="A6618" s="75">
        <v>6614</v>
      </c>
      <c r="B6618" s="75">
        <v>6615</v>
      </c>
      <c r="C6618">
        <v>146.11158231300001</v>
      </c>
      <c r="D6618">
        <v>-17.632575331400002</v>
      </c>
      <c r="E6618" s="92">
        <f t="shared" si="10"/>
        <v>50</v>
      </c>
      <c r="F6618" s="93" t="str">
        <f t="shared" si="9"/>
        <v>6615_20240611_0002_R_0934.jpg</v>
      </c>
      <c r="G6618" s="75" t="s">
        <v>6803</v>
      </c>
      <c r="I6618" s="75">
        <v>2</v>
      </c>
      <c r="K6618" s="97">
        <v>1</v>
      </c>
      <c r="L6618"/>
      <c r="M6618"/>
      <c r="N6618"/>
      <c r="O6618"/>
      <c r="P6618" s="57"/>
      <c r="Q6618" s="57"/>
      <c r="R6618" s="57"/>
      <c r="S6618" s="97">
        <v>0</v>
      </c>
      <c r="T6618" s="57"/>
      <c r="U6618" s="57"/>
      <c r="V6618" s="57"/>
      <c r="W6618" s="57"/>
      <c r="X6618" s="97">
        <v>0</v>
      </c>
    </row>
    <row r="6619" spans="1:24" s="75" customFormat="1" x14ac:dyDescent="0.35">
      <c r="A6619" s="75">
        <v>6615</v>
      </c>
      <c r="B6619" s="75">
        <v>6616</v>
      </c>
      <c r="C6619">
        <v>146.11156157400001</v>
      </c>
      <c r="D6619">
        <v>-17.632492032999899</v>
      </c>
      <c r="E6619" s="92" t="str">
        <f t="shared" si="10"/>
        <v/>
      </c>
      <c r="F6619" s="93" t="str">
        <f t="shared" si="9"/>
        <v>6616_20240611_0002_R_0932.jpg</v>
      </c>
      <c r="G6619" s="75" t="s">
        <v>6804</v>
      </c>
      <c r="I6619" s="75">
        <v>2</v>
      </c>
      <c r="K6619" s="97">
        <v>1</v>
      </c>
      <c r="L6619"/>
      <c r="M6619"/>
      <c r="N6619"/>
      <c r="O6619"/>
      <c r="P6619" s="57"/>
      <c r="Q6619" s="57"/>
      <c r="R6619" s="57"/>
      <c r="S6619" s="97">
        <v>0</v>
      </c>
      <c r="T6619" s="57"/>
      <c r="U6619" s="57"/>
      <c r="V6619" s="57"/>
      <c r="W6619" s="57"/>
      <c r="X6619" s="97">
        <v>0</v>
      </c>
    </row>
    <row r="6620" spans="1:24" s="75" customFormat="1" x14ac:dyDescent="0.35">
      <c r="A6620" s="75">
        <v>6616</v>
      </c>
      <c r="B6620" s="75">
        <v>6617</v>
      </c>
      <c r="C6620">
        <v>146.111540835</v>
      </c>
      <c r="D6620">
        <v>-17.632408734599899</v>
      </c>
      <c r="E6620" s="92" t="str">
        <f t="shared" si="10"/>
        <v/>
      </c>
      <c r="F6620" s="93" t="str">
        <f t="shared" si="9"/>
        <v>6617_20240611_0002_R_0928.jpg</v>
      </c>
      <c r="G6620" s="75" t="s">
        <v>6805</v>
      </c>
      <c r="I6620" s="75">
        <v>2</v>
      </c>
      <c r="K6620" s="97">
        <v>1</v>
      </c>
      <c r="L6620"/>
      <c r="M6620"/>
      <c r="N6620"/>
      <c r="O6620"/>
      <c r="P6620" s="57"/>
      <c r="Q6620" s="57"/>
      <c r="R6620" s="57"/>
      <c r="S6620" s="97">
        <v>0</v>
      </c>
      <c r="T6620" s="57"/>
      <c r="U6620" s="57"/>
      <c r="V6620" s="57"/>
      <c r="W6620" s="57"/>
      <c r="X6620" s="97">
        <v>0</v>
      </c>
    </row>
    <row r="6621" spans="1:24" s="75" customFormat="1" x14ac:dyDescent="0.35">
      <c r="A6621" s="75">
        <v>6617</v>
      </c>
      <c r="B6621" s="75">
        <v>6618</v>
      </c>
      <c r="C6621">
        <v>146.111520095999</v>
      </c>
      <c r="D6621">
        <v>-17.6323254361</v>
      </c>
      <c r="E6621" s="92" t="str">
        <f t="shared" si="10"/>
        <v/>
      </c>
      <c r="F6621" s="93" t="str">
        <f t="shared" si="9"/>
        <v>6618_20240611_0002_R_0925.jpg</v>
      </c>
      <c r="G6621" s="75" t="s">
        <v>6806</v>
      </c>
      <c r="I6621" s="75">
        <v>2</v>
      </c>
      <c r="K6621" s="97">
        <v>1</v>
      </c>
      <c r="L6621"/>
      <c r="M6621"/>
      <c r="N6621"/>
      <c r="O6621"/>
      <c r="P6621" s="57"/>
      <c r="Q6621" s="57"/>
      <c r="R6621" s="57"/>
      <c r="S6621" s="97">
        <v>0</v>
      </c>
      <c r="T6621" s="57"/>
      <c r="U6621" s="57"/>
      <c r="V6621" s="57"/>
      <c r="W6621" s="57"/>
      <c r="X6621" s="97">
        <v>0</v>
      </c>
    </row>
    <row r="6622" spans="1:24" s="75" customFormat="1" x14ac:dyDescent="0.35">
      <c r="A6622" s="75">
        <v>6618</v>
      </c>
      <c r="B6622" s="75">
        <v>6619</v>
      </c>
      <c r="C6622">
        <v>146.11149935700001</v>
      </c>
      <c r="D6622">
        <v>-17.6322421377</v>
      </c>
      <c r="E6622" s="92" t="str">
        <f t="shared" si="10"/>
        <v/>
      </c>
      <c r="F6622" s="93" t="str">
        <f t="shared" si="9"/>
        <v>6619_20240611_0002_R_0922.jpg</v>
      </c>
      <c r="G6622" s="75" t="s">
        <v>6807</v>
      </c>
      <c r="I6622" s="75">
        <v>2</v>
      </c>
      <c r="K6622" s="97">
        <v>1</v>
      </c>
      <c r="L6622"/>
      <c r="M6622"/>
      <c r="N6622"/>
      <c r="O6622"/>
      <c r="P6622" s="57"/>
      <c r="Q6622" s="57"/>
      <c r="R6622" s="57"/>
      <c r="S6622" s="97">
        <v>0</v>
      </c>
      <c r="T6622" s="57"/>
      <c r="U6622" s="57"/>
      <c r="V6622" s="57"/>
      <c r="W6622" s="57"/>
      <c r="X6622" s="97">
        <v>0</v>
      </c>
    </row>
    <row r="6623" spans="1:24" s="75" customFormat="1" x14ac:dyDescent="0.35">
      <c r="A6623" s="75">
        <v>6619</v>
      </c>
      <c r="B6623" s="75">
        <v>6620</v>
      </c>
      <c r="C6623">
        <v>146.11146827900001</v>
      </c>
      <c r="D6623">
        <v>-17.632162637299899</v>
      </c>
      <c r="E6623" s="92">
        <f t="shared" si="10"/>
        <v>50</v>
      </c>
      <c r="F6623" s="93" t="str">
        <f t="shared" si="9"/>
        <v>6620_20240611_0002_R_0918.jpg</v>
      </c>
      <c r="G6623" s="75" t="s">
        <v>6808</v>
      </c>
      <c r="I6623" s="75">
        <v>2</v>
      </c>
      <c r="K6623" s="97">
        <v>1</v>
      </c>
      <c r="L6623"/>
      <c r="M6623"/>
      <c r="N6623"/>
      <c r="O6623"/>
      <c r="P6623" s="57"/>
      <c r="Q6623" s="57"/>
      <c r="R6623" s="57"/>
      <c r="S6623" s="97">
        <v>0</v>
      </c>
      <c r="T6623" s="57"/>
      <c r="U6623" s="57"/>
      <c r="V6623" s="57"/>
      <c r="W6623" s="57"/>
      <c r="X6623" s="97">
        <v>0</v>
      </c>
    </row>
    <row r="6624" spans="1:24" s="75" customFormat="1" x14ac:dyDescent="0.35">
      <c r="A6624" s="75">
        <v>6620</v>
      </c>
      <c r="B6624" s="75">
        <v>6621</v>
      </c>
      <c r="C6624">
        <v>146.111424980999</v>
      </c>
      <c r="D6624">
        <v>-17.632087626800001</v>
      </c>
      <c r="E6624" s="92" t="str">
        <f t="shared" si="10"/>
        <v/>
      </c>
      <c r="F6624" s="93" t="str">
        <f t="shared" si="9"/>
        <v>6621_20240611_0002_R_0913.jpg</v>
      </c>
      <c r="G6624" s="75" t="s">
        <v>6809</v>
      </c>
      <c r="I6624" s="75">
        <v>2</v>
      </c>
      <c r="K6624" s="97">
        <v>1</v>
      </c>
      <c r="L6624"/>
      <c r="M6624"/>
      <c r="N6624"/>
      <c r="O6624"/>
      <c r="P6624" s="57"/>
      <c r="Q6624" s="57"/>
      <c r="R6624" s="57"/>
      <c r="S6624" s="97">
        <v>0</v>
      </c>
      <c r="T6624" s="57"/>
      <c r="U6624" s="57"/>
      <c r="V6624" s="57"/>
      <c r="W6624" s="57"/>
      <c r="X6624" s="97">
        <v>0</v>
      </c>
    </row>
    <row r="6625" spans="1:24" s="75" customFormat="1" x14ac:dyDescent="0.35">
      <c r="A6625" s="75">
        <v>6621</v>
      </c>
      <c r="B6625" s="75">
        <v>6622</v>
      </c>
      <c r="C6625">
        <v>146.111381682999</v>
      </c>
      <c r="D6625">
        <v>-17.632012616200001</v>
      </c>
      <c r="E6625" s="92" t="str">
        <f t="shared" si="10"/>
        <v/>
      </c>
      <c r="F6625" s="93" t="str">
        <f t="shared" si="9"/>
        <v>6622_20240611_0002_R_0910.jpg</v>
      </c>
      <c r="G6625" s="75" t="s">
        <v>6810</v>
      </c>
      <c r="I6625" s="75">
        <v>2</v>
      </c>
      <c r="K6625" s="97">
        <v>1</v>
      </c>
      <c r="L6625"/>
      <c r="M6625"/>
      <c r="N6625"/>
      <c r="O6625"/>
      <c r="P6625" s="57"/>
      <c r="Q6625" s="57"/>
      <c r="R6625" s="57"/>
      <c r="S6625" s="97">
        <v>0</v>
      </c>
      <c r="T6625" s="57"/>
      <c r="U6625" s="57"/>
      <c r="V6625" s="57"/>
      <c r="W6625" s="57"/>
      <c r="X6625" s="97">
        <v>0</v>
      </c>
    </row>
    <row r="6626" spans="1:24" s="75" customFormat="1" x14ac:dyDescent="0.35">
      <c r="A6626" s="75">
        <v>6622</v>
      </c>
      <c r="B6626" s="75">
        <v>6623</v>
      </c>
      <c r="C6626">
        <v>146.11133838500001</v>
      </c>
      <c r="D6626">
        <v>-17.631937605600001</v>
      </c>
      <c r="E6626" s="92" t="str">
        <f t="shared" si="10"/>
        <v/>
      </c>
      <c r="F6626" s="93" t="str">
        <f t="shared" si="9"/>
        <v>6623_20240611_0002_R_0907.jpg</v>
      </c>
      <c r="G6626" s="75" t="s">
        <v>6811</v>
      </c>
      <c r="I6626" s="75">
        <v>2</v>
      </c>
      <c r="K6626" s="97">
        <v>1</v>
      </c>
      <c r="L6626"/>
      <c r="M6626"/>
      <c r="N6626"/>
      <c r="O6626"/>
      <c r="P6626" s="57"/>
      <c r="Q6626" s="57"/>
      <c r="R6626" s="57"/>
      <c r="S6626" s="97">
        <v>0</v>
      </c>
      <c r="T6626" s="57"/>
      <c r="U6626" s="57"/>
      <c r="V6626" s="57"/>
      <c r="W6626" s="57"/>
      <c r="X6626" s="97">
        <v>0</v>
      </c>
    </row>
    <row r="6627" spans="1:24" s="75" customFormat="1" x14ac:dyDescent="0.35">
      <c r="A6627" s="75">
        <v>6623</v>
      </c>
      <c r="B6627" s="75">
        <v>6624</v>
      </c>
      <c r="C6627">
        <v>146.111295087</v>
      </c>
      <c r="D6627">
        <v>-17.631862595000001</v>
      </c>
      <c r="E6627" s="92" t="str">
        <f t="shared" si="10"/>
        <v/>
      </c>
      <c r="F6627" s="93" t="str">
        <f t="shared" si="9"/>
        <v>6624_20240611_0002_R_0904.jpg</v>
      </c>
      <c r="G6627" s="75" t="s">
        <v>6812</v>
      </c>
      <c r="I6627" s="75">
        <v>2</v>
      </c>
      <c r="K6627" s="97">
        <v>1</v>
      </c>
      <c r="L6627"/>
      <c r="M6627"/>
      <c r="N6627"/>
      <c r="O6627"/>
      <c r="P6627" s="57"/>
      <c r="Q6627" s="57"/>
      <c r="R6627" s="57"/>
      <c r="S6627" s="97">
        <v>0</v>
      </c>
      <c r="T6627" s="57"/>
      <c r="U6627" s="57"/>
      <c r="V6627" s="57"/>
      <c r="W6627" s="57"/>
      <c r="X6627" s="97">
        <v>0</v>
      </c>
    </row>
    <row r="6628" spans="1:24" s="75" customFormat="1" x14ac:dyDescent="0.35">
      <c r="A6628" s="75">
        <v>6624</v>
      </c>
      <c r="B6628" s="75">
        <v>6625</v>
      </c>
      <c r="C6628">
        <v>146.111251788999</v>
      </c>
      <c r="D6628">
        <v>-17.631787584400001</v>
      </c>
      <c r="E6628" s="92">
        <f t="shared" si="10"/>
        <v>50</v>
      </c>
      <c r="F6628" s="93" t="str">
        <f t="shared" si="9"/>
        <v>6625_20240611_0002_R_0901.jpg</v>
      </c>
      <c r="G6628" s="75" t="s">
        <v>6813</v>
      </c>
      <c r="I6628" s="75">
        <v>2</v>
      </c>
      <c r="K6628" s="97">
        <v>1</v>
      </c>
      <c r="L6628"/>
      <c r="M6628"/>
      <c r="N6628"/>
      <c r="O6628"/>
      <c r="P6628" s="57"/>
      <c r="Q6628" s="57"/>
      <c r="R6628" s="57"/>
      <c r="S6628" s="97">
        <v>0</v>
      </c>
      <c r="T6628" s="57"/>
      <c r="U6628" s="57"/>
      <c r="V6628" s="57"/>
      <c r="W6628" s="57"/>
      <c r="X6628" s="97">
        <v>0</v>
      </c>
    </row>
    <row r="6629" spans="1:24" s="75" customFormat="1" x14ac:dyDescent="0.35">
      <c r="A6629" s="75">
        <v>6625</v>
      </c>
      <c r="B6629" s="75">
        <v>6626</v>
      </c>
      <c r="C6629">
        <v>146.11120849100001</v>
      </c>
      <c r="D6629">
        <v>-17.6317125737</v>
      </c>
      <c r="E6629" s="92" t="str">
        <f t="shared" si="10"/>
        <v/>
      </c>
      <c r="F6629" s="93" t="str">
        <f t="shared" si="9"/>
        <v>6626_20240611_0002_R_0898.jpg</v>
      </c>
      <c r="G6629" s="75" t="s">
        <v>6814</v>
      </c>
      <c r="I6629" s="75">
        <v>2</v>
      </c>
      <c r="K6629" s="97">
        <v>1</v>
      </c>
      <c r="L6629"/>
      <c r="M6629"/>
      <c r="N6629"/>
      <c r="O6629"/>
      <c r="P6629" s="57"/>
      <c r="Q6629" s="57"/>
      <c r="R6629" s="57"/>
      <c r="S6629" s="97">
        <v>0</v>
      </c>
      <c r="T6629" s="57"/>
      <c r="U6629" s="57"/>
      <c r="V6629" s="57"/>
      <c r="W6629" s="57"/>
      <c r="X6629" s="97">
        <v>0</v>
      </c>
    </row>
    <row r="6630" spans="1:24" s="75" customFormat="1" x14ac:dyDescent="0.35">
      <c r="A6630" s="75">
        <v>6626</v>
      </c>
      <c r="B6630" s="75">
        <v>6627</v>
      </c>
      <c r="C6630">
        <v>146.11116519199899</v>
      </c>
      <c r="D6630">
        <v>-17.631637563000002</v>
      </c>
      <c r="E6630" s="92" t="str">
        <f t="shared" si="10"/>
        <v/>
      </c>
      <c r="F6630" s="93" t="str">
        <f t="shared" si="9"/>
        <v>6627_20240611_0002_R_0895.jpg</v>
      </c>
      <c r="G6630" s="75" t="s">
        <v>6815</v>
      </c>
      <c r="I6630" s="75">
        <v>2</v>
      </c>
      <c r="K6630" s="97">
        <v>1</v>
      </c>
      <c r="L6630"/>
      <c r="M6630"/>
      <c r="N6630"/>
      <c r="O6630"/>
      <c r="P6630" s="57"/>
      <c r="Q6630" s="57"/>
      <c r="R6630" s="57"/>
      <c r="S6630" s="97">
        <v>0</v>
      </c>
      <c r="T6630" s="57"/>
      <c r="U6630" s="57"/>
      <c r="V6630" s="57"/>
      <c r="W6630" s="57"/>
      <c r="X6630" s="97">
        <v>0</v>
      </c>
    </row>
    <row r="6631" spans="1:24" s="75" customFormat="1" x14ac:dyDescent="0.35">
      <c r="A6631" s="75">
        <v>6627</v>
      </c>
      <c r="B6631" s="75">
        <v>6628</v>
      </c>
      <c r="C6631">
        <v>146.11112189400001</v>
      </c>
      <c r="D6631">
        <v>-17.631562552199899</v>
      </c>
      <c r="E6631" s="92" t="str">
        <f t="shared" si="10"/>
        <v/>
      </c>
      <c r="F6631" s="93" t="str">
        <f t="shared" si="9"/>
        <v>6628_20240611_0002_R_0892.jpg</v>
      </c>
      <c r="G6631" s="75" t="s">
        <v>6816</v>
      </c>
      <c r="I6631" s="75">
        <v>2</v>
      </c>
      <c r="K6631" s="97">
        <v>1</v>
      </c>
      <c r="L6631"/>
      <c r="M6631"/>
      <c r="N6631"/>
      <c r="O6631"/>
      <c r="P6631" s="57"/>
      <c r="Q6631" s="57"/>
      <c r="R6631" s="57"/>
      <c r="S6631" s="97">
        <v>0</v>
      </c>
      <c r="T6631" s="57"/>
      <c r="U6631" s="57"/>
      <c r="V6631" s="57"/>
      <c r="W6631" s="57"/>
      <c r="X6631" s="97">
        <v>0</v>
      </c>
    </row>
    <row r="6632" spans="1:24" s="75" customFormat="1" x14ac:dyDescent="0.35">
      <c r="A6632" s="75">
        <v>6628</v>
      </c>
      <c r="B6632" s="75">
        <v>6629</v>
      </c>
      <c r="C6632">
        <v>146.111078595999</v>
      </c>
      <c r="D6632">
        <v>-17.6314875415</v>
      </c>
      <c r="E6632" s="92" t="str">
        <f t="shared" si="10"/>
        <v/>
      </c>
      <c r="F6632" s="93" t="str">
        <f t="shared" si="9"/>
        <v>6629_20240611_0002_R_0889.jpg</v>
      </c>
      <c r="G6632" s="75" t="s">
        <v>6817</v>
      </c>
      <c r="I6632" s="75">
        <v>2</v>
      </c>
      <c r="K6632" s="97">
        <v>1</v>
      </c>
      <c r="L6632"/>
      <c r="M6632"/>
      <c r="N6632"/>
      <c r="O6632"/>
      <c r="P6632" s="57"/>
      <c r="Q6632" s="57"/>
      <c r="R6632" s="57"/>
      <c r="S6632" s="97">
        <v>0</v>
      </c>
      <c r="T6632" s="57"/>
      <c r="U6632" s="57"/>
      <c r="V6632" s="57"/>
      <c r="W6632" s="57"/>
      <c r="X6632" s="97">
        <v>0</v>
      </c>
    </row>
    <row r="6633" spans="1:24" s="75" customFormat="1" x14ac:dyDescent="0.35">
      <c r="A6633" s="75">
        <v>6629</v>
      </c>
      <c r="B6633" s="75">
        <v>6630</v>
      </c>
      <c r="C6633">
        <v>146.11102672800001</v>
      </c>
      <c r="D6633">
        <v>-17.631417724199899</v>
      </c>
      <c r="E6633" s="92">
        <f t="shared" si="10"/>
        <v>50</v>
      </c>
      <c r="F6633" s="93" t="str">
        <f t="shared" si="9"/>
        <v>6630_20240611_0002_R_0886.jpg</v>
      </c>
      <c r="G6633" s="75" t="s">
        <v>6818</v>
      </c>
      <c r="I6633" s="75">
        <v>2</v>
      </c>
      <c r="K6633" s="97">
        <v>1</v>
      </c>
      <c r="L6633"/>
      <c r="M6633"/>
      <c r="N6633"/>
      <c r="O6633"/>
      <c r="P6633" s="57"/>
      <c r="Q6633" s="57"/>
      <c r="R6633" s="57"/>
      <c r="S6633" s="97">
        <v>0</v>
      </c>
      <c r="T6633" s="57"/>
      <c r="U6633" s="57"/>
      <c r="V6633" s="57"/>
      <c r="W6633" s="57"/>
      <c r="X6633" s="97">
        <v>0</v>
      </c>
    </row>
    <row r="6634" spans="1:24" s="75" customFormat="1" x14ac:dyDescent="0.35">
      <c r="A6634" s="75">
        <v>6630</v>
      </c>
      <c r="B6634" s="75">
        <v>6631</v>
      </c>
      <c r="C6634">
        <v>146.110973817999</v>
      </c>
      <c r="D6634">
        <v>-17.6313485376999</v>
      </c>
      <c r="E6634" s="92" t="str">
        <f t="shared" si="10"/>
        <v/>
      </c>
      <c r="F6634" s="93" t="str">
        <f t="shared" si="9"/>
        <v>6631_20240611_0002_R_0883.jpg</v>
      </c>
      <c r="G6634" s="75" t="s">
        <v>6819</v>
      </c>
      <c r="I6634" s="75">
        <v>2</v>
      </c>
      <c r="K6634" s="97">
        <v>1</v>
      </c>
      <c r="L6634"/>
      <c r="M6634"/>
      <c r="N6634"/>
      <c r="O6634"/>
      <c r="P6634" s="57"/>
      <c r="Q6634" s="57"/>
      <c r="R6634" s="57"/>
      <c r="S6634" s="97">
        <v>0</v>
      </c>
      <c r="T6634" s="57"/>
      <c r="U6634" s="57"/>
      <c r="V6634" s="57"/>
      <c r="W6634" s="57"/>
      <c r="X6634" s="97">
        <v>0</v>
      </c>
    </row>
    <row r="6635" spans="1:24" s="75" customFormat="1" x14ac:dyDescent="0.35">
      <c r="A6635" s="75">
        <v>6631</v>
      </c>
      <c r="B6635" s="75">
        <v>6632</v>
      </c>
      <c r="C6635">
        <v>146.110920907999</v>
      </c>
      <c r="D6635">
        <v>-17.6312793512</v>
      </c>
      <c r="E6635" s="92" t="str">
        <f t="shared" si="10"/>
        <v/>
      </c>
      <c r="F6635" s="93" t="str">
        <f t="shared" si="9"/>
        <v>6632_20240611_0002_R_0880.jpg</v>
      </c>
      <c r="G6635" s="75" t="s">
        <v>6820</v>
      </c>
      <c r="I6635" s="75">
        <v>2</v>
      </c>
      <c r="K6635" s="97">
        <v>1</v>
      </c>
      <c r="L6635"/>
      <c r="M6635"/>
      <c r="N6635"/>
      <c r="O6635"/>
      <c r="P6635" s="57"/>
      <c r="Q6635" s="57"/>
      <c r="R6635" s="57"/>
      <c r="S6635" s="97">
        <v>0</v>
      </c>
      <c r="T6635" s="57"/>
      <c r="U6635" s="57"/>
      <c r="V6635" s="57"/>
      <c r="W6635" s="57"/>
      <c r="X6635" s="97">
        <v>0</v>
      </c>
    </row>
    <row r="6636" spans="1:24" s="75" customFormat="1" x14ac:dyDescent="0.35">
      <c r="A6636" s="75">
        <v>6632</v>
      </c>
      <c r="B6636" s="75">
        <v>6633</v>
      </c>
      <c r="C6636">
        <v>146.110867998999</v>
      </c>
      <c r="D6636">
        <v>-17.631210164700001</v>
      </c>
      <c r="E6636" s="92" t="str">
        <f t="shared" si="10"/>
        <v/>
      </c>
      <c r="F6636" s="93" t="str">
        <f t="shared" si="9"/>
        <v>6633_20240611_0002_R_0877.jpg</v>
      </c>
      <c r="G6636" s="75" t="s">
        <v>6821</v>
      </c>
      <c r="I6636" s="75">
        <v>2</v>
      </c>
      <c r="K6636" s="97">
        <v>1</v>
      </c>
      <c r="L6636"/>
      <c r="M6636"/>
      <c r="N6636"/>
      <c r="O6636"/>
      <c r="P6636" s="57"/>
      <c r="Q6636" s="57"/>
      <c r="R6636" s="57"/>
      <c r="S6636" s="97">
        <v>0</v>
      </c>
      <c r="T6636" s="57"/>
      <c r="U6636" s="57"/>
      <c r="V6636" s="57"/>
      <c r="W6636" s="57"/>
      <c r="X6636" s="97">
        <v>0</v>
      </c>
    </row>
    <row r="6637" spans="1:24" s="75" customFormat="1" x14ac:dyDescent="0.35">
      <c r="A6637" s="75">
        <v>6633</v>
      </c>
      <c r="B6637" s="75">
        <v>6634</v>
      </c>
      <c r="C6637">
        <v>146.110821498999</v>
      </c>
      <c r="D6637">
        <v>-17.631137237800001</v>
      </c>
      <c r="E6637" s="92" t="str">
        <f t="shared" si="10"/>
        <v/>
      </c>
      <c r="F6637" s="93" t="str">
        <f t="shared" si="9"/>
        <v>6634_20240611_0002_R_0874.jpg</v>
      </c>
      <c r="G6637" s="75" t="s">
        <v>6822</v>
      </c>
      <c r="I6637" s="75">
        <v>2</v>
      </c>
      <c r="K6637" s="97">
        <v>1</v>
      </c>
      <c r="L6637"/>
      <c r="M6637"/>
      <c r="N6637"/>
      <c r="O6637"/>
      <c r="P6637" s="57"/>
      <c r="Q6637" s="57"/>
      <c r="R6637" s="57"/>
      <c r="S6637" s="97">
        <v>0</v>
      </c>
      <c r="T6637" s="57"/>
      <c r="U6637" s="57"/>
      <c r="V6637" s="57"/>
      <c r="W6637" s="57"/>
      <c r="X6637" s="97">
        <v>0</v>
      </c>
    </row>
    <row r="6638" spans="1:24" s="75" customFormat="1" x14ac:dyDescent="0.35">
      <c r="A6638" s="75">
        <v>6634</v>
      </c>
      <c r="B6638" s="75">
        <v>6635</v>
      </c>
      <c r="C6638">
        <v>146.11078088900001</v>
      </c>
      <c r="D6638">
        <v>-17.6310608733999</v>
      </c>
      <c r="E6638" s="92">
        <f t="shared" si="10"/>
        <v>50</v>
      </c>
      <c r="F6638" s="93" t="str">
        <f t="shared" si="9"/>
        <v>6635_20240611_0002_R_0872.jpg</v>
      </c>
      <c r="G6638" s="75" t="s">
        <v>6823</v>
      </c>
      <c r="I6638" s="75">
        <v>2</v>
      </c>
      <c r="K6638" s="97">
        <v>1</v>
      </c>
      <c r="L6638"/>
      <c r="M6638"/>
      <c r="N6638"/>
      <c r="O6638"/>
      <c r="P6638" s="57"/>
      <c r="Q6638" s="57"/>
      <c r="R6638" s="57"/>
      <c r="S6638" s="97">
        <v>0</v>
      </c>
      <c r="T6638" s="57"/>
      <c r="U6638" s="57"/>
      <c r="V6638" s="57"/>
      <c r="W6638" s="57"/>
      <c r="X6638" s="97">
        <v>0</v>
      </c>
    </row>
    <row r="6639" spans="1:24" s="75" customFormat="1" x14ac:dyDescent="0.35">
      <c r="A6639" s="75">
        <v>6635</v>
      </c>
      <c r="B6639" s="75">
        <v>6636</v>
      </c>
      <c r="C6639">
        <v>146.110740203999</v>
      </c>
      <c r="D6639">
        <v>-17.630984548600001</v>
      </c>
      <c r="E6639" s="92" t="str">
        <f t="shared" si="10"/>
        <v/>
      </c>
      <c r="F6639" s="93" t="str">
        <f t="shared" si="9"/>
        <v>6636_20240611_0002_R_0869.jpg</v>
      </c>
      <c r="G6639" s="75" t="s">
        <v>6824</v>
      </c>
      <c r="I6639" s="75">
        <v>2</v>
      </c>
      <c r="K6639" s="97">
        <v>1</v>
      </c>
      <c r="L6639"/>
      <c r="M6639"/>
      <c r="N6639"/>
      <c r="O6639"/>
      <c r="P6639" s="57"/>
      <c r="Q6639" s="57"/>
      <c r="R6639" s="57"/>
      <c r="S6639" s="97">
        <v>0</v>
      </c>
      <c r="T6639" s="57"/>
      <c r="U6639" s="57"/>
      <c r="V6639" s="57"/>
      <c r="W6639" s="57"/>
      <c r="X6639" s="97">
        <v>0</v>
      </c>
    </row>
    <row r="6640" spans="1:24" s="75" customFormat="1" x14ac:dyDescent="0.35">
      <c r="A6640" s="75">
        <v>6636</v>
      </c>
      <c r="B6640" s="75">
        <v>6637</v>
      </c>
      <c r="C6640">
        <v>146.11069348800001</v>
      </c>
      <c r="D6640">
        <v>-17.630911423800001</v>
      </c>
      <c r="E6640" s="92" t="str">
        <f t="shared" si="10"/>
        <v/>
      </c>
      <c r="F6640" s="93" t="str">
        <f t="shared" si="9"/>
        <v>6637_20240611_0002_R_0866.jpg</v>
      </c>
      <c r="G6640" s="75" t="s">
        <v>6825</v>
      </c>
      <c r="I6640" s="75">
        <v>2</v>
      </c>
      <c r="K6640" s="97">
        <v>1</v>
      </c>
      <c r="L6640"/>
      <c r="M6640"/>
      <c r="N6640"/>
      <c r="O6640"/>
      <c r="P6640" s="57"/>
      <c r="Q6640" s="57"/>
      <c r="R6640" s="57"/>
      <c r="S6640" s="97">
        <v>0</v>
      </c>
      <c r="T6640" s="57"/>
      <c r="U6640" s="57"/>
      <c r="V6640" s="57"/>
      <c r="W6640" s="57"/>
      <c r="X6640" s="97">
        <v>0</v>
      </c>
    </row>
    <row r="6641" spans="1:24" s="75" customFormat="1" x14ac:dyDescent="0.35">
      <c r="A6641" s="75">
        <v>6637</v>
      </c>
      <c r="B6641" s="75">
        <v>6638</v>
      </c>
      <c r="C6641">
        <v>146.11064677300001</v>
      </c>
      <c r="D6641">
        <v>-17.630838299000001</v>
      </c>
      <c r="E6641" s="92" t="str">
        <f t="shared" si="10"/>
        <v/>
      </c>
      <c r="F6641" s="93" t="str">
        <f t="shared" si="9"/>
        <v>6638_20240611_0002_R_0863.jpg</v>
      </c>
      <c r="G6641" s="75" t="s">
        <v>6826</v>
      </c>
      <c r="I6641" s="75">
        <v>2</v>
      </c>
      <c r="K6641" s="97">
        <v>1</v>
      </c>
      <c r="L6641"/>
      <c r="M6641"/>
      <c r="N6641"/>
      <c r="O6641"/>
      <c r="P6641" s="57"/>
      <c r="Q6641" s="57"/>
      <c r="R6641" s="57"/>
      <c r="S6641" s="97">
        <v>0</v>
      </c>
      <c r="T6641" s="57"/>
      <c r="U6641" s="57"/>
      <c r="V6641" s="57"/>
      <c r="W6641" s="57"/>
      <c r="X6641" s="97">
        <v>0</v>
      </c>
    </row>
    <row r="6642" spans="1:24" s="75" customFormat="1" x14ac:dyDescent="0.35">
      <c r="A6642" s="75">
        <v>6638</v>
      </c>
      <c r="B6642" s="75">
        <v>6639</v>
      </c>
      <c r="C6642">
        <v>146.110600056999</v>
      </c>
      <c r="D6642">
        <v>-17.6307651742</v>
      </c>
      <c r="E6642" s="92" t="str">
        <f t="shared" si="10"/>
        <v/>
      </c>
      <c r="F6642" s="93" t="str">
        <f t="shared" si="9"/>
        <v>6639_20240611_0002_R_0861.jpg</v>
      </c>
      <c r="G6642" s="75" t="s">
        <v>6827</v>
      </c>
      <c r="I6642" s="75">
        <v>2</v>
      </c>
      <c r="K6642" s="97">
        <v>1</v>
      </c>
      <c r="L6642"/>
      <c r="M6642"/>
      <c r="N6642"/>
      <c r="O6642"/>
      <c r="P6642" s="57"/>
      <c r="Q6642" s="57"/>
      <c r="R6642" s="57"/>
      <c r="S6642" s="97">
        <v>0</v>
      </c>
      <c r="T6642" s="57"/>
      <c r="U6642" s="57"/>
      <c r="V6642" s="57"/>
      <c r="W6642" s="57"/>
      <c r="X6642" s="97">
        <v>0</v>
      </c>
    </row>
    <row r="6643" spans="1:24" s="75" customFormat="1" x14ac:dyDescent="0.35">
      <c r="A6643" s="75">
        <v>6639</v>
      </c>
      <c r="B6643" s="75">
        <v>6640</v>
      </c>
      <c r="C6643">
        <v>146.11055320700001</v>
      </c>
      <c r="D6643">
        <v>-17.630692127500001</v>
      </c>
      <c r="E6643" s="92">
        <f t="shared" si="10"/>
        <v>50</v>
      </c>
      <c r="F6643" s="93" t="str">
        <f t="shared" si="9"/>
        <v>6640_20240611_0002_R_0858.jpg</v>
      </c>
      <c r="G6643" s="75" t="s">
        <v>6828</v>
      </c>
      <c r="I6643" s="75">
        <v>2</v>
      </c>
      <c r="K6643" s="97">
        <v>1</v>
      </c>
      <c r="L6643"/>
      <c r="M6643"/>
      <c r="N6643"/>
      <c r="O6643"/>
      <c r="P6643" s="57"/>
      <c r="Q6643" s="57"/>
      <c r="R6643" s="57"/>
      <c r="S6643" s="97">
        <v>0</v>
      </c>
      <c r="T6643" s="57"/>
      <c r="U6643" s="57"/>
      <c r="V6643" s="57"/>
      <c r="W6643" s="57"/>
      <c r="X6643" s="97">
        <v>0</v>
      </c>
    </row>
    <row r="6644" spans="1:24" s="75" customFormat="1" x14ac:dyDescent="0.35">
      <c r="A6644" s="75">
        <v>6640</v>
      </c>
      <c r="B6644" s="75">
        <v>6641</v>
      </c>
      <c r="C6644">
        <v>146.110505910999</v>
      </c>
      <c r="D6644">
        <v>-17.630619342500001</v>
      </c>
      <c r="E6644" s="92" t="str">
        <f t="shared" si="10"/>
        <v/>
      </c>
      <c r="F6644" s="93" t="str">
        <f t="shared" si="9"/>
        <v>6641_20240611_0002_R_0856.jpg</v>
      </c>
      <c r="G6644" s="75" t="s">
        <v>6829</v>
      </c>
      <c r="I6644" s="75">
        <v>2</v>
      </c>
      <c r="K6644" s="97">
        <v>1</v>
      </c>
      <c r="L6644"/>
      <c r="M6644"/>
      <c r="N6644"/>
      <c r="O6644"/>
      <c r="P6644" s="57"/>
      <c r="Q6644" s="57"/>
      <c r="R6644" s="57"/>
      <c r="S6644" s="97">
        <v>0</v>
      </c>
      <c r="T6644" s="57"/>
      <c r="U6644" s="57"/>
      <c r="V6644" s="57"/>
      <c r="W6644" s="57"/>
      <c r="X6644" s="97">
        <v>0</v>
      </c>
    </row>
    <row r="6645" spans="1:24" s="75" customFormat="1" x14ac:dyDescent="0.35">
      <c r="A6645" s="75">
        <v>6641</v>
      </c>
      <c r="B6645" s="75">
        <v>6642</v>
      </c>
      <c r="C6645">
        <v>146.11045861400001</v>
      </c>
      <c r="D6645">
        <v>-17.630546557399899</v>
      </c>
      <c r="E6645" s="92" t="str">
        <f t="shared" si="10"/>
        <v/>
      </c>
      <c r="F6645" s="93" t="str">
        <f t="shared" si="9"/>
        <v>6642_20240611_0002_R_0853.jpg</v>
      </c>
      <c r="G6645" s="75" t="s">
        <v>6830</v>
      </c>
      <c r="I6645" s="75">
        <v>2</v>
      </c>
      <c r="K6645" s="97">
        <v>1</v>
      </c>
      <c r="L6645"/>
      <c r="M6645"/>
      <c r="N6645"/>
      <c r="O6645"/>
      <c r="P6645" s="57"/>
      <c r="Q6645" s="57"/>
      <c r="R6645" s="57"/>
      <c r="S6645" s="97">
        <v>0</v>
      </c>
      <c r="T6645" s="57"/>
      <c r="U6645" s="57"/>
      <c r="V6645" s="57"/>
      <c r="W6645" s="57"/>
      <c r="X6645" s="97">
        <v>0</v>
      </c>
    </row>
    <row r="6646" spans="1:24" s="75" customFormat="1" x14ac:dyDescent="0.35">
      <c r="A6646" s="75">
        <v>6642</v>
      </c>
      <c r="B6646" s="75">
        <v>6643</v>
      </c>
      <c r="C6646">
        <v>146.110411317</v>
      </c>
      <c r="D6646">
        <v>-17.6304737723</v>
      </c>
      <c r="E6646" s="92" t="str">
        <f t="shared" si="10"/>
        <v/>
      </c>
      <c r="F6646" s="93" t="str">
        <f t="shared" si="9"/>
        <v>6643_20240611_0002_R_0850.jpg</v>
      </c>
      <c r="G6646" s="75" t="s">
        <v>6831</v>
      </c>
      <c r="I6646" s="75">
        <v>2</v>
      </c>
      <c r="K6646" s="97">
        <v>1</v>
      </c>
      <c r="L6646"/>
      <c r="M6646"/>
      <c r="N6646"/>
      <c r="O6646"/>
      <c r="P6646" s="57"/>
      <c r="Q6646" s="57"/>
      <c r="R6646" s="57"/>
      <c r="S6646" s="97">
        <v>0</v>
      </c>
      <c r="T6646" s="57"/>
      <c r="U6646" s="57"/>
      <c r="V6646" s="57"/>
      <c r="W6646" s="57"/>
      <c r="X6646" s="97">
        <v>0</v>
      </c>
    </row>
    <row r="6647" spans="1:24" s="75" customFormat="1" x14ac:dyDescent="0.35">
      <c r="A6647" s="75">
        <v>6643</v>
      </c>
      <c r="B6647" s="75">
        <v>6644</v>
      </c>
      <c r="C6647">
        <v>146.11036402100001</v>
      </c>
      <c r="D6647">
        <v>-17.630400987200002</v>
      </c>
      <c r="E6647" s="92" t="str">
        <f t="shared" si="10"/>
        <v/>
      </c>
      <c r="F6647" s="93" t="str">
        <f t="shared" si="9"/>
        <v>6644_20240611_0002_R_0847.jpg</v>
      </c>
      <c r="G6647" s="75" t="s">
        <v>6832</v>
      </c>
      <c r="I6647" s="75">
        <v>2</v>
      </c>
      <c r="K6647" s="97">
        <v>1</v>
      </c>
      <c r="L6647"/>
      <c r="M6647"/>
      <c r="N6647"/>
      <c r="O6647"/>
      <c r="P6647" s="57"/>
      <c r="Q6647" s="57"/>
      <c r="R6647" s="57"/>
      <c r="S6647" s="97">
        <v>0</v>
      </c>
      <c r="T6647" s="57"/>
      <c r="U6647" s="57"/>
      <c r="V6647" s="57"/>
      <c r="W6647" s="57"/>
      <c r="X6647" s="97">
        <v>0</v>
      </c>
    </row>
    <row r="6648" spans="1:24" s="75" customFormat="1" x14ac:dyDescent="0.35">
      <c r="A6648" s="75">
        <v>6644</v>
      </c>
      <c r="B6648" s="75">
        <v>6645</v>
      </c>
      <c r="C6648">
        <v>146.110315323999</v>
      </c>
      <c r="D6648">
        <v>-17.630329079500001</v>
      </c>
      <c r="E6648" s="92">
        <f t="shared" si="10"/>
        <v>50</v>
      </c>
      <c r="F6648" s="93" t="str">
        <f t="shared" si="9"/>
        <v>6645_20240611_0002_R_0845.jpg</v>
      </c>
      <c r="G6648" s="75" t="s">
        <v>6833</v>
      </c>
      <c r="I6648" s="75">
        <v>2</v>
      </c>
      <c r="K6648" s="97">
        <v>1</v>
      </c>
      <c r="L6648"/>
      <c r="M6648"/>
      <c r="N6648"/>
      <c r="O6648"/>
      <c r="P6648" s="57"/>
      <c r="Q6648" s="57"/>
      <c r="R6648" s="57"/>
      <c r="S6648" s="97">
        <v>0</v>
      </c>
      <c r="T6648" s="57"/>
      <c r="U6648" s="57"/>
      <c r="V6648" s="57"/>
      <c r="W6648" s="57"/>
      <c r="X6648" s="97">
        <v>0</v>
      </c>
    </row>
    <row r="6649" spans="1:24" s="75" customFormat="1" x14ac:dyDescent="0.35">
      <c r="A6649" s="75">
        <v>6645</v>
      </c>
      <c r="B6649" s="75">
        <v>6646</v>
      </c>
      <c r="C6649">
        <v>146.11026395600001</v>
      </c>
      <c r="D6649">
        <v>-17.6302588454</v>
      </c>
      <c r="E6649" s="92" t="str">
        <f t="shared" si="10"/>
        <v/>
      </c>
      <c r="F6649" s="93" t="str">
        <f t="shared" si="9"/>
        <v>6646_20240611_0002_R_0841.jpg</v>
      </c>
      <c r="G6649" s="75" t="s">
        <v>6834</v>
      </c>
      <c r="I6649" s="75">
        <v>2</v>
      </c>
      <c r="K6649" s="97">
        <v>1</v>
      </c>
      <c r="L6649"/>
      <c r="M6649"/>
      <c r="N6649"/>
      <c r="O6649"/>
      <c r="P6649" s="57"/>
      <c r="Q6649" s="57"/>
      <c r="R6649" s="57"/>
      <c r="S6649" s="97">
        <v>0</v>
      </c>
      <c r="T6649" s="57"/>
      <c r="U6649" s="57"/>
      <c r="V6649" s="57"/>
      <c r="W6649" s="57"/>
      <c r="X6649" s="97">
        <v>0</v>
      </c>
    </row>
    <row r="6650" spans="1:24" s="75" customFormat="1" x14ac:dyDescent="0.35">
      <c r="A6650" s="75">
        <v>6646</v>
      </c>
      <c r="B6650" s="75">
        <v>6647</v>
      </c>
      <c r="C6650">
        <v>146.110212587999</v>
      </c>
      <c r="D6650">
        <v>-17.6301886112999</v>
      </c>
      <c r="E6650" s="92" t="str">
        <f t="shared" si="10"/>
        <v/>
      </c>
      <c r="F6650" s="93" t="str">
        <f t="shared" si="9"/>
        <v>6647_20240611_0002_R_0839.jpg</v>
      </c>
      <c r="G6650" s="75" t="s">
        <v>6835</v>
      </c>
      <c r="I6650" s="75">
        <v>2</v>
      </c>
      <c r="K6650" s="97">
        <v>1</v>
      </c>
      <c r="L6650"/>
      <c r="M6650"/>
      <c r="N6650"/>
      <c r="O6650"/>
      <c r="P6650" s="57"/>
      <c r="Q6650" s="57"/>
      <c r="R6650" s="57"/>
      <c r="S6650" s="97">
        <v>0</v>
      </c>
      <c r="T6650" s="57"/>
      <c r="U6650" s="57"/>
      <c r="V6650" s="57"/>
      <c r="W6650" s="57"/>
      <c r="X6650" s="97">
        <v>0</v>
      </c>
    </row>
    <row r="6651" spans="1:24" s="75" customFormat="1" x14ac:dyDescent="0.35">
      <c r="A6651" s="75">
        <v>6647</v>
      </c>
      <c r="B6651" s="75">
        <v>6648</v>
      </c>
      <c r="C6651">
        <v>146.11016122000001</v>
      </c>
      <c r="D6651">
        <v>-17.630118377199899</v>
      </c>
      <c r="E6651" s="92" t="str">
        <f t="shared" si="10"/>
        <v/>
      </c>
      <c r="F6651" s="93" t="str">
        <f t="shared" si="9"/>
        <v>6648_20240611_0002_R_0836.jpg</v>
      </c>
      <c r="G6651" s="75" t="s">
        <v>6836</v>
      </c>
      <c r="I6651" s="75">
        <v>2</v>
      </c>
      <c r="K6651" s="97">
        <v>1</v>
      </c>
      <c r="L6651"/>
      <c r="M6651"/>
      <c r="N6651"/>
      <c r="O6651"/>
      <c r="P6651" s="57"/>
      <c r="Q6651" s="57"/>
      <c r="R6651" s="57"/>
      <c r="S6651" s="97">
        <v>0</v>
      </c>
      <c r="T6651" s="57"/>
      <c r="U6651" s="57"/>
      <c r="V6651" s="57"/>
      <c r="W6651" s="57"/>
      <c r="X6651" s="97">
        <v>0</v>
      </c>
    </row>
    <row r="6652" spans="1:24" s="75" customFormat="1" x14ac:dyDescent="0.35">
      <c r="A6652" s="75">
        <v>6648</v>
      </c>
      <c r="B6652" s="75">
        <v>6649</v>
      </c>
      <c r="C6652">
        <v>146.110109851999</v>
      </c>
      <c r="D6652">
        <v>-17.630048143</v>
      </c>
      <c r="E6652" s="92" t="str">
        <f t="shared" si="10"/>
        <v/>
      </c>
      <c r="F6652" s="93" t="str">
        <f t="shared" si="9"/>
        <v>6649_20240611_0002_R_0832.jpg</v>
      </c>
      <c r="G6652" s="75" t="s">
        <v>6837</v>
      </c>
      <c r="I6652" s="75">
        <v>2</v>
      </c>
      <c r="K6652" s="97">
        <v>1</v>
      </c>
      <c r="L6652"/>
      <c r="M6652"/>
      <c r="N6652"/>
      <c r="O6652"/>
      <c r="P6652" s="57"/>
      <c r="Q6652" s="57"/>
      <c r="R6652" s="57"/>
      <c r="S6652" s="97">
        <v>0</v>
      </c>
      <c r="T6652" s="57"/>
      <c r="U6652" s="57"/>
      <c r="V6652" s="57"/>
      <c r="W6652" s="57"/>
      <c r="X6652" s="97">
        <v>0</v>
      </c>
    </row>
    <row r="6653" spans="1:24" s="75" customFormat="1" x14ac:dyDescent="0.35">
      <c r="A6653" s="75">
        <v>6649</v>
      </c>
      <c r="B6653" s="75">
        <v>6650</v>
      </c>
      <c r="C6653">
        <v>146.11005713200001</v>
      </c>
      <c r="D6653">
        <v>-17.629978828199899</v>
      </c>
      <c r="E6653" s="92">
        <f t="shared" si="10"/>
        <v>50</v>
      </c>
      <c r="F6653" s="93" t="str">
        <f t="shared" si="9"/>
        <v>6650_20240611_0002_R_0829.jpg</v>
      </c>
      <c r="G6653" s="75" t="s">
        <v>6838</v>
      </c>
      <c r="I6653" s="75">
        <v>2</v>
      </c>
      <c r="K6653" s="97">
        <v>1</v>
      </c>
      <c r="L6653"/>
      <c r="M6653"/>
      <c r="N6653"/>
      <c r="O6653"/>
      <c r="P6653" s="57"/>
      <c r="Q6653" s="57"/>
      <c r="R6653" s="57"/>
      <c r="S6653" s="97">
        <v>0</v>
      </c>
      <c r="T6653" s="57"/>
      <c r="U6653" s="57"/>
      <c r="V6653" s="57"/>
      <c r="W6653" s="57"/>
      <c r="X6653" s="97">
        <v>0</v>
      </c>
    </row>
    <row r="6654" spans="1:24" s="75" customFormat="1" x14ac:dyDescent="0.35">
      <c r="A6654" s="75">
        <v>6650</v>
      </c>
      <c r="B6654" s="75">
        <v>6651</v>
      </c>
      <c r="C6654">
        <v>146.110004156999</v>
      </c>
      <c r="D6654">
        <v>-17.629909686400001</v>
      </c>
      <c r="E6654" s="92" t="str">
        <f t="shared" si="10"/>
        <v/>
      </c>
      <c r="F6654" s="93" t="str">
        <f t="shared" si="9"/>
        <v>6651_20240611_0002_R_0826.jpg</v>
      </c>
      <c r="G6654" s="75" t="s">
        <v>6839</v>
      </c>
      <c r="I6654" s="75">
        <v>2</v>
      </c>
      <c r="K6654" s="97">
        <v>1</v>
      </c>
      <c r="L6654"/>
      <c r="M6654"/>
      <c r="N6654"/>
      <c r="O6654"/>
      <c r="P6654" s="57"/>
      <c r="Q6654" s="57"/>
      <c r="R6654" s="57"/>
      <c r="S6654" s="97">
        <v>0</v>
      </c>
      <c r="T6654" s="57"/>
      <c r="U6654" s="57"/>
      <c r="V6654" s="57"/>
      <c r="W6654" s="57"/>
      <c r="X6654" s="97">
        <v>0</v>
      </c>
    </row>
    <row r="6655" spans="1:24" s="75" customFormat="1" x14ac:dyDescent="0.35">
      <c r="A6655" s="75">
        <v>6651</v>
      </c>
      <c r="B6655" s="75">
        <v>6652</v>
      </c>
      <c r="C6655">
        <v>146.109951182</v>
      </c>
      <c r="D6655">
        <v>-17.629840544699899</v>
      </c>
      <c r="E6655" s="92" t="str">
        <f t="shared" si="10"/>
        <v/>
      </c>
      <c r="F6655" s="93" t="str">
        <f t="shared" si="9"/>
        <v>6652_20240611_0002_R_0823.jpg</v>
      </c>
      <c r="G6655" s="75" t="s">
        <v>6840</v>
      </c>
      <c r="I6655" s="75">
        <v>2</v>
      </c>
      <c r="K6655" s="97">
        <v>1</v>
      </c>
      <c r="L6655"/>
      <c r="M6655"/>
      <c r="N6655"/>
      <c r="O6655"/>
      <c r="P6655" s="57"/>
      <c r="Q6655" s="57"/>
      <c r="R6655" s="57"/>
      <c r="S6655" s="97">
        <v>0</v>
      </c>
      <c r="T6655" s="57"/>
      <c r="U6655" s="57"/>
      <c r="V6655" s="57"/>
      <c r="W6655" s="57"/>
      <c r="X6655" s="97">
        <v>0</v>
      </c>
    </row>
    <row r="6656" spans="1:24" s="75" customFormat="1" x14ac:dyDescent="0.35">
      <c r="A6656" s="75">
        <v>6652</v>
      </c>
      <c r="B6656" s="75">
        <v>6653</v>
      </c>
      <c r="C6656">
        <v>146.109919722</v>
      </c>
      <c r="D6656">
        <v>-17.629760777800001</v>
      </c>
      <c r="E6656" s="92" t="str">
        <f t="shared" si="10"/>
        <v/>
      </c>
      <c r="F6656" s="93" t="str">
        <f t="shared" si="9"/>
        <v>6653_20240611_0002_R_0820.jpg</v>
      </c>
      <c r="G6656" s="75" t="s">
        <v>6841</v>
      </c>
      <c r="I6656" s="75">
        <v>2</v>
      </c>
      <c r="K6656" s="97">
        <v>1</v>
      </c>
      <c r="L6656"/>
      <c r="M6656"/>
      <c r="N6656"/>
      <c r="O6656"/>
      <c r="P6656" s="57"/>
      <c r="Q6656" s="57"/>
      <c r="R6656" s="57"/>
      <c r="S6656" s="97">
        <v>0</v>
      </c>
      <c r="T6656" s="57"/>
      <c r="U6656" s="57"/>
      <c r="V6656" s="57"/>
      <c r="W6656" s="57"/>
      <c r="X6656" s="97">
        <v>0</v>
      </c>
    </row>
    <row r="6657" spans="1:24" s="75" customFormat="1" x14ac:dyDescent="0.35">
      <c r="A6657" s="75">
        <v>6653</v>
      </c>
      <c r="B6657" s="75">
        <v>6654</v>
      </c>
      <c r="C6657">
        <v>146.109890995</v>
      </c>
      <c r="D6657">
        <v>-17.6296796606999</v>
      </c>
      <c r="E6657" s="92" t="str">
        <f t="shared" si="10"/>
        <v/>
      </c>
      <c r="F6657" s="93" t="str">
        <f t="shared" si="9"/>
        <v>6654_20240611_0002_R_0817.jpg</v>
      </c>
      <c r="G6657" s="75" t="s">
        <v>6842</v>
      </c>
      <c r="I6657" s="75">
        <v>2</v>
      </c>
      <c r="K6657" s="97">
        <v>1</v>
      </c>
      <c r="L6657"/>
      <c r="M6657"/>
      <c r="N6657"/>
      <c r="O6657"/>
      <c r="P6657" s="57"/>
      <c r="Q6657" s="57"/>
      <c r="R6657" s="57"/>
      <c r="S6657" s="97">
        <v>0</v>
      </c>
      <c r="T6657" s="57"/>
      <c r="U6657" s="57"/>
      <c r="V6657" s="57"/>
      <c r="W6657" s="57"/>
      <c r="X6657" s="97">
        <v>0</v>
      </c>
    </row>
    <row r="6658" spans="1:24" s="75" customFormat="1" x14ac:dyDescent="0.35">
      <c r="A6658" s="75">
        <v>6654</v>
      </c>
      <c r="B6658" s="75">
        <v>6655</v>
      </c>
      <c r="C6658">
        <v>146.10985900399899</v>
      </c>
      <c r="D6658">
        <v>-17.6295997209</v>
      </c>
      <c r="E6658" s="92">
        <f t="shared" si="10"/>
        <v>50</v>
      </c>
      <c r="F6658" s="93" t="str">
        <f t="shared" si="9"/>
        <v>6655_20240611_0002_R_0814.jpg</v>
      </c>
      <c r="G6658" s="75" t="s">
        <v>6843</v>
      </c>
      <c r="I6658" s="75">
        <v>2</v>
      </c>
      <c r="K6658" s="97">
        <v>1</v>
      </c>
      <c r="L6658"/>
      <c r="M6658"/>
      <c r="N6658"/>
      <c r="O6658"/>
      <c r="P6658" s="57"/>
      <c r="Q6658" s="57"/>
      <c r="R6658" s="57"/>
      <c r="S6658" s="97">
        <v>0</v>
      </c>
      <c r="T6658" s="57"/>
      <c r="U6658" s="57"/>
      <c r="V6658" s="57"/>
      <c r="W6658" s="57"/>
      <c r="X6658" s="97">
        <v>0</v>
      </c>
    </row>
    <row r="6659" spans="1:24" s="75" customFormat="1" x14ac:dyDescent="0.35">
      <c r="A6659" s="75">
        <v>6655</v>
      </c>
      <c r="B6659" s="75">
        <v>6656</v>
      </c>
      <c r="C6659">
        <v>146.10982418699899</v>
      </c>
      <c r="D6659">
        <v>-17.629520800200002</v>
      </c>
      <c r="E6659" s="92" t="str">
        <f t="shared" si="10"/>
        <v/>
      </c>
      <c r="F6659" s="93" t="str">
        <f t="shared" si="9"/>
        <v>6656_20240611_0002_R_0811.jpg</v>
      </c>
      <c r="G6659" s="75" t="s">
        <v>6844</v>
      </c>
      <c r="I6659" s="75">
        <v>2</v>
      </c>
      <c r="K6659" s="97">
        <v>1</v>
      </c>
      <c r="L6659"/>
      <c r="M6659"/>
      <c r="N6659"/>
      <c r="O6659"/>
      <c r="P6659" s="57"/>
      <c r="Q6659" s="57"/>
      <c r="R6659" s="57"/>
      <c r="S6659" s="97">
        <v>0</v>
      </c>
      <c r="T6659" s="57"/>
      <c r="U6659" s="57"/>
      <c r="V6659" s="57"/>
      <c r="W6659" s="57"/>
      <c r="X6659" s="97">
        <v>0</v>
      </c>
    </row>
    <row r="6660" spans="1:24" s="75" customFormat="1" x14ac:dyDescent="0.35">
      <c r="A6660" s="75">
        <v>6656</v>
      </c>
      <c r="B6660" s="75">
        <v>6657</v>
      </c>
      <c r="C6660">
        <v>146.10977678699899</v>
      </c>
      <c r="D6660">
        <v>-17.629448428100002</v>
      </c>
      <c r="E6660" s="92" t="str">
        <f t="shared" si="10"/>
        <v/>
      </c>
      <c r="F6660" s="93" t="str">
        <f t="shared" si="9"/>
        <v>6657_20240611_0002_R_0808.jpg</v>
      </c>
      <c r="G6660" s="75" t="s">
        <v>6845</v>
      </c>
      <c r="I6660" s="75">
        <v>2</v>
      </c>
      <c r="K6660" s="97">
        <v>1</v>
      </c>
      <c r="L6660"/>
      <c r="M6660"/>
      <c r="N6660"/>
      <c r="O6660"/>
      <c r="P6660" s="57"/>
      <c r="Q6660" s="57"/>
      <c r="R6660" s="57"/>
      <c r="S6660" s="97">
        <v>0</v>
      </c>
      <c r="T6660" s="57"/>
      <c r="U6660" s="57"/>
      <c r="V6660" s="57"/>
      <c r="W6660" s="57"/>
      <c r="X6660" s="97">
        <v>0</v>
      </c>
    </row>
    <row r="6661" spans="1:24" s="75" customFormat="1" x14ac:dyDescent="0.35">
      <c r="A6661" s="75">
        <v>6657</v>
      </c>
      <c r="B6661" s="75">
        <v>6658</v>
      </c>
      <c r="C6661">
        <v>146.10972594500001</v>
      </c>
      <c r="D6661">
        <v>-17.629377846699899</v>
      </c>
      <c r="E6661" s="92" t="str">
        <f t="shared" si="10"/>
        <v/>
      </c>
      <c r="F6661" s="93" t="str">
        <f t="shared" si="9"/>
        <v>6658_20240611_0002_R_0805.jpg</v>
      </c>
      <c r="G6661" s="75" t="s">
        <v>6846</v>
      </c>
      <c r="I6661" s="75">
        <v>2</v>
      </c>
      <c r="K6661" s="97">
        <v>1</v>
      </c>
      <c r="L6661"/>
      <c r="M6661"/>
      <c r="N6661"/>
      <c r="O6661"/>
      <c r="P6661" s="57"/>
      <c r="Q6661" s="57"/>
      <c r="R6661" s="57"/>
      <c r="S6661" s="97">
        <v>0</v>
      </c>
      <c r="T6661" s="57"/>
      <c r="U6661" s="57"/>
      <c r="V6661" s="57"/>
      <c r="W6661" s="57"/>
      <c r="X6661" s="97">
        <v>0</v>
      </c>
    </row>
    <row r="6662" spans="1:24" s="75" customFormat="1" x14ac:dyDescent="0.35">
      <c r="A6662" s="75">
        <v>6658</v>
      </c>
      <c r="B6662" s="75">
        <v>6659</v>
      </c>
      <c r="C6662">
        <v>146.109675103</v>
      </c>
      <c r="D6662">
        <v>-17.6293072653</v>
      </c>
      <c r="E6662" s="92" t="str">
        <f t="shared" si="10"/>
        <v/>
      </c>
      <c r="F6662" s="93" t="str">
        <f t="shared" si="9"/>
        <v>6659_20240611_0002_R_0803.jpg</v>
      </c>
      <c r="G6662" s="75" t="s">
        <v>6847</v>
      </c>
      <c r="I6662" s="75">
        <v>2</v>
      </c>
      <c r="K6662" s="97">
        <v>1</v>
      </c>
      <c r="L6662"/>
      <c r="M6662"/>
      <c r="N6662"/>
      <c r="O6662"/>
      <c r="P6662" s="57"/>
      <c r="Q6662" s="57"/>
      <c r="R6662" s="57"/>
      <c r="S6662" s="97">
        <v>0</v>
      </c>
      <c r="T6662" s="57"/>
      <c r="U6662" s="57"/>
      <c r="V6662" s="57"/>
      <c r="W6662" s="57"/>
      <c r="X6662" s="97">
        <v>0</v>
      </c>
    </row>
    <row r="6663" spans="1:24" s="75" customFormat="1" x14ac:dyDescent="0.35">
      <c r="A6663" s="75">
        <v>6659</v>
      </c>
      <c r="B6663" s="75">
        <v>6660</v>
      </c>
      <c r="C6663">
        <v>146.10962426200001</v>
      </c>
      <c r="D6663">
        <v>-17.629236683799899</v>
      </c>
      <c r="E6663" s="92">
        <f t="shared" si="10"/>
        <v>50</v>
      </c>
      <c r="F6663" s="93" t="str">
        <f t="shared" si="9"/>
        <v>6660_20240611_0002_R_0800.jpg</v>
      </c>
      <c r="G6663" s="75" t="s">
        <v>6848</v>
      </c>
      <c r="I6663" s="75">
        <v>2</v>
      </c>
      <c r="K6663" s="97">
        <v>1</v>
      </c>
      <c r="L6663"/>
      <c r="M6663"/>
      <c r="N6663"/>
      <c r="O6663"/>
      <c r="P6663" s="57"/>
      <c r="Q6663" s="57"/>
      <c r="R6663" s="57"/>
      <c r="S6663" s="97">
        <v>0</v>
      </c>
      <c r="T6663" s="57"/>
      <c r="U6663" s="57"/>
      <c r="V6663" s="57"/>
      <c r="W6663" s="57"/>
      <c r="X6663" s="97">
        <v>0</v>
      </c>
    </row>
    <row r="6664" spans="1:24" s="75" customFormat="1" x14ac:dyDescent="0.35">
      <c r="A6664" s="75">
        <v>6660</v>
      </c>
      <c r="B6664" s="75">
        <v>6661</v>
      </c>
      <c r="C6664">
        <v>146.109584740999</v>
      </c>
      <c r="D6664">
        <v>-17.629160095</v>
      </c>
      <c r="E6664" s="92" t="str">
        <f t="shared" si="10"/>
        <v/>
      </c>
      <c r="F6664" s="93" t="str">
        <f t="shared" si="9"/>
        <v>6661_20240611_0002_R_0797.jpg</v>
      </c>
      <c r="G6664" s="75" t="s">
        <v>6849</v>
      </c>
      <c r="I6664" s="75">
        <v>2</v>
      </c>
      <c r="K6664" s="97">
        <v>1</v>
      </c>
      <c r="L6664"/>
      <c r="M6664"/>
      <c r="N6664"/>
      <c r="O6664"/>
      <c r="P6664" s="57"/>
      <c r="Q6664" s="57"/>
      <c r="R6664" s="57"/>
      <c r="S6664" s="97">
        <v>0</v>
      </c>
      <c r="T6664" s="57"/>
      <c r="U6664" s="57"/>
      <c r="V6664" s="57"/>
      <c r="W6664" s="57"/>
      <c r="X6664" s="97">
        <v>0</v>
      </c>
    </row>
    <row r="6665" spans="1:24" s="75" customFormat="1" x14ac:dyDescent="0.35">
      <c r="A6665" s="75">
        <v>6661</v>
      </c>
      <c r="B6665" s="75">
        <v>6662</v>
      </c>
      <c r="C6665">
        <v>146.109548566</v>
      </c>
      <c r="D6665">
        <v>-17.629081730700001</v>
      </c>
      <c r="E6665" s="92" t="str">
        <f t="shared" si="10"/>
        <v/>
      </c>
      <c r="F6665" s="93" t="str">
        <f t="shared" si="9"/>
        <v>6662_20240611_0002_R_0795.jpg</v>
      </c>
      <c r="G6665" s="75" t="s">
        <v>6850</v>
      </c>
      <c r="I6665" s="75">
        <v>2</v>
      </c>
      <c r="K6665" s="97">
        <v>1</v>
      </c>
      <c r="L6665"/>
      <c r="M6665"/>
      <c r="N6665"/>
      <c r="O6665"/>
      <c r="P6665" s="57"/>
      <c r="Q6665" s="57"/>
      <c r="R6665" s="57"/>
      <c r="S6665" s="97">
        <v>0</v>
      </c>
      <c r="T6665" s="57"/>
      <c r="U6665" s="57"/>
      <c r="V6665" s="57"/>
      <c r="W6665" s="57"/>
      <c r="X6665" s="97">
        <v>0</v>
      </c>
    </row>
    <row r="6666" spans="1:24" s="75" customFormat="1" x14ac:dyDescent="0.35">
      <c r="A6666" s="75">
        <v>6662</v>
      </c>
      <c r="B6666" s="75">
        <v>6663</v>
      </c>
      <c r="C6666">
        <v>146.109512391999</v>
      </c>
      <c r="D6666">
        <v>-17.629003366300001</v>
      </c>
      <c r="E6666" s="92" t="str">
        <f t="shared" si="10"/>
        <v/>
      </c>
      <c r="F6666" s="93" t="str">
        <f t="shared" si="9"/>
        <v>6663_20240611_0002_R_0792.jpg</v>
      </c>
      <c r="G6666" s="75" t="s">
        <v>6851</v>
      </c>
      <c r="I6666" s="75">
        <v>2</v>
      </c>
      <c r="K6666" s="97">
        <v>1</v>
      </c>
      <c r="L6666"/>
      <c r="M6666"/>
      <c r="N6666"/>
      <c r="O6666"/>
      <c r="P6666" s="57"/>
      <c r="Q6666" s="57"/>
      <c r="R6666" s="57"/>
      <c r="S6666" s="97">
        <v>0</v>
      </c>
      <c r="T6666" s="57"/>
      <c r="U6666" s="57"/>
      <c r="V6666" s="57"/>
      <c r="W6666" s="57"/>
      <c r="X6666" s="97">
        <v>0</v>
      </c>
    </row>
    <row r="6667" spans="1:24" s="75" customFormat="1" x14ac:dyDescent="0.35">
      <c r="A6667" s="75">
        <v>6663</v>
      </c>
      <c r="B6667" s="75">
        <v>6664</v>
      </c>
      <c r="C6667">
        <v>146.10947621700001</v>
      </c>
      <c r="D6667">
        <v>-17.628925001900001</v>
      </c>
      <c r="E6667" s="92" t="str">
        <f t="shared" si="10"/>
        <v/>
      </c>
      <c r="F6667" s="93" t="str">
        <f t="shared" si="9"/>
        <v>6664_20240611_0002_R_0790.jpg</v>
      </c>
      <c r="G6667" s="75" t="s">
        <v>6852</v>
      </c>
      <c r="I6667" s="75">
        <v>2</v>
      </c>
      <c r="K6667" s="97">
        <v>1</v>
      </c>
      <c r="L6667"/>
      <c r="M6667"/>
      <c r="N6667"/>
      <c r="O6667"/>
      <c r="P6667" s="57"/>
      <c r="Q6667" s="57"/>
      <c r="R6667" s="57"/>
      <c r="S6667" s="97">
        <v>0</v>
      </c>
      <c r="T6667" s="57"/>
      <c r="U6667" s="57"/>
      <c r="V6667" s="57"/>
      <c r="W6667" s="57"/>
      <c r="X6667" s="97">
        <v>0</v>
      </c>
    </row>
    <row r="6668" spans="1:24" s="75" customFormat="1" x14ac:dyDescent="0.35">
      <c r="A6668" s="75">
        <v>6664</v>
      </c>
      <c r="B6668" s="75">
        <v>6665</v>
      </c>
      <c r="C6668">
        <v>146.10944004300001</v>
      </c>
      <c r="D6668">
        <v>-17.628846637500001</v>
      </c>
      <c r="E6668" s="92">
        <f t="shared" si="10"/>
        <v>50</v>
      </c>
      <c r="F6668" s="93" t="str">
        <f t="shared" si="9"/>
        <v>6665_20240611_0002_R_0788.jpg</v>
      </c>
      <c r="G6668" s="75" t="s">
        <v>6853</v>
      </c>
      <c r="I6668" s="75">
        <v>2</v>
      </c>
      <c r="K6668" s="97">
        <v>1</v>
      </c>
      <c r="L6668"/>
      <c r="M6668"/>
      <c r="N6668"/>
      <c r="O6668"/>
      <c r="P6668" s="57"/>
      <c r="Q6668" s="57"/>
      <c r="R6668" s="57"/>
      <c r="S6668" s="97">
        <v>0</v>
      </c>
      <c r="T6668" s="57"/>
      <c r="U6668" s="57"/>
      <c r="V6668" s="57"/>
      <c r="W6668" s="57"/>
      <c r="X6668" s="97">
        <v>0</v>
      </c>
    </row>
    <row r="6669" spans="1:24" s="75" customFormat="1" x14ac:dyDescent="0.35">
      <c r="A6669" s="75">
        <v>6665</v>
      </c>
      <c r="B6669" s="75">
        <v>6666</v>
      </c>
      <c r="C6669">
        <v>146.10940386799899</v>
      </c>
      <c r="D6669">
        <v>-17.628768272999899</v>
      </c>
      <c r="E6669" s="92" t="str">
        <f t="shared" si="10"/>
        <v/>
      </c>
      <c r="F6669" s="93" t="str">
        <f t="shared" si="9"/>
        <v>6666_20240611_0002_R_0785.jpg</v>
      </c>
      <c r="G6669" s="75" t="s">
        <v>6854</v>
      </c>
      <c r="I6669" s="75">
        <v>2</v>
      </c>
      <c r="K6669" s="97">
        <v>1</v>
      </c>
      <c r="L6669"/>
      <c r="M6669"/>
      <c r="N6669"/>
      <c r="O6669"/>
      <c r="P6669" s="57"/>
      <c r="Q6669" s="57"/>
      <c r="R6669" s="57"/>
      <c r="S6669" s="97">
        <v>0</v>
      </c>
      <c r="T6669" s="57"/>
      <c r="U6669" s="57"/>
      <c r="V6669" s="57"/>
      <c r="W6669" s="57"/>
      <c r="X6669" s="97">
        <v>0</v>
      </c>
    </row>
    <row r="6670" spans="1:24" s="75" customFormat="1" x14ac:dyDescent="0.35">
      <c r="A6670" s="75">
        <v>6666</v>
      </c>
      <c r="B6670" s="75">
        <v>6667</v>
      </c>
      <c r="C6670">
        <v>146.10936769400001</v>
      </c>
      <c r="D6670">
        <v>-17.628689908399899</v>
      </c>
      <c r="E6670" s="92" t="str">
        <f t="shared" si="10"/>
        <v/>
      </c>
      <c r="F6670" s="93" t="str">
        <f t="shared" si="9"/>
        <v>6667_20240611_0002_R_0782.jpg</v>
      </c>
      <c r="G6670" s="75" t="s">
        <v>6855</v>
      </c>
      <c r="I6670" s="75">
        <v>2</v>
      </c>
      <c r="K6670" s="97">
        <v>1</v>
      </c>
      <c r="L6670"/>
      <c r="M6670"/>
      <c r="N6670"/>
      <c r="O6670"/>
      <c r="P6670" s="57"/>
      <c r="Q6670" s="57"/>
      <c r="R6670" s="57"/>
      <c r="S6670" s="97">
        <v>0</v>
      </c>
      <c r="T6670" s="57"/>
      <c r="U6670" s="57"/>
      <c r="V6670" s="57"/>
      <c r="W6670" s="57"/>
      <c r="X6670" s="97">
        <v>0</v>
      </c>
    </row>
    <row r="6671" spans="1:24" s="75" customFormat="1" x14ac:dyDescent="0.35">
      <c r="A6671" s="75">
        <v>6667</v>
      </c>
      <c r="B6671" s="75">
        <v>6668</v>
      </c>
      <c r="C6671">
        <v>146.10933525600001</v>
      </c>
      <c r="D6671">
        <v>-17.628610175999899</v>
      </c>
      <c r="E6671" s="92" t="str">
        <f t="shared" si="10"/>
        <v/>
      </c>
      <c r="F6671" s="93" t="str">
        <f t="shared" ref="F6671:F6690" si="11">HYPERLINK("D:\Data From Lucan\2024\Moresby\Frames_for_Analysis\" &amp; G6671,G6671)</f>
        <v>6668_20240611_0002_R_0780.jpg</v>
      </c>
      <c r="G6671" s="75" t="s">
        <v>6856</v>
      </c>
      <c r="I6671" s="75">
        <v>2</v>
      </c>
      <c r="K6671" s="97">
        <v>1</v>
      </c>
      <c r="L6671"/>
      <c r="M6671"/>
      <c r="N6671"/>
      <c r="O6671"/>
      <c r="P6671" s="57"/>
      <c r="Q6671" s="57"/>
      <c r="R6671" s="57"/>
      <c r="S6671" s="97">
        <v>0</v>
      </c>
      <c r="T6671" s="57"/>
      <c r="U6671" s="57"/>
      <c r="V6671" s="57"/>
      <c r="W6671" s="57"/>
      <c r="X6671" s="97">
        <v>0</v>
      </c>
    </row>
    <row r="6672" spans="1:24" s="75" customFormat="1" x14ac:dyDescent="0.35">
      <c r="A6672" s="75">
        <v>6668</v>
      </c>
      <c r="B6672" s="75">
        <v>6669</v>
      </c>
      <c r="C6672">
        <v>146.10930708800001</v>
      </c>
      <c r="D6672">
        <v>-17.628528880800001</v>
      </c>
      <c r="E6672" s="92" t="str">
        <f t="shared" ref="E6672:E6735" si="12">IF(MOD(B6672,5)=0, 50, "")</f>
        <v/>
      </c>
      <c r="F6672" s="93" t="str">
        <f t="shared" si="11"/>
        <v>6669_20240611_0002_R_0777.jpg</v>
      </c>
      <c r="G6672" s="75" t="s">
        <v>6857</v>
      </c>
      <c r="I6672" s="75">
        <v>2</v>
      </c>
      <c r="K6672" s="97">
        <v>1</v>
      </c>
      <c r="L6672"/>
      <c r="M6672"/>
      <c r="N6672"/>
      <c r="O6672"/>
      <c r="P6672" s="57"/>
      <c r="Q6672" s="57"/>
      <c r="R6672" s="57"/>
      <c r="S6672" s="97">
        <v>0</v>
      </c>
      <c r="T6672" s="57"/>
      <c r="U6672" s="57"/>
      <c r="V6672" s="57"/>
      <c r="W6672" s="57"/>
      <c r="X6672" s="97">
        <v>0</v>
      </c>
    </row>
    <row r="6673" spans="1:24" s="75" customFormat="1" x14ac:dyDescent="0.35">
      <c r="A6673" s="75">
        <v>6669</v>
      </c>
      <c r="B6673" s="75">
        <v>6670</v>
      </c>
      <c r="C6673">
        <v>146.109278918999</v>
      </c>
      <c r="D6673">
        <v>-17.6284475856</v>
      </c>
      <c r="E6673" s="92">
        <f t="shared" si="12"/>
        <v>50</v>
      </c>
      <c r="F6673" s="93" t="str">
        <f t="shared" si="11"/>
        <v>6670_20240611_0002_R_0775.jpg</v>
      </c>
      <c r="G6673" s="75" t="s">
        <v>6858</v>
      </c>
      <c r="I6673" s="75">
        <v>2</v>
      </c>
      <c r="K6673" s="97">
        <v>1</v>
      </c>
      <c r="L6673"/>
      <c r="M6673"/>
      <c r="N6673"/>
      <c r="O6673"/>
      <c r="P6673" s="57"/>
      <c r="Q6673" s="57"/>
      <c r="R6673" s="57"/>
      <c r="S6673" s="97">
        <v>0</v>
      </c>
      <c r="T6673" s="57"/>
      <c r="U6673" s="57"/>
      <c r="V6673" s="57"/>
      <c r="W6673" s="57"/>
      <c r="X6673" s="97">
        <v>0</v>
      </c>
    </row>
    <row r="6674" spans="1:24" s="75" customFormat="1" x14ac:dyDescent="0.35">
      <c r="A6674" s="75">
        <v>6670</v>
      </c>
      <c r="B6674" s="75">
        <v>6671</v>
      </c>
      <c r="C6674">
        <v>146.10925308200001</v>
      </c>
      <c r="D6674">
        <v>-17.628365751699899</v>
      </c>
      <c r="E6674" s="92" t="str">
        <f t="shared" si="12"/>
        <v/>
      </c>
      <c r="F6674" s="93" t="str">
        <f t="shared" si="11"/>
        <v>6671_20240611_0002_R_0772.jpg</v>
      </c>
      <c r="G6674" s="75" t="s">
        <v>6859</v>
      </c>
      <c r="I6674" s="75">
        <v>2</v>
      </c>
      <c r="K6674" s="97">
        <v>1</v>
      </c>
      <c r="L6674"/>
      <c r="M6674"/>
      <c r="N6674"/>
      <c r="O6674"/>
      <c r="P6674" s="57"/>
      <c r="Q6674" s="57"/>
      <c r="R6674" s="57"/>
      <c r="S6674" s="97">
        <v>0</v>
      </c>
      <c r="T6674" s="57"/>
      <c r="U6674" s="57"/>
      <c r="V6674" s="57"/>
      <c r="W6674" s="57"/>
      <c r="X6674" s="97">
        <v>0</v>
      </c>
    </row>
    <row r="6675" spans="1:24" s="75" customFormat="1" x14ac:dyDescent="0.35">
      <c r="A6675" s="75">
        <v>6671</v>
      </c>
      <c r="B6675" s="75">
        <v>6672</v>
      </c>
      <c r="C6675">
        <v>146.10923369899899</v>
      </c>
      <c r="D6675">
        <v>-17.628282155200001</v>
      </c>
      <c r="E6675" s="92" t="str">
        <f t="shared" si="12"/>
        <v/>
      </c>
      <c r="F6675" s="93" t="str">
        <f t="shared" si="11"/>
        <v>6672_20240611_0002_R_0769.jpg</v>
      </c>
      <c r="G6675" s="75" t="s">
        <v>6860</v>
      </c>
      <c r="I6675" s="75">
        <v>2</v>
      </c>
      <c r="K6675" s="97">
        <v>1</v>
      </c>
      <c r="L6675"/>
      <c r="M6675"/>
      <c r="N6675"/>
      <c r="O6675"/>
      <c r="P6675" s="57"/>
      <c r="Q6675" s="57"/>
      <c r="R6675" s="57"/>
      <c r="S6675" s="97">
        <v>0</v>
      </c>
      <c r="T6675" s="57"/>
      <c r="U6675" s="57"/>
      <c r="V6675" s="57"/>
      <c r="W6675" s="57"/>
      <c r="X6675" s="97">
        <v>0</v>
      </c>
    </row>
    <row r="6676" spans="1:24" s="75" customFormat="1" x14ac:dyDescent="0.35">
      <c r="A6676" s="75">
        <v>6672</v>
      </c>
      <c r="B6676" s="75">
        <v>6673</v>
      </c>
      <c r="C6676">
        <v>146.10921431700001</v>
      </c>
      <c r="D6676">
        <v>-17.6281985586999</v>
      </c>
      <c r="E6676" s="92" t="str">
        <f t="shared" si="12"/>
        <v/>
      </c>
      <c r="F6676" s="93" t="str">
        <f t="shared" si="11"/>
        <v>6673_20240611_0002_R_0767.jpg</v>
      </c>
      <c r="G6676" s="75" t="s">
        <v>6861</v>
      </c>
      <c r="I6676" s="75">
        <v>2</v>
      </c>
      <c r="K6676" s="97">
        <v>1</v>
      </c>
      <c r="L6676"/>
      <c r="M6676"/>
      <c r="N6676"/>
      <c r="O6676"/>
      <c r="P6676" s="57"/>
      <c r="Q6676" s="57"/>
      <c r="R6676" s="57"/>
      <c r="S6676" s="97">
        <v>0</v>
      </c>
      <c r="T6676" s="57"/>
      <c r="U6676" s="57"/>
      <c r="V6676" s="57"/>
      <c r="W6676" s="57"/>
      <c r="X6676" s="97">
        <v>0</v>
      </c>
    </row>
    <row r="6677" spans="1:24" s="75" customFormat="1" x14ac:dyDescent="0.35">
      <c r="A6677" s="75">
        <v>6673</v>
      </c>
      <c r="B6677" s="75">
        <v>6674</v>
      </c>
      <c r="C6677">
        <v>146.10919493399899</v>
      </c>
      <c r="D6677">
        <v>-17.6281149621</v>
      </c>
      <c r="E6677" s="92" t="str">
        <f t="shared" si="12"/>
        <v/>
      </c>
      <c r="F6677" s="93" t="str">
        <f t="shared" si="11"/>
        <v>6674_20240611_0002_R_0764.jpg</v>
      </c>
      <c r="G6677" s="75" t="s">
        <v>6862</v>
      </c>
      <c r="I6677" s="75">
        <v>2</v>
      </c>
      <c r="K6677" s="97">
        <v>1</v>
      </c>
      <c r="L6677"/>
      <c r="M6677"/>
      <c r="N6677"/>
      <c r="O6677"/>
      <c r="P6677" s="57"/>
      <c r="Q6677" s="57"/>
      <c r="R6677" s="57"/>
      <c r="S6677" s="97">
        <v>0</v>
      </c>
      <c r="T6677" s="57"/>
      <c r="U6677" s="57"/>
      <c r="V6677" s="57"/>
      <c r="W6677" s="57"/>
      <c r="X6677" s="97">
        <v>0</v>
      </c>
    </row>
    <row r="6678" spans="1:24" s="75" customFormat="1" x14ac:dyDescent="0.35">
      <c r="A6678" s="75">
        <v>6674</v>
      </c>
      <c r="B6678" s="75">
        <v>6675</v>
      </c>
      <c r="C6678">
        <v>146.109175550999</v>
      </c>
      <c r="D6678">
        <v>-17.6280313655</v>
      </c>
      <c r="E6678" s="92">
        <f t="shared" si="12"/>
        <v>50</v>
      </c>
      <c r="F6678" s="93" t="str">
        <f t="shared" si="11"/>
        <v>6675_20240611_0002_R_0761.jpg</v>
      </c>
      <c r="G6678" s="75" t="s">
        <v>6863</v>
      </c>
      <c r="I6678" s="75">
        <v>2</v>
      </c>
      <c r="K6678" s="97">
        <v>1</v>
      </c>
      <c r="L6678"/>
      <c r="M6678"/>
      <c r="N6678"/>
      <c r="O6678"/>
      <c r="P6678" s="57"/>
      <c r="Q6678" s="57"/>
      <c r="R6678" s="57"/>
      <c r="S6678" s="97">
        <v>0</v>
      </c>
      <c r="T6678" s="57"/>
      <c r="U6678" s="57"/>
      <c r="V6678" s="57"/>
      <c r="W6678" s="57"/>
      <c r="X6678" s="97">
        <v>0</v>
      </c>
    </row>
    <row r="6679" spans="1:24" s="75" customFormat="1" x14ac:dyDescent="0.35">
      <c r="A6679" s="75">
        <v>6675</v>
      </c>
      <c r="B6679" s="75">
        <v>6676</v>
      </c>
      <c r="C6679">
        <v>146.10915932699899</v>
      </c>
      <c r="D6679">
        <v>-17.627947341900001</v>
      </c>
      <c r="E6679" s="92" t="str">
        <f t="shared" si="12"/>
        <v/>
      </c>
      <c r="F6679" s="93" t="str">
        <f t="shared" si="11"/>
        <v>6676_20240611_0002_R_0759.jpg</v>
      </c>
      <c r="G6679" s="75" t="s">
        <v>6864</v>
      </c>
      <c r="I6679" s="75">
        <v>2</v>
      </c>
      <c r="K6679" s="97">
        <v>1</v>
      </c>
      <c r="L6679"/>
      <c r="M6679"/>
      <c r="N6679"/>
      <c r="O6679"/>
      <c r="P6679" s="57"/>
      <c r="Q6679" s="57"/>
      <c r="R6679" s="57"/>
      <c r="S6679" s="97">
        <v>0</v>
      </c>
      <c r="T6679" s="57"/>
      <c r="U6679" s="57"/>
      <c r="V6679" s="57"/>
      <c r="W6679" s="57"/>
      <c r="X6679" s="97">
        <v>0</v>
      </c>
    </row>
    <row r="6680" spans="1:24" s="75" customFormat="1" x14ac:dyDescent="0.35">
      <c r="A6680" s="75">
        <v>6676</v>
      </c>
      <c r="B6680" s="75">
        <v>6677</v>
      </c>
      <c r="C6680">
        <v>146.10915453800001</v>
      </c>
      <c r="D6680">
        <v>-17.6278618503</v>
      </c>
      <c r="E6680" s="92" t="str">
        <f t="shared" si="12"/>
        <v/>
      </c>
      <c r="F6680" s="93" t="str">
        <f t="shared" si="11"/>
        <v>6677_20240611_0002_R_0756.jpg</v>
      </c>
      <c r="G6680" s="75" t="s">
        <v>6865</v>
      </c>
      <c r="I6680" s="75">
        <v>2</v>
      </c>
      <c r="K6680" s="97">
        <v>1</v>
      </c>
      <c r="L6680"/>
      <c r="M6680"/>
      <c r="N6680"/>
      <c r="O6680"/>
      <c r="P6680" s="57"/>
      <c r="Q6680" s="57"/>
      <c r="R6680" s="57"/>
      <c r="S6680" s="97">
        <v>0</v>
      </c>
      <c r="T6680" s="57"/>
      <c r="U6680" s="57"/>
      <c r="V6680" s="57"/>
      <c r="W6680" s="57"/>
      <c r="X6680" s="97">
        <v>0</v>
      </c>
    </row>
    <row r="6681" spans="1:24" s="75" customFormat="1" x14ac:dyDescent="0.35">
      <c r="A6681" s="75">
        <v>6677</v>
      </c>
      <c r="B6681" s="75">
        <v>6678</v>
      </c>
      <c r="C6681">
        <v>146.10914975</v>
      </c>
      <c r="D6681">
        <v>-17.6277763587</v>
      </c>
      <c r="E6681" s="92" t="str">
        <f t="shared" si="12"/>
        <v/>
      </c>
      <c r="F6681" s="93" t="str">
        <f t="shared" si="11"/>
        <v>6678_20240611_0002_R_0753.jpg</v>
      </c>
      <c r="G6681" s="75" t="s">
        <v>6866</v>
      </c>
      <c r="I6681" s="75">
        <v>2</v>
      </c>
      <c r="K6681" s="97">
        <v>1</v>
      </c>
      <c r="L6681"/>
      <c r="M6681"/>
      <c r="N6681"/>
      <c r="O6681"/>
      <c r="P6681" s="57"/>
      <c r="Q6681" s="57"/>
      <c r="R6681" s="57"/>
      <c r="S6681" s="97">
        <v>0</v>
      </c>
      <c r="T6681" s="57"/>
      <c r="U6681" s="57"/>
      <c r="V6681" s="57"/>
      <c r="W6681" s="57"/>
      <c r="X6681" s="97">
        <v>0</v>
      </c>
    </row>
    <row r="6682" spans="1:24" s="75" customFormat="1" x14ac:dyDescent="0.35">
      <c r="A6682" s="75">
        <v>6678</v>
      </c>
      <c r="B6682" s="75">
        <v>6679</v>
      </c>
      <c r="C6682">
        <v>146.109144960999</v>
      </c>
      <c r="D6682">
        <v>-17.627690866999899</v>
      </c>
      <c r="E6682" s="92" t="str">
        <f t="shared" si="12"/>
        <v/>
      </c>
      <c r="F6682" s="93" t="str">
        <f t="shared" si="11"/>
        <v>6679_20240611_0002_R_0750.jpg</v>
      </c>
      <c r="G6682" s="75" t="s">
        <v>6867</v>
      </c>
      <c r="I6682" s="75">
        <v>2</v>
      </c>
      <c r="K6682" s="97">
        <v>1</v>
      </c>
      <c r="L6682"/>
      <c r="M6682"/>
      <c r="N6682"/>
      <c r="O6682"/>
      <c r="P6682" s="57"/>
      <c r="Q6682" s="57"/>
      <c r="R6682" s="57"/>
      <c r="S6682" s="97">
        <v>0</v>
      </c>
      <c r="T6682" s="57"/>
      <c r="U6682" s="57"/>
      <c r="V6682" s="57"/>
      <c r="W6682" s="57"/>
      <c r="X6682" s="97">
        <v>0</v>
      </c>
    </row>
    <row r="6683" spans="1:24" s="75" customFormat="1" x14ac:dyDescent="0.35">
      <c r="A6683" s="75">
        <v>6679</v>
      </c>
      <c r="B6683" s="75">
        <v>6680</v>
      </c>
      <c r="C6683">
        <v>146.10913948000001</v>
      </c>
      <c r="D6683">
        <v>-17.6276054231</v>
      </c>
      <c r="E6683" s="92">
        <f t="shared" si="12"/>
        <v>50</v>
      </c>
      <c r="F6683" s="93" t="str">
        <f t="shared" si="11"/>
        <v>6680_20240611_0002_R_0748.jpg</v>
      </c>
      <c r="G6683" s="75" t="s">
        <v>6868</v>
      </c>
      <c r="I6683" s="75">
        <v>2</v>
      </c>
      <c r="K6683" s="97">
        <v>1</v>
      </c>
      <c r="L6683"/>
      <c r="M6683"/>
      <c r="N6683"/>
      <c r="O6683"/>
      <c r="P6683" s="57"/>
      <c r="Q6683" s="57"/>
      <c r="R6683" s="57"/>
      <c r="S6683" s="97">
        <v>0</v>
      </c>
      <c r="T6683" s="57"/>
      <c r="U6683" s="57"/>
      <c r="V6683" s="57"/>
      <c r="W6683" s="57"/>
      <c r="X6683" s="97">
        <v>0</v>
      </c>
    </row>
    <row r="6684" spans="1:24" s="75" customFormat="1" x14ac:dyDescent="0.35">
      <c r="A6684" s="75">
        <v>6680</v>
      </c>
      <c r="B6684" s="75">
        <v>6681</v>
      </c>
      <c r="C6684">
        <v>146.109131297</v>
      </c>
      <c r="D6684">
        <v>-17.627520165499899</v>
      </c>
      <c r="E6684" s="92" t="str">
        <f t="shared" si="12"/>
        <v/>
      </c>
      <c r="F6684" s="93" t="str">
        <f t="shared" si="11"/>
        <v>6681_20240611_0002_R_0745.jpg</v>
      </c>
      <c r="G6684" s="75" t="s">
        <v>6869</v>
      </c>
      <c r="I6684" s="75">
        <v>2</v>
      </c>
      <c r="K6684" s="97">
        <v>1</v>
      </c>
      <c r="L6684"/>
      <c r="M6684"/>
      <c r="N6684"/>
      <c r="O6684"/>
      <c r="P6684" s="57"/>
      <c r="Q6684" s="57"/>
      <c r="R6684" s="57"/>
      <c r="S6684" s="97">
        <v>0</v>
      </c>
      <c r="T6684" s="57"/>
      <c r="U6684" s="57"/>
      <c r="V6684" s="57"/>
      <c r="W6684" s="57"/>
      <c r="X6684" s="97">
        <v>0</v>
      </c>
    </row>
    <row r="6685" spans="1:24" s="75" customFormat="1" x14ac:dyDescent="0.35">
      <c r="A6685" s="75">
        <v>6681</v>
      </c>
      <c r="B6685" s="75">
        <v>6682</v>
      </c>
      <c r="C6685">
        <v>146.10912311499899</v>
      </c>
      <c r="D6685">
        <v>-17.627434907800001</v>
      </c>
      <c r="E6685" s="92" t="str">
        <f t="shared" si="12"/>
        <v/>
      </c>
      <c r="F6685" s="93" t="str">
        <f t="shared" si="11"/>
        <v>6682_20240611_0002_R_0742.jpg</v>
      </c>
      <c r="G6685" s="75" t="s">
        <v>6870</v>
      </c>
      <c r="I6685" s="75">
        <v>2</v>
      </c>
      <c r="K6685" s="97">
        <v>1</v>
      </c>
      <c r="L6685"/>
      <c r="M6685"/>
      <c r="N6685"/>
      <c r="O6685"/>
      <c r="P6685" s="57"/>
      <c r="Q6685" s="57"/>
      <c r="R6685" s="57"/>
      <c r="S6685" s="97">
        <v>0</v>
      </c>
      <c r="T6685" s="57"/>
      <c r="U6685" s="57"/>
      <c r="V6685" s="57"/>
      <c r="W6685" s="57"/>
      <c r="X6685" s="97">
        <v>0</v>
      </c>
    </row>
    <row r="6686" spans="1:24" s="75" customFormat="1" x14ac:dyDescent="0.35">
      <c r="A6686" s="75">
        <v>6682</v>
      </c>
      <c r="B6686" s="75">
        <v>6683</v>
      </c>
      <c r="C6686">
        <v>146.10909809399899</v>
      </c>
      <c r="D6686">
        <v>-17.627353052899899</v>
      </c>
      <c r="E6686" s="92" t="str">
        <f t="shared" si="12"/>
        <v/>
      </c>
      <c r="F6686" s="93" t="str">
        <f t="shared" si="11"/>
        <v>6683_20240611_0002_R_0740.jpg</v>
      </c>
      <c r="G6686" s="75" t="s">
        <v>6871</v>
      </c>
      <c r="I6686" s="75">
        <v>2</v>
      </c>
      <c r="K6686" s="97">
        <v>1</v>
      </c>
      <c r="L6686"/>
      <c r="M6686"/>
      <c r="N6686"/>
      <c r="O6686"/>
      <c r="P6686" s="57"/>
      <c r="Q6686" s="57"/>
      <c r="R6686" s="57"/>
      <c r="S6686" s="97">
        <v>0</v>
      </c>
      <c r="T6686" s="57"/>
      <c r="U6686" s="57"/>
      <c r="V6686" s="57"/>
      <c r="W6686" s="57"/>
      <c r="X6686" s="97">
        <v>0</v>
      </c>
    </row>
    <row r="6687" spans="1:24" s="75" customFormat="1" x14ac:dyDescent="0.35">
      <c r="A6687" s="75">
        <v>6683</v>
      </c>
      <c r="B6687" s="75">
        <v>6684</v>
      </c>
      <c r="C6687">
        <v>146.10906926800001</v>
      </c>
      <c r="D6687">
        <v>-17.627271966799899</v>
      </c>
      <c r="E6687" s="92" t="str">
        <f t="shared" si="12"/>
        <v/>
      </c>
      <c r="F6687" s="93" t="str">
        <f t="shared" si="11"/>
        <v>6684_20240611_0002_R_0738.jpg</v>
      </c>
      <c r="G6687" s="75" t="s">
        <v>6872</v>
      </c>
      <c r="I6687" s="75">
        <v>2</v>
      </c>
      <c r="K6687" s="97">
        <v>1</v>
      </c>
      <c r="L6687"/>
      <c r="M6687"/>
      <c r="N6687"/>
      <c r="O6687"/>
      <c r="P6687" s="57"/>
      <c r="Q6687" s="57"/>
      <c r="R6687" s="57"/>
      <c r="S6687" s="97">
        <v>0</v>
      </c>
      <c r="T6687" s="57"/>
      <c r="U6687" s="57"/>
      <c r="V6687" s="57"/>
      <c r="W6687" s="57"/>
      <c r="X6687" s="97">
        <v>0</v>
      </c>
    </row>
    <row r="6688" spans="1:24" s="75" customFormat="1" x14ac:dyDescent="0.35">
      <c r="A6688" s="75">
        <v>6684</v>
      </c>
      <c r="B6688" s="75">
        <v>6685</v>
      </c>
      <c r="C6688">
        <v>146.109070954999</v>
      </c>
      <c r="D6688">
        <v>-17.627188456700001</v>
      </c>
      <c r="E6688" s="92">
        <f t="shared" si="12"/>
        <v>50</v>
      </c>
      <c r="F6688" s="93" t="str">
        <f t="shared" si="11"/>
        <v>6685_20240611_0002_R_0735.jpg</v>
      </c>
      <c r="G6688" s="75" t="s">
        <v>6873</v>
      </c>
      <c r="I6688" s="75">
        <v>2</v>
      </c>
      <c r="K6688" s="97">
        <v>1</v>
      </c>
      <c r="L6688"/>
      <c r="M6688"/>
      <c r="N6688"/>
      <c r="O6688"/>
      <c r="P6688" s="57"/>
      <c r="Q6688" s="57"/>
      <c r="R6688" s="57"/>
      <c r="S6688" s="97">
        <v>0</v>
      </c>
      <c r="T6688" s="57"/>
      <c r="U6688" s="57"/>
      <c r="V6688" s="57"/>
      <c r="W6688" s="57"/>
      <c r="X6688" s="97">
        <v>0</v>
      </c>
    </row>
    <row r="6689" spans="1:24" s="75" customFormat="1" x14ac:dyDescent="0.35">
      <c r="A6689" s="75">
        <v>6685</v>
      </c>
      <c r="B6689" s="75">
        <v>6686</v>
      </c>
      <c r="C6689">
        <v>146.10908529700001</v>
      </c>
      <c r="D6689">
        <v>-17.627103941200001</v>
      </c>
      <c r="E6689" s="92" t="str">
        <f t="shared" si="12"/>
        <v/>
      </c>
      <c r="F6689" s="93" t="str">
        <f t="shared" si="11"/>
        <v>6686_20240611_0002_R_0733.jpg</v>
      </c>
      <c r="G6689" s="75" t="s">
        <v>6874</v>
      </c>
      <c r="I6689" s="75">
        <v>2</v>
      </c>
      <c r="K6689" s="97">
        <v>1</v>
      </c>
      <c r="L6689"/>
      <c r="M6689"/>
      <c r="N6689"/>
      <c r="O6689"/>
      <c r="P6689" s="57"/>
      <c r="Q6689" s="57"/>
      <c r="R6689" s="57"/>
      <c r="S6689" s="97">
        <v>0</v>
      </c>
      <c r="T6689" s="57"/>
      <c r="U6689" s="57"/>
      <c r="V6689" s="57"/>
      <c r="W6689" s="57"/>
      <c r="X6689" s="97">
        <v>0</v>
      </c>
    </row>
    <row r="6690" spans="1:24" s="75" customFormat="1" x14ac:dyDescent="0.35">
      <c r="A6690" s="75">
        <v>6686</v>
      </c>
      <c r="B6690" s="75">
        <v>6687</v>
      </c>
      <c r="C6690">
        <v>146.10909964000001</v>
      </c>
      <c r="D6690">
        <v>-17.627019425699899</v>
      </c>
      <c r="E6690" s="92" t="str">
        <f t="shared" si="12"/>
        <v/>
      </c>
      <c r="F6690" s="93" t="str">
        <f t="shared" si="11"/>
        <v>6687_20240611_0002_R_0730.jpg</v>
      </c>
      <c r="G6690" s="75" t="s">
        <v>6875</v>
      </c>
      <c r="I6690" s="75">
        <v>2</v>
      </c>
      <c r="K6690" s="97">
        <v>1</v>
      </c>
      <c r="L6690"/>
      <c r="M6690"/>
      <c r="N6690"/>
      <c r="O6690"/>
      <c r="P6690" s="57"/>
      <c r="Q6690" s="57"/>
      <c r="R6690" s="57"/>
      <c r="S6690" s="97">
        <v>0</v>
      </c>
      <c r="T6690" s="57"/>
      <c r="U6690" s="57"/>
      <c r="V6690" s="57"/>
      <c r="W6690" s="57"/>
      <c r="X6690" s="97">
        <v>0</v>
      </c>
    </row>
    <row r="6691" spans="1:24" s="75" customFormat="1" x14ac:dyDescent="0.35">
      <c r="A6691" s="75">
        <v>6687</v>
      </c>
      <c r="B6691" s="75">
        <v>6688</v>
      </c>
      <c r="C6691">
        <v>146.110045079</v>
      </c>
      <c r="D6691">
        <v>-17.626793451400001</v>
      </c>
      <c r="E6691" s="92" t="str">
        <f t="shared" si="12"/>
        <v/>
      </c>
      <c r="I6691" s="75">
        <v>2</v>
      </c>
      <c r="J6691" s="75" t="s">
        <v>26</v>
      </c>
      <c r="K6691" s="97" t="s">
        <v>26</v>
      </c>
      <c r="L6691"/>
      <c r="M6691"/>
      <c r="N6691"/>
      <c r="O6691"/>
      <c r="P6691" s="57"/>
      <c r="Q6691" s="57"/>
      <c r="R6691" s="57"/>
      <c r="S6691" s="97"/>
      <c r="T6691" s="57"/>
      <c r="U6691" s="57"/>
      <c r="V6691" s="57"/>
      <c r="W6691" s="57"/>
      <c r="X6691" s="97"/>
    </row>
    <row r="6692" spans="1:24" s="75" customFormat="1" x14ac:dyDescent="0.35">
      <c r="A6692" s="75">
        <v>6688</v>
      </c>
      <c r="B6692" s="75">
        <v>6689</v>
      </c>
      <c r="C6692">
        <v>146.110076394</v>
      </c>
      <c r="D6692">
        <v>-17.626848679599899</v>
      </c>
      <c r="E6692" s="92" t="str">
        <f t="shared" si="12"/>
        <v/>
      </c>
      <c r="I6692" s="75">
        <v>2</v>
      </c>
      <c r="J6692" s="75" t="s">
        <v>26</v>
      </c>
      <c r="K6692" s="97" t="s">
        <v>26</v>
      </c>
      <c r="L6692"/>
      <c r="M6692"/>
      <c r="N6692"/>
      <c r="O6692"/>
      <c r="P6692" s="57"/>
      <c r="Q6692" s="57"/>
      <c r="R6692" s="57"/>
      <c r="S6692" s="97"/>
      <c r="T6692" s="57"/>
      <c r="U6692" s="57"/>
      <c r="V6692" s="57"/>
      <c r="W6692" s="57"/>
      <c r="X6692" s="97"/>
    </row>
    <row r="6693" spans="1:24" s="75" customFormat="1" x14ac:dyDescent="0.35">
      <c r="A6693" s="75">
        <v>6689</v>
      </c>
      <c r="B6693" s="75">
        <v>6690</v>
      </c>
      <c r="C6693">
        <v>146.11009257000001</v>
      </c>
      <c r="D6693">
        <v>-17.6269323317999</v>
      </c>
      <c r="E6693" s="92">
        <f t="shared" si="12"/>
        <v>50</v>
      </c>
      <c r="I6693" s="75">
        <v>2</v>
      </c>
      <c r="J6693" s="75" t="s">
        <v>26</v>
      </c>
      <c r="K6693" s="97" t="s">
        <v>26</v>
      </c>
      <c r="L6693"/>
      <c r="M6693"/>
      <c r="N6693"/>
      <c r="O6693"/>
      <c r="P6693" s="57"/>
      <c r="Q6693" s="57"/>
      <c r="R6693" s="57"/>
      <c r="S6693" s="97"/>
      <c r="T6693" s="57"/>
      <c r="U6693" s="57"/>
      <c r="V6693" s="57"/>
      <c r="W6693" s="57"/>
      <c r="X6693" s="97"/>
    </row>
    <row r="6694" spans="1:24" s="75" customFormat="1" x14ac:dyDescent="0.35">
      <c r="A6694" s="75">
        <v>6690</v>
      </c>
      <c r="B6694" s="75">
        <v>6691</v>
      </c>
      <c r="C6694">
        <v>146.110123286</v>
      </c>
      <c r="D6694">
        <v>-17.627012785400002</v>
      </c>
      <c r="E6694" s="92" t="str">
        <f t="shared" si="12"/>
        <v/>
      </c>
      <c r="I6694" s="75">
        <v>2</v>
      </c>
      <c r="J6694" s="75" t="s">
        <v>26</v>
      </c>
      <c r="K6694" s="97" t="s">
        <v>26</v>
      </c>
      <c r="L6694"/>
      <c r="M6694"/>
      <c r="N6694"/>
      <c r="O6694"/>
      <c r="P6694" s="57"/>
      <c r="Q6694" s="57"/>
      <c r="R6694" s="57"/>
      <c r="S6694" s="97"/>
      <c r="T6694" s="57"/>
      <c r="U6694" s="57"/>
      <c r="V6694" s="57"/>
      <c r="W6694" s="57"/>
      <c r="X6694" s="97"/>
    </row>
    <row r="6695" spans="1:24" s="75" customFormat="1" x14ac:dyDescent="0.35">
      <c r="A6695" s="75">
        <v>6691</v>
      </c>
      <c r="B6695" s="75">
        <v>6692</v>
      </c>
      <c r="C6695">
        <v>146.110154002</v>
      </c>
      <c r="D6695">
        <v>-17.627093238899899</v>
      </c>
      <c r="E6695" s="92" t="str">
        <f t="shared" si="12"/>
        <v/>
      </c>
      <c r="I6695" s="75">
        <v>2</v>
      </c>
      <c r="J6695" s="75" t="s">
        <v>26</v>
      </c>
      <c r="K6695" s="97" t="s">
        <v>26</v>
      </c>
      <c r="L6695"/>
      <c r="M6695"/>
      <c r="N6695"/>
      <c r="O6695"/>
      <c r="P6695" s="57"/>
      <c r="Q6695" s="57"/>
      <c r="R6695" s="57"/>
      <c r="S6695" s="97"/>
      <c r="T6695" s="57"/>
      <c r="U6695" s="57"/>
      <c r="V6695" s="57"/>
      <c r="W6695" s="57"/>
      <c r="X6695" s="97"/>
    </row>
    <row r="6696" spans="1:24" s="75" customFormat="1" x14ac:dyDescent="0.35">
      <c r="A6696" s="75">
        <v>6692</v>
      </c>
      <c r="B6696" s="75">
        <v>6693</v>
      </c>
      <c r="C6696">
        <v>146.110189015</v>
      </c>
      <c r="D6696">
        <v>-17.6271716496999</v>
      </c>
      <c r="E6696" s="92" t="str">
        <f t="shared" si="12"/>
        <v/>
      </c>
      <c r="I6696" s="75">
        <v>2</v>
      </c>
      <c r="J6696" s="75" t="s">
        <v>26</v>
      </c>
      <c r="K6696" s="97" t="s">
        <v>26</v>
      </c>
      <c r="L6696"/>
      <c r="M6696"/>
      <c r="N6696"/>
      <c r="O6696"/>
      <c r="P6696" s="57"/>
      <c r="Q6696" s="57"/>
      <c r="R6696" s="57"/>
      <c r="S6696" s="97"/>
      <c r="T6696" s="57"/>
      <c r="U6696" s="57"/>
      <c r="V6696" s="57"/>
      <c r="W6696" s="57"/>
      <c r="X6696" s="97"/>
    </row>
    <row r="6697" spans="1:24" s="75" customFormat="1" x14ac:dyDescent="0.35">
      <c r="A6697" s="75">
        <v>6693</v>
      </c>
      <c r="B6697" s="75">
        <v>6694</v>
      </c>
      <c r="C6697">
        <v>146.110237971999</v>
      </c>
      <c r="D6697">
        <v>-17.627243432</v>
      </c>
      <c r="E6697" s="92" t="str">
        <f t="shared" si="12"/>
        <v/>
      </c>
      <c r="I6697" s="75">
        <v>2</v>
      </c>
      <c r="J6697" s="75" t="s">
        <v>26</v>
      </c>
      <c r="K6697" s="97" t="s">
        <v>26</v>
      </c>
      <c r="L6697"/>
      <c r="M6697"/>
      <c r="N6697"/>
      <c r="O6697"/>
      <c r="P6697" s="57"/>
      <c r="Q6697" s="57"/>
      <c r="R6697" s="57"/>
      <c r="S6697" s="97"/>
      <c r="T6697" s="57"/>
      <c r="U6697" s="57"/>
      <c r="V6697" s="57"/>
      <c r="W6697" s="57"/>
      <c r="X6697" s="97"/>
    </row>
    <row r="6698" spans="1:24" s="75" customFormat="1" x14ac:dyDescent="0.35">
      <c r="A6698" s="75">
        <v>6694</v>
      </c>
      <c r="B6698" s="75">
        <v>6695</v>
      </c>
      <c r="C6698">
        <v>146.11028692900001</v>
      </c>
      <c r="D6698">
        <v>-17.6273152141999</v>
      </c>
      <c r="E6698" s="92">
        <f t="shared" si="12"/>
        <v>50</v>
      </c>
      <c r="I6698" s="75">
        <v>2</v>
      </c>
      <c r="J6698" s="75" t="s">
        <v>26</v>
      </c>
      <c r="K6698" s="97" t="s">
        <v>26</v>
      </c>
      <c r="L6698"/>
      <c r="M6698"/>
      <c r="N6698"/>
      <c r="O6698"/>
      <c r="P6698" s="57"/>
      <c r="Q6698" s="57"/>
      <c r="R6698" s="57"/>
      <c r="S6698" s="97"/>
      <c r="T6698" s="57"/>
      <c r="U6698" s="57"/>
      <c r="V6698" s="57"/>
      <c r="W6698" s="57"/>
      <c r="X6698" s="97"/>
    </row>
    <row r="6699" spans="1:24" s="75" customFormat="1" x14ac:dyDescent="0.35">
      <c r="A6699" s="75">
        <v>6695</v>
      </c>
      <c r="B6699" s="75">
        <v>6696</v>
      </c>
      <c r="C6699">
        <v>146.110335886</v>
      </c>
      <c r="D6699">
        <v>-17.627386996399899</v>
      </c>
      <c r="E6699" s="92" t="str">
        <f t="shared" si="12"/>
        <v/>
      </c>
      <c r="I6699" s="75">
        <v>2</v>
      </c>
      <c r="J6699" s="75" t="s">
        <v>26</v>
      </c>
      <c r="K6699" s="97" t="s">
        <v>26</v>
      </c>
      <c r="L6699"/>
      <c r="M6699"/>
      <c r="N6699"/>
      <c r="O6699"/>
      <c r="P6699" s="57"/>
      <c r="Q6699" s="57"/>
      <c r="R6699" s="57"/>
      <c r="S6699" s="97"/>
      <c r="T6699" s="57"/>
      <c r="U6699" s="57"/>
      <c r="V6699" s="57"/>
      <c r="W6699" s="57"/>
      <c r="X6699" s="97"/>
    </row>
    <row r="6700" spans="1:24" s="75" customFormat="1" x14ac:dyDescent="0.35">
      <c r="A6700" s="75">
        <v>6696</v>
      </c>
      <c r="B6700" s="75">
        <v>6697</v>
      </c>
      <c r="C6700">
        <v>146.110384842999</v>
      </c>
      <c r="D6700">
        <v>-17.6274587784999</v>
      </c>
      <c r="E6700" s="92" t="str">
        <f t="shared" si="12"/>
        <v/>
      </c>
      <c r="I6700" s="75">
        <v>2</v>
      </c>
      <c r="J6700" s="75" t="s">
        <v>26</v>
      </c>
      <c r="K6700" s="97" t="s">
        <v>26</v>
      </c>
      <c r="L6700"/>
      <c r="M6700"/>
      <c r="N6700"/>
      <c r="O6700"/>
      <c r="P6700" s="57"/>
      <c r="Q6700" s="57"/>
      <c r="R6700" s="57"/>
      <c r="S6700" s="97"/>
      <c r="T6700" s="57"/>
      <c r="U6700" s="57"/>
      <c r="V6700" s="57"/>
      <c r="W6700" s="57"/>
      <c r="X6700" s="97"/>
    </row>
    <row r="6701" spans="1:24" s="75" customFormat="1" x14ac:dyDescent="0.35">
      <c r="A6701" s="75">
        <v>6697</v>
      </c>
      <c r="B6701" s="75">
        <v>6698</v>
      </c>
      <c r="C6701">
        <v>146.11043536400001</v>
      </c>
      <c r="D6701">
        <v>-17.627529322600001</v>
      </c>
      <c r="E6701" s="92" t="str">
        <f t="shared" si="12"/>
        <v/>
      </c>
      <c r="I6701" s="75">
        <v>2</v>
      </c>
      <c r="J6701" s="75" t="s">
        <v>26</v>
      </c>
      <c r="K6701" s="97" t="s">
        <v>26</v>
      </c>
      <c r="L6701"/>
      <c r="M6701"/>
      <c r="N6701"/>
      <c r="O6701"/>
      <c r="P6701" s="57"/>
      <c r="Q6701" s="57"/>
      <c r="R6701" s="57"/>
      <c r="S6701" s="97"/>
      <c r="T6701" s="57"/>
      <c r="U6701" s="57"/>
      <c r="V6701" s="57"/>
      <c r="W6701" s="57"/>
      <c r="X6701" s="97"/>
    </row>
    <row r="6702" spans="1:24" s="75" customFormat="1" x14ac:dyDescent="0.35">
      <c r="A6702" s="75">
        <v>6698</v>
      </c>
      <c r="B6702" s="75">
        <v>6699</v>
      </c>
      <c r="C6702">
        <v>146.110500422</v>
      </c>
      <c r="D6702">
        <v>-17.627588359299899</v>
      </c>
      <c r="E6702" s="92" t="str">
        <f t="shared" si="12"/>
        <v/>
      </c>
      <c r="I6702" s="75">
        <v>2</v>
      </c>
      <c r="J6702" s="75" t="s">
        <v>26</v>
      </c>
      <c r="K6702" s="97" t="s">
        <v>26</v>
      </c>
      <c r="L6702"/>
      <c r="M6702"/>
      <c r="N6702"/>
      <c r="O6702"/>
      <c r="P6702" s="57"/>
      <c r="Q6702" s="57"/>
      <c r="R6702" s="57"/>
      <c r="S6702" s="97"/>
      <c r="T6702" s="57"/>
      <c r="U6702" s="57"/>
      <c r="V6702" s="57"/>
      <c r="W6702" s="57"/>
      <c r="X6702" s="97"/>
    </row>
    <row r="6703" spans="1:24" s="75" customFormat="1" x14ac:dyDescent="0.35">
      <c r="A6703" s="75">
        <v>6699</v>
      </c>
      <c r="B6703" s="75">
        <v>6700</v>
      </c>
      <c r="C6703">
        <v>146.110565479</v>
      </c>
      <c r="D6703">
        <v>-17.627647396</v>
      </c>
      <c r="E6703" s="92">
        <f t="shared" si="12"/>
        <v>50</v>
      </c>
      <c r="I6703" s="75">
        <v>2</v>
      </c>
      <c r="J6703" s="75" t="s">
        <v>26</v>
      </c>
      <c r="K6703" s="97" t="s">
        <v>26</v>
      </c>
      <c r="L6703"/>
      <c r="M6703"/>
      <c r="N6703"/>
      <c r="O6703"/>
      <c r="P6703" s="57"/>
      <c r="Q6703" s="57"/>
      <c r="R6703" s="57"/>
      <c r="S6703" s="97"/>
      <c r="T6703" s="57"/>
      <c r="U6703" s="57"/>
      <c r="V6703" s="57"/>
      <c r="W6703" s="57"/>
      <c r="X6703" s="97"/>
    </row>
    <row r="6704" spans="1:24" s="75" customFormat="1" x14ac:dyDescent="0.35">
      <c r="A6704" s="75">
        <v>6700</v>
      </c>
      <c r="B6704" s="75">
        <v>6701</v>
      </c>
      <c r="C6704">
        <v>146.110630536999</v>
      </c>
      <c r="D6704">
        <v>-17.6277064326</v>
      </c>
      <c r="E6704" s="92" t="str">
        <f t="shared" si="12"/>
        <v/>
      </c>
      <c r="I6704" s="75">
        <v>2</v>
      </c>
      <c r="J6704" s="75" t="s">
        <v>26</v>
      </c>
      <c r="K6704" s="97" t="s">
        <v>26</v>
      </c>
      <c r="L6704"/>
      <c r="M6704"/>
      <c r="N6704"/>
      <c r="O6704"/>
      <c r="P6704" s="57"/>
      <c r="Q6704" s="57"/>
      <c r="R6704" s="57"/>
      <c r="S6704" s="97"/>
      <c r="T6704" s="57"/>
      <c r="U6704" s="57"/>
      <c r="V6704" s="57"/>
      <c r="W6704" s="57"/>
      <c r="X6704" s="97"/>
    </row>
    <row r="6705" spans="1:24" s="75" customFormat="1" x14ac:dyDescent="0.35">
      <c r="A6705" s="75">
        <v>6701</v>
      </c>
      <c r="B6705" s="75">
        <v>6702</v>
      </c>
      <c r="C6705">
        <v>146.110695593999</v>
      </c>
      <c r="D6705">
        <v>-17.627765469300002</v>
      </c>
      <c r="E6705" s="92" t="str">
        <f t="shared" si="12"/>
        <v/>
      </c>
      <c r="I6705" s="75">
        <v>2</v>
      </c>
      <c r="J6705" s="75" t="s">
        <v>26</v>
      </c>
      <c r="K6705" s="97" t="s">
        <v>26</v>
      </c>
      <c r="L6705"/>
      <c r="M6705"/>
      <c r="N6705"/>
      <c r="O6705"/>
      <c r="P6705" s="57"/>
      <c r="Q6705" s="57"/>
      <c r="R6705" s="57"/>
      <c r="S6705" s="97"/>
      <c r="T6705" s="57"/>
      <c r="U6705" s="57"/>
      <c r="V6705" s="57"/>
      <c r="W6705" s="57"/>
      <c r="X6705" s="97"/>
    </row>
    <row r="6706" spans="1:24" s="75" customFormat="1" x14ac:dyDescent="0.35">
      <c r="A6706" s="75">
        <v>6702</v>
      </c>
      <c r="B6706" s="75">
        <v>6703</v>
      </c>
      <c r="C6706">
        <v>146.11076029399899</v>
      </c>
      <c r="D6706">
        <v>-17.627824835399899</v>
      </c>
      <c r="E6706" s="92" t="str">
        <f t="shared" si="12"/>
        <v/>
      </c>
      <c r="I6706" s="75">
        <v>2</v>
      </c>
      <c r="J6706" s="75" t="s">
        <v>26</v>
      </c>
      <c r="K6706" s="97" t="s">
        <v>26</v>
      </c>
      <c r="L6706"/>
      <c r="M6706"/>
      <c r="N6706"/>
      <c r="O6706"/>
      <c r="P6706" s="57"/>
      <c r="Q6706" s="57"/>
      <c r="R6706" s="57"/>
      <c r="S6706" s="97"/>
      <c r="T6706" s="57"/>
      <c r="U6706" s="57"/>
      <c r="V6706" s="57"/>
      <c r="W6706" s="57"/>
      <c r="X6706" s="97"/>
    </row>
    <row r="6707" spans="1:24" s="75" customFormat="1" x14ac:dyDescent="0.35">
      <c r="A6707" s="75">
        <v>6703</v>
      </c>
      <c r="B6707" s="75">
        <v>6704</v>
      </c>
      <c r="C6707">
        <v>146.11082001899899</v>
      </c>
      <c r="D6707">
        <v>-17.6278887868</v>
      </c>
      <c r="E6707" s="92" t="str">
        <f t="shared" si="12"/>
        <v/>
      </c>
      <c r="I6707" s="75">
        <v>2</v>
      </c>
      <c r="J6707" s="75" t="s">
        <v>26</v>
      </c>
      <c r="K6707" s="97" t="s">
        <v>26</v>
      </c>
      <c r="L6707"/>
      <c r="M6707"/>
      <c r="N6707"/>
      <c r="O6707"/>
      <c r="P6707" s="57"/>
      <c r="Q6707" s="57"/>
      <c r="R6707" s="57"/>
      <c r="S6707" s="97"/>
      <c r="T6707" s="57"/>
      <c r="U6707" s="57"/>
      <c r="V6707" s="57"/>
      <c r="W6707" s="57"/>
      <c r="X6707" s="97"/>
    </row>
    <row r="6708" spans="1:24" s="75" customFormat="1" x14ac:dyDescent="0.35">
      <c r="A6708" s="75">
        <v>6704</v>
      </c>
      <c r="B6708" s="75">
        <v>6705</v>
      </c>
      <c r="C6708">
        <v>146.110879742999</v>
      </c>
      <c r="D6708">
        <v>-17.627952738200001</v>
      </c>
      <c r="E6708" s="92">
        <f t="shared" si="12"/>
        <v>50</v>
      </c>
      <c r="I6708" s="75">
        <v>2</v>
      </c>
      <c r="J6708" s="75" t="s">
        <v>26</v>
      </c>
      <c r="K6708" s="97" t="s">
        <v>26</v>
      </c>
      <c r="L6708"/>
      <c r="M6708"/>
      <c r="N6708"/>
      <c r="O6708"/>
      <c r="P6708" s="57"/>
      <c r="Q6708" s="57"/>
      <c r="R6708" s="57"/>
      <c r="S6708" s="97"/>
      <c r="T6708" s="57"/>
      <c r="U6708" s="57"/>
      <c r="V6708" s="57"/>
      <c r="W6708" s="57"/>
      <c r="X6708" s="97"/>
    </row>
    <row r="6709" spans="1:24" s="75" customFormat="1" x14ac:dyDescent="0.35">
      <c r="A6709" s="75">
        <v>6705</v>
      </c>
      <c r="B6709" s="75">
        <v>6706</v>
      </c>
      <c r="C6709">
        <v>146.11093946700001</v>
      </c>
      <c r="D6709">
        <v>-17.628016689500001</v>
      </c>
      <c r="E6709" s="92" t="str">
        <f t="shared" si="12"/>
        <v/>
      </c>
      <c r="I6709" s="75">
        <v>2</v>
      </c>
      <c r="J6709" s="75" t="s">
        <v>26</v>
      </c>
      <c r="K6709" s="97" t="s">
        <v>26</v>
      </c>
      <c r="L6709"/>
      <c r="M6709"/>
      <c r="N6709"/>
      <c r="O6709"/>
      <c r="P6709" s="57"/>
      <c r="Q6709" s="57"/>
      <c r="R6709" s="57"/>
      <c r="S6709" s="97"/>
      <c r="T6709" s="57"/>
      <c r="U6709" s="57"/>
      <c r="V6709" s="57"/>
      <c r="W6709" s="57"/>
      <c r="X6709" s="97"/>
    </row>
    <row r="6710" spans="1:24" s="75" customFormat="1" x14ac:dyDescent="0.35">
      <c r="A6710" s="75">
        <v>6706</v>
      </c>
      <c r="B6710" s="75">
        <v>6707</v>
      </c>
      <c r="C6710">
        <v>146.110999190999</v>
      </c>
      <c r="D6710">
        <v>-17.628080640899899</v>
      </c>
      <c r="E6710" s="92" t="str">
        <f t="shared" si="12"/>
        <v/>
      </c>
      <c r="I6710" s="75">
        <v>2</v>
      </c>
      <c r="J6710" s="75" t="s">
        <v>26</v>
      </c>
      <c r="K6710" s="97" t="s">
        <v>26</v>
      </c>
      <c r="L6710"/>
      <c r="M6710"/>
      <c r="N6710"/>
      <c r="O6710"/>
      <c r="P6710" s="57"/>
      <c r="Q6710" s="57"/>
      <c r="R6710" s="57"/>
      <c r="S6710" s="97"/>
      <c r="T6710" s="57"/>
      <c r="U6710" s="57"/>
      <c r="V6710" s="57"/>
      <c r="W6710" s="57"/>
      <c r="X6710" s="97"/>
    </row>
    <row r="6711" spans="1:24" s="75" customFormat="1" x14ac:dyDescent="0.35">
      <c r="A6711" s="75">
        <v>6707</v>
      </c>
      <c r="B6711" s="75">
        <v>6708</v>
      </c>
      <c r="C6711">
        <v>146.111058915</v>
      </c>
      <c r="D6711">
        <v>-17.628144592200002</v>
      </c>
      <c r="E6711" s="92" t="str">
        <f t="shared" si="12"/>
        <v/>
      </c>
      <c r="I6711" s="75">
        <v>2</v>
      </c>
      <c r="J6711" s="75" t="s">
        <v>26</v>
      </c>
      <c r="K6711" s="97" t="s">
        <v>26</v>
      </c>
      <c r="L6711"/>
      <c r="M6711"/>
      <c r="N6711"/>
      <c r="O6711"/>
      <c r="P6711" s="57"/>
      <c r="Q6711" s="57"/>
      <c r="R6711" s="57"/>
      <c r="S6711" s="97"/>
      <c r="T6711" s="57"/>
      <c r="U6711" s="57"/>
      <c r="V6711" s="57"/>
      <c r="W6711" s="57"/>
      <c r="X6711" s="97"/>
    </row>
    <row r="6712" spans="1:24" s="75" customFormat="1" x14ac:dyDescent="0.35">
      <c r="A6712" s="75">
        <v>6708</v>
      </c>
      <c r="B6712" s="75">
        <v>6709</v>
      </c>
      <c r="C6712">
        <v>146.11111864</v>
      </c>
      <c r="D6712">
        <v>-17.628208543500001</v>
      </c>
      <c r="E6712" s="92" t="str">
        <f t="shared" si="12"/>
        <v/>
      </c>
      <c r="I6712" s="75">
        <v>2</v>
      </c>
      <c r="J6712" s="75" t="s">
        <v>26</v>
      </c>
      <c r="K6712" s="97" t="s">
        <v>26</v>
      </c>
      <c r="L6712"/>
      <c r="M6712"/>
      <c r="N6712"/>
      <c r="O6712"/>
      <c r="P6712" s="57"/>
      <c r="Q6712" s="57"/>
      <c r="R6712" s="57"/>
      <c r="S6712" s="97"/>
      <c r="T6712" s="57"/>
      <c r="U6712" s="57"/>
      <c r="V6712" s="57"/>
      <c r="W6712" s="57"/>
      <c r="X6712" s="97"/>
    </row>
    <row r="6713" spans="1:24" s="75" customFormat="1" x14ac:dyDescent="0.35">
      <c r="A6713" s="75">
        <v>6709</v>
      </c>
      <c r="B6713" s="75">
        <v>6710</v>
      </c>
      <c r="C6713">
        <v>146.11117836400001</v>
      </c>
      <c r="D6713">
        <v>-17.628272494800001</v>
      </c>
      <c r="E6713" s="92">
        <f t="shared" si="12"/>
        <v>50</v>
      </c>
      <c r="I6713" s="75">
        <v>2</v>
      </c>
      <c r="J6713" s="75" t="s">
        <v>26</v>
      </c>
      <c r="K6713" s="97" t="s">
        <v>26</v>
      </c>
      <c r="L6713"/>
      <c r="M6713"/>
      <c r="N6713"/>
      <c r="O6713"/>
      <c r="P6713" s="57"/>
      <c r="Q6713" s="57"/>
      <c r="R6713" s="57"/>
      <c r="S6713" s="97"/>
      <c r="T6713" s="57"/>
      <c r="U6713" s="57"/>
      <c r="V6713" s="57"/>
      <c r="W6713" s="57"/>
      <c r="X6713" s="97"/>
    </row>
    <row r="6714" spans="1:24" s="75" customFormat="1" x14ac:dyDescent="0.35">
      <c r="A6714" s="75">
        <v>6710</v>
      </c>
      <c r="B6714" s="75">
        <v>6711</v>
      </c>
      <c r="C6714">
        <v>146.111238087999</v>
      </c>
      <c r="D6714">
        <v>-17.628336446100001</v>
      </c>
      <c r="E6714" s="92" t="str">
        <f t="shared" si="12"/>
        <v/>
      </c>
      <c r="I6714" s="75">
        <v>2</v>
      </c>
      <c r="J6714" s="75" t="s">
        <v>26</v>
      </c>
      <c r="K6714" s="97" t="s">
        <v>26</v>
      </c>
      <c r="L6714"/>
      <c r="M6714"/>
      <c r="N6714"/>
      <c r="O6714"/>
      <c r="P6714" s="57"/>
      <c r="Q6714" s="57"/>
      <c r="R6714" s="57"/>
      <c r="S6714" s="97"/>
      <c r="T6714" s="57"/>
      <c r="U6714" s="57"/>
      <c r="V6714" s="57"/>
      <c r="W6714" s="57"/>
      <c r="X6714" s="97"/>
    </row>
    <row r="6715" spans="1:24" s="75" customFormat="1" x14ac:dyDescent="0.35">
      <c r="A6715" s="75">
        <v>6711</v>
      </c>
      <c r="B6715" s="75">
        <v>6712</v>
      </c>
      <c r="C6715">
        <v>146.111297812</v>
      </c>
      <c r="D6715">
        <v>-17.628400397299899</v>
      </c>
      <c r="E6715" s="92" t="str">
        <f t="shared" si="12"/>
        <v/>
      </c>
      <c r="I6715" s="75">
        <v>2</v>
      </c>
      <c r="J6715" s="75" t="s">
        <v>26</v>
      </c>
      <c r="K6715" s="97" t="s">
        <v>26</v>
      </c>
      <c r="L6715"/>
      <c r="M6715"/>
      <c r="N6715"/>
      <c r="O6715"/>
      <c r="P6715" s="57"/>
      <c r="Q6715" s="57"/>
      <c r="R6715" s="57"/>
      <c r="S6715" s="97"/>
      <c r="T6715" s="57"/>
      <c r="U6715" s="57"/>
      <c r="V6715" s="57"/>
      <c r="W6715" s="57"/>
      <c r="X6715" s="97"/>
    </row>
    <row r="6716" spans="1:24" s="75" customFormat="1" x14ac:dyDescent="0.35">
      <c r="A6716" s="75">
        <v>6712</v>
      </c>
      <c r="B6716" s="75">
        <v>6713</v>
      </c>
      <c r="C6716">
        <v>146.111357537</v>
      </c>
      <c r="D6716">
        <v>-17.6284643485</v>
      </c>
      <c r="E6716" s="92" t="str">
        <f t="shared" si="12"/>
        <v/>
      </c>
      <c r="I6716" s="75">
        <v>2</v>
      </c>
      <c r="J6716" s="75" t="s">
        <v>26</v>
      </c>
      <c r="K6716" s="97" t="s">
        <v>26</v>
      </c>
      <c r="L6716"/>
      <c r="M6716"/>
      <c r="N6716"/>
      <c r="O6716"/>
      <c r="P6716" s="57"/>
      <c r="Q6716" s="57"/>
      <c r="R6716" s="57"/>
      <c r="S6716" s="97"/>
      <c r="T6716" s="57"/>
      <c r="U6716" s="57"/>
      <c r="V6716" s="57"/>
      <c r="W6716" s="57"/>
      <c r="X6716" s="97"/>
    </row>
    <row r="6717" spans="1:24" s="75" customFormat="1" x14ac:dyDescent="0.35">
      <c r="A6717" s="75">
        <v>6713</v>
      </c>
      <c r="B6717" s="75">
        <v>6714</v>
      </c>
      <c r="C6717">
        <v>146.11141726100001</v>
      </c>
      <c r="D6717">
        <v>-17.628528299700001</v>
      </c>
      <c r="E6717" s="92" t="str">
        <f t="shared" si="12"/>
        <v/>
      </c>
      <c r="I6717" s="75">
        <v>2</v>
      </c>
      <c r="J6717" s="75" t="s">
        <v>26</v>
      </c>
      <c r="K6717" s="97" t="s">
        <v>26</v>
      </c>
      <c r="L6717"/>
      <c r="M6717"/>
      <c r="N6717"/>
      <c r="O6717"/>
      <c r="P6717" s="57"/>
      <c r="Q6717" s="57"/>
      <c r="R6717" s="57"/>
      <c r="S6717" s="97"/>
      <c r="T6717" s="57"/>
      <c r="U6717" s="57"/>
      <c r="V6717" s="57"/>
      <c r="W6717" s="57"/>
      <c r="X6717" s="97"/>
    </row>
    <row r="6718" spans="1:24" s="75" customFormat="1" x14ac:dyDescent="0.35">
      <c r="A6718" s="75">
        <v>6714</v>
      </c>
      <c r="B6718" s="75">
        <v>6715</v>
      </c>
      <c r="C6718">
        <v>146.111476984999</v>
      </c>
      <c r="D6718">
        <v>-17.628592250899899</v>
      </c>
      <c r="E6718" s="92">
        <f t="shared" si="12"/>
        <v>50</v>
      </c>
      <c r="I6718" s="75">
        <v>2</v>
      </c>
      <c r="J6718" s="75" t="s">
        <v>26</v>
      </c>
      <c r="K6718" s="97" t="s">
        <v>26</v>
      </c>
      <c r="L6718"/>
      <c r="M6718"/>
      <c r="N6718"/>
      <c r="O6718"/>
      <c r="P6718" s="57"/>
      <c r="Q6718" s="57"/>
      <c r="R6718" s="57"/>
      <c r="S6718" s="97"/>
      <c r="T6718" s="57"/>
      <c r="U6718" s="57"/>
      <c r="V6718" s="57"/>
      <c r="W6718" s="57"/>
      <c r="X6718" s="97"/>
    </row>
    <row r="6719" spans="1:24" s="75" customFormat="1" x14ac:dyDescent="0.35">
      <c r="A6719" s="75">
        <v>6715</v>
      </c>
      <c r="B6719" s="75">
        <v>6716</v>
      </c>
      <c r="C6719">
        <v>146.11153907400001</v>
      </c>
      <c r="D6719">
        <v>-17.6286536982999</v>
      </c>
      <c r="E6719" s="92" t="str">
        <f t="shared" si="12"/>
        <v/>
      </c>
      <c r="I6719" s="75">
        <v>2</v>
      </c>
      <c r="J6719" s="75" t="s">
        <v>26</v>
      </c>
      <c r="K6719" s="97" t="s">
        <v>26</v>
      </c>
      <c r="L6719"/>
      <c r="M6719"/>
      <c r="N6719"/>
      <c r="O6719"/>
      <c r="P6719" s="57"/>
      <c r="Q6719" s="57"/>
      <c r="R6719" s="57"/>
      <c r="S6719" s="97"/>
      <c r="T6719" s="57"/>
      <c r="U6719" s="57"/>
      <c r="V6719" s="57"/>
      <c r="W6719" s="57"/>
      <c r="X6719" s="97"/>
    </row>
    <row r="6720" spans="1:24" s="75" customFormat="1" x14ac:dyDescent="0.35">
      <c r="A6720" s="75">
        <v>6716</v>
      </c>
      <c r="B6720" s="75">
        <v>6717</v>
      </c>
      <c r="C6720">
        <v>146.11161206899899</v>
      </c>
      <c r="D6720">
        <v>-17.628703598600001</v>
      </c>
      <c r="E6720" s="92" t="str">
        <f t="shared" si="12"/>
        <v/>
      </c>
      <c r="I6720" s="75">
        <v>2</v>
      </c>
      <c r="J6720" s="75" t="s">
        <v>26</v>
      </c>
      <c r="K6720" s="97" t="s">
        <v>26</v>
      </c>
      <c r="L6720"/>
      <c r="M6720"/>
      <c r="N6720"/>
      <c r="O6720"/>
      <c r="P6720" s="57"/>
      <c r="Q6720" s="57"/>
      <c r="R6720" s="57"/>
      <c r="S6720" s="97"/>
      <c r="T6720" s="57"/>
      <c r="U6720" s="57"/>
      <c r="V6720" s="57"/>
      <c r="W6720" s="57"/>
      <c r="X6720" s="97"/>
    </row>
    <row r="6721" spans="1:24" s="75" customFormat="1" x14ac:dyDescent="0.35">
      <c r="A6721" s="75">
        <v>6717</v>
      </c>
      <c r="B6721" s="75">
        <v>6718</v>
      </c>
      <c r="C6721">
        <v>146.11168506300001</v>
      </c>
      <c r="D6721">
        <v>-17.628753498999899</v>
      </c>
      <c r="E6721" s="92" t="str">
        <f t="shared" si="12"/>
        <v/>
      </c>
      <c r="I6721" s="75">
        <v>2</v>
      </c>
      <c r="J6721" s="75" t="s">
        <v>26</v>
      </c>
      <c r="K6721" s="97" t="s">
        <v>26</v>
      </c>
      <c r="L6721"/>
      <c r="M6721"/>
      <c r="N6721"/>
      <c r="O6721"/>
      <c r="P6721" s="57"/>
      <c r="Q6721" s="57"/>
      <c r="R6721" s="57"/>
      <c r="S6721" s="97"/>
      <c r="T6721" s="57"/>
      <c r="U6721" s="57"/>
      <c r="V6721" s="57"/>
      <c r="W6721" s="57"/>
      <c r="X6721" s="97"/>
    </row>
    <row r="6722" spans="1:24" s="75" customFormat="1" x14ac:dyDescent="0.35">
      <c r="A6722" s="75">
        <v>6718</v>
      </c>
      <c r="B6722" s="75">
        <v>6719</v>
      </c>
      <c r="C6722">
        <v>146.111758057999</v>
      </c>
      <c r="D6722">
        <v>-17.628803399300001</v>
      </c>
      <c r="E6722" s="92" t="str">
        <f t="shared" si="12"/>
        <v/>
      </c>
      <c r="I6722" s="75">
        <v>2</v>
      </c>
      <c r="J6722" s="75" t="s">
        <v>26</v>
      </c>
      <c r="K6722" s="97" t="s">
        <v>26</v>
      </c>
      <c r="L6722"/>
      <c r="M6722"/>
      <c r="N6722"/>
      <c r="O6722"/>
      <c r="P6722" s="57"/>
      <c r="Q6722" s="57"/>
      <c r="R6722" s="57"/>
      <c r="S6722" s="97"/>
      <c r="T6722" s="57"/>
      <c r="U6722" s="57"/>
      <c r="V6722" s="57"/>
      <c r="W6722" s="57"/>
      <c r="X6722" s="97"/>
    </row>
    <row r="6723" spans="1:24" s="75" customFormat="1" x14ac:dyDescent="0.35">
      <c r="A6723" s="75">
        <v>6719</v>
      </c>
      <c r="B6723" s="75">
        <v>6720</v>
      </c>
      <c r="C6723">
        <v>146.111831053</v>
      </c>
      <c r="D6723">
        <v>-17.6288532995999</v>
      </c>
      <c r="E6723" s="92">
        <f t="shared" si="12"/>
        <v>50</v>
      </c>
      <c r="I6723" s="75">
        <v>2</v>
      </c>
      <c r="J6723" s="75" t="s">
        <v>26</v>
      </c>
      <c r="K6723" s="97" t="s">
        <v>26</v>
      </c>
      <c r="L6723"/>
      <c r="M6723"/>
      <c r="N6723"/>
      <c r="O6723"/>
      <c r="P6723" s="57"/>
      <c r="Q6723" s="57"/>
      <c r="R6723" s="57"/>
      <c r="S6723" s="97"/>
      <c r="T6723" s="57"/>
      <c r="U6723" s="57"/>
      <c r="V6723" s="57"/>
      <c r="W6723" s="57"/>
      <c r="X6723" s="97"/>
    </row>
    <row r="6724" spans="1:24" s="75" customFormat="1" x14ac:dyDescent="0.35">
      <c r="A6724" s="75">
        <v>6720</v>
      </c>
      <c r="B6724" s="75">
        <v>6721</v>
      </c>
      <c r="C6724">
        <v>146.111904046999</v>
      </c>
      <c r="D6724">
        <v>-17.628903199900002</v>
      </c>
      <c r="E6724" s="92" t="str">
        <f t="shared" si="12"/>
        <v/>
      </c>
      <c r="I6724" s="75">
        <v>2</v>
      </c>
      <c r="J6724" s="75" t="s">
        <v>26</v>
      </c>
      <c r="K6724" s="97" t="s">
        <v>26</v>
      </c>
      <c r="L6724"/>
      <c r="M6724"/>
      <c r="N6724"/>
      <c r="O6724"/>
      <c r="P6724" s="57"/>
      <c r="Q6724" s="57"/>
      <c r="R6724" s="57"/>
      <c r="S6724" s="97"/>
      <c r="T6724" s="57"/>
      <c r="U6724" s="57"/>
      <c r="V6724" s="57"/>
      <c r="W6724" s="57"/>
      <c r="X6724" s="97"/>
    </row>
    <row r="6725" spans="1:24" s="75" customFormat="1" x14ac:dyDescent="0.35">
      <c r="A6725" s="75">
        <v>6721</v>
      </c>
      <c r="B6725" s="75">
        <v>6722</v>
      </c>
      <c r="C6725">
        <v>146.11197704200001</v>
      </c>
      <c r="D6725">
        <v>-17.6289531002</v>
      </c>
      <c r="E6725" s="92" t="str">
        <f t="shared" si="12"/>
        <v/>
      </c>
      <c r="I6725" s="75">
        <v>2</v>
      </c>
      <c r="J6725" s="75" t="s">
        <v>26</v>
      </c>
      <c r="K6725" s="97" t="s">
        <v>26</v>
      </c>
      <c r="L6725"/>
      <c r="M6725"/>
      <c r="N6725"/>
      <c r="O6725"/>
      <c r="P6725" s="57"/>
      <c r="Q6725" s="57"/>
      <c r="R6725" s="57"/>
      <c r="S6725" s="97"/>
      <c r="T6725" s="57"/>
      <c r="U6725" s="57"/>
      <c r="V6725" s="57"/>
      <c r="W6725" s="57"/>
      <c r="X6725" s="97"/>
    </row>
    <row r="6726" spans="1:24" s="75" customFormat="1" x14ac:dyDescent="0.35">
      <c r="A6726" s="75">
        <v>6722</v>
      </c>
      <c r="B6726" s="75">
        <v>6723</v>
      </c>
      <c r="C6726">
        <v>146.11205003699899</v>
      </c>
      <c r="D6726">
        <v>-17.6290030004999</v>
      </c>
      <c r="E6726" s="92" t="str">
        <f t="shared" si="12"/>
        <v/>
      </c>
      <c r="I6726" s="75">
        <v>2</v>
      </c>
      <c r="J6726" s="75" t="s">
        <v>26</v>
      </c>
      <c r="K6726" s="97" t="s">
        <v>26</v>
      </c>
      <c r="L6726"/>
      <c r="M6726"/>
      <c r="N6726"/>
      <c r="O6726"/>
      <c r="P6726" s="57"/>
      <c r="Q6726" s="57"/>
      <c r="R6726" s="57"/>
      <c r="S6726" s="97"/>
      <c r="T6726" s="57"/>
      <c r="U6726" s="57"/>
      <c r="V6726" s="57"/>
      <c r="W6726" s="57"/>
      <c r="X6726" s="97"/>
    </row>
    <row r="6727" spans="1:24" s="75" customFormat="1" x14ac:dyDescent="0.35">
      <c r="A6727" s="75">
        <v>6723</v>
      </c>
      <c r="B6727" s="75">
        <v>6724</v>
      </c>
      <c r="C6727">
        <v>146.11212303100001</v>
      </c>
      <c r="D6727">
        <v>-17.629052900800001</v>
      </c>
      <c r="E6727" s="92" t="str">
        <f t="shared" si="12"/>
        <v/>
      </c>
      <c r="I6727" s="75">
        <v>2</v>
      </c>
      <c r="J6727" s="75" t="s">
        <v>26</v>
      </c>
      <c r="K6727" s="97" t="s">
        <v>26</v>
      </c>
      <c r="L6727"/>
      <c r="M6727"/>
      <c r="N6727"/>
      <c r="O6727"/>
      <c r="P6727" s="57"/>
      <c r="Q6727" s="57"/>
      <c r="R6727" s="57"/>
      <c r="S6727" s="97"/>
      <c r="T6727" s="57"/>
      <c r="U6727" s="57"/>
      <c r="V6727" s="57"/>
      <c r="W6727" s="57"/>
      <c r="X6727" s="97"/>
    </row>
    <row r="6728" spans="1:24" s="75" customFormat="1" x14ac:dyDescent="0.35">
      <c r="A6728" s="75">
        <v>6724</v>
      </c>
      <c r="B6728" s="75">
        <v>6725</v>
      </c>
      <c r="C6728">
        <v>146.112196025999</v>
      </c>
      <c r="D6728">
        <v>-17.629102800999899</v>
      </c>
      <c r="E6728" s="92">
        <f t="shared" si="12"/>
        <v>50</v>
      </c>
      <c r="I6728" s="75">
        <v>2</v>
      </c>
      <c r="J6728" s="75" t="s">
        <v>26</v>
      </c>
      <c r="K6728" s="97" t="s">
        <v>26</v>
      </c>
      <c r="L6728"/>
      <c r="M6728"/>
      <c r="N6728"/>
      <c r="O6728"/>
      <c r="P6728" s="57"/>
      <c r="Q6728" s="57"/>
      <c r="R6728" s="57"/>
      <c r="S6728" s="97"/>
      <c r="T6728" s="57"/>
      <c r="U6728" s="57"/>
      <c r="V6728" s="57"/>
      <c r="W6728" s="57"/>
      <c r="X6728" s="97"/>
    </row>
    <row r="6729" spans="1:24" s="75" customFormat="1" x14ac:dyDescent="0.35">
      <c r="A6729" s="75">
        <v>6725</v>
      </c>
      <c r="B6729" s="75">
        <v>6726</v>
      </c>
      <c r="C6729">
        <v>146.112276452999</v>
      </c>
      <c r="D6729">
        <v>-17.6291391868</v>
      </c>
      <c r="E6729" s="92" t="str">
        <f t="shared" si="12"/>
        <v/>
      </c>
      <c r="I6729" s="75">
        <v>2</v>
      </c>
      <c r="J6729" s="75" t="s">
        <v>26</v>
      </c>
      <c r="K6729" s="97" t="s">
        <v>26</v>
      </c>
      <c r="L6729"/>
      <c r="M6729"/>
      <c r="N6729"/>
      <c r="O6729"/>
      <c r="P6729" s="57"/>
      <c r="Q6729" s="57"/>
      <c r="R6729" s="57"/>
      <c r="S6729" s="97"/>
      <c r="T6729" s="57"/>
      <c r="U6729" s="57"/>
      <c r="V6729" s="57"/>
      <c r="W6729" s="57"/>
      <c r="X6729" s="97"/>
    </row>
    <row r="6730" spans="1:24" s="75" customFormat="1" x14ac:dyDescent="0.35">
      <c r="A6730" s="75">
        <v>6726</v>
      </c>
      <c r="B6730" s="75">
        <v>6727</v>
      </c>
      <c r="C6730">
        <v>146.11236116699899</v>
      </c>
      <c r="D6730">
        <v>-17.629167163200002</v>
      </c>
      <c r="E6730" s="92" t="str">
        <f t="shared" si="12"/>
        <v/>
      </c>
      <c r="I6730" s="75">
        <v>2</v>
      </c>
      <c r="J6730" s="75" t="s">
        <v>26</v>
      </c>
      <c r="K6730" s="97" t="s">
        <v>26</v>
      </c>
      <c r="L6730"/>
      <c r="M6730"/>
      <c r="N6730"/>
      <c r="O6730"/>
      <c r="P6730" s="57"/>
      <c r="Q6730" s="57"/>
      <c r="R6730" s="57"/>
      <c r="S6730" s="97"/>
      <c r="T6730" s="57"/>
      <c r="U6730" s="57"/>
      <c r="V6730" s="57"/>
      <c r="W6730" s="57"/>
      <c r="X6730" s="97"/>
    </row>
    <row r="6731" spans="1:24" s="75" customFormat="1" x14ac:dyDescent="0.35">
      <c r="A6731" s="75">
        <v>6727</v>
      </c>
      <c r="B6731" s="75">
        <v>6728</v>
      </c>
      <c r="C6731">
        <v>146.112450824999</v>
      </c>
      <c r="D6731">
        <v>-17.6291618365</v>
      </c>
      <c r="E6731" s="92" t="str">
        <f t="shared" si="12"/>
        <v/>
      </c>
      <c r="I6731" s="75">
        <v>2</v>
      </c>
      <c r="J6731" s="75" t="s">
        <v>26</v>
      </c>
      <c r="K6731" s="97" t="s">
        <v>26</v>
      </c>
      <c r="L6731"/>
      <c r="M6731"/>
      <c r="N6731"/>
      <c r="O6731"/>
      <c r="P6731" s="57"/>
      <c r="Q6731" s="57"/>
      <c r="R6731" s="57"/>
      <c r="S6731" s="97"/>
      <c r="T6731" s="57"/>
      <c r="U6731" s="57"/>
      <c r="V6731" s="57"/>
      <c r="W6731" s="57"/>
      <c r="X6731" s="97"/>
    </row>
    <row r="6732" spans="1:24" s="75" customFormat="1" x14ac:dyDescent="0.35">
      <c r="A6732" s="75">
        <v>6728</v>
      </c>
      <c r="B6732" s="75">
        <v>6729</v>
      </c>
      <c r="C6732">
        <v>146.112511119</v>
      </c>
      <c r="D6732">
        <v>-17.629102533400001</v>
      </c>
      <c r="E6732" s="92" t="str">
        <f t="shared" si="12"/>
        <v/>
      </c>
      <c r="I6732" s="75">
        <v>2</v>
      </c>
      <c r="J6732" s="75" t="s">
        <v>26</v>
      </c>
      <c r="K6732" s="97" t="s">
        <v>26</v>
      </c>
      <c r="L6732"/>
      <c r="M6732"/>
      <c r="N6732"/>
      <c r="O6732"/>
      <c r="P6732" s="57"/>
      <c r="Q6732" s="57"/>
      <c r="R6732" s="57"/>
      <c r="S6732" s="97"/>
      <c r="T6732" s="57"/>
      <c r="U6732" s="57"/>
      <c r="V6732" s="57"/>
      <c r="W6732" s="57"/>
      <c r="X6732" s="97"/>
    </row>
    <row r="6733" spans="1:24" s="75" customFormat="1" x14ac:dyDescent="0.35">
      <c r="A6733" s="75">
        <v>6729</v>
      </c>
      <c r="B6733" s="75">
        <v>6730</v>
      </c>
      <c r="C6733">
        <v>146.112562018999</v>
      </c>
      <c r="D6733">
        <v>-17.629032374600001</v>
      </c>
      <c r="E6733" s="92">
        <f t="shared" si="12"/>
        <v>50</v>
      </c>
      <c r="I6733" s="75">
        <v>2</v>
      </c>
      <c r="J6733" s="75" t="s">
        <v>26</v>
      </c>
      <c r="K6733" s="97" t="s">
        <v>26</v>
      </c>
      <c r="L6733"/>
      <c r="M6733"/>
      <c r="N6733"/>
      <c r="O6733"/>
      <c r="P6733" s="57"/>
      <c r="Q6733" s="57"/>
      <c r="R6733" s="57"/>
      <c r="S6733" s="97"/>
      <c r="T6733" s="57"/>
      <c r="U6733" s="57"/>
      <c r="V6733" s="57"/>
      <c r="W6733" s="57"/>
      <c r="X6733" s="97"/>
    </row>
    <row r="6734" spans="1:24" s="75" customFormat="1" x14ac:dyDescent="0.35">
      <c r="A6734" s="75">
        <v>6730</v>
      </c>
      <c r="B6734" s="75">
        <v>6731</v>
      </c>
      <c r="C6734">
        <v>146.112605201999</v>
      </c>
      <c r="D6734">
        <v>-17.628957302500002</v>
      </c>
      <c r="E6734" s="92" t="str">
        <f t="shared" si="12"/>
        <v/>
      </c>
      <c r="I6734" s="75">
        <v>2</v>
      </c>
      <c r="J6734" s="75" t="s">
        <v>26</v>
      </c>
      <c r="K6734" s="97" t="s">
        <v>26</v>
      </c>
      <c r="L6734"/>
      <c r="M6734"/>
      <c r="N6734"/>
      <c r="O6734"/>
      <c r="P6734" s="57"/>
      <c r="Q6734" s="57"/>
      <c r="R6734" s="57"/>
      <c r="S6734" s="97"/>
      <c r="T6734" s="57"/>
      <c r="U6734" s="57"/>
      <c r="V6734" s="57"/>
      <c r="W6734" s="57"/>
      <c r="X6734" s="97"/>
    </row>
    <row r="6735" spans="1:24" s="75" customFormat="1" x14ac:dyDescent="0.35">
      <c r="A6735" s="75">
        <v>6731</v>
      </c>
      <c r="B6735" s="75">
        <v>6732</v>
      </c>
      <c r="C6735">
        <v>146.112641553</v>
      </c>
      <c r="D6735">
        <v>-17.628879350399899</v>
      </c>
      <c r="E6735" s="92" t="str">
        <f t="shared" si="12"/>
        <v/>
      </c>
      <c r="I6735" s="75">
        <v>2</v>
      </c>
      <c r="J6735" s="75" t="s">
        <v>26</v>
      </c>
      <c r="K6735" s="97" t="s">
        <v>26</v>
      </c>
      <c r="L6735"/>
      <c r="M6735"/>
      <c r="N6735"/>
      <c r="O6735"/>
      <c r="P6735" s="57"/>
      <c r="Q6735" s="57"/>
      <c r="R6735" s="57"/>
      <c r="S6735" s="97"/>
      <c r="T6735" s="57"/>
      <c r="U6735" s="57"/>
      <c r="V6735" s="57"/>
      <c r="W6735" s="57"/>
      <c r="X6735" s="97"/>
    </row>
    <row r="6736" spans="1:24" s="75" customFormat="1" x14ac:dyDescent="0.35">
      <c r="A6736" s="75">
        <v>6732</v>
      </c>
      <c r="B6736" s="75">
        <v>6733</v>
      </c>
      <c r="C6736">
        <v>146.112670777999</v>
      </c>
      <c r="D6736">
        <v>-17.6287983948</v>
      </c>
      <c r="E6736" s="92" t="str">
        <f t="shared" ref="E6736:E6799" si="13">IF(MOD(B6736,5)=0, 50, "")</f>
        <v/>
      </c>
      <c r="I6736" s="75">
        <v>2</v>
      </c>
      <c r="J6736" s="75" t="s">
        <v>26</v>
      </c>
      <c r="K6736" s="97" t="s">
        <v>26</v>
      </c>
      <c r="L6736"/>
      <c r="M6736"/>
      <c r="N6736"/>
      <c r="O6736"/>
      <c r="P6736" s="57"/>
      <c r="Q6736" s="57"/>
      <c r="R6736" s="57"/>
      <c r="S6736" s="97"/>
      <c r="T6736" s="57"/>
      <c r="U6736" s="57"/>
      <c r="V6736" s="57"/>
      <c r="W6736" s="57"/>
      <c r="X6736" s="97"/>
    </row>
    <row r="6737" spans="1:24" s="75" customFormat="1" x14ac:dyDescent="0.35">
      <c r="A6737" s="75">
        <v>6733</v>
      </c>
      <c r="B6737" s="75">
        <v>6734</v>
      </c>
      <c r="C6737">
        <v>146.11270000299899</v>
      </c>
      <c r="D6737">
        <v>-17.6287174391999</v>
      </c>
      <c r="E6737" s="92" t="str">
        <f t="shared" si="13"/>
        <v/>
      </c>
      <c r="I6737" s="75">
        <v>2</v>
      </c>
      <c r="J6737" s="75" t="s">
        <v>26</v>
      </c>
      <c r="K6737" s="97" t="s">
        <v>26</v>
      </c>
      <c r="L6737"/>
      <c r="M6737"/>
      <c r="N6737"/>
      <c r="O6737"/>
      <c r="P6737" s="57"/>
      <c r="Q6737" s="57"/>
      <c r="R6737" s="57"/>
      <c r="S6737" s="97"/>
      <c r="T6737" s="57"/>
      <c r="U6737" s="57"/>
      <c r="V6737" s="57"/>
      <c r="W6737" s="57"/>
      <c r="X6737" s="97"/>
    </row>
    <row r="6738" spans="1:24" s="75" customFormat="1" x14ac:dyDescent="0.35">
      <c r="A6738" s="75">
        <v>6734</v>
      </c>
      <c r="B6738" s="75">
        <v>6735</v>
      </c>
      <c r="C6738">
        <v>146.11272922800001</v>
      </c>
      <c r="D6738">
        <v>-17.628636483600001</v>
      </c>
      <c r="E6738" s="92">
        <f t="shared" si="13"/>
        <v>50</v>
      </c>
      <c r="I6738" s="75">
        <v>2</v>
      </c>
      <c r="J6738" s="75" t="s">
        <v>26</v>
      </c>
      <c r="K6738" s="97" t="s">
        <v>26</v>
      </c>
      <c r="L6738"/>
      <c r="M6738"/>
      <c r="N6738"/>
      <c r="O6738"/>
      <c r="P6738" s="57"/>
      <c r="Q6738" s="57"/>
      <c r="R6738" s="57"/>
      <c r="S6738" s="97"/>
      <c r="T6738" s="57"/>
      <c r="U6738" s="57"/>
      <c r="V6738" s="57"/>
      <c r="W6738" s="57"/>
      <c r="X6738" s="97"/>
    </row>
    <row r="6739" spans="1:24" s="75" customFormat="1" x14ac:dyDescent="0.35">
      <c r="A6739" s="75">
        <v>6735</v>
      </c>
      <c r="B6739" s="75">
        <v>6736</v>
      </c>
      <c r="C6739">
        <v>146.112758452999</v>
      </c>
      <c r="D6739">
        <v>-17.628555527900001</v>
      </c>
      <c r="E6739" s="92" t="str">
        <f t="shared" si="13"/>
        <v/>
      </c>
      <c r="I6739" s="75">
        <v>2</v>
      </c>
      <c r="J6739" s="75" t="s">
        <v>26</v>
      </c>
      <c r="K6739" s="97" t="s">
        <v>26</v>
      </c>
      <c r="L6739"/>
      <c r="M6739"/>
      <c r="N6739"/>
      <c r="O6739"/>
      <c r="P6739" s="57"/>
      <c r="Q6739" s="57"/>
      <c r="R6739" s="57"/>
      <c r="S6739" s="97"/>
      <c r="T6739" s="57"/>
      <c r="U6739" s="57"/>
      <c r="V6739" s="57"/>
      <c r="W6739" s="57"/>
      <c r="X6739" s="97"/>
    </row>
    <row r="6740" spans="1:24" s="75" customFormat="1" x14ac:dyDescent="0.35">
      <c r="A6740" s="75">
        <v>6736</v>
      </c>
      <c r="B6740" s="75">
        <v>6737</v>
      </c>
      <c r="C6740">
        <v>146.11278767799899</v>
      </c>
      <c r="D6740">
        <v>-17.6284745723</v>
      </c>
      <c r="E6740" s="92" t="str">
        <f t="shared" si="13"/>
        <v/>
      </c>
      <c r="I6740" s="75">
        <v>2</v>
      </c>
      <c r="J6740" s="75" t="s">
        <v>26</v>
      </c>
      <c r="K6740" s="97" t="s">
        <v>26</v>
      </c>
      <c r="L6740"/>
      <c r="M6740"/>
      <c r="N6740"/>
      <c r="O6740"/>
      <c r="P6740" s="57"/>
      <c r="Q6740" s="57"/>
      <c r="R6740" s="57"/>
      <c r="S6740" s="97"/>
      <c r="T6740" s="57"/>
      <c r="U6740" s="57"/>
      <c r="V6740" s="57"/>
      <c r="W6740" s="57"/>
      <c r="X6740" s="97"/>
    </row>
    <row r="6741" spans="1:24" s="75" customFormat="1" x14ac:dyDescent="0.35">
      <c r="A6741" s="75">
        <v>6737</v>
      </c>
      <c r="B6741" s="75">
        <v>6738</v>
      </c>
      <c r="C6741">
        <v>146.11281690300001</v>
      </c>
      <c r="D6741">
        <v>-17.628393616499899</v>
      </c>
      <c r="E6741" s="92" t="str">
        <f t="shared" si="13"/>
        <v/>
      </c>
      <c r="I6741" s="75">
        <v>2</v>
      </c>
      <c r="J6741" s="75" t="s">
        <v>26</v>
      </c>
      <c r="K6741" s="97" t="s">
        <v>26</v>
      </c>
      <c r="L6741"/>
      <c r="M6741"/>
      <c r="N6741"/>
      <c r="O6741"/>
      <c r="P6741" s="57"/>
      <c r="Q6741" s="57"/>
      <c r="R6741" s="57"/>
      <c r="S6741" s="97"/>
      <c r="T6741" s="57"/>
      <c r="U6741" s="57"/>
      <c r="V6741" s="57"/>
      <c r="W6741" s="57"/>
      <c r="X6741" s="97"/>
    </row>
    <row r="6742" spans="1:24" s="75" customFormat="1" x14ac:dyDescent="0.35">
      <c r="A6742" s="75">
        <v>6738</v>
      </c>
      <c r="B6742" s="75">
        <v>6739</v>
      </c>
      <c r="C6742">
        <v>146.11284612700001</v>
      </c>
      <c r="D6742">
        <v>-17.628312660599899</v>
      </c>
      <c r="E6742" s="92" t="str">
        <f t="shared" si="13"/>
        <v/>
      </c>
      <c r="I6742" s="75">
        <v>2</v>
      </c>
      <c r="J6742" s="75" t="s">
        <v>26</v>
      </c>
      <c r="K6742" s="97" t="s">
        <v>26</v>
      </c>
      <c r="L6742"/>
      <c r="M6742"/>
      <c r="N6742"/>
      <c r="O6742"/>
      <c r="P6742" s="57"/>
      <c r="Q6742" s="57"/>
      <c r="R6742" s="57"/>
      <c r="S6742" s="97"/>
      <c r="T6742" s="57"/>
      <c r="U6742" s="57"/>
      <c r="V6742" s="57"/>
      <c r="W6742" s="57"/>
      <c r="X6742" s="97"/>
    </row>
    <row r="6743" spans="1:24" s="75" customFormat="1" x14ac:dyDescent="0.35">
      <c r="A6743" s="75">
        <v>6739</v>
      </c>
      <c r="B6743" s="75">
        <v>6740</v>
      </c>
      <c r="C6743">
        <v>146.112875352</v>
      </c>
      <c r="D6743">
        <v>-17.6282317046999</v>
      </c>
      <c r="E6743" s="92">
        <f t="shared" si="13"/>
        <v>50</v>
      </c>
      <c r="I6743" s="75">
        <v>2</v>
      </c>
      <c r="J6743" s="75" t="s">
        <v>26</v>
      </c>
      <c r="K6743" s="97" t="s">
        <v>26</v>
      </c>
      <c r="L6743"/>
      <c r="M6743"/>
      <c r="N6743"/>
      <c r="O6743"/>
      <c r="P6743" s="57"/>
      <c r="Q6743" s="57"/>
      <c r="R6743" s="57"/>
      <c r="S6743" s="97"/>
      <c r="T6743" s="57"/>
      <c r="U6743" s="57"/>
      <c r="V6743" s="57"/>
      <c r="W6743" s="57"/>
      <c r="X6743" s="97"/>
    </row>
    <row r="6744" spans="1:24" s="75" customFormat="1" x14ac:dyDescent="0.35">
      <c r="A6744" s="75">
        <v>6740</v>
      </c>
      <c r="B6744" s="75">
        <v>6741</v>
      </c>
      <c r="C6744">
        <v>146.112904576999</v>
      </c>
      <c r="D6744">
        <v>-17.6281507488</v>
      </c>
      <c r="E6744" s="92" t="str">
        <f t="shared" si="13"/>
        <v/>
      </c>
      <c r="I6744" s="75">
        <v>2</v>
      </c>
      <c r="J6744" s="75" t="s">
        <v>26</v>
      </c>
      <c r="K6744" s="97" t="s">
        <v>26</v>
      </c>
      <c r="L6744"/>
      <c r="M6744"/>
      <c r="N6744"/>
      <c r="O6744"/>
      <c r="P6744" s="57"/>
      <c r="Q6744" s="57"/>
      <c r="R6744" s="57"/>
      <c r="S6744" s="97"/>
      <c r="T6744" s="57"/>
      <c r="U6744" s="57"/>
      <c r="V6744" s="57"/>
      <c r="W6744" s="57"/>
      <c r="X6744" s="97"/>
    </row>
    <row r="6745" spans="1:24" s="75" customFormat="1" x14ac:dyDescent="0.35">
      <c r="A6745" s="75">
        <v>6741</v>
      </c>
      <c r="B6745" s="75">
        <v>6742</v>
      </c>
      <c r="C6745">
        <v>146.11293380199899</v>
      </c>
      <c r="D6745">
        <v>-17.6280697929</v>
      </c>
      <c r="E6745" s="92" t="str">
        <f t="shared" si="13"/>
        <v/>
      </c>
      <c r="I6745" s="75">
        <v>2</v>
      </c>
      <c r="J6745" s="75" t="s">
        <v>26</v>
      </c>
      <c r="K6745" s="97" t="s">
        <v>26</v>
      </c>
      <c r="L6745"/>
      <c r="M6745"/>
      <c r="N6745"/>
      <c r="O6745"/>
      <c r="P6745" s="57"/>
      <c r="Q6745" s="57"/>
      <c r="R6745" s="57"/>
      <c r="S6745" s="97"/>
      <c r="T6745" s="57"/>
      <c r="U6745" s="57"/>
      <c r="V6745" s="57"/>
      <c r="W6745" s="57"/>
      <c r="X6745" s="97"/>
    </row>
    <row r="6746" spans="1:24" s="75" customFormat="1" x14ac:dyDescent="0.35">
      <c r="A6746" s="75">
        <v>6742</v>
      </c>
      <c r="B6746" s="75">
        <v>6743</v>
      </c>
      <c r="C6746">
        <v>146.11296302700001</v>
      </c>
      <c r="D6746">
        <v>-17.627988836899899</v>
      </c>
      <c r="E6746" s="92" t="str">
        <f t="shared" si="13"/>
        <v/>
      </c>
      <c r="I6746" s="75">
        <v>2</v>
      </c>
      <c r="J6746" s="75" t="s">
        <v>26</v>
      </c>
      <c r="K6746" s="97" t="s">
        <v>26</v>
      </c>
      <c r="L6746"/>
      <c r="M6746"/>
      <c r="N6746"/>
      <c r="O6746"/>
      <c r="P6746" s="57"/>
      <c r="Q6746" s="57"/>
      <c r="R6746" s="57"/>
      <c r="S6746" s="97"/>
      <c r="T6746" s="57"/>
      <c r="U6746" s="57"/>
      <c r="V6746" s="57"/>
      <c r="W6746" s="57"/>
      <c r="X6746" s="97"/>
    </row>
    <row r="6747" spans="1:24" s="75" customFormat="1" x14ac:dyDescent="0.35">
      <c r="A6747" s="75">
        <v>6743</v>
      </c>
      <c r="B6747" s="75">
        <v>6744</v>
      </c>
      <c r="C6747">
        <v>146.11299225100001</v>
      </c>
      <c r="D6747">
        <v>-17.6279078809</v>
      </c>
      <c r="E6747" s="92" t="str">
        <f t="shared" si="13"/>
        <v/>
      </c>
      <c r="I6747" s="75">
        <v>2</v>
      </c>
      <c r="J6747" s="75" t="s">
        <v>26</v>
      </c>
      <c r="K6747" s="97" t="s">
        <v>26</v>
      </c>
      <c r="L6747"/>
      <c r="M6747"/>
      <c r="N6747"/>
      <c r="O6747"/>
      <c r="P6747" s="57"/>
      <c r="Q6747" s="57"/>
      <c r="R6747" s="57"/>
      <c r="S6747" s="97"/>
      <c r="T6747" s="57"/>
      <c r="U6747" s="57"/>
      <c r="V6747" s="57"/>
      <c r="W6747" s="57"/>
      <c r="X6747" s="97"/>
    </row>
    <row r="6748" spans="1:24" s="75" customFormat="1" x14ac:dyDescent="0.35">
      <c r="A6748" s="75">
        <v>6744</v>
      </c>
      <c r="B6748" s="75">
        <v>6745</v>
      </c>
      <c r="C6748">
        <v>146.113021476</v>
      </c>
      <c r="D6748">
        <v>-17.627826924800001</v>
      </c>
      <c r="E6748" s="92">
        <f t="shared" si="13"/>
        <v>50</v>
      </c>
      <c r="I6748" s="75">
        <v>2</v>
      </c>
      <c r="J6748" s="75" t="s">
        <v>26</v>
      </c>
      <c r="K6748" s="97" t="s">
        <v>26</v>
      </c>
      <c r="L6748"/>
      <c r="M6748"/>
      <c r="N6748"/>
      <c r="O6748"/>
      <c r="P6748" s="57"/>
      <c r="Q6748" s="57"/>
      <c r="R6748" s="57"/>
      <c r="S6748" s="97"/>
      <c r="T6748" s="57"/>
      <c r="U6748" s="57"/>
      <c r="V6748" s="57"/>
      <c r="W6748" s="57"/>
      <c r="X6748" s="97"/>
    </row>
    <row r="6749" spans="1:24" s="75" customFormat="1" x14ac:dyDescent="0.35">
      <c r="A6749" s="75">
        <v>6745</v>
      </c>
      <c r="B6749" s="75">
        <v>6746</v>
      </c>
      <c r="C6749">
        <v>146.11305039600001</v>
      </c>
      <c r="D6749">
        <v>-17.627745871199899</v>
      </c>
      <c r="E6749" s="92" t="str">
        <f t="shared" si="13"/>
        <v/>
      </c>
      <c r="I6749" s="75">
        <v>2</v>
      </c>
      <c r="J6749" s="75" t="s">
        <v>26</v>
      </c>
      <c r="K6749" s="97" t="s">
        <v>26</v>
      </c>
      <c r="L6749"/>
      <c r="M6749"/>
      <c r="N6749"/>
      <c r="O6749"/>
      <c r="P6749" s="57"/>
      <c r="Q6749" s="57"/>
      <c r="R6749" s="57"/>
      <c r="S6749" s="97"/>
      <c r="T6749" s="57"/>
      <c r="U6749" s="57"/>
      <c r="V6749" s="57"/>
      <c r="W6749" s="57"/>
      <c r="X6749" s="97"/>
    </row>
    <row r="6750" spans="1:24" s="75" customFormat="1" x14ac:dyDescent="0.35">
      <c r="A6750" s="75">
        <v>6746</v>
      </c>
      <c r="B6750" s="75">
        <v>6747</v>
      </c>
      <c r="C6750">
        <v>146.113078336</v>
      </c>
      <c r="D6750">
        <v>-17.6276645041</v>
      </c>
      <c r="E6750" s="92" t="str">
        <f t="shared" si="13"/>
        <v/>
      </c>
      <c r="I6750" s="75">
        <v>2</v>
      </c>
      <c r="J6750" s="75" t="s">
        <v>26</v>
      </c>
      <c r="K6750" s="97" t="s">
        <v>26</v>
      </c>
      <c r="L6750"/>
      <c r="M6750"/>
      <c r="N6750"/>
      <c r="O6750"/>
      <c r="P6750" s="57"/>
      <c r="Q6750" s="57"/>
      <c r="R6750" s="57"/>
      <c r="S6750" s="97"/>
      <c r="T6750" s="57"/>
      <c r="U6750" s="57"/>
      <c r="V6750" s="57"/>
      <c r="W6750" s="57"/>
      <c r="X6750" s="97"/>
    </row>
    <row r="6751" spans="1:24" s="75" customFormat="1" x14ac:dyDescent="0.35">
      <c r="A6751" s="75">
        <v>6747</v>
      </c>
      <c r="B6751" s="75">
        <v>6748</v>
      </c>
      <c r="C6751">
        <v>146.113106275999</v>
      </c>
      <c r="D6751">
        <v>-17.627583136999899</v>
      </c>
      <c r="E6751" s="92" t="str">
        <f t="shared" si="13"/>
        <v/>
      </c>
      <c r="I6751" s="75">
        <v>2</v>
      </c>
      <c r="J6751" s="75" t="s">
        <v>26</v>
      </c>
      <c r="K6751" s="97" t="s">
        <v>26</v>
      </c>
      <c r="L6751"/>
      <c r="M6751"/>
      <c r="N6751"/>
      <c r="O6751"/>
      <c r="P6751" s="57"/>
      <c r="Q6751" s="57"/>
      <c r="R6751" s="57"/>
      <c r="S6751" s="97"/>
      <c r="T6751" s="57"/>
      <c r="U6751" s="57"/>
      <c r="V6751" s="57"/>
      <c r="W6751" s="57"/>
      <c r="X6751" s="97"/>
    </row>
    <row r="6752" spans="1:24" s="75" customFormat="1" x14ac:dyDescent="0.35">
      <c r="A6752" s="75">
        <v>6748</v>
      </c>
      <c r="B6752" s="75">
        <v>6749</v>
      </c>
      <c r="C6752">
        <v>146.113134215999</v>
      </c>
      <c r="D6752">
        <v>-17.627501769799899</v>
      </c>
      <c r="E6752" s="92" t="str">
        <f t="shared" si="13"/>
        <v/>
      </c>
      <c r="I6752" s="75">
        <v>2</v>
      </c>
      <c r="J6752" s="75" t="s">
        <v>26</v>
      </c>
      <c r="K6752" s="97" t="s">
        <v>26</v>
      </c>
      <c r="L6752"/>
      <c r="M6752"/>
      <c r="N6752"/>
      <c r="O6752"/>
      <c r="P6752" s="57"/>
      <c r="Q6752" s="57"/>
      <c r="R6752" s="57"/>
      <c r="S6752" s="97"/>
      <c r="T6752" s="57"/>
      <c r="U6752" s="57"/>
      <c r="V6752" s="57"/>
      <c r="W6752" s="57"/>
      <c r="X6752" s="97"/>
    </row>
    <row r="6753" spans="1:24" s="75" customFormat="1" x14ac:dyDescent="0.35">
      <c r="A6753" s="75">
        <v>6749</v>
      </c>
      <c r="B6753" s="75">
        <v>6750</v>
      </c>
      <c r="C6753">
        <v>146.11316215599899</v>
      </c>
      <c r="D6753">
        <v>-17.627420402599899</v>
      </c>
      <c r="E6753" s="92">
        <f t="shared" si="13"/>
        <v>50</v>
      </c>
      <c r="I6753" s="75">
        <v>2</v>
      </c>
      <c r="J6753" s="75" t="s">
        <v>26</v>
      </c>
      <c r="K6753" s="97" t="s">
        <v>26</v>
      </c>
      <c r="L6753"/>
      <c r="M6753"/>
      <c r="N6753"/>
      <c r="O6753"/>
      <c r="P6753" s="57"/>
      <c r="Q6753" s="57"/>
      <c r="R6753" s="57"/>
      <c r="S6753" s="97"/>
      <c r="T6753" s="57"/>
      <c r="U6753" s="57"/>
      <c r="V6753" s="57"/>
      <c r="W6753" s="57"/>
      <c r="X6753" s="97"/>
    </row>
    <row r="6754" spans="1:24" s="75" customFormat="1" x14ac:dyDescent="0.35">
      <c r="A6754" s="75">
        <v>6750</v>
      </c>
      <c r="B6754" s="75">
        <v>6751</v>
      </c>
      <c r="C6754">
        <v>146.11319009600001</v>
      </c>
      <c r="D6754">
        <v>-17.627339035399899</v>
      </c>
      <c r="E6754" s="92" t="str">
        <f t="shared" si="13"/>
        <v/>
      </c>
      <c r="I6754" s="75">
        <v>2</v>
      </c>
      <c r="J6754" s="75" t="s">
        <v>26</v>
      </c>
      <c r="K6754" s="97" t="s">
        <v>26</v>
      </c>
      <c r="L6754"/>
      <c r="M6754"/>
      <c r="N6754"/>
      <c r="O6754"/>
      <c r="P6754" s="57"/>
      <c r="Q6754" s="57"/>
      <c r="R6754" s="57"/>
      <c r="S6754" s="97"/>
      <c r="T6754" s="57"/>
      <c r="U6754" s="57"/>
      <c r="V6754" s="57"/>
      <c r="W6754" s="57"/>
      <c r="X6754" s="97"/>
    </row>
    <row r="6755" spans="1:24" s="75" customFormat="1" x14ac:dyDescent="0.35">
      <c r="A6755" s="75">
        <v>6751</v>
      </c>
      <c r="B6755" s="75">
        <v>6752</v>
      </c>
      <c r="C6755">
        <v>146.113218036999</v>
      </c>
      <c r="D6755">
        <v>-17.6272576681</v>
      </c>
      <c r="E6755" s="92" t="str">
        <f t="shared" si="13"/>
        <v/>
      </c>
      <c r="I6755" s="75">
        <v>2</v>
      </c>
      <c r="J6755" s="75" t="s">
        <v>26</v>
      </c>
      <c r="K6755" s="97" t="s">
        <v>26</v>
      </c>
      <c r="L6755"/>
      <c r="M6755"/>
      <c r="N6755"/>
      <c r="O6755"/>
      <c r="P6755" s="57"/>
      <c r="Q6755" s="57"/>
      <c r="R6755" s="57"/>
      <c r="S6755" s="97"/>
      <c r="T6755" s="57"/>
      <c r="U6755" s="57"/>
      <c r="V6755" s="57"/>
      <c r="W6755" s="57"/>
      <c r="X6755" s="97"/>
    </row>
    <row r="6756" spans="1:24" s="75" customFormat="1" x14ac:dyDescent="0.35">
      <c r="A6756" s="75">
        <v>6752</v>
      </c>
      <c r="B6756" s="75">
        <v>6753</v>
      </c>
      <c r="C6756">
        <v>146.113245976999</v>
      </c>
      <c r="D6756">
        <v>-17.627176300799899</v>
      </c>
      <c r="E6756" s="92" t="str">
        <f t="shared" si="13"/>
        <v/>
      </c>
      <c r="I6756" s="75">
        <v>2</v>
      </c>
      <c r="J6756" s="75" t="s">
        <v>26</v>
      </c>
      <c r="K6756" s="97" t="s">
        <v>26</v>
      </c>
      <c r="L6756"/>
      <c r="M6756"/>
      <c r="N6756"/>
      <c r="O6756"/>
      <c r="P6756" s="57"/>
      <c r="Q6756" s="57"/>
      <c r="R6756" s="57"/>
      <c r="S6756" s="97"/>
      <c r="T6756" s="57"/>
      <c r="U6756" s="57"/>
      <c r="V6756" s="57"/>
      <c r="W6756" s="57"/>
      <c r="X6756" s="97"/>
    </row>
    <row r="6757" spans="1:24" s="75" customFormat="1" x14ac:dyDescent="0.35">
      <c r="A6757" s="75">
        <v>6753</v>
      </c>
      <c r="B6757" s="75">
        <v>6754</v>
      </c>
      <c r="C6757">
        <v>146.11327391699899</v>
      </c>
      <c r="D6757">
        <v>-17.6270949335</v>
      </c>
      <c r="E6757" s="92" t="str">
        <f t="shared" si="13"/>
        <v/>
      </c>
      <c r="I6757" s="75">
        <v>2</v>
      </c>
      <c r="J6757" s="75" t="s">
        <v>26</v>
      </c>
      <c r="K6757" s="97" t="s">
        <v>26</v>
      </c>
      <c r="L6757"/>
      <c r="M6757"/>
      <c r="N6757"/>
      <c r="O6757"/>
      <c r="P6757" s="57"/>
      <c r="Q6757" s="57"/>
      <c r="R6757" s="57"/>
      <c r="S6757" s="97"/>
      <c r="T6757" s="57"/>
      <c r="U6757" s="57"/>
      <c r="V6757" s="57"/>
      <c r="W6757" s="57"/>
      <c r="X6757" s="97"/>
    </row>
    <row r="6758" spans="1:24" s="75" customFormat="1" x14ac:dyDescent="0.35">
      <c r="A6758" s="75">
        <v>6754</v>
      </c>
      <c r="B6758" s="75">
        <v>6755</v>
      </c>
      <c r="C6758">
        <v>146.113298447999</v>
      </c>
      <c r="D6758">
        <v>-17.627012634100002</v>
      </c>
      <c r="E6758" s="92">
        <f t="shared" si="13"/>
        <v>50</v>
      </c>
      <c r="I6758" s="75">
        <v>2</v>
      </c>
      <c r="J6758" s="75" t="s">
        <v>26</v>
      </c>
      <c r="K6758" s="97" t="s">
        <v>26</v>
      </c>
      <c r="L6758"/>
      <c r="M6758"/>
      <c r="N6758"/>
      <c r="O6758"/>
      <c r="P6758" s="57"/>
      <c r="Q6758" s="57"/>
      <c r="R6758" s="57"/>
      <c r="S6758" s="97"/>
      <c r="T6758" s="57"/>
      <c r="U6758" s="57"/>
      <c r="V6758" s="57"/>
      <c r="W6758" s="57"/>
      <c r="X6758" s="97"/>
    </row>
    <row r="6759" spans="1:24" s="75" customFormat="1" x14ac:dyDescent="0.35">
      <c r="A6759" s="75">
        <v>6755</v>
      </c>
      <c r="B6759" s="75">
        <v>6756</v>
      </c>
      <c r="C6759">
        <v>146.113320017999</v>
      </c>
      <c r="D6759">
        <v>-17.6269295251</v>
      </c>
      <c r="E6759" s="92" t="str">
        <f t="shared" si="13"/>
        <v/>
      </c>
      <c r="I6759" s="75">
        <v>2</v>
      </c>
      <c r="J6759" s="75" t="s">
        <v>26</v>
      </c>
      <c r="K6759" s="97" t="s">
        <v>26</v>
      </c>
      <c r="L6759"/>
      <c r="M6759"/>
      <c r="N6759"/>
      <c r="O6759"/>
      <c r="P6759" s="57"/>
      <c r="Q6759" s="57"/>
      <c r="R6759" s="57"/>
      <c r="S6759" s="97"/>
      <c r="T6759" s="57"/>
      <c r="U6759" s="57"/>
      <c r="V6759" s="57"/>
      <c r="W6759" s="57"/>
      <c r="X6759" s="97"/>
    </row>
    <row r="6760" spans="1:24" s="75" customFormat="1" x14ac:dyDescent="0.35">
      <c r="A6760" s="75">
        <v>6756</v>
      </c>
      <c r="B6760" s="75">
        <v>6757</v>
      </c>
      <c r="C6760">
        <v>146.11334158899899</v>
      </c>
      <c r="D6760">
        <v>-17.626846416100001</v>
      </c>
      <c r="E6760" s="92" t="str">
        <f t="shared" si="13"/>
        <v/>
      </c>
      <c r="I6760" s="75">
        <v>1</v>
      </c>
      <c r="J6760" s="75" t="s">
        <v>26</v>
      </c>
      <c r="K6760" s="97" t="s">
        <v>26</v>
      </c>
      <c r="L6760"/>
      <c r="M6760"/>
      <c r="N6760"/>
      <c r="O6760"/>
      <c r="P6760" s="57"/>
      <c r="Q6760" s="57"/>
      <c r="R6760" s="57"/>
      <c r="S6760" s="97"/>
      <c r="T6760" s="57"/>
      <c r="U6760" s="57"/>
      <c r="V6760" s="57"/>
      <c r="W6760" s="57"/>
      <c r="X6760" s="97"/>
    </row>
    <row r="6761" spans="1:24" s="75" customFormat="1" x14ac:dyDescent="0.35">
      <c r="A6761" s="75">
        <v>6757</v>
      </c>
      <c r="B6761" s="75">
        <v>6758</v>
      </c>
      <c r="C6761">
        <v>146.113363351999</v>
      </c>
      <c r="D6761">
        <v>-17.6267633530999</v>
      </c>
      <c r="E6761" s="92" t="str">
        <f t="shared" si="13"/>
        <v/>
      </c>
      <c r="I6761" s="75">
        <v>1</v>
      </c>
      <c r="J6761" s="75" t="s">
        <v>26</v>
      </c>
      <c r="K6761" s="97" t="s">
        <v>26</v>
      </c>
      <c r="L6761"/>
      <c r="M6761"/>
      <c r="N6761"/>
      <c r="O6761"/>
      <c r="P6761" s="57"/>
      <c r="Q6761" s="57"/>
      <c r="R6761" s="57"/>
      <c r="S6761" s="97"/>
      <c r="T6761" s="57"/>
      <c r="U6761" s="57"/>
      <c r="V6761" s="57"/>
      <c r="W6761" s="57"/>
      <c r="X6761" s="97"/>
    </row>
    <row r="6762" spans="1:24" s="75" customFormat="1" x14ac:dyDescent="0.35">
      <c r="A6762" s="75">
        <v>6758</v>
      </c>
      <c r="B6762" s="75">
        <v>6759</v>
      </c>
      <c r="C6762">
        <v>146.113383475999</v>
      </c>
      <c r="D6762">
        <v>-17.626679972600002</v>
      </c>
      <c r="E6762" s="92" t="str">
        <f t="shared" si="13"/>
        <v/>
      </c>
      <c r="I6762" s="75">
        <v>1</v>
      </c>
      <c r="J6762" s="75" t="s">
        <v>26</v>
      </c>
      <c r="K6762" s="97" t="s">
        <v>26</v>
      </c>
      <c r="L6762"/>
      <c r="M6762"/>
      <c r="N6762"/>
      <c r="O6762"/>
      <c r="P6762" s="57"/>
      <c r="Q6762" s="57"/>
      <c r="R6762" s="57"/>
      <c r="S6762" s="97"/>
      <c r="T6762" s="57"/>
      <c r="U6762" s="57"/>
      <c r="V6762" s="57"/>
      <c r="W6762" s="57"/>
      <c r="X6762" s="97"/>
    </row>
    <row r="6763" spans="1:24" s="75" customFormat="1" x14ac:dyDescent="0.35">
      <c r="A6763" s="75">
        <v>6759</v>
      </c>
      <c r="B6763" s="75">
        <v>6760</v>
      </c>
      <c r="C6763">
        <v>146.11339877699899</v>
      </c>
      <c r="D6763">
        <v>-17.626595609700001</v>
      </c>
      <c r="E6763" s="92">
        <f t="shared" si="13"/>
        <v>50</v>
      </c>
      <c r="I6763" s="75">
        <v>1</v>
      </c>
      <c r="J6763" s="75" t="s">
        <v>26</v>
      </c>
      <c r="K6763" s="97" t="s">
        <v>26</v>
      </c>
      <c r="L6763"/>
      <c r="M6763"/>
      <c r="N6763"/>
      <c r="O6763"/>
      <c r="P6763" s="57"/>
      <c r="Q6763" s="57"/>
      <c r="R6763" s="57"/>
      <c r="S6763" s="97"/>
      <c r="T6763" s="57"/>
      <c r="U6763" s="57"/>
      <c r="V6763" s="57"/>
      <c r="W6763" s="57"/>
      <c r="X6763" s="97"/>
    </row>
    <row r="6764" spans="1:24" s="75" customFormat="1" x14ac:dyDescent="0.35">
      <c r="A6764" s="75">
        <v>6760</v>
      </c>
      <c r="B6764" s="75">
        <v>6761</v>
      </c>
      <c r="C6764">
        <v>146.11341407800001</v>
      </c>
      <c r="D6764">
        <v>-17.626511246700002</v>
      </c>
      <c r="E6764" s="92" t="str">
        <f t="shared" si="13"/>
        <v/>
      </c>
      <c r="I6764" s="75">
        <v>1</v>
      </c>
      <c r="J6764" s="75" t="s">
        <v>26</v>
      </c>
      <c r="K6764" s="97" t="s">
        <v>26</v>
      </c>
      <c r="L6764"/>
      <c r="M6764"/>
      <c r="N6764"/>
      <c r="O6764"/>
      <c r="P6764" s="57"/>
      <c r="Q6764" s="57"/>
      <c r="R6764" s="57"/>
      <c r="S6764" s="97"/>
      <c r="T6764" s="57"/>
      <c r="U6764" s="57"/>
      <c r="V6764" s="57"/>
      <c r="W6764" s="57"/>
      <c r="X6764" s="97"/>
    </row>
    <row r="6765" spans="1:24" s="75" customFormat="1" x14ac:dyDescent="0.35">
      <c r="A6765" s="75">
        <v>6761</v>
      </c>
      <c r="B6765" s="75">
        <v>6762</v>
      </c>
      <c r="C6765">
        <v>146.113429537</v>
      </c>
      <c r="D6765">
        <v>-17.6264269117999</v>
      </c>
      <c r="E6765" s="92" t="str">
        <f t="shared" si="13"/>
        <v/>
      </c>
      <c r="I6765" s="75">
        <v>1</v>
      </c>
      <c r="J6765" s="75" t="s">
        <v>26</v>
      </c>
      <c r="K6765" s="97" t="s">
        <v>26</v>
      </c>
      <c r="L6765"/>
      <c r="M6765"/>
      <c r="N6765"/>
      <c r="O6765"/>
      <c r="P6765" s="57"/>
      <c r="Q6765" s="57"/>
      <c r="R6765" s="57"/>
      <c r="S6765" s="97"/>
      <c r="T6765" s="57"/>
      <c r="U6765" s="57"/>
      <c r="V6765" s="57"/>
      <c r="W6765" s="57"/>
      <c r="X6765" s="97"/>
    </row>
    <row r="6766" spans="1:24" s="75" customFormat="1" x14ac:dyDescent="0.35">
      <c r="A6766" s="75">
        <v>6762</v>
      </c>
      <c r="B6766" s="75">
        <v>6763</v>
      </c>
      <c r="C6766">
        <v>146.113446992999</v>
      </c>
      <c r="D6766">
        <v>-17.6263429298</v>
      </c>
      <c r="E6766" s="92" t="str">
        <f t="shared" si="13"/>
        <v/>
      </c>
      <c r="I6766" s="75">
        <v>1</v>
      </c>
      <c r="J6766" s="75" t="s">
        <v>26</v>
      </c>
      <c r="K6766" s="97" t="s">
        <v>26</v>
      </c>
      <c r="L6766"/>
      <c r="M6766"/>
      <c r="N6766"/>
      <c r="O6766"/>
      <c r="P6766" s="57"/>
      <c r="Q6766" s="57"/>
      <c r="R6766" s="57"/>
      <c r="S6766" s="97"/>
      <c r="T6766" s="57"/>
      <c r="U6766" s="57"/>
      <c r="V6766" s="57"/>
      <c r="W6766" s="57"/>
      <c r="X6766" s="97"/>
    </row>
    <row r="6767" spans="1:24" s="75" customFormat="1" x14ac:dyDescent="0.35">
      <c r="A6767" s="75">
        <v>6763</v>
      </c>
      <c r="B6767" s="75">
        <v>6764</v>
      </c>
      <c r="C6767">
        <v>146.11346445000001</v>
      </c>
      <c r="D6767">
        <v>-17.626258947699899</v>
      </c>
      <c r="E6767" s="92" t="str">
        <f t="shared" si="13"/>
        <v/>
      </c>
      <c r="I6767" s="75">
        <v>1</v>
      </c>
      <c r="J6767" s="75" t="s">
        <v>26</v>
      </c>
      <c r="K6767" s="97" t="s">
        <v>26</v>
      </c>
      <c r="L6767"/>
      <c r="M6767"/>
      <c r="N6767"/>
      <c r="O6767"/>
      <c r="P6767" s="57"/>
      <c r="Q6767" s="57"/>
      <c r="R6767" s="57"/>
      <c r="S6767" s="97"/>
      <c r="T6767" s="57"/>
      <c r="U6767" s="57"/>
      <c r="V6767" s="57"/>
      <c r="W6767" s="57"/>
      <c r="X6767" s="97"/>
    </row>
    <row r="6768" spans="1:24" s="75" customFormat="1" x14ac:dyDescent="0.35">
      <c r="A6768" s="75">
        <v>6764</v>
      </c>
      <c r="B6768" s="75">
        <v>6765</v>
      </c>
      <c r="C6768">
        <v>146.113481906999</v>
      </c>
      <c r="D6768">
        <v>-17.626174965600001</v>
      </c>
      <c r="E6768" s="92">
        <f t="shared" si="13"/>
        <v>50</v>
      </c>
      <c r="I6768" s="75">
        <v>1</v>
      </c>
      <c r="J6768" s="75" t="s">
        <v>26</v>
      </c>
      <c r="K6768" s="97" t="s">
        <v>26</v>
      </c>
      <c r="L6768"/>
      <c r="M6768"/>
      <c r="N6768"/>
      <c r="O6768"/>
      <c r="P6768" s="57"/>
      <c r="Q6768" s="57"/>
      <c r="R6768" s="57"/>
      <c r="S6768" s="97"/>
      <c r="T6768" s="57"/>
      <c r="U6768" s="57"/>
      <c r="V6768" s="57"/>
      <c r="W6768" s="57"/>
      <c r="X6768" s="97"/>
    </row>
    <row r="6769" spans="1:24" s="75" customFormat="1" x14ac:dyDescent="0.35">
      <c r="A6769" s="75">
        <v>6765</v>
      </c>
      <c r="B6769" s="75">
        <v>6766</v>
      </c>
      <c r="C6769">
        <v>146.11349936299899</v>
      </c>
      <c r="D6769">
        <v>-17.6260909834999</v>
      </c>
      <c r="E6769" s="92" t="str">
        <f t="shared" si="13"/>
        <v/>
      </c>
      <c r="I6769" s="75">
        <v>1</v>
      </c>
      <c r="J6769" s="75" t="s">
        <v>26</v>
      </c>
      <c r="K6769" s="97" t="s">
        <v>26</v>
      </c>
      <c r="L6769"/>
      <c r="M6769"/>
      <c r="N6769"/>
      <c r="O6769"/>
      <c r="P6769" s="57"/>
      <c r="Q6769" s="57"/>
      <c r="R6769" s="57"/>
      <c r="S6769" s="97"/>
      <c r="T6769" s="57"/>
      <c r="U6769" s="57"/>
      <c r="V6769" s="57"/>
      <c r="W6769" s="57"/>
      <c r="X6769" s="97"/>
    </row>
    <row r="6770" spans="1:24" s="75" customFormat="1" x14ac:dyDescent="0.35">
      <c r="A6770" s="75">
        <v>6766</v>
      </c>
      <c r="B6770" s="75">
        <v>6767</v>
      </c>
      <c r="C6770">
        <v>146.11351682</v>
      </c>
      <c r="D6770">
        <v>-17.626007001400001</v>
      </c>
      <c r="E6770" s="92" t="str">
        <f t="shared" si="13"/>
        <v/>
      </c>
      <c r="I6770" s="75">
        <v>1</v>
      </c>
      <c r="J6770" s="75" t="s">
        <v>26</v>
      </c>
      <c r="K6770" s="97" t="s">
        <v>26</v>
      </c>
      <c r="L6770"/>
      <c r="M6770"/>
      <c r="N6770"/>
      <c r="O6770"/>
      <c r="P6770" s="57"/>
      <c r="Q6770" s="57"/>
      <c r="R6770" s="57"/>
      <c r="S6770" s="97"/>
      <c r="T6770" s="57"/>
      <c r="U6770" s="57"/>
      <c r="V6770" s="57"/>
      <c r="W6770" s="57"/>
      <c r="X6770" s="97"/>
    </row>
    <row r="6771" spans="1:24" s="75" customFormat="1" x14ac:dyDescent="0.35">
      <c r="A6771" s="75">
        <v>6767</v>
      </c>
      <c r="B6771" s="75">
        <v>6768</v>
      </c>
      <c r="C6771">
        <v>146.113528567</v>
      </c>
      <c r="D6771">
        <v>-17.625922339700001</v>
      </c>
      <c r="E6771" s="92" t="str">
        <f t="shared" si="13"/>
        <v/>
      </c>
      <c r="I6771" s="75">
        <v>1</v>
      </c>
      <c r="J6771" s="75" t="s">
        <v>26</v>
      </c>
      <c r="K6771" s="97" t="s">
        <v>26</v>
      </c>
      <c r="L6771"/>
      <c r="M6771"/>
      <c r="N6771"/>
      <c r="O6771"/>
      <c r="P6771" s="57"/>
      <c r="Q6771" s="57"/>
      <c r="R6771" s="57"/>
      <c r="S6771" s="97"/>
      <c r="T6771" s="57"/>
      <c r="U6771" s="57"/>
      <c r="V6771" s="57"/>
      <c r="W6771" s="57"/>
      <c r="X6771" s="97"/>
    </row>
    <row r="6772" spans="1:24" s="75" customFormat="1" x14ac:dyDescent="0.35">
      <c r="A6772" s="75">
        <v>6768</v>
      </c>
      <c r="B6772" s="75">
        <v>6769</v>
      </c>
      <c r="C6772">
        <v>146.113533313999</v>
      </c>
      <c r="D6772">
        <v>-17.625836844999899</v>
      </c>
      <c r="E6772" s="92" t="str">
        <f t="shared" si="13"/>
        <v/>
      </c>
      <c r="I6772" s="75">
        <v>1</v>
      </c>
      <c r="J6772" s="75" t="s">
        <v>26</v>
      </c>
      <c r="K6772" s="97" t="s">
        <v>26</v>
      </c>
      <c r="L6772"/>
      <c r="M6772"/>
      <c r="N6772"/>
      <c r="O6772"/>
      <c r="P6772" s="57"/>
      <c r="Q6772" s="57"/>
      <c r="R6772" s="57"/>
      <c r="S6772" s="97"/>
      <c r="T6772" s="57"/>
      <c r="U6772" s="57"/>
      <c r="V6772" s="57"/>
      <c r="W6772" s="57"/>
      <c r="X6772" s="97"/>
    </row>
    <row r="6773" spans="1:24" s="75" customFormat="1" x14ac:dyDescent="0.35">
      <c r="A6773" s="75">
        <v>6769</v>
      </c>
      <c r="B6773" s="75">
        <v>6770</v>
      </c>
      <c r="C6773">
        <v>146.113538059999</v>
      </c>
      <c r="D6773">
        <v>-17.6257513503</v>
      </c>
      <c r="E6773" s="92">
        <f t="shared" si="13"/>
        <v>50</v>
      </c>
      <c r="I6773" s="75">
        <v>1</v>
      </c>
      <c r="J6773" s="75" t="s">
        <v>26</v>
      </c>
      <c r="K6773" s="97" t="s">
        <v>26</v>
      </c>
      <c r="L6773"/>
      <c r="M6773"/>
      <c r="N6773"/>
      <c r="O6773"/>
      <c r="P6773" s="57"/>
      <c r="Q6773" s="57"/>
      <c r="R6773" s="57"/>
      <c r="S6773" s="97"/>
      <c r="T6773" s="57"/>
      <c r="U6773" s="57"/>
      <c r="V6773" s="57"/>
      <c r="W6773" s="57"/>
      <c r="X6773" s="97"/>
    </row>
    <row r="6774" spans="1:24" s="75" customFormat="1" x14ac:dyDescent="0.35">
      <c r="A6774" s="75">
        <v>6770</v>
      </c>
      <c r="B6774" s="75">
        <v>6771</v>
      </c>
      <c r="C6774">
        <v>146.11354280699899</v>
      </c>
      <c r="D6774">
        <v>-17.6256658554999</v>
      </c>
      <c r="E6774" s="92" t="str">
        <f t="shared" si="13"/>
        <v/>
      </c>
      <c r="I6774" s="75">
        <v>1</v>
      </c>
      <c r="J6774" s="75" t="s">
        <v>26</v>
      </c>
      <c r="K6774" s="97" t="s">
        <v>26</v>
      </c>
      <c r="L6774"/>
      <c r="M6774"/>
      <c r="N6774"/>
      <c r="O6774"/>
      <c r="P6774" s="57"/>
      <c r="Q6774" s="57"/>
      <c r="R6774" s="57"/>
      <c r="S6774" s="97"/>
      <c r="T6774" s="57"/>
      <c r="U6774" s="57"/>
      <c r="V6774" s="57"/>
      <c r="W6774" s="57"/>
      <c r="X6774" s="97"/>
    </row>
    <row r="6775" spans="1:24" s="75" customFormat="1" x14ac:dyDescent="0.35">
      <c r="A6775" s="75">
        <v>6771</v>
      </c>
      <c r="B6775" s="75">
        <v>6772</v>
      </c>
      <c r="C6775">
        <v>146.11354755400001</v>
      </c>
      <c r="D6775">
        <v>-17.6255803606999</v>
      </c>
      <c r="E6775" s="92" t="str">
        <f t="shared" si="13"/>
        <v/>
      </c>
      <c r="I6775" s="75">
        <v>1</v>
      </c>
      <c r="J6775" s="75" t="s">
        <v>26</v>
      </c>
      <c r="K6775" s="97" t="s">
        <v>26</v>
      </c>
      <c r="L6775"/>
      <c r="M6775"/>
      <c r="N6775"/>
      <c r="O6775"/>
      <c r="P6775" s="57"/>
      <c r="Q6775" s="57"/>
      <c r="R6775" s="57"/>
      <c r="S6775" s="97"/>
      <c r="T6775" s="57"/>
      <c r="U6775" s="57"/>
      <c r="V6775" s="57"/>
      <c r="W6775" s="57"/>
      <c r="X6775" s="97"/>
    </row>
    <row r="6776" spans="1:24" s="75" customFormat="1" x14ac:dyDescent="0.35">
      <c r="A6776" s="75">
        <v>6772</v>
      </c>
      <c r="B6776" s="75">
        <v>6773</v>
      </c>
      <c r="C6776">
        <v>146.113552300999</v>
      </c>
      <c r="D6776">
        <v>-17.625494865899899</v>
      </c>
      <c r="E6776" s="92" t="str">
        <f t="shared" si="13"/>
        <v/>
      </c>
      <c r="I6776" s="75">
        <v>1</v>
      </c>
      <c r="J6776" s="75" t="s">
        <v>26</v>
      </c>
      <c r="K6776" s="97" t="s">
        <v>26</v>
      </c>
      <c r="L6776"/>
      <c r="M6776"/>
      <c r="N6776"/>
      <c r="O6776"/>
      <c r="P6776" s="57"/>
      <c r="Q6776" s="57"/>
      <c r="R6776" s="57"/>
      <c r="S6776" s="97"/>
      <c r="T6776" s="57"/>
      <c r="U6776" s="57"/>
      <c r="V6776" s="57"/>
      <c r="W6776" s="57"/>
      <c r="X6776" s="97"/>
    </row>
    <row r="6777" spans="1:24" s="75" customFormat="1" x14ac:dyDescent="0.35">
      <c r="A6777" s="75">
        <v>6773</v>
      </c>
      <c r="B6777" s="75">
        <v>6774</v>
      </c>
      <c r="C6777">
        <v>146.113557047999</v>
      </c>
      <c r="D6777">
        <v>-17.625409371</v>
      </c>
      <c r="E6777" s="92" t="str">
        <f t="shared" si="13"/>
        <v/>
      </c>
      <c r="I6777" s="75">
        <v>1</v>
      </c>
      <c r="J6777" s="75" t="s">
        <v>26</v>
      </c>
      <c r="K6777" s="97" t="s">
        <v>26</v>
      </c>
      <c r="L6777"/>
      <c r="M6777"/>
      <c r="N6777"/>
      <c r="O6777"/>
      <c r="P6777" s="57"/>
      <c r="Q6777" s="57"/>
      <c r="R6777" s="57"/>
      <c r="S6777" s="97"/>
      <c r="T6777" s="57"/>
      <c r="U6777" s="57"/>
      <c r="V6777" s="57"/>
      <c r="W6777" s="57"/>
      <c r="X6777" s="97"/>
    </row>
    <row r="6778" spans="1:24" s="75" customFormat="1" x14ac:dyDescent="0.35">
      <c r="A6778" s="75">
        <v>6774</v>
      </c>
      <c r="B6778" s="75">
        <v>6775</v>
      </c>
      <c r="C6778">
        <v>146.11356179500001</v>
      </c>
      <c r="D6778">
        <v>-17.625323876100001</v>
      </c>
      <c r="E6778" s="92">
        <f t="shared" si="13"/>
        <v>50</v>
      </c>
      <c r="I6778" s="75">
        <v>1</v>
      </c>
      <c r="J6778" s="75" t="s">
        <v>26</v>
      </c>
      <c r="K6778" s="97" t="s">
        <v>26</v>
      </c>
      <c r="L6778"/>
      <c r="M6778"/>
      <c r="N6778"/>
      <c r="O6778"/>
      <c r="P6778" s="57"/>
      <c r="Q6778" s="57"/>
      <c r="R6778" s="57"/>
      <c r="S6778" s="97"/>
      <c r="T6778" s="57"/>
      <c r="U6778" s="57"/>
      <c r="V6778" s="57"/>
      <c r="W6778" s="57"/>
      <c r="X6778" s="97"/>
    </row>
    <row r="6779" spans="1:24" s="75" customFormat="1" x14ac:dyDescent="0.35">
      <c r="A6779" s="75">
        <v>6775</v>
      </c>
      <c r="B6779" s="75">
        <v>6776</v>
      </c>
      <c r="C6779">
        <v>146.113562387999</v>
      </c>
      <c r="D6779">
        <v>-17.625238341300001</v>
      </c>
      <c r="E6779" s="92" t="str">
        <f t="shared" si="13"/>
        <v/>
      </c>
      <c r="I6779" s="75">
        <v>1</v>
      </c>
      <c r="J6779" s="75" t="s">
        <v>26</v>
      </c>
      <c r="K6779" s="97" t="s">
        <v>26</v>
      </c>
      <c r="L6779"/>
      <c r="M6779"/>
      <c r="N6779"/>
      <c r="O6779"/>
      <c r="P6779" s="57"/>
      <c r="Q6779" s="57"/>
      <c r="R6779" s="57"/>
      <c r="S6779" s="97"/>
      <c r="T6779" s="57"/>
      <c r="U6779" s="57"/>
      <c r="V6779" s="57"/>
      <c r="W6779" s="57"/>
      <c r="X6779" s="97"/>
    </row>
    <row r="6780" spans="1:24" s="75" customFormat="1" x14ac:dyDescent="0.35">
      <c r="A6780" s="75">
        <v>6776</v>
      </c>
      <c r="B6780" s="75">
        <v>6777</v>
      </c>
      <c r="C6780">
        <v>146.11355944799899</v>
      </c>
      <c r="D6780">
        <v>-17.625152772500002</v>
      </c>
      <c r="E6780" s="92" t="str">
        <f t="shared" si="13"/>
        <v/>
      </c>
      <c r="I6780" s="75">
        <v>1</v>
      </c>
      <c r="J6780" s="75" t="s">
        <v>26</v>
      </c>
      <c r="K6780" s="97" t="s">
        <v>26</v>
      </c>
      <c r="L6780"/>
      <c r="M6780"/>
      <c r="N6780"/>
      <c r="O6780"/>
      <c r="P6780" s="57"/>
      <c r="Q6780" s="57"/>
      <c r="R6780" s="57"/>
      <c r="S6780" s="97"/>
      <c r="T6780" s="57"/>
      <c r="U6780" s="57"/>
      <c r="V6780" s="57"/>
      <c r="W6780" s="57"/>
      <c r="X6780" s="97"/>
    </row>
    <row r="6781" spans="1:24" s="75" customFormat="1" x14ac:dyDescent="0.35">
      <c r="A6781" s="75">
        <v>6777</v>
      </c>
      <c r="B6781" s="75">
        <v>6778</v>
      </c>
      <c r="C6781">
        <v>146.11355650799899</v>
      </c>
      <c r="D6781">
        <v>-17.625067203699899</v>
      </c>
      <c r="E6781" s="92" t="str">
        <f t="shared" si="13"/>
        <v/>
      </c>
      <c r="I6781" s="75">
        <v>1</v>
      </c>
      <c r="J6781" s="75" t="s">
        <v>26</v>
      </c>
      <c r="K6781" s="97" t="s">
        <v>26</v>
      </c>
      <c r="L6781"/>
      <c r="M6781"/>
      <c r="N6781"/>
      <c r="O6781"/>
      <c r="P6781" s="57"/>
      <c r="Q6781" s="57"/>
      <c r="R6781" s="57"/>
      <c r="S6781" s="97"/>
      <c r="T6781" s="57"/>
      <c r="U6781" s="57"/>
      <c r="V6781" s="57"/>
      <c r="W6781" s="57"/>
      <c r="X6781" s="97"/>
    </row>
    <row r="6782" spans="1:24" s="75" customFormat="1" x14ac:dyDescent="0.35">
      <c r="A6782" s="75">
        <v>6778</v>
      </c>
      <c r="B6782" s="75">
        <v>6779</v>
      </c>
      <c r="C6782">
        <v>146.11355356799899</v>
      </c>
      <c r="D6782">
        <v>-17.624981634800001</v>
      </c>
      <c r="E6782" s="92" t="str">
        <f t="shared" si="13"/>
        <v/>
      </c>
      <c r="I6782" s="75">
        <v>1</v>
      </c>
      <c r="J6782" s="75" t="s">
        <v>26</v>
      </c>
      <c r="K6782" s="97" t="s">
        <v>26</v>
      </c>
      <c r="L6782"/>
      <c r="M6782"/>
      <c r="N6782"/>
      <c r="O6782"/>
      <c r="P6782" s="57"/>
      <c r="Q6782" s="57"/>
      <c r="R6782" s="57"/>
      <c r="S6782" s="97"/>
      <c r="T6782" s="57"/>
      <c r="U6782" s="57"/>
      <c r="V6782" s="57"/>
      <c r="W6782" s="57"/>
      <c r="X6782" s="97"/>
    </row>
    <row r="6783" spans="1:24" s="75" customFormat="1" x14ac:dyDescent="0.35">
      <c r="A6783" s="75">
        <v>6779</v>
      </c>
      <c r="B6783" s="75">
        <v>6780</v>
      </c>
      <c r="C6783">
        <v>146.11355062800001</v>
      </c>
      <c r="D6783">
        <v>-17.624896066000002</v>
      </c>
      <c r="E6783" s="92">
        <f t="shared" si="13"/>
        <v>50</v>
      </c>
      <c r="I6783" s="75">
        <v>1</v>
      </c>
      <c r="J6783" s="75" t="s">
        <v>26</v>
      </c>
      <c r="K6783" s="97" t="s">
        <v>26</v>
      </c>
      <c r="L6783"/>
      <c r="M6783"/>
      <c r="N6783"/>
      <c r="O6783"/>
      <c r="P6783" s="57"/>
      <c r="Q6783" s="57"/>
      <c r="R6783" s="57"/>
      <c r="S6783" s="97"/>
      <c r="T6783" s="57"/>
      <c r="U6783" s="57"/>
      <c r="V6783" s="57"/>
      <c r="W6783" s="57"/>
      <c r="X6783" s="97"/>
    </row>
    <row r="6784" spans="1:24" s="75" customFormat="1" x14ac:dyDescent="0.35">
      <c r="A6784" s="75">
        <v>6780</v>
      </c>
      <c r="B6784" s="75">
        <v>6781</v>
      </c>
      <c r="C6784">
        <v>146.113547689</v>
      </c>
      <c r="D6784">
        <v>-17.624810496999899</v>
      </c>
      <c r="E6784" s="92" t="str">
        <f t="shared" si="13"/>
        <v/>
      </c>
      <c r="I6784" s="75">
        <v>1</v>
      </c>
      <c r="J6784" s="75" t="s">
        <v>26</v>
      </c>
      <c r="K6784" s="97" t="s">
        <v>26</v>
      </c>
      <c r="L6784"/>
      <c r="M6784"/>
      <c r="N6784"/>
      <c r="O6784"/>
      <c r="P6784" s="57"/>
      <c r="Q6784" s="57"/>
      <c r="R6784" s="57"/>
      <c r="S6784" s="97"/>
      <c r="T6784" s="57"/>
      <c r="U6784" s="57"/>
      <c r="V6784" s="57"/>
      <c r="W6784" s="57"/>
      <c r="X6784" s="97"/>
    </row>
    <row r="6785" spans="1:24" s="75" customFormat="1" x14ac:dyDescent="0.35">
      <c r="A6785" s="75">
        <v>6781</v>
      </c>
      <c r="B6785" s="75">
        <v>6782</v>
      </c>
      <c r="C6785">
        <v>146.113544748999</v>
      </c>
      <c r="D6785">
        <v>-17.624724928100001</v>
      </c>
      <c r="E6785" s="92" t="str">
        <f t="shared" si="13"/>
        <v/>
      </c>
      <c r="I6785" s="75">
        <v>1</v>
      </c>
      <c r="J6785" s="75" t="s">
        <v>26</v>
      </c>
      <c r="K6785" s="97" t="s">
        <v>26</v>
      </c>
      <c r="L6785"/>
      <c r="M6785"/>
      <c r="N6785"/>
      <c r="O6785"/>
      <c r="P6785" s="57"/>
      <c r="Q6785" s="57"/>
      <c r="R6785" s="57"/>
      <c r="S6785" s="97"/>
      <c r="T6785" s="57"/>
      <c r="U6785" s="57"/>
      <c r="V6785" s="57"/>
      <c r="W6785" s="57"/>
      <c r="X6785" s="97"/>
    </row>
    <row r="6786" spans="1:24" s="75" customFormat="1" x14ac:dyDescent="0.35">
      <c r="A6786" s="75">
        <v>6782</v>
      </c>
      <c r="B6786" s="75">
        <v>6783</v>
      </c>
      <c r="C6786">
        <v>146.113541808999</v>
      </c>
      <c r="D6786">
        <v>-17.624639359100001</v>
      </c>
      <c r="E6786" s="92" t="str">
        <f t="shared" si="13"/>
        <v/>
      </c>
      <c r="I6786" s="75">
        <v>1</v>
      </c>
      <c r="J6786" s="75" t="s">
        <v>26</v>
      </c>
      <c r="K6786" s="97" t="s">
        <v>26</v>
      </c>
      <c r="L6786"/>
      <c r="M6786"/>
      <c r="N6786"/>
      <c r="O6786"/>
      <c r="P6786" s="57"/>
      <c r="Q6786" s="57"/>
      <c r="R6786" s="57"/>
      <c r="S6786" s="97"/>
      <c r="T6786" s="57"/>
      <c r="U6786" s="57"/>
      <c r="V6786" s="57"/>
      <c r="W6786" s="57"/>
      <c r="X6786" s="97"/>
    </row>
    <row r="6787" spans="1:24" s="75" customFormat="1" x14ac:dyDescent="0.35">
      <c r="A6787" s="75">
        <v>6783</v>
      </c>
      <c r="B6787" s="75">
        <v>6784</v>
      </c>
      <c r="C6787">
        <v>146.113538868999</v>
      </c>
      <c r="D6787">
        <v>-17.62455379</v>
      </c>
      <c r="E6787" s="92" t="str">
        <f t="shared" si="13"/>
        <v/>
      </c>
      <c r="I6787" s="75">
        <v>1</v>
      </c>
      <c r="J6787" s="75" t="s">
        <v>26</v>
      </c>
      <c r="K6787" s="97" t="s">
        <v>26</v>
      </c>
      <c r="L6787"/>
      <c r="M6787"/>
      <c r="N6787"/>
      <c r="O6787"/>
      <c r="P6787" s="57"/>
      <c r="Q6787" s="57"/>
      <c r="R6787" s="57"/>
      <c r="S6787" s="97"/>
      <c r="T6787" s="57"/>
      <c r="U6787" s="57"/>
      <c r="V6787" s="57"/>
      <c r="W6787" s="57"/>
      <c r="X6787" s="97"/>
    </row>
    <row r="6788" spans="1:24" s="75" customFormat="1" x14ac:dyDescent="0.35">
      <c r="A6788" s="75">
        <v>6784</v>
      </c>
      <c r="B6788" s="75">
        <v>6785</v>
      </c>
      <c r="C6788">
        <v>146.113535928999</v>
      </c>
      <c r="D6788">
        <v>-17.6244682208999</v>
      </c>
      <c r="E6788" s="92">
        <f t="shared" si="13"/>
        <v>50</v>
      </c>
      <c r="I6788" s="75">
        <v>1</v>
      </c>
      <c r="J6788" s="75" t="s">
        <v>26</v>
      </c>
      <c r="K6788" s="97" t="s">
        <v>26</v>
      </c>
      <c r="L6788"/>
      <c r="M6788"/>
      <c r="N6788"/>
      <c r="O6788"/>
      <c r="P6788" s="57"/>
      <c r="Q6788" s="57"/>
      <c r="R6788" s="57"/>
      <c r="S6788" s="97"/>
      <c r="T6788" s="57"/>
      <c r="U6788" s="57"/>
      <c r="V6788" s="57"/>
      <c r="W6788" s="57"/>
      <c r="X6788" s="97"/>
    </row>
    <row r="6789" spans="1:24" s="75" customFormat="1" x14ac:dyDescent="0.35">
      <c r="A6789" s="75">
        <v>6785</v>
      </c>
      <c r="B6789" s="75">
        <v>6786</v>
      </c>
      <c r="C6789">
        <v>146.113532988999</v>
      </c>
      <c r="D6789">
        <v>-17.624382651800001</v>
      </c>
      <c r="E6789" s="92" t="str">
        <f t="shared" si="13"/>
        <v/>
      </c>
      <c r="I6789" s="75">
        <v>1</v>
      </c>
      <c r="J6789" s="75" t="s">
        <v>26</v>
      </c>
      <c r="K6789" s="97" t="s">
        <v>26</v>
      </c>
      <c r="L6789"/>
      <c r="M6789"/>
      <c r="N6789"/>
      <c r="O6789"/>
      <c r="P6789" s="57"/>
      <c r="Q6789" s="57"/>
      <c r="R6789" s="57"/>
      <c r="S6789" s="97"/>
      <c r="T6789" s="57"/>
      <c r="U6789" s="57"/>
      <c r="V6789" s="57"/>
      <c r="W6789" s="57"/>
      <c r="X6789" s="97"/>
    </row>
    <row r="6790" spans="1:24" s="75" customFormat="1" x14ac:dyDescent="0.35">
      <c r="A6790" s="75">
        <v>6786</v>
      </c>
      <c r="B6790" s="75">
        <v>6787</v>
      </c>
      <c r="C6790">
        <v>146.11353005000001</v>
      </c>
      <c r="D6790">
        <v>-17.624297082599899</v>
      </c>
      <c r="E6790" s="92" t="str">
        <f t="shared" si="13"/>
        <v/>
      </c>
      <c r="I6790" s="75">
        <v>1</v>
      </c>
      <c r="J6790" s="75" t="s">
        <v>26</v>
      </c>
      <c r="K6790" s="97" t="s">
        <v>26</v>
      </c>
      <c r="L6790"/>
      <c r="M6790"/>
      <c r="N6790"/>
      <c r="O6790"/>
      <c r="P6790" s="57"/>
      <c r="Q6790" s="57"/>
      <c r="R6790" s="57"/>
      <c r="S6790" s="97"/>
      <c r="T6790" s="57"/>
      <c r="U6790" s="57"/>
      <c r="V6790" s="57"/>
      <c r="W6790" s="57"/>
      <c r="X6790" s="97"/>
    </row>
    <row r="6791" spans="1:24" s="75" customFormat="1" x14ac:dyDescent="0.35">
      <c r="A6791" s="75">
        <v>6787</v>
      </c>
      <c r="B6791" s="75">
        <v>6788</v>
      </c>
      <c r="C6791">
        <v>146.11352711000001</v>
      </c>
      <c r="D6791">
        <v>-17.624211513399899</v>
      </c>
      <c r="E6791" s="92" t="str">
        <f t="shared" si="13"/>
        <v/>
      </c>
      <c r="I6791" s="75">
        <v>1</v>
      </c>
      <c r="J6791" s="75" t="s">
        <v>26</v>
      </c>
      <c r="K6791" s="97" t="s">
        <v>26</v>
      </c>
      <c r="L6791"/>
      <c r="M6791"/>
      <c r="N6791"/>
      <c r="O6791"/>
      <c r="P6791" s="57"/>
      <c r="Q6791" s="57"/>
      <c r="R6791" s="57"/>
      <c r="S6791" s="97"/>
      <c r="T6791" s="57"/>
      <c r="U6791" s="57"/>
      <c r="V6791" s="57"/>
      <c r="W6791" s="57"/>
      <c r="X6791" s="97"/>
    </row>
    <row r="6792" spans="1:24" s="75" customFormat="1" x14ac:dyDescent="0.35">
      <c r="A6792" s="75">
        <v>6788</v>
      </c>
      <c r="B6792" s="75">
        <v>6789</v>
      </c>
      <c r="C6792">
        <v>146.11352417000001</v>
      </c>
      <c r="D6792">
        <v>-17.6241259441999</v>
      </c>
      <c r="E6792" s="92" t="str">
        <f t="shared" si="13"/>
        <v/>
      </c>
      <c r="I6792" s="75">
        <v>1</v>
      </c>
      <c r="J6792" s="75" t="s">
        <v>26</v>
      </c>
      <c r="K6792" s="97" t="s">
        <v>26</v>
      </c>
      <c r="L6792"/>
      <c r="M6792"/>
      <c r="N6792"/>
      <c r="O6792"/>
      <c r="P6792" s="57"/>
      <c r="Q6792" s="57"/>
      <c r="R6792" s="57"/>
      <c r="S6792" s="97"/>
      <c r="T6792" s="57"/>
      <c r="U6792" s="57"/>
      <c r="V6792" s="57"/>
      <c r="W6792" s="57"/>
      <c r="X6792" s="97"/>
    </row>
    <row r="6793" spans="1:24" s="75" customFormat="1" x14ac:dyDescent="0.35">
      <c r="A6793" s="75">
        <v>6789</v>
      </c>
      <c r="B6793" s="75">
        <v>6790</v>
      </c>
      <c r="C6793">
        <v>146.113520206999</v>
      </c>
      <c r="D6793">
        <v>-17.624040427800001</v>
      </c>
      <c r="E6793" s="92">
        <f t="shared" si="13"/>
        <v>50</v>
      </c>
      <c r="I6793" s="75">
        <v>1</v>
      </c>
      <c r="J6793" s="75" t="s">
        <v>26</v>
      </c>
      <c r="K6793" s="97" t="s">
        <v>26</v>
      </c>
      <c r="L6793"/>
      <c r="M6793"/>
      <c r="N6793"/>
      <c r="O6793"/>
      <c r="P6793" s="57"/>
      <c r="Q6793" s="57"/>
      <c r="R6793" s="57"/>
      <c r="S6793" s="97"/>
      <c r="T6793" s="57"/>
      <c r="U6793" s="57"/>
      <c r="V6793" s="57"/>
      <c r="W6793" s="57"/>
      <c r="X6793" s="97"/>
    </row>
    <row r="6794" spans="1:24" s="75" customFormat="1" x14ac:dyDescent="0.35">
      <c r="A6794" s="75">
        <v>6790</v>
      </c>
      <c r="B6794" s="75">
        <v>6791</v>
      </c>
      <c r="C6794">
        <v>146.11351340799899</v>
      </c>
      <c r="D6794">
        <v>-17.6239550582</v>
      </c>
      <c r="E6794" s="92" t="str">
        <f t="shared" si="13"/>
        <v/>
      </c>
      <c r="I6794" s="75">
        <v>1</v>
      </c>
      <c r="J6794" s="75" t="s">
        <v>26</v>
      </c>
      <c r="K6794" s="97" t="s">
        <v>26</v>
      </c>
      <c r="L6794"/>
      <c r="M6794"/>
      <c r="N6794"/>
      <c r="O6794"/>
      <c r="P6794" s="57"/>
      <c r="Q6794" s="57"/>
      <c r="R6794" s="57"/>
      <c r="S6794" s="97"/>
      <c r="T6794" s="57"/>
      <c r="U6794" s="57"/>
      <c r="V6794" s="57"/>
      <c r="W6794" s="57"/>
      <c r="X6794" s="97"/>
    </row>
    <row r="6795" spans="1:24" s="75" customFormat="1" x14ac:dyDescent="0.35">
      <c r="A6795" s="75">
        <v>6791</v>
      </c>
      <c r="B6795" s="75">
        <v>6792</v>
      </c>
      <c r="C6795">
        <v>146.11350660900001</v>
      </c>
      <c r="D6795">
        <v>-17.623869688500001</v>
      </c>
      <c r="E6795" s="92" t="str">
        <f t="shared" si="13"/>
        <v/>
      </c>
      <c r="I6795" s="75">
        <v>1</v>
      </c>
      <c r="J6795" s="75" t="s">
        <v>26</v>
      </c>
      <c r="K6795" s="97" t="s">
        <v>26</v>
      </c>
      <c r="L6795"/>
      <c r="M6795"/>
      <c r="N6795"/>
      <c r="O6795"/>
      <c r="P6795" s="57"/>
      <c r="Q6795" s="57"/>
      <c r="R6795" s="57"/>
      <c r="S6795" s="97"/>
      <c r="T6795" s="57"/>
      <c r="U6795" s="57"/>
      <c r="V6795" s="57"/>
      <c r="W6795" s="57"/>
      <c r="X6795" s="97"/>
    </row>
    <row r="6796" spans="1:24" s="75" customFormat="1" x14ac:dyDescent="0.35">
      <c r="A6796" s="75">
        <v>6792</v>
      </c>
      <c r="B6796" s="75">
        <v>6793</v>
      </c>
      <c r="C6796">
        <v>146.11349981000001</v>
      </c>
      <c r="D6796">
        <v>-17.623784318799899</v>
      </c>
      <c r="E6796" s="92" t="str">
        <f t="shared" si="13"/>
        <v/>
      </c>
      <c r="I6796" s="75">
        <v>1</v>
      </c>
      <c r="J6796" s="75" t="s">
        <v>26</v>
      </c>
      <c r="K6796" s="97" t="s">
        <v>26</v>
      </c>
      <c r="L6796"/>
      <c r="M6796"/>
      <c r="N6796"/>
      <c r="O6796"/>
      <c r="P6796" s="57"/>
      <c r="Q6796" s="57"/>
      <c r="R6796" s="57"/>
      <c r="S6796" s="97"/>
      <c r="T6796" s="57"/>
      <c r="U6796" s="57"/>
      <c r="V6796" s="57"/>
      <c r="W6796" s="57"/>
      <c r="X6796" s="97"/>
    </row>
    <row r="6797" spans="1:24" s="75" customFormat="1" x14ac:dyDescent="0.35">
      <c r="A6797" s="75">
        <v>6793</v>
      </c>
      <c r="B6797" s="75">
        <v>6794</v>
      </c>
      <c r="C6797">
        <v>146.113493011</v>
      </c>
      <c r="D6797">
        <v>-17.6236989491</v>
      </c>
      <c r="E6797" s="92" t="str">
        <f t="shared" si="13"/>
        <v/>
      </c>
      <c r="I6797" s="75">
        <v>1</v>
      </c>
      <c r="J6797" s="75" t="s">
        <v>26</v>
      </c>
      <c r="K6797" s="97" t="s">
        <v>26</v>
      </c>
      <c r="L6797"/>
      <c r="M6797"/>
      <c r="N6797"/>
      <c r="O6797"/>
      <c r="P6797" s="57"/>
      <c r="Q6797" s="57"/>
      <c r="R6797" s="57"/>
      <c r="S6797" s="97"/>
      <c r="T6797" s="57"/>
      <c r="U6797" s="57"/>
      <c r="V6797" s="57"/>
      <c r="W6797" s="57"/>
      <c r="X6797" s="97"/>
    </row>
    <row r="6798" spans="1:24" s="75" customFormat="1" x14ac:dyDescent="0.35">
      <c r="A6798" s="75">
        <v>6794</v>
      </c>
      <c r="B6798" s="75">
        <v>6795</v>
      </c>
      <c r="C6798">
        <v>146.11348621299899</v>
      </c>
      <c r="D6798">
        <v>-17.623613579299899</v>
      </c>
      <c r="E6798" s="92">
        <f t="shared" si="13"/>
        <v>50</v>
      </c>
      <c r="I6798" s="75">
        <v>1</v>
      </c>
      <c r="J6798" s="75" t="s">
        <v>26</v>
      </c>
      <c r="K6798" s="97" t="s">
        <v>26</v>
      </c>
      <c r="L6798"/>
      <c r="M6798"/>
      <c r="N6798"/>
      <c r="O6798"/>
      <c r="P6798" s="57"/>
      <c r="Q6798" s="57"/>
      <c r="R6798" s="57"/>
      <c r="S6798" s="97"/>
      <c r="T6798" s="57"/>
      <c r="U6798" s="57"/>
      <c r="V6798" s="57"/>
      <c r="W6798" s="57"/>
      <c r="X6798" s="97"/>
    </row>
    <row r="6799" spans="1:24" s="75" customFormat="1" x14ac:dyDescent="0.35">
      <c r="A6799" s="75">
        <v>6795</v>
      </c>
      <c r="B6799" s="75">
        <v>6796</v>
      </c>
      <c r="C6799">
        <v>146.11347941400001</v>
      </c>
      <c r="D6799">
        <v>-17.6235282094</v>
      </c>
      <c r="E6799" s="92" t="str">
        <f t="shared" si="13"/>
        <v/>
      </c>
      <c r="I6799" s="75">
        <v>1</v>
      </c>
      <c r="J6799" s="75" t="s">
        <v>26</v>
      </c>
      <c r="K6799" s="97" t="s">
        <v>26</v>
      </c>
      <c r="L6799"/>
      <c r="M6799"/>
      <c r="N6799"/>
      <c r="O6799"/>
      <c r="P6799" s="57"/>
      <c r="Q6799" s="57"/>
      <c r="R6799" s="57"/>
      <c r="S6799" s="97"/>
      <c r="T6799" s="57"/>
      <c r="U6799" s="57"/>
      <c r="V6799" s="57"/>
      <c r="W6799" s="57"/>
      <c r="X6799" s="97"/>
    </row>
    <row r="6800" spans="1:24" s="75" customFormat="1" x14ac:dyDescent="0.35">
      <c r="A6800" s="75">
        <v>6796</v>
      </c>
      <c r="B6800" s="75">
        <v>6797</v>
      </c>
      <c r="C6800">
        <v>146.11347261500001</v>
      </c>
      <c r="D6800">
        <v>-17.6234428395999</v>
      </c>
      <c r="E6800" s="92" t="str">
        <f t="shared" ref="E6800:E6863" si="14">IF(MOD(B6800,5)=0, 50, "")</f>
        <v/>
      </c>
      <c r="I6800" s="75">
        <v>1</v>
      </c>
      <c r="J6800" s="75" t="s">
        <v>26</v>
      </c>
      <c r="K6800" s="97" t="s">
        <v>26</v>
      </c>
      <c r="L6800"/>
      <c r="M6800"/>
      <c r="N6800"/>
      <c r="O6800"/>
      <c r="P6800" s="57"/>
      <c r="Q6800" s="57"/>
      <c r="R6800" s="57"/>
      <c r="S6800" s="97"/>
      <c r="T6800" s="57"/>
      <c r="U6800" s="57"/>
      <c r="V6800" s="57"/>
      <c r="W6800" s="57"/>
      <c r="X6800" s="97"/>
    </row>
    <row r="6801" spans="1:24" s="75" customFormat="1" x14ac:dyDescent="0.35">
      <c r="A6801" s="75">
        <v>6797</v>
      </c>
      <c r="B6801" s="75">
        <v>6798</v>
      </c>
      <c r="C6801">
        <v>146.113465816</v>
      </c>
      <c r="D6801">
        <v>-17.6233574697</v>
      </c>
      <c r="E6801" s="92" t="str">
        <f t="shared" si="14"/>
        <v/>
      </c>
      <c r="I6801" s="75">
        <v>1</v>
      </c>
      <c r="J6801" s="75" t="s">
        <v>26</v>
      </c>
      <c r="K6801" s="97" t="s">
        <v>26</v>
      </c>
      <c r="L6801"/>
      <c r="M6801"/>
      <c r="N6801"/>
      <c r="O6801"/>
      <c r="P6801" s="57"/>
      <c r="Q6801" s="57"/>
      <c r="R6801" s="57"/>
      <c r="S6801" s="97"/>
      <c r="T6801" s="57"/>
      <c r="U6801" s="57"/>
      <c r="V6801" s="57"/>
      <c r="W6801" s="57"/>
      <c r="X6801" s="97"/>
    </row>
    <row r="6802" spans="1:24" s="75" customFormat="1" x14ac:dyDescent="0.35">
      <c r="A6802" s="75">
        <v>6798</v>
      </c>
      <c r="B6802" s="75">
        <v>6799</v>
      </c>
      <c r="C6802">
        <v>146.113459016999</v>
      </c>
      <c r="D6802">
        <v>-17.6232720996999</v>
      </c>
      <c r="E6802" s="92" t="str">
        <f t="shared" si="14"/>
        <v/>
      </c>
      <c r="I6802" s="75">
        <v>1</v>
      </c>
      <c r="J6802" s="75" t="s">
        <v>26</v>
      </c>
      <c r="K6802" s="97" t="s">
        <v>26</v>
      </c>
      <c r="L6802"/>
      <c r="M6802"/>
      <c r="N6802"/>
      <c r="O6802"/>
      <c r="P6802" s="57"/>
      <c r="Q6802" s="57"/>
      <c r="R6802" s="57"/>
      <c r="S6802" s="97"/>
      <c r="T6802" s="57"/>
      <c r="U6802" s="57"/>
      <c r="V6802" s="57"/>
      <c r="W6802" s="57"/>
      <c r="X6802" s="97"/>
    </row>
    <row r="6803" spans="1:24" s="75" customFormat="1" x14ac:dyDescent="0.35">
      <c r="A6803" s="75">
        <v>6799</v>
      </c>
      <c r="B6803" s="75">
        <v>6800</v>
      </c>
      <c r="C6803">
        <v>146.113452217999</v>
      </c>
      <c r="D6803">
        <v>-17.623186729699899</v>
      </c>
      <c r="E6803" s="92">
        <f t="shared" si="14"/>
        <v>50</v>
      </c>
      <c r="I6803" s="75">
        <v>1</v>
      </c>
      <c r="J6803" s="75" t="s">
        <v>26</v>
      </c>
      <c r="K6803" s="97" t="s">
        <v>26</v>
      </c>
      <c r="L6803"/>
      <c r="M6803"/>
      <c r="N6803"/>
      <c r="O6803"/>
      <c r="P6803" s="57"/>
      <c r="Q6803" s="57"/>
      <c r="R6803" s="57"/>
      <c r="S6803" s="97"/>
      <c r="T6803" s="57"/>
      <c r="U6803" s="57"/>
      <c r="V6803" s="57"/>
      <c r="W6803" s="57"/>
      <c r="X6803" s="97"/>
    </row>
    <row r="6804" spans="1:24" s="75" customFormat="1" x14ac:dyDescent="0.35">
      <c r="A6804" s="75">
        <v>6800</v>
      </c>
      <c r="B6804" s="75">
        <v>6801</v>
      </c>
      <c r="C6804">
        <v>146.11344541899899</v>
      </c>
      <c r="D6804">
        <v>-17.623101359700001</v>
      </c>
      <c r="E6804" s="92" t="str">
        <f t="shared" si="14"/>
        <v/>
      </c>
      <c r="I6804" s="75">
        <v>1</v>
      </c>
      <c r="J6804" s="75" t="s">
        <v>26</v>
      </c>
      <c r="K6804" s="97" t="s">
        <v>26</v>
      </c>
      <c r="L6804"/>
      <c r="M6804"/>
      <c r="N6804"/>
      <c r="O6804"/>
      <c r="P6804" s="57"/>
      <c r="Q6804" s="57"/>
      <c r="R6804" s="57"/>
      <c r="S6804" s="97"/>
      <c r="T6804" s="57"/>
      <c r="U6804" s="57"/>
      <c r="V6804" s="57"/>
      <c r="W6804" s="57"/>
      <c r="X6804" s="97"/>
    </row>
    <row r="6805" spans="1:24" s="75" customFormat="1" x14ac:dyDescent="0.35">
      <c r="A6805" s="75">
        <v>6801</v>
      </c>
      <c r="B6805" s="75">
        <v>6802</v>
      </c>
      <c r="C6805">
        <v>146.113433506999</v>
      </c>
      <c r="D6805">
        <v>-17.623016519899899</v>
      </c>
      <c r="E6805" s="92" t="str">
        <f t="shared" si="14"/>
        <v/>
      </c>
      <c r="I6805" s="75">
        <v>1</v>
      </c>
      <c r="J6805" s="75" t="s">
        <v>26</v>
      </c>
      <c r="K6805" s="97" t="s">
        <v>26</v>
      </c>
      <c r="L6805"/>
      <c r="M6805"/>
      <c r="N6805"/>
      <c r="O6805"/>
      <c r="P6805" s="57"/>
      <c r="Q6805" s="57"/>
      <c r="R6805" s="57"/>
      <c r="S6805" s="97"/>
      <c r="T6805" s="57"/>
      <c r="U6805" s="57"/>
      <c r="V6805" s="57"/>
      <c r="W6805" s="57"/>
      <c r="X6805" s="97"/>
    </row>
    <row r="6806" spans="1:24" s="75" customFormat="1" x14ac:dyDescent="0.35">
      <c r="A6806" s="75">
        <v>6802</v>
      </c>
      <c r="B6806" s="75">
        <v>6803</v>
      </c>
      <c r="C6806">
        <v>146.113420880999</v>
      </c>
      <c r="D6806">
        <v>-17.6229317542</v>
      </c>
      <c r="E6806" s="92" t="str">
        <f t="shared" si="14"/>
        <v/>
      </c>
      <c r="I6806" s="75">
        <v>1</v>
      </c>
      <c r="J6806" s="75" t="s">
        <v>26</v>
      </c>
      <c r="K6806" s="97" t="s">
        <v>26</v>
      </c>
      <c r="L6806"/>
      <c r="M6806"/>
      <c r="N6806"/>
      <c r="O6806"/>
      <c r="P6806" s="57"/>
      <c r="Q6806" s="57"/>
      <c r="R6806" s="57"/>
      <c r="S6806" s="97"/>
      <c r="T6806" s="57"/>
      <c r="U6806" s="57"/>
      <c r="V6806" s="57"/>
      <c r="W6806" s="57"/>
      <c r="X6806" s="97"/>
    </row>
    <row r="6807" spans="1:24" s="75" customFormat="1" x14ac:dyDescent="0.35">
      <c r="A6807" s="75">
        <v>6803</v>
      </c>
      <c r="B6807" s="75">
        <v>6804</v>
      </c>
      <c r="C6807">
        <v>146.11340825400001</v>
      </c>
      <c r="D6807">
        <v>-17.6228469883999</v>
      </c>
      <c r="E6807" s="92" t="str">
        <f t="shared" si="14"/>
        <v/>
      </c>
      <c r="I6807" s="75">
        <v>1</v>
      </c>
      <c r="J6807" s="75" t="s">
        <v>26</v>
      </c>
      <c r="K6807" s="97" t="s">
        <v>26</v>
      </c>
      <c r="L6807"/>
      <c r="M6807"/>
      <c r="N6807"/>
      <c r="O6807"/>
      <c r="P6807" s="57"/>
      <c r="Q6807" s="57"/>
      <c r="R6807" s="57"/>
      <c r="S6807" s="97"/>
      <c r="T6807" s="57"/>
      <c r="U6807" s="57"/>
      <c r="V6807" s="57"/>
      <c r="W6807" s="57"/>
      <c r="X6807" s="97"/>
    </row>
    <row r="6808" spans="1:24" s="75" customFormat="1" x14ac:dyDescent="0.35">
      <c r="A6808" s="75">
        <v>6804</v>
      </c>
      <c r="B6808" s="75">
        <v>6805</v>
      </c>
      <c r="C6808">
        <v>146.11339562800001</v>
      </c>
      <c r="D6808">
        <v>-17.622762222599899</v>
      </c>
      <c r="E6808" s="92">
        <f t="shared" si="14"/>
        <v>50</v>
      </c>
      <c r="I6808" s="75">
        <v>1</v>
      </c>
      <c r="J6808" s="75" t="s">
        <v>26</v>
      </c>
      <c r="K6808" s="97" t="s">
        <v>26</v>
      </c>
      <c r="L6808"/>
      <c r="M6808"/>
      <c r="N6808"/>
      <c r="O6808"/>
      <c r="P6808" s="57"/>
      <c r="Q6808" s="57"/>
      <c r="R6808" s="57"/>
      <c r="S6808" s="97"/>
      <c r="T6808" s="57"/>
      <c r="U6808" s="57"/>
      <c r="V6808" s="57"/>
      <c r="W6808" s="57"/>
      <c r="X6808" s="97"/>
    </row>
    <row r="6809" spans="1:24" s="75" customFormat="1" x14ac:dyDescent="0.35">
      <c r="A6809" s="75">
        <v>6805</v>
      </c>
      <c r="B6809" s="75">
        <v>6806</v>
      </c>
      <c r="C6809">
        <v>146.11338300099899</v>
      </c>
      <c r="D6809">
        <v>-17.622677456800002</v>
      </c>
      <c r="E6809" s="92" t="str">
        <f t="shared" si="14"/>
        <v/>
      </c>
      <c r="I6809" s="75">
        <v>1</v>
      </c>
      <c r="J6809" s="75" t="s">
        <v>26</v>
      </c>
      <c r="K6809" s="97" t="s">
        <v>26</v>
      </c>
      <c r="L6809"/>
      <c r="M6809"/>
      <c r="N6809"/>
      <c r="O6809"/>
      <c r="P6809" s="57"/>
      <c r="Q6809" s="57"/>
      <c r="R6809" s="57"/>
      <c r="S6809" s="97"/>
      <c r="T6809" s="57"/>
      <c r="U6809" s="57"/>
      <c r="V6809" s="57"/>
      <c r="W6809" s="57"/>
      <c r="X6809" s="97"/>
    </row>
    <row r="6810" spans="1:24" s="75" customFormat="1" x14ac:dyDescent="0.35">
      <c r="A6810" s="75">
        <v>6806</v>
      </c>
      <c r="B6810" s="75">
        <v>6807</v>
      </c>
      <c r="C6810">
        <v>146.11337037499899</v>
      </c>
      <c r="D6810">
        <v>-17.6225926908999</v>
      </c>
      <c r="E6810" s="92" t="str">
        <f t="shared" si="14"/>
        <v/>
      </c>
      <c r="I6810" s="75">
        <v>1</v>
      </c>
      <c r="J6810" s="75" t="s">
        <v>26</v>
      </c>
      <c r="K6810" s="97" t="s">
        <v>26</v>
      </c>
      <c r="L6810"/>
      <c r="M6810"/>
      <c r="N6810"/>
      <c r="O6810"/>
      <c r="P6810" s="57"/>
      <c r="Q6810" s="57"/>
      <c r="R6810" s="57"/>
      <c r="S6810" s="97"/>
      <c r="T6810" s="57"/>
      <c r="U6810" s="57"/>
      <c r="V6810" s="57"/>
      <c r="W6810" s="57"/>
      <c r="X6810" s="97"/>
    </row>
    <row r="6811" spans="1:24" s="75" customFormat="1" x14ac:dyDescent="0.35">
      <c r="A6811" s="75">
        <v>6807</v>
      </c>
      <c r="B6811" s="75">
        <v>6808</v>
      </c>
      <c r="C6811">
        <v>146.113357747999</v>
      </c>
      <c r="D6811">
        <v>-17.622507924899899</v>
      </c>
      <c r="E6811" s="92" t="str">
        <f t="shared" si="14"/>
        <v/>
      </c>
      <c r="I6811" s="75">
        <v>1</v>
      </c>
      <c r="J6811" s="75" t="s">
        <v>26</v>
      </c>
      <c r="K6811" s="97" t="s">
        <v>26</v>
      </c>
      <c r="L6811"/>
      <c r="M6811"/>
      <c r="N6811"/>
      <c r="O6811"/>
      <c r="P6811" s="57"/>
      <c r="Q6811" s="57"/>
      <c r="R6811" s="57"/>
      <c r="S6811" s="97"/>
      <c r="T6811" s="57"/>
      <c r="U6811" s="57"/>
      <c r="V6811" s="57"/>
      <c r="W6811" s="57"/>
      <c r="X6811" s="97"/>
    </row>
    <row r="6812" spans="1:24" s="75" customFormat="1" x14ac:dyDescent="0.35">
      <c r="A6812" s="75">
        <v>6808</v>
      </c>
      <c r="B6812" s="75">
        <v>6809</v>
      </c>
      <c r="C6812">
        <v>146.113345121999</v>
      </c>
      <c r="D6812">
        <v>-17.622423159</v>
      </c>
      <c r="E6812" s="92" t="str">
        <f t="shared" si="14"/>
        <v/>
      </c>
      <c r="I6812" s="75">
        <v>1</v>
      </c>
      <c r="J6812" s="75" t="s">
        <v>26</v>
      </c>
      <c r="K6812" s="97" t="s">
        <v>26</v>
      </c>
      <c r="L6812"/>
      <c r="M6812"/>
      <c r="N6812"/>
      <c r="O6812"/>
      <c r="P6812" s="57"/>
      <c r="Q6812" s="57"/>
      <c r="R6812" s="57"/>
      <c r="S6812" s="97"/>
      <c r="T6812" s="57"/>
      <c r="U6812" s="57"/>
      <c r="V6812" s="57"/>
      <c r="W6812" s="57"/>
      <c r="X6812" s="97"/>
    </row>
    <row r="6813" spans="1:24" s="75" customFormat="1" x14ac:dyDescent="0.35">
      <c r="A6813" s="75">
        <v>6809</v>
      </c>
      <c r="B6813" s="75">
        <v>6810</v>
      </c>
      <c r="C6813">
        <v>146.11333249500001</v>
      </c>
      <c r="D6813">
        <v>-17.622338393</v>
      </c>
      <c r="E6813" s="92">
        <f t="shared" si="14"/>
        <v>50</v>
      </c>
      <c r="I6813" s="75">
        <v>1</v>
      </c>
      <c r="J6813" s="75" t="s">
        <v>26</v>
      </c>
      <c r="K6813" s="97" t="s">
        <v>26</v>
      </c>
      <c r="L6813"/>
      <c r="M6813"/>
      <c r="N6813"/>
      <c r="O6813"/>
      <c r="P6813" s="57"/>
      <c r="Q6813" s="57"/>
      <c r="R6813" s="57"/>
      <c r="S6813" s="97"/>
      <c r="T6813" s="57"/>
      <c r="U6813" s="57"/>
      <c r="V6813" s="57"/>
      <c r="W6813" s="57"/>
      <c r="X6813" s="97"/>
    </row>
    <row r="6814" spans="1:24" s="75" customFormat="1" x14ac:dyDescent="0.35">
      <c r="A6814" s="75">
        <v>6810</v>
      </c>
      <c r="B6814" s="75">
        <v>6811</v>
      </c>
      <c r="C6814">
        <v>146.11331986900001</v>
      </c>
      <c r="D6814">
        <v>-17.622253626900001</v>
      </c>
      <c r="E6814" s="92" t="str">
        <f t="shared" si="14"/>
        <v/>
      </c>
      <c r="I6814" s="75">
        <v>1</v>
      </c>
      <c r="J6814" s="75" t="s">
        <v>26</v>
      </c>
      <c r="K6814" s="97" t="s">
        <v>26</v>
      </c>
      <c r="L6814"/>
      <c r="M6814"/>
      <c r="N6814"/>
      <c r="O6814"/>
      <c r="P6814" s="57"/>
      <c r="Q6814" s="57"/>
      <c r="R6814" s="57"/>
      <c r="S6814" s="97"/>
      <c r="T6814" s="57"/>
      <c r="U6814" s="57"/>
      <c r="V6814" s="57"/>
      <c r="W6814" s="57"/>
      <c r="X6814" s="97"/>
    </row>
    <row r="6815" spans="1:24" s="75" customFormat="1" x14ac:dyDescent="0.35">
      <c r="A6815" s="75">
        <v>6811</v>
      </c>
      <c r="B6815" s="75">
        <v>6812</v>
      </c>
      <c r="C6815">
        <v>146.113307241999</v>
      </c>
      <c r="D6815">
        <v>-17.622168860799899</v>
      </c>
      <c r="E6815" s="92" t="str">
        <f t="shared" si="14"/>
        <v/>
      </c>
      <c r="I6815" s="75">
        <v>1</v>
      </c>
      <c r="J6815" s="75" t="s">
        <v>26</v>
      </c>
      <c r="K6815" s="97" t="s">
        <v>26</v>
      </c>
      <c r="L6815"/>
      <c r="M6815"/>
      <c r="N6815"/>
      <c r="O6815"/>
      <c r="P6815" s="57"/>
      <c r="Q6815" s="57"/>
      <c r="R6815" s="57"/>
      <c r="S6815" s="97"/>
      <c r="T6815" s="57"/>
      <c r="U6815" s="57"/>
      <c r="V6815" s="57"/>
      <c r="W6815" s="57"/>
      <c r="X6815" s="97"/>
    </row>
    <row r="6816" spans="1:24" s="75" customFormat="1" x14ac:dyDescent="0.35">
      <c r="A6816" s="75">
        <v>6812</v>
      </c>
      <c r="B6816" s="75">
        <v>6813</v>
      </c>
      <c r="C6816">
        <v>146.113294615999</v>
      </c>
      <c r="D6816">
        <v>-17.6220840947</v>
      </c>
      <c r="E6816" s="92" t="str">
        <f t="shared" si="14"/>
        <v/>
      </c>
      <c r="I6816" s="75">
        <v>1</v>
      </c>
      <c r="J6816" s="75" t="s">
        <v>26</v>
      </c>
      <c r="K6816" s="97" t="s">
        <v>26</v>
      </c>
      <c r="L6816"/>
      <c r="M6816"/>
      <c r="N6816"/>
      <c r="O6816"/>
      <c r="P6816" s="57"/>
      <c r="Q6816" s="57"/>
      <c r="R6816" s="57"/>
      <c r="S6816" s="97"/>
      <c r="T6816" s="57"/>
      <c r="U6816" s="57"/>
      <c r="V6816" s="57"/>
      <c r="W6816" s="57"/>
      <c r="X6816" s="97"/>
    </row>
    <row r="6817" spans="1:24" s="75" customFormat="1" x14ac:dyDescent="0.35">
      <c r="A6817" s="75">
        <v>6813</v>
      </c>
      <c r="B6817" s="75">
        <v>6814</v>
      </c>
      <c r="C6817">
        <v>146.113281989</v>
      </c>
      <c r="D6817">
        <v>-17.6219993284999</v>
      </c>
      <c r="E6817" s="92" t="str">
        <f t="shared" si="14"/>
        <v/>
      </c>
      <c r="I6817" s="75">
        <v>1</v>
      </c>
      <c r="J6817" s="75" t="s">
        <v>26</v>
      </c>
      <c r="K6817" s="97" t="s">
        <v>26</v>
      </c>
      <c r="L6817"/>
      <c r="M6817"/>
      <c r="N6817"/>
      <c r="O6817"/>
      <c r="P6817" s="57"/>
      <c r="Q6817" s="57"/>
      <c r="R6817" s="57"/>
      <c r="S6817" s="97"/>
      <c r="T6817" s="57"/>
      <c r="U6817" s="57"/>
      <c r="V6817" s="57"/>
      <c r="W6817" s="57"/>
      <c r="X6817" s="97"/>
    </row>
    <row r="6818" spans="1:24" s="75" customFormat="1" x14ac:dyDescent="0.35">
      <c r="A6818" s="75">
        <v>6814</v>
      </c>
      <c r="B6818" s="75">
        <v>6815</v>
      </c>
      <c r="C6818">
        <v>146.113269363</v>
      </c>
      <c r="D6818">
        <v>-17.621914562299899</v>
      </c>
      <c r="E6818" s="92">
        <f t="shared" si="14"/>
        <v>50</v>
      </c>
      <c r="I6818" s="75">
        <v>1</v>
      </c>
      <c r="J6818" s="75" t="s">
        <v>26</v>
      </c>
      <c r="K6818" s="97" t="s">
        <v>26</v>
      </c>
      <c r="L6818"/>
      <c r="M6818"/>
      <c r="N6818"/>
      <c r="O6818"/>
      <c r="P6818" s="57"/>
      <c r="Q6818" s="57"/>
      <c r="R6818" s="57"/>
      <c r="S6818" s="97"/>
      <c r="T6818" s="57"/>
      <c r="U6818" s="57"/>
      <c r="V6818" s="57"/>
      <c r="W6818" s="57"/>
      <c r="X6818" s="97"/>
    </row>
    <row r="6819" spans="1:24" s="75" customFormat="1" x14ac:dyDescent="0.35">
      <c r="A6819" s="75">
        <v>6815</v>
      </c>
      <c r="B6819" s="75">
        <v>6816</v>
      </c>
      <c r="C6819">
        <v>146.11325673600001</v>
      </c>
      <c r="D6819">
        <v>-17.621829796099899</v>
      </c>
      <c r="E6819" s="92" t="str">
        <f t="shared" si="14"/>
        <v/>
      </c>
      <c r="I6819" s="75">
        <v>1</v>
      </c>
      <c r="J6819" s="75" t="s">
        <v>26</v>
      </c>
      <c r="K6819" s="97" t="s">
        <v>26</v>
      </c>
      <c r="L6819"/>
      <c r="M6819"/>
      <c r="N6819"/>
      <c r="O6819"/>
      <c r="P6819" s="57"/>
      <c r="Q6819" s="57"/>
      <c r="R6819" s="57"/>
      <c r="S6819" s="97"/>
      <c r="T6819" s="57"/>
      <c r="U6819" s="57"/>
      <c r="V6819" s="57"/>
      <c r="W6819" s="57"/>
      <c r="X6819" s="97"/>
    </row>
    <row r="6820" spans="1:24" s="75" customFormat="1" x14ac:dyDescent="0.35">
      <c r="A6820" s="75">
        <v>6816</v>
      </c>
      <c r="B6820" s="75">
        <v>6817</v>
      </c>
      <c r="C6820">
        <v>146.11324411000001</v>
      </c>
      <c r="D6820">
        <v>-17.6217450298</v>
      </c>
      <c r="E6820" s="92" t="str">
        <f t="shared" si="14"/>
        <v/>
      </c>
      <c r="I6820" s="75">
        <v>1</v>
      </c>
      <c r="J6820" s="75" t="s">
        <v>26</v>
      </c>
      <c r="K6820" s="97" t="s">
        <v>26</v>
      </c>
      <c r="L6820"/>
      <c r="M6820"/>
      <c r="N6820"/>
      <c r="O6820"/>
      <c r="P6820" s="57"/>
      <c r="Q6820" s="57"/>
      <c r="R6820" s="57"/>
      <c r="S6820" s="97"/>
      <c r="T6820" s="57"/>
      <c r="U6820" s="57"/>
      <c r="V6820" s="57"/>
      <c r="W6820" s="57"/>
      <c r="X6820" s="97"/>
    </row>
    <row r="6821" spans="1:24" s="75" customFormat="1" x14ac:dyDescent="0.35">
      <c r="A6821" s="75">
        <v>6817</v>
      </c>
      <c r="B6821" s="75">
        <v>6818</v>
      </c>
      <c r="C6821">
        <v>146.11322529500001</v>
      </c>
      <c r="D6821">
        <v>-17.6216614573</v>
      </c>
      <c r="E6821" s="92" t="str">
        <f t="shared" si="14"/>
        <v/>
      </c>
      <c r="I6821" s="75">
        <v>1</v>
      </c>
      <c r="J6821" s="75" t="s">
        <v>26</v>
      </c>
      <c r="K6821" s="97" t="s">
        <v>26</v>
      </c>
      <c r="L6821"/>
      <c r="M6821"/>
      <c r="N6821"/>
      <c r="O6821"/>
      <c r="P6821" s="57"/>
      <c r="Q6821" s="57"/>
      <c r="R6821" s="57"/>
      <c r="S6821" s="97"/>
      <c r="T6821" s="57"/>
      <c r="U6821" s="57"/>
      <c r="V6821" s="57"/>
      <c r="W6821" s="57"/>
      <c r="X6821" s="97"/>
    </row>
    <row r="6822" spans="1:24" s="75" customFormat="1" x14ac:dyDescent="0.35">
      <c r="A6822" s="75">
        <v>6818</v>
      </c>
      <c r="B6822" s="75">
        <v>6819</v>
      </c>
      <c r="C6822">
        <v>146.113202338999</v>
      </c>
      <c r="D6822">
        <v>-17.6215786837999</v>
      </c>
      <c r="E6822" s="92" t="str">
        <f t="shared" si="14"/>
        <v/>
      </c>
      <c r="I6822" s="75">
        <v>1</v>
      </c>
      <c r="J6822" s="75" t="s">
        <v>26</v>
      </c>
      <c r="K6822" s="97" t="s">
        <v>26</v>
      </c>
      <c r="L6822"/>
      <c r="M6822"/>
      <c r="N6822"/>
      <c r="O6822"/>
      <c r="P6822" s="57"/>
      <c r="Q6822" s="57"/>
      <c r="R6822" s="57"/>
      <c r="S6822" s="97"/>
      <c r="T6822" s="57"/>
      <c r="U6822" s="57"/>
      <c r="V6822" s="57"/>
      <c r="W6822" s="57"/>
      <c r="X6822" s="97"/>
    </row>
    <row r="6823" spans="1:24" s="75" customFormat="1" x14ac:dyDescent="0.35">
      <c r="A6823" s="75">
        <v>6819</v>
      </c>
      <c r="B6823" s="75">
        <v>6820</v>
      </c>
      <c r="C6823">
        <v>146.113179381999</v>
      </c>
      <c r="D6823">
        <v>-17.6214959102</v>
      </c>
      <c r="E6823" s="92">
        <f t="shared" si="14"/>
        <v>50</v>
      </c>
      <c r="I6823" s="75">
        <v>1</v>
      </c>
      <c r="J6823" s="75" t="s">
        <v>26</v>
      </c>
      <c r="K6823" s="97" t="s">
        <v>26</v>
      </c>
      <c r="L6823"/>
      <c r="M6823"/>
      <c r="N6823"/>
      <c r="O6823"/>
      <c r="P6823" s="57"/>
      <c r="Q6823" s="57"/>
      <c r="R6823" s="57"/>
      <c r="S6823" s="97"/>
      <c r="T6823" s="57"/>
      <c r="U6823" s="57"/>
      <c r="V6823" s="57"/>
      <c r="W6823" s="57"/>
      <c r="X6823" s="97"/>
    </row>
    <row r="6824" spans="1:24" s="75" customFormat="1" x14ac:dyDescent="0.35">
      <c r="A6824" s="75">
        <v>6820</v>
      </c>
      <c r="B6824" s="75">
        <v>6821</v>
      </c>
      <c r="C6824">
        <v>146.11315642599899</v>
      </c>
      <c r="D6824">
        <v>-17.621413136600001</v>
      </c>
      <c r="E6824" s="92" t="str">
        <f t="shared" si="14"/>
        <v/>
      </c>
      <c r="I6824" s="75">
        <v>1</v>
      </c>
      <c r="J6824" s="75" t="s">
        <v>26</v>
      </c>
      <c r="K6824" s="97" t="s">
        <v>26</v>
      </c>
      <c r="L6824"/>
      <c r="M6824"/>
      <c r="N6824"/>
      <c r="O6824"/>
      <c r="P6824" s="57"/>
      <c r="Q6824" s="57"/>
      <c r="R6824" s="57"/>
      <c r="S6824" s="97"/>
      <c r="T6824" s="57"/>
      <c r="U6824" s="57"/>
      <c r="V6824" s="57"/>
      <c r="W6824" s="57"/>
      <c r="X6824" s="97"/>
    </row>
    <row r="6825" spans="1:24" s="75" customFormat="1" x14ac:dyDescent="0.35">
      <c r="A6825" s="75">
        <v>6821</v>
      </c>
      <c r="B6825" s="75">
        <v>6822</v>
      </c>
      <c r="C6825">
        <v>146.11313347000001</v>
      </c>
      <c r="D6825">
        <v>-17.621330362999899</v>
      </c>
      <c r="E6825" s="92" t="str">
        <f t="shared" si="14"/>
        <v/>
      </c>
      <c r="I6825" s="75">
        <v>1</v>
      </c>
      <c r="J6825" s="75" t="s">
        <v>26</v>
      </c>
      <c r="K6825" s="97" t="s">
        <v>26</v>
      </c>
      <c r="L6825"/>
      <c r="M6825"/>
      <c r="N6825"/>
      <c r="O6825"/>
      <c r="P6825" s="57"/>
      <c r="Q6825" s="57"/>
      <c r="R6825" s="57"/>
      <c r="S6825" s="97"/>
      <c r="T6825" s="57"/>
      <c r="U6825" s="57"/>
      <c r="V6825" s="57"/>
      <c r="W6825" s="57"/>
      <c r="X6825" s="97"/>
    </row>
    <row r="6826" spans="1:24" s="75" customFormat="1" x14ac:dyDescent="0.35">
      <c r="A6826" s="75">
        <v>6822</v>
      </c>
      <c r="B6826" s="75">
        <v>6823</v>
      </c>
      <c r="C6826">
        <v>146.11311051300001</v>
      </c>
      <c r="D6826">
        <v>-17.621247589300001</v>
      </c>
      <c r="E6826" s="92" t="str">
        <f t="shared" si="14"/>
        <v/>
      </c>
      <c r="I6826" s="75">
        <v>1</v>
      </c>
      <c r="J6826" s="75" t="s">
        <v>26</v>
      </c>
      <c r="K6826" s="97" t="s">
        <v>26</v>
      </c>
      <c r="L6826"/>
      <c r="M6826"/>
      <c r="N6826"/>
      <c r="O6826"/>
      <c r="P6826" s="57"/>
      <c r="Q6826" s="57"/>
      <c r="R6826" s="57"/>
      <c r="S6826" s="97"/>
      <c r="T6826" s="57"/>
      <c r="U6826" s="57"/>
      <c r="V6826" s="57"/>
      <c r="W6826" s="57"/>
      <c r="X6826" s="97"/>
    </row>
    <row r="6827" spans="1:24" s="75" customFormat="1" x14ac:dyDescent="0.35">
      <c r="A6827" s="75">
        <v>6823</v>
      </c>
      <c r="B6827" s="75">
        <v>6824</v>
      </c>
      <c r="C6827">
        <v>146.113087557</v>
      </c>
      <c r="D6827">
        <v>-17.6211648156</v>
      </c>
      <c r="E6827" s="92" t="str">
        <f t="shared" si="14"/>
        <v/>
      </c>
      <c r="I6827" s="75">
        <v>1</v>
      </c>
      <c r="J6827" s="75" t="s">
        <v>26</v>
      </c>
      <c r="K6827" s="97" t="s">
        <v>26</v>
      </c>
      <c r="L6827"/>
      <c r="M6827"/>
      <c r="N6827"/>
      <c r="O6827"/>
      <c r="P6827" s="57"/>
      <c r="Q6827" s="57"/>
      <c r="R6827" s="57"/>
      <c r="S6827" s="97"/>
      <c r="T6827" s="57"/>
      <c r="U6827" s="57"/>
      <c r="V6827" s="57"/>
      <c r="W6827" s="57"/>
      <c r="X6827" s="97"/>
    </row>
    <row r="6828" spans="1:24" s="75" customFormat="1" x14ac:dyDescent="0.35">
      <c r="A6828" s="75">
        <v>6824</v>
      </c>
      <c r="B6828" s="75">
        <v>6825</v>
      </c>
      <c r="C6828">
        <v>146.113064600999</v>
      </c>
      <c r="D6828">
        <v>-17.621082041800001</v>
      </c>
      <c r="E6828" s="92">
        <f t="shared" si="14"/>
        <v>50</v>
      </c>
      <c r="I6828" s="75">
        <v>1</v>
      </c>
      <c r="J6828" s="75" t="s">
        <v>26</v>
      </c>
      <c r="K6828" s="97" t="s">
        <v>26</v>
      </c>
      <c r="L6828"/>
      <c r="M6828"/>
      <c r="N6828"/>
      <c r="O6828"/>
      <c r="P6828" s="57"/>
      <c r="Q6828" s="57"/>
      <c r="R6828" s="57"/>
      <c r="S6828" s="97"/>
      <c r="T6828" s="57"/>
      <c r="U6828" s="57"/>
      <c r="V6828" s="57"/>
      <c r="W6828" s="57"/>
      <c r="X6828" s="97"/>
    </row>
    <row r="6829" spans="1:24" s="75" customFormat="1" x14ac:dyDescent="0.35">
      <c r="A6829" s="75">
        <v>6825</v>
      </c>
      <c r="B6829" s="75">
        <v>6826</v>
      </c>
      <c r="C6829">
        <v>146.113041643999</v>
      </c>
      <c r="D6829">
        <v>-17.620999267999899</v>
      </c>
      <c r="E6829" s="92" t="str">
        <f t="shared" si="14"/>
        <v/>
      </c>
      <c r="I6829" s="75">
        <v>1</v>
      </c>
      <c r="J6829" s="75" t="s">
        <v>26</v>
      </c>
      <c r="K6829" s="97" t="s">
        <v>26</v>
      </c>
      <c r="L6829"/>
      <c r="M6829"/>
      <c r="N6829"/>
      <c r="O6829"/>
      <c r="P6829" s="57"/>
      <c r="Q6829" s="57"/>
      <c r="R6829" s="57"/>
      <c r="S6829" s="97"/>
      <c r="T6829" s="57"/>
      <c r="U6829" s="57"/>
      <c r="V6829" s="57"/>
      <c r="W6829" s="57"/>
      <c r="X6829" s="97"/>
    </row>
    <row r="6830" spans="1:24" s="75" customFormat="1" x14ac:dyDescent="0.35">
      <c r="A6830" s="75">
        <v>6826</v>
      </c>
      <c r="B6830" s="75">
        <v>6827</v>
      </c>
      <c r="C6830">
        <v>146.11301868800001</v>
      </c>
      <c r="D6830">
        <v>-17.6209164941999</v>
      </c>
      <c r="E6830" s="92" t="str">
        <f t="shared" si="14"/>
        <v/>
      </c>
      <c r="I6830" s="75">
        <v>1</v>
      </c>
      <c r="J6830" s="75" t="s">
        <v>26</v>
      </c>
      <c r="K6830" s="97" t="s">
        <v>26</v>
      </c>
      <c r="L6830"/>
      <c r="M6830"/>
      <c r="N6830"/>
      <c r="O6830"/>
      <c r="P6830" s="57"/>
      <c r="Q6830" s="57"/>
      <c r="R6830" s="57"/>
      <c r="S6830" s="97"/>
      <c r="T6830" s="57"/>
      <c r="U6830" s="57"/>
      <c r="V6830" s="57"/>
      <c r="W6830" s="57"/>
      <c r="X6830" s="97"/>
    </row>
    <row r="6831" spans="1:24" s="75" customFormat="1" x14ac:dyDescent="0.35">
      <c r="A6831" s="75">
        <v>6827</v>
      </c>
      <c r="B6831" s="75">
        <v>6828</v>
      </c>
      <c r="C6831">
        <v>146.112995732</v>
      </c>
      <c r="D6831">
        <v>-17.620833720299899</v>
      </c>
      <c r="E6831" s="92" t="str">
        <f t="shared" si="14"/>
        <v/>
      </c>
      <c r="I6831" s="75">
        <v>1</v>
      </c>
      <c r="J6831" s="75" t="s">
        <v>26</v>
      </c>
      <c r="K6831" s="97" t="s">
        <v>26</v>
      </c>
      <c r="L6831"/>
      <c r="M6831"/>
      <c r="N6831"/>
      <c r="O6831"/>
      <c r="P6831" s="57"/>
      <c r="Q6831" s="57"/>
      <c r="R6831" s="57"/>
      <c r="S6831" s="97"/>
      <c r="T6831" s="57"/>
      <c r="U6831" s="57"/>
      <c r="V6831" s="57"/>
      <c r="W6831" s="57"/>
      <c r="X6831" s="97"/>
    </row>
    <row r="6832" spans="1:24" s="75" customFormat="1" x14ac:dyDescent="0.35">
      <c r="A6832" s="75">
        <v>6828</v>
      </c>
      <c r="B6832" s="75">
        <v>6829</v>
      </c>
      <c r="C6832">
        <v>146.112972775</v>
      </c>
      <c r="D6832">
        <v>-17.620750946400001</v>
      </c>
      <c r="E6832" s="92" t="str">
        <f t="shared" si="14"/>
        <v/>
      </c>
      <c r="I6832" s="75">
        <v>1</v>
      </c>
      <c r="J6832" s="75" t="s">
        <v>26</v>
      </c>
      <c r="K6832" s="97" t="s">
        <v>26</v>
      </c>
      <c r="L6832"/>
      <c r="M6832"/>
      <c r="N6832"/>
      <c r="O6832"/>
      <c r="P6832" s="57"/>
      <c r="Q6832" s="57"/>
      <c r="R6832" s="57"/>
      <c r="S6832" s="97"/>
      <c r="T6832" s="57"/>
      <c r="U6832" s="57"/>
      <c r="V6832" s="57"/>
      <c r="W6832" s="57"/>
      <c r="X6832" s="97"/>
    </row>
    <row r="6833" spans="1:24" s="75" customFormat="1" x14ac:dyDescent="0.35">
      <c r="A6833" s="75">
        <v>6829</v>
      </c>
      <c r="B6833" s="75">
        <v>6830</v>
      </c>
      <c r="C6833">
        <v>146.112945365999</v>
      </c>
      <c r="D6833">
        <v>-17.620669722700001</v>
      </c>
      <c r="E6833" s="92">
        <f t="shared" si="14"/>
        <v>50</v>
      </c>
      <c r="I6833" s="75">
        <v>1</v>
      </c>
      <c r="J6833" s="75" t="s">
        <v>26</v>
      </c>
      <c r="K6833" s="97" t="s">
        <v>26</v>
      </c>
      <c r="L6833"/>
      <c r="M6833"/>
      <c r="N6833"/>
      <c r="O6833"/>
      <c r="P6833" s="57"/>
      <c r="Q6833" s="57"/>
      <c r="R6833" s="57"/>
      <c r="S6833" s="97"/>
      <c r="T6833" s="57"/>
      <c r="U6833" s="57"/>
      <c r="V6833" s="57"/>
      <c r="W6833" s="57"/>
      <c r="X6833" s="97"/>
    </row>
    <row r="6834" spans="1:24" s="75" customFormat="1" x14ac:dyDescent="0.35">
      <c r="A6834" s="75">
        <v>6830</v>
      </c>
      <c r="B6834" s="75">
        <v>6831</v>
      </c>
      <c r="C6834">
        <v>146.11290693800001</v>
      </c>
      <c r="D6834">
        <v>-17.620592335000001</v>
      </c>
      <c r="E6834" s="92" t="str">
        <f t="shared" si="14"/>
        <v/>
      </c>
      <c r="I6834" s="75">
        <v>1</v>
      </c>
      <c r="J6834" s="75" t="s">
        <v>26</v>
      </c>
      <c r="K6834" s="97" t="s">
        <v>26</v>
      </c>
      <c r="L6834"/>
      <c r="M6834"/>
      <c r="N6834"/>
      <c r="O6834"/>
      <c r="P6834" s="57"/>
      <c r="Q6834" s="57"/>
      <c r="R6834" s="57"/>
      <c r="S6834" s="97"/>
      <c r="T6834" s="57"/>
      <c r="U6834" s="57"/>
      <c r="V6834" s="57"/>
      <c r="W6834" s="57"/>
      <c r="X6834" s="97"/>
    </row>
    <row r="6835" spans="1:24" s="75" customFormat="1" x14ac:dyDescent="0.35">
      <c r="A6835" s="75">
        <v>6831</v>
      </c>
      <c r="B6835" s="75">
        <v>6832</v>
      </c>
      <c r="C6835">
        <v>146.112868509999</v>
      </c>
      <c r="D6835">
        <v>-17.6205149474</v>
      </c>
      <c r="E6835" s="92" t="str">
        <f t="shared" si="14"/>
        <v/>
      </c>
      <c r="I6835" s="75">
        <v>1</v>
      </c>
      <c r="J6835" s="75" t="s">
        <v>26</v>
      </c>
      <c r="K6835" s="97" t="s">
        <v>26</v>
      </c>
      <c r="L6835"/>
      <c r="M6835"/>
      <c r="N6835"/>
      <c r="O6835"/>
      <c r="P6835" s="57"/>
      <c r="Q6835" s="57"/>
      <c r="R6835" s="57"/>
      <c r="S6835" s="97"/>
      <c r="T6835" s="57"/>
      <c r="U6835" s="57"/>
      <c r="V6835" s="57"/>
      <c r="W6835" s="57"/>
      <c r="X6835" s="97"/>
    </row>
    <row r="6836" spans="1:24" s="75" customFormat="1" x14ac:dyDescent="0.35">
      <c r="A6836" s="75">
        <v>6832</v>
      </c>
      <c r="B6836" s="75">
        <v>6833</v>
      </c>
      <c r="C6836">
        <v>146.11283008199899</v>
      </c>
      <c r="D6836">
        <v>-17.6204375595999</v>
      </c>
      <c r="E6836" s="92" t="str">
        <f t="shared" si="14"/>
        <v/>
      </c>
      <c r="I6836" s="75">
        <v>1</v>
      </c>
      <c r="J6836" s="75" t="s">
        <v>26</v>
      </c>
      <c r="K6836" s="97" t="s">
        <v>26</v>
      </c>
      <c r="L6836"/>
      <c r="M6836"/>
      <c r="N6836"/>
      <c r="O6836"/>
      <c r="P6836" s="57"/>
      <c r="Q6836" s="57"/>
      <c r="R6836" s="57"/>
      <c r="S6836" s="97"/>
      <c r="T6836" s="57"/>
      <c r="U6836" s="57"/>
      <c r="V6836" s="57"/>
      <c r="W6836" s="57"/>
      <c r="X6836" s="97"/>
    </row>
    <row r="6837" spans="1:24" s="75" customFormat="1" x14ac:dyDescent="0.35">
      <c r="A6837" s="75">
        <v>6833</v>
      </c>
      <c r="B6837" s="75">
        <v>6834</v>
      </c>
      <c r="C6837">
        <v>146.112791654999</v>
      </c>
      <c r="D6837">
        <v>-17.6203601719</v>
      </c>
      <c r="E6837" s="92" t="str">
        <f t="shared" si="14"/>
        <v/>
      </c>
      <c r="I6837" s="75">
        <v>1</v>
      </c>
      <c r="J6837" s="75" t="s">
        <v>26</v>
      </c>
      <c r="K6837" s="97" t="s">
        <v>26</v>
      </c>
      <c r="L6837"/>
      <c r="M6837"/>
      <c r="N6837"/>
      <c r="O6837"/>
      <c r="P6837" s="57"/>
      <c r="Q6837" s="57"/>
      <c r="R6837" s="57"/>
      <c r="S6837" s="97"/>
      <c r="T6837" s="57"/>
      <c r="U6837" s="57"/>
      <c r="V6837" s="57"/>
      <c r="W6837" s="57"/>
      <c r="X6837" s="97"/>
    </row>
    <row r="6838" spans="1:24" s="75" customFormat="1" x14ac:dyDescent="0.35">
      <c r="A6838" s="75">
        <v>6834</v>
      </c>
      <c r="B6838" s="75">
        <v>6835</v>
      </c>
      <c r="C6838">
        <v>146.11275322700001</v>
      </c>
      <c r="D6838">
        <v>-17.620282784099899</v>
      </c>
      <c r="E6838" s="92">
        <f t="shared" si="14"/>
        <v>50</v>
      </c>
      <c r="I6838" s="75">
        <v>1</v>
      </c>
      <c r="J6838" s="75" t="s">
        <v>26</v>
      </c>
      <c r="K6838" s="97" t="s">
        <v>26</v>
      </c>
      <c r="L6838"/>
      <c r="M6838"/>
      <c r="N6838"/>
      <c r="O6838"/>
      <c r="P6838" s="57"/>
      <c r="Q6838" s="57"/>
      <c r="R6838" s="57"/>
      <c r="S6838" s="97"/>
      <c r="T6838" s="57"/>
      <c r="U6838" s="57"/>
      <c r="V6838" s="57"/>
      <c r="W6838" s="57"/>
      <c r="X6838" s="97"/>
    </row>
    <row r="6839" spans="1:24" s="75" customFormat="1" x14ac:dyDescent="0.35">
      <c r="A6839" s="75">
        <v>6835</v>
      </c>
      <c r="B6839" s="75">
        <v>6836</v>
      </c>
      <c r="C6839">
        <v>146.112714799</v>
      </c>
      <c r="D6839">
        <v>-17.620205396300001</v>
      </c>
      <c r="E6839" s="92" t="str">
        <f t="shared" si="14"/>
        <v/>
      </c>
      <c r="I6839" s="75">
        <v>1</v>
      </c>
      <c r="J6839" s="75" t="s">
        <v>26</v>
      </c>
      <c r="K6839" s="97" t="s">
        <v>26</v>
      </c>
      <c r="L6839"/>
      <c r="M6839"/>
      <c r="N6839"/>
      <c r="O6839"/>
      <c r="P6839" s="57"/>
      <c r="Q6839" s="57"/>
      <c r="R6839" s="57"/>
      <c r="S6839" s="97"/>
      <c r="T6839" s="57"/>
      <c r="U6839" s="57"/>
      <c r="V6839" s="57"/>
      <c r="W6839" s="57"/>
      <c r="X6839" s="97"/>
    </row>
    <row r="6840" spans="1:24" s="75" customFormat="1" x14ac:dyDescent="0.35">
      <c r="A6840" s="75">
        <v>6836</v>
      </c>
      <c r="B6840" s="75">
        <v>6837</v>
      </c>
      <c r="C6840">
        <v>146.112673766999</v>
      </c>
      <c r="D6840">
        <v>-17.620129411800001</v>
      </c>
      <c r="E6840" s="92" t="str">
        <f t="shared" si="14"/>
        <v/>
      </c>
      <c r="I6840" s="75">
        <v>1</v>
      </c>
      <c r="J6840" s="75" t="s">
        <v>26</v>
      </c>
      <c r="K6840" s="97" t="s">
        <v>26</v>
      </c>
      <c r="L6840"/>
      <c r="M6840"/>
      <c r="N6840"/>
      <c r="O6840"/>
      <c r="P6840" s="57"/>
      <c r="Q6840" s="57"/>
      <c r="R6840" s="57"/>
      <c r="S6840" s="97"/>
      <c r="T6840" s="57"/>
      <c r="U6840" s="57"/>
      <c r="V6840" s="57"/>
      <c r="W6840" s="57"/>
      <c r="X6840" s="97"/>
    </row>
    <row r="6841" spans="1:24" s="75" customFormat="1" x14ac:dyDescent="0.35">
      <c r="A6841" s="75">
        <v>6837</v>
      </c>
      <c r="B6841" s="75">
        <v>6838</v>
      </c>
      <c r="C6841">
        <v>146.112623993</v>
      </c>
      <c r="D6841">
        <v>-17.6200581384999</v>
      </c>
      <c r="E6841" s="92" t="str">
        <f t="shared" si="14"/>
        <v/>
      </c>
      <c r="I6841" s="75">
        <v>1</v>
      </c>
      <c r="J6841" s="75" t="s">
        <v>26</v>
      </c>
      <c r="K6841" s="97" t="s">
        <v>26</v>
      </c>
      <c r="L6841"/>
      <c r="M6841"/>
      <c r="N6841"/>
      <c r="O6841"/>
      <c r="P6841" s="57"/>
      <c r="Q6841" s="57"/>
      <c r="R6841" s="57"/>
      <c r="S6841" s="97"/>
      <c r="T6841" s="57"/>
      <c r="U6841" s="57"/>
      <c r="V6841" s="57"/>
      <c r="W6841" s="57"/>
      <c r="X6841" s="97"/>
    </row>
    <row r="6842" spans="1:24" s="75" customFormat="1" x14ac:dyDescent="0.35">
      <c r="A6842" s="75">
        <v>6838</v>
      </c>
      <c r="B6842" s="75">
        <v>6839</v>
      </c>
      <c r="C6842">
        <v>146.112574219999</v>
      </c>
      <c r="D6842">
        <v>-17.6199868653</v>
      </c>
      <c r="E6842" s="92" t="str">
        <f t="shared" si="14"/>
        <v/>
      </c>
      <c r="I6842" s="75">
        <v>1</v>
      </c>
      <c r="J6842" s="75" t="s">
        <v>26</v>
      </c>
      <c r="K6842" s="97" t="s">
        <v>26</v>
      </c>
      <c r="L6842"/>
      <c r="M6842"/>
      <c r="N6842"/>
      <c r="O6842"/>
      <c r="P6842" s="57"/>
      <c r="Q6842" s="57"/>
      <c r="R6842" s="57"/>
      <c r="S6842" s="97"/>
      <c r="T6842" s="57"/>
      <c r="U6842" s="57"/>
      <c r="V6842" s="57"/>
      <c r="W6842" s="57"/>
      <c r="X6842" s="97"/>
    </row>
    <row r="6843" spans="1:24" s="75" customFormat="1" x14ac:dyDescent="0.35">
      <c r="A6843" s="75">
        <v>6839</v>
      </c>
      <c r="B6843" s="75">
        <v>6840</v>
      </c>
      <c r="C6843">
        <v>146.112522143999</v>
      </c>
      <c r="D6843">
        <v>-17.619917849</v>
      </c>
      <c r="E6843" s="92">
        <f t="shared" si="14"/>
        <v>50</v>
      </c>
      <c r="I6843" s="75">
        <v>1</v>
      </c>
      <c r="J6843" s="75" t="s">
        <v>26</v>
      </c>
      <c r="K6843" s="97" t="s">
        <v>26</v>
      </c>
      <c r="L6843"/>
      <c r="M6843"/>
      <c r="N6843"/>
      <c r="O6843"/>
      <c r="P6843" s="57"/>
      <c r="Q6843" s="57"/>
      <c r="R6843" s="57"/>
      <c r="S6843" s="97"/>
      <c r="T6843" s="57"/>
      <c r="U6843" s="57"/>
      <c r="V6843" s="57"/>
      <c r="W6843" s="57"/>
      <c r="X6843" s="97"/>
    </row>
    <row r="6844" spans="1:24" s="75" customFormat="1" x14ac:dyDescent="0.35">
      <c r="A6844" s="75">
        <v>6840</v>
      </c>
      <c r="B6844" s="75">
        <v>6841</v>
      </c>
      <c r="C6844">
        <v>146.112445989999</v>
      </c>
      <c r="D6844">
        <v>-17.6198724369</v>
      </c>
      <c r="E6844" s="92" t="str">
        <f t="shared" si="14"/>
        <v/>
      </c>
      <c r="I6844" s="75">
        <v>1</v>
      </c>
      <c r="J6844" s="75" t="s">
        <v>26</v>
      </c>
      <c r="K6844" s="97" t="s">
        <v>26</v>
      </c>
      <c r="L6844"/>
      <c r="M6844"/>
      <c r="N6844"/>
      <c r="O6844"/>
      <c r="P6844" s="57"/>
      <c r="Q6844" s="57"/>
      <c r="R6844" s="57"/>
      <c r="S6844" s="97"/>
      <c r="T6844" s="57"/>
      <c r="U6844" s="57"/>
      <c r="V6844" s="57"/>
      <c r="W6844" s="57"/>
      <c r="X6844" s="97"/>
    </row>
    <row r="6845" spans="1:24" s="75" customFormat="1" x14ac:dyDescent="0.35">
      <c r="A6845" s="75">
        <v>6841</v>
      </c>
      <c r="B6845" s="75">
        <v>6842</v>
      </c>
      <c r="C6845">
        <v>146.112363829999</v>
      </c>
      <c r="D6845">
        <v>-17.6198943712999</v>
      </c>
      <c r="E6845" s="92" t="str">
        <f t="shared" si="14"/>
        <v/>
      </c>
      <c r="I6845" s="75">
        <v>1</v>
      </c>
      <c r="J6845" s="75" t="s">
        <v>26</v>
      </c>
      <c r="K6845" s="97" t="s">
        <v>26</v>
      </c>
      <c r="L6845"/>
      <c r="M6845"/>
      <c r="N6845"/>
      <c r="O6845"/>
      <c r="P6845" s="57"/>
      <c r="Q6845" s="57"/>
      <c r="R6845" s="57"/>
      <c r="S6845" s="97"/>
      <c r="T6845" s="57"/>
      <c r="U6845" s="57"/>
      <c r="V6845" s="57"/>
      <c r="W6845" s="57"/>
      <c r="X6845" s="97"/>
    </row>
    <row r="6846" spans="1:24" s="75" customFormat="1" x14ac:dyDescent="0.35">
      <c r="A6846" s="75">
        <v>6842</v>
      </c>
      <c r="B6846" s="75">
        <v>6843</v>
      </c>
      <c r="C6846">
        <v>146.112297509999</v>
      </c>
      <c r="D6846">
        <v>-17.6199521210999</v>
      </c>
      <c r="E6846" s="92" t="str">
        <f t="shared" si="14"/>
        <v/>
      </c>
      <c r="I6846" s="75">
        <v>1</v>
      </c>
      <c r="J6846" s="75" t="s">
        <v>26</v>
      </c>
      <c r="K6846" s="97" t="s">
        <v>26</v>
      </c>
      <c r="L6846"/>
      <c r="M6846"/>
      <c r="N6846"/>
      <c r="O6846"/>
      <c r="P6846" s="57"/>
      <c r="Q6846" s="57"/>
      <c r="R6846" s="57"/>
      <c r="S6846" s="97"/>
      <c r="T6846" s="57"/>
      <c r="U6846" s="57"/>
      <c r="V6846" s="57"/>
      <c r="W6846" s="57"/>
      <c r="X6846" s="97"/>
    </row>
    <row r="6847" spans="1:24" s="75" customFormat="1" x14ac:dyDescent="0.35">
      <c r="A6847" s="75">
        <v>6843</v>
      </c>
      <c r="B6847" s="75">
        <v>6844</v>
      </c>
      <c r="C6847">
        <v>146.11226061100001</v>
      </c>
      <c r="D6847">
        <v>-17.6200299815</v>
      </c>
      <c r="E6847" s="92" t="str">
        <f t="shared" si="14"/>
        <v/>
      </c>
      <c r="I6847" s="75">
        <v>1</v>
      </c>
      <c r="J6847" s="75" t="s">
        <v>26</v>
      </c>
      <c r="K6847" s="97" t="s">
        <v>26</v>
      </c>
      <c r="L6847"/>
      <c r="M6847"/>
      <c r="N6847"/>
      <c r="O6847"/>
      <c r="P6847" s="57"/>
      <c r="Q6847" s="57"/>
      <c r="R6847" s="57"/>
      <c r="S6847" s="97"/>
      <c r="T6847" s="57"/>
      <c r="U6847" s="57"/>
      <c r="V6847" s="57"/>
      <c r="W6847" s="57"/>
      <c r="X6847" s="97"/>
    </row>
    <row r="6848" spans="1:24" s="75" customFormat="1" x14ac:dyDescent="0.35">
      <c r="A6848" s="75">
        <v>6844</v>
      </c>
      <c r="B6848" s="75">
        <v>6845</v>
      </c>
      <c r="C6848">
        <v>146.11222448199899</v>
      </c>
      <c r="D6848">
        <v>-17.620108369099899</v>
      </c>
      <c r="E6848" s="92">
        <f t="shared" si="14"/>
        <v>50</v>
      </c>
      <c r="I6848" s="75">
        <v>1</v>
      </c>
      <c r="J6848" s="75" t="s">
        <v>26</v>
      </c>
      <c r="K6848" s="97" t="s">
        <v>26</v>
      </c>
      <c r="L6848"/>
      <c r="M6848"/>
      <c r="N6848"/>
      <c r="O6848"/>
      <c r="P6848" s="57"/>
      <c r="Q6848" s="57"/>
      <c r="R6848" s="57"/>
      <c r="S6848" s="97"/>
      <c r="T6848" s="57"/>
      <c r="U6848" s="57"/>
      <c r="V6848" s="57"/>
      <c r="W6848" s="57"/>
      <c r="X6848" s="97"/>
    </row>
    <row r="6849" spans="1:24" s="75" customFormat="1" x14ac:dyDescent="0.35">
      <c r="A6849" s="75">
        <v>6845</v>
      </c>
      <c r="B6849" s="75">
        <v>6846</v>
      </c>
      <c r="C6849">
        <v>146.11218835400001</v>
      </c>
      <c r="D6849">
        <v>-17.620186756700001</v>
      </c>
      <c r="E6849" s="92" t="str">
        <f t="shared" si="14"/>
        <v/>
      </c>
      <c r="I6849" s="75">
        <v>1</v>
      </c>
      <c r="J6849" s="75" t="s">
        <v>26</v>
      </c>
      <c r="K6849" s="97" t="s">
        <v>26</v>
      </c>
      <c r="L6849"/>
      <c r="M6849"/>
      <c r="N6849"/>
      <c r="O6849"/>
      <c r="P6849" s="57"/>
      <c r="Q6849" s="57"/>
      <c r="R6849" s="57"/>
      <c r="S6849" s="97"/>
      <c r="T6849" s="57"/>
      <c r="U6849" s="57"/>
      <c r="V6849" s="57"/>
      <c r="W6849" s="57"/>
      <c r="X6849" s="97"/>
    </row>
    <row r="6850" spans="1:24" s="75" customFormat="1" x14ac:dyDescent="0.35">
      <c r="A6850" s="75">
        <v>6846</v>
      </c>
      <c r="B6850" s="75">
        <v>6847</v>
      </c>
      <c r="C6850">
        <v>146.11215222499899</v>
      </c>
      <c r="D6850">
        <v>-17.620265144200001</v>
      </c>
      <c r="E6850" s="92" t="str">
        <f t="shared" si="14"/>
        <v/>
      </c>
      <c r="I6850" s="75">
        <v>1</v>
      </c>
      <c r="J6850" s="75" t="s">
        <v>26</v>
      </c>
      <c r="K6850" s="97" t="s">
        <v>26</v>
      </c>
      <c r="L6850"/>
      <c r="M6850"/>
      <c r="N6850"/>
      <c r="O6850"/>
      <c r="P6850" s="57"/>
      <c r="Q6850" s="57"/>
      <c r="R6850" s="57"/>
      <c r="S6850" s="97"/>
      <c r="T6850" s="57"/>
      <c r="U6850" s="57"/>
      <c r="V6850" s="57"/>
      <c r="W6850" s="57"/>
      <c r="X6850" s="97"/>
    </row>
    <row r="6851" spans="1:24" s="75" customFormat="1" x14ac:dyDescent="0.35">
      <c r="A6851" s="75">
        <v>6847</v>
      </c>
      <c r="B6851" s="75">
        <v>6848</v>
      </c>
      <c r="C6851">
        <v>146.112119089</v>
      </c>
      <c r="D6851">
        <v>-17.6203446265</v>
      </c>
      <c r="E6851" s="92" t="str">
        <f t="shared" si="14"/>
        <v/>
      </c>
      <c r="I6851" s="75">
        <v>1</v>
      </c>
      <c r="J6851" s="75" t="s">
        <v>26</v>
      </c>
      <c r="K6851" s="97" t="s">
        <v>26</v>
      </c>
      <c r="L6851"/>
      <c r="M6851"/>
      <c r="N6851"/>
      <c r="O6851"/>
      <c r="P6851" s="57"/>
      <c r="Q6851" s="57"/>
      <c r="R6851" s="57"/>
      <c r="S6851" s="97"/>
      <c r="T6851" s="57"/>
      <c r="U6851" s="57"/>
      <c r="V6851" s="57"/>
      <c r="W6851" s="57"/>
      <c r="X6851" s="97"/>
    </row>
    <row r="6852" spans="1:24" s="75" customFormat="1" x14ac:dyDescent="0.35">
      <c r="A6852" s="75">
        <v>6848</v>
      </c>
      <c r="B6852" s="75">
        <v>6849</v>
      </c>
      <c r="C6852">
        <v>146.112090902999</v>
      </c>
      <c r="D6852">
        <v>-17.620425919799899</v>
      </c>
      <c r="E6852" s="92" t="str">
        <f t="shared" si="14"/>
        <v/>
      </c>
      <c r="I6852" s="75">
        <v>1</v>
      </c>
      <c r="J6852" s="75" t="s">
        <v>26</v>
      </c>
      <c r="K6852" s="97" t="s">
        <v>26</v>
      </c>
      <c r="L6852"/>
      <c r="M6852"/>
      <c r="N6852"/>
      <c r="O6852"/>
      <c r="P6852" s="57"/>
      <c r="Q6852" s="57"/>
      <c r="R6852" s="57"/>
      <c r="S6852" s="97"/>
      <c r="T6852" s="57"/>
      <c r="U6852" s="57"/>
      <c r="V6852" s="57"/>
      <c r="W6852" s="57"/>
      <c r="X6852" s="97"/>
    </row>
    <row r="6853" spans="1:24" s="75" customFormat="1" x14ac:dyDescent="0.35">
      <c r="A6853" s="75">
        <v>6849</v>
      </c>
      <c r="B6853" s="75">
        <v>6850</v>
      </c>
      <c r="C6853">
        <v>146.11206271699899</v>
      </c>
      <c r="D6853">
        <v>-17.620507213100002</v>
      </c>
      <c r="E6853" s="92">
        <f t="shared" si="14"/>
        <v>50</v>
      </c>
      <c r="I6853" s="75">
        <v>1</v>
      </c>
      <c r="J6853" s="75" t="s">
        <v>26</v>
      </c>
      <c r="K6853" s="97" t="s">
        <v>26</v>
      </c>
      <c r="L6853"/>
      <c r="M6853"/>
      <c r="N6853"/>
      <c r="O6853"/>
      <c r="P6853" s="57"/>
      <c r="Q6853" s="57"/>
      <c r="R6853" s="57"/>
      <c r="S6853" s="97"/>
      <c r="T6853" s="57"/>
      <c r="U6853" s="57"/>
      <c r="V6853" s="57"/>
      <c r="W6853" s="57"/>
      <c r="X6853" s="97"/>
    </row>
    <row r="6854" spans="1:24" s="75" customFormat="1" x14ac:dyDescent="0.35">
      <c r="A6854" s="75">
        <v>6850</v>
      </c>
      <c r="B6854" s="75">
        <v>6851</v>
      </c>
      <c r="C6854">
        <v>146.11203453100001</v>
      </c>
      <c r="D6854">
        <v>-17.620588506299899</v>
      </c>
      <c r="E6854" s="92" t="str">
        <f t="shared" si="14"/>
        <v/>
      </c>
      <c r="I6854" s="75">
        <v>1</v>
      </c>
      <c r="J6854" s="75" t="s">
        <v>26</v>
      </c>
      <c r="K6854" s="97" t="s">
        <v>26</v>
      </c>
      <c r="L6854"/>
      <c r="M6854"/>
      <c r="N6854"/>
      <c r="O6854"/>
      <c r="P6854" s="57"/>
      <c r="Q6854" s="57"/>
      <c r="R6854" s="57"/>
      <c r="S6854" s="97"/>
      <c r="T6854" s="57"/>
      <c r="U6854" s="57"/>
      <c r="V6854" s="57"/>
      <c r="W6854" s="57"/>
      <c r="X6854" s="97"/>
    </row>
    <row r="6855" spans="1:24" s="75" customFormat="1" x14ac:dyDescent="0.35">
      <c r="A6855" s="75">
        <v>6851</v>
      </c>
      <c r="B6855" s="75">
        <v>6852</v>
      </c>
      <c r="C6855">
        <v>146.112006344999</v>
      </c>
      <c r="D6855">
        <v>-17.620669799600002</v>
      </c>
      <c r="E6855" s="92" t="str">
        <f t="shared" si="14"/>
        <v/>
      </c>
      <c r="I6855" s="75">
        <v>1</v>
      </c>
      <c r="J6855" s="75" t="s">
        <v>26</v>
      </c>
      <c r="K6855" s="97" t="s">
        <v>26</v>
      </c>
      <c r="L6855"/>
      <c r="M6855"/>
      <c r="N6855"/>
      <c r="O6855"/>
      <c r="P6855" s="57"/>
      <c r="Q6855" s="57"/>
      <c r="R6855" s="57"/>
      <c r="S6855" s="97"/>
      <c r="T6855" s="57"/>
      <c r="U6855" s="57"/>
      <c r="V6855" s="57"/>
      <c r="W6855" s="57"/>
      <c r="X6855" s="97"/>
    </row>
    <row r="6856" spans="1:24" s="75" customFormat="1" x14ac:dyDescent="0.35">
      <c r="A6856" s="75">
        <v>6852</v>
      </c>
      <c r="B6856" s="75">
        <v>6853</v>
      </c>
      <c r="C6856">
        <v>146.11197815899899</v>
      </c>
      <c r="D6856">
        <v>-17.620751092700001</v>
      </c>
      <c r="E6856" s="92" t="str">
        <f t="shared" si="14"/>
        <v/>
      </c>
      <c r="I6856" s="75">
        <v>1</v>
      </c>
      <c r="J6856" s="75" t="s">
        <v>26</v>
      </c>
      <c r="K6856" s="97" t="s">
        <v>26</v>
      </c>
      <c r="L6856"/>
      <c r="M6856"/>
      <c r="N6856"/>
      <c r="O6856"/>
      <c r="P6856" s="57"/>
      <c r="Q6856" s="57"/>
      <c r="R6856" s="57"/>
      <c r="S6856" s="97"/>
      <c r="T6856" s="57"/>
      <c r="U6856" s="57"/>
      <c r="V6856" s="57"/>
      <c r="W6856" s="57"/>
      <c r="X6856" s="97"/>
    </row>
    <row r="6857" spans="1:24" s="75" customFormat="1" x14ac:dyDescent="0.35">
      <c r="A6857" s="75">
        <v>6853</v>
      </c>
      <c r="B6857" s="75">
        <v>6854</v>
      </c>
      <c r="C6857">
        <v>146.11194997300001</v>
      </c>
      <c r="D6857">
        <v>-17.620832385899899</v>
      </c>
      <c r="E6857" s="92" t="str">
        <f t="shared" si="14"/>
        <v/>
      </c>
      <c r="I6857" s="75">
        <v>1</v>
      </c>
      <c r="J6857" s="75" t="s">
        <v>26</v>
      </c>
      <c r="K6857" s="97" t="s">
        <v>26</v>
      </c>
      <c r="L6857"/>
      <c r="M6857"/>
      <c r="N6857"/>
      <c r="O6857"/>
      <c r="P6857" s="57"/>
      <c r="Q6857" s="57"/>
      <c r="R6857" s="57"/>
      <c r="S6857" s="97"/>
      <c r="T6857" s="57"/>
      <c r="U6857" s="57"/>
      <c r="V6857" s="57"/>
      <c r="W6857" s="57"/>
      <c r="X6857" s="97"/>
    </row>
    <row r="6858" spans="1:24" s="75" customFormat="1" x14ac:dyDescent="0.35">
      <c r="A6858" s="75">
        <v>6854</v>
      </c>
      <c r="B6858" s="75">
        <v>6855</v>
      </c>
      <c r="C6858">
        <v>146.111921787</v>
      </c>
      <c r="D6858">
        <v>-17.620913679000001</v>
      </c>
      <c r="E6858" s="92">
        <f t="shared" si="14"/>
        <v>50</v>
      </c>
      <c r="I6858" s="75">
        <v>1</v>
      </c>
      <c r="J6858" s="75" t="s">
        <v>26</v>
      </c>
      <c r="K6858" s="97" t="s">
        <v>26</v>
      </c>
      <c r="L6858"/>
      <c r="M6858"/>
      <c r="N6858"/>
      <c r="O6858"/>
      <c r="P6858" s="57"/>
      <c r="Q6858" s="57"/>
      <c r="R6858" s="57"/>
      <c r="S6858" s="97"/>
      <c r="T6858" s="57"/>
      <c r="U6858" s="57"/>
      <c r="V6858" s="57"/>
      <c r="W6858" s="57"/>
      <c r="X6858" s="97"/>
    </row>
    <row r="6859" spans="1:24" s="75" customFormat="1" x14ac:dyDescent="0.35">
      <c r="A6859" s="75">
        <v>6855</v>
      </c>
      <c r="B6859" s="75">
        <v>6856</v>
      </c>
      <c r="C6859">
        <v>146.11189360200001</v>
      </c>
      <c r="D6859">
        <v>-17.620994971999899</v>
      </c>
      <c r="E6859" s="92" t="str">
        <f t="shared" si="14"/>
        <v/>
      </c>
      <c r="I6859" s="75">
        <v>1</v>
      </c>
      <c r="J6859" s="75" t="s">
        <v>26</v>
      </c>
      <c r="K6859" s="97" t="s">
        <v>26</v>
      </c>
      <c r="L6859"/>
      <c r="M6859"/>
      <c r="N6859"/>
      <c r="O6859"/>
      <c r="P6859" s="57"/>
      <c r="Q6859" s="57"/>
      <c r="R6859" s="57"/>
      <c r="S6859" s="97"/>
      <c r="T6859" s="57"/>
      <c r="U6859" s="57"/>
      <c r="V6859" s="57"/>
      <c r="W6859" s="57"/>
      <c r="X6859" s="97"/>
    </row>
    <row r="6860" spans="1:24" s="75" customFormat="1" x14ac:dyDescent="0.35">
      <c r="A6860" s="75">
        <v>6856</v>
      </c>
      <c r="B6860" s="75">
        <v>6857</v>
      </c>
      <c r="C6860">
        <v>146.111865416</v>
      </c>
      <c r="D6860">
        <v>-17.6210762649999</v>
      </c>
      <c r="E6860" s="92" t="str">
        <f t="shared" si="14"/>
        <v/>
      </c>
      <c r="I6860" s="75">
        <v>1</v>
      </c>
      <c r="J6860" s="75" t="s">
        <v>26</v>
      </c>
      <c r="K6860" s="97" t="s">
        <v>26</v>
      </c>
      <c r="L6860"/>
      <c r="M6860"/>
      <c r="N6860"/>
      <c r="O6860"/>
      <c r="P6860" s="57"/>
      <c r="Q6860" s="57"/>
      <c r="R6860" s="57"/>
      <c r="S6860" s="97"/>
      <c r="T6860" s="57"/>
      <c r="U6860" s="57"/>
      <c r="V6860" s="57"/>
      <c r="W6860" s="57"/>
      <c r="X6860" s="97"/>
    </row>
    <row r="6861" spans="1:24" s="75" customFormat="1" x14ac:dyDescent="0.35">
      <c r="A6861" s="75">
        <v>6857</v>
      </c>
      <c r="B6861" s="75">
        <v>6858</v>
      </c>
      <c r="C6861">
        <v>146.111837229999</v>
      </c>
      <c r="D6861">
        <v>-17.621157558099899</v>
      </c>
      <c r="E6861" s="92" t="str">
        <f t="shared" si="14"/>
        <v/>
      </c>
      <c r="I6861" s="75">
        <v>1</v>
      </c>
      <c r="J6861" s="75" t="s">
        <v>26</v>
      </c>
      <c r="K6861" s="97" t="s">
        <v>26</v>
      </c>
      <c r="L6861"/>
      <c r="M6861"/>
      <c r="N6861"/>
      <c r="O6861"/>
      <c r="P6861" s="57"/>
      <c r="Q6861" s="57"/>
      <c r="R6861" s="57"/>
      <c r="S6861" s="97"/>
      <c r="T6861" s="57"/>
      <c r="U6861" s="57"/>
      <c r="V6861" s="57"/>
      <c r="W6861" s="57"/>
      <c r="X6861" s="97"/>
    </row>
    <row r="6862" spans="1:24" s="75" customFormat="1" x14ac:dyDescent="0.35">
      <c r="A6862" s="75">
        <v>6858</v>
      </c>
      <c r="B6862" s="75">
        <v>6859</v>
      </c>
      <c r="C6862">
        <v>146.11180904400001</v>
      </c>
      <c r="D6862">
        <v>-17.621238851000001</v>
      </c>
      <c r="E6862" s="92" t="str">
        <f t="shared" si="14"/>
        <v/>
      </c>
      <c r="I6862" s="75">
        <v>1</v>
      </c>
      <c r="J6862" s="75" t="s">
        <v>26</v>
      </c>
      <c r="K6862" s="97" t="s">
        <v>26</v>
      </c>
      <c r="L6862"/>
      <c r="M6862"/>
      <c r="N6862"/>
      <c r="O6862"/>
      <c r="P6862" s="57"/>
      <c r="Q6862" s="57"/>
      <c r="R6862" s="57"/>
      <c r="S6862" s="97"/>
      <c r="T6862" s="57"/>
      <c r="U6862" s="57"/>
      <c r="V6862" s="57"/>
      <c r="W6862" s="57"/>
      <c r="X6862" s="97"/>
    </row>
    <row r="6863" spans="1:24" s="75" customFormat="1" x14ac:dyDescent="0.35">
      <c r="A6863" s="75">
        <v>6859</v>
      </c>
      <c r="B6863" s="75">
        <v>6860</v>
      </c>
      <c r="C6863">
        <v>146.111780858</v>
      </c>
      <c r="D6863">
        <v>-17.621320143999899</v>
      </c>
      <c r="E6863" s="92">
        <f t="shared" si="14"/>
        <v>50</v>
      </c>
      <c r="I6863" s="75">
        <v>1</v>
      </c>
      <c r="J6863" s="75" t="s">
        <v>26</v>
      </c>
      <c r="K6863" s="97" t="s">
        <v>26</v>
      </c>
      <c r="L6863"/>
      <c r="M6863"/>
      <c r="N6863"/>
      <c r="O6863"/>
      <c r="P6863" s="57"/>
      <c r="Q6863" s="57"/>
      <c r="R6863" s="57"/>
      <c r="S6863" s="97"/>
      <c r="T6863" s="57"/>
      <c r="U6863" s="57"/>
      <c r="V6863" s="57"/>
      <c r="W6863" s="57"/>
      <c r="X6863" s="97"/>
    </row>
    <row r="6864" spans="1:24" s="75" customFormat="1" x14ac:dyDescent="0.35">
      <c r="A6864" s="75">
        <v>6860</v>
      </c>
      <c r="B6864" s="75">
        <v>6861</v>
      </c>
      <c r="C6864">
        <v>146.111752647999</v>
      </c>
      <c r="D6864">
        <v>-17.621401429300001</v>
      </c>
      <c r="E6864" s="92" t="str">
        <f t="shared" ref="E6864:E6927" si="15">IF(MOD(B6864,5)=0, 50, "")</f>
        <v/>
      </c>
      <c r="I6864" s="75">
        <v>1</v>
      </c>
      <c r="J6864" s="75" t="s">
        <v>26</v>
      </c>
      <c r="K6864" s="97" t="s">
        <v>26</v>
      </c>
      <c r="L6864"/>
      <c r="M6864"/>
      <c r="N6864"/>
      <c r="O6864"/>
      <c r="P6864" s="57"/>
      <c r="Q6864" s="57"/>
      <c r="R6864" s="57"/>
      <c r="S6864" s="97"/>
      <c r="T6864" s="57"/>
      <c r="U6864" s="57"/>
      <c r="V6864" s="57"/>
      <c r="W6864" s="57"/>
      <c r="X6864" s="97"/>
    </row>
    <row r="6865" spans="1:24" s="75" customFormat="1" x14ac:dyDescent="0.35">
      <c r="A6865" s="75">
        <v>6861</v>
      </c>
      <c r="B6865" s="75">
        <v>6862</v>
      </c>
      <c r="C6865">
        <v>146.11172412100001</v>
      </c>
      <c r="D6865">
        <v>-17.621482614000001</v>
      </c>
      <c r="E6865" s="92" t="str">
        <f t="shared" si="15"/>
        <v/>
      </c>
      <c r="I6865" s="75">
        <v>1</v>
      </c>
      <c r="J6865" s="75" t="s">
        <v>26</v>
      </c>
      <c r="K6865" s="97" t="s">
        <v>26</v>
      </c>
      <c r="L6865"/>
      <c r="M6865"/>
      <c r="N6865"/>
      <c r="O6865"/>
      <c r="P6865" s="57"/>
      <c r="Q6865" s="57"/>
      <c r="R6865" s="57"/>
      <c r="S6865" s="97"/>
      <c r="T6865" s="57"/>
      <c r="U6865" s="57"/>
      <c r="V6865" s="57"/>
      <c r="W6865" s="57"/>
      <c r="X6865" s="97"/>
    </row>
    <row r="6866" spans="1:24" s="75" customFormat="1" x14ac:dyDescent="0.35">
      <c r="A6866" s="75">
        <v>6862</v>
      </c>
      <c r="B6866" s="75">
        <v>6863</v>
      </c>
      <c r="C6866">
        <v>146.111695593999</v>
      </c>
      <c r="D6866">
        <v>-17.6215637986</v>
      </c>
      <c r="E6866" s="92" t="str">
        <f t="shared" si="15"/>
        <v/>
      </c>
      <c r="I6866" s="75">
        <v>1</v>
      </c>
      <c r="J6866" s="75" t="s">
        <v>26</v>
      </c>
      <c r="K6866" s="97" t="s">
        <v>26</v>
      </c>
      <c r="L6866"/>
      <c r="M6866"/>
      <c r="N6866"/>
      <c r="O6866"/>
      <c r="P6866" s="57"/>
      <c r="Q6866" s="57"/>
      <c r="R6866" s="57"/>
      <c r="S6866" s="97"/>
      <c r="T6866" s="57"/>
      <c r="U6866" s="57"/>
      <c r="V6866" s="57"/>
      <c r="W6866" s="57"/>
      <c r="X6866" s="97"/>
    </row>
    <row r="6867" spans="1:24" s="75" customFormat="1" x14ac:dyDescent="0.35">
      <c r="A6867" s="75">
        <v>6863</v>
      </c>
      <c r="B6867" s="75">
        <v>6864</v>
      </c>
      <c r="C6867">
        <v>146.11166706700001</v>
      </c>
      <c r="D6867">
        <v>-17.6216449832</v>
      </c>
      <c r="E6867" s="92" t="str">
        <f t="shared" si="15"/>
        <v/>
      </c>
      <c r="I6867" s="75">
        <v>1</v>
      </c>
      <c r="J6867" s="75" t="s">
        <v>26</v>
      </c>
      <c r="K6867" s="97" t="s">
        <v>26</v>
      </c>
      <c r="L6867"/>
      <c r="M6867"/>
      <c r="N6867"/>
      <c r="O6867"/>
      <c r="P6867" s="57"/>
      <c r="Q6867" s="57"/>
      <c r="R6867" s="57"/>
      <c r="S6867" s="97"/>
      <c r="T6867" s="57"/>
      <c r="U6867" s="57"/>
      <c r="V6867" s="57"/>
      <c r="W6867" s="57"/>
      <c r="X6867" s="97"/>
    </row>
    <row r="6868" spans="1:24" s="75" customFormat="1" x14ac:dyDescent="0.35">
      <c r="A6868" s="75">
        <v>6864</v>
      </c>
      <c r="B6868" s="75">
        <v>6865</v>
      </c>
      <c r="C6868">
        <v>146.11163853900001</v>
      </c>
      <c r="D6868">
        <v>-17.6217261677</v>
      </c>
      <c r="E6868" s="92">
        <f t="shared" si="15"/>
        <v>50</v>
      </c>
      <c r="I6868" s="75">
        <v>1</v>
      </c>
      <c r="J6868" s="75" t="s">
        <v>26</v>
      </c>
      <c r="K6868" s="97" t="s">
        <v>26</v>
      </c>
      <c r="L6868"/>
      <c r="M6868"/>
      <c r="N6868"/>
      <c r="O6868"/>
      <c r="P6868" s="57"/>
      <c r="Q6868" s="57"/>
      <c r="R6868" s="57"/>
      <c r="S6868" s="97"/>
      <c r="T6868" s="57"/>
      <c r="U6868" s="57"/>
      <c r="V6868" s="57"/>
      <c r="W6868" s="57"/>
      <c r="X6868" s="97"/>
    </row>
    <row r="6869" spans="1:24" s="75" customFormat="1" x14ac:dyDescent="0.35">
      <c r="A6869" s="75">
        <v>6865</v>
      </c>
      <c r="B6869" s="75">
        <v>6866</v>
      </c>
      <c r="C6869">
        <v>146.111610012</v>
      </c>
      <c r="D6869">
        <v>-17.6218073520999</v>
      </c>
      <c r="E6869" s="92" t="str">
        <f t="shared" si="15"/>
        <v/>
      </c>
      <c r="I6869" s="75">
        <v>1</v>
      </c>
      <c r="J6869" s="75" t="s">
        <v>26</v>
      </c>
      <c r="K6869" s="97" t="s">
        <v>26</v>
      </c>
      <c r="L6869"/>
      <c r="M6869"/>
      <c r="N6869"/>
      <c r="O6869"/>
      <c r="P6869" s="57"/>
      <c r="Q6869" s="57"/>
      <c r="R6869" s="57"/>
      <c r="S6869" s="97"/>
      <c r="T6869" s="57"/>
      <c r="U6869" s="57"/>
      <c r="V6869" s="57"/>
      <c r="W6869" s="57"/>
      <c r="X6869" s="97"/>
    </row>
    <row r="6870" spans="1:24" s="75" customFormat="1" x14ac:dyDescent="0.35">
      <c r="A6870" s="75">
        <v>6866</v>
      </c>
      <c r="B6870" s="75">
        <v>6867</v>
      </c>
      <c r="C6870">
        <v>146.11158148499899</v>
      </c>
      <c r="D6870">
        <v>-17.621888536499899</v>
      </c>
      <c r="E6870" s="92" t="str">
        <f t="shared" si="15"/>
        <v/>
      </c>
      <c r="I6870" s="75">
        <v>1</v>
      </c>
      <c r="J6870" s="75" t="s">
        <v>26</v>
      </c>
      <c r="K6870" s="97" t="s">
        <v>26</v>
      </c>
      <c r="L6870"/>
      <c r="M6870"/>
      <c r="N6870"/>
      <c r="O6870"/>
      <c r="P6870" s="57"/>
      <c r="Q6870" s="57"/>
      <c r="R6870" s="57"/>
      <c r="S6870" s="97"/>
      <c r="T6870" s="57"/>
      <c r="U6870" s="57"/>
      <c r="V6870" s="57"/>
      <c r="W6870" s="57"/>
      <c r="X6870" s="97"/>
    </row>
    <row r="6871" spans="1:24" s="75" customFormat="1" x14ac:dyDescent="0.35">
      <c r="A6871" s="75">
        <v>6867</v>
      </c>
      <c r="B6871" s="75">
        <v>6868</v>
      </c>
      <c r="C6871">
        <v>146.11155295699899</v>
      </c>
      <c r="D6871">
        <v>-17.6219697207999</v>
      </c>
      <c r="E6871" s="92" t="str">
        <f t="shared" si="15"/>
        <v/>
      </c>
      <c r="I6871" s="75">
        <v>1</v>
      </c>
      <c r="J6871" s="75" t="s">
        <v>26</v>
      </c>
      <c r="K6871" s="97" t="s">
        <v>26</v>
      </c>
      <c r="L6871"/>
      <c r="M6871"/>
      <c r="N6871"/>
      <c r="O6871"/>
      <c r="P6871" s="57"/>
      <c r="Q6871" s="57"/>
      <c r="R6871" s="57"/>
      <c r="S6871" s="97"/>
      <c r="T6871" s="57"/>
      <c r="U6871" s="57"/>
      <c r="V6871" s="57"/>
      <c r="W6871" s="57"/>
      <c r="X6871" s="97"/>
    </row>
    <row r="6872" spans="1:24" s="75" customFormat="1" x14ac:dyDescent="0.35">
      <c r="A6872" s="75">
        <v>6868</v>
      </c>
      <c r="B6872" s="75">
        <v>6869</v>
      </c>
      <c r="C6872">
        <v>146.11152443</v>
      </c>
      <c r="D6872">
        <v>-17.6220509051</v>
      </c>
      <c r="E6872" s="92" t="str">
        <f t="shared" si="15"/>
        <v/>
      </c>
      <c r="I6872" s="75">
        <v>1</v>
      </c>
      <c r="J6872" s="75" t="s">
        <v>26</v>
      </c>
      <c r="K6872" s="97" t="s">
        <v>26</v>
      </c>
      <c r="L6872"/>
      <c r="M6872"/>
      <c r="N6872"/>
      <c r="O6872"/>
      <c r="P6872" s="57"/>
      <c r="Q6872" s="57"/>
      <c r="R6872" s="57"/>
      <c r="S6872" s="97"/>
      <c r="T6872" s="57"/>
      <c r="U6872" s="57"/>
      <c r="V6872" s="57"/>
      <c r="W6872" s="57"/>
      <c r="X6872" s="97"/>
    </row>
    <row r="6873" spans="1:24" s="75" customFormat="1" x14ac:dyDescent="0.35">
      <c r="A6873" s="75">
        <v>6869</v>
      </c>
      <c r="B6873" s="75">
        <v>6870</v>
      </c>
      <c r="C6873">
        <v>146.111495902</v>
      </c>
      <c r="D6873">
        <v>-17.622132089400001</v>
      </c>
      <c r="E6873" s="92">
        <f t="shared" si="15"/>
        <v>50</v>
      </c>
      <c r="I6873" s="75">
        <v>1</v>
      </c>
      <c r="J6873" s="75" t="s">
        <v>26</v>
      </c>
      <c r="K6873" s="97" t="s">
        <v>26</v>
      </c>
      <c r="L6873"/>
      <c r="M6873"/>
      <c r="N6873"/>
      <c r="O6873"/>
      <c r="P6873" s="57"/>
      <c r="Q6873" s="57"/>
      <c r="R6873" s="57"/>
      <c r="S6873" s="97"/>
      <c r="T6873" s="57"/>
      <c r="U6873" s="57"/>
      <c r="V6873" s="57"/>
      <c r="W6873" s="57"/>
      <c r="X6873" s="97"/>
    </row>
    <row r="6874" spans="1:24" s="75" customFormat="1" x14ac:dyDescent="0.35">
      <c r="A6874" s="75">
        <v>6870</v>
      </c>
      <c r="B6874" s="75">
        <v>6871</v>
      </c>
      <c r="C6874">
        <v>146.11146737499899</v>
      </c>
      <c r="D6874">
        <v>-17.6222132736</v>
      </c>
      <c r="E6874" s="92" t="str">
        <f t="shared" si="15"/>
        <v/>
      </c>
      <c r="I6874" s="75">
        <v>1</v>
      </c>
      <c r="J6874" s="75" t="s">
        <v>26</v>
      </c>
      <c r="K6874" s="97" t="s">
        <v>26</v>
      </c>
      <c r="L6874"/>
      <c r="M6874"/>
      <c r="N6874"/>
      <c r="O6874"/>
      <c r="P6874" s="57"/>
      <c r="Q6874" s="57"/>
      <c r="R6874" s="57"/>
      <c r="S6874" s="97"/>
      <c r="T6874" s="57"/>
      <c r="U6874" s="57"/>
      <c r="V6874" s="57"/>
      <c r="W6874" s="57"/>
      <c r="X6874" s="97"/>
    </row>
    <row r="6875" spans="1:24" s="75" customFormat="1" x14ac:dyDescent="0.35">
      <c r="A6875" s="75">
        <v>6871</v>
      </c>
      <c r="B6875" s="75">
        <v>6872</v>
      </c>
      <c r="C6875">
        <v>146.11143884699899</v>
      </c>
      <c r="D6875">
        <v>-17.622294457799899</v>
      </c>
      <c r="E6875" s="92" t="str">
        <f t="shared" si="15"/>
        <v/>
      </c>
      <c r="I6875" s="75">
        <v>1</v>
      </c>
      <c r="J6875" s="75" t="s">
        <v>26</v>
      </c>
      <c r="K6875" s="97" t="s">
        <v>26</v>
      </c>
      <c r="L6875"/>
      <c r="M6875"/>
      <c r="N6875"/>
      <c r="O6875"/>
      <c r="P6875" s="57"/>
      <c r="Q6875" s="57"/>
      <c r="R6875" s="57"/>
      <c r="S6875" s="97"/>
      <c r="T6875" s="57"/>
      <c r="U6875" s="57"/>
      <c r="V6875" s="57"/>
      <c r="W6875" s="57"/>
      <c r="X6875" s="97"/>
    </row>
    <row r="6876" spans="1:24" s="75" customFormat="1" x14ac:dyDescent="0.35">
      <c r="A6876" s="75">
        <v>6872</v>
      </c>
      <c r="B6876" s="75">
        <v>6873</v>
      </c>
      <c r="C6876">
        <v>146.11141032</v>
      </c>
      <c r="D6876">
        <v>-17.622375642000002</v>
      </c>
      <c r="E6876" s="92" t="str">
        <f t="shared" si="15"/>
        <v/>
      </c>
      <c r="I6876" s="75">
        <v>1</v>
      </c>
      <c r="J6876" s="75" t="s">
        <v>26</v>
      </c>
      <c r="K6876" s="97" t="s">
        <v>26</v>
      </c>
      <c r="L6876"/>
      <c r="M6876"/>
      <c r="N6876"/>
      <c r="O6876"/>
      <c r="P6876" s="57"/>
      <c r="Q6876" s="57"/>
      <c r="R6876" s="57"/>
      <c r="S6876" s="97"/>
      <c r="T6876" s="57"/>
      <c r="U6876" s="57"/>
      <c r="V6876" s="57"/>
      <c r="W6876" s="57"/>
      <c r="X6876" s="97"/>
    </row>
    <row r="6877" spans="1:24" s="75" customFormat="1" x14ac:dyDescent="0.35">
      <c r="A6877" s="75">
        <v>6873</v>
      </c>
      <c r="B6877" s="75">
        <v>6874</v>
      </c>
      <c r="C6877">
        <v>146.111381792</v>
      </c>
      <c r="D6877">
        <v>-17.622456826099899</v>
      </c>
      <c r="E6877" s="92" t="str">
        <f t="shared" si="15"/>
        <v/>
      </c>
      <c r="I6877" s="75">
        <v>1</v>
      </c>
      <c r="J6877" s="75" t="s">
        <v>26</v>
      </c>
      <c r="K6877" s="97" t="s">
        <v>26</v>
      </c>
      <c r="L6877"/>
      <c r="M6877"/>
      <c r="N6877"/>
      <c r="O6877"/>
      <c r="P6877" s="57"/>
      <c r="Q6877" s="57"/>
      <c r="R6877" s="57"/>
      <c r="S6877" s="97"/>
      <c r="T6877" s="57"/>
      <c r="U6877" s="57"/>
      <c r="V6877" s="57"/>
      <c r="W6877" s="57"/>
      <c r="X6877" s="97"/>
    </row>
    <row r="6878" spans="1:24" s="75" customFormat="1" x14ac:dyDescent="0.35">
      <c r="A6878" s="75">
        <v>6874</v>
      </c>
      <c r="B6878" s="75">
        <v>6875</v>
      </c>
      <c r="C6878">
        <v>146.111353264999</v>
      </c>
      <c r="D6878">
        <v>-17.6225380102</v>
      </c>
      <c r="E6878" s="92">
        <f t="shared" si="15"/>
        <v>50</v>
      </c>
      <c r="I6878" s="75">
        <v>1</v>
      </c>
      <c r="J6878" s="75" t="s">
        <v>26</v>
      </c>
      <c r="K6878" s="97" t="s">
        <v>26</v>
      </c>
      <c r="L6878"/>
      <c r="M6878"/>
      <c r="N6878"/>
      <c r="O6878"/>
      <c r="P6878" s="57"/>
      <c r="Q6878" s="57"/>
      <c r="R6878" s="57"/>
      <c r="S6878" s="97"/>
      <c r="T6878" s="57"/>
      <c r="U6878" s="57"/>
      <c r="V6878" s="57"/>
      <c r="W6878" s="57"/>
      <c r="X6878" s="97"/>
    </row>
    <row r="6879" spans="1:24" s="75" customFormat="1" x14ac:dyDescent="0.35">
      <c r="A6879" s="75">
        <v>6875</v>
      </c>
      <c r="B6879" s="75">
        <v>6876</v>
      </c>
      <c r="C6879">
        <v>146.11132473699899</v>
      </c>
      <c r="D6879">
        <v>-17.622619194199899</v>
      </c>
      <c r="E6879" s="92" t="str">
        <f t="shared" si="15"/>
        <v/>
      </c>
      <c r="I6879" s="75">
        <v>1</v>
      </c>
      <c r="J6879" s="75" t="s">
        <v>26</v>
      </c>
      <c r="K6879" s="97" t="s">
        <v>26</v>
      </c>
      <c r="L6879"/>
      <c r="M6879"/>
      <c r="N6879"/>
      <c r="O6879"/>
      <c r="P6879" s="57"/>
      <c r="Q6879" s="57"/>
      <c r="R6879" s="57"/>
      <c r="S6879" s="97"/>
      <c r="T6879" s="57"/>
      <c r="U6879" s="57"/>
      <c r="V6879" s="57"/>
      <c r="W6879" s="57"/>
      <c r="X6879" s="97"/>
    </row>
    <row r="6880" spans="1:24" s="75" customFormat="1" x14ac:dyDescent="0.35">
      <c r="A6880" s="75">
        <v>6876</v>
      </c>
      <c r="B6880" s="75">
        <v>6877</v>
      </c>
      <c r="C6880">
        <v>146.11129621000001</v>
      </c>
      <c r="D6880">
        <v>-17.6227003782999</v>
      </c>
      <c r="E6880" s="92" t="str">
        <f t="shared" si="15"/>
        <v/>
      </c>
      <c r="I6880" s="75">
        <v>1</v>
      </c>
      <c r="J6880" s="75" t="s">
        <v>26</v>
      </c>
      <c r="K6880" s="97" t="s">
        <v>26</v>
      </c>
      <c r="L6880"/>
      <c r="M6880"/>
      <c r="N6880"/>
      <c r="O6880"/>
      <c r="P6880" s="57"/>
      <c r="Q6880" s="57"/>
      <c r="R6880" s="57"/>
      <c r="S6880" s="97"/>
      <c r="T6880" s="57"/>
      <c r="U6880" s="57"/>
      <c r="V6880" s="57"/>
      <c r="W6880" s="57"/>
      <c r="X6880" s="97"/>
    </row>
    <row r="6881" spans="1:24" s="75" customFormat="1" x14ac:dyDescent="0.35">
      <c r="A6881" s="75">
        <v>6877</v>
      </c>
      <c r="B6881" s="75">
        <v>6878</v>
      </c>
      <c r="C6881">
        <v>146.111266661999</v>
      </c>
      <c r="D6881">
        <v>-17.622781212300001</v>
      </c>
      <c r="E6881" s="92" t="str">
        <f t="shared" si="15"/>
        <v/>
      </c>
      <c r="I6881" s="75">
        <v>1</v>
      </c>
      <c r="J6881" s="75" t="s">
        <v>26</v>
      </c>
      <c r="K6881" s="97" t="s">
        <v>26</v>
      </c>
      <c r="L6881"/>
      <c r="M6881"/>
      <c r="N6881"/>
      <c r="O6881"/>
      <c r="P6881" s="57"/>
      <c r="Q6881" s="57"/>
      <c r="R6881" s="57"/>
      <c r="S6881" s="97"/>
      <c r="T6881" s="57"/>
      <c r="U6881" s="57"/>
      <c r="V6881" s="57"/>
      <c r="W6881" s="57"/>
      <c r="X6881" s="97"/>
    </row>
    <row r="6882" spans="1:24" s="75" customFormat="1" x14ac:dyDescent="0.35">
      <c r="A6882" s="75">
        <v>6878</v>
      </c>
      <c r="B6882" s="75">
        <v>6879</v>
      </c>
      <c r="C6882">
        <v>146.11123439599899</v>
      </c>
      <c r="D6882">
        <v>-17.6228611149999</v>
      </c>
      <c r="E6882" s="92" t="str">
        <f t="shared" si="15"/>
        <v/>
      </c>
      <c r="I6882" s="75">
        <v>1</v>
      </c>
      <c r="J6882" s="75" t="s">
        <v>26</v>
      </c>
      <c r="K6882" s="97" t="s">
        <v>26</v>
      </c>
      <c r="L6882"/>
      <c r="M6882"/>
      <c r="N6882"/>
      <c r="O6882"/>
      <c r="P6882" s="57"/>
      <c r="Q6882" s="57"/>
      <c r="R6882" s="57"/>
      <c r="S6882" s="97"/>
      <c r="T6882" s="57"/>
      <c r="U6882" s="57"/>
      <c r="V6882" s="57"/>
      <c r="W6882" s="57"/>
      <c r="X6882" s="97"/>
    </row>
    <row r="6883" spans="1:24" s="75" customFormat="1" x14ac:dyDescent="0.35">
      <c r="A6883" s="75">
        <v>6879</v>
      </c>
      <c r="B6883" s="75">
        <v>6880</v>
      </c>
      <c r="C6883">
        <v>146.111202130999</v>
      </c>
      <c r="D6883">
        <v>-17.622941017700001</v>
      </c>
      <c r="E6883" s="92">
        <f t="shared" si="15"/>
        <v>50</v>
      </c>
      <c r="I6883" s="75">
        <v>1</v>
      </c>
      <c r="J6883" s="75" t="s">
        <v>26</v>
      </c>
      <c r="K6883" s="97" t="s">
        <v>26</v>
      </c>
      <c r="L6883"/>
      <c r="M6883"/>
      <c r="N6883"/>
      <c r="O6883"/>
      <c r="P6883" s="57"/>
      <c r="Q6883" s="57"/>
      <c r="R6883" s="57"/>
      <c r="S6883" s="97"/>
      <c r="T6883" s="57"/>
      <c r="U6883" s="57"/>
      <c r="V6883" s="57"/>
      <c r="W6883" s="57"/>
      <c r="X6883" s="97"/>
    </row>
    <row r="6884" spans="1:24" s="75" customFormat="1" x14ac:dyDescent="0.35">
      <c r="A6884" s="75">
        <v>6880</v>
      </c>
      <c r="B6884" s="75">
        <v>6881</v>
      </c>
      <c r="C6884">
        <v>146.11116986600001</v>
      </c>
      <c r="D6884">
        <v>-17.6230209203</v>
      </c>
      <c r="E6884" s="92" t="str">
        <f t="shared" si="15"/>
        <v/>
      </c>
      <c r="I6884" s="75">
        <v>1</v>
      </c>
      <c r="J6884" s="75" t="s">
        <v>26</v>
      </c>
      <c r="K6884" s="97" t="s">
        <v>26</v>
      </c>
      <c r="L6884"/>
      <c r="M6884"/>
      <c r="N6884"/>
      <c r="O6884"/>
      <c r="P6884" s="57"/>
      <c r="Q6884" s="57"/>
      <c r="R6884" s="57"/>
      <c r="S6884" s="97"/>
      <c r="T6884" s="57"/>
      <c r="U6884" s="57"/>
      <c r="V6884" s="57"/>
      <c r="W6884" s="57"/>
      <c r="X6884" s="97"/>
    </row>
    <row r="6885" spans="1:24" s="75" customFormat="1" x14ac:dyDescent="0.35">
      <c r="A6885" s="75">
        <v>6881</v>
      </c>
      <c r="B6885" s="75">
        <v>6882</v>
      </c>
      <c r="C6885">
        <v>146.111137600999</v>
      </c>
      <c r="D6885">
        <v>-17.6231008229</v>
      </c>
      <c r="E6885" s="92" t="str">
        <f t="shared" si="15"/>
        <v/>
      </c>
      <c r="I6885" s="75">
        <v>1</v>
      </c>
      <c r="J6885" s="75" t="s">
        <v>26</v>
      </c>
      <c r="K6885" s="97" t="s">
        <v>26</v>
      </c>
      <c r="L6885"/>
      <c r="M6885"/>
      <c r="N6885"/>
      <c r="O6885"/>
      <c r="P6885" s="57"/>
      <c r="Q6885" s="57"/>
      <c r="R6885" s="57"/>
      <c r="S6885" s="97"/>
      <c r="T6885" s="57"/>
      <c r="U6885" s="57"/>
      <c r="V6885" s="57"/>
      <c r="W6885" s="57"/>
      <c r="X6885" s="97"/>
    </row>
    <row r="6886" spans="1:24" s="75" customFormat="1" x14ac:dyDescent="0.35">
      <c r="A6886" s="75">
        <v>6882</v>
      </c>
      <c r="B6886" s="75">
        <v>6883</v>
      </c>
      <c r="C6886">
        <v>146.11110533600001</v>
      </c>
      <c r="D6886">
        <v>-17.623180725400001</v>
      </c>
      <c r="E6886" s="92" t="str">
        <f t="shared" si="15"/>
        <v/>
      </c>
      <c r="I6886" s="75">
        <v>1</v>
      </c>
      <c r="J6886" s="75" t="s">
        <v>26</v>
      </c>
      <c r="K6886" s="97" t="s">
        <v>26</v>
      </c>
      <c r="L6886"/>
      <c r="M6886"/>
      <c r="N6886"/>
      <c r="O6886"/>
      <c r="P6886" s="57"/>
      <c r="Q6886" s="57"/>
      <c r="R6886" s="57"/>
      <c r="S6886" s="97"/>
      <c r="T6886" s="57"/>
      <c r="U6886" s="57"/>
      <c r="V6886" s="57"/>
      <c r="W6886" s="57"/>
      <c r="X6886" s="97"/>
    </row>
    <row r="6887" spans="1:24" s="75" customFormat="1" x14ac:dyDescent="0.35">
      <c r="A6887" s="75">
        <v>6883</v>
      </c>
      <c r="B6887" s="75">
        <v>6884</v>
      </c>
      <c r="C6887">
        <v>146.111073070999</v>
      </c>
      <c r="D6887">
        <v>-17.623260627899899</v>
      </c>
      <c r="E6887" s="92" t="str">
        <f t="shared" si="15"/>
        <v/>
      </c>
      <c r="I6887" s="75">
        <v>1</v>
      </c>
      <c r="J6887" s="75" t="s">
        <v>26</v>
      </c>
      <c r="K6887" s="97" t="s">
        <v>26</v>
      </c>
      <c r="L6887"/>
      <c r="M6887"/>
      <c r="N6887"/>
      <c r="O6887"/>
      <c r="P6887" s="57"/>
      <c r="Q6887" s="57"/>
      <c r="R6887" s="57"/>
      <c r="S6887" s="97"/>
      <c r="T6887" s="57"/>
      <c r="U6887" s="57"/>
      <c r="V6887" s="57"/>
      <c r="W6887" s="57"/>
      <c r="X6887" s="97"/>
    </row>
    <row r="6888" spans="1:24" s="75" customFormat="1" x14ac:dyDescent="0.35">
      <c r="A6888" s="75">
        <v>6884</v>
      </c>
      <c r="B6888" s="75">
        <v>6885</v>
      </c>
      <c r="C6888">
        <v>146.11104080600001</v>
      </c>
      <c r="D6888">
        <v>-17.6233405304</v>
      </c>
      <c r="E6888" s="92">
        <f t="shared" si="15"/>
        <v>50</v>
      </c>
      <c r="I6888" s="75">
        <v>1</v>
      </c>
      <c r="J6888" s="75" t="s">
        <v>26</v>
      </c>
      <c r="K6888" s="97" t="s">
        <v>26</v>
      </c>
      <c r="L6888"/>
      <c r="M6888"/>
      <c r="N6888"/>
      <c r="O6888"/>
      <c r="P6888" s="57"/>
      <c r="Q6888" s="57"/>
      <c r="R6888" s="57"/>
      <c r="S6888" s="97"/>
      <c r="T6888" s="57"/>
      <c r="U6888" s="57"/>
      <c r="V6888" s="57"/>
      <c r="W6888" s="57"/>
      <c r="X6888" s="97"/>
    </row>
    <row r="6889" spans="1:24" s="75" customFormat="1" x14ac:dyDescent="0.35">
      <c r="A6889" s="75">
        <v>6885</v>
      </c>
      <c r="B6889" s="75">
        <v>6886</v>
      </c>
      <c r="C6889">
        <v>146.11100854099899</v>
      </c>
      <c r="D6889">
        <v>-17.623420432900001</v>
      </c>
      <c r="E6889" s="92" t="str">
        <f t="shared" si="15"/>
        <v/>
      </c>
      <c r="I6889" s="75">
        <v>1</v>
      </c>
      <c r="J6889" s="75" t="s">
        <v>26</v>
      </c>
      <c r="K6889" s="97" t="s">
        <v>26</v>
      </c>
      <c r="L6889"/>
      <c r="M6889"/>
      <c r="N6889"/>
      <c r="O6889"/>
      <c r="P6889" s="57"/>
      <c r="Q6889" s="57"/>
      <c r="R6889" s="57"/>
      <c r="S6889" s="97"/>
      <c r="T6889" s="57"/>
      <c r="U6889" s="57"/>
      <c r="V6889" s="57"/>
      <c r="W6889" s="57"/>
      <c r="X6889" s="97"/>
    </row>
    <row r="6890" spans="1:24" s="75" customFormat="1" x14ac:dyDescent="0.35">
      <c r="A6890" s="75">
        <v>6886</v>
      </c>
      <c r="B6890" s="75">
        <v>6887</v>
      </c>
      <c r="C6890">
        <v>146.110976276</v>
      </c>
      <c r="D6890">
        <v>-17.623500335300001</v>
      </c>
      <c r="E6890" s="92" t="str">
        <f t="shared" si="15"/>
        <v/>
      </c>
      <c r="I6890" s="75">
        <v>1</v>
      </c>
      <c r="J6890" s="75" t="s">
        <v>26</v>
      </c>
      <c r="K6890" s="97" t="s">
        <v>26</v>
      </c>
      <c r="L6890"/>
      <c r="M6890"/>
      <c r="N6890"/>
      <c r="O6890"/>
      <c r="P6890" s="57"/>
      <c r="Q6890" s="57"/>
      <c r="R6890" s="57"/>
      <c r="S6890" s="97"/>
      <c r="T6890" s="57"/>
      <c r="U6890" s="57"/>
      <c r="V6890" s="57"/>
      <c r="W6890" s="57"/>
      <c r="X6890" s="97"/>
    </row>
    <row r="6891" spans="1:24" s="75" customFormat="1" x14ac:dyDescent="0.35">
      <c r="A6891" s="75">
        <v>6887</v>
      </c>
      <c r="B6891" s="75">
        <v>6888</v>
      </c>
      <c r="C6891">
        <v>146.11094401099899</v>
      </c>
      <c r="D6891">
        <v>-17.623580237700001</v>
      </c>
      <c r="E6891" s="92" t="str">
        <f t="shared" si="15"/>
        <v/>
      </c>
      <c r="I6891" s="75">
        <v>1</v>
      </c>
      <c r="J6891" s="75" t="s">
        <v>26</v>
      </c>
      <c r="K6891" s="97" t="s">
        <v>26</v>
      </c>
      <c r="L6891"/>
      <c r="M6891"/>
      <c r="N6891"/>
      <c r="O6891"/>
      <c r="P6891" s="57"/>
      <c r="Q6891" s="57"/>
      <c r="R6891" s="57"/>
      <c r="S6891" s="97"/>
      <c r="T6891" s="57"/>
      <c r="U6891" s="57"/>
      <c r="V6891" s="57"/>
      <c r="W6891" s="57"/>
      <c r="X6891" s="97"/>
    </row>
    <row r="6892" spans="1:24" s="75" customFormat="1" x14ac:dyDescent="0.35">
      <c r="A6892" s="75">
        <v>6888</v>
      </c>
      <c r="B6892" s="75">
        <v>6889</v>
      </c>
      <c r="C6892">
        <v>146.110911745999</v>
      </c>
      <c r="D6892">
        <v>-17.623660139999899</v>
      </c>
      <c r="E6892" s="92" t="str">
        <f t="shared" si="15"/>
        <v/>
      </c>
      <c r="I6892" s="75">
        <v>1</v>
      </c>
      <c r="J6892" s="75" t="s">
        <v>26</v>
      </c>
      <c r="K6892" s="97" t="s">
        <v>26</v>
      </c>
      <c r="L6892"/>
      <c r="M6892"/>
      <c r="N6892"/>
      <c r="O6892"/>
      <c r="P6892" s="57"/>
      <c r="Q6892" s="57"/>
      <c r="R6892" s="57"/>
      <c r="S6892" s="97"/>
      <c r="T6892" s="57"/>
      <c r="U6892" s="57"/>
      <c r="V6892" s="57"/>
      <c r="W6892" s="57"/>
      <c r="X6892" s="97"/>
    </row>
    <row r="6893" spans="1:24" s="75" customFormat="1" x14ac:dyDescent="0.35">
      <c r="A6893" s="75">
        <v>6889</v>
      </c>
      <c r="B6893" s="75">
        <v>6890</v>
      </c>
      <c r="C6893">
        <v>146.11087948100001</v>
      </c>
      <c r="D6893">
        <v>-17.6237400423</v>
      </c>
      <c r="E6893" s="92">
        <f t="shared" si="15"/>
        <v>50</v>
      </c>
      <c r="I6893" s="75">
        <v>1</v>
      </c>
      <c r="J6893" s="75" t="s">
        <v>26</v>
      </c>
      <c r="K6893" s="97" t="s">
        <v>26</v>
      </c>
      <c r="L6893"/>
      <c r="M6893"/>
      <c r="N6893"/>
      <c r="O6893"/>
      <c r="P6893" s="57"/>
      <c r="Q6893" s="57"/>
      <c r="R6893" s="57"/>
      <c r="S6893" s="97"/>
      <c r="T6893" s="57"/>
      <c r="U6893" s="57"/>
      <c r="V6893" s="57"/>
      <c r="W6893" s="57"/>
      <c r="X6893" s="97"/>
    </row>
    <row r="6894" spans="1:24" s="75" customFormat="1" x14ac:dyDescent="0.35">
      <c r="A6894" s="75">
        <v>6890</v>
      </c>
      <c r="B6894" s="75">
        <v>6891</v>
      </c>
      <c r="C6894">
        <v>146.110847215999</v>
      </c>
      <c r="D6894">
        <v>-17.623819944600001</v>
      </c>
      <c r="E6894" s="92" t="str">
        <f t="shared" si="15"/>
        <v/>
      </c>
      <c r="I6894" s="75">
        <v>1</v>
      </c>
      <c r="J6894" s="75" t="s">
        <v>26</v>
      </c>
      <c r="K6894" s="97" t="s">
        <v>26</v>
      </c>
      <c r="L6894"/>
      <c r="M6894"/>
      <c r="N6894"/>
      <c r="O6894"/>
      <c r="P6894" s="57"/>
      <c r="Q6894" s="57"/>
      <c r="R6894" s="57"/>
      <c r="S6894" s="97"/>
      <c r="T6894" s="57"/>
      <c r="U6894" s="57"/>
      <c r="V6894" s="57"/>
      <c r="W6894" s="57"/>
      <c r="X6894" s="97"/>
    </row>
    <row r="6895" spans="1:24" s="75" customFormat="1" x14ac:dyDescent="0.35">
      <c r="A6895" s="75">
        <v>6891</v>
      </c>
      <c r="B6895" s="75">
        <v>6892</v>
      </c>
      <c r="C6895">
        <v>146.11081495100001</v>
      </c>
      <c r="D6895">
        <v>-17.623899846800001</v>
      </c>
      <c r="E6895" s="92" t="str">
        <f t="shared" si="15"/>
        <v/>
      </c>
      <c r="I6895" s="75">
        <v>1</v>
      </c>
      <c r="J6895" s="75" t="s">
        <v>26</v>
      </c>
      <c r="K6895" s="97" t="s">
        <v>26</v>
      </c>
      <c r="L6895"/>
      <c r="M6895"/>
      <c r="N6895"/>
      <c r="O6895"/>
      <c r="P6895" s="57"/>
      <c r="Q6895" s="57"/>
      <c r="R6895" s="57"/>
      <c r="S6895" s="97"/>
      <c r="T6895" s="57"/>
      <c r="U6895" s="57"/>
      <c r="V6895" s="57"/>
      <c r="W6895" s="57"/>
      <c r="X6895" s="97"/>
    </row>
    <row r="6896" spans="1:24" s="75" customFormat="1" x14ac:dyDescent="0.35">
      <c r="A6896" s="75">
        <v>6892</v>
      </c>
      <c r="B6896" s="75">
        <v>6893</v>
      </c>
      <c r="C6896">
        <v>146.110782685999</v>
      </c>
      <c r="D6896">
        <v>-17.623979749</v>
      </c>
      <c r="E6896" s="92" t="str">
        <f t="shared" si="15"/>
        <v/>
      </c>
      <c r="I6896" s="75">
        <v>1</v>
      </c>
      <c r="J6896" s="75" t="s">
        <v>26</v>
      </c>
      <c r="K6896" s="97" t="s">
        <v>26</v>
      </c>
      <c r="L6896"/>
      <c r="M6896"/>
      <c r="N6896"/>
      <c r="O6896"/>
      <c r="P6896" s="57"/>
      <c r="Q6896" s="57"/>
      <c r="R6896" s="57"/>
      <c r="S6896" s="97"/>
      <c r="T6896" s="57"/>
      <c r="U6896" s="57"/>
      <c r="V6896" s="57"/>
      <c r="W6896" s="57"/>
      <c r="X6896" s="97"/>
    </row>
    <row r="6897" spans="1:24" s="75" customFormat="1" x14ac:dyDescent="0.35">
      <c r="A6897" s="75">
        <v>6893</v>
      </c>
      <c r="B6897" s="75">
        <v>6894</v>
      </c>
      <c r="C6897">
        <v>146.11075042100001</v>
      </c>
      <c r="D6897">
        <v>-17.6240596512</v>
      </c>
      <c r="E6897" s="92" t="str">
        <f t="shared" si="15"/>
        <v/>
      </c>
      <c r="I6897" s="75">
        <v>1</v>
      </c>
      <c r="J6897" s="75" t="s">
        <v>26</v>
      </c>
      <c r="K6897" s="97" t="s">
        <v>26</v>
      </c>
      <c r="L6897"/>
      <c r="M6897"/>
      <c r="N6897"/>
      <c r="O6897"/>
      <c r="P6897" s="57"/>
      <c r="Q6897" s="57"/>
      <c r="R6897" s="57"/>
      <c r="S6897" s="97"/>
      <c r="T6897" s="57"/>
      <c r="U6897" s="57"/>
      <c r="V6897" s="57"/>
      <c r="W6897" s="57"/>
      <c r="X6897" s="97"/>
    </row>
    <row r="6898" spans="1:24" s="75" customFormat="1" x14ac:dyDescent="0.35">
      <c r="A6898" s="75">
        <v>6894</v>
      </c>
      <c r="B6898" s="75">
        <v>6895</v>
      </c>
      <c r="C6898">
        <v>146.110718155</v>
      </c>
      <c r="D6898">
        <v>-17.624139553300001</v>
      </c>
      <c r="E6898" s="92">
        <f t="shared" si="15"/>
        <v>50</v>
      </c>
      <c r="I6898" s="75">
        <v>1</v>
      </c>
      <c r="J6898" s="75" t="s">
        <v>26</v>
      </c>
      <c r="K6898" s="97" t="s">
        <v>26</v>
      </c>
      <c r="L6898"/>
      <c r="M6898"/>
      <c r="N6898"/>
      <c r="O6898"/>
      <c r="P6898" s="57"/>
      <c r="Q6898" s="57"/>
      <c r="R6898" s="57"/>
      <c r="S6898" s="97"/>
      <c r="T6898" s="57"/>
      <c r="U6898" s="57"/>
      <c r="V6898" s="57"/>
      <c r="W6898" s="57"/>
      <c r="X6898" s="97"/>
    </row>
    <row r="6899" spans="1:24" s="75" customFormat="1" x14ac:dyDescent="0.35">
      <c r="A6899" s="75">
        <v>6895</v>
      </c>
      <c r="B6899" s="75">
        <v>6896</v>
      </c>
      <c r="C6899">
        <v>146.11068667500001</v>
      </c>
      <c r="D6899">
        <v>-17.6242197258</v>
      </c>
      <c r="E6899" s="92" t="str">
        <f t="shared" si="15"/>
        <v/>
      </c>
      <c r="I6899" s="75">
        <v>1</v>
      </c>
      <c r="J6899" s="75" t="s">
        <v>26</v>
      </c>
      <c r="K6899" s="97" t="s">
        <v>26</v>
      </c>
      <c r="L6899"/>
      <c r="M6899"/>
      <c r="N6899"/>
      <c r="O6899"/>
      <c r="P6899" s="57"/>
      <c r="Q6899" s="57"/>
      <c r="R6899" s="57"/>
      <c r="S6899" s="97"/>
      <c r="T6899" s="57"/>
      <c r="U6899" s="57"/>
      <c r="V6899" s="57"/>
      <c r="W6899" s="57"/>
      <c r="X6899" s="97"/>
    </row>
    <row r="6900" spans="1:24" s="75" customFormat="1" x14ac:dyDescent="0.35">
      <c r="A6900" s="75">
        <v>6896</v>
      </c>
      <c r="B6900" s="75">
        <v>6897</v>
      </c>
      <c r="C6900">
        <v>146.110657876</v>
      </c>
      <c r="D6900">
        <v>-17.624300821799899</v>
      </c>
      <c r="E6900" s="92" t="str">
        <f t="shared" si="15"/>
        <v/>
      </c>
      <c r="I6900" s="75">
        <v>1</v>
      </c>
      <c r="J6900" s="75" t="s">
        <v>26</v>
      </c>
      <c r="K6900" s="97" t="s">
        <v>26</v>
      </c>
      <c r="L6900"/>
      <c r="M6900"/>
      <c r="N6900"/>
      <c r="O6900"/>
      <c r="P6900" s="57"/>
      <c r="Q6900" s="57"/>
      <c r="R6900" s="57"/>
      <c r="S6900" s="97"/>
      <c r="T6900" s="57"/>
      <c r="U6900" s="57"/>
      <c r="V6900" s="57"/>
      <c r="W6900" s="57"/>
      <c r="X6900" s="97"/>
    </row>
    <row r="6901" spans="1:24" s="75" customFormat="1" x14ac:dyDescent="0.35">
      <c r="A6901" s="75">
        <v>6897</v>
      </c>
      <c r="B6901" s="75">
        <v>6898</v>
      </c>
      <c r="C6901">
        <v>146.11062907600001</v>
      </c>
      <c r="D6901">
        <v>-17.624381917800001</v>
      </c>
      <c r="E6901" s="92" t="str">
        <f t="shared" si="15"/>
        <v/>
      </c>
      <c r="I6901" s="75">
        <v>1</v>
      </c>
      <c r="J6901" s="75" t="s">
        <v>26</v>
      </c>
      <c r="K6901" s="97" t="s">
        <v>26</v>
      </c>
      <c r="L6901"/>
      <c r="M6901"/>
      <c r="N6901"/>
      <c r="O6901"/>
      <c r="P6901" s="57"/>
      <c r="Q6901" s="57"/>
      <c r="R6901" s="57"/>
      <c r="S6901" s="97"/>
      <c r="T6901" s="57"/>
      <c r="U6901" s="57"/>
      <c r="V6901" s="57"/>
      <c r="W6901" s="57"/>
      <c r="X6901" s="97"/>
    </row>
    <row r="6902" spans="1:24" s="75" customFormat="1" x14ac:dyDescent="0.35">
      <c r="A6902" s="75">
        <v>6898</v>
      </c>
      <c r="B6902" s="75">
        <v>6899</v>
      </c>
      <c r="C6902">
        <v>146.110600277</v>
      </c>
      <c r="D6902">
        <v>-17.624463013700002</v>
      </c>
      <c r="E6902" s="92" t="str">
        <f t="shared" si="15"/>
        <v/>
      </c>
      <c r="I6902" s="75">
        <v>1</v>
      </c>
      <c r="J6902" s="75" t="s">
        <v>26</v>
      </c>
      <c r="K6902" s="97" t="s">
        <v>26</v>
      </c>
      <c r="L6902"/>
      <c r="M6902"/>
      <c r="N6902"/>
      <c r="O6902"/>
      <c r="P6902" s="57"/>
      <c r="Q6902" s="57"/>
      <c r="R6902" s="57"/>
      <c r="S6902" s="97"/>
      <c r="T6902" s="57"/>
      <c r="U6902" s="57"/>
      <c r="V6902" s="57"/>
      <c r="W6902" s="57"/>
      <c r="X6902" s="97"/>
    </row>
    <row r="6903" spans="1:24" s="75" customFormat="1" x14ac:dyDescent="0.35">
      <c r="A6903" s="75">
        <v>6899</v>
      </c>
      <c r="B6903" s="75">
        <v>6900</v>
      </c>
      <c r="C6903">
        <v>146.11057147700001</v>
      </c>
      <c r="D6903">
        <v>-17.624544109599899</v>
      </c>
      <c r="E6903" s="92">
        <f t="shared" si="15"/>
        <v>50</v>
      </c>
      <c r="I6903" s="75">
        <v>1</v>
      </c>
      <c r="J6903" s="75" t="s">
        <v>26</v>
      </c>
      <c r="K6903" s="97" t="s">
        <v>26</v>
      </c>
      <c r="L6903"/>
      <c r="M6903"/>
      <c r="N6903"/>
      <c r="O6903"/>
      <c r="P6903" s="57"/>
      <c r="Q6903" s="57"/>
      <c r="R6903" s="57"/>
      <c r="S6903" s="97"/>
      <c r="T6903" s="57"/>
      <c r="U6903" s="57"/>
      <c r="V6903" s="57"/>
      <c r="W6903" s="57"/>
      <c r="X6903" s="97"/>
    </row>
    <row r="6904" spans="1:24" s="75" customFormat="1" x14ac:dyDescent="0.35">
      <c r="A6904" s="75">
        <v>6900</v>
      </c>
      <c r="B6904" s="75">
        <v>6901</v>
      </c>
      <c r="C6904">
        <v>146.110542678</v>
      </c>
      <c r="D6904">
        <v>-17.624625205400001</v>
      </c>
      <c r="E6904" s="92" t="str">
        <f t="shared" si="15"/>
        <v/>
      </c>
      <c r="I6904" s="75">
        <v>1</v>
      </c>
      <c r="J6904" s="75" t="s">
        <v>26</v>
      </c>
      <c r="K6904" s="97" t="s">
        <v>26</v>
      </c>
      <c r="L6904"/>
      <c r="M6904"/>
      <c r="N6904"/>
      <c r="O6904"/>
      <c r="P6904" s="57"/>
      <c r="Q6904" s="57"/>
      <c r="R6904" s="57"/>
      <c r="S6904" s="97"/>
      <c r="T6904" s="57"/>
      <c r="U6904" s="57"/>
      <c r="V6904" s="57"/>
      <c r="W6904" s="57"/>
      <c r="X6904" s="97"/>
    </row>
    <row r="6905" spans="1:24" s="75" customFormat="1" x14ac:dyDescent="0.35">
      <c r="A6905" s="75">
        <v>6901</v>
      </c>
      <c r="B6905" s="75">
        <v>6902</v>
      </c>
      <c r="C6905">
        <v>146.11051387800001</v>
      </c>
      <c r="D6905">
        <v>-17.6247063012</v>
      </c>
      <c r="E6905" s="92" t="str">
        <f t="shared" si="15"/>
        <v/>
      </c>
      <c r="I6905" s="75">
        <v>1</v>
      </c>
      <c r="J6905" s="75" t="s">
        <v>26</v>
      </c>
      <c r="K6905" s="97" t="s">
        <v>26</v>
      </c>
      <c r="L6905"/>
      <c r="M6905"/>
      <c r="N6905"/>
      <c r="O6905"/>
      <c r="P6905" s="57"/>
      <c r="Q6905" s="57"/>
      <c r="R6905" s="57"/>
      <c r="S6905" s="97"/>
      <c r="T6905" s="57"/>
      <c r="U6905" s="57"/>
      <c r="V6905" s="57"/>
      <c r="W6905" s="57"/>
      <c r="X6905" s="97"/>
    </row>
    <row r="6906" spans="1:24" s="75" customFormat="1" x14ac:dyDescent="0.35">
      <c r="A6906" s="75">
        <v>6902</v>
      </c>
      <c r="B6906" s="75">
        <v>6903</v>
      </c>
      <c r="C6906">
        <v>146.110485079</v>
      </c>
      <c r="D6906">
        <v>-17.624787396999899</v>
      </c>
      <c r="E6906" s="92" t="str">
        <f t="shared" si="15"/>
        <v/>
      </c>
      <c r="I6906" s="75">
        <v>1</v>
      </c>
      <c r="J6906" s="75" t="s">
        <v>26</v>
      </c>
      <c r="K6906" s="97" t="s">
        <v>26</v>
      </c>
      <c r="L6906"/>
      <c r="M6906"/>
      <c r="N6906"/>
      <c r="O6906"/>
      <c r="P6906" s="57"/>
      <c r="Q6906" s="57"/>
      <c r="R6906" s="57"/>
      <c r="S6906" s="97"/>
      <c r="T6906" s="57"/>
      <c r="U6906" s="57"/>
      <c r="V6906" s="57"/>
      <c r="W6906" s="57"/>
      <c r="X6906" s="97"/>
    </row>
    <row r="6907" spans="1:24" s="75" customFormat="1" x14ac:dyDescent="0.35">
      <c r="A6907" s="75">
        <v>6903</v>
      </c>
      <c r="B6907" s="75">
        <v>6904</v>
      </c>
      <c r="C6907">
        <v>146.110456279</v>
      </c>
      <c r="D6907">
        <v>-17.6248684926999</v>
      </c>
      <c r="E6907" s="92" t="str">
        <f t="shared" si="15"/>
        <v/>
      </c>
      <c r="I6907" s="75">
        <v>1</v>
      </c>
      <c r="J6907" s="75" t="s">
        <v>26</v>
      </c>
      <c r="K6907" s="97" t="s">
        <v>26</v>
      </c>
      <c r="L6907"/>
      <c r="M6907"/>
      <c r="N6907"/>
      <c r="O6907"/>
      <c r="P6907" s="57"/>
      <c r="Q6907" s="57"/>
      <c r="R6907" s="57"/>
      <c r="S6907" s="97"/>
      <c r="T6907" s="57"/>
      <c r="U6907" s="57"/>
      <c r="V6907" s="57"/>
      <c r="W6907" s="57"/>
      <c r="X6907" s="97"/>
    </row>
    <row r="6908" spans="1:24" s="75" customFormat="1" x14ac:dyDescent="0.35">
      <c r="A6908" s="75">
        <v>6904</v>
      </c>
      <c r="B6908" s="75">
        <v>6905</v>
      </c>
      <c r="C6908">
        <v>146.11042747900001</v>
      </c>
      <c r="D6908">
        <v>-17.6249495884</v>
      </c>
      <c r="E6908" s="92">
        <f t="shared" si="15"/>
        <v>50</v>
      </c>
      <c r="I6908" s="75">
        <v>1</v>
      </c>
      <c r="J6908" s="75" t="s">
        <v>26</v>
      </c>
      <c r="K6908" s="97" t="s">
        <v>26</v>
      </c>
      <c r="L6908"/>
      <c r="M6908"/>
      <c r="N6908"/>
      <c r="O6908"/>
      <c r="P6908" s="57"/>
      <c r="Q6908" s="57"/>
      <c r="R6908" s="57"/>
      <c r="S6908" s="97"/>
      <c r="T6908" s="57"/>
      <c r="U6908" s="57"/>
      <c r="V6908" s="57"/>
      <c r="W6908" s="57"/>
      <c r="X6908" s="97"/>
    </row>
    <row r="6909" spans="1:24" s="75" customFormat="1" x14ac:dyDescent="0.35">
      <c r="A6909" s="75">
        <v>6905</v>
      </c>
      <c r="B6909" s="75">
        <v>6906</v>
      </c>
      <c r="C6909">
        <v>146.11039868</v>
      </c>
      <c r="D6909">
        <v>-17.6250306841</v>
      </c>
      <c r="E6909" s="92" t="str">
        <f t="shared" si="15"/>
        <v/>
      </c>
      <c r="I6909" s="75">
        <v>1</v>
      </c>
      <c r="J6909" s="75" t="s">
        <v>26</v>
      </c>
      <c r="K6909" s="97" t="s">
        <v>26</v>
      </c>
      <c r="L6909"/>
      <c r="M6909"/>
      <c r="N6909"/>
      <c r="O6909"/>
      <c r="P6909" s="57"/>
      <c r="Q6909" s="57"/>
      <c r="R6909" s="57"/>
      <c r="S6909" s="97"/>
      <c r="T6909" s="57"/>
      <c r="U6909" s="57"/>
      <c r="V6909" s="57"/>
      <c r="W6909" s="57"/>
      <c r="X6909" s="97"/>
    </row>
    <row r="6910" spans="1:24" s="75" customFormat="1" x14ac:dyDescent="0.35">
      <c r="A6910" s="75">
        <v>6906</v>
      </c>
      <c r="B6910" s="75">
        <v>6907</v>
      </c>
      <c r="C6910">
        <v>146.11036988000001</v>
      </c>
      <c r="D6910">
        <v>-17.6251117796999</v>
      </c>
      <c r="E6910" s="92" t="str">
        <f t="shared" si="15"/>
        <v/>
      </c>
      <c r="I6910" s="75">
        <v>1</v>
      </c>
      <c r="J6910" s="75" t="s">
        <v>26</v>
      </c>
      <c r="K6910" s="97" t="s">
        <v>26</v>
      </c>
      <c r="L6910"/>
      <c r="M6910"/>
      <c r="N6910"/>
      <c r="O6910"/>
      <c r="P6910" s="57"/>
      <c r="Q6910" s="57"/>
      <c r="R6910" s="57"/>
      <c r="S6910" s="97"/>
      <c r="T6910" s="57"/>
      <c r="U6910" s="57"/>
      <c r="V6910" s="57"/>
      <c r="W6910" s="57"/>
      <c r="X6910" s="97"/>
    </row>
    <row r="6911" spans="1:24" s="75" customFormat="1" x14ac:dyDescent="0.35">
      <c r="A6911" s="75">
        <v>6907</v>
      </c>
      <c r="B6911" s="75">
        <v>6908</v>
      </c>
      <c r="C6911">
        <v>146.110341081</v>
      </c>
      <c r="D6911">
        <v>-17.625192875300002</v>
      </c>
      <c r="E6911" s="92" t="str">
        <f t="shared" si="15"/>
        <v/>
      </c>
      <c r="I6911" s="75">
        <v>1</v>
      </c>
      <c r="J6911" s="75" t="s">
        <v>26</v>
      </c>
      <c r="K6911" s="97" t="s">
        <v>26</v>
      </c>
      <c r="L6911"/>
      <c r="M6911"/>
      <c r="N6911"/>
      <c r="O6911"/>
      <c r="P6911" s="57"/>
      <c r="Q6911" s="57"/>
      <c r="R6911" s="57"/>
      <c r="S6911" s="97"/>
      <c r="T6911" s="57"/>
      <c r="U6911" s="57"/>
      <c r="V6911" s="57"/>
      <c r="W6911" s="57"/>
      <c r="X6911" s="97"/>
    </row>
    <row r="6912" spans="1:24" s="75" customFormat="1" x14ac:dyDescent="0.35">
      <c r="A6912" s="75">
        <v>6908</v>
      </c>
      <c r="B6912" s="75">
        <v>6909</v>
      </c>
      <c r="C6912">
        <v>146.11031228100001</v>
      </c>
      <c r="D6912">
        <v>-17.625273970799899</v>
      </c>
      <c r="E6912" s="92" t="str">
        <f t="shared" si="15"/>
        <v/>
      </c>
      <c r="I6912" s="75">
        <v>1</v>
      </c>
      <c r="J6912" s="75" t="s">
        <v>26</v>
      </c>
      <c r="K6912" s="97" t="s">
        <v>26</v>
      </c>
      <c r="L6912"/>
      <c r="M6912"/>
      <c r="N6912"/>
      <c r="O6912"/>
      <c r="P6912" s="57"/>
      <c r="Q6912" s="57"/>
      <c r="R6912" s="57"/>
      <c r="S6912" s="97"/>
      <c r="T6912" s="57"/>
      <c r="U6912" s="57"/>
      <c r="V6912" s="57"/>
      <c r="W6912" s="57"/>
      <c r="X6912" s="97"/>
    </row>
    <row r="6913" spans="1:24" s="75" customFormat="1" x14ac:dyDescent="0.35">
      <c r="A6913" s="75">
        <v>6909</v>
      </c>
      <c r="B6913" s="75">
        <v>6910</v>
      </c>
      <c r="C6913">
        <v>146.110284763999</v>
      </c>
      <c r="D6913">
        <v>-17.6253554591</v>
      </c>
      <c r="E6913" s="92">
        <f t="shared" si="15"/>
        <v>50</v>
      </c>
      <c r="I6913" s="75">
        <v>1</v>
      </c>
      <c r="J6913" s="75" t="s">
        <v>26</v>
      </c>
      <c r="K6913" s="97" t="s">
        <v>26</v>
      </c>
      <c r="L6913"/>
      <c r="M6913"/>
      <c r="N6913"/>
      <c r="O6913"/>
      <c r="P6913" s="57"/>
      <c r="Q6913" s="57"/>
      <c r="R6913" s="57"/>
      <c r="S6913" s="97"/>
      <c r="T6913" s="57"/>
      <c r="U6913" s="57"/>
      <c r="V6913" s="57"/>
      <c r="W6913" s="57"/>
      <c r="X6913" s="97"/>
    </row>
    <row r="6914" spans="1:24" s="75" customFormat="1" x14ac:dyDescent="0.35">
      <c r="A6914" s="75">
        <v>6910</v>
      </c>
      <c r="B6914" s="75">
        <v>6911</v>
      </c>
      <c r="C6914">
        <v>146.110258617</v>
      </c>
      <c r="D6914">
        <v>-17.6254373666</v>
      </c>
      <c r="E6914" s="92" t="str">
        <f t="shared" si="15"/>
        <v/>
      </c>
      <c r="I6914" s="75">
        <v>1</v>
      </c>
      <c r="J6914" s="75" t="s">
        <v>26</v>
      </c>
      <c r="K6914" s="97" t="s">
        <v>26</v>
      </c>
      <c r="L6914"/>
      <c r="M6914"/>
      <c r="N6914"/>
      <c r="O6914"/>
      <c r="P6914" s="57"/>
      <c r="Q6914" s="57"/>
      <c r="R6914" s="57"/>
      <c r="S6914" s="97"/>
      <c r="T6914" s="57"/>
      <c r="U6914" s="57"/>
      <c r="V6914" s="57"/>
      <c r="W6914" s="57"/>
      <c r="X6914" s="97"/>
    </row>
    <row r="6915" spans="1:24" s="75" customFormat="1" x14ac:dyDescent="0.35">
      <c r="A6915" s="75">
        <v>6911</v>
      </c>
      <c r="B6915" s="75">
        <v>6912</v>
      </c>
      <c r="C6915">
        <v>146.11023246900001</v>
      </c>
      <c r="D6915">
        <v>-17.6255192741</v>
      </c>
      <c r="E6915" s="92" t="str">
        <f t="shared" si="15"/>
        <v/>
      </c>
      <c r="I6915" s="75">
        <v>1</v>
      </c>
      <c r="J6915" s="75" t="s">
        <v>26</v>
      </c>
      <c r="K6915" s="97" t="s">
        <v>26</v>
      </c>
      <c r="L6915"/>
      <c r="M6915"/>
      <c r="N6915"/>
      <c r="O6915"/>
      <c r="P6915" s="57"/>
      <c r="Q6915" s="57"/>
      <c r="R6915" s="57"/>
      <c r="S6915" s="97"/>
      <c r="T6915" s="57"/>
      <c r="U6915" s="57"/>
      <c r="V6915" s="57"/>
      <c r="W6915" s="57"/>
      <c r="X6915" s="97"/>
    </row>
    <row r="6916" spans="1:24" s="75" customFormat="1" x14ac:dyDescent="0.35">
      <c r="A6916" s="75">
        <v>6912</v>
      </c>
      <c r="B6916" s="75">
        <v>6913</v>
      </c>
      <c r="C6916">
        <v>146.11020632200001</v>
      </c>
      <c r="D6916">
        <v>-17.625601181499899</v>
      </c>
      <c r="E6916" s="92" t="str">
        <f t="shared" si="15"/>
        <v/>
      </c>
      <c r="I6916" s="75">
        <v>1</v>
      </c>
      <c r="J6916" s="75" t="s">
        <v>26</v>
      </c>
      <c r="K6916" s="97" t="s">
        <v>26</v>
      </c>
      <c r="L6916"/>
      <c r="M6916"/>
      <c r="N6916"/>
      <c r="O6916"/>
      <c r="P6916" s="57"/>
      <c r="Q6916" s="57"/>
      <c r="R6916" s="57"/>
      <c r="S6916" s="97"/>
      <c r="T6916" s="57"/>
      <c r="U6916" s="57"/>
      <c r="V6916" s="57"/>
      <c r="W6916" s="57"/>
      <c r="X6916" s="97"/>
    </row>
    <row r="6917" spans="1:24" s="75" customFormat="1" x14ac:dyDescent="0.35">
      <c r="A6917" s="75">
        <v>6913</v>
      </c>
      <c r="B6917" s="75">
        <v>6914</v>
      </c>
      <c r="C6917">
        <v>146.110180173999</v>
      </c>
      <c r="D6917">
        <v>-17.625683088900001</v>
      </c>
      <c r="E6917" s="92" t="str">
        <f t="shared" si="15"/>
        <v/>
      </c>
      <c r="I6917" s="75">
        <v>1</v>
      </c>
      <c r="J6917" s="75" t="s">
        <v>26</v>
      </c>
      <c r="K6917" s="97" t="s">
        <v>26</v>
      </c>
      <c r="L6917"/>
      <c r="M6917"/>
      <c r="N6917"/>
      <c r="O6917"/>
      <c r="P6917" s="57"/>
      <c r="Q6917" s="57"/>
      <c r="R6917" s="57"/>
      <c r="S6917" s="97"/>
      <c r="T6917" s="57"/>
      <c r="U6917" s="57"/>
      <c r="V6917" s="57"/>
      <c r="W6917" s="57"/>
      <c r="X6917" s="97"/>
    </row>
    <row r="6918" spans="1:24" s="75" customFormat="1" x14ac:dyDescent="0.35">
      <c r="A6918" s="75">
        <v>6914</v>
      </c>
      <c r="B6918" s="75">
        <v>6915</v>
      </c>
      <c r="C6918">
        <v>146.110154026999</v>
      </c>
      <c r="D6918">
        <v>-17.6257649962999</v>
      </c>
      <c r="E6918" s="92">
        <f t="shared" si="15"/>
        <v>50</v>
      </c>
      <c r="I6918" s="75">
        <v>1</v>
      </c>
      <c r="J6918" s="75" t="s">
        <v>26</v>
      </c>
      <c r="K6918" s="97" t="s">
        <v>26</v>
      </c>
      <c r="L6918"/>
      <c r="M6918"/>
      <c r="N6918"/>
      <c r="O6918"/>
      <c r="P6918" s="57"/>
      <c r="Q6918" s="57"/>
      <c r="R6918" s="57"/>
      <c r="S6918" s="97"/>
      <c r="T6918" s="57"/>
      <c r="U6918" s="57"/>
      <c r="V6918" s="57"/>
      <c r="W6918" s="57"/>
      <c r="X6918" s="97"/>
    </row>
    <row r="6919" spans="1:24" s="75" customFormat="1" x14ac:dyDescent="0.35">
      <c r="A6919" s="75">
        <v>6915</v>
      </c>
      <c r="B6919" s="75">
        <v>6916</v>
      </c>
      <c r="C6919">
        <v>146.110127879999</v>
      </c>
      <c r="D6919">
        <v>-17.6258469035999</v>
      </c>
      <c r="E6919" s="92" t="str">
        <f t="shared" si="15"/>
        <v/>
      </c>
      <c r="I6919" s="75">
        <v>1</v>
      </c>
      <c r="J6919" s="75" t="s">
        <v>26</v>
      </c>
      <c r="K6919" s="97" t="s">
        <v>26</v>
      </c>
      <c r="L6919"/>
      <c r="M6919"/>
      <c r="N6919"/>
      <c r="O6919"/>
      <c r="P6919" s="57"/>
      <c r="Q6919" s="57"/>
      <c r="R6919" s="57"/>
      <c r="S6919" s="97"/>
      <c r="T6919" s="57"/>
      <c r="U6919" s="57"/>
      <c r="V6919" s="57"/>
      <c r="W6919" s="57"/>
      <c r="X6919" s="97"/>
    </row>
    <row r="6920" spans="1:24" s="75" customFormat="1" x14ac:dyDescent="0.35">
      <c r="A6920" s="75">
        <v>6916</v>
      </c>
      <c r="B6920" s="75">
        <v>6917</v>
      </c>
      <c r="C6920">
        <v>146.110101732</v>
      </c>
      <c r="D6920">
        <v>-17.6259288109</v>
      </c>
      <c r="E6920" s="92" t="str">
        <f t="shared" si="15"/>
        <v/>
      </c>
      <c r="I6920" s="75">
        <v>1</v>
      </c>
      <c r="J6920" s="75" t="s">
        <v>26</v>
      </c>
      <c r="K6920" s="97" t="s">
        <v>26</v>
      </c>
      <c r="L6920"/>
      <c r="M6920"/>
      <c r="N6920"/>
      <c r="O6920"/>
      <c r="P6920" s="57"/>
      <c r="Q6920" s="57"/>
      <c r="R6920" s="57"/>
      <c r="S6920" s="97"/>
      <c r="T6920" s="57"/>
      <c r="U6920" s="57"/>
      <c r="V6920" s="57"/>
      <c r="W6920" s="57"/>
      <c r="X6920" s="97"/>
    </row>
    <row r="6921" spans="1:24" s="75" customFormat="1" x14ac:dyDescent="0.35">
      <c r="A6921" s="75">
        <v>6917</v>
      </c>
      <c r="B6921" s="75">
        <v>6918</v>
      </c>
      <c r="C6921">
        <v>146.110080799</v>
      </c>
      <c r="D6921">
        <v>-17.626011578300002</v>
      </c>
      <c r="E6921" s="92" t="str">
        <f t="shared" si="15"/>
        <v/>
      </c>
      <c r="I6921" s="75">
        <v>1</v>
      </c>
      <c r="J6921" s="75" t="s">
        <v>26</v>
      </c>
      <c r="K6921" s="97" t="s">
        <v>26</v>
      </c>
      <c r="L6921"/>
      <c r="M6921"/>
      <c r="N6921"/>
      <c r="O6921"/>
      <c r="P6921" s="57"/>
      <c r="Q6921" s="57"/>
      <c r="R6921" s="57"/>
      <c r="S6921" s="97"/>
      <c r="T6921" s="57"/>
      <c r="U6921" s="57"/>
      <c r="V6921" s="57"/>
      <c r="W6921" s="57"/>
      <c r="X6921" s="97"/>
    </row>
    <row r="6922" spans="1:24" s="75" customFormat="1" x14ac:dyDescent="0.35">
      <c r="A6922" s="75">
        <v>6918</v>
      </c>
      <c r="B6922" s="75">
        <v>6919</v>
      </c>
      <c r="C6922">
        <v>146.110076542999</v>
      </c>
      <c r="D6922">
        <v>-17.626097096300001</v>
      </c>
      <c r="E6922" s="92" t="str">
        <f t="shared" si="15"/>
        <v/>
      </c>
      <c r="I6922" s="75">
        <v>1</v>
      </c>
      <c r="J6922" s="75" t="s">
        <v>26</v>
      </c>
      <c r="K6922" s="97" t="s">
        <v>26</v>
      </c>
      <c r="L6922"/>
      <c r="M6922"/>
      <c r="N6922"/>
      <c r="O6922"/>
      <c r="P6922" s="57"/>
      <c r="Q6922" s="57"/>
      <c r="R6922" s="57"/>
      <c r="S6922" s="97"/>
      <c r="T6922" s="57"/>
      <c r="U6922" s="57"/>
      <c r="V6922" s="57"/>
      <c r="W6922" s="57"/>
      <c r="X6922" s="97"/>
    </row>
    <row r="6923" spans="1:24" s="75" customFormat="1" x14ac:dyDescent="0.35">
      <c r="A6923" s="75">
        <v>6919</v>
      </c>
      <c r="B6923" s="75">
        <v>6920</v>
      </c>
      <c r="C6923">
        <v>146.11007228700001</v>
      </c>
      <c r="D6923">
        <v>-17.626182614400001</v>
      </c>
      <c r="E6923" s="92">
        <f t="shared" si="15"/>
        <v>50</v>
      </c>
      <c r="I6923" s="75">
        <v>1</v>
      </c>
      <c r="J6923" s="75" t="s">
        <v>26</v>
      </c>
      <c r="K6923" s="97" t="s">
        <v>26</v>
      </c>
      <c r="L6923"/>
      <c r="M6923"/>
      <c r="N6923"/>
      <c r="O6923"/>
      <c r="P6923" s="57"/>
      <c r="Q6923" s="57"/>
      <c r="R6923" s="57"/>
      <c r="S6923" s="97"/>
      <c r="T6923" s="57"/>
      <c r="U6923" s="57"/>
      <c r="V6923" s="57"/>
      <c r="W6923" s="57"/>
      <c r="X6923" s="97"/>
    </row>
    <row r="6924" spans="1:24" s="75" customFormat="1" x14ac:dyDescent="0.35">
      <c r="A6924" s="75">
        <v>6920</v>
      </c>
      <c r="B6924" s="75">
        <v>6921</v>
      </c>
      <c r="C6924">
        <v>146.110068030999</v>
      </c>
      <c r="D6924">
        <v>-17.6262681324</v>
      </c>
      <c r="E6924" s="92" t="str">
        <f t="shared" si="15"/>
        <v/>
      </c>
      <c r="I6924" s="75">
        <v>1</v>
      </c>
      <c r="J6924" s="75" t="s">
        <v>26</v>
      </c>
      <c r="K6924" s="97" t="s">
        <v>26</v>
      </c>
      <c r="L6924"/>
      <c r="M6924"/>
      <c r="N6924"/>
      <c r="O6924"/>
      <c r="P6924" s="57"/>
      <c r="Q6924" s="57"/>
      <c r="R6924" s="57"/>
      <c r="S6924" s="97"/>
      <c r="T6924" s="57"/>
      <c r="U6924" s="57"/>
      <c r="V6924" s="57"/>
      <c r="W6924" s="57"/>
      <c r="X6924" s="97"/>
    </row>
    <row r="6925" spans="1:24" s="75" customFormat="1" x14ac:dyDescent="0.35">
      <c r="A6925" s="75">
        <v>6921</v>
      </c>
      <c r="B6925" s="75">
        <v>6922</v>
      </c>
      <c r="C6925">
        <v>146.11006377499899</v>
      </c>
      <c r="D6925">
        <v>-17.6263536503</v>
      </c>
      <c r="E6925" s="92" t="str">
        <f t="shared" si="15"/>
        <v/>
      </c>
      <c r="I6925" s="75">
        <v>1</v>
      </c>
      <c r="J6925" s="75" t="s">
        <v>26</v>
      </c>
      <c r="K6925" s="97" t="s">
        <v>26</v>
      </c>
      <c r="L6925"/>
      <c r="M6925"/>
      <c r="N6925"/>
      <c r="O6925"/>
      <c r="P6925" s="57"/>
      <c r="Q6925" s="57"/>
      <c r="R6925" s="57"/>
      <c r="S6925" s="97"/>
      <c r="T6925" s="57"/>
      <c r="U6925" s="57"/>
      <c r="V6925" s="57"/>
      <c r="W6925" s="57"/>
      <c r="X6925" s="97"/>
    </row>
    <row r="6926" spans="1:24" s="75" customFormat="1" x14ac:dyDescent="0.35">
      <c r="A6926" s="75">
        <v>6922</v>
      </c>
      <c r="B6926" s="75">
        <v>6923</v>
      </c>
      <c r="C6926">
        <v>146.110059519</v>
      </c>
      <c r="D6926">
        <v>-17.626439168200001</v>
      </c>
      <c r="E6926" s="92" t="str">
        <f t="shared" si="15"/>
        <v/>
      </c>
      <c r="I6926" s="75">
        <v>1</v>
      </c>
      <c r="J6926" s="75" t="s">
        <v>26</v>
      </c>
      <c r="K6926" s="97" t="s">
        <v>26</v>
      </c>
      <c r="L6926"/>
      <c r="M6926"/>
      <c r="N6926"/>
      <c r="O6926"/>
      <c r="P6926" s="57"/>
      <c r="Q6926" s="57"/>
      <c r="R6926" s="57"/>
      <c r="S6926" s="97"/>
      <c r="T6926" s="57"/>
      <c r="U6926" s="57"/>
      <c r="V6926" s="57"/>
      <c r="W6926" s="57"/>
      <c r="X6926" s="97"/>
    </row>
    <row r="6927" spans="1:24" s="75" customFormat="1" x14ac:dyDescent="0.35">
      <c r="A6927" s="75">
        <v>6923</v>
      </c>
      <c r="B6927" s="75">
        <v>6924</v>
      </c>
      <c r="C6927">
        <v>146.110055262999</v>
      </c>
      <c r="D6927">
        <v>-17.626524686100002</v>
      </c>
      <c r="E6927" s="92" t="str">
        <f t="shared" si="15"/>
        <v/>
      </c>
      <c r="I6927" s="75">
        <v>1</v>
      </c>
      <c r="J6927" s="75" t="s">
        <v>26</v>
      </c>
      <c r="K6927" s="97" t="s">
        <v>26</v>
      </c>
      <c r="L6927"/>
      <c r="M6927"/>
      <c r="N6927"/>
      <c r="O6927"/>
      <c r="P6927" s="57"/>
      <c r="Q6927" s="57"/>
      <c r="R6927" s="57"/>
      <c r="S6927" s="97"/>
      <c r="T6927" s="57"/>
      <c r="U6927" s="57"/>
      <c r="V6927" s="57"/>
      <c r="W6927" s="57"/>
      <c r="X6927" s="97"/>
    </row>
    <row r="6928" spans="1:24" s="75" customFormat="1" x14ac:dyDescent="0.35">
      <c r="A6928" s="75">
        <v>6924</v>
      </c>
      <c r="B6928" s="75">
        <v>6925</v>
      </c>
      <c r="C6928">
        <v>146.11005228100001</v>
      </c>
      <c r="D6928">
        <v>-17.626610174300001</v>
      </c>
      <c r="E6928" s="92">
        <f t="shared" ref="E6928:E6991" si="16">IF(MOD(B6928,5)=0, 50, "")</f>
        <v>50</v>
      </c>
      <c r="I6928" s="75">
        <v>1</v>
      </c>
      <c r="J6928" s="75" t="s">
        <v>26</v>
      </c>
      <c r="K6928" s="97" t="s">
        <v>26</v>
      </c>
      <c r="L6928"/>
      <c r="M6928"/>
      <c r="N6928"/>
      <c r="O6928"/>
      <c r="P6928" s="57"/>
      <c r="Q6928" s="57"/>
      <c r="R6928" s="57"/>
      <c r="S6928" s="97"/>
      <c r="T6928" s="57"/>
      <c r="U6928" s="57"/>
      <c r="V6928" s="57"/>
      <c r="W6928" s="57"/>
      <c r="X6928" s="97"/>
    </row>
    <row r="6929" spans="1:24" s="75" customFormat="1" x14ac:dyDescent="0.35">
      <c r="A6929" s="75">
        <v>6925</v>
      </c>
      <c r="B6929" s="75">
        <v>6926</v>
      </c>
      <c r="C6929">
        <v>146.110060895999</v>
      </c>
      <c r="D6929">
        <v>-17.626695393599899</v>
      </c>
      <c r="E6929" s="92" t="str">
        <f t="shared" si="16"/>
        <v/>
      </c>
      <c r="I6929" s="75">
        <v>1</v>
      </c>
      <c r="J6929" s="75" t="s">
        <v>26</v>
      </c>
      <c r="K6929" s="97" t="s">
        <v>26</v>
      </c>
      <c r="L6929"/>
      <c r="M6929"/>
      <c r="N6929"/>
      <c r="O6929"/>
      <c r="P6929" s="57"/>
      <c r="Q6929" s="57"/>
      <c r="R6929" s="57"/>
      <c r="S6929" s="97"/>
      <c r="T6929" s="57"/>
      <c r="U6929" s="57"/>
      <c r="V6929" s="57"/>
      <c r="W6929" s="57"/>
      <c r="X6929" s="97"/>
    </row>
    <row r="6930" spans="1:24" s="75" customFormat="1" x14ac:dyDescent="0.35">
      <c r="A6930" s="75">
        <v>6926</v>
      </c>
      <c r="B6930" s="75">
        <v>6927</v>
      </c>
      <c r="C6930">
        <v>146.110025495999</v>
      </c>
      <c r="D6930">
        <v>-17.626750219400002</v>
      </c>
      <c r="E6930" s="92" t="str">
        <f t="shared" si="16"/>
        <v/>
      </c>
      <c r="I6930" s="75">
        <v>2</v>
      </c>
      <c r="J6930" s="75" t="s">
        <v>26</v>
      </c>
      <c r="K6930" s="97" t="s">
        <v>26</v>
      </c>
      <c r="L6930"/>
      <c r="M6930"/>
      <c r="N6930"/>
      <c r="O6930"/>
      <c r="P6930" s="57"/>
      <c r="Q6930" s="57"/>
      <c r="R6930" s="57"/>
      <c r="S6930" s="97"/>
      <c r="T6930" s="57"/>
      <c r="U6930" s="57"/>
      <c r="V6930" s="57"/>
      <c r="W6930" s="57"/>
      <c r="X6930" s="97"/>
    </row>
    <row r="6931" spans="1:24" s="75" customFormat="1" x14ac:dyDescent="0.35">
      <c r="A6931" s="75">
        <v>6927</v>
      </c>
      <c r="B6931" s="75">
        <v>6928</v>
      </c>
      <c r="C6931">
        <v>146.10910358199899</v>
      </c>
      <c r="D6931">
        <v>-17.6269063662</v>
      </c>
      <c r="E6931" s="92" t="str">
        <f t="shared" si="16"/>
        <v/>
      </c>
      <c r="I6931" s="75">
        <v>2</v>
      </c>
      <c r="J6931" s="75" t="s">
        <v>26</v>
      </c>
      <c r="K6931" s="97" t="s">
        <v>26</v>
      </c>
      <c r="L6931"/>
      <c r="M6931"/>
      <c r="N6931"/>
      <c r="O6931"/>
      <c r="P6931" s="57"/>
      <c r="Q6931" s="57"/>
      <c r="R6931" s="57"/>
      <c r="S6931" s="97"/>
      <c r="T6931" s="57"/>
      <c r="U6931" s="57"/>
      <c r="V6931" s="57"/>
      <c r="W6931" s="57"/>
      <c r="X6931" s="97"/>
    </row>
    <row r="6932" spans="1:24" s="75" customFormat="1" x14ac:dyDescent="0.35">
      <c r="A6932" s="75">
        <v>6928</v>
      </c>
      <c r="B6932" s="75">
        <v>6929</v>
      </c>
      <c r="C6932">
        <v>146.10910400200001</v>
      </c>
      <c r="D6932">
        <v>-17.626820753299899</v>
      </c>
      <c r="E6932" s="92" t="str">
        <f t="shared" si="16"/>
        <v/>
      </c>
      <c r="F6932" s="93" t="str">
        <f t="shared" ref="F6932:F6995" si="17">HYPERLINK("D:\Data From Lucan\2024\Moresby\Frames_for_Analysis\" &amp; G6932,G6932)</f>
        <v>6929_20240611_0002_R_0724.jpg</v>
      </c>
      <c r="G6932" s="75" t="s">
        <v>6876</v>
      </c>
      <c r="I6932" s="75">
        <v>2</v>
      </c>
      <c r="K6932" s="97">
        <v>1</v>
      </c>
      <c r="L6932"/>
      <c r="M6932"/>
      <c r="N6932"/>
      <c r="O6932"/>
      <c r="P6932" s="57"/>
      <c r="Q6932" s="57"/>
      <c r="R6932" s="57"/>
      <c r="S6932" s="97">
        <v>0</v>
      </c>
      <c r="T6932" s="57"/>
      <c r="U6932" s="57"/>
      <c r="V6932" s="57"/>
      <c r="W6932" s="57"/>
      <c r="X6932" s="97">
        <v>0</v>
      </c>
    </row>
    <row r="6933" spans="1:24" s="75" customFormat="1" x14ac:dyDescent="0.35">
      <c r="A6933" s="75">
        <v>6929</v>
      </c>
      <c r="B6933" s="75">
        <v>6930</v>
      </c>
      <c r="C6933">
        <v>146.109102769</v>
      </c>
      <c r="D6933">
        <v>-17.626735159300001</v>
      </c>
      <c r="E6933" s="92">
        <f t="shared" si="16"/>
        <v>50</v>
      </c>
      <c r="F6933" s="93" t="str">
        <f t="shared" si="17"/>
        <v>6930_20240611_0002_R_0721.jpg</v>
      </c>
      <c r="G6933" s="75" t="s">
        <v>6877</v>
      </c>
      <c r="I6933" s="75">
        <v>2</v>
      </c>
      <c r="K6933" s="97">
        <v>1</v>
      </c>
      <c r="L6933"/>
      <c r="M6933"/>
      <c r="N6933"/>
      <c r="O6933"/>
      <c r="P6933" s="57"/>
      <c r="Q6933" s="57"/>
      <c r="R6933" s="57"/>
      <c r="S6933" s="97">
        <v>0</v>
      </c>
      <c r="T6933" s="57"/>
      <c r="U6933" s="57"/>
      <c r="V6933" s="57"/>
      <c r="W6933" s="57"/>
      <c r="X6933" s="97">
        <v>0</v>
      </c>
    </row>
    <row r="6934" spans="1:24" s="75" customFormat="1" x14ac:dyDescent="0.35">
      <c r="A6934" s="75">
        <v>6930</v>
      </c>
      <c r="B6934" s="75">
        <v>6931</v>
      </c>
      <c r="C6934">
        <v>146.109100181999</v>
      </c>
      <c r="D6934">
        <v>-17.626649580999899</v>
      </c>
      <c r="E6934" s="92" t="str">
        <f t="shared" si="16"/>
        <v/>
      </c>
      <c r="F6934" s="93" t="str">
        <f t="shared" si="17"/>
        <v>6931_20240611_0002_R_0718.jpg</v>
      </c>
      <c r="G6934" s="75" t="s">
        <v>6878</v>
      </c>
      <c r="I6934" s="75">
        <v>1</v>
      </c>
      <c r="K6934" s="97">
        <v>1</v>
      </c>
      <c r="L6934"/>
      <c r="M6934"/>
      <c r="N6934"/>
      <c r="O6934"/>
      <c r="P6934" s="57"/>
      <c r="Q6934" s="57"/>
      <c r="R6934" s="57"/>
      <c r="S6934" s="97">
        <v>0</v>
      </c>
      <c r="T6934" s="57"/>
      <c r="U6934" s="57"/>
      <c r="V6934" s="57"/>
      <c r="W6934" s="57"/>
      <c r="X6934" s="97">
        <v>0</v>
      </c>
    </row>
    <row r="6935" spans="1:24" s="75" customFormat="1" x14ac:dyDescent="0.35">
      <c r="A6935" s="75">
        <v>6931</v>
      </c>
      <c r="B6935" s="75">
        <v>6932</v>
      </c>
      <c r="C6935">
        <v>146.109097593999</v>
      </c>
      <c r="D6935">
        <v>-17.6265640025</v>
      </c>
      <c r="E6935" s="92" t="str">
        <f t="shared" si="16"/>
        <v/>
      </c>
      <c r="F6935" s="93" t="str">
        <f t="shared" si="17"/>
        <v>6932_20240611_0002_R_0715.jpg</v>
      </c>
      <c r="G6935" s="75" t="s">
        <v>6879</v>
      </c>
      <c r="I6935" s="75">
        <v>1</v>
      </c>
      <c r="K6935" s="97">
        <v>1</v>
      </c>
      <c r="L6935"/>
      <c r="M6935"/>
      <c r="N6935"/>
      <c r="O6935"/>
      <c r="P6935" s="57"/>
      <c r="Q6935" s="57"/>
      <c r="R6935" s="57"/>
      <c r="S6935" s="97">
        <v>0</v>
      </c>
      <c r="T6935" s="57"/>
      <c r="U6935" s="57"/>
      <c r="V6935" s="57"/>
      <c r="W6935" s="57"/>
      <c r="X6935" s="97">
        <v>0</v>
      </c>
    </row>
    <row r="6936" spans="1:24" s="75" customFormat="1" x14ac:dyDescent="0.35">
      <c r="A6936" s="75">
        <v>6932</v>
      </c>
      <c r="B6936" s="75">
        <v>6933</v>
      </c>
      <c r="C6936">
        <v>146.10909500700001</v>
      </c>
      <c r="D6936">
        <v>-17.6264784241</v>
      </c>
      <c r="E6936" s="92" t="str">
        <f t="shared" si="16"/>
        <v/>
      </c>
      <c r="F6936" s="93" t="str">
        <f t="shared" si="17"/>
        <v>6933_20240611_0002_R_0711.jpg</v>
      </c>
      <c r="G6936" s="75" t="s">
        <v>6880</v>
      </c>
      <c r="I6936" s="75">
        <v>1</v>
      </c>
      <c r="K6936" s="97">
        <v>1</v>
      </c>
      <c r="L6936"/>
      <c r="M6936"/>
      <c r="N6936"/>
      <c r="O6936"/>
      <c r="P6936" s="57"/>
      <c r="Q6936" s="57"/>
      <c r="R6936" s="57"/>
      <c r="S6936" s="97">
        <v>0</v>
      </c>
      <c r="T6936" s="57"/>
      <c r="U6936" s="57"/>
      <c r="V6936" s="57"/>
      <c r="W6936" s="57"/>
      <c r="X6936" s="97">
        <v>0</v>
      </c>
    </row>
    <row r="6937" spans="1:24" s="75" customFormat="1" x14ac:dyDescent="0.35">
      <c r="A6937" s="75">
        <v>6933</v>
      </c>
      <c r="B6937" s="75">
        <v>6934</v>
      </c>
      <c r="C6937">
        <v>146.10909241900001</v>
      </c>
      <c r="D6937">
        <v>-17.6263928455</v>
      </c>
      <c r="E6937" s="92" t="str">
        <f t="shared" si="16"/>
        <v/>
      </c>
      <c r="F6937" s="93" t="str">
        <f t="shared" si="17"/>
        <v>6934_20240611_0002_R_0708.jpg</v>
      </c>
      <c r="G6937" s="75" t="s">
        <v>6881</v>
      </c>
      <c r="I6937" s="75">
        <v>1</v>
      </c>
      <c r="K6937" s="97">
        <v>1</v>
      </c>
      <c r="L6937"/>
      <c r="M6937"/>
      <c r="N6937"/>
      <c r="O6937"/>
      <c r="P6937" s="57"/>
      <c r="Q6937" s="57"/>
      <c r="R6937" s="57"/>
      <c r="S6937" s="97">
        <v>0</v>
      </c>
      <c r="T6937" s="57"/>
      <c r="U6937" s="57"/>
      <c r="V6937" s="57"/>
      <c r="W6937" s="57"/>
      <c r="X6937" s="97">
        <v>0</v>
      </c>
    </row>
    <row r="6938" spans="1:24" s="75" customFormat="1" x14ac:dyDescent="0.35">
      <c r="A6938" s="75">
        <v>6934</v>
      </c>
      <c r="B6938" s="75">
        <v>6935</v>
      </c>
      <c r="C6938">
        <v>146.109089831999</v>
      </c>
      <c r="D6938">
        <v>-17.626307267000001</v>
      </c>
      <c r="E6938" s="92">
        <f t="shared" si="16"/>
        <v>50</v>
      </c>
      <c r="F6938" s="93" t="str">
        <f t="shared" si="17"/>
        <v>6935_20240611_0002_R_0706.jpg</v>
      </c>
      <c r="G6938" s="75" t="s">
        <v>6882</v>
      </c>
      <c r="I6938" s="75">
        <v>1</v>
      </c>
      <c r="K6938" s="97">
        <v>1</v>
      </c>
      <c r="L6938"/>
      <c r="M6938"/>
      <c r="N6938"/>
      <c r="O6938"/>
      <c r="P6938" s="57"/>
      <c r="Q6938" s="57"/>
      <c r="R6938" s="57"/>
      <c r="S6938" s="97">
        <v>0</v>
      </c>
      <c r="T6938" s="57"/>
      <c r="U6938" s="57"/>
      <c r="V6938" s="57"/>
      <c r="W6938" s="57"/>
      <c r="X6938" s="97">
        <v>0</v>
      </c>
    </row>
    <row r="6939" spans="1:24" s="75" customFormat="1" x14ac:dyDescent="0.35">
      <c r="A6939" s="75">
        <v>6935</v>
      </c>
      <c r="B6939" s="75">
        <v>6936</v>
      </c>
      <c r="C6939">
        <v>146.109087243999</v>
      </c>
      <c r="D6939">
        <v>-17.626221688400001</v>
      </c>
      <c r="E6939" s="92" t="str">
        <f t="shared" si="16"/>
        <v/>
      </c>
      <c r="F6939" s="93" t="str">
        <f t="shared" si="17"/>
        <v>6936_20240611_0002_R_0703.jpg</v>
      </c>
      <c r="G6939" s="75" t="s">
        <v>6883</v>
      </c>
      <c r="I6939" s="75">
        <v>1</v>
      </c>
      <c r="K6939" s="97">
        <v>1</v>
      </c>
      <c r="L6939"/>
      <c r="M6939"/>
      <c r="N6939"/>
      <c r="O6939"/>
      <c r="P6939" s="57"/>
      <c r="Q6939" s="57"/>
      <c r="R6939" s="57"/>
      <c r="S6939" s="97">
        <v>0</v>
      </c>
      <c r="T6939" s="57"/>
      <c r="U6939" s="57"/>
      <c r="V6939" s="57"/>
      <c r="W6939" s="57"/>
      <c r="X6939" s="97">
        <v>0</v>
      </c>
    </row>
    <row r="6940" spans="1:24" s="75" customFormat="1" x14ac:dyDescent="0.35">
      <c r="A6940" s="75">
        <v>6936</v>
      </c>
      <c r="B6940" s="75">
        <v>6937</v>
      </c>
      <c r="C6940">
        <v>146.109078646999</v>
      </c>
      <c r="D6940">
        <v>-17.626136542600001</v>
      </c>
      <c r="E6940" s="92" t="str">
        <f t="shared" si="16"/>
        <v/>
      </c>
      <c r="F6940" s="93" t="str">
        <f t="shared" si="17"/>
        <v>6937_20240611_0002_R_0700.jpg</v>
      </c>
      <c r="G6940" s="75" t="s">
        <v>6884</v>
      </c>
      <c r="I6940" s="75">
        <v>1</v>
      </c>
      <c r="K6940" s="97">
        <v>1</v>
      </c>
      <c r="L6940"/>
      <c r="M6940"/>
      <c r="N6940"/>
      <c r="O6940"/>
      <c r="P6940" s="57"/>
      <c r="Q6940" s="57"/>
      <c r="R6940" s="57"/>
      <c r="S6940" s="97">
        <v>0</v>
      </c>
      <c r="T6940" s="57"/>
      <c r="U6940" s="57"/>
      <c r="V6940" s="57"/>
      <c r="W6940" s="57"/>
      <c r="X6940" s="97">
        <v>0</v>
      </c>
    </row>
    <row r="6941" spans="1:24" s="75" customFormat="1" x14ac:dyDescent="0.35">
      <c r="A6941" s="75">
        <v>6937</v>
      </c>
      <c r="B6941" s="75">
        <v>6938</v>
      </c>
      <c r="C6941">
        <v>146.10906770899899</v>
      </c>
      <c r="D6941">
        <v>-17.626051565400001</v>
      </c>
      <c r="E6941" s="92" t="str">
        <f t="shared" si="16"/>
        <v/>
      </c>
      <c r="F6941" s="93" t="str">
        <f t="shared" si="17"/>
        <v>6938_20240611_0002_R_0697.jpg</v>
      </c>
      <c r="G6941" s="75" t="s">
        <v>6885</v>
      </c>
      <c r="I6941" s="75">
        <v>1</v>
      </c>
      <c r="K6941" s="97">
        <v>1</v>
      </c>
      <c r="L6941"/>
      <c r="M6941"/>
      <c r="N6941"/>
      <c r="O6941"/>
      <c r="P6941" s="57"/>
      <c r="Q6941" s="57"/>
      <c r="R6941" s="57"/>
      <c r="S6941" s="97">
        <v>0</v>
      </c>
      <c r="T6941" s="57"/>
      <c r="U6941" s="57"/>
      <c r="V6941" s="57"/>
      <c r="W6941" s="57"/>
      <c r="X6941" s="97">
        <v>0</v>
      </c>
    </row>
    <row r="6942" spans="1:24" s="75" customFormat="1" x14ac:dyDescent="0.35">
      <c r="A6942" s="75">
        <v>6938</v>
      </c>
      <c r="B6942" s="75">
        <v>6939</v>
      </c>
      <c r="C6942">
        <v>146.109056772</v>
      </c>
      <c r="D6942">
        <v>-17.625966588200001</v>
      </c>
      <c r="E6942" s="92" t="str">
        <f t="shared" si="16"/>
        <v/>
      </c>
      <c r="F6942" s="93" t="str">
        <f t="shared" si="17"/>
        <v>6939_20240611_0002_R_0695.jpg</v>
      </c>
      <c r="G6942" s="75" t="s">
        <v>6886</v>
      </c>
      <c r="I6942" s="75">
        <v>1</v>
      </c>
      <c r="K6942" s="97">
        <v>1</v>
      </c>
      <c r="L6942"/>
      <c r="M6942"/>
      <c r="N6942"/>
      <c r="O6942"/>
      <c r="P6942" s="57"/>
      <c r="Q6942" s="57"/>
      <c r="R6942" s="57"/>
      <c r="S6942" s="97">
        <v>0</v>
      </c>
      <c r="T6942" s="57"/>
      <c r="U6942" s="57"/>
      <c r="V6942" s="57"/>
      <c r="W6942" s="57"/>
      <c r="X6942" s="97">
        <v>0</v>
      </c>
    </row>
    <row r="6943" spans="1:24" s="75" customFormat="1" x14ac:dyDescent="0.35">
      <c r="A6943" s="75">
        <v>6939</v>
      </c>
      <c r="B6943" s="75">
        <v>6940</v>
      </c>
      <c r="C6943">
        <v>146.10905137</v>
      </c>
      <c r="D6943">
        <v>-17.625881197599899</v>
      </c>
      <c r="E6943" s="92">
        <f t="shared" si="16"/>
        <v>50</v>
      </c>
      <c r="F6943" s="93" t="str">
        <f t="shared" si="17"/>
        <v>6940_20240611_0002_R_0692.jpg</v>
      </c>
      <c r="G6943" s="75" t="s">
        <v>6887</v>
      </c>
      <c r="I6943" s="75">
        <v>1</v>
      </c>
      <c r="K6943" s="97">
        <v>1</v>
      </c>
      <c r="L6943"/>
      <c r="M6943"/>
      <c r="N6943"/>
      <c r="O6943"/>
      <c r="P6943" s="57"/>
      <c r="Q6943" s="57"/>
      <c r="R6943" s="57"/>
      <c r="S6943" s="97">
        <v>0</v>
      </c>
      <c r="T6943" s="57"/>
      <c r="U6943" s="57"/>
      <c r="V6943" s="57"/>
      <c r="W6943" s="57"/>
      <c r="X6943" s="97">
        <v>0</v>
      </c>
    </row>
    <row r="6944" spans="1:24" s="75" customFormat="1" x14ac:dyDescent="0.35">
      <c r="A6944" s="75">
        <v>6940</v>
      </c>
      <c r="B6944" s="75">
        <v>6941</v>
      </c>
      <c r="C6944">
        <v>146.109048290999</v>
      </c>
      <c r="D6944">
        <v>-17.6257956335999</v>
      </c>
      <c r="E6944" s="92" t="str">
        <f t="shared" si="16"/>
        <v/>
      </c>
      <c r="F6944" s="93" t="str">
        <f t="shared" si="17"/>
        <v>6941_20240611_0002_R_0690.jpg</v>
      </c>
      <c r="G6944" s="75" t="s">
        <v>6888</v>
      </c>
      <c r="I6944" s="75">
        <v>1</v>
      </c>
      <c r="K6944" s="97">
        <v>1</v>
      </c>
      <c r="L6944"/>
      <c r="M6944"/>
      <c r="N6944"/>
      <c r="O6944"/>
      <c r="P6944" s="57"/>
      <c r="Q6944" s="57"/>
      <c r="R6944" s="57"/>
      <c r="S6944" s="97">
        <v>0</v>
      </c>
      <c r="T6944" s="57"/>
      <c r="U6944" s="57"/>
      <c r="V6944" s="57"/>
      <c r="W6944" s="57"/>
      <c r="X6944" s="97">
        <v>0</v>
      </c>
    </row>
    <row r="6945" spans="1:24" s="75" customFormat="1" x14ac:dyDescent="0.35">
      <c r="A6945" s="75">
        <v>6941</v>
      </c>
      <c r="B6945" s="75">
        <v>6942</v>
      </c>
      <c r="C6945">
        <v>146.10904521200001</v>
      </c>
      <c r="D6945">
        <v>-17.6257100696</v>
      </c>
      <c r="E6945" s="92" t="str">
        <f t="shared" si="16"/>
        <v/>
      </c>
      <c r="F6945" s="93" t="str">
        <f t="shared" si="17"/>
        <v>6942_20240611_0002_R_0687.jpg</v>
      </c>
      <c r="G6945" s="75" t="s">
        <v>6889</v>
      </c>
      <c r="I6945" s="75">
        <v>1</v>
      </c>
      <c r="K6945" s="97">
        <v>1</v>
      </c>
      <c r="L6945"/>
      <c r="M6945"/>
      <c r="N6945"/>
      <c r="O6945"/>
      <c r="P6945" s="57"/>
      <c r="Q6945" s="57"/>
      <c r="R6945" s="57"/>
      <c r="S6945" s="97">
        <v>0</v>
      </c>
      <c r="T6945" s="57"/>
      <c r="U6945" s="57"/>
      <c r="V6945" s="57"/>
      <c r="W6945" s="57"/>
      <c r="X6945" s="97">
        <v>0</v>
      </c>
    </row>
    <row r="6946" spans="1:24" s="75" customFormat="1" x14ac:dyDescent="0.35">
      <c r="A6946" s="75">
        <v>6942</v>
      </c>
      <c r="B6946" s="75">
        <v>6943</v>
      </c>
      <c r="C6946">
        <v>146.109042133</v>
      </c>
      <c r="D6946">
        <v>-17.6256245054999</v>
      </c>
      <c r="E6946" s="92" t="str">
        <f t="shared" si="16"/>
        <v/>
      </c>
      <c r="F6946" s="93" t="str">
        <f t="shared" si="17"/>
        <v>6943_20240611_0002_R_0684.jpg</v>
      </c>
      <c r="G6946" s="75" t="s">
        <v>6890</v>
      </c>
      <c r="I6946" s="75">
        <v>1</v>
      </c>
      <c r="K6946" s="97">
        <v>1</v>
      </c>
      <c r="L6946"/>
      <c r="M6946"/>
      <c r="N6946"/>
      <c r="O6946"/>
      <c r="P6946" s="57"/>
      <c r="Q6946" s="57"/>
      <c r="R6946" s="57"/>
      <c r="S6946" s="97">
        <v>0</v>
      </c>
      <c r="T6946" s="57"/>
      <c r="U6946" s="57"/>
      <c r="V6946" s="57"/>
      <c r="W6946" s="57"/>
      <c r="X6946" s="97">
        <v>0</v>
      </c>
    </row>
    <row r="6947" spans="1:24" s="75" customFormat="1" x14ac:dyDescent="0.35">
      <c r="A6947" s="75">
        <v>6943</v>
      </c>
      <c r="B6947" s="75">
        <v>6944</v>
      </c>
      <c r="C6947">
        <v>146.109050564</v>
      </c>
      <c r="D6947">
        <v>-17.6255394573</v>
      </c>
      <c r="E6947" s="92" t="str">
        <f t="shared" si="16"/>
        <v/>
      </c>
      <c r="F6947" s="93" t="str">
        <f t="shared" si="17"/>
        <v>6944_20240611_0002_R_0682.jpg</v>
      </c>
      <c r="G6947" s="75" t="s">
        <v>6891</v>
      </c>
      <c r="I6947" s="75">
        <v>1</v>
      </c>
      <c r="K6947" s="97">
        <v>1</v>
      </c>
      <c r="L6947"/>
      <c r="M6947"/>
      <c r="N6947"/>
      <c r="O6947"/>
      <c r="P6947" s="57"/>
      <c r="Q6947" s="57"/>
      <c r="R6947" s="57"/>
      <c r="S6947" s="97">
        <v>0</v>
      </c>
      <c r="T6947" s="57"/>
      <c r="U6947" s="57"/>
      <c r="V6947" s="57"/>
      <c r="W6947" s="57"/>
      <c r="X6947" s="97">
        <v>0</v>
      </c>
    </row>
    <row r="6948" spans="1:24" s="75" customFormat="1" x14ac:dyDescent="0.35">
      <c r="A6948" s="75">
        <v>6944</v>
      </c>
      <c r="B6948" s="75">
        <v>6945</v>
      </c>
      <c r="C6948">
        <v>146.109062055999</v>
      </c>
      <c r="D6948">
        <v>-17.625454546299899</v>
      </c>
      <c r="E6948" s="92">
        <f t="shared" si="16"/>
        <v>50</v>
      </c>
      <c r="F6948" s="93" t="str">
        <f t="shared" si="17"/>
        <v>6945_20240611_0002_R_0680.jpg</v>
      </c>
      <c r="G6948" s="75" t="s">
        <v>6892</v>
      </c>
      <c r="I6948" s="75">
        <v>1</v>
      </c>
      <c r="K6948" s="97">
        <v>1</v>
      </c>
      <c r="L6948"/>
      <c r="M6948"/>
      <c r="N6948"/>
      <c r="O6948"/>
      <c r="P6948" s="57"/>
      <c r="Q6948" s="57"/>
      <c r="R6948" s="57"/>
      <c r="S6948" s="97">
        <v>0</v>
      </c>
      <c r="T6948" s="57"/>
      <c r="U6948" s="57"/>
      <c r="V6948" s="57"/>
      <c r="W6948" s="57"/>
      <c r="X6948" s="97">
        <v>0</v>
      </c>
    </row>
    <row r="6949" spans="1:24" s="75" customFormat="1" x14ac:dyDescent="0.35">
      <c r="A6949" s="75">
        <v>6945</v>
      </c>
      <c r="B6949" s="75">
        <v>6946</v>
      </c>
      <c r="C6949">
        <v>146.10907355000001</v>
      </c>
      <c r="D6949">
        <v>-17.625369635399899</v>
      </c>
      <c r="E6949" s="92" t="str">
        <f t="shared" si="16"/>
        <v/>
      </c>
      <c r="F6949" s="93" t="str">
        <f t="shared" si="17"/>
        <v>6946_20240611_0002_R_0677.jpg</v>
      </c>
      <c r="G6949" s="75" t="s">
        <v>6893</v>
      </c>
      <c r="I6949" s="75">
        <v>1</v>
      </c>
      <c r="K6949" s="97">
        <v>1</v>
      </c>
      <c r="L6949"/>
      <c r="M6949"/>
      <c r="N6949"/>
      <c r="O6949"/>
      <c r="P6949" s="57"/>
      <c r="Q6949" s="57"/>
      <c r="R6949" s="57"/>
      <c r="S6949" s="97">
        <v>0</v>
      </c>
      <c r="T6949" s="57"/>
      <c r="U6949" s="57"/>
      <c r="V6949" s="57"/>
      <c r="W6949" s="57"/>
      <c r="X6949" s="97">
        <v>0</v>
      </c>
    </row>
    <row r="6950" spans="1:24" s="75" customFormat="1" x14ac:dyDescent="0.35">
      <c r="A6950" s="75">
        <v>6946</v>
      </c>
      <c r="B6950" s="75">
        <v>6947</v>
      </c>
      <c r="C6950">
        <v>146.10908606199899</v>
      </c>
      <c r="D6950">
        <v>-17.6252849217</v>
      </c>
      <c r="E6950" s="92" t="str">
        <f t="shared" si="16"/>
        <v/>
      </c>
      <c r="F6950" s="93" t="str">
        <f t="shared" si="17"/>
        <v>6947_20240611_0002_R_0674.jpg</v>
      </c>
      <c r="G6950" s="75" t="s">
        <v>6894</v>
      </c>
      <c r="I6950" s="75">
        <v>1</v>
      </c>
      <c r="K6950" s="97">
        <v>1</v>
      </c>
      <c r="L6950"/>
      <c r="M6950"/>
      <c r="N6950"/>
      <c r="O6950"/>
      <c r="P6950" s="57"/>
      <c r="Q6950" s="57"/>
      <c r="R6950" s="57"/>
      <c r="S6950" s="97">
        <v>0</v>
      </c>
      <c r="T6950" s="57"/>
      <c r="U6950" s="57"/>
      <c r="V6950" s="57"/>
      <c r="W6950" s="57"/>
      <c r="X6950" s="97">
        <v>0</v>
      </c>
    </row>
    <row r="6951" spans="1:24" s="75" customFormat="1" x14ac:dyDescent="0.35">
      <c r="A6951" s="75">
        <v>6947</v>
      </c>
      <c r="B6951" s="75">
        <v>6948</v>
      </c>
      <c r="C6951">
        <v>146.10911024699899</v>
      </c>
      <c r="D6951">
        <v>-17.6252024682999</v>
      </c>
      <c r="E6951" s="92" t="str">
        <f t="shared" si="16"/>
        <v/>
      </c>
      <c r="F6951" s="93" t="str">
        <f t="shared" si="17"/>
        <v>6948_20240611_0002_R_0672.jpg</v>
      </c>
      <c r="G6951" s="75" t="s">
        <v>6895</v>
      </c>
      <c r="I6951" s="75">
        <v>1</v>
      </c>
      <c r="K6951" s="97">
        <v>1</v>
      </c>
      <c r="L6951"/>
      <c r="M6951"/>
      <c r="N6951"/>
      <c r="O6951"/>
      <c r="P6951" s="57"/>
      <c r="Q6951" s="57"/>
      <c r="R6951" s="57"/>
      <c r="S6951" s="97">
        <v>0</v>
      </c>
      <c r="T6951" s="57"/>
      <c r="U6951" s="57"/>
      <c r="V6951" s="57"/>
      <c r="W6951" s="57"/>
      <c r="X6951" s="97">
        <v>0</v>
      </c>
    </row>
    <row r="6952" spans="1:24" s="75" customFormat="1" x14ac:dyDescent="0.35">
      <c r="A6952" s="75">
        <v>6948</v>
      </c>
      <c r="B6952" s="75">
        <v>6949</v>
      </c>
      <c r="C6952">
        <v>146.109134431999</v>
      </c>
      <c r="D6952">
        <v>-17.625120014899899</v>
      </c>
      <c r="E6952" s="92" t="str">
        <f t="shared" si="16"/>
        <v/>
      </c>
      <c r="F6952" s="93" t="str">
        <f t="shared" si="17"/>
        <v>6949_20240611_0002_R_0669.jpg</v>
      </c>
      <c r="G6952" s="75" t="s">
        <v>6896</v>
      </c>
      <c r="I6952" s="75">
        <v>1</v>
      </c>
      <c r="K6952" s="97">
        <v>1</v>
      </c>
      <c r="L6952"/>
      <c r="M6952"/>
      <c r="N6952"/>
      <c r="O6952"/>
      <c r="P6952" s="57"/>
      <c r="Q6952" s="57"/>
      <c r="R6952" s="57"/>
      <c r="S6952" s="97">
        <v>0</v>
      </c>
      <c r="T6952" s="57"/>
      <c r="U6952" s="57"/>
      <c r="V6952" s="57"/>
      <c r="W6952" s="57"/>
      <c r="X6952" s="97">
        <v>0</v>
      </c>
    </row>
    <row r="6953" spans="1:24" s="75" customFormat="1" x14ac:dyDescent="0.35">
      <c r="A6953" s="75">
        <v>6949</v>
      </c>
      <c r="B6953" s="75">
        <v>6950</v>
      </c>
      <c r="C6953">
        <v>146.10915861800001</v>
      </c>
      <c r="D6953">
        <v>-17.625037561500001</v>
      </c>
      <c r="E6953" s="92">
        <f t="shared" si="16"/>
        <v>50</v>
      </c>
      <c r="F6953" s="93" t="str">
        <f t="shared" si="17"/>
        <v>6950_20240611_0002_R_0665.jpg</v>
      </c>
      <c r="G6953" s="75" t="s">
        <v>6897</v>
      </c>
      <c r="I6953" s="75">
        <v>1</v>
      </c>
      <c r="K6953" s="97">
        <v>1</v>
      </c>
      <c r="L6953"/>
      <c r="M6953"/>
      <c r="N6953"/>
      <c r="O6953"/>
      <c r="P6953" s="57"/>
      <c r="Q6953" s="57"/>
      <c r="R6953" s="57"/>
      <c r="S6953" s="97">
        <v>0</v>
      </c>
      <c r="T6953" s="57"/>
      <c r="U6953" s="57"/>
      <c r="V6953" s="57"/>
      <c r="W6953" s="57"/>
      <c r="X6953" s="97">
        <v>0</v>
      </c>
    </row>
    <row r="6954" spans="1:24" s="75" customFormat="1" x14ac:dyDescent="0.35">
      <c r="A6954" s="75">
        <v>6950</v>
      </c>
      <c r="B6954" s="75">
        <v>6951</v>
      </c>
      <c r="C6954">
        <v>146.10918280300001</v>
      </c>
      <c r="D6954">
        <v>-17.624955108000002</v>
      </c>
      <c r="E6954" s="92" t="str">
        <f t="shared" si="16"/>
        <v/>
      </c>
      <c r="F6954" s="93" t="str">
        <f t="shared" si="17"/>
        <v>6951_20240611_0002_R_0663.jpg</v>
      </c>
      <c r="G6954" s="75" t="s">
        <v>6898</v>
      </c>
      <c r="I6954" s="75">
        <v>1</v>
      </c>
      <c r="K6954" s="97">
        <v>1</v>
      </c>
      <c r="L6954"/>
      <c r="M6954"/>
      <c r="N6954"/>
      <c r="O6954"/>
      <c r="P6954" s="57"/>
      <c r="Q6954" s="57"/>
      <c r="R6954" s="57"/>
      <c r="S6954" s="97">
        <v>0</v>
      </c>
      <c r="T6954" s="57"/>
      <c r="U6954" s="57"/>
      <c r="V6954" s="57"/>
      <c r="W6954" s="57"/>
      <c r="X6954" s="97">
        <v>0</v>
      </c>
    </row>
    <row r="6955" spans="1:24" s="75" customFormat="1" x14ac:dyDescent="0.35">
      <c r="A6955" s="75">
        <v>6951</v>
      </c>
      <c r="B6955" s="75">
        <v>6952</v>
      </c>
      <c r="C6955">
        <v>146.10920698800001</v>
      </c>
      <c r="D6955">
        <v>-17.624872654499899</v>
      </c>
      <c r="E6955" s="92" t="str">
        <f t="shared" si="16"/>
        <v/>
      </c>
      <c r="F6955" s="93" t="str">
        <f t="shared" si="17"/>
        <v>6952_20240611_0002_R_0660.jpg</v>
      </c>
      <c r="G6955" s="75" t="s">
        <v>6899</v>
      </c>
      <c r="I6955" s="75">
        <v>1</v>
      </c>
      <c r="K6955" s="97">
        <v>1</v>
      </c>
      <c r="L6955"/>
      <c r="M6955"/>
      <c r="N6955"/>
      <c r="O6955"/>
      <c r="P6955" s="57"/>
      <c r="Q6955" s="57"/>
      <c r="R6955" s="57"/>
      <c r="S6955" s="97">
        <v>0</v>
      </c>
      <c r="T6955" s="57"/>
      <c r="U6955" s="57"/>
      <c r="V6955" s="57"/>
      <c r="W6955" s="57"/>
      <c r="X6955" s="97">
        <v>0</v>
      </c>
    </row>
    <row r="6956" spans="1:24" s="75" customFormat="1" x14ac:dyDescent="0.35">
      <c r="A6956" s="75">
        <v>6952</v>
      </c>
      <c r="B6956" s="75">
        <v>6953</v>
      </c>
      <c r="C6956">
        <v>146.10923117300001</v>
      </c>
      <c r="D6956">
        <v>-17.624790200900001</v>
      </c>
      <c r="E6956" s="92" t="str">
        <f t="shared" si="16"/>
        <v/>
      </c>
      <c r="F6956" s="93" t="str">
        <f t="shared" si="17"/>
        <v>6953_20240611_0002_R_0657.jpg</v>
      </c>
      <c r="G6956" s="75" t="s">
        <v>6900</v>
      </c>
      <c r="I6956" s="75">
        <v>1</v>
      </c>
      <c r="K6956" s="97">
        <v>1</v>
      </c>
      <c r="L6956"/>
      <c r="M6956"/>
      <c r="N6956"/>
      <c r="O6956"/>
      <c r="P6956" s="57"/>
      <c r="Q6956" s="57"/>
      <c r="R6956" s="57"/>
      <c r="S6956" s="97">
        <v>0</v>
      </c>
      <c r="T6956" s="57"/>
      <c r="U6956" s="57"/>
      <c r="V6956" s="57"/>
      <c r="W6956" s="57"/>
      <c r="X6956" s="97">
        <v>0</v>
      </c>
    </row>
    <row r="6957" spans="1:24" s="75" customFormat="1" x14ac:dyDescent="0.35">
      <c r="A6957" s="75">
        <v>6953</v>
      </c>
      <c r="B6957" s="75">
        <v>6954</v>
      </c>
      <c r="C6957">
        <v>146.109255359</v>
      </c>
      <c r="D6957">
        <v>-17.6247077473</v>
      </c>
      <c r="E6957" s="92" t="str">
        <f t="shared" si="16"/>
        <v/>
      </c>
      <c r="F6957" s="93" t="str">
        <f t="shared" si="17"/>
        <v>6954_20240611_0002_R_0654.jpg</v>
      </c>
      <c r="G6957" s="75" t="s">
        <v>6901</v>
      </c>
      <c r="I6957" s="75">
        <v>1</v>
      </c>
      <c r="K6957" s="97">
        <v>1</v>
      </c>
      <c r="L6957"/>
      <c r="M6957"/>
      <c r="N6957"/>
      <c r="O6957"/>
      <c r="P6957" s="57"/>
      <c r="Q6957" s="57"/>
      <c r="R6957" s="57"/>
      <c r="S6957" s="97">
        <v>0</v>
      </c>
      <c r="T6957" s="57"/>
      <c r="U6957" s="57"/>
      <c r="V6957" s="57"/>
      <c r="W6957" s="57"/>
      <c r="X6957" s="97">
        <v>0</v>
      </c>
    </row>
    <row r="6958" spans="1:24" s="75" customFormat="1" x14ac:dyDescent="0.35">
      <c r="A6958" s="75">
        <v>6954</v>
      </c>
      <c r="B6958" s="75">
        <v>6955</v>
      </c>
      <c r="C6958">
        <v>146.109279544</v>
      </c>
      <c r="D6958">
        <v>-17.6246252936999</v>
      </c>
      <c r="E6958" s="92">
        <f t="shared" si="16"/>
        <v>50</v>
      </c>
      <c r="F6958" s="93" t="str">
        <f t="shared" si="17"/>
        <v>6955_20240611_0002_R_0651.jpg</v>
      </c>
      <c r="G6958" s="75" t="s">
        <v>6902</v>
      </c>
      <c r="I6958" s="75">
        <v>1</v>
      </c>
      <c r="K6958" s="97">
        <v>1</v>
      </c>
      <c r="L6958"/>
      <c r="M6958"/>
      <c r="N6958"/>
      <c r="O6958"/>
      <c r="P6958" s="57"/>
      <c r="Q6958" s="57"/>
      <c r="R6958" s="57"/>
      <c r="S6958" s="97">
        <v>0</v>
      </c>
      <c r="T6958" s="57"/>
      <c r="U6958" s="57"/>
      <c r="V6958" s="57"/>
      <c r="W6958" s="57"/>
      <c r="X6958" s="97">
        <v>0</v>
      </c>
    </row>
    <row r="6959" spans="1:24" s="75" customFormat="1" x14ac:dyDescent="0.35">
      <c r="A6959" s="75">
        <v>6955</v>
      </c>
      <c r="B6959" s="75">
        <v>6956</v>
      </c>
      <c r="C6959">
        <v>146.109306344999</v>
      </c>
      <c r="D6959">
        <v>-17.6245435931</v>
      </c>
      <c r="E6959" s="92" t="str">
        <f t="shared" si="16"/>
        <v/>
      </c>
      <c r="F6959" s="93" t="str">
        <f t="shared" si="17"/>
        <v>6956_20240611_0002_R_0649.jpg</v>
      </c>
      <c r="G6959" s="75" t="s">
        <v>6903</v>
      </c>
      <c r="I6959" s="75">
        <v>1</v>
      </c>
      <c r="K6959" s="97">
        <v>1</v>
      </c>
      <c r="L6959"/>
      <c r="M6959"/>
      <c r="N6959"/>
      <c r="O6959"/>
      <c r="P6959" s="57"/>
      <c r="Q6959" s="57"/>
      <c r="R6959" s="57"/>
      <c r="S6959" s="97">
        <v>0</v>
      </c>
      <c r="T6959" s="57"/>
      <c r="U6959" s="57"/>
      <c r="V6959" s="57"/>
      <c r="W6959" s="57"/>
      <c r="X6959" s="97">
        <v>0</v>
      </c>
    </row>
    <row r="6960" spans="1:24" s="75" customFormat="1" x14ac:dyDescent="0.35">
      <c r="A6960" s="75">
        <v>6956</v>
      </c>
      <c r="B6960" s="75">
        <v>6957</v>
      </c>
      <c r="C6960">
        <v>146.109334114999</v>
      </c>
      <c r="D6960">
        <v>-17.624462171800001</v>
      </c>
      <c r="E6960" s="92" t="str">
        <f t="shared" si="16"/>
        <v/>
      </c>
      <c r="F6960" s="93" t="str">
        <f t="shared" si="17"/>
        <v>6957_20240611_0002_R_0645.jpg</v>
      </c>
      <c r="G6960" s="75" t="s">
        <v>6904</v>
      </c>
      <c r="I6960" s="75">
        <v>1</v>
      </c>
      <c r="K6960" s="97">
        <v>1</v>
      </c>
      <c r="L6960"/>
      <c r="M6960"/>
      <c r="N6960"/>
      <c r="O6960"/>
      <c r="P6960" s="57"/>
      <c r="Q6960" s="57"/>
      <c r="R6960" s="57"/>
      <c r="S6960" s="97">
        <v>0</v>
      </c>
      <c r="T6960" s="57"/>
      <c r="U6960" s="57"/>
      <c r="V6960" s="57"/>
      <c r="W6960" s="57"/>
      <c r="X6960" s="97">
        <v>0</v>
      </c>
    </row>
    <row r="6961" spans="1:24" s="75" customFormat="1" x14ac:dyDescent="0.35">
      <c r="A6961" s="75">
        <v>6957</v>
      </c>
      <c r="B6961" s="75">
        <v>6958</v>
      </c>
      <c r="C6961">
        <v>146.10936188400001</v>
      </c>
      <c r="D6961">
        <v>-17.6243807502</v>
      </c>
      <c r="E6961" s="92" t="str">
        <f t="shared" si="16"/>
        <v/>
      </c>
      <c r="F6961" s="93" t="str">
        <f t="shared" si="17"/>
        <v>6958_20240611_0002_R_0642.jpg</v>
      </c>
      <c r="G6961" s="75" t="s">
        <v>6905</v>
      </c>
      <c r="I6961" s="75">
        <v>1</v>
      </c>
      <c r="K6961" s="97">
        <v>1</v>
      </c>
      <c r="L6961"/>
      <c r="M6961"/>
      <c r="N6961"/>
      <c r="O6961"/>
      <c r="P6961" s="57"/>
      <c r="Q6961" s="57"/>
      <c r="R6961" s="57"/>
      <c r="S6961" s="97">
        <v>0</v>
      </c>
      <c r="T6961" s="57"/>
      <c r="U6961" s="57"/>
      <c r="V6961" s="57"/>
      <c r="W6961" s="57"/>
      <c r="X6961" s="97">
        <v>0</v>
      </c>
    </row>
    <row r="6962" spans="1:24" s="75" customFormat="1" x14ac:dyDescent="0.35">
      <c r="A6962" s="75">
        <v>6958</v>
      </c>
      <c r="B6962" s="75">
        <v>6959</v>
      </c>
      <c r="C6962">
        <v>146.10938965400001</v>
      </c>
      <c r="D6962">
        <v>-17.6242993285999</v>
      </c>
      <c r="E6962" s="92" t="str">
        <f t="shared" si="16"/>
        <v/>
      </c>
      <c r="F6962" s="93" t="str">
        <f t="shared" si="17"/>
        <v>6959_20240611_0002_R_0639.jpg</v>
      </c>
      <c r="G6962" s="75" t="s">
        <v>6906</v>
      </c>
      <c r="I6962" s="75">
        <v>1</v>
      </c>
      <c r="K6962" s="97">
        <v>1</v>
      </c>
      <c r="L6962"/>
      <c r="M6962"/>
      <c r="N6962"/>
      <c r="O6962"/>
      <c r="P6962" s="57"/>
      <c r="Q6962" s="57"/>
      <c r="R6962" s="57"/>
      <c r="S6962" s="97">
        <v>0</v>
      </c>
      <c r="T6962" s="57"/>
      <c r="U6962" s="57"/>
      <c r="V6962" s="57"/>
      <c r="W6962" s="57"/>
      <c r="X6962" s="97">
        <v>0</v>
      </c>
    </row>
    <row r="6963" spans="1:24" s="75" customFormat="1" x14ac:dyDescent="0.35">
      <c r="A6963" s="75">
        <v>6959</v>
      </c>
      <c r="B6963" s="75">
        <v>6960</v>
      </c>
      <c r="C6963">
        <v>146.109417422999</v>
      </c>
      <c r="D6963">
        <v>-17.624217906999899</v>
      </c>
      <c r="E6963" s="92">
        <f t="shared" si="16"/>
        <v>50</v>
      </c>
      <c r="F6963" s="93" t="str">
        <f t="shared" si="17"/>
        <v>6960_20240611_0002_R_0636.jpg</v>
      </c>
      <c r="G6963" s="75" t="s">
        <v>6907</v>
      </c>
      <c r="I6963" s="75">
        <v>1</v>
      </c>
      <c r="K6963" s="97">
        <v>1</v>
      </c>
      <c r="L6963"/>
      <c r="M6963"/>
      <c r="N6963"/>
      <c r="O6963"/>
      <c r="P6963" s="57"/>
      <c r="Q6963" s="57"/>
      <c r="R6963" s="57"/>
      <c r="S6963" s="97">
        <v>0</v>
      </c>
      <c r="T6963" s="57"/>
      <c r="U6963" s="57"/>
      <c r="V6963" s="57"/>
      <c r="W6963" s="57"/>
      <c r="X6963" s="97">
        <v>0</v>
      </c>
    </row>
    <row r="6964" spans="1:24" s="75" customFormat="1" x14ac:dyDescent="0.35">
      <c r="A6964" s="75">
        <v>6960</v>
      </c>
      <c r="B6964" s="75">
        <v>6961</v>
      </c>
      <c r="C6964">
        <v>146.109445192999</v>
      </c>
      <c r="D6964">
        <v>-17.6241364852999</v>
      </c>
      <c r="E6964" s="92" t="str">
        <f t="shared" si="16"/>
        <v/>
      </c>
      <c r="F6964" s="93" t="str">
        <f t="shared" si="17"/>
        <v>6961_20240611_0002_R_0632.jpg</v>
      </c>
      <c r="G6964" s="75" t="s">
        <v>6908</v>
      </c>
      <c r="I6964" s="75">
        <v>1</v>
      </c>
      <c r="K6964" s="97">
        <v>1</v>
      </c>
      <c r="L6964"/>
      <c r="M6964"/>
      <c r="N6964"/>
      <c r="O6964"/>
      <c r="P6964" s="57"/>
      <c r="Q6964" s="57"/>
      <c r="R6964" s="57"/>
      <c r="S6964" s="97">
        <v>0</v>
      </c>
      <c r="T6964" s="57"/>
      <c r="U6964" s="57"/>
      <c r="V6964" s="57"/>
      <c r="W6964" s="57"/>
      <c r="X6964" s="97">
        <v>0</v>
      </c>
    </row>
    <row r="6965" spans="1:24" s="75" customFormat="1" x14ac:dyDescent="0.35">
      <c r="A6965" s="75">
        <v>6961</v>
      </c>
      <c r="B6965" s="75">
        <v>6962</v>
      </c>
      <c r="C6965">
        <v>146.109472963</v>
      </c>
      <c r="D6965">
        <v>-17.6240550636</v>
      </c>
      <c r="E6965" s="92" t="str">
        <f t="shared" si="16"/>
        <v/>
      </c>
      <c r="F6965" s="93" t="str">
        <f t="shared" si="17"/>
        <v>6962_20240611_0002_R_0629.jpg</v>
      </c>
      <c r="G6965" s="75" t="s">
        <v>6909</v>
      </c>
      <c r="I6965" s="75">
        <v>1</v>
      </c>
      <c r="K6965" s="97">
        <v>1</v>
      </c>
      <c r="L6965"/>
      <c r="M6965"/>
      <c r="N6965"/>
      <c r="O6965"/>
      <c r="P6965" s="57"/>
      <c r="Q6965" s="57"/>
      <c r="R6965" s="57"/>
      <c r="S6965" s="97">
        <v>0</v>
      </c>
      <c r="T6965" s="57"/>
      <c r="U6965" s="57"/>
      <c r="V6965" s="57"/>
      <c r="W6965" s="57"/>
      <c r="X6965" s="97">
        <v>0</v>
      </c>
    </row>
    <row r="6966" spans="1:24" s="75" customFormat="1" x14ac:dyDescent="0.35">
      <c r="A6966" s="75">
        <v>6962</v>
      </c>
      <c r="B6966" s="75">
        <v>6963</v>
      </c>
      <c r="C6966">
        <v>146.10950327699899</v>
      </c>
      <c r="D6966">
        <v>-17.623974486000002</v>
      </c>
      <c r="E6966" s="92" t="str">
        <f t="shared" si="16"/>
        <v/>
      </c>
      <c r="F6966" s="93" t="str">
        <f t="shared" si="17"/>
        <v>6963_20240611_0002_R_0625.jpg</v>
      </c>
      <c r="G6966" s="75" t="s">
        <v>6910</v>
      </c>
      <c r="I6966" s="75">
        <v>1</v>
      </c>
      <c r="K6966" s="97">
        <v>1</v>
      </c>
      <c r="L6966"/>
      <c r="M6966"/>
      <c r="N6966"/>
      <c r="O6966"/>
      <c r="P6966" s="57"/>
      <c r="Q6966" s="57"/>
      <c r="R6966" s="57"/>
      <c r="S6966" s="97">
        <v>0</v>
      </c>
      <c r="T6966" s="57"/>
      <c r="U6966" s="57"/>
      <c r="V6966" s="57"/>
      <c r="W6966" s="57"/>
      <c r="X6966" s="97">
        <v>0</v>
      </c>
    </row>
    <row r="6967" spans="1:24" s="75" customFormat="1" x14ac:dyDescent="0.35">
      <c r="A6967" s="75">
        <v>6963</v>
      </c>
      <c r="B6967" s="75">
        <v>6964</v>
      </c>
      <c r="C6967">
        <v>146.10953455999899</v>
      </c>
      <c r="D6967">
        <v>-17.6238942300999</v>
      </c>
      <c r="E6967" s="92" t="str">
        <f t="shared" si="16"/>
        <v/>
      </c>
      <c r="F6967" s="93" t="str">
        <f t="shared" si="17"/>
        <v>6964_20240611_0002_R_0622.jpg</v>
      </c>
      <c r="G6967" s="75" t="s">
        <v>6911</v>
      </c>
      <c r="I6967" s="75">
        <v>1</v>
      </c>
      <c r="K6967" s="97">
        <v>1</v>
      </c>
      <c r="L6967"/>
      <c r="M6967"/>
      <c r="N6967"/>
      <c r="O6967"/>
      <c r="P6967" s="57"/>
      <c r="Q6967" s="57"/>
      <c r="R6967" s="57"/>
      <c r="S6967" s="97">
        <v>0</v>
      </c>
      <c r="T6967" s="57"/>
      <c r="U6967" s="57"/>
      <c r="V6967" s="57"/>
      <c r="W6967" s="57"/>
      <c r="X6967" s="97">
        <v>0</v>
      </c>
    </row>
    <row r="6968" spans="1:24" s="75" customFormat="1" x14ac:dyDescent="0.35">
      <c r="A6968" s="75">
        <v>6964</v>
      </c>
      <c r="B6968" s="75">
        <v>6965</v>
      </c>
      <c r="C6968">
        <v>146.109565844</v>
      </c>
      <c r="D6968">
        <v>-17.6238139740999</v>
      </c>
      <c r="E6968" s="92">
        <f t="shared" si="16"/>
        <v>50</v>
      </c>
      <c r="F6968" s="93" t="str">
        <f t="shared" si="17"/>
        <v>6965_20240611_0002_R_0619.jpg</v>
      </c>
      <c r="G6968" s="75" t="s">
        <v>6912</v>
      </c>
      <c r="I6968" s="75">
        <v>1</v>
      </c>
      <c r="K6968" s="97">
        <v>1</v>
      </c>
      <c r="L6968"/>
      <c r="M6968"/>
      <c r="N6968"/>
      <c r="O6968"/>
      <c r="P6968" s="57"/>
      <c r="Q6968" s="57"/>
      <c r="R6968" s="57"/>
      <c r="S6968" s="97">
        <v>0</v>
      </c>
      <c r="T6968" s="57"/>
      <c r="U6968" s="57"/>
      <c r="V6968" s="57"/>
      <c r="W6968" s="57"/>
      <c r="X6968" s="97">
        <v>0</v>
      </c>
    </row>
    <row r="6969" spans="1:24" s="75" customFormat="1" x14ac:dyDescent="0.35">
      <c r="A6969" s="75">
        <v>6965</v>
      </c>
      <c r="B6969" s="75">
        <v>6966</v>
      </c>
      <c r="C6969">
        <v>146.109588548999</v>
      </c>
      <c r="D6969">
        <v>-17.6237314056999</v>
      </c>
      <c r="E6969" s="92" t="str">
        <f t="shared" si="16"/>
        <v/>
      </c>
      <c r="F6969" s="93" t="str">
        <f t="shared" si="17"/>
        <v>6966_20240611_0002_R_0616.jpg</v>
      </c>
      <c r="G6969" s="75" t="s">
        <v>6913</v>
      </c>
      <c r="I6969" s="75">
        <v>1</v>
      </c>
      <c r="K6969" s="97">
        <v>1</v>
      </c>
      <c r="L6969"/>
      <c r="M6969"/>
      <c r="N6969"/>
      <c r="O6969"/>
      <c r="P6969" s="57"/>
      <c r="Q6969" s="57"/>
      <c r="R6969" s="57"/>
      <c r="S6969" s="97">
        <v>0</v>
      </c>
      <c r="T6969" s="57"/>
      <c r="U6969" s="57"/>
      <c r="V6969" s="57"/>
      <c r="W6969" s="57"/>
      <c r="X6969" s="97">
        <v>0</v>
      </c>
    </row>
    <row r="6970" spans="1:24" s="75" customFormat="1" x14ac:dyDescent="0.35">
      <c r="A6970" s="75">
        <v>6966</v>
      </c>
      <c r="B6970" s="75">
        <v>6967</v>
      </c>
      <c r="C6970">
        <v>146.109606006999</v>
      </c>
      <c r="D6970">
        <v>-17.6236474227</v>
      </c>
      <c r="E6970" s="92" t="str">
        <f t="shared" si="16"/>
        <v/>
      </c>
      <c r="F6970" s="93" t="str">
        <f t="shared" si="17"/>
        <v>6967_20240611_0002_R_0613.jpg</v>
      </c>
      <c r="G6970" s="75" t="s">
        <v>6914</v>
      </c>
      <c r="I6970" s="75">
        <v>1</v>
      </c>
      <c r="K6970" s="97">
        <v>1</v>
      </c>
      <c r="L6970"/>
      <c r="M6970"/>
      <c r="N6970"/>
      <c r="O6970"/>
      <c r="P6970" s="57"/>
      <c r="Q6970" s="57"/>
      <c r="R6970" s="57"/>
      <c r="S6970" s="97">
        <v>0</v>
      </c>
      <c r="T6970" s="57"/>
      <c r="U6970" s="57"/>
      <c r="V6970" s="57"/>
      <c r="W6970" s="57"/>
      <c r="X6970" s="97">
        <v>0</v>
      </c>
    </row>
    <row r="6971" spans="1:24" s="75" customFormat="1" x14ac:dyDescent="0.35">
      <c r="A6971" s="75">
        <v>6967</v>
      </c>
      <c r="B6971" s="75">
        <v>6968</v>
      </c>
      <c r="C6971">
        <v>146.109623464999</v>
      </c>
      <c r="D6971">
        <v>-17.6235634397</v>
      </c>
      <c r="E6971" s="92" t="str">
        <f t="shared" si="16"/>
        <v/>
      </c>
      <c r="F6971" s="93" t="str">
        <f t="shared" si="17"/>
        <v>6968_20240611_0002_R_0610.jpg</v>
      </c>
      <c r="G6971" s="75" t="s">
        <v>6915</v>
      </c>
      <c r="I6971" s="75">
        <v>1</v>
      </c>
      <c r="K6971" s="97">
        <v>1</v>
      </c>
      <c r="L6971"/>
      <c r="M6971"/>
      <c r="N6971"/>
      <c r="O6971"/>
      <c r="P6971" s="57"/>
      <c r="Q6971" s="57"/>
      <c r="R6971" s="57"/>
      <c r="S6971" s="97">
        <v>0</v>
      </c>
      <c r="T6971" s="57"/>
      <c r="U6971" s="57"/>
      <c r="V6971" s="57"/>
      <c r="W6971" s="57"/>
      <c r="X6971" s="97">
        <v>0</v>
      </c>
    </row>
    <row r="6972" spans="1:24" s="75" customFormat="1" x14ac:dyDescent="0.35">
      <c r="A6972" s="75">
        <v>6968</v>
      </c>
      <c r="B6972" s="75">
        <v>6969</v>
      </c>
      <c r="C6972">
        <v>146.109640923</v>
      </c>
      <c r="D6972">
        <v>-17.623479456599899</v>
      </c>
      <c r="E6972" s="92" t="str">
        <f t="shared" si="16"/>
        <v/>
      </c>
      <c r="F6972" s="93" t="str">
        <f t="shared" si="17"/>
        <v>6969_20240611_0002_R_0607.jpg</v>
      </c>
      <c r="G6972" s="75" t="s">
        <v>6916</v>
      </c>
      <c r="I6972" s="75">
        <v>1</v>
      </c>
      <c r="K6972" s="97">
        <v>1</v>
      </c>
      <c r="L6972"/>
      <c r="M6972"/>
      <c r="N6972"/>
      <c r="O6972"/>
      <c r="P6972" s="57"/>
      <c r="Q6972" s="57"/>
      <c r="R6972" s="57"/>
      <c r="S6972" s="97">
        <v>0</v>
      </c>
      <c r="T6972" s="57"/>
      <c r="U6972" s="57"/>
      <c r="V6972" s="57"/>
      <c r="W6972" s="57"/>
      <c r="X6972" s="97">
        <v>0</v>
      </c>
    </row>
    <row r="6973" spans="1:24" s="75" customFormat="1" x14ac:dyDescent="0.35">
      <c r="A6973" s="75">
        <v>6969</v>
      </c>
      <c r="B6973" s="75">
        <v>6970</v>
      </c>
      <c r="C6973">
        <v>146.109658381</v>
      </c>
      <c r="D6973">
        <v>-17.6233954735</v>
      </c>
      <c r="E6973" s="92">
        <f t="shared" si="16"/>
        <v>50</v>
      </c>
      <c r="F6973" s="93" t="str">
        <f t="shared" si="17"/>
        <v>6970_20240611_0002_R_0604.jpg</v>
      </c>
      <c r="G6973" s="75" t="s">
        <v>6917</v>
      </c>
      <c r="I6973" s="75">
        <v>1</v>
      </c>
      <c r="K6973" s="97">
        <v>1</v>
      </c>
      <c r="L6973"/>
      <c r="M6973"/>
      <c r="N6973"/>
      <c r="O6973"/>
      <c r="P6973" s="57"/>
      <c r="Q6973" s="57"/>
      <c r="R6973" s="57"/>
      <c r="S6973" s="97">
        <v>0</v>
      </c>
      <c r="T6973" s="57"/>
      <c r="U6973" s="57"/>
      <c r="V6973" s="57"/>
      <c r="W6973" s="57"/>
      <c r="X6973" s="97">
        <v>0</v>
      </c>
    </row>
    <row r="6974" spans="1:24" s="75" customFormat="1" x14ac:dyDescent="0.35">
      <c r="A6974" s="75">
        <v>6970</v>
      </c>
      <c r="B6974" s="75">
        <v>6971</v>
      </c>
      <c r="C6974">
        <v>146.109675839</v>
      </c>
      <c r="D6974">
        <v>-17.623311490300001</v>
      </c>
      <c r="E6974" s="92" t="str">
        <f t="shared" si="16"/>
        <v/>
      </c>
      <c r="F6974" s="93" t="str">
        <f t="shared" si="17"/>
        <v>6971_20240611_0002_R_0601.jpg</v>
      </c>
      <c r="G6974" s="75" t="s">
        <v>6918</v>
      </c>
      <c r="I6974" s="75">
        <v>1</v>
      </c>
      <c r="K6974" s="97">
        <v>1</v>
      </c>
      <c r="L6974"/>
      <c r="M6974"/>
      <c r="N6974"/>
      <c r="O6974"/>
      <c r="P6974" s="57"/>
      <c r="Q6974" s="57"/>
      <c r="R6974" s="57"/>
      <c r="S6974" s="97">
        <v>0</v>
      </c>
      <c r="T6974" s="57"/>
      <c r="U6974" s="57"/>
      <c r="V6974" s="57"/>
      <c r="W6974" s="57"/>
      <c r="X6974" s="97">
        <v>0</v>
      </c>
    </row>
    <row r="6975" spans="1:24" s="75" customFormat="1" x14ac:dyDescent="0.35">
      <c r="A6975" s="75">
        <v>6971</v>
      </c>
      <c r="B6975" s="75">
        <v>6972</v>
      </c>
      <c r="C6975">
        <v>146.10969789200001</v>
      </c>
      <c r="D6975">
        <v>-17.623228495300001</v>
      </c>
      <c r="E6975" s="92" t="str">
        <f t="shared" si="16"/>
        <v/>
      </c>
      <c r="F6975" s="93" t="str">
        <f t="shared" si="17"/>
        <v>6972_20240611_0002_R_0598.jpg</v>
      </c>
      <c r="G6975" s="75" t="s">
        <v>6919</v>
      </c>
      <c r="I6975" s="75">
        <v>1</v>
      </c>
      <c r="K6975" s="97">
        <v>1</v>
      </c>
      <c r="L6975"/>
      <c r="M6975"/>
      <c r="N6975"/>
      <c r="O6975"/>
      <c r="P6975" s="57"/>
      <c r="Q6975" s="57"/>
      <c r="R6975" s="57"/>
      <c r="S6975" s="97">
        <v>0</v>
      </c>
      <c r="T6975" s="57"/>
      <c r="U6975" s="57"/>
      <c r="V6975" s="57"/>
      <c r="W6975" s="57"/>
      <c r="X6975" s="97">
        <v>0</v>
      </c>
    </row>
    <row r="6976" spans="1:24" s="75" customFormat="1" x14ac:dyDescent="0.35">
      <c r="A6976" s="75">
        <v>6972</v>
      </c>
      <c r="B6976" s="75">
        <v>6973</v>
      </c>
      <c r="C6976">
        <v>146.109719963</v>
      </c>
      <c r="D6976">
        <v>-17.623145503899899</v>
      </c>
      <c r="E6976" s="92" t="str">
        <f t="shared" si="16"/>
        <v/>
      </c>
      <c r="F6976" s="93" t="str">
        <f t="shared" si="17"/>
        <v>6973_20240611_0002_R_0595.jpg</v>
      </c>
      <c r="G6976" s="75" t="s">
        <v>6920</v>
      </c>
      <c r="I6976" s="75">
        <v>1</v>
      </c>
      <c r="K6976" s="97">
        <v>1</v>
      </c>
      <c r="L6976"/>
      <c r="M6976"/>
      <c r="N6976"/>
      <c r="O6976"/>
      <c r="P6976" s="57"/>
      <c r="Q6976" s="57"/>
      <c r="R6976" s="57"/>
      <c r="S6976" s="97">
        <v>0</v>
      </c>
      <c r="T6976" s="57"/>
      <c r="U6976" s="57"/>
      <c r="V6976" s="57"/>
      <c r="W6976" s="57"/>
      <c r="X6976" s="97">
        <v>0</v>
      </c>
    </row>
    <row r="6977" spans="1:24" s="75" customFormat="1" x14ac:dyDescent="0.35">
      <c r="A6977" s="75">
        <v>6973</v>
      </c>
      <c r="B6977" s="75">
        <v>6974</v>
      </c>
      <c r="C6977">
        <v>146.109742033</v>
      </c>
      <c r="D6977">
        <v>-17.623062512400001</v>
      </c>
      <c r="E6977" s="92" t="str">
        <f t="shared" si="16"/>
        <v/>
      </c>
      <c r="F6977" s="93" t="str">
        <f t="shared" si="17"/>
        <v>6974_20240611_0002_R_0591.jpg</v>
      </c>
      <c r="G6977" s="75" t="s">
        <v>6921</v>
      </c>
      <c r="I6977" s="75">
        <v>1</v>
      </c>
      <c r="K6977" s="97">
        <v>1</v>
      </c>
      <c r="L6977"/>
      <c r="M6977"/>
      <c r="N6977"/>
      <c r="O6977"/>
      <c r="P6977" s="57"/>
      <c r="Q6977" s="57"/>
      <c r="R6977" s="57"/>
      <c r="S6977" s="97">
        <v>0</v>
      </c>
      <c r="T6977" s="57"/>
      <c r="U6977" s="57"/>
      <c r="V6977" s="57"/>
      <c r="W6977" s="57"/>
      <c r="X6977" s="97">
        <v>0</v>
      </c>
    </row>
    <row r="6978" spans="1:24" s="75" customFormat="1" x14ac:dyDescent="0.35">
      <c r="A6978" s="75">
        <v>6974</v>
      </c>
      <c r="B6978" s="75">
        <v>6975</v>
      </c>
      <c r="C6978">
        <v>146.109764103</v>
      </c>
      <c r="D6978">
        <v>-17.622979521000001</v>
      </c>
      <c r="E6978" s="92">
        <f t="shared" si="16"/>
        <v>50</v>
      </c>
      <c r="F6978" s="93" t="str">
        <f t="shared" si="17"/>
        <v>6975_20240611_0002_R_0588.jpg</v>
      </c>
      <c r="G6978" s="75" t="s">
        <v>6922</v>
      </c>
      <c r="I6978" s="75">
        <v>1</v>
      </c>
      <c r="K6978" s="97">
        <v>1</v>
      </c>
      <c r="L6978"/>
      <c r="M6978"/>
      <c r="N6978"/>
      <c r="O6978"/>
      <c r="P6978" s="57"/>
      <c r="Q6978" s="57"/>
      <c r="R6978" s="57"/>
      <c r="S6978" s="97">
        <v>0</v>
      </c>
      <c r="T6978" s="57"/>
      <c r="U6978" s="57"/>
      <c r="V6978" s="57"/>
      <c r="W6978" s="57"/>
      <c r="X6978" s="97">
        <v>0</v>
      </c>
    </row>
    <row r="6979" spans="1:24" s="75" customFormat="1" x14ac:dyDescent="0.35">
      <c r="A6979" s="75">
        <v>6975</v>
      </c>
      <c r="B6979" s="75">
        <v>6976</v>
      </c>
      <c r="C6979">
        <v>146.109786173999</v>
      </c>
      <c r="D6979">
        <v>-17.622896529399899</v>
      </c>
      <c r="E6979" s="92" t="str">
        <f t="shared" si="16"/>
        <v/>
      </c>
      <c r="F6979" s="93" t="str">
        <f t="shared" si="17"/>
        <v>6976_20240611_0002_R_0585.jpg</v>
      </c>
      <c r="G6979" s="75" t="s">
        <v>6923</v>
      </c>
      <c r="I6979" s="75">
        <v>1</v>
      </c>
      <c r="K6979" s="97">
        <v>1</v>
      </c>
      <c r="L6979"/>
      <c r="M6979"/>
      <c r="N6979"/>
      <c r="O6979"/>
      <c r="P6979" s="57"/>
      <c r="Q6979" s="57"/>
      <c r="R6979" s="57"/>
      <c r="S6979" s="97">
        <v>0</v>
      </c>
      <c r="T6979" s="57"/>
      <c r="U6979" s="57"/>
      <c r="V6979" s="57"/>
      <c r="W6979" s="57"/>
      <c r="X6979" s="97">
        <v>0</v>
      </c>
    </row>
    <row r="6980" spans="1:24" s="75" customFormat="1" x14ac:dyDescent="0.35">
      <c r="A6980" s="75">
        <v>6976</v>
      </c>
      <c r="B6980" s="75">
        <v>6977</v>
      </c>
      <c r="C6980">
        <v>146.109808243999</v>
      </c>
      <c r="D6980">
        <v>-17.6228135377999</v>
      </c>
      <c r="E6980" s="92" t="str">
        <f t="shared" si="16"/>
        <v/>
      </c>
      <c r="F6980" s="93" t="str">
        <f t="shared" si="17"/>
        <v>6977_20240611_0002_R_0582.jpg</v>
      </c>
      <c r="G6980" s="75" t="s">
        <v>6924</v>
      </c>
      <c r="I6980" s="75">
        <v>1</v>
      </c>
      <c r="K6980" s="97">
        <v>1</v>
      </c>
      <c r="L6980"/>
      <c r="M6980"/>
      <c r="N6980"/>
      <c r="O6980"/>
      <c r="P6980" s="57"/>
      <c r="Q6980" s="57"/>
      <c r="R6980" s="57"/>
      <c r="S6980" s="97">
        <v>0</v>
      </c>
      <c r="T6980" s="57"/>
      <c r="U6980" s="57"/>
      <c r="V6980" s="57"/>
      <c r="W6980" s="57"/>
      <c r="X6980" s="97">
        <v>0</v>
      </c>
    </row>
    <row r="6981" spans="1:24" s="75" customFormat="1" x14ac:dyDescent="0.35">
      <c r="A6981" s="75">
        <v>6977</v>
      </c>
      <c r="B6981" s="75">
        <v>6978</v>
      </c>
      <c r="C6981">
        <v>146.109830313999</v>
      </c>
      <c r="D6981">
        <v>-17.6227305462</v>
      </c>
      <c r="E6981" s="92" t="str">
        <f t="shared" si="16"/>
        <v/>
      </c>
      <c r="F6981" s="93" t="str">
        <f t="shared" si="17"/>
        <v>6978_20240611_0002_R_0578.jpg</v>
      </c>
      <c r="G6981" s="75" t="s">
        <v>6925</v>
      </c>
      <c r="I6981" s="75">
        <v>1</v>
      </c>
      <c r="K6981" s="97">
        <v>1</v>
      </c>
      <c r="L6981"/>
      <c r="M6981"/>
      <c r="N6981"/>
      <c r="O6981"/>
      <c r="P6981" s="57"/>
      <c r="Q6981" s="57"/>
      <c r="R6981" s="57"/>
      <c r="S6981" s="97">
        <v>0</v>
      </c>
      <c r="T6981" s="57"/>
      <c r="U6981" s="57"/>
      <c r="V6981" s="57"/>
      <c r="W6981" s="57"/>
      <c r="X6981" s="97">
        <v>0</v>
      </c>
    </row>
    <row r="6982" spans="1:24" s="75" customFormat="1" x14ac:dyDescent="0.35">
      <c r="A6982" s="75">
        <v>6978</v>
      </c>
      <c r="B6982" s="75">
        <v>6979</v>
      </c>
      <c r="C6982">
        <v>146.10985238500001</v>
      </c>
      <c r="D6982">
        <v>-17.6226475546</v>
      </c>
      <c r="E6982" s="92" t="str">
        <f t="shared" si="16"/>
        <v/>
      </c>
      <c r="F6982" s="93" t="str">
        <f t="shared" si="17"/>
        <v>6979_20240611_0002_R_0575.jpg</v>
      </c>
      <c r="G6982" s="75" t="s">
        <v>6926</v>
      </c>
      <c r="I6982" s="75">
        <v>1</v>
      </c>
      <c r="K6982" s="97">
        <v>1</v>
      </c>
      <c r="L6982"/>
      <c r="M6982"/>
      <c r="N6982"/>
      <c r="O6982"/>
      <c r="P6982" s="57"/>
      <c r="Q6982" s="57"/>
      <c r="R6982" s="57"/>
      <c r="S6982" s="97">
        <v>0</v>
      </c>
      <c r="T6982" s="57"/>
      <c r="U6982" s="57"/>
      <c r="V6982" s="57"/>
      <c r="W6982" s="57"/>
      <c r="X6982" s="97">
        <v>0</v>
      </c>
    </row>
    <row r="6983" spans="1:24" s="75" customFormat="1" x14ac:dyDescent="0.35">
      <c r="A6983" s="75">
        <v>6979</v>
      </c>
      <c r="B6983" s="75">
        <v>6980</v>
      </c>
      <c r="C6983">
        <v>146.109872437999</v>
      </c>
      <c r="D6983">
        <v>-17.622564126299899</v>
      </c>
      <c r="E6983" s="92">
        <f t="shared" si="16"/>
        <v>50</v>
      </c>
      <c r="F6983" s="93" t="str">
        <f t="shared" si="17"/>
        <v>6980_20240611_0002_R_0573.jpg</v>
      </c>
      <c r="G6983" s="75" t="s">
        <v>6927</v>
      </c>
      <c r="I6983" s="75">
        <v>1</v>
      </c>
      <c r="K6983" s="97">
        <v>1</v>
      </c>
      <c r="L6983"/>
      <c r="M6983"/>
      <c r="N6983"/>
      <c r="O6983"/>
      <c r="P6983" s="57"/>
      <c r="Q6983" s="57"/>
      <c r="R6983" s="57"/>
      <c r="S6983" s="97">
        <v>0</v>
      </c>
      <c r="T6983" s="57"/>
      <c r="U6983" s="57"/>
      <c r="V6983" s="57"/>
      <c r="W6983" s="57"/>
      <c r="X6983" s="97">
        <v>0</v>
      </c>
    </row>
    <row r="6984" spans="1:24" s="75" customFormat="1" x14ac:dyDescent="0.35">
      <c r="A6984" s="75">
        <v>6980</v>
      </c>
      <c r="B6984" s="75">
        <v>6981</v>
      </c>
      <c r="C6984">
        <v>146.10989013700001</v>
      </c>
      <c r="D6984">
        <v>-17.6224801886999</v>
      </c>
      <c r="E6984" s="92" t="str">
        <f t="shared" si="16"/>
        <v/>
      </c>
      <c r="F6984" s="93" t="str">
        <f t="shared" si="17"/>
        <v>6981_20240611_0002_R_0570.jpg</v>
      </c>
      <c r="G6984" s="75" t="s">
        <v>6928</v>
      </c>
      <c r="I6984" s="75">
        <v>1</v>
      </c>
      <c r="K6984" s="97">
        <v>1</v>
      </c>
      <c r="L6984"/>
      <c r="M6984"/>
      <c r="N6984"/>
      <c r="O6984"/>
      <c r="P6984" s="57"/>
      <c r="Q6984" s="57"/>
      <c r="R6984" s="57"/>
      <c r="S6984" s="97">
        <v>0</v>
      </c>
      <c r="T6984" s="57"/>
      <c r="U6984" s="57"/>
      <c r="V6984" s="57"/>
      <c r="W6984" s="57"/>
      <c r="X6984" s="97">
        <v>0</v>
      </c>
    </row>
    <row r="6985" spans="1:24" s="75" customFormat="1" x14ac:dyDescent="0.35">
      <c r="A6985" s="75">
        <v>6981</v>
      </c>
      <c r="B6985" s="75">
        <v>6982</v>
      </c>
      <c r="C6985">
        <v>146.10990783700001</v>
      </c>
      <c r="D6985">
        <v>-17.6223962511</v>
      </c>
      <c r="E6985" s="92" t="str">
        <f t="shared" si="16"/>
        <v/>
      </c>
      <c r="F6985" s="93" t="str">
        <f t="shared" si="17"/>
        <v>6982_20240611_0002_R_0567.jpg</v>
      </c>
      <c r="G6985" s="75" t="s">
        <v>6929</v>
      </c>
      <c r="I6985" s="75">
        <v>1</v>
      </c>
      <c r="K6985" s="97">
        <v>1</v>
      </c>
      <c r="L6985"/>
      <c r="M6985"/>
      <c r="N6985"/>
      <c r="O6985"/>
      <c r="P6985" s="57"/>
      <c r="Q6985" s="57"/>
      <c r="R6985" s="57"/>
      <c r="S6985" s="97">
        <v>0</v>
      </c>
      <c r="T6985" s="57"/>
      <c r="U6985" s="57"/>
      <c r="V6985" s="57"/>
      <c r="W6985" s="57"/>
      <c r="X6985" s="97">
        <v>0</v>
      </c>
    </row>
    <row r="6986" spans="1:24" s="75" customFormat="1" x14ac:dyDescent="0.35">
      <c r="A6986" s="75">
        <v>6982</v>
      </c>
      <c r="B6986" s="75">
        <v>6983</v>
      </c>
      <c r="C6986">
        <v>146.109925535999</v>
      </c>
      <c r="D6986">
        <v>-17.6223123135</v>
      </c>
      <c r="E6986" s="92" t="str">
        <f t="shared" si="16"/>
        <v/>
      </c>
      <c r="F6986" s="93" t="str">
        <f t="shared" si="17"/>
        <v>6983_20240611_0002_R_0563.jpg</v>
      </c>
      <c r="G6986" s="75" t="s">
        <v>6930</v>
      </c>
      <c r="I6986" s="75">
        <v>1</v>
      </c>
      <c r="K6986" s="97">
        <v>1</v>
      </c>
      <c r="L6986"/>
      <c r="M6986"/>
      <c r="N6986"/>
      <c r="O6986"/>
      <c r="P6986" s="57"/>
      <c r="Q6986" s="57"/>
      <c r="R6986" s="57"/>
      <c r="S6986" s="97">
        <v>0</v>
      </c>
      <c r="T6986" s="57"/>
      <c r="U6986" s="57"/>
      <c r="V6986" s="57"/>
      <c r="W6986" s="57"/>
      <c r="X6986" s="97">
        <v>0</v>
      </c>
    </row>
    <row r="6987" spans="1:24" s="75" customFormat="1" x14ac:dyDescent="0.35">
      <c r="A6987" s="75">
        <v>6983</v>
      </c>
      <c r="B6987" s="75">
        <v>6984</v>
      </c>
      <c r="C6987">
        <v>146.109943235999</v>
      </c>
      <c r="D6987">
        <v>-17.622228375700001</v>
      </c>
      <c r="E6987" s="92" t="str">
        <f t="shared" si="16"/>
        <v/>
      </c>
      <c r="F6987" s="93" t="str">
        <f t="shared" si="17"/>
        <v>6984_20240611_0002_R_0560.jpg</v>
      </c>
      <c r="G6987" s="75" t="s">
        <v>6931</v>
      </c>
      <c r="I6987" s="75">
        <v>1</v>
      </c>
      <c r="K6987" s="97">
        <v>1</v>
      </c>
      <c r="L6987"/>
      <c r="M6987"/>
      <c r="N6987"/>
      <c r="O6987"/>
      <c r="P6987" s="57"/>
      <c r="Q6987" s="57"/>
      <c r="R6987" s="57"/>
      <c r="S6987" s="97">
        <v>0</v>
      </c>
      <c r="T6987" s="57"/>
      <c r="U6987" s="57"/>
      <c r="V6987" s="57"/>
      <c r="W6987" s="57"/>
      <c r="X6987" s="97">
        <v>0</v>
      </c>
    </row>
    <row r="6988" spans="1:24" s="75" customFormat="1" x14ac:dyDescent="0.35">
      <c r="A6988" s="75">
        <v>6984</v>
      </c>
      <c r="B6988" s="75">
        <v>6985</v>
      </c>
      <c r="C6988">
        <v>146.109960935</v>
      </c>
      <c r="D6988">
        <v>-17.622144437900001</v>
      </c>
      <c r="E6988" s="92">
        <f t="shared" si="16"/>
        <v>50</v>
      </c>
      <c r="F6988" s="93" t="str">
        <f t="shared" si="17"/>
        <v>6985_20240611_0002_R_0557.jpg</v>
      </c>
      <c r="G6988" s="75" t="s">
        <v>6932</v>
      </c>
      <c r="I6988" s="75">
        <v>1</v>
      </c>
      <c r="K6988" s="97">
        <v>1</v>
      </c>
      <c r="L6988"/>
      <c r="M6988"/>
      <c r="N6988"/>
      <c r="O6988"/>
      <c r="P6988" s="57"/>
      <c r="Q6988" s="57"/>
      <c r="R6988" s="57"/>
      <c r="S6988" s="97">
        <v>0</v>
      </c>
      <c r="T6988" s="57"/>
      <c r="U6988" s="57"/>
      <c r="V6988" s="57"/>
      <c r="W6988" s="57"/>
      <c r="X6988" s="97">
        <v>0</v>
      </c>
    </row>
    <row r="6989" spans="1:24" s="75" customFormat="1" x14ac:dyDescent="0.35">
      <c r="A6989" s="75">
        <v>6985</v>
      </c>
      <c r="B6989" s="75">
        <v>6986</v>
      </c>
      <c r="C6989">
        <v>146.109978635</v>
      </c>
      <c r="D6989">
        <v>-17.622060500100002</v>
      </c>
      <c r="E6989" s="92" t="str">
        <f t="shared" si="16"/>
        <v/>
      </c>
      <c r="F6989" s="93" t="str">
        <f t="shared" si="17"/>
        <v>6986_20240611_0002_R_0554.jpg</v>
      </c>
      <c r="G6989" s="75" t="s">
        <v>6933</v>
      </c>
      <c r="I6989" s="75">
        <v>1</v>
      </c>
      <c r="K6989" s="97">
        <v>1</v>
      </c>
      <c r="L6989"/>
      <c r="M6989"/>
      <c r="N6989"/>
      <c r="O6989"/>
      <c r="P6989" s="57"/>
      <c r="Q6989" s="57"/>
      <c r="R6989" s="57"/>
      <c r="S6989" s="97">
        <v>0</v>
      </c>
      <c r="T6989" s="57"/>
      <c r="U6989" s="57"/>
      <c r="V6989" s="57"/>
      <c r="W6989" s="57"/>
      <c r="X6989" s="97">
        <v>0</v>
      </c>
    </row>
    <row r="6990" spans="1:24" s="75" customFormat="1" x14ac:dyDescent="0.35">
      <c r="A6990" s="75">
        <v>6986</v>
      </c>
      <c r="B6990" s="75">
        <v>6987</v>
      </c>
      <c r="C6990">
        <v>146.10999633399899</v>
      </c>
      <c r="D6990">
        <v>-17.6219765622</v>
      </c>
      <c r="E6990" s="92" t="str">
        <f t="shared" si="16"/>
        <v/>
      </c>
      <c r="F6990" s="93" t="str">
        <f t="shared" si="17"/>
        <v>6987_20240611_0002_R_0550.jpg</v>
      </c>
      <c r="G6990" s="75" t="s">
        <v>6934</v>
      </c>
      <c r="I6990" s="75">
        <v>1</v>
      </c>
      <c r="K6990" s="97">
        <v>1</v>
      </c>
      <c r="L6990"/>
      <c r="M6990"/>
      <c r="N6990"/>
      <c r="O6990"/>
      <c r="P6990" s="57"/>
      <c r="Q6990" s="57"/>
      <c r="R6990" s="57"/>
      <c r="S6990" s="97">
        <v>0</v>
      </c>
      <c r="T6990" s="57"/>
      <c r="U6990" s="57"/>
      <c r="V6990" s="57"/>
      <c r="W6990" s="57"/>
      <c r="X6990" s="97">
        <v>0</v>
      </c>
    </row>
    <row r="6991" spans="1:24" s="75" customFormat="1" x14ac:dyDescent="0.35">
      <c r="A6991" s="75">
        <v>6987</v>
      </c>
      <c r="B6991" s="75">
        <v>6988</v>
      </c>
      <c r="C6991">
        <v>146.110014032999</v>
      </c>
      <c r="D6991">
        <v>-17.6218926242999</v>
      </c>
      <c r="E6991" s="92" t="str">
        <f t="shared" si="16"/>
        <v/>
      </c>
      <c r="F6991" s="93" t="str">
        <f t="shared" si="17"/>
        <v>6988_20240611_0002_R_0547.jpg</v>
      </c>
      <c r="G6991" s="75" t="s">
        <v>6935</v>
      </c>
      <c r="I6991" s="75">
        <v>1</v>
      </c>
      <c r="K6991" s="97">
        <v>1</v>
      </c>
      <c r="L6991"/>
      <c r="M6991"/>
      <c r="N6991"/>
      <c r="O6991"/>
      <c r="P6991" s="57"/>
      <c r="Q6991" s="57"/>
      <c r="R6991" s="57"/>
      <c r="S6991" s="97">
        <v>0</v>
      </c>
      <c r="T6991" s="57"/>
      <c r="U6991" s="57"/>
      <c r="V6991" s="57"/>
      <c r="W6991" s="57"/>
      <c r="X6991" s="97">
        <v>0</v>
      </c>
    </row>
    <row r="6992" spans="1:24" s="75" customFormat="1" x14ac:dyDescent="0.35">
      <c r="A6992" s="75">
        <v>6988</v>
      </c>
      <c r="B6992" s="75">
        <v>6989</v>
      </c>
      <c r="C6992">
        <v>146.11003173200001</v>
      </c>
      <c r="D6992">
        <v>-17.6218086863</v>
      </c>
      <c r="E6992" s="92" t="str">
        <f t="shared" ref="E6992:E7055" si="18">IF(MOD(B6992,5)=0, 50, "")</f>
        <v/>
      </c>
      <c r="F6992" s="93" t="str">
        <f t="shared" si="17"/>
        <v>6989_20240611_0002_R_0543.jpg</v>
      </c>
      <c r="G6992" s="75" t="s">
        <v>6936</v>
      </c>
      <c r="I6992" s="75">
        <v>1</v>
      </c>
      <c r="K6992" s="97">
        <v>1</v>
      </c>
      <c r="L6992"/>
      <c r="M6992"/>
      <c r="N6992"/>
      <c r="O6992"/>
      <c r="P6992" s="57"/>
      <c r="Q6992" s="57"/>
      <c r="R6992" s="57"/>
      <c r="S6992" s="97">
        <v>0</v>
      </c>
      <c r="T6992" s="57"/>
      <c r="U6992" s="57"/>
      <c r="V6992" s="57"/>
      <c r="W6992" s="57"/>
      <c r="X6992" s="97">
        <v>0</v>
      </c>
    </row>
    <row r="6993" spans="1:24" s="75" customFormat="1" x14ac:dyDescent="0.35">
      <c r="A6993" s="75">
        <v>6989</v>
      </c>
      <c r="B6993" s="75">
        <v>6990</v>
      </c>
      <c r="C6993">
        <v>146.11004943200001</v>
      </c>
      <c r="D6993">
        <v>-17.6217247483</v>
      </c>
      <c r="E6993" s="92">
        <f t="shared" si="18"/>
        <v>50</v>
      </c>
      <c r="F6993" s="93" t="str">
        <f t="shared" si="17"/>
        <v>6990_20240611_0002_R_0540.jpg</v>
      </c>
      <c r="G6993" s="75" t="s">
        <v>6937</v>
      </c>
      <c r="I6993" s="75">
        <v>1</v>
      </c>
      <c r="K6993" s="97">
        <v>1</v>
      </c>
      <c r="L6993"/>
      <c r="M6993"/>
      <c r="N6993"/>
      <c r="O6993"/>
      <c r="P6993" s="57"/>
      <c r="Q6993" s="57"/>
      <c r="R6993" s="57"/>
      <c r="S6993" s="97">
        <v>0</v>
      </c>
      <c r="T6993" s="57"/>
      <c r="U6993" s="57"/>
      <c r="V6993" s="57"/>
      <c r="W6993" s="57"/>
      <c r="X6993" s="97">
        <v>0</v>
      </c>
    </row>
    <row r="6994" spans="1:24" s="75" customFormat="1" x14ac:dyDescent="0.35">
      <c r="A6994" s="75">
        <v>6990</v>
      </c>
      <c r="B6994" s="75">
        <v>6991</v>
      </c>
      <c r="C6994">
        <v>146.110067130999</v>
      </c>
      <c r="D6994">
        <v>-17.621640810300001</v>
      </c>
      <c r="E6994" s="92" t="str">
        <f t="shared" si="18"/>
        <v/>
      </c>
      <c r="F6994" s="93" t="str">
        <f t="shared" si="17"/>
        <v>6991_20240611_0002_R_0537.jpg</v>
      </c>
      <c r="G6994" s="75" t="s">
        <v>6938</v>
      </c>
      <c r="I6994" s="75">
        <v>1</v>
      </c>
      <c r="K6994" s="97">
        <v>1</v>
      </c>
      <c r="L6994"/>
      <c r="M6994"/>
      <c r="N6994"/>
      <c r="O6994"/>
      <c r="P6994" s="57"/>
      <c r="Q6994" s="57"/>
      <c r="R6994" s="57"/>
      <c r="S6994" s="97">
        <v>0</v>
      </c>
      <c r="T6994" s="57"/>
      <c r="U6994" s="57"/>
      <c r="V6994" s="57"/>
      <c r="W6994" s="57"/>
      <c r="X6994" s="97">
        <v>0</v>
      </c>
    </row>
    <row r="6995" spans="1:24" s="75" customFormat="1" x14ac:dyDescent="0.35">
      <c r="A6995" s="75">
        <v>6991</v>
      </c>
      <c r="B6995" s="75">
        <v>6992</v>
      </c>
      <c r="C6995">
        <v>146.11008483000001</v>
      </c>
      <c r="D6995">
        <v>-17.6215568721999</v>
      </c>
      <c r="E6995" s="92" t="str">
        <f t="shared" si="18"/>
        <v/>
      </c>
      <c r="F6995" s="93" t="str">
        <f t="shared" si="17"/>
        <v>6992_20240611_0002_R_0534.jpg</v>
      </c>
      <c r="G6995" s="75" t="s">
        <v>6939</v>
      </c>
      <c r="I6995" s="75">
        <v>1</v>
      </c>
      <c r="K6995" s="97">
        <v>1</v>
      </c>
      <c r="L6995"/>
      <c r="M6995"/>
      <c r="N6995"/>
      <c r="O6995"/>
      <c r="P6995" s="57"/>
      <c r="Q6995" s="57"/>
      <c r="R6995" s="57"/>
      <c r="S6995" s="97">
        <v>0</v>
      </c>
      <c r="T6995" s="57"/>
      <c r="U6995" s="57"/>
      <c r="V6995" s="57"/>
      <c r="W6995" s="57"/>
      <c r="X6995" s="97">
        <v>0</v>
      </c>
    </row>
    <row r="6996" spans="1:24" s="75" customFormat="1" x14ac:dyDescent="0.35">
      <c r="A6996" s="75">
        <v>6992</v>
      </c>
      <c r="B6996" s="75">
        <v>6993</v>
      </c>
      <c r="C6996">
        <v>146.11010252899899</v>
      </c>
      <c r="D6996">
        <v>-17.621472934100002</v>
      </c>
      <c r="E6996" s="92" t="str">
        <f t="shared" si="18"/>
        <v/>
      </c>
      <c r="F6996" s="93" t="str">
        <f t="shared" ref="F6996:F7047" si="19">HYPERLINK("D:\Data From Lucan\2024\Moresby\Frames_for_Analysis\" &amp; G6996,G6996)</f>
        <v>6993_20240611_0002_R_0531.jpg</v>
      </c>
      <c r="G6996" s="75" t="s">
        <v>6940</v>
      </c>
      <c r="I6996" s="75">
        <v>1</v>
      </c>
      <c r="K6996" s="97">
        <v>1</v>
      </c>
      <c r="L6996"/>
      <c r="M6996"/>
      <c r="N6996"/>
      <c r="O6996"/>
      <c r="P6996" s="57"/>
      <c r="Q6996" s="57"/>
      <c r="R6996" s="57"/>
      <c r="S6996" s="97">
        <v>0</v>
      </c>
      <c r="T6996" s="57"/>
      <c r="U6996" s="57"/>
      <c r="V6996" s="57"/>
      <c r="W6996" s="57"/>
      <c r="X6996" s="97">
        <v>0</v>
      </c>
    </row>
    <row r="6997" spans="1:24" s="75" customFormat="1" x14ac:dyDescent="0.35">
      <c r="A6997" s="75">
        <v>6993</v>
      </c>
      <c r="B6997" s="75">
        <v>6994</v>
      </c>
      <c r="C6997">
        <v>146.11012022899899</v>
      </c>
      <c r="D6997">
        <v>-17.621388996</v>
      </c>
      <c r="E6997" s="92" t="str">
        <f t="shared" si="18"/>
        <v/>
      </c>
      <c r="F6997" s="93" t="str">
        <f t="shared" si="19"/>
        <v>6994_20240611_0002_R_0528.jpg</v>
      </c>
      <c r="G6997" s="75" t="s">
        <v>6941</v>
      </c>
      <c r="I6997" s="75">
        <v>1</v>
      </c>
      <c r="K6997" s="97">
        <v>1</v>
      </c>
      <c r="L6997"/>
      <c r="M6997"/>
      <c r="N6997"/>
      <c r="O6997"/>
      <c r="P6997" s="57"/>
      <c r="Q6997" s="57"/>
      <c r="R6997" s="57"/>
      <c r="S6997" s="97">
        <v>0</v>
      </c>
      <c r="T6997" s="57"/>
      <c r="U6997" s="57"/>
      <c r="V6997" s="57"/>
      <c r="W6997" s="57"/>
      <c r="X6997" s="97">
        <v>0</v>
      </c>
    </row>
    <row r="6998" spans="1:24" s="75" customFormat="1" x14ac:dyDescent="0.35">
      <c r="A6998" s="75">
        <v>6994</v>
      </c>
      <c r="B6998" s="75">
        <v>6995</v>
      </c>
      <c r="C6998">
        <v>146.110137928</v>
      </c>
      <c r="D6998">
        <v>-17.621305057800001</v>
      </c>
      <c r="E6998" s="92">
        <f t="shared" si="18"/>
        <v>50</v>
      </c>
      <c r="F6998" s="93" t="str">
        <f t="shared" si="19"/>
        <v>6995_20240611_0002_R_0524.jpg</v>
      </c>
      <c r="G6998" s="75" t="s">
        <v>6942</v>
      </c>
      <c r="I6998" s="75">
        <v>1</v>
      </c>
      <c r="K6998" s="97">
        <v>1</v>
      </c>
      <c r="L6998"/>
      <c r="M6998"/>
      <c r="N6998"/>
      <c r="O6998"/>
      <c r="P6998" s="57"/>
      <c r="Q6998" s="57"/>
      <c r="R6998" s="57"/>
      <c r="S6998" s="97">
        <v>0</v>
      </c>
      <c r="T6998" s="57"/>
      <c r="U6998" s="57"/>
      <c r="V6998" s="57"/>
      <c r="W6998" s="57"/>
      <c r="X6998" s="97">
        <v>0</v>
      </c>
    </row>
    <row r="6999" spans="1:24" s="75" customFormat="1" x14ac:dyDescent="0.35">
      <c r="A6999" s="75">
        <v>6995</v>
      </c>
      <c r="B6999" s="75">
        <v>6996</v>
      </c>
      <c r="C6999">
        <v>146.110155628</v>
      </c>
      <c r="D6999">
        <v>-17.621221119600001</v>
      </c>
      <c r="E6999" s="92" t="str">
        <f t="shared" si="18"/>
        <v/>
      </c>
      <c r="F6999" s="93" t="str">
        <f t="shared" si="19"/>
        <v>6996_20240611_0002_R_0522.jpg</v>
      </c>
      <c r="G6999" s="75" t="s">
        <v>6943</v>
      </c>
      <c r="I6999" s="75">
        <v>1</v>
      </c>
      <c r="K6999" s="97">
        <v>1</v>
      </c>
      <c r="L6999"/>
      <c r="M6999"/>
      <c r="N6999"/>
      <c r="O6999"/>
      <c r="P6999" s="57"/>
      <c r="Q6999" s="57"/>
      <c r="R6999" s="57"/>
      <c r="S6999" s="97">
        <v>0</v>
      </c>
      <c r="T6999" s="57"/>
      <c r="U6999" s="57"/>
      <c r="V6999" s="57"/>
      <c r="W6999" s="57"/>
      <c r="X6999" s="97">
        <v>0</v>
      </c>
    </row>
    <row r="7000" spans="1:24" s="75" customFormat="1" x14ac:dyDescent="0.35">
      <c r="A7000" s="75">
        <v>6996</v>
      </c>
      <c r="B7000" s="75">
        <v>6997</v>
      </c>
      <c r="C7000">
        <v>146.11017361699899</v>
      </c>
      <c r="D7000">
        <v>-17.621137251499899</v>
      </c>
      <c r="E7000" s="92" t="str">
        <f t="shared" si="18"/>
        <v/>
      </c>
      <c r="F7000" s="93" t="str">
        <f t="shared" si="19"/>
        <v>6997_20240611_0002_R_0519.jpg</v>
      </c>
      <c r="G7000" s="75" t="s">
        <v>6944</v>
      </c>
      <c r="I7000" s="75">
        <v>1</v>
      </c>
      <c r="K7000" s="97">
        <v>1</v>
      </c>
      <c r="L7000"/>
      <c r="M7000"/>
      <c r="N7000"/>
      <c r="O7000"/>
      <c r="P7000" s="57"/>
      <c r="Q7000" s="57"/>
      <c r="R7000" s="57"/>
      <c r="S7000" s="97">
        <v>0</v>
      </c>
      <c r="T7000" s="57"/>
      <c r="U7000" s="57"/>
      <c r="V7000" s="57"/>
      <c r="W7000" s="57"/>
      <c r="X7000" s="97">
        <v>0</v>
      </c>
    </row>
    <row r="7001" spans="1:24" s="75" customFormat="1" x14ac:dyDescent="0.35">
      <c r="A7001" s="75">
        <v>6997</v>
      </c>
      <c r="B7001" s="75">
        <v>6998</v>
      </c>
      <c r="C7001">
        <v>146.11020002800001</v>
      </c>
      <c r="D7001">
        <v>-17.6210554188999</v>
      </c>
      <c r="E7001" s="92" t="str">
        <f t="shared" si="18"/>
        <v/>
      </c>
      <c r="F7001" s="93" t="str">
        <f t="shared" si="19"/>
        <v>6998_20240611_0002_R_0516.jpg</v>
      </c>
      <c r="G7001" s="75" t="s">
        <v>6945</v>
      </c>
      <c r="I7001" s="75">
        <v>1</v>
      </c>
      <c r="K7001" s="97">
        <v>1</v>
      </c>
      <c r="L7001"/>
      <c r="M7001"/>
      <c r="N7001"/>
      <c r="O7001"/>
      <c r="P7001" s="57"/>
      <c r="Q7001" s="57"/>
      <c r="R7001" s="57"/>
      <c r="S7001" s="97">
        <v>0</v>
      </c>
      <c r="T7001" s="57"/>
      <c r="U7001" s="57"/>
      <c r="V7001" s="57"/>
      <c r="W7001" s="57"/>
      <c r="X7001" s="97">
        <v>0</v>
      </c>
    </row>
    <row r="7002" spans="1:24" s="75" customFormat="1" x14ac:dyDescent="0.35">
      <c r="A7002" s="75">
        <v>6998</v>
      </c>
      <c r="B7002" s="75">
        <v>6999</v>
      </c>
      <c r="C7002">
        <v>146.110226439999</v>
      </c>
      <c r="D7002">
        <v>-17.620973586400002</v>
      </c>
      <c r="E7002" s="92" t="str">
        <f t="shared" si="18"/>
        <v/>
      </c>
      <c r="F7002" s="93" t="str">
        <f t="shared" si="19"/>
        <v>6999_20240611_0002_R_0513.jpg</v>
      </c>
      <c r="G7002" s="75" t="s">
        <v>6946</v>
      </c>
      <c r="I7002" s="75">
        <v>1</v>
      </c>
      <c r="K7002" s="97">
        <v>1</v>
      </c>
      <c r="L7002"/>
      <c r="M7002"/>
      <c r="N7002"/>
      <c r="O7002"/>
      <c r="P7002" s="57"/>
      <c r="Q7002" s="57"/>
      <c r="R7002" s="57"/>
      <c r="S7002" s="97">
        <v>0</v>
      </c>
      <c r="T7002" s="57"/>
      <c r="U7002" s="57"/>
      <c r="V7002" s="57"/>
      <c r="W7002" s="57"/>
      <c r="X7002" s="97">
        <v>0</v>
      </c>
    </row>
    <row r="7003" spans="1:24" s="75" customFormat="1" x14ac:dyDescent="0.35">
      <c r="A7003" s="75">
        <v>6999</v>
      </c>
      <c r="B7003" s="75">
        <v>7000</v>
      </c>
      <c r="C7003">
        <v>146.110252852</v>
      </c>
      <c r="D7003">
        <v>-17.620891753900001</v>
      </c>
      <c r="E7003" s="92">
        <f t="shared" si="18"/>
        <v>50</v>
      </c>
      <c r="F7003" s="93" t="str">
        <f t="shared" si="19"/>
        <v>7000_20240611_0002_R_0510.jpg</v>
      </c>
      <c r="G7003" s="75" t="s">
        <v>6947</v>
      </c>
      <c r="I7003" s="75">
        <v>1</v>
      </c>
      <c r="K7003" s="97">
        <v>1</v>
      </c>
      <c r="L7003"/>
      <c r="M7003"/>
      <c r="N7003"/>
      <c r="O7003"/>
      <c r="P7003" s="57"/>
      <c r="Q7003" s="57"/>
      <c r="R7003" s="57"/>
      <c r="S7003" s="97">
        <v>0</v>
      </c>
      <c r="T7003" s="57"/>
      <c r="U7003" s="57"/>
      <c r="V7003" s="57"/>
      <c r="W7003" s="57"/>
      <c r="X7003" s="97">
        <v>0</v>
      </c>
    </row>
    <row r="7004" spans="1:24" s="75" customFormat="1" x14ac:dyDescent="0.35">
      <c r="A7004" s="75">
        <v>7000</v>
      </c>
      <c r="B7004" s="75">
        <v>7001</v>
      </c>
      <c r="C7004">
        <v>146.110279262999</v>
      </c>
      <c r="D7004">
        <v>-17.6208099213999</v>
      </c>
      <c r="E7004" s="92" t="str">
        <f t="shared" si="18"/>
        <v/>
      </c>
      <c r="F7004" s="93" t="str">
        <f t="shared" si="19"/>
        <v>7001_20240611_0002_R_0507.jpg</v>
      </c>
      <c r="G7004" s="75" t="s">
        <v>6948</v>
      </c>
      <c r="I7004" s="75">
        <v>1</v>
      </c>
      <c r="K7004" s="97">
        <v>1</v>
      </c>
      <c r="L7004"/>
      <c r="M7004"/>
      <c r="N7004"/>
      <c r="O7004"/>
      <c r="P7004" s="57"/>
      <c r="Q7004" s="57"/>
      <c r="R7004" s="57"/>
      <c r="S7004" s="97">
        <v>0</v>
      </c>
      <c r="T7004" s="57"/>
      <c r="U7004" s="57"/>
      <c r="V7004" s="57"/>
      <c r="W7004" s="57"/>
      <c r="X7004" s="97">
        <v>0</v>
      </c>
    </row>
    <row r="7005" spans="1:24" s="75" customFormat="1" x14ac:dyDescent="0.35">
      <c r="A7005" s="75">
        <v>7001</v>
      </c>
      <c r="B7005" s="75">
        <v>7002</v>
      </c>
      <c r="C7005">
        <v>146.11030567500001</v>
      </c>
      <c r="D7005">
        <v>-17.6207280888</v>
      </c>
      <c r="E7005" s="92" t="str">
        <f t="shared" si="18"/>
        <v/>
      </c>
      <c r="F7005" s="93" t="str">
        <f t="shared" si="19"/>
        <v>7002_20240611_0002_R_0504.jpg</v>
      </c>
      <c r="G7005" s="75" t="s">
        <v>6949</v>
      </c>
      <c r="I7005" s="75">
        <v>1</v>
      </c>
      <c r="K7005" s="97">
        <v>1</v>
      </c>
      <c r="L7005"/>
      <c r="M7005"/>
      <c r="N7005"/>
      <c r="O7005"/>
      <c r="P7005" s="57"/>
      <c r="Q7005" s="57"/>
      <c r="R7005" s="57"/>
      <c r="S7005" s="97">
        <v>0</v>
      </c>
      <c r="T7005" s="57"/>
      <c r="U7005" s="57"/>
      <c r="V7005" s="57"/>
      <c r="W7005" s="57"/>
      <c r="X7005" s="97">
        <v>0</v>
      </c>
    </row>
    <row r="7006" spans="1:24" s="75" customFormat="1" x14ac:dyDescent="0.35">
      <c r="A7006" s="75">
        <v>7002</v>
      </c>
      <c r="B7006" s="75">
        <v>7003</v>
      </c>
      <c r="C7006">
        <v>146.11033208699899</v>
      </c>
      <c r="D7006">
        <v>-17.620646256200001</v>
      </c>
      <c r="E7006" s="92" t="str">
        <f t="shared" si="18"/>
        <v/>
      </c>
      <c r="F7006" s="93" t="str">
        <f t="shared" si="19"/>
        <v>7003_20240611_0002_R_0501.jpg</v>
      </c>
      <c r="G7006" s="75" t="s">
        <v>6950</v>
      </c>
      <c r="I7006" s="75">
        <v>1</v>
      </c>
      <c r="K7006" s="97">
        <v>1</v>
      </c>
      <c r="L7006"/>
      <c r="M7006"/>
      <c r="N7006"/>
      <c r="O7006"/>
      <c r="P7006" s="57"/>
      <c r="Q7006" s="57"/>
      <c r="R7006" s="57"/>
      <c r="S7006" s="97">
        <v>0</v>
      </c>
      <c r="T7006" s="57"/>
      <c r="U7006" s="57"/>
      <c r="V7006" s="57"/>
      <c r="W7006" s="57"/>
      <c r="X7006" s="97">
        <v>0</v>
      </c>
    </row>
    <row r="7007" spans="1:24" s="75" customFormat="1" x14ac:dyDescent="0.35">
      <c r="A7007" s="75">
        <v>7003</v>
      </c>
      <c r="B7007" s="75">
        <v>7004</v>
      </c>
      <c r="C7007">
        <v>146.11035849800001</v>
      </c>
      <c r="D7007">
        <v>-17.6205644234999</v>
      </c>
      <c r="E7007" s="92" t="str">
        <f t="shared" si="18"/>
        <v/>
      </c>
      <c r="F7007" s="93" t="str">
        <f t="shared" si="19"/>
        <v>7004_20240611_0002_R_0498.jpg</v>
      </c>
      <c r="G7007" s="75" t="s">
        <v>6951</v>
      </c>
      <c r="I7007" s="75">
        <v>1</v>
      </c>
      <c r="K7007" s="97">
        <v>1</v>
      </c>
      <c r="L7007"/>
      <c r="M7007"/>
      <c r="N7007"/>
      <c r="O7007"/>
      <c r="P7007" s="57"/>
      <c r="Q7007" s="57"/>
      <c r="R7007" s="57"/>
      <c r="S7007" s="97">
        <v>0</v>
      </c>
      <c r="T7007" s="57"/>
      <c r="U7007" s="57"/>
      <c r="V7007" s="57"/>
      <c r="W7007" s="57"/>
      <c r="X7007" s="97">
        <v>0</v>
      </c>
    </row>
    <row r="7008" spans="1:24" s="75" customFormat="1" x14ac:dyDescent="0.35">
      <c r="A7008" s="75">
        <v>7004</v>
      </c>
      <c r="B7008" s="75">
        <v>7005</v>
      </c>
      <c r="C7008">
        <v>146.110384909999</v>
      </c>
      <c r="D7008">
        <v>-17.620482590799899</v>
      </c>
      <c r="E7008" s="92">
        <f t="shared" si="18"/>
        <v>50</v>
      </c>
      <c r="F7008" s="93" t="str">
        <f t="shared" si="19"/>
        <v>7005_20240611_0002_R_0495.jpg</v>
      </c>
      <c r="G7008" s="75" t="s">
        <v>6952</v>
      </c>
      <c r="I7008" s="75">
        <v>1</v>
      </c>
      <c r="K7008" s="97">
        <v>1</v>
      </c>
      <c r="L7008"/>
      <c r="M7008"/>
      <c r="N7008"/>
      <c r="O7008"/>
      <c r="P7008" s="57"/>
      <c r="Q7008" s="57"/>
      <c r="R7008" s="57"/>
      <c r="S7008" s="97">
        <v>0</v>
      </c>
      <c r="T7008" s="57"/>
      <c r="U7008" s="57"/>
      <c r="V7008" s="57"/>
      <c r="W7008" s="57"/>
      <c r="X7008" s="97">
        <v>0</v>
      </c>
    </row>
    <row r="7009" spans="1:24" s="75" customFormat="1" x14ac:dyDescent="0.35">
      <c r="A7009" s="75">
        <v>7005</v>
      </c>
      <c r="B7009" s="75">
        <v>7006</v>
      </c>
      <c r="C7009">
        <v>146.11041132099899</v>
      </c>
      <c r="D7009">
        <v>-17.620400758100001</v>
      </c>
      <c r="E7009" s="92" t="str">
        <f t="shared" si="18"/>
        <v/>
      </c>
      <c r="F7009" s="93" t="str">
        <f t="shared" si="19"/>
        <v>7006_20240611_0002_R_0492.jpg</v>
      </c>
      <c r="G7009" s="75" t="s">
        <v>6953</v>
      </c>
      <c r="I7009" s="75">
        <v>1</v>
      </c>
      <c r="K7009" s="97">
        <v>1</v>
      </c>
      <c r="L7009"/>
      <c r="M7009"/>
      <c r="N7009"/>
      <c r="O7009"/>
      <c r="P7009" s="57"/>
      <c r="Q7009" s="57"/>
      <c r="R7009" s="57"/>
      <c r="S7009" s="97">
        <v>0</v>
      </c>
      <c r="T7009" s="57"/>
      <c r="U7009" s="57"/>
      <c r="V7009" s="57"/>
      <c r="W7009" s="57"/>
      <c r="X7009" s="97">
        <v>0</v>
      </c>
    </row>
    <row r="7010" spans="1:24" s="75" customFormat="1" x14ac:dyDescent="0.35">
      <c r="A7010" s="75">
        <v>7006</v>
      </c>
      <c r="B7010" s="75">
        <v>7007</v>
      </c>
      <c r="C7010">
        <v>146.110437732999</v>
      </c>
      <c r="D7010">
        <v>-17.620318925300001</v>
      </c>
      <c r="E7010" s="92" t="str">
        <f t="shared" si="18"/>
        <v/>
      </c>
      <c r="F7010" s="93" t="str">
        <f t="shared" si="19"/>
        <v>7007_20240611_0002_R_0489.jpg</v>
      </c>
      <c r="G7010" s="75" t="s">
        <v>6954</v>
      </c>
      <c r="I7010" s="75">
        <v>1</v>
      </c>
      <c r="K7010" s="97">
        <v>1</v>
      </c>
      <c r="L7010"/>
      <c r="M7010"/>
      <c r="N7010"/>
      <c r="O7010"/>
      <c r="P7010" s="57"/>
      <c r="Q7010" s="57"/>
      <c r="R7010" s="57"/>
      <c r="S7010" s="97">
        <v>0</v>
      </c>
      <c r="T7010" s="57"/>
      <c r="U7010" s="57"/>
      <c r="V7010" s="57"/>
      <c r="W7010" s="57"/>
      <c r="X7010" s="97">
        <v>0</v>
      </c>
    </row>
    <row r="7011" spans="1:24" s="75" customFormat="1" x14ac:dyDescent="0.35">
      <c r="A7011" s="75">
        <v>7007</v>
      </c>
      <c r="B7011" s="75">
        <v>7008</v>
      </c>
      <c r="C7011">
        <v>146.11046414500001</v>
      </c>
      <c r="D7011">
        <v>-17.620237092499899</v>
      </c>
      <c r="E7011" s="92" t="str">
        <f t="shared" si="18"/>
        <v/>
      </c>
      <c r="F7011" s="93" t="str">
        <f t="shared" si="19"/>
        <v>7008_20240611_0002_R_0486.jpg</v>
      </c>
      <c r="G7011" s="75" t="s">
        <v>6955</v>
      </c>
      <c r="I7011" s="75">
        <v>1</v>
      </c>
      <c r="K7011" s="97">
        <v>1</v>
      </c>
      <c r="L7011"/>
      <c r="M7011"/>
      <c r="N7011"/>
      <c r="O7011"/>
      <c r="P7011" s="57"/>
      <c r="Q7011" s="57"/>
      <c r="R7011" s="57"/>
      <c r="S7011" s="97">
        <v>0</v>
      </c>
      <c r="T7011" s="57"/>
      <c r="U7011" s="57"/>
      <c r="V7011" s="57"/>
      <c r="W7011" s="57"/>
      <c r="X7011" s="97">
        <v>0</v>
      </c>
    </row>
    <row r="7012" spans="1:24" s="75" customFormat="1" x14ac:dyDescent="0.35">
      <c r="A7012" s="75">
        <v>7008</v>
      </c>
      <c r="B7012" s="75">
        <v>7009</v>
      </c>
      <c r="C7012">
        <v>146.110490556</v>
      </c>
      <c r="D7012">
        <v>-17.620155259600001</v>
      </c>
      <c r="E7012" s="92" t="str">
        <f t="shared" si="18"/>
        <v/>
      </c>
      <c r="F7012" s="93" t="str">
        <f t="shared" si="19"/>
        <v>7009_20240611_0002_R_0483.jpg</v>
      </c>
      <c r="G7012" s="75" t="s">
        <v>6956</v>
      </c>
      <c r="I7012" s="75">
        <v>1</v>
      </c>
      <c r="K7012" s="97">
        <v>1</v>
      </c>
      <c r="L7012"/>
      <c r="M7012"/>
      <c r="N7012"/>
      <c r="O7012"/>
      <c r="P7012" s="57"/>
      <c r="Q7012" s="57"/>
      <c r="R7012" s="57"/>
      <c r="S7012" s="97">
        <v>0</v>
      </c>
      <c r="T7012" s="57"/>
      <c r="U7012" s="57"/>
      <c r="V7012" s="57"/>
      <c r="W7012" s="57"/>
      <c r="X7012" s="97">
        <v>0</v>
      </c>
    </row>
    <row r="7013" spans="1:24" s="75" customFormat="1" x14ac:dyDescent="0.35">
      <c r="A7013" s="75">
        <v>7009</v>
      </c>
      <c r="B7013" s="75">
        <v>7010</v>
      </c>
      <c r="C7013">
        <v>146.110517023</v>
      </c>
      <c r="D7013">
        <v>-17.620073443100001</v>
      </c>
      <c r="E7013" s="92">
        <f t="shared" si="18"/>
        <v>50</v>
      </c>
      <c r="F7013" s="93" t="str">
        <f t="shared" si="19"/>
        <v>7010_20240611_0002_R_0479.jpg</v>
      </c>
      <c r="G7013" s="75" t="s">
        <v>6957</v>
      </c>
      <c r="I7013" s="75">
        <v>1</v>
      </c>
      <c r="K7013" s="97">
        <v>1</v>
      </c>
      <c r="L7013"/>
      <c r="M7013"/>
      <c r="N7013"/>
      <c r="O7013"/>
      <c r="P7013" s="57"/>
      <c r="Q7013" s="57"/>
      <c r="R7013" s="57"/>
      <c r="S7013" s="97">
        <v>0</v>
      </c>
      <c r="T7013" s="57"/>
      <c r="U7013" s="57"/>
      <c r="V7013" s="57"/>
      <c r="W7013" s="57"/>
      <c r="X7013" s="97">
        <v>0</v>
      </c>
    </row>
    <row r="7014" spans="1:24" s="75" customFormat="1" x14ac:dyDescent="0.35">
      <c r="A7014" s="75">
        <v>7010</v>
      </c>
      <c r="B7014" s="75">
        <v>7011</v>
      </c>
      <c r="C7014">
        <v>146.110543849999</v>
      </c>
      <c r="D7014">
        <v>-17.619991733100001</v>
      </c>
      <c r="E7014" s="92" t="str">
        <f t="shared" si="18"/>
        <v/>
      </c>
      <c r="F7014" s="93" t="str">
        <f t="shared" si="19"/>
        <v>7011_20240611_0002_R_0476.jpg</v>
      </c>
      <c r="G7014" s="75" t="s">
        <v>6958</v>
      </c>
      <c r="I7014" s="75">
        <v>1</v>
      </c>
      <c r="K7014" s="97">
        <v>1</v>
      </c>
      <c r="L7014"/>
      <c r="M7014"/>
      <c r="N7014"/>
      <c r="O7014"/>
      <c r="P7014" s="57"/>
      <c r="Q7014" s="57"/>
      <c r="R7014" s="57"/>
      <c r="S7014" s="97">
        <v>0</v>
      </c>
      <c r="T7014" s="57"/>
      <c r="U7014" s="57"/>
      <c r="V7014" s="57"/>
      <c r="W7014" s="57"/>
      <c r="X7014" s="97">
        <v>0</v>
      </c>
    </row>
    <row r="7015" spans="1:24" s="75" customFormat="1" x14ac:dyDescent="0.35">
      <c r="A7015" s="75">
        <v>7011</v>
      </c>
      <c r="B7015" s="75">
        <v>7012</v>
      </c>
      <c r="C7015">
        <v>146.11057067799899</v>
      </c>
      <c r="D7015">
        <v>-17.6199100229999</v>
      </c>
      <c r="E7015" s="92" t="str">
        <f t="shared" si="18"/>
        <v/>
      </c>
      <c r="F7015" s="93" t="str">
        <f t="shared" si="19"/>
        <v>7012_20240611_0002_R_0473.jpg</v>
      </c>
      <c r="G7015" s="75" t="s">
        <v>6959</v>
      </c>
      <c r="I7015" s="75">
        <v>1</v>
      </c>
      <c r="K7015" s="97">
        <v>1</v>
      </c>
      <c r="L7015"/>
      <c r="M7015"/>
      <c r="N7015"/>
      <c r="O7015"/>
      <c r="P7015" s="57"/>
      <c r="Q7015" s="57"/>
      <c r="R7015" s="57"/>
      <c r="S7015" s="97">
        <v>0</v>
      </c>
      <c r="T7015" s="57"/>
      <c r="U7015" s="57"/>
      <c r="V7015" s="57"/>
      <c r="W7015" s="57"/>
      <c r="X7015" s="97">
        <v>0</v>
      </c>
    </row>
    <row r="7016" spans="1:24" s="75" customFormat="1" x14ac:dyDescent="0.35">
      <c r="A7016" s="75">
        <v>7012</v>
      </c>
      <c r="B7016" s="75">
        <v>7013</v>
      </c>
      <c r="C7016">
        <v>146.11059750499899</v>
      </c>
      <c r="D7016">
        <v>-17.6198283127999</v>
      </c>
      <c r="E7016" s="92" t="str">
        <f t="shared" si="18"/>
        <v/>
      </c>
      <c r="F7016" s="93" t="str">
        <f t="shared" si="19"/>
        <v>7013_20240611_0002_R_0470.jpg</v>
      </c>
      <c r="G7016" s="75" t="s">
        <v>6960</v>
      </c>
      <c r="I7016" s="75">
        <v>1</v>
      </c>
      <c r="K7016" s="97">
        <v>1</v>
      </c>
      <c r="L7016"/>
      <c r="M7016"/>
      <c r="N7016"/>
      <c r="O7016"/>
      <c r="P7016" s="57"/>
      <c r="Q7016" s="57"/>
      <c r="R7016" s="57"/>
      <c r="S7016" s="97">
        <v>0</v>
      </c>
      <c r="T7016" s="57"/>
      <c r="U7016" s="57"/>
      <c r="V7016" s="57"/>
      <c r="W7016" s="57"/>
      <c r="X7016" s="97">
        <v>0</v>
      </c>
    </row>
    <row r="7017" spans="1:24" s="75" customFormat="1" x14ac:dyDescent="0.35">
      <c r="A7017" s="75">
        <v>7013</v>
      </c>
      <c r="B7017" s="75">
        <v>7014</v>
      </c>
      <c r="C7017">
        <v>146.11062433199899</v>
      </c>
      <c r="D7017">
        <v>-17.6197466025999</v>
      </c>
      <c r="E7017" s="92" t="str">
        <f t="shared" si="18"/>
        <v/>
      </c>
      <c r="F7017" s="93" t="str">
        <f t="shared" si="19"/>
        <v>7014_20240611_0002_R_0467.jpg</v>
      </c>
      <c r="G7017" s="75" t="s">
        <v>6961</v>
      </c>
      <c r="I7017" s="75">
        <v>1</v>
      </c>
      <c r="K7017" s="97">
        <v>1</v>
      </c>
      <c r="L7017"/>
      <c r="M7017"/>
      <c r="N7017"/>
      <c r="O7017"/>
      <c r="P7017" s="57"/>
      <c r="Q7017" s="57"/>
      <c r="R7017" s="57"/>
      <c r="S7017" s="97">
        <v>0</v>
      </c>
      <c r="T7017" s="57"/>
      <c r="U7017" s="57"/>
      <c r="V7017" s="57"/>
      <c r="W7017" s="57"/>
      <c r="X7017" s="97">
        <v>0</v>
      </c>
    </row>
    <row r="7018" spans="1:24" s="75" customFormat="1" x14ac:dyDescent="0.35">
      <c r="A7018" s="75">
        <v>7014</v>
      </c>
      <c r="B7018" s="75">
        <v>7015</v>
      </c>
      <c r="C7018">
        <v>146.11065115900001</v>
      </c>
      <c r="D7018">
        <v>-17.6196648923999</v>
      </c>
      <c r="E7018" s="92">
        <f t="shared" si="18"/>
        <v>50</v>
      </c>
      <c r="F7018" s="93" t="str">
        <f t="shared" si="19"/>
        <v>7015_20240611_0002_R_0463.jpg</v>
      </c>
      <c r="G7018" s="75" t="s">
        <v>6962</v>
      </c>
      <c r="I7018" s="75">
        <v>1</v>
      </c>
      <c r="K7018" s="97">
        <v>1</v>
      </c>
      <c r="L7018"/>
      <c r="M7018"/>
      <c r="N7018"/>
      <c r="O7018"/>
      <c r="P7018" s="57"/>
      <c r="Q7018" s="57"/>
      <c r="R7018" s="57"/>
      <c r="S7018" s="97">
        <v>0</v>
      </c>
      <c r="T7018" s="57"/>
      <c r="U7018" s="57"/>
      <c r="V7018" s="57"/>
      <c r="W7018" s="57"/>
      <c r="X7018" s="97">
        <v>0</v>
      </c>
    </row>
    <row r="7019" spans="1:24" s="75" customFormat="1" x14ac:dyDescent="0.35">
      <c r="A7019" s="75">
        <v>7015</v>
      </c>
      <c r="B7019" s="75">
        <v>7016</v>
      </c>
      <c r="C7019">
        <v>146.11067798600001</v>
      </c>
      <c r="D7019">
        <v>-17.6195831822</v>
      </c>
      <c r="E7019" s="92" t="str">
        <f t="shared" si="18"/>
        <v/>
      </c>
      <c r="F7019" s="93" t="str">
        <f t="shared" si="19"/>
        <v>7016_20240611_0002_R_0460.jpg</v>
      </c>
      <c r="G7019" s="75" t="s">
        <v>6963</v>
      </c>
      <c r="I7019" s="75">
        <v>1</v>
      </c>
      <c r="K7019" s="97">
        <v>1</v>
      </c>
      <c r="L7019"/>
      <c r="M7019"/>
      <c r="N7019"/>
      <c r="O7019"/>
      <c r="P7019" s="57"/>
      <c r="Q7019" s="57"/>
      <c r="R7019" s="57"/>
      <c r="S7019" s="97">
        <v>0</v>
      </c>
      <c r="T7019" s="57"/>
      <c r="U7019" s="57"/>
      <c r="V7019" s="57"/>
      <c r="W7019" s="57"/>
      <c r="X7019" s="97">
        <v>0</v>
      </c>
    </row>
    <row r="7020" spans="1:24" s="75" customFormat="1" x14ac:dyDescent="0.35">
      <c r="A7020" s="75">
        <v>7016</v>
      </c>
      <c r="B7020" s="75">
        <v>7017</v>
      </c>
      <c r="C7020">
        <v>146.11070481300001</v>
      </c>
      <c r="D7020">
        <v>-17.619501471900001</v>
      </c>
      <c r="E7020" s="92" t="str">
        <f t="shared" si="18"/>
        <v/>
      </c>
      <c r="F7020" s="93" t="str">
        <f t="shared" si="19"/>
        <v>7017_20240611_0002_R_0457.jpg</v>
      </c>
      <c r="G7020" s="75" t="s">
        <v>6964</v>
      </c>
      <c r="I7020" s="75">
        <v>1</v>
      </c>
      <c r="K7020" s="97">
        <v>1</v>
      </c>
      <c r="L7020"/>
      <c r="M7020"/>
      <c r="N7020"/>
      <c r="O7020"/>
      <c r="P7020" s="57"/>
      <c r="Q7020" s="57"/>
      <c r="R7020" s="57"/>
      <c r="S7020" s="97">
        <v>0</v>
      </c>
      <c r="T7020" s="57"/>
      <c r="U7020" s="57"/>
      <c r="V7020" s="57"/>
      <c r="W7020" s="57"/>
      <c r="X7020" s="97">
        <v>0</v>
      </c>
    </row>
    <row r="7021" spans="1:24" s="75" customFormat="1" x14ac:dyDescent="0.35">
      <c r="A7021" s="75">
        <v>7017</v>
      </c>
      <c r="B7021" s="75">
        <v>7018</v>
      </c>
      <c r="C7021">
        <v>146.11073164000001</v>
      </c>
      <c r="D7021">
        <v>-17.619419761500001</v>
      </c>
      <c r="E7021" s="92" t="str">
        <f t="shared" si="18"/>
        <v/>
      </c>
      <c r="F7021" s="93" t="str">
        <f t="shared" si="19"/>
        <v>7018_20240611_0002_R_0454.jpg</v>
      </c>
      <c r="G7021" s="75" t="s">
        <v>6965</v>
      </c>
      <c r="I7021" s="75">
        <v>1</v>
      </c>
      <c r="K7021" s="97">
        <v>1</v>
      </c>
      <c r="L7021"/>
      <c r="M7021"/>
      <c r="N7021"/>
      <c r="O7021"/>
      <c r="P7021" s="57"/>
      <c r="Q7021" s="57"/>
      <c r="R7021" s="57"/>
      <c r="S7021" s="97">
        <v>0</v>
      </c>
      <c r="T7021" s="57"/>
      <c r="U7021" s="57"/>
      <c r="V7021" s="57"/>
      <c r="W7021" s="57"/>
      <c r="X7021" s="97">
        <v>0</v>
      </c>
    </row>
    <row r="7022" spans="1:24" s="75" customFormat="1" x14ac:dyDescent="0.35">
      <c r="A7022" s="75">
        <v>7018</v>
      </c>
      <c r="B7022" s="75">
        <v>7019</v>
      </c>
      <c r="C7022">
        <v>146.11075846700001</v>
      </c>
      <c r="D7022">
        <v>-17.6193380512</v>
      </c>
      <c r="E7022" s="92" t="str">
        <f t="shared" si="18"/>
        <v/>
      </c>
      <c r="F7022" s="93" t="str">
        <f t="shared" si="19"/>
        <v>7019_20240611_0002_R_0451.jpg</v>
      </c>
      <c r="G7022" s="75" t="s">
        <v>6966</v>
      </c>
      <c r="I7022" s="75">
        <v>1</v>
      </c>
      <c r="K7022" s="97">
        <v>1</v>
      </c>
      <c r="L7022"/>
      <c r="M7022"/>
      <c r="N7022"/>
      <c r="O7022"/>
      <c r="P7022" s="57"/>
      <c r="Q7022" s="57"/>
      <c r="R7022" s="57"/>
      <c r="S7022" s="97">
        <v>0</v>
      </c>
      <c r="T7022" s="57"/>
      <c r="U7022" s="57"/>
      <c r="V7022" s="57"/>
      <c r="W7022" s="57"/>
      <c r="X7022" s="97">
        <v>0</v>
      </c>
    </row>
    <row r="7023" spans="1:24" s="75" customFormat="1" x14ac:dyDescent="0.35">
      <c r="A7023" s="75">
        <v>7019</v>
      </c>
      <c r="B7023" s="75">
        <v>7020</v>
      </c>
      <c r="C7023">
        <v>146.11078529400001</v>
      </c>
      <c r="D7023">
        <v>-17.6192563408</v>
      </c>
      <c r="E7023" s="92">
        <f t="shared" si="18"/>
        <v>50</v>
      </c>
      <c r="F7023" s="93" t="str">
        <f t="shared" si="19"/>
        <v>7020_20240611_0002_R_0448.jpg</v>
      </c>
      <c r="G7023" s="75" t="s">
        <v>6967</v>
      </c>
      <c r="I7023" s="75">
        <v>1</v>
      </c>
      <c r="K7023" s="97">
        <v>1</v>
      </c>
      <c r="L7023"/>
      <c r="M7023"/>
      <c r="N7023"/>
      <c r="O7023"/>
      <c r="P7023" s="57"/>
      <c r="Q7023" s="57"/>
      <c r="R7023" s="57"/>
      <c r="S7023" s="97">
        <v>0</v>
      </c>
      <c r="T7023" s="57"/>
      <c r="U7023" s="57"/>
      <c r="V7023" s="57"/>
      <c r="W7023" s="57"/>
      <c r="X7023" s="97">
        <v>0</v>
      </c>
    </row>
    <row r="7024" spans="1:24" s="75" customFormat="1" x14ac:dyDescent="0.35">
      <c r="A7024" s="75">
        <v>7020</v>
      </c>
      <c r="B7024" s="75">
        <v>7021</v>
      </c>
      <c r="C7024">
        <v>146.11081212100001</v>
      </c>
      <c r="D7024">
        <v>-17.619174630300002</v>
      </c>
      <c r="E7024" s="92" t="str">
        <f t="shared" si="18"/>
        <v/>
      </c>
      <c r="F7024" s="93" t="str">
        <f t="shared" si="19"/>
        <v>7021_20240611_0002_R_0445.jpg</v>
      </c>
      <c r="G7024" s="75" t="s">
        <v>6968</v>
      </c>
      <c r="I7024" s="75">
        <v>1</v>
      </c>
      <c r="K7024" s="97">
        <v>1</v>
      </c>
      <c r="L7024"/>
      <c r="M7024"/>
      <c r="N7024"/>
      <c r="O7024"/>
      <c r="P7024" s="57"/>
      <c r="Q7024" s="57"/>
      <c r="R7024" s="57"/>
      <c r="S7024" s="97">
        <v>0</v>
      </c>
      <c r="T7024" s="57"/>
      <c r="U7024" s="57"/>
      <c r="V7024" s="57"/>
      <c r="W7024" s="57"/>
      <c r="X7024" s="97">
        <v>0</v>
      </c>
    </row>
    <row r="7025" spans="1:24" s="75" customFormat="1" x14ac:dyDescent="0.35">
      <c r="A7025" s="75">
        <v>7021</v>
      </c>
      <c r="B7025" s="75">
        <v>7022</v>
      </c>
      <c r="C7025">
        <v>146.11083894800001</v>
      </c>
      <c r="D7025">
        <v>-17.619092919900002</v>
      </c>
      <c r="E7025" s="92" t="str">
        <f t="shared" si="18"/>
        <v/>
      </c>
      <c r="F7025" s="93" t="str">
        <f t="shared" si="19"/>
        <v>7022_20240611_0002_R_0442.jpg</v>
      </c>
      <c r="G7025" s="75" t="s">
        <v>6969</v>
      </c>
      <c r="I7025" s="75">
        <v>1</v>
      </c>
      <c r="K7025" s="97">
        <v>1</v>
      </c>
      <c r="L7025"/>
      <c r="M7025"/>
      <c r="N7025"/>
      <c r="O7025"/>
      <c r="P7025" s="57"/>
      <c r="Q7025" s="57"/>
      <c r="R7025" s="57"/>
      <c r="S7025" s="97">
        <v>0</v>
      </c>
      <c r="T7025" s="57"/>
      <c r="U7025" s="57"/>
      <c r="V7025" s="57"/>
      <c r="W7025" s="57"/>
      <c r="X7025" s="97">
        <v>0</v>
      </c>
    </row>
    <row r="7026" spans="1:24" s="75" customFormat="1" x14ac:dyDescent="0.35">
      <c r="A7026" s="75">
        <v>7022</v>
      </c>
      <c r="B7026" s="75">
        <v>7023</v>
      </c>
      <c r="C7026">
        <v>146.110865060999</v>
      </c>
      <c r="D7026">
        <v>-17.619011000699899</v>
      </c>
      <c r="E7026" s="92" t="str">
        <f t="shared" si="18"/>
        <v/>
      </c>
      <c r="F7026" s="93" t="str">
        <f t="shared" si="19"/>
        <v>7023_20240611_0002_R_0440.jpg</v>
      </c>
      <c r="G7026" s="75" t="s">
        <v>6970</v>
      </c>
      <c r="I7026" s="75">
        <v>1</v>
      </c>
      <c r="K7026" s="97">
        <v>1</v>
      </c>
      <c r="L7026"/>
      <c r="M7026"/>
      <c r="N7026"/>
      <c r="O7026"/>
      <c r="P7026" s="57"/>
      <c r="Q7026" s="57"/>
      <c r="R7026" s="57"/>
      <c r="S7026" s="97">
        <v>0</v>
      </c>
      <c r="T7026" s="57"/>
      <c r="U7026" s="57"/>
      <c r="V7026" s="57"/>
      <c r="W7026" s="57"/>
      <c r="X7026" s="97">
        <v>0</v>
      </c>
    </row>
    <row r="7027" spans="1:24" s="75" customFormat="1" x14ac:dyDescent="0.35">
      <c r="A7027" s="75">
        <v>7023</v>
      </c>
      <c r="B7027" s="75">
        <v>7024</v>
      </c>
      <c r="C7027">
        <v>146.110890861</v>
      </c>
      <c r="D7027">
        <v>-17.618928990200001</v>
      </c>
      <c r="E7027" s="92" t="str">
        <f t="shared" si="18"/>
        <v/>
      </c>
      <c r="F7027" s="93" t="str">
        <f t="shared" si="19"/>
        <v>7024_20240611_0002_R_0436.jpg</v>
      </c>
      <c r="G7027" s="75" t="s">
        <v>6971</v>
      </c>
      <c r="I7027" s="75">
        <v>1</v>
      </c>
      <c r="K7027" s="97">
        <v>1</v>
      </c>
      <c r="L7027"/>
      <c r="M7027"/>
      <c r="N7027"/>
      <c r="O7027"/>
      <c r="P7027" s="57"/>
      <c r="Q7027" s="57"/>
      <c r="R7027" s="57"/>
      <c r="S7027" s="97">
        <v>0</v>
      </c>
      <c r="T7027" s="57"/>
      <c r="U7027" s="57"/>
      <c r="V7027" s="57"/>
      <c r="W7027" s="57"/>
      <c r="X7027" s="97">
        <v>0</v>
      </c>
    </row>
    <row r="7028" spans="1:24" s="75" customFormat="1" x14ac:dyDescent="0.35">
      <c r="A7028" s="75">
        <v>7024</v>
      </c>
      <c r="B7028" s="75">
        <v>7025</v>
      </c>
      <c r="C7028">
        <v>146.110916661</v>
      </c>
      <c r="D7028">
        <v>-17.618846979600001</v>
      </c>
      <c r="E7028" s="92">
        <f t="shared" si="18"/>
        <v>50</v>
      </c>
      <c r="F7028" s="93" t="str">
        <f t="shared" si="19"/>
        <v>7025_20240611_0002_R_0433.jpg</v>
      </c>
      <c r="G7028" s="75" t="s">
        <v>6972</v>
      </c>
      <c r="I7028" s="75">
        <v>1</v>
      </c>
      <c r="K7028" s="97">
        <v>1</v>
      </c>
      <c r="L7028"/>
      <c r="M7028"/>
      <c r="N7028"/>
      <c r="O7028"/>
      <c r="P7028" s="57"/>
      <c r="Q7028" s="57"/>
      <c r="R7028" s="57"/>
      <c r="S7028" s="97">
        <v>0</v>
      </c>
      <c r="T7028" s="57"/>
      <c r="U7028" s="57"/>
      <c r="V7028" s="57"/>
      <c r="W7028" s="57"/>
      <c r="X7028" s="97">
        <v>0</v>
      </c>
    </row>
    <row r="7029" spans="1:24" s="75" customFormat="1" x14ac:dyDescent="0.35">
      <c r="A7029" s="75">
        <v>7025</v>
      </c>
      <c r="B7029" s="75">
        <v>7026</v>
      </c>
      <c r="C7029">
        <v>146.11094245999899</v>
      </c>
      <c r="D7029">
        <v>-17.618764969000001</v>
      </c>
      <c r="E7029" s="92" t="str">
        <f t="shared" si="18"/>
        <v/>
      </c>
      <c r="F7029" s="93" t="str">
        <f t="shared" si="19"/>
        <v>7026_20240611_0002_R_0430.jpg</v>
      </c>
      <c r="G7029" s="75" t="s">
        <v>6973</v>
      </c>
      <c r="I7029" s="75">
        <v>1</v>
      </c>
      <c r="K7029" s="97">
        <v>1</v>
      </c>
      <c r="L7029"/>
      <c r="M7029"/>
      <c r="N7029"/>
      <c r="O7029"/>
      <c r="P7029" s="57"/>
      <c r="Q7029" s="57"/>
      <c r="R7029" s="57"/>
      <c r="S7029" s="97">
        <v>0</v>
      </c>
      <c r="T7029" s="57"/>
      <c r="U7029" s="57"/>
      <c r="V7029" s="57"/>
      <c r="W7029" s="57"/>
      <c r="X7029" s="97">
        <v>0</v>
      </c>
    </row>
    <row r="7030" spans="1:24" s="75" customFormat="1" x14ac:dyDescent="0.35">
      <c r="A7030" s="75">
        <v>7026</v>
      </c>
      <c r="B7030" s="75">
        <v>7027</v>
      </c>
      <c r="C7030">
        <v>146.110968259999</v>
      </c>
      <c r="D7030">
        <v>-17.618682958400001</v>
      </c>
      <c r="E7030" s="92" t="str">
        <f t="shared" si="18"/>
        <v/>
      </c>
      <c r="F7030" s="93" t="str">
        <f t="shared" si="19"/>
        <v>7027_20240611_0002_R_0426.jpg</v>
      </c>
      <c r="G7030" s="75" t="s">
        <v>6974</v>
      </c>
      <c r="I7030" s="75">
        <v>1</v>
      </c>
      <c r="K7030" s="97">
        <v>1</v>
      </c>
      <c r="L7030"/>
      <c r="M7030"/>
      <c r="N7030"/>
      <c r="O7030"/>
      <c r="P7030" s="57"/>
      <c r="Q7030" s="57"/>
      <c r="R7030" s="57"/>
      <c r="S7030" s="97">
        <v>0</v>
      </c>
      <c r="T7030" s="57"/>
      <c r="U7030" s="57"/>
      <c r="V7030" s="57"/>
      <c r="W7030" s="57"/>
      <c r="X7030" s="97">
        <v>0</v>
      </c>
    </row>
    <row r="7031" spans="1:24" s="75" customFormat="1" x14ac:dyDescent="0.35">
      <c r="A7031" s="75">
        <v>7027</v>
      </c>
      <c r="B7031" s="75">
        <v>7028</v>
      </c>
      <c r="C7031">
        <v>146.110994059999</v>
      </c>
      <c r="D7031">
        <v>-17.6186009476999</v>
      </c>
      <c r="E7031" s="92" t="str">
        <f t="shared" si="18"/>
        <v/>
      </c>
      <c r="F7031" s="93" t="str">
        <f t="shared" si="19"/>
        <v>7028_20240611_0002_R_0423.jpg</v>
      </c>
      <c r="G7031" s="75" t="s">
        <v>6975</v>
      </c>
      <c r="I7031" s="75">
        <v>1</v>
      </c>
      <c r="K7031" s="97">
        <v>1</v>
      </c>
      <c r="L7031"/>
      <c r="M7031"/>
      <c r="N7031"/>
      <c r="O7031"/>
      <c r="P7031" s="57"/>
      <c r="Q7031" s="57"/>
      <c r="R7031" s="57"/>
      <c r="S7031" s="97">
        <v>0</v>
      </c>
      <c r="T7031" s="57"/>
      <c r="U7031" s="57"/>
      <c r="V7031" s="57"/>
      <c r="W7031" s="57"/>
      <c r="X7031" s="97">
        <v>0</v>
      </c>
    </row>
    <row r="7032" spans="1:24" s="75" customFormat="1" x14ac:dyDescent="0.35">
      <c r="A7032" s="75">
        <v>7028</v>
      </c>
      <c r="B7032" s="75">
        <v>7029</v>
      </c>
      <c r="C7032">
        <v>146.11101985900001</v>
      </c>
      <c r="D7032">
        <v>-17.618518937000001</v>
      </c>
      <c r="E7032" s="92" t="str">
        <f t="shared" si="18"/>
        <v/>
      </c>
      <c r="F7032" s="93" t="str">
        <f t="shared" si="19"/>
        <v>7029_20240611_0002_R_0420.jpg</v>
      </c>
      <c r="G7032" s="75" t="s">
        <v>6976</v>
      </c>
      <c r="I7032" s="75">
        <v>1</v>
      </c>
      <c r="K7032" s="97">
        <v>1</v>
      </c>
      <c r="L7032"/>
      <c r="M7032"/>
      <c r="N7032"/>
      <c r="O7032"/>
      <c r="P7032" s="57"/>
      <c r="Q7032" s="57"/>
      <c r="R7032" s="57"/>
      <c r="S7032" s="97">
        <v>0</v>
      </c>
      <c r="T7032" s="57"/>
      <c r="U7032" s="57"/>
      <c r="V7032" s="57"/>
      <c r="W7032" s="57"/>
      <c r="X7032" s="97">
        <v>0</v>
      </c>
    </row>
    <row r="7033" spans="1:24" s="75" customFormat="1" x14ac:dyDescent="0.35">
      <c r="A7033" s="75">
        <v>7029</v>
      </c>
      <c r="B7033" s="75">
        <v>7030</v>
      </c>
      <c r="C7033">
        <v>146.11104565900001</v>
      </c>
      <c r="D7033">
        <v>-17.618436926200001</v>
      </c>
      <c r="E7033" s="92">
        <f t="shared" si="18"/>
        <v>50</v>
      </c>
      <c r="F7033" s="93" t="str">
        <f t="shared" si="19"/>
        <v>7030_20240611_0002_R_0417.jpg</v>
      </c>
      <c r="G7033" s="75" t="s">
        <v>6977</v>
      </c>
      <c r="I7033" s="75">
        <v>1</v>
      </c>
      <c r="K7033" s="97">
        <v>1</v>
      </c>
      <c r="L7033"/>
      <c r="M7033"/>
      <c r="N7033"/>
      <c r="O7033"/>
      <c r="P7033" s="57"/>
      <c r="Q7033" s="57"/>
      <c r="R7033" s="57"/>
      <c r="S7033" s="97">
        <v>0</v>
      </c>
      <c r="T7033" s="57"/>
      <c r="U7033" s="57"/>
      <c r="V7033" s="57"/>
      <c r="W7033" s="57"/>
      <c r="X7033" s="97">
        <v>0</v>
      </c>
    </row>
    <row r="7034" spans="1:24" s="75" customFormat="1" x14ac:dyDescent="0.35">
      <c r="A7034" s="75">
        <v>7030</v>
      </c>
      <c r="B7034" s="75">
        <v>7031</v>
      </c>
      <c r="C7034">
        <v>146.11107145899899</v>
      </c>
      <c r="D7034">
        <v>-17.618354915400001</v>
      </c>
      <c r="E7034" s="92" t="str">
        <f t="shared" si="18"/>
        <v/>
      </c>
      <c r="F7034" s="93" t="str">
        <f t="shared" si="19"/>
        <v>7031_20240611_0002_R_0413.jpg</v>
      </c>
      <c r="G7034" s="75" t="s">
        <v>6978</v>
      </c>
      <c r="I7034" s="75">
        <v>1</v>
      </c>
      <c r="K7034" s="97">
        <v>1</v>
      </c>
      <c r="L7034"/>
      <c r="M7034"/>
      <c r="N7034"/>
      <c r="O7034"/>
      <c r="P7034" s="57"/>
      <c r="Q7034" s="57"/>
      <c r="R7034" s="57"/>
      <c r="S7034" s="97">
        <v>0</v>
      </c>
      <c r="T7034" s="57"/>
      <c r="U7034" s="57"/>
      <c r="V7034" s="57"/>
      <c r="W7034" s="57"/>
      <c r="X7034" s="97">
        <v>0</v>
      </c>
    </row>
    <row r="7035" spans="1:24" s="75" customFormat="1" x14ac:dyDescent="0.35">
      <c r="A7035" s="75">
        <v>7031</v>
      </c>
      <c r="B7035" s="75">
        <v>7032</v>
      </c>
      <c r="C7035">
        <v>146.111097258999</v>
      </c>
      <c r="D7035">
        <v>-17.618272904600001</v>
      </c>
      <c r="E7035" s="92" t="str">
        <f t="shared" si="18"/>
        <v/>
      </c>
      <c r="F7035" s="93" t="str">
        <f t="shared" si="19"/>
        <v>7032_20240611_0002_R_0411.jpg</v>
      </c>
      <c r="G7035" s="75" t="s">
        <v>6979</v>
      </c>
      <c r="I7035" s="75">
        <v>1</v>
      </c>
      <c r="K7035" s="97">
        <v>1</v>
      </c>
      <c r="L7035"/>
      <c r="M7035"/>
      <c r="N7035"/>
      <c r="O7035"/>
      <c r="P7035" s="57"/>
      <c r="Q7035" s="57"/>
      <c r="R7035" s="57"/>
      <c r="S7035" s="97">
        <v>0</v>
      </c>
      <c r="T7035" s="57"/>
      <c r="U7035" s="57"/>
      <c r="V7035" s="57"/>
      <c r="W7035" s="57"/>
      <c r="X7035" s="97">
        <v>0</v>
      </c>
    </row>
    <row r="7036" spans="1:24" s="75" customFormat="1" x14ac:dyDescent="0.35">
      <c r="A7036" s="75">
        <v>7032</v>
      </c>
      <c r="B7036" s="75">
        <v>7033</v>
      </c>
      <c r="C7036">
        <v>146.111123058</v>
      </c>
      <c r="D7036">
        <v>-17.6181908937</v>
      </c>
      <c r="E7036" s="92" t="str">
        <f t="shared" si="18"/>
        <v/>
      </c>
      <c r="F7036" s="93" t="str">
        <f t="shared" si="19"/>
        <v>7033_20240611_0002_R_0408.jpg</v>
      </c>
      <c r="G7036" s="75" t="s">
        <v>6980</v>
      </c>
      <c r="I7036" s="75">
        <v>1</v>
      </c>
      <c r="K7036" s="97">
        <v>1</v>
      </c>
      <c r="L7036"/>
      <c r="M7036"/>
      <c r="N7036"/>
      <c r="O7036"/>
      <c r="P7036" s="57"/>
      <c r="Q7036" s="57"/>
      <c r="R7036" s="57"/>
      <c r="S7036" s="97">
        <v>0</v>
      </c>
      <c r="T7036" s="57"/>
      <c r="U7036" s="57"/>
      <c r="V7036" s="57"/>
      <c r="W7036" s="57"/>
      <c r="X7036" s="97">
        <v>0</v>
      </c>
    </row>
    <row r="7037" spans="1:24" s="75" customFormat="1" x14ac:dyDescent="0.35">
      <c r="A7037" s="75">
        <v>7033</v>
      </c>
      <c r="B7037" s="75">
        <v>7034</v>
      </c>
      <c r="C7037">
        <v>146.11114813699899</v>
      </c>
      <c r="D7037">
        <v>-17.618108706800001</v>
      </c>
      <c r="E7037" s="92" t="str">
        <f t="shared" si="18"/>
        <v/>
      </c>
      <c r="F7037" s="93" t="str">
        <f t="shared" si="19"/>
        <v>7034_20240611_0002_R_0406.jpg</v>
      </c>
      <c r="G7037" s="75" t="s">
        <v>6981</v>
      </c>
      <c r="I7037" s="75">
        <v>1</v>
      </c>
      <c r="K7037" s="97">
        <v>1</v>
      </c>
      <c r="L7037"/>
      <c r="M7037"/>
      <c r="N7037"/>
      <c r="O7037"/>
      <c r="P7037" s="57"/>
      <c r="Q7037" s="57"/>
      <c r="R7037" s="57"/>
      <c r="S7037" s="97">
        <v>0</v>
      </c>
      <c r="T7037" s="57"/>
      <c r="U7037" s="57"/>
      <c r="V7037" s="57"/>
      <c r="W7037" s="57"/>
      <c r="X7037" s="97">
        <v>0</v>
      </c>
    </row>
    <row r="7038" spans="1:24" s="75" customFormat="1" x14ac:dyDescent="0.35">
      <c r="A7038" s="75">
        <v>7034</v>
      </c>
      <c r="B7038" s="75">
        <v>7035</v>
      </c>
      <c r="C7038">
        <v>146.11116690200001</v>
      </c>
      <c r="D7038">
        <v>-17.618024977600001</v>
      </c>
      <c r="E7038" s="92">
        <f t="shared" si="18"/>
        <v>50</v>
      </c>
      <c r="F7038" s="93" t="str">
        <f t="shared" si="19"/>
        <v>7035_20240611_0002_R_0403.jpg</v>
      </c>
      <c r="G7038" s="75" t="s">
        <v>6982</v>
      </c>
      <c r="I7038" s="75">
        <v>1</v>
      </c>
      <c r="K7038" s="97">
        <v>1</v>
      </c>
      <c r="L7038"/>
      <c r="M7038"/>
      <c r="N7038"/>
      <c r="O7038"/>
      <c r="P7038" s="57"/>
      <c r="Q7038" s="57"/>
      <c r="R7038" s="57"/>
      <c r="S7038" s="97">
        <v>0</v>
      </c>
      <c r="T7038" s="57"/>
      <c r="U7038" s="57"/>
      <c r="V7038" s="57"/>
      <c r="W7038" s="57"/>
      <c r="X7038" s="97">
        <v>0</v>
      </c>
    </row>
    <row r="7039" spans="1:24" s="75" customFormat="1" x14ac:dyDescent="0.35">
      <c r="A7039" s="75">
        <v>7035</v>
      </c>
      <c r="B7039" s="75">
        <v>7036</v>
      </c>
      <c r="C7039">
        <v>146.111185667</v>
      </c>
      <c r="D7039">
        <v>-17.6179412482999</v>
      </c>
      <c r="E7039" s="92" t="str">
        <f t="shared" si="18"/>
        <v/>
      </c>
      <c r="F7039" s="93" t="str">
        <f t="shared" si="19"/>
        <v>7036_20240611_0002_R_0400.jpg</v>
      </c>
      <c r="G7039" s="75" t="s">
        <v>6983</v>
      </c>
      <c r="I7039" s="75">
        <v>1</v>
      </c>
      <c r="K7039" s="97">
        <v>1</v>
      </c>
      <c r="L7039"/>
      <c r="M7039"/>
      <c r="N7039"/>
      <c r="O7039"/>
      <c r="P7039" s="57"/>
      <c r="Q7039" s="57"/>
      <c r="R7039" s="57"/>
      <c r="S7039" s="97">
        <v>0</v>
      </c>
      <c r="T7039" s="57"/>
      <c r="U7039" s="57"/>
      <c r="V7039" s="57"/>
      <c r="W7039" s="57"/>
      <c r="X7039" s="97">
        <v>0</v>
      </c>
    </row>
    <row r="7040" spans="1:24" s="75" customFormat="1" x14ac:dyDescent="0.35">
      <c r="A7040" s="75">
        <v>7036</v>
      </c>
      <c r="B7040" s="75">
        <v>7037</v>
      </c>
      <c r="C7040">
        <v>146.111204431999</v>
      </c>
      <c r="D7040">
        <v>-17.617857519000001</v>
      </c>
      <c r="E7040" s="92" t="str">
        <f t="shared" si="18"/>
        <v/>
      </c>
      <c r="F7040" s="93" t="str">
        <f t="shared" si="19"/>
        <v>7037_20240611_0002_R_0398.jpg</v>
      </c>
      <c r="G7040" s="75" t="s">
        <v>6984</v>
      </c>
      <c r="I7040" s="75">
        <v>1</v>
      </c>
      <c r="K7040" s="97">
        <v>1</v>
      </c>
      <c r="L7040"/>
      <c r="M7040"/>
      <c r="N7040"/>
      <c r="O7040"/>
      <c r="P7040" s="57"/>
      <c r="Q7040" s="57"/>
      <c r="R7040" s="57"/>
      <c r="S7040" s="97">
        <v>0</v>
      </c>
      <c r="T7040" s="57"/>
      <c r="U7040" s="57"/>
      <c r="V7040" s="57"/>
      <c r="W7040" s="57"/>
      <c r="X7040" s="97">
        <v>0</v>
      </c>
    </row>
    <row r="7041" spans="1:24" s="75" customFormat="1" x14ac:dyDescent="0.35">
      <c r="A7041" s="75">
        <v>7037</v>
      </c>
      <c r="B7041" s="75">
        <v>7038</v>
      </c>
      <c r="C7041">
        <v>146.111223195999</v>
      </c>
      <c r="D7041">
        <v>-17.6177737896999</v>
      </c>
      <c r="E7041" s="92" t="str">
        <f t="shared" si="18"/>
        <v/>
      </c>
      <c r="F7041" s="93" t="str">
        <f t="shared" si="19"/>
        <v>7038_20240611_0002_R_0394.jpg</v>
      </c>
      <c r="G7041" s="75" t="s">
        <v>6985</v>
      </c>
      <c r="I7041" s="75">
        <v>1</v>
      </c>
      <c r="K7041" s="97">
        <v>1</v>
      </c>
      <c r="L7041"/>
      <c r="M7041"/>
      <c r="N7041"/>
      <c r="O7041"/>
      <c r="P7041" s="57"/>
      <c r="Q7041" s="57"/>
      <c r="R7041" s="57"/>
      <c r="S7041" s="97">
        <v>0</v>
      </c>
      <c r="T7041" s="57"/>
      <c r="U7041" s="57"/>
      <c r="V7041" s="57"/>
      <c r="W7041" s="57"/>
      <c r="X7041" s="97">
        <v>0</v>
      </c>
    </row>
    <row r="7042" spans="1:24" s="75" customFormat="1" x14ac:dyDescent="0.35">
      <c r="A7042" s="75">
        <v>7038</v>
      </c>
      <c r="B7042" s="75">
        <v>7039</v>
      </c>
      <c r="C7042">
        <v>146.111241960999</v>
      </c>
      <c r="D7042">
        <v>-17.6176900602999</v>
      </c>
      <c r="E7042" s="92" t="str">
        <f t="shared" si="18"/>
        <v/>
      </c>
      <c r="F7042" s="93" t="str">
        <f t="shared" si="19"/>
        <v>7039_20240611_0002_R_0391.jpg</v>
      </c>
      <c r="G7042" s="75" t="s">
        <v>6986</v>
      </c>
      <c r="I7042" s="75">
        <v>1</v>
      </c>
      <c r="K7042" s="97">
        <v>1</v>
      </c>
      <c r="L7042"/>
      <c r="M7042"/>
      <c r="N7042"/>
      <c r="O7042"/>
      <c r="P7042" s="57"/>
      <c r="Q7042" s="57"/>
      <c r="R7042" s="57"/>
      <c r="S7042" s="97">
        <v>0</v>
      </c>
      <c r="T7042" s="57"/>
      <c r="U7042" s="57"/>
      <c r="V7042" s="57"/>
      <c r="W7042" s="57"/>
      <c r="X7042" s="97">
        <v>0</v>
      </c>
    </row>
    <row r="7043" spans="1:24" s="75" customFormat="1" x14ac:dyDescent="0.35">
      <c r="A7043" s="75">
        <v>7039</v>
      </c>
      <c r="B7043" s="75">
        <v>7040</v>
      </c>
      <c r="C7043">
        <v>146.11126072600001</v>
      </c>
      <c r="D7043">
        <v>-17.6176063308999</v>
      </c>
      <c r="E7043" s="92">
        <f t="shared" si="18"/>
        <v>50</v>
      </c>
      <c r="F7043" s="93" t="str">
        <f t="shared" si="19"/>
        <v>7040_20240611_0002_R_0387.jpg</v>
      </c>
      <c r="G7043" s="75" t="s">
        <v>6987</v>
      </c>
      <c r="I7043" s="75">
        <v>1</v>
      </c>
      <c r="K7043" s="97">
        <v>1</v>
      </c>
      <c r="L7043"/>
      <c r="M7043"/>
      <c r="N7043"/>
      <c r="O7043"/>
      <c r="P7043" s="57"/>
      <c r="Q7043" s="57"/>
      <c r="R7043" s="57"/>
      <c r="S7043" s="97">
        <v>0</v>
      </c>
      <c r="T7043" s="57"/>
      <c r="U7043" s="57"/>
      <c r="V7043" s="57"/>
      <c r="W7043" s="57"/>
      <c r="X7043" s="97">
        <v>0</v>
      </c>
    </row>
    <row r="7044" spans="1:24" s="75" customFormat="1" x14ac:dyDescent="0.35">
      <c r="A7044" s="75">
        <v>7040</v>
      </c>
      <c r="B7044" s="75">
        <v>7041</v>
      </c>
      <c r="C7044">
        <v>146.111279491</v>
      </c>
      <c r="D7044">
        <v>-17.617522601400001</v>
      </c>
      <c r="E7044" s="92" t="str">
        <f t="shared" si="18"/>
        <v/>
      </c>
      <c r="F7044" s="93" t="str">
        <f t="shared" si="19"/>
        <v>7041_20240611_0002_R_0385.jpg</v>
      </c>
      <c r="G7044" s="75" t="s">
        <v>6988</v>
      </c>
      <c r="I7044" s="75">
        <v>1</v>
      </c>
      <c r="K7044" s="97">
        <v>1</v>
      </c>
      <c r="L7044"/>
      <c r="M7044"/>
      <c r="N7044"/>
      <c r="O7044"/>
      <c r="P7044" s="57"/>
      <c r="Q7044" s="57"/>
      <c r="R7044" s="57"/>
      <c r="S7044" s="97">
        <v>0</v>
      </c>
      <c r="T7044" s="57"/>
      <c r="U7044" s="57"/>
      <c r="V7044" s="57"/>
      <c r="W7044" s="57"/>
      <c r="X7044" s="97">
        <v>0</v>
      </c>
    </row>
    <row r="7045" spans="1:24" s="75" customFormat="1" x14ac:dyDescent="0.35">
      <c r="A7045" s="75">
        <v>7041</v>
      </c>
      <c r="B7045" s="75">
        <v>7042</v>
      </c>
      <c r="C7045">
        <v>146.11130045799899</v>
      </c>
      <c r="D7045">
        <v>-17.617439425299899</v>
      </c>
      <c r="E7045" s="92" t="str">
        <f t="shared" si="18"/>
        <v/>
      </c>
      <c r="F7045" s="93" t="str">
        <f t="shared" si="19"/>
        <v>7042_20240611_0002_R_0381.jpg</v>
      </c>
      <c r="G7045" s="75" t="s">
        <v>6989</v>
      </c>
      <c r="I7045" s="75">
        <v>1</v>
      </c>
      <c r="K7045" s="97">
        <v>1</v>
      </c>
      <c r="L7045"/>
      <c r="M7045"/>
      <c r="N7045"/>
      <c r="O7045"/>
      <c r="P7045" s="57"/>
      <c r="Q7045" s="57"/>
      <c r="R7045" s="57"/>
      <c r="S7045" s="97">
        <v>0</v>
      </c>
      <c r="T7045" s="57"/>
      <c r="U7045" s="57"/>
      <c r="V7045" s="57"/>
      <c r="W7045" s="57"/>
      <c r="X7045" s="97">
        <v>0</v>
      </c>
    </row>
    <row r="7046" spans="1:24" s="75" customFormat="1" x14ac:dyDescent="0.35">
      <c r="A7046" s="75">
        <v>7042</v>
      </c>
      <c r="B7046" s="75">
        <v>7043</v>
      </c>
      <c r="C7046">
        <v>146.11132744099899</v>
      </c>
      <c r="D7046">
        <v>-17.6173577606999</v>
      </c>
      <c r="E7046" s="92" t="str">
        <f t="shared" si="18"/>
        <v/>
      </c>
      <c r="F7046" s="93" t="str">
        <f t="shared" si="19"/>
        <v>7043_20240611_0002_R_0377.jpg</v>
      </c>
      <c r="G7046" s="75" t="s">
        <v>6990</v>
      </c>
      <c r="I7046" s="75">
        <v>1</v>
      </c>
      <c r="K7046" s="97">
        <v>1</v>
      </c>
      <c r="L7046"/>
      <c r="M7046"/>
      <c r="N7046"/>
      <c r="O7046"/>
      <c r="P7046" s="57"/>
      <c r="Q7046" s="57"/>
      <c r="R7046" s="57"/>
      <c r="S7046" s="97">
        <v>0</v>
      </c>
      <c r="T7046" s="57"/>
      <c r="U7046" s="57"/>
      <c r="V7046" s="57"/>
      <c r="W7046" s="57"/>
      <c r="X7046" s="97">
        <v>0</v>
      </c>
    </row>
    <row r="7047" spans="1:24" s="75" customFormat="1" x14ac:dyDescent="0.35">
      <c r="A7047" s="75">
        <v>7043</v>
      </c>
      <c r="B7047" s="75">
        <v>7044</v>
      </c>
      <c r="C7047">
        <v>146.11135442400001</v>
      </c>
      <c r="D7047">
        <v>-17.6172760960999</v>
      </c>
      <c r="E7047" s="92" t="str">
        <f t="shared" si="18"/>
        <v/>
      </c>
      <c r="F7047" s="93" t="str">
        <f t="shared" si="19"/>
        <v>7044_20240611_0002_R_0373.jpg</v>
      </c>
      <c r="G7047" s="75" t="s">
        <v>6991</v>
      </c>
      <c r="I7047" s="75">
        <v>1</v>
      </c>
      <c r="K7047" s="97">
        <v>1</v>
      </c>
      <c r="L7047"/>
      <c r="M7047"/>
      <c r="N7047"/>
      <c r="O7047"/>
      <c r="P7047" s="57"/>
      <c r="Q7047" s="57"/>
      <c r="R7047" s="57"/>
      <c r="S7047" s="97">
        <v>0</v>
      </c>
      <c r="T7047" s="57"/>
      <c r="U7047" s="57"/>
      <c r="V7047" s="57"/>
      <c r="W7047" s="57"/>
      <c r="X7047" s="97">
        <v>0</v>
      </c>
    </row>
    <row r="7048" spans="1:24" s="75" customFormat="1" x14ac:dyDescent="0.35">
      <c r="A7048" s="75">
        <v>7044</v>
      </c>
      <c r="B7048" s="75">
        <v>7045</v>
      </c>
      <c r="C7048">
        <v>146.114059373</v>
      </c>
      <c r="D7048">
        <v>-17.617731046100001</v>
      </c>
      <c r="E7048" s="92">
        <f t="shared" si="18"/>
        <v>50</v>
      </c>
      <c r="I7048" s="75">
        <v>1</v>
      </c>
      <c r="J7048" s="75" t="s">
        <v>26</v>
      </c>
      <c r="K7048" s="97" t="s">
        <v>26</v>
      </c>
      <c r="L7048"/>
      <c r="M7048"/>
      <c r="N7048"/>
      <c r="O7048"/>
      <c r="P7048" s="57"/>
      <c r="Q7048" s="57"/>
      <c r="R7048" s="57"/>
      <c r="S7048" s="97"/>
      <c r="T7048" s="57"/>
      <c r="U7048" s="57"/>
      <c r="V7048" s="57"/>
      <c r="W7048" s="57"/>
      <c r="X7048" s="97"/>
    </row>
    <row r="7049" spans="1:24" s="75" customFormat="1" x14ac:dyDescent="0.35">
      <c r="A7049" s="75">
        <v>7045</v>
      </c>
      <c r="B7049" s="75">
        <v>7046</v>
      </c>
      <c r="C7049">
        <v>146.114062259999</v>
      </c>
      <c r="D7049">
        <v>-17.6178166199999</v>
      </c>
      <c r="E7049" s="92" t="str">
        <f t="shared" si="18"/>
        <v/>
      </c>
      <c r="I7049" s="75">
        <v>1</v>
      </c>
      <c r="J7049" s="75" t="s">
        <v>26</v>
      </c>
      <c r="K7049" s="97" t="s">
        <v>26</v>
      </c>
      <c r="L7049"/>
      <c r="M7049"/>
      <c r="N7049"/>
      <c r="O7049"/>
      <c r="P7049" s="57"/>
      <c r="Q7049" s="57"/>
      <c r="R7049" s="57"/>
      <c r="S7049" s="97"/>
      <c r="T7049" s="57"/>
      <c r="U7049" s="57"/>
      <c r="V7049" s="57"/>
      <c r="W7049" s="57"/>
      <c r="X7049" s="97"/>
    </row>
    <row r="7050" spans="1:24" s="75" customFormat="1" x14ac:dyDescent="0.35">
      <c r="A7050" s="75">
        <v>7046</v>
      </c>
      <c r="B7050" s="75">
        <v>7047</v>
      </c>
      <c r="C7050">
        <v>146.11406596699899</v>
      </c>
      <c r="D7050">
        <v>-17.6179021543999</v>
      </c>
      <c r="E7050" s="92" t="str">
        <f t="shared" si="18"/>
        <v/>
      </c>
      <c r="I7050" s="75">
        <v>1</v>
      </c>
      <c r="J7050" s="75" t="s">
        <v>26</v>
      </c>
      <c r="K7050" s="97" t="s">
        <v>26</v>
      </c>
      <c r="L7050"/>
      <c r="M7050"/>
      <c r="N7050"/>
      <c r="O7050"/>
      <c r="P7050" s="57"/>
      <c r="Q7050" s="57"/>
      <c r="R7050" s="57"/>
      <c r="S7050" s="97"/>
      <c r="T7050" s="57"/>
      <c r="U7050" s="57"/>
      <c r="V7050" s="57"/>
      <c r="W7050" s="57"/>
      <c r="X7050" s="97"/>
    </row>
    <row r="7051" spans="1:24" s="75" customFormat="1" x14ac:dyDescent="0.35">
      <c r="A7051" s="75">
        <v>7047</v>
      </c>
      <c r="B7051" s="75">
        <v>7048</v>
      </c>
      <c r="C7051">
        <v>146.11407214600001</v>
      </c>
      <c r="D7051">
        <v>-17.617987569699899</v>
      </c>
      <c r="E7051" s="92" t="str">
        <f t="shared" si="18"/>
        <v/>
      </c>
      <c r="I7051" s="75">
        <v>1</v>
      </c>
      <c r="J7051" s="75" t="s">
        <v>26</v>
      </c>
      <c r="K7051" s="97" t="s">
        <v>26</v>
      </c>
      <c r="L7051"/>
      <c r="M7051"/>
      <c r="N7051"/>
      <c r="O7051"/>
      <c r="P7051" s="57"/>
      <c r="Q7051" s="57"/>
      <c r="R7051" s="57"/>
      <c r="S7051" s="97"/>
      <c r="T7051" s="57"/>
      <c r="U7051" s="57"/>
      <c r="V7051" s="57"/>
      <c r="W7051" s="57"/>
      <c r="X7051" s="97"/>
    </row>
    <row r="7052" spans="1:24" s="75" customFormat="1" x14ac:dyDescent="0.35">
      <c r="A7052" s="75">
        <v>7048</v>
      </c>
      <c r="B7052" s="75">
        <v>7049</v>
      </c>
      <c r="C7052">
        <v>146.11407832500001</v>
      </c>
      <c r="D7052">
        <v>-17.6180729849</v>
      </c>
      <c r="E7052" s="92" t="str">
        <f t="shared" si="18"/>
        <v/>
      </c>
      <c r="I7052" s="75">
        <v>1</v>
      </c>
      <c r="J7052" s="75" t="s">
        <v>26</v>
      </c>
      <c r="K7052" s="97" t="s">
        <v>26</v>
      </c>
      <c r="L7052"/>
      <c r="M7052"/>
      <c r="N7052"/>
      <c r="O7052"/>
      <c r="P7052" s="57"/>
      <c r="Q7052" s="57"/>
      <c r="R7052" s="57"/>
      <c r="S7052" s="97"/>
      <c r="T7052" s="57"/>
      <c r="U7052" s="57"/>
      <c r="V7052" s="57"/>
      <c r="W7052" s="57"/>
      <c r="X7052" s="97"/>
    </row>
    <row r="7053" spans="1:24" s="75" customFormat="1" x14ac:dyDescent="0.35">
      <c r="A7053" s="75">
        <v>7049</v>
      </c>
      <c r="B7053" s="75">
        <v>7050</v>
      </c>
      <c r="C7053">
        <v>146.114084504</v>
      </c>
      <c r="D7053">
        <v>-17.6181584001</v>
      </c>
      <c r="E7053" s="92">
        <f t="shared" si="18"/>
        <v>50</v>
      </c>
      <c r="I7053" s="75">
        <v>1</v>
      </c>
      <c r="J7053" s="75" t="s">
        <v>26</v>
      </c>
      <c r="K7053" s="97" t="s">
        <v>26</v>
      </c>
      <c r="L7053"/>
      <c r="M7053"/>
      <c r="N7053"/>
      <c r="O7053"/>
      <c r="P7053" s="57"/>
      <c r="Q7053" s="57"/>
      <c r="R7053" s="57"/>
      <c r="S7053" s="97"/>
      <c r="T7053" s="57"/>
      <c r="U7053" s="57"/>
      <c r="V7053" s="57"/>
      <c r="W7053" s="57"/>
      <c r="X7053" s="97"/>
    </row>
    <row r="7054" spans="1:24" s="75" customFormat="1" x14ac:dyDescent="0.35">
      <c r="A7054" s="75">
        <v>7050</v>
      </c>
      <c r="B7054" s="75">
        <v>7051</v>
      </c>
      <c r="C7054">
        <v>146.114093075</v>
      </c>
      <c r="D7054">
        <v>-17.618243328199899</v>
      </c>
      <c r="E7054" s="92" t="str">
        <f t="shared" si="18"/>
        <v/>
      </c>
      <c r="I7054" s="75">
        <v>1</v>
      </c>
      <c r="J7054" s="75" t="s">
        <v>26</v>
      </c>
      <c r="K7054" s="97" t="s">
        <v>26</v>
      </c>
      <c r="L7054"/>
      <c r="M7054"/>
      <c r="N7054"/>
      <c r="O7054"/>
      <c r="P7054" s="57"/>
      <c r="Q7054" s="57"/>
      <c r="R7054" s="57"/>
      <c r="S7054" s="97"/>
      <c r="T7054" s="57"/>
      <c r="U7054" s="57"/>
      <c r="V7054" s="57"/>
      <c r="W7054" s="57"/>
      <c r="X7054" s="97"/>
    </row>
    <row r="7055" spans="1:24" s="75" customFormat="1" x14ac:dyDescent="0.35">
      <c r="A7055" s="75">
        <v>7051</v>
      </c>
      <c r="B7055" s="75">
        <v>7052</v>
      </c>
      <c r="C7055">
        <v>146.11412405600001</v>
      </c>
      <c r="D7055">
        <v>-17.618323693299899</v>
      </c>
      <c r="E7055" s="92" t="str">
        <f t="shared" si="18"/>
        <v/>
      </c>
      <c r="I7055" s="75">
        <v>1</v>
      </c>
      <c r="J7055" s="75" t="s">
        <v>26</v>
      </c>
      <c r="K7055" s="97" t="s">
        <v>26</v>
      </c>
      <c r="L7055"/>
      <c r="M7055"/>
      <c r="N7055"/>
      <c r="O7055"/>
      <c r="P7055" s="57"/>
      <c r="Q7055" s="57"/>
      <c r="R7055" s="57"/>
      <c r="S7055" s="97"/>
      <c r="T7055" s="57"/>
      <c r="U7055" s="57"/>
      <c r="V7055" s="57"/>
      <c r="W7055" s="57"/>
      <c r="X7055" s="97"/>
    </row>
    <row r="7056" spans="1:24" s="75" customFormat="1" x14ac:dyDescent="0.35">
      <c r="A7056" s="75">
        <v>7052</v>
      </c>
      <c r="B7056" s="75">
        <v>7053</v>
      </c>
      <c r="C7056">
        <v>146.114155036</v>
      </c>
      <c r="D7056">
        <v>-17.618404058300001</v>
      </c>
      <c r="E7056" s="92" t="str">
        <f t="shared" ref="E7056:E7119" si="20">IF(MOD(B7056,5)=0, 50, "")</f>
        <v/>
      </c>
      <c r="I7056" s="75">
        <v>1</v>
      </c>
      <c r="J7056" s="75" t="s">
        <v>26</v>
      </c>
      <c r="K7056" s="97" t="s">
        <v>26</v>
      </c>
      <c r="L7056"/>
      <c r="M7056"/>
      <c r="N7056"/>
      <c r="O7056"/>
      <c r="P7056" s="57"/>
      <c r="Q7056" s="57"/>
      <c r="R7056" s="57"/>
      <c r="S7056" s="97"/>
      <c r="T7056" s="57"/>
      <c r="U7056" s="57"/>
      <c r="V7056" s="57"/>
      <c r="W7056" s="57"/>
      <c r="X7056" s="97"/>
    </row>
    <row r="7057" spans="1:24" s="75" customFormat="1" x14ac:dyDescent="0.35">
      <c r="A7057" s="75">
        <v>7053</v>
      </c>
      <c r="B7057" s="75">
        <v>7054</v>
      </c>
      <c r="C7057">
        <v>146.11418601700001</v>
      </c>
      <c r="D7057">
        <v>-17.6184844233</v>
      </c>
      <c r="E7057" s="92" t="str">
        <f t="shared" si="20"/>
        <v/>
      </c>
      <c r="I7057" s="75">
        <v>1</v>
      </c>
      <c r="J7057" s="75" t="s">
        <v>26</v>
      </c>
      <c r="K7057" s="97" t="s">
        <v>26</v>
      </c>
      <c r="L7057"/>
      <c r="M7057"/>
      <c r="N7057"/>
      <c r="O7057"/>
      <c r="P7057" s="57"/>
      <c r="Q7057" s="57"/>
      <c r="R7057" s="57"/>
      <c r="S7057" s="97"/>
      <c r="T7057" s="57"/>
      <c r="U7057" s="57"/>
      <c r="V7057" s="57"/>
      <c r="W7057" s="57"/>
      <c r="X7057" s="97"/>
    </row>
    <row r="7058" spans="1:24" s="75" customFormat="1" x14ac:dyDescent="0.35">
      <c r="A7058" s="75">
        <v>7054</v>
      </c>
      <c r="B7058" s="75">
        <v>7055</v>
      </c>
      <c r="C7058">
        <v>146.114220619999</v>
      </c>
      <c r="D7058">
        <v>-17.618562953200001</v>
      </c>
      <c r="E7058" s="92">
        <f t="shared" si="20"/>
        <v>50</v>
      </c>
      <c r="I7058" s="75">
        <v>1</v>
      </c>
      <c r="J7058" s="75" t="s">
        <v>26</v>
      </c>
      <c r="K7058" s="97" t="s">
        <v>26</v>
      </c>
      <c r="L7058"/>
      <c r="M7058"/>
      <c r="N7058"/>
      <c r="O7058"/>
      <c r="P7058" s="57"/>
      <c r="Q7058" s="57"/>
      <c r="R7058" s="57"/>
      <c r="S7058" s="97"/>
      <c r="T7058" s="57"/>
      <c r="U7058" s="57"/>
      <c r="V7058" s="57"/>
      <c r="W7058" s="57"/>
      <c r="X7058" s="97"/>
    </row>
    <row r="7059" spans="1:24" s="75" customFormat="1" x14ac:dyDescent="0.35">
      <c r="A7059" s="75">
        <v>7055</v>
      </c>
      <c r="B7059" s="75">
        <v>7056</v>
      </c>
      <c r="C7059">
        <v>146.114273193</v>
      </c>
      <c r="D7059">
        <v>-17.6186323772999</v>
      </c>
      <c r="E7059" s="92" t="str">
        <f t="shared" si="20"/>
        <v/>
      </c>
      <c r="I7059" s="75">
        <v>1</v>
      </c>
      <c r="J7059" s="75" t="s">
        <v>26</v>
      </c>
      <c r="K7059" s="97" t="s">
        <v>26</v>
      </c>
      <c r="L7059"/>
      <c r="M7059"/>
      <c r="N7059"/>
      <c r="O7059"/>
      <c r="P7059" s="57"/>
      <c r="Q7059" s="57"/>
      <c r="R7059" s="57"/>
      <c r="S7059" s="97"/>
      <c r="T7059" s="57"/>
      <c r="U7059" s="57"/>
      <c r="V7059" s="57"/>
      <c r="W7059" s="57"/>
      <c r="X7059" s="97"/>
    </row>
    <row r="7060" spans="1:24" s="75" customFormat="1" x14ac:dyDescent="0.35">
      <c r="A7060" s="75">
        <v>7056</v>
      </c>
      <c r="B7060" s="75">
        <v>7057</v>
      </c>
      <c r="C7060">
        <v>146.11432576499899</v>
      </c>
      <c r="D7060">
        <v>-17.6187018014</v>
      </c>
      <c r="E7060" s="92" t="str">
        <f t="shared" si="20"/>
        <v/>
      </c>
      <c r="I7060" s="75">
        <v>1</v>
      </c>
      <c r="J7060" s="75" t="s">
        <v>26</v>
      </c>
      <c r="K7060" s="97" t="s">
        <v>26</v>
      </c>
      <c r="L7060"/>
      <c r="M7060"/>
      <c r="N7060"/>
      <c r="O7060"/>
      <c r="P7060" s="57"/>
      <c r="Q7060" s="57"/>
      <c r="R7060" s="57"/>
      <c r="S7060" s="97"/>
      <c r="T7060" s="57"/>
      <c r="U7060" s="57"/>
      <c r="V7060" s="57"/>
      <c r="W7060" s="57"/>
      <c r="X7060" s="97"/>
    </row>
    <row r="7061" spans="1:24" s="75" customFormat="1" x14ac:dyDescent="0.35">
      <c r="A7061" s="75">
        <v>7057</v>
      </c>
      <c r="B7061" s="75">
        <v>7058</v>
      </c>
      <c r="C7061">
        <v>146.114378337999</v>
      </c>
      <c r="D7061">
        <v>-17.6187712254</v>
      </c>
      <c r="E7061" s="92" t="str">
        <f t="shared" si="20"/>
        <v/>
      </c>
      <c r="I7061" s="75">
        <v>1</v>
      </c>
      <c r="J7061" s="75" t="s">
        <v>26</v>
      </c>
      <c r="K7061" s="97" t="s">
        <v>26</v>
      </c>
      <c r="L7061"/>
      <c r="M7061"/>
      <c r="N7061"/>
      <c r="O7061"/>
      <c r="P7061" s="57"/>
      <c r="Q7061" s="57"/>
      <c r="R7061" s="57"/>
      <c r="S7061" s="97"/>
      <c r="T7061" s="57"/>
      <c r="U7061" s="57"/>
      <c r="V7061" s="57"/>
      <c r="W7061" s="57"/>
      <c r="X7061" s="97"/>
    </row>
    <row r="7062" spans="1:24" s="75" customFormat="1" x14ac:dyDescent="0.35">
      <c r="A7062" s="75">
        <v>7058</v>
      </c>
      <c r="B7062" s="75">
        <v>7059</v>
      </c>
      <c r="C7062">
        <v>146.114430910999</v>
      </c>
      <c r="D7062">
        <v>-17.6188406493999</v>
      </c>
      <c r="E7062" s="92" t="str">
        <f t="shared" si="20"/>
        <v/>
      </c>
      <c r="I7062" s="75">
        <v>1</v>
      </c>
      <c r="J7062" s="75" t="s">
        <v>26</v>
      </c>
      <c r="K7062" s="97" t="s">
        <v>26</v>
      </c>
      <c r="L7062"/>
      <c r="M7062"/>
      <c r="N7062"/>
      <c r="O7062"/>
      <c r="P7062" s="57"/>
      <c r="Q7062" s="57"/>
      <c r="R7062" s="57"/>
      <c r="S7062" s="97"/>
      <c r="T7062" s="57"/>
      <c r="U7062" s="57"/>
      <c r="V7062" s="57"/>
      <c r="W7062" s="57"/>
      <c r="X7062" s="97"/>
    </row>
    <row r="7063" spans="1:24" s="75" customFormat="1" x14ac:dyDescent="0.35">
      <c r="A7063" s="75">
        <v>7059</v>
      </c>
      <c r="B7063" s="75">
        <v>7060</v>
      </c>
      <c r="C7063">
        <v>146.114496137</v>
      </c>
      <c r="D7063">
        <v>-17.6188992637999</v>
      </c>
      <c r="E7063" s="92">
        <f t="shared" si="20"/>
        <v>50</v>
      </c>
      <c r="I7063" s="75">
        <v>1</v>
      </c>
      <c r="J7063" s="75" t="s">
        <v>26</v>
      </c>
      <c r="K7063" s="97" t="s">
        <v>26</v>
      </c>
      <c r="L7063"/>
      <c r="M7063"/>
      <c r="N7063"/>
      <c r="O7063"/>
      <c r="P7063" s="57"/>
      <c r="Q7063" s="57"/>
      <c r="R7063" s="57"/>
      <c r="S7063" s="97"/>
      <c r="T7063" s="57"/>
      <c r="U7063" s="57"/>
      <c r="V7063" s="57"/>
      <c r="W7063" s="57"/>
      <c r="X7063" s="97"/>
    </row>
    <row r="7064" spans="1:24" s="75" customFormat="1" x14ac:dyDescent="0.35">
      <c r="A7064" s="75">
        <v>7060</v>
      </c>
      <c r="B7064" s="75">
        <v>7061</v>
      </c>
      <c r="C7064">
        <v>146.114562814999</v>
      </c>
      <c r="D7064">
        <v>-17.618956637</v>
      </c>
      <c r="E7064" s="92" t="str">
        <f t="shared" si="20"/>
        <v/>
      </c>
      <c r="I7064" s="75">
        <v>1</v>
      </c>
      <c r="J7064" s="75" t="s">
        <v>26</v>
      </c>
      <c r="K7064" s="97" t="s">
        <v>26</v>
      </c>
      <c r="L7064"/>
      <c r="M7064"/>
      <c r="N7064"/>
      <c r="O7064"/>
      <c r="P7064" s="57"/>
      <c r="Q7064" s="57"/>
      <c r="R7064" s="57"/>
      <c r="S7064" s="97"/>
      <c r="T7064" s="57"/>
      <c r="U7064" s="57"/>
      <c r="V7064" s="57"/>
      <c r="W7064" s="57"/>
      <c r="X7064" s="97"/>
    </row>
    <row r="7065" spans="1:24" s="75" customFormat="1" x14ac:dyDescent="0.35">
      <c r="A7065" s="75">
        <v>7061</v>
      </c>
      <c r="B7065" s="75">
        <v>7062</v>
      </c>
      <c r="C7065">
        <v>146.11463073600001</v>
      </c>
      <c r="D7065">
        <v>-17.6190124542</v>
      </c>
      <c r="E7065" s="92" t="str">
        <f t="shared" si="20"/>
        <v/>
      </c>
      <c r="I7065" s="75">
        <v>1</v>
      </c>
      <c r="J7065" s="75" t="s">
        <v>26</v>
      </c>
      <c r="K7065" s="97" t="s">
        <v>26</v>
      </c>
      <c r="L7065"/>
      <c r="M7065"/>
      <c r="N7065"/>
      <c r="O7065"/>
      <c r="P7065" s="57"/>
      <c r="Q7065" s="57"/>
      <c r="R7065" s="57"/>
      <c r="S7065" s="97"/>
      <c r="T7065" s="57"/>
      <c r="U7065" s="57"/>
      <c r="V7065" s="57"/>
      <c r="W7065" s="57"/>
      <c r="X7065" s="97"/>
    </row>
    <row r="7066" spans="1:24" s="75" customFormat="1" x14ac:dyDescent="0.35">
      <c r="A7066" s="75">
        <v>7062</v>
      </c>
      <c r="B7066" s="75">
        <v>7063</v>
      </c>
      <c r="C7066">
        <v>146.11470655599899</v>
      </c>
      <c r="D7066">
        <v>-17.619058370800001</v>
      </c>
      <c r="E7066" s="92" t="str">
        <f t="shared" si="20"/>
        <v/>
      </c>
      <c r="I7066" s="75">
        <v>1</v>
      </c>
      <c r="J7066" s="75" t="s">
        <v>26</v>
      </c>
      <c r="K7066" s="97" t="s">
        <v>26</v>
      </c>
      <c r="L7066"/>
      <c r="M7066"/>
      <c r="N7066"/>
      <c r="O7066"/>
      <c r="P7066" s="57"/>
      <c r="Q7066" s="57"/>
      <c r="R7066" s="57"/>
      <c r="S7066" s="97"/>
      <c r="T7066" s="57"/>
      <c r="U7066" s="57"/>
      <c r="V7066" s="57"/>
      <c r="W7066" s="57"/>
      <c r="X7066" s="97"/>
    </row>
    <row r="7067" spans="1:24" s="75" customFormat="1" x14ac:dyDescent="0.35">
      <c r="A7067" s="75">
        <v>7063</v>
      </c>
      <c r="B7067" s="75">
        <v>7064</v>
      </c>
      <c r="C7067">
        <v>146.11479083</v>
      </c>
      <c r="D7067">
        <v>-17.619084385800001</v>
      </c>
      <c r="E7067" s="92" t="str">
        <f t="shared" si="20"/>
        <v/>
      </c>
      <c r="I7067" s="75">
        <v>1</v>
      </c>
      <c r="J7067" s="75" t="s">
        <v>26</v>
      </c>
      <c r="K7067" s="97" t="s">
        <v>26</v>
      </c>
      <c r="L7067"/>
      <c r="M7067"/>
      <c r="N7067"/>
      <c r="O7067"/>
      <c r="P7067" s="57"/>
      <c r="Q7067" s="57"/>
      <c r="R7067" s="57"/>
      <c r="S7067" s="97"/>
      <c r="T7067" s="57"/>
      <c r="U7067" s="57"/>
      <c r="V7067" s="57"/>
      <c r="W7067" s="57"/>
      <c r="X7067" s="97"/>
    </row>
    <row r="7068" spans="1:24" s="75" customFormat="1" x14ac:dyDescent="0.35">
      <c r="A7068" s="75">
        <v>7064</v>
      </c>
      <c r="B7068" s="75">
        <v>7065</v>
      </c>
      <c r="C7068">
        <v>146.11486998999899</v>
      </c>
      <c r="D7068">
        <v>-17.6190649927</v>
      </c>
      <c r="E7068" s="92">
        <f t="shared" si="20"/>
        <v>50</v>
      </c>
      <c r="I7068" s="75">
        <v>1</v>
      </c>
      <c r="J7068" s="75" t="s">
        <v>26</v>
      </c>
      <c r="K7068" s="97" t="s">
        <v>26</v>
      </c>
      <c r="L7068"/>
      <c r="M7068"/>
      <c r="N7068"/>
      <c r="O7068"/>
      <c r="P7068" s="57"/>
      <c r="Q7068" s="57"/>
      <c r="R7068" s="57"/>
      <c r="S7068" s="97"/>
      <c r="T7068" s="57"/>
      <c r="U7068" s="57"/>
      <c r="V7068" s="57"/>
      <c r="W7068" s="57"/>
      <c r="X7068" s="97"/>
    </row>
    <row r="7069" spans="1:24" s="75" customFormat="1" x14ac:dyDescent="0.35">
      <c r="A7069" s="75">
        <v>7065</v>
      </c>
      <c r="B7069" s="75">
        <v>7066</v>
      </c>
      <c r="C7069">
        <v>146.114941286999</v>
      </c>
      <c r="D7069">
        <v>-17.619012908199899</v>
      </c>
      <c r="E7069" s="92" t="str">
        <f t="shared" si="20"/>
        <v/>
      </c>
      <c r="I7069" s="75">
        <v>1</v>
      </c>
      <c r="J7069" s="75" t="s">
        <v>26</v>
      </c>
      <c r="K7069" s="97" t="s">
        <v>26</v>
      </c>
      <c r="L7069"/>
      <c r="M7069"/>
      <c r="N7069"/>
      <c r="O7069"/>
      <c r="P7069" s="57"/>
      <c r="Q7069" s="57"/>
      <c r="R7069" s="57"/>
      <c r="S7069" s="97"/>
      <c r="T7069" s="57"/>
      <c r="U7069" s="57"/>
      <c r="V7069" s="57"/>
      <c r="W7069" s="57"/>
      <c r="X7069" s="97"/>
    </row>
    <row r="7070" spans="1:24" s="75" customFormat="1" x14ac:dyDescent="0.35">
      <c r="A7070" s="75">
        <v>7066</v>
      </c>
      <c r="B7070" s="75">
        <v>7067</v>
      </c>
      <c r="C7070">
        <v>146.11501214200001</v>
      </c>
      <c r="D7070">
        <v>-17.618960418499899</v>
      </c>
      <c r="E7070" s="92" t="str">
        <f t="shared" si="20"/>
        <v/>
      </c>
      <c r="I7070" s="75">
        <v>1</v>
      </c>
      <c r="J7070" s="75" t="s">
        <v>26</v>
      </c>
      <c r="K7070" s="97" t="s">
        <v>26</v>
      </c>
      <c r="L7070"/>
      <c r="M7070"/>
      <c r="N7070"/>
      <c r="O7070"/>
      <c r="P7070" s="57"/>
      <c r="Q7070" s="57"/>
      <c r="R7070" s="57"/>
      <c r="S7070" s="97"/>
      <c r="T7070" s="57"/>
      <c r="U7070" s="57"/>
      <c r="V7070" s="57"/>
      <c r="W7070" s="57"/>
      <c r="X7070" s="97"/>
    </row>
    <row r="7071" spans="1:24" s="75" customFormat="1" x14ac:dyDescent="0.35">
      <c r="A7071" s="75">
        <v>7067</v>
      </c>
      <c r="B7071" s="75">
        <v>7068</v>
      </c>
      <c r="C7071">
        <v>146.11506393600001</v>
      </c>
      <c r="D7071">
        <v>-17.618890464700002</v>
      </c>
      <c r="E7071" s="92" t="str">
        <f t="shared" si="20"/>
        <v/>
      </c>
      <c r="I7071" s="75">
        <v>1</v>
      </c>
      <c r="J7071" s="75" t="s">
        <v>26</v>
      </c>
      <c r="K7071" s="97" t="s">
        <v>26</v>
      </c>
      <c r="L7071"/>
      <c r="M7071"/>
      <c r="N7071"/>
      <c r="O7071"/>
      <c r="P7071" s="57"/>
      <c r="Q7071" s="57"/>
      <c r="R7071" s="57"/>
      <c r="S7071" s="97"/>
      <c r="T7071" s="57"/>
      <c r="U7071" s="57"/>
      <c r="V7071" s="57"/>
      <c r="W7071" s="57"/>
      <c r="X7071" s="97"/>
    </row>
    <row r="7072" spans="1:24" s="75" customFormat="1" x14ac:dyDescent="0.35">
      <c r="A7072" s="75">
        <v>7068</v>
      </c>
      <c r="B7072" s="75">
        <v>7069</v>
      </c>
      <c r="C7072">
        <v>146.11511573000001</v>
      </c>
      <c r="D7072">
        <v>-17.6188205107999</v>
      </c>
      <c r="E7072" s="92" t="str">
        <f t="shared" si="20"/>
        <v/>
      </c>
      <c r="I7072" s="75">
        <v>1</v>
      </c>
      <c r="J7072" s="75" t="s">
        <v>26</v>
      </c>
      <c r="K7072" s="97" t="s">
        <v>26</v>
      </c>
      <c r="L7072"/>
      <c r="M7072"/>
      <c r="N7072"/>
      <c r="O7072"/>
      <c r="P7072" s="57"/>
      <c r="Q7072" s="57"/>
      <c r="R7072" s="57"/>
      <c r="S7072" s="97"/>
      <c r="T7072" s="57"/>
      <c r="U7072" s="57"/>
      <c r="V7072" s="57"/>
      <c r="W7072" s="57"/>
      <c r="X7072" s="97"/>
    </row>
    <row r="7073" spans="1:24" s="75" customFormat="1" x14ac:dyDescent="0.35">
      <c r="A7073" s="75">
        <v>7069</v>
      </c>
      <c r="B7073" s="75">
        <v>7070</v>
      </c>
      <c r="C7073">
        <v>146.115166614</v>
      </c>
      <c r="D7073">
        <v>-17.6187499545</v>
      </c>
      <c r="E7073" s="92">
        <f t="shared" si="20"/>
        <v>50</v>
      </c>
      <c r="I7073" s="75">
        <v>1</v>
      </c>
      <c r="J7073" s="75" t="s">
        <v>26</v>
      </c>
      <c r="K7073" s="97" t="s">
        <v>26</v>
      </c>
      <c r="L7073"/>
      <c r="M7073"/>
      <c r="N7073"/>
      <c r="O7073"/>
      <c r="P7073" s="57"/>
      <c r="Q7073" s="57"/>
      <c r="R7073" s="57"/>
      <c r="S7073" s="97"/>
      <c r="T7073" s="57"/>
      <c r="U7073" s="57"/>
      <c r="V7073" s="57"/>
      <c r="W7073" s="57"/>
      <c r="X7073" s="97"/>
    </row>
    <row r="7074" spans="1:24" s="75" customFormat="1" x14ac:dyDescent="0.35">
      <c r="A7074" s="75">
        <v>7070</v>
      </c>
      <c r="B7074" s="75">
        <v>7071</v>
      </c>
      <c r="C7074">
        <v>146.11521731900001</v>
      </c>
      <c r="D7074">
        <v>-17.618679279599899</v>
      </c>
      <c r="E7074" s="92" t="str">
        <f t="shared" si="20"/>
        <v/>
      </c>
      <c r="I7074" s="75">
        <v>1</v>
      </c>
      <c r="J7074" s="75" t="s">
        <v>26</v>
      </c>
      <c r="K7074" s="97" t="s">
        <v>26</v>
      </c>
      <c r="L7074"/>
      <c r="M7074"/>
      <c r="N7074"/>
      <c r="O7074"/>
      <c r="P7074" s="57"/>
      <c r="Q7074" s="57"/>
      <c r="R7074" s="57"/>
      <c r="S7074" s="97"/>
      <c r="T7074" s="57"/>
      <c r="U7074" s="57"/>
      <c r="V7074" s="57"/>
      <c r="W7074" s="57"/>
      <c r="X7074" s="97"/>
    </row>
    <row r="7075" spans="1:24" s="75" customFormat="1" x14ac:dyDescent="0.35">
      <c r="A7075" s="75">
        <v>7071</v>
      </c>
      <c r="B7075" s="75">
        <v>7072</v>
      </c>
      <c r="C7075">
        <v>146.11526802399899</v>
      </c>
      <c r="D7075">
        <v>-17.6186086047</v>
      </c>
      <c r="E7075" s="92" t="str">
        <f t="shared" si="20"/>
        <v/>
      </c>
      <c r="I7075" s="75">
        <v>1</v>
      </c>
      <c r="J7075" s="75" t="s">
        <v>26</v>
      </c>
      <c r="K7075" s="97" t="s">
        <v>26</v>
      </c>
      <c r="L7075"/>
      <c r="M7075"/>
      <c r="N7075"/>
      <c r="O7075"/>
      <c r="P7075" s="57"/>
      <c r="Q7075" s="57"/>
      <c r="R7075" s="57"/>
      <c r="S7075" s="97"/>
      <c r="T7075" s="57"/>
      <c r="U7075" s="57"/>
      <c r="V7075" s="57"/>
      <c r="W7075" s="57"/>
      <c r="X7075" s="97"/>
    </row>
    <row r="7076" spans="1:24" s="75" customFormat="1" x14ac:dyDescent="0.35">
      <c r="A7076" s="75">
        <v>7072</v>
      </c>
      <c r="B7076" s="75">
        <v>7073</v>
      </c>
      <c r="C7076">
        <v>146.115318728999</v>
      </c>
      <c r="D7076">
        <v>-17.6185379297</v>
      </c>
      <c r="E7076" s="92" t="str">
        <f t="shared" si="20"/>
        <v/>
      </c>
      <c r="I7076" s="75">
        <v>1</v>
      </c>
      <c r="J7076" s="75" t="s">
        <v>26</v>
      </c>
      <c r="K7076" s="97" t="s">
        <v>26</v>
      </c>
      <c r="L7076"/>
      <c r="M7076"/>
      <c r="N7076"/>
      <c r="O7076"/>
      <c r="P7076" s="57"/>
      <c r="Q7076" s="57"/>
      <c r="R7076" s="57"/>
      <c r="S7076" s="97"/>
      <c r="T7076" s="57"/>
      <c r="U7076" s="57"/>
      <c r="V7076" s="57"/>
      <c r="W7076" s="57"/>
      <c r="X7076" s="97"/>
    </row>
    <row r="7077" spans="1:24" s="75" customFormat="1" x14ac:dyDescent="0.35">
      <c r="A7077" s="75">
        <v>7073</v>
      </c>
      <c r="B7077" s="75">
        <v>7074</v>
      </c>
      <c r="C7077">
        <v>146.115369434</v>
      </c>
      <c r="D7077">
        <v>-17.618467254700001</v>
      </c>
      <c r="E7077" s="92" t="str">
        <f t="shared" si="20"/>
        <v/>
      </c>
      <c r="I7077" s="75">
        <v>1</v>
      </c>
      <c r="J7077" s="75" t="s">
        <v>26</v>
      </c>
      <c r="K7077" s="97" t="s">
        <v>26</v>
      </c>
      <c r="L7077"/>
      <c r="M7077"/>
      <c r="N7077"/>
      <c r="O7077"/>
      <c r="P7077" s="57"/>
      <c r="Q7077" s="57"/>
      <c r="R7077" s="57"/>
      <c r="S7077" s="97"/>
      <c r="T7077" s="57"/>
      <c r="U7077" s="57"/>
      <c r="V7077" s="57"/>
      <c r="W7077" s="57"/>
      <c r="X7077" s="97"/>
    </row>
    <row r="7078" spans="1:24" s="75" customFormat="1" x14ac:dyDescent="0.35">
      <c r="A7078" s="75">
        <v>7074</v>
      </c>
      <c r="B7078" s="75">
        <v>7075</v>
      </c>
      <c r="C7078">
        <v>146.115415525999</v>
      </c>
      <c r="D7078">
        <v>-17.6183938912</v>
      </c>
      <c r="E7078" s="92">
        <f t="shared" si="20"/>
        <v>50</v>
      </c>
      <c r="I7078" s="75">
        <v>1</v>
      </c>
      <c r="J7078" s="75" t="s">
        <v>26</v>
      </c>
      <c r="K7078" s="97" t="s">
        <v>26</v>
      </c>
      <c r="L7078"/>
      <c r="M7078"/>
      <c r="N7078"/>
      <c r="O7078"/>
      <c r="P7078" s="57"/>
      <c r="Q7078" s="57"/>
      <c r="R7078" s="57"/>
      <c r="S7078" s="97"/>
      <c r="T7078" s="57"/>
      <c r="U7078" s="57"/>
      <c r="V7078" s="57"/>
      <c r="W7078" s="57"/>
      <c r="X7078" s="97"/>
    </row>
    <row r="7079" spans="1:24" s="75" customFormat="1" x14ac:dyDescent="0.35">
      <c r="A7079" s="75">
        <v>7075</v>
      </c>
      <c r="B7079" s="75">
        <v>7076</v>
      </c>
      <c r="C7079">
        <v>146.11545843600001</v>
      </c>
      <c r="D7079">
        <v>-17.618318672600001</v>
      </c>
      <c r="E7079" s="92" t="str">
        <f t="shared" si="20"/>
        <v/>
      </c>
      <c r="I7079" s="75">
        <v>1</v>
      </c>
      <c r="J7079" s="75" t="s">
        <v>26</v>
      </c>
      <c r="K7079" s="97" t="s">
        <v>26</v>
      </c>
      <c r="L7079"/>
      <c r="M7079"/>
      <c r="N7079"/>
      <c r="O7079"/>
      <c r="P7079" s="57"/>
      <c r="Q7079" s="57"/>
      <c r="R7079" s="57"/>
      <c r="S7079" s="97"/>
      <c r="T7079" s="57"/>
      <c r="U7079" s="57"/>
      <c r="V7079" s="57"/>
      <c r="W7079" s="57"/>
      <c r="X7079" s="97"/>
    </row>
    <row r="7080" spans="1:24" s="75" customFormat="1" x14ac:dyDescent="0.35">
      <c r="A7080" s="75">
        <v>7076</v>
      </c>
      <c r="B7080" s="75">
        <v>7077</v>
      </c>
      <c r="C7080">
        <v>146.115501346</v>
      </c>
      <c r="D7080">
        <v>-17.6182434539</v>
      </c>
      <c r="E7080" s="92" t="str">
        <f t="shared" si="20"/>
        <v/>
      </c>
      <c r="I7080" s="75">
        <v>1</v>
      </c>
      <c r="J7080" s="75" t="s">
        <v>26</v>
      </c>
      <c r="K7080" s="97" t="s">
        <v>26</v>
      </c>
      <c r="L7080"/>
      <c r="M7080"/>
      <c r="N7080"/>
      <c r="O7080"/>
      <c r="P7080" s="57"/>
      <c r="Q7080" s="57"/>
      <c r="R7080" s="57"/>
      <c r="S7080" s="97"/>
      <c r="T7080" s="57"/>
      <c r="U7080" s="57"/>
      <c r="V7080" s="57"/>
      <c r="W7080" s="57"/>
      <c r="X7080" s="97"/>
    </row>
    <row r="7081" spans="1:24" s="75" customFormat="1" x14ac:dyDescent="0.35">
      <c r="A7081" s="75">
        <v>7077</v>
      </c>
      <c r="B7081" s="75">
        <v>7078</v>
      </c>
      <c r="C7081">
        <v>146.115544255999</v>
      </c>
      <c r="D7081">
        <v>-17.618168235199899</v>
      </c>
      <c r="E7081" s="92" t="str">
        <f t="shared" si="20"/>
        <v/>
      </c>
      <c r="I7081" s="75">
        <v>1</v>
      </c>
      <c r="J7081" s="75" t="s">
        <v>26</v>
      </c>
      <c r="K7081" s="97" t="s">
        <v>26</v>
      </c>
      <c r="L7081"/>
      <c r="M7081"/>
      <c r="N7081"/>
      <c r="O7081"/>
      <c r="P7081" s="57"/>
      <c r="Q7081" s="57"/>
      <c r="R7081" s="57"/>
      <c r="S7081" s="97"/>
      <c r="T7081" s="57"/>
      <c r="U7081" s="57"/>
      <c r="V7081" s="57"/>
      <c r="W7081" s="57"/>
      <c r="X7081" s="97"/>
    </row>
    <row r="7082" spans="1:24" s="75" customFormat="1" x14ac:dyDescent="0.35">
      <c r="A7082" s="75">
        <v>7078</v>
      </c>
      <c r="B7082" s="75">
        <v>7079</v>
      </c>
      <c r="C7082">
        <v>146.11558716600001</v>
      </c>
      <c r="D7082">
        <v>-17.6180930164</v>
      </c>
      <c r="E7082" s="92" t="str">
        <f t="shared" si="20"/>
        <v/>
      </c>
      <c r="I7082" s="75">
        <v>1</v>
      </c>
      <c r="J7082" s="75" t="s">
        <v>26</v>
      </c>
      <c r="K7082" s="97" t="s">
        <v>26</v>
      </c>
      <c r="L7082"/>
      <c r="M7082"/>
      <c r="N7082"/>
      <c r="O7082"/>
      <c r="P7082" s="57"/>
      <c r="Q7082" s="57"/>
      <c r="R7082" s="57"/>
      <c r="S7082" s="97"/>
      <c r="T7082" s="57"/>
      <c r="U7082" s="57"/>
      <c r="V7082" s="57"/>
      <c r="W7082" s="57"/>
      <c r="X7082" s="97"/>
    </row>
    <row r="7083" spans="1:24" s="75" customFormat="1" x14ac:dyDescent="0.35">
      <c r="A7083" s="75">
        <v>7079</v>
      </c>
      <c r="B7083" s="75">
        <v>7080</v>
      </c>
      <c r="C7083">
        <v>146.115636932</v>
      </c>
      <c r="D7083">
        <v>-17.6180230083</v>
      </c>
      <c r="E7083" s="92">
        <f t="shared" si="20"/>
        <v>50</v>
      </c>
      <c r="I7083" s="75">
        <v>1</v>
      </c>
      <c r="J7083" s="75" t="s">
        <v>26</v>
      </c>
      <c r="K7083" s="97" t="s">
        <v>26</v>
      </c>
      <c r="L7083"/>
      <c r="M7083"/>
      <c r="N7083"/>
      <c r="O7083"/>
      <c r="P7083" s="57"/>
      <c r="Q7083" s="57"/>
      <c r="R7083" s="57"/>
      <c r="S7083" s="97"/>
      <c r="T7083" s="57"/>
      <c r="U7083" s="57"/>
      <c r="V7083" s="57"/>
      <c r="W7083" s="57"/>
      <c r="X7083" s="97"/>
    </row>
    <row r="7084" spans="1:24" s="75" customFormat="1" x14ac:dyDescent="0.35">
      <c r="A7084" s="75">
        <v>7080</v>
      </c>
      <c r="B7084" s="75">
        <v>7081</v>
      </c>
      <c r="C7084">
        <v>146.115704313999</v>
      </c>
      <c r="D7084">
        <v>-17.6179663855999</v>
      </c>
      <c r="E7084" s="92" t="str">
        <f t="shared" si="20"/>
        <v/>
      </c>
      <c r="I7084" s="75">
        <v>1</v>
      </c>
      <c r="J7084" s="75" t="s">
        <v>26</v>
      </c>
      <c r="K7084" s="97" t="s">
        <v>26</v>
      </c>
      <c r="L7084"/>
      <c r="M7084"/>
      <c r="N7084"/>
      <c r="O7084"/>
      <c r="P7084" s="57"/>
      <c r="Q7084" s="57"/>
      <c r="R7084" s="57"/>
      <c r="S7084" s="97"/>
      <c r="T7084" s="57"/>
      <c r="U7084" s="57"/>
      <c r="V7084" s="57"/>
      <c r="W7084" s="57"/>
      <c r="X7084" s="97"/>
    </row>
    <row r="7085" spans="1:24" s="75" customFormat="1" x14ac:dyDescent="0.35">
      <c r="A7085" s="75">
        <v>7081</v>
      </c>
      <c r="B7085" s="75">
        <v>7082</v>
      </c>
      <c r="C7085">
        <v>146.11577169500001</v>
      </c>
      <c r="D7085">
        <v>-17.617909762899899</v>
      </c>
      <c r="E7085" s="92" t="str">
        <f t="shared" si="20"/>
        <v/>
      </c>
      <c r="I7085" s="75">
        <v>1</v>
      </c>
      <c r="J7085" s="75" t="s">
        <v>26</v>
      </c>
      <c r="K7085" s="97" t="s">
        <v>26</v>
      </c>
      <c r="L7085"/>
      <c r="M7085"/>
      <c r="N7085"/>
      <c r="O7085"/>
      <c r="P7085" s="57"/>
      <c r="Q7085" s="57"/>
      <c r="R7085" s="57"/>
      <c r="S7085" s="97"/>
      <c r="T7085" s="57"/>
      <c r="U7085" s="57"/>
      <c r="V7085" s="57"/>
      <c r="W7085" s="57"/>
      <c r="X7085" s="97"/>
    </row>
    <row r="7086" spans="1:24" s="75" customFormat="1" x14ac:dyDescent="0.35">
      <c r="A7086" s="75">
        <v>7082</v>
      </c>
      <c r="B7086" s="75">
        <v>7083</v>
      </c>
      <c r="C7086">
        <v>146.11583051400001</v>
      </c>
      <c r="D7086">
        <v>-17.617845618899899</v>
      </c>
      <c r="E7086" s="92" t="str">
        <f t="shared" si="20"/>
        <v/>
      </c>
      <c r="I7086" s="75">
        <v>1</v>
      </c>
      <c r="J7086" s="75" t="s">
        <v>26</v>
      </c>
      <c r="K7086" s="97" t="s">
        <v>26</v>
      </c>
      <c r="L7086"/>
      <c r="M7086"/>
      <c r="N7086"/>
      <c r="O7086"/>
      <c r="P7086" s="57"/>
      <c r="Q7086" s="57"/>
      <c r="R7086" s="57"/>
      <c r="S7086" s="97"/>
      <c r="T7086" s="57"/>
      <c r="U7086" s="57"/>
      <c r="V7086" s="57"/>
      <c r="W7086" s="57"/>
      <c r="X7086" s="97"/>
    </row>
    <row r="7087" spans="1:24" s="75" customFormat="1" x14ac:dyDescent="0.35">
      <c r="A7087" s="75">
        <v>7083</v>
      </c>
      <c r="B7087" s="75">
        <v>7084</v>
      </c>
      <c r="C7087">
        <v>146.11588424300001</v>
      </c>
      <c r="D7087">
        <v>-17.617777002899899</v>
      </c>
      <c r="E7087" s="92" t="str">
        <f t="shared" si="20"/>
        <v/>
      </c>
      <c r="I7087" s="75">
        <v>1</v>
      </c>
      <c r="J7087" s="75" t="s">
        <v>26</v>
      </c>
      <c r="K7087" s="97" t="s">
        <v>26</v>
      </c>
      <c r="L7087"/>
      <c r="M7087"/>
      <c r="N7087"/>
      <c r="O7087"/>
      <c r="P7087" s="57"/>
      <c r="Q7087" s="57"/>
      <c r="R7087" s="57"/>
      <c r="S7087" s="97"/>
      <c r="T7087" s="57"/>
      <c r="U7087" s="57"/>
      <c r="V7087" s="57"/>
      <c r="W7087" s="57"/>
      <c r="X7087" s="97"/>
    </row>
    <row r="7088" spans="1:24" s="75" customFormat="1" x14ac:dyDescent="0.35">
      <c r="A7088" s="75">
        <v>7084</v>
      </c>
      <c r="B7088" s="75">
        <v>7085</v>
      </c>
      <c r="C7088">
        <v>146.115937970999</v>
      </c>
      <c r="D7088">
        <v>-17.617708386699899</v>
      </c>
      <c r="E7088" s="92">
        <f t="shared" si="20"/>
        <v>50</v>
      </c>
      <c r="I7088" s="75">
        <v>1</v>
      </c>
      <c r="J7088" s="75" t="s">
        <v>26</v>
      </c>
      <c r="K7088" s="97" t="s">
        <v>26</v>
      </c>
      <c r="L7088"/>
      <c r="M7088"/>
      <c r="N7088"/>
      <c r="O7088"/>
      <c r="P7088" s="57"/>
      <c r="Q7088" s="57"/>
      <c r="R7088" s="57"/>
      <c r="S7088" s="97"/>
      <c r="T7088" s="57"/>
      <c r="U7088" s="57"/>
      <c r="V7088" s="57"/>
      <c r="W7088" s="57"/>
      <c r="X7088" s="97"/>
    </row>
    <row r="7089" spans="1:24" s="75" customFormat="1" x14ac:dyDescent="0.35">
      <c r="A7089" s="75">
        <v>7085</v>
      </c>
      <c r="B7089" s="75">
        <v>7086</v>
      </c>
      <c r="C7089">
        <v>146.11599169900001</v>
      </c>
      <c r="D7089">
        <v>-17.617639770099899</v>
      </c>
      <c r="E7089" s="92" t="str">
        <f t="shared" si="20"/>
        <v/>
      </c>
      <c r="I7089" s="75">
        <v>1</v>
      </c>
      <c r="J7089" s="75" t="s">
        <v>26</v>
      </c>
      <c r="K7089" s="97" t="s">
        <v>26</v>
      </c>
      <c r="L7089"/>
      <c r="M7089"/>
      <c r="N7089"/>
      <c r="O7089"/>
      <c r="P7089" s="57"/>
      <c r="Q7089" s="57"/>
      <c r="R7089" s="57"/>
      <c r="S7089" s="97"/>
      <c r="T7089" s="57"/>
      <c r="U7089" s="57"/>
      <c r="V7089" s="57"/>
      <c r="W7089" s="57"/>
      <c r="X7089" s="97"/>
    </row>
    <row r="7090" spans="1:24" s="75" customFormat="1" x14ac:dyDescent="0.35">
      <c r="A7090" s="75">
        <v>7086</v>
      </c>
      <c r="B7090" s="75">
        <v>7087</v>
      </c>
      <c r="C7090">
        <v>146.11600394300001</v>
      </c>
      <c r="D7090">
        <v>-17.6175560279999</v>
      </c>
      <c r="E7090" s="92" t="str">
        <f t="shared" si="20"/>
        <v/>
      </c>
      <c r="I7090" s="75">
        <v>1</v>
      </c>
      <c r="J7090" s="75" t="s">
        <v>26</v>
      </c>
      <c r="K7090" s="97" t="s">
        <v>26</v>
      </c>
      <c r="L7090"/>
      <c r="M7090"/>
      <c r="N7090"/>
      <c r="O7090"/>
      <c r="P7090" s="57"/>
      <c r="Q7090" s="57"/>
      <c r="R7090" s="57"/>
      <c r="S7090" s="97"/>
      <c r="T7090" s="57"/>
      <c r="U7090" s="57"/>
      <c r="V7090" s="57"/>
      <c r="W7090" s="57"/>
      <c r="X7090" s="97"/>
    </row>
    <row r="7091" spans="1:24" s="75" customFormat="1" x14ac:dyDescent="0.35">
      <c r="A7091" s="75">
        <v>7087</v>
      </c>
      <c r="B7091" s="75">
        <v>7088</v>
      </c>
      <c r="C7091">
        <v>146.11601198400001</v>
      </c>
      <c r="D7091">
        <v>-17.6174707533999</v>
      </c>
      <c r="E7091" s="92" t="str">
        <f t="shared" si="20"/>
        <v/>
      </c>
      <c r="I7091" s="75">
        <v>1</v>
      </c>
      <c r="J7091" s="75" t="s">
        <v>26</v>
      </c>
      <c r="K7091" s="97" t="s">
        <v>26</v>
      </c>
      <c r="L7091"/>
      <c r="M7091"/>
      <c r="N7091"/>
      <c r="O7091"/>
      <c r="P7091" s="57"/>
      <c r="Q7091" s="57"/>
      <c r="R7091" s="57"/>
      <c r="S7091" s="97"/>
      <c r="T7091" s="57"/>
      <c r="U7091" s="57"/>
      <c r="V7091" s="57"/>
      <c r="W7091" s="57"/>
      <c r="X7091" s="97"/>
    </row>
    <row r="7092" spans="1:24" s="75" customFormat="1" x14ac:dyDescent="0.35">
      <c r="A7092" s="75">
        <v>7088</v>
      </c>
      <c r="B7092" s="75">
        <v>7089</v>
      </c>
      <c r="C7092">
        <v>146.11601085000001</v>
      </c>
      <c r="D7092">
        <v>-17.617386838000002</v>
      </c>
      <c r="E7092" s="92" t="str">
        <f t="shared" si="20"/>
        <v/>
      </c>
      <c r="I7092" s="75">
        <v>1</v>
      </c>
      <c r="J7092" s="75" t="s">
        <v>26</v>
      </c>
      <c r="K7092" s="97" t="s">
        <v>26</v>
      </c>
      <c r="L7092"/>
      <c r="M7092"/>
      <c r="N7092"/>
      <c r="O7092"/>
      <c r="P7092" s="57"/>
      <c r="Q7092" s="57"/>
      <c r="R7092" s="57"/>
      <c r="S7092" s="97"/>
      <c r="T7092" s="57"/>
      <c r="U7092" s="57"/>
      <c r="V7092" s="57"/>
      <c r="W7092" s="57"/>
      <c r="X7092" s="97"/>
    </row>
    <row r="7093" spans="1:24" s="75" customFormat="1" x14ac:dyDescent="0.35">
      <c r="A7093" s="75">
        <v>7089</v>
      </c>
      <c r="B7093" s="75">
        <v>7090</v>
      </c>
      <c r="C7093">
        <v>146.11597603000001</v>
      </c>
      <c r="D7093">
        <v>-17.6173079130999</v>
      </c>
      <c r="E7093" s="92">
        <f t="shared" si="20"/>
        <v>50</v>
      </c>
      <c r="I7093" s="75">
        <v>1</v>
      </c>
      <c r="J7093" s="75" t="s">
        <v>26</v>
      </c>
      <c r="K7093" s="97" t="s">
        <v>26</v>
      </c>
      <c r="L7093"/>
      <c r="M7093"/>
      <c r="N7093"/>
      <c r="O7093"/>
      <c r="P7093" s="57"/>
      <c r="Q7093" s="57"/>
      <c r="R7093" s="57"/>
      <c r="S7093" s="97"/>
      <c r="T7093" s="57"/>
      <c r="U7093" s="57"/>
      <c r="V7093" s="57"/>
      <c r="W7093" s="57"/>
      <c r="X7093" s="97"/>
    </row>
    <row r="7094" spans="1:24" s="75" customFormat="1" x14ac:dyDescent="0.35">
      <c r="A7094" s="75">
        <v>7090</v>
      </c>
      <c r="B7094" s="75">
        <v>7091</v>
      </c>
      <c r="C7094">
        <v>146.11594121100001</v>
      </c>
      <c r="D7094">
        <v>-17.617228988200001</v>
      </c>
      <c r="E7094" s="92" t="str">
        <f t="shared" si="20"/>
        <v/>
      </c>
      <c r="I7094" s="75">
        <v>1</v>
      </c>
      <c r="J7094" s="75" t="s">
        <v>26</v>
      </c>
      <c r="K7094" s="97" t="s">
        <v>26</v>
      </c>
      <c r="L7094"/>
      <c r="M7094"/>
      <c r="N7094"/>
      <c r="O7094"/>
      <c r="P7094" s="57"/>
      <c r="Q7094" s="57"/>
      <c r="R7094" s="57"/>
      <c r="S7094" s="97"/>
      <c r="T7094" s="57"/>
      <c r="U7094" s="57"/>
      <c r="V7094" s="57"/>
      <c r="W7094" s="57"/>
      <c r="X7094" s="97"/>
    </row>
    <row r="7095" spans="1:24" s="75" customFormat="1" x14ac:dyDescent="0.35">
      <c r="A7095" s="75">
        <v>7091</v>
      </c>
      <c r="B7095" s="75">
        <v>7092</v>
      </c>
      <c r="C7095">
        <v>146.115871591</v>
      </c>
      <c r="D7095">
        <v>-17.6171772524999</v>
      </c>
      <c r="E7095" s="92" t="str">
        <f t="shared" si="20"/>
        <v/>
      </c>
      <c r="I7095" s="75">
        <v>1</v>
      </c>
      <c r="J7095" s="75" t="s">
        <v>26</v>
      </c>
      <c r="K7095" s="97" t="s">
        <v>26</v>
      </c>
      <c r="L7095"/>
      <c r="M7095"/>
      <c r="N7095"/>
      <c r="O7095"/>
      <c r="P7095" s="57"/>
      <c r="Q7095" s="57"/>
      <c r="R7095" s="57"/>
      <c r="S7095" s="97"/>
      <c r="T7095" s="57"/>
      <c r="U7095" s="57"/>
      <c r="V7095" s="57"/>
      <c r="W7095" s="57"/>
      <c r="X7095" s="97"/>
    </row>
    <row r="7096" spans="1:24" s="75" customFormat="1" x14ac:dyDescent="0.35">
      <c r="A7096" s="75">
        <v>7092</v>
      </c>
      <c r="B7096" s="75">
        <v>7093</v>
      </c>
      <c r="C7096">
        <v>146.115797221999</v>
      </c>
      <c r="D7096">
        <v>-17.617129226500001</v>
      </c>
      <c r="E7096" s="92" t="str">
        <f t="shared" si="20"/>
        <v/>
      </c>
      <c r="I7096" s="75">
        <v>1</v>
      </c>
      <c r="J7096" s="75" t="s">
        <v>26</v>
      </c>
      <c r="K7096" s="97" t="s">
        <v>26</v>
      </c>
      <c r="L7096"/>
      <c r="M7096"/>
      <c r="N7096"/>
      <c r="O7096"/>
      <c r="P7096" s="57"/>
      <c r="Q7096" s="57"/>
      <c r="R7096" s="57"/>
      <c r="S7096" s="97"/>
      <c r="T7096" s="57"/>
      <c r="U7096" s="57"/>
      <c r="V7096" s="57"/>
      <c r="W7096" s="57"/>
      <c r="X7096" s="97"/>
    </row>
    <row r="7097" spans="1:24" s="75" customFormat="1" x14ac:dyDescent="0.35">
      <c r="A7097" s="75">
        <v>7093</v>
      </c>
      <c r="B7097" s="75">
        <v>7094</v>
      </c>
      <c r="C7097">
        <v>146.115720947</v>
      </c>
      <c r="D7097">
        <v>-17.617086293700002</v>
      </c>
      <c r="E7097" s="92" t="str">
        <f t="shared" si="20"/>
        <v/>
      </c>
      <c r="I7097" s="75">
        <v>1</v>
      </c>
      <c r="J7097" s="75" t="s">
        <v>26</v>
      </c>
      <c r="K7097" s="97" t="s">
        <v>26</v>
      </c>
      <c r="L7097"/>
      <c r="M7097"/>
      <c r="N7097"/>
      <c r="O7097"/>
      <c r="P7097" s="57"/>
      <c r="Q7097" s="57"/>
      <c r="R7097" s="57"/>
      <c r="S7097" s="97"/>
      <c r="T7097" s="57"/>
      <c r="U7097" s="57"/>
      <c r="V7097" s="57"/>
      <c r="W7097" s="57"/>
      <c r="X7097" s="97"/>
    </row>
    <row r="7098" spans="1:24" s="75" customFormat="1" x14ac:dyDescent="0.35">
      <c r="A7098" s="75">
        <v>7094</v>
      </c>
      <c r="B7098" s="75">
        <v>7095</v>
      </c>
      <c r="C7098">
        <v>146.115631479999</v>
      </c>
      <c r="D7098">
        <v>-17.617078588399899</v>
      </c>
      <c r="E7098" s="92">
        <f t="shared" si="20"/>
        <v>50</v>
      </c>
      <c r="I7098" s="75">
        <v>1</v>
      </c>
      <c r="J7098" s="75" t="s">
        <v>26</v>
      </c>
      <c r="K7098" s="97" t="s">
        <v>26</v>
      </c>
      <c r="L7098"/>
      <c r="M7098"/>
      <c r="N7098"/>
      <c r="O7098"/>
      <c r="P7098" s="57"/>
      <c r="Q7098" s="57"/>
      <c r="R7098" s="57"/>
      <c r="S7098" s="97"/>
      <c r="T7098" s="57"/>
      <c r="U7098" s="57"/>
      <c r="V7098" s="57"/>
      <c r="W7098" s="57"/>
      <c r="X7098" s="97"/>
    </row>
    <row r="7099" spans="1:24" s="75" customFormat="1" x14ac:dyDescent="0.35">
      <c r="A7099" s="75">
        <v>7095</v>
      </c>
      <c r="B7099" s="75">
        <v>7096</v>
      </c>
      <c r="C7099">
        <v>146.11554201300001</v>
      </c>
      <c r="D7099">
        <v>-17.617070883</v>
      </c>
      <c r="E7099" s="92" t="str">
        <f t="shared" si="20"/>
        <v/>
      </c>
      <c r="I7099" s="75">
        <v>1</v>
      </c>
      <c r="J7099" s="75" t="s">
        <v>26</v>
      </c>
      <c r="K7099" s="97" t="s">
        <v>26</v>
      </c>
      <c r="L7099"/>
      <c r="M7099"/>
      <c r="N7099"/>
      <c r="O7099"/>
      <c r="P7099" s="57"/>
      <c r="Q7099" s="57"/>
      <c r="R7099" s="57"/>
      <c r="S7099" s="97"/>
      <c r="T7099" s="57"/>
      <c r="U7099" s="57"/>
      <c r="V7099" s="57"/>
      <c r="W7099" s="57"/>
      <c r="X7099" s="97"/>
    </row>
    <row r="7100" spans="1:24" s="75" customFormat="1" x14ac:dyDescent="0.35">
      <c r="A7100" s="75">
        <v>7096</v>
      </c>
      <c r="B7100" s="75">
        <v>7097</v>
      </c>
      <c r="C7100">
        <v>146.115452546</v>
      </c>
      <c r="D7100">
        <v>-17.6170631777</v>
      </c>
      <c r="E7100" s="92" t="str">
        <f t="shared" si="20"/>
        <v/>
      </c>
      <c r="I7100" s="75">
        <v>1</v>
      </c>
      <c r="J7100" s="75" t="s">
        <v>26</v>
      </c>
      <c r="K7100" s="97" t="s">
        <v>26</v>
      </c>
      <c r="L7100"/>
      <c r="M7100"/>
      <c r="N7100"/>
      <c r="O7100"/>
      <c r="P7100" s="57"/>
      <c r="Q7100" s="57"/>
      <c r="R7100" s="57"/>
      <c r="S7100" s="97"/>
      <c r="T7100" s="57"/>
      <c r="U7100" s="57"/>
      <c r="V7100" s="57"/>
      <c r="W7100" s="57"/>
      <c r="X7100" s="97"/>
    </row>
    <row r="7101" spans="1:24" s="75" customFormat="1" x14ac:dyDescent="0.35">
      <c r="A7101" s="75">
        <v>7097</v>
      </c>
      <c r="B7101" s="75">
        <v>7098</v>
      </c>
      <c r="C7101">
        <v>146.115363051</v>
      </c>
      <c r="D7101">
        <v>-17.6170633419</v>
      </c>
      <c r="E7101" s="92" t="str">
        <f t="shared" si="20"/>
        <v/>
      </c>
      <c r="I7101" s="75">
        <v>1</v>
      </c>
      <c r="J7101" s="75" t="s">
        <v>26</v>
      </c>
      <c r="K7101" s="97" t="s">
        <v>26</v>
      </c>
      <c r="L7101"/>
      <c r="M7101"/>
      <c r="N7101"/>
      <c r="O7101"/>
      <c r="P7101" s="57"/>
      <c r="Q7101" s="57"/>
      <c r="R7101" s="57"/>
      <c r="S7101" s="97"/>
      <c r="T7101" s="57"/>
      <c r="U7101" s="57"/>
      <c r="V7101" s="57"/>
      <c r="W7101" s="57"/>
      <c r="X7101" s="97"/>
    </row>
    <row r="7102" spans="1:24" s="75" customFormat="1" x14ac:dyDescent="0.35">
      <c r="A7102" s="75">
        <v>7098</v>
      </c>
      <c r="B7102" s="75">
        <v>7099</v>
      </c>
      <c r="C7102">
        <v>146.11527353100001</v>
      </c>
      <c r="D7102">
        <v>-17.6170704681</v>
      </c>
      <c r="E7102" s="92" t="str">
        <f t="shared" si="20"/>
        <v/>
      </c>
      <c r="I7102" s="75">
        <v>1</v>
      </c>
      <c r="J7102" s="75" t="s">
        <v>26</v>
      </c>
      <c r="K7102" s="97" t="s">
        <v>26</v>
      </c>
      <c r="L7102"/>
      <c r="M7102"/>
      <c r="N7102"/>
      <c r="O7102"/>
      <c r="P7102" s="57"/>
      <c r="Q7102" s="57"/>
      <c r="R7102" s="57"/>
      <c r="S7102" s="97"/>
      <c r="T7102" s="57"/>
      <c r="U7102" s="57"/>
      <c r="V7102" s="57"/>
      <c r="W7102" s="57"/>
      <c r="X7102" s="97"/>
    </row>
    <row r="7103" spans="1:24" s="75" customFormat="1" x14ac:dyDescent="0.35">
      <c r="A7103" s="75">
        <v>7099</v>
      </c>
      <c r="B7103" s="75">
        <v>7100</v>
      </c>
      <c r="C7103">
        <v>146.115184010999</v>
      </c>
      <c r="D7103">
        <v>-17.6170775943</v>
      </c>
      <c r="E7103" s="92">
        <f t="shared" si="20"/>
        <v>50</v>
      </c>
      <c r="I7103" s="75">
        <v>1</v>
      </c>
      <c r="J7103" s="75" t="s">
        <v>26</v>
      </c>
      <c r="K7103" s="97" t="s">
        <v>26</v>
      </c>
      <c r="L7103"/>
      <c r="M7103"/>
      <c r="N7103"/>
      <c r="O7103"/>
      <c r="P7103" s="57"/>
      <c r="Q7103" s="57"/>
      <c r="R7103" s="57"/>
      <c r="S7103" s="97"/>
      <c r="T7103" s="57"/>
      <c r="U7103" s="57"/>
      <c r="V7103" s="57"/>
      <c r="W7103" s="57"/>
      <c r="X7103" s="97"/>
    </row>
    <row r="7104" spans="1:24" s="75" customFormat="1" x14ac:dyDescent="0.35">
      <c r="A7104" s="75">
        <v>7100</v>
      </c>
      <c r="B7104" s="75">
        <v>7101</v>
      </c>
      <c r="C7104">
        <v>146.11509449100001</v>
      </c>
      <c r="D7104">
        <v>-17.617084720600001</v>
      </c>
      <c r="E7104" s="92" t="str">
        <f t="shared" si="20"/>
        <v/>
      </c>
      <c r="I7104" s="75">
        <v>1</v>
      </c>
      <c r="J7104" s="75" t="s">
        <v>26</v>
      </c>
      <c r="K7104" s="97" t="s">
        <v>26</v>
      </c>
      <c r="L7104"/>
      <c r="M7104"/>
      <c r="N7104"/>
      <c r="O7104"/>
      <c r="P7104" s="57"/>
      <c r="Q7104" s="57"/>
      <c r="R7104" s="57"/>
      <c r="S7104" s="97"/>
      <c r="T7104" s="57"/>
      <c r="U7104" s="57"/>
      <c r="V7104" s="57"/>
      <c r="W7104" s="57"/>
      <c r="X7104" s="97"/>
    </row>
    <row r="7105" spans="1:24" s="75" customFormat="1" x14ac:dyDescent="0.35">
      <c r="A7105" s="75">
        <v>7101</v>
      </c>
      <c r="B7105" s="75">
        <v>7102</v>
      </c>
      <c r="C7105">
        <v>146.115005781999</v>
      </c>
      <c r="D7105">
        <v>-17.6170954500999</v>
      </c>
      <c r="E7105" s="92" t="str">
        <f t="shared" si="20"/>
        <v/>
      </c>
      <c r="I7105" s="75">
        <v>1</v>
      </c>
      <c r="J7105" s="75" t="s">
        <v>26</v>
      </c>
      <c r="K7105" s="97" t="s">
        <v>26</v>
      </c>
      <c r="L7105"/>
      <c r="M7105"/>
      <c r="N7105"/>
      <c r="O7105"/>
      <c r="P7105" s="57"/>
      <c r="Q7105" s="57"/>
      <c r="R7105" s="57"/>
      <c r="S7105" s="97"/>
      <c r="T7105" s="57"/>
      <c r="U7105" s="57"/>
      <c r="V7105" s="57"/>
      <c r="W7105" s="57"/>
      <c r="X7105" s="97"/>
    </row>
    <row r="7106" spans="1:24" s="75" customFormat="1" x14ac:dyDescent="0.35">
      <c r="A7106" s="75">
        <v>7102</v>
      </c>
      <c r="B7106" s="75">
        <v>7103</v>
      </c>
      <c r="C7106">
        <v>146.114921057999</v>
      </c>
      <c r="D7106">
        <v>-17.6171239092</v>
      </c>
      <c r="E7106" s="92" t="str">
        <f t="shared" si="20"/>
        <v/>
      </c>
      <c r="I7106" s="75">
        <v>1</v>
      </c>
      <c r="J7106" s="75" t="s">
        <v>26</v>
      </c>
      <c r="K7106" s="97" t="s">
        <v>26</v>
      </c>
      <c r="L7106"/>
      <c r="M7106"/>
      <c r="N7106"/>
      <c r="O7106"/>
      <c r="P7106" s="57"/>
      <c r="Q7106" s="57"/>
      <c r="R7106" s="57"/>
      <c r="S7106" s="97"/>
      <c r="T7106" s="57"/>
      <c r="U7106" s="57"/>
      <c r="V7106" s="57"/>
      <c r="W7106" s="57"/>
      <c r="X7106" s="97"/>
    </row>
    <row r="7107" spans="1:24" s="75" customFormat="1" x14ac:dyDescent="0.35">
      <c r="A7107" s="75">
        <v>7103</v>
      </c>
      <c r="B7107" s="75">
        <v>7104</v>
      </c>
      <c r="C7107">
        <v>146.11483633399899</v>
      </c>
      <c r="D7107">
        <v>-17.6171523683999</v>
      </c>
      <c r="E7107" s="92" t="str">
        <f t="shared" si="20"/>
        <v/>
      </c>
      <c r="I7107" s="75">
        <v>1</v>
      </c>
      <c r="J7107" s="75" t="s">
        <v>26</v>
      </c>
      <c r="K7107" s="97" t="s">
        <v>26</v>
      </c>
      <c r="L7107"/>
      <c r="M7107"/>
      <c r="N7107"/>
      <c r="O7107"/>
      <c r="P7107" s="57"/>
      <c r="Q7107" s="57"/>
      <c r="R7107" s="57"/>
      <c r="S7107" s="97"/>
      <c r="T7107" s="57"/>
      <c r="U7107" s="57"/>
      <c r="V7107" s="57"/>
      <c r="W7107" s="57"/>
      <c r="X7107" s="97"/>
    </row>
    <row r="7108" spans="1:24" s="75" customFormat="1" x14ac:dyDescent="0.35">
      <c r="A7108" s="75">
        <v>7104</v>
      </c>
      <c r="B7108" s="75">
        <v>7105</v>
      </c>
      <c r="C7108">
        <v>146.11475161000001</v>
      </c>
      <c r="D7108">
        <v>-17.6171808275</v>
      </c>
      <c r="E7108" s="92">
        <f t="shared" si="20"/>
        <v>50</v>
      </c>
      <c r="I7108" s="75">
        <v>1</v>
      </c>
      <c r="J7108" s="75" t="s">
        <v>26</v>
      </c>
      <c r="K7108" s="97" t="s">
        <v>26</v>
      </c>
      <c r="L7108"/>
      <c r="M7108"/>
      <c r="N7108"/>
      <c r="O7108"/>
      <c r="P7108" s="57"/>
      <c r="Q7108" s="57"/>
      <c r="R7108" s="57"/>
      <c r="S7108" s="97"/>
      <c r="T7108" s="57"/>
      <c r="U7108" s="57"/>
      <c r="V7108" s="57"/>
      <c r="W7108" s="57"/>
      <c r="X7108" s="97"/>
    </row>
    <row r="7109" spans="1:24" s="75" customFormat="1" x14ac:dyDescent="0.35">
      <c r="A7109" s="75">
        <v>7105</v>
      </c>
      <c r="B7109" s="75">
        <v>7106</v>
      </c>
      <c r="C7109">
        <v>146.11466965899899</v>
      </c>
      <c r="D7109">
        <v>-17.6172153296</v>
      </c>
      <c r="E7109" s="92" t="str">
        <f t="shared" si="20"/>
        <v/>
      </c>
      <c r="I7109" s="75">
        <v>1</v>
      </c>
      <c r="J7109" s="75" t="s">
        <v>26</v>
      </c>
      <c r="K7109" s="97" t="s">
        <v>26</v>
      </c>
      <c r="L7109"/>
      <c r="M7109"/>
      <c r="N7109"/>
      <c r="O7109"/>
      <c r="P7109" s="57"/>
      <c r="Q7109" s="57"/>
      <c r="R7109" s="57"/>
      <c r="S7109" s="97"/>
      <c r="T7109" s="57"/>
      <c r="U7109" s="57"/>
      <c r="V7109" s="57"/>
      <c r="W7109" s="57"/>
      <c r="X7109" s="97"/>
    </row>
    <row r="7110" spans="1:24" s="75" customFormat="1" x14ac:dyDescent="0.35">
      <c r="A7110" s="75">
        <v>7106</v>
      </c>
      <c r="B7110" s="75">
        <v>7107</v>
      </c>
      <c r="C7110">
        <v>146.11459020500001</v>
      </c>
      <c r="D7110">
        <v>-17.6172552785</v>
      </c>
      <c r="E7110" s="92" t="str">
        <f t="shared" si="20"/>
        <v/>
      </c>
      <c r="I7110" s="75">
        <v>1</v>
      </c>
      <c r="J7110" s="75" t="s">
        <v>26</v>
      </c>
      <c r="K7110" s="97" t="s">
        <v>26</v>
      </c>
      <c r="L7110"/>
      <c r="M7110"/>
      <c r="N7110"/>
      <c r="O7110"/>
      <c r="P7110" s="57"/>
      <c r="Q7110" s="57"/>
      <c r="R7110" s="57"/>
      <c r="S7110" s="97"/>
      <c r="T7110" s="57"/>
      <c r="U7110" s="57"/>
      <c r="V7110" s="57"/>
      <c r="W7110" s="57"/>
      <c r="X7110" s="97"/>
    </row>
    <row r="7111" spans="1:24" s="75" customFormat="1" x14ac:dyDescent="0.35">
      <c r="A7111" s="75">
        <v>7107</v>
      </c>
      <c r="B7111" s="75">
        <v>7108</v>
      </c>
      <c r="C7111">
        <v>146.114510752</v>
      </c>
      <c r="D7111">
        <v>-17.6172952274</v>
      </c>
      <c r="E7111" s="92" t="str">
        <f t="shared" si="20"/>
        <v/>
      </c>
      <c r="I7111" s="75">
        <v>1</v>
      </c>
      <c r="J7111" s="75" t="s">
        <v>26</v>
      </c>
      <c r="K7111" s="97" t="s">
        <v>26</v>
      </c>
      <c r="L7111"/>
      <c r="M7111"/>
      <c r="N7111"/>
      <c r="O7111"/>
      <c r="P7111" s="57"/>
      <c r="Q7111" s="57"/>
      <c r="R7111" s="57"/>
      <c r="S7111" s="97"/>
      <c r="T7111" s="57"/>
      <c r="U7111" s="57"/>
      <c r="V7111" s="57"/>
      <c r="W7111" s="57"/>
      <c r="X7111" s="97"/>
    </row>
    <row r="7112" spans="1:24" s="75" customFormat="1" x14ac:dyDescent="0.35">
      <c r="A7112" s="75">
        <v>7108</v>
      </c>
      <c r="B7112" s="75">
        <v>7109</v>
      </c>
      <c r="C7112">
        <v>146.114431298</v>
      </c>
      <c r="D7112">
        <v>-17.6173351762999</v>
      </c>
      <c r="E7112" s="92" t="str">
        <f t="shared" si="20"/>
        <v/>
      </c>
      <c r="I7112" s="75">
        <v>1</v>
      </c>
      <c r="J7112" s="75" t="s">
        <v>26</v>
      </c>
      <c r="K7112" s="97" t="s">
        <v>26</v>
      </c>
      <c r="L7112"/>
      <c r="M7112"/>
      <c r="N7112"/>
      <c r="O7112"/>
      <c r="P7112" s="57"/>
      <c r="Q7112" s="57"/>
      <c r="R7112" s="57"/>
      <c r="S7112" s="97"/>
      <c r="T7112" s="57"/>
      <c r="U7112" s="57"/>
      <c r="V7112" s="57"/>
      <c r="W7112" s="57"/>
      <c r="X7112" s="97"/>
    </row>
    <row r="7113" spans="1:24" s="75" customFormat="1" x14ac:dyDescent="0.35">
      <c r="A7113" s="75">
        <v>7109</v>
      </c>
      <c r="B7113" s="75">
        <v>7110</v>
      </c>
      <c r="C7113">
        <v>146.11435184499899</v>
      </c>
      <c r="D7113">
        <v>-17.617375125199899</v>
      </c>
      <c r="E7113" s="92">
        <f t="shared" si="20"/>
        <v>50</v>
      </c>
      <c r="I7113" s="75">
        <v>1</v>
      </c>
      <c r="J7113" s="75" t="s">
        <v>26</v>
      </c>
      <c r="K7113" s="97" t="s">
        <v>26</v>
      </c>
      <c r="L7113"/>
      <c r="M7113"/>
      <c r="N7113"/>
      <c r="O7113"/>
      <c r="P7113" s="57"/>
      <c r="Q7113" s="57"/>
      <c r="R7113" s="57"/>
      <c r="S7113" s="97"/>
      <c r="T7113" s="57"/>
      <c r="U7113" s="57"/>
      <c r="V7113" s="57"/>
      <c r="W7113" s="57"/>
      <c r="X7113" s="97"/>
    </row>
    <row r="7114" spans="1:24" s="75" customFormat="1" x14ac:dyDescent="0.35">
      <c r="A7114" s="75">
        <v>7110</v>
      </c>
      <c r="B7114" s="75">
        <v>7111</v>
      </c>
      <c r="C7114">
        <v>146.11427239099899</v>
      </c>
      <c r="D7114">
        <v>-17.617415074099899</v>
      </c>
      <c r="E7114" s="92" t="str">
        <f t="shared" si="20"/>
        <v/>
      </c>
      <c r="I7114" s="75">
        <v>1</v>
      </c>
      <c r="J7114" s="75" t="s">
        <v>26</v>
      </c>
      <c r="K7114" s="97" t="s">
        <v>26</v>
      </c>
      <c r="L7114"/>
      <c r="M7114"/>
      <c r="N7114"/>
      <c r="O7114"/>
      <c r="P7114" s="57"/>
      <c r="Q7114" s="57"/>
      <c r="R7114" s="57"/>
      <c r="S7114" s="97"/>
      <c r="T7114" s="57"/>
      <c r="U7114" s="57"/>
      <c r="V7114" s="57"/>
      <c r="W7114" s="57"/>
      <c r="X7114" s="97"/>
    </row>
    <row r="7115" spans="1:24" s="75" customFormat="1" x14ac:dyDescent="0.35">
      <c r="A7115" s="75">
        <v>7111</v>
      </c>
      <c r="B7115" s="75">
        <v>7112</v>
      </c>
      <c r="C7115">
        <v>146.114204830999</v>
      </c>
      <c r="D7115">
        <v>-17.6174707851</v>
      </c>
      <c r="E7115" s="92" t="str">
        <f t="shared" si="20"/>
        <v/>
      </c>
      <c r="I7115" s="75">
        <v>1</v>
      </c>
      <c r="J7115" s="75" t="s">
        <v>26</v>
      </c>
      <c r="K7115" s="97" t="s">
        <v>26</v>
      </c>
      <c r="L7115"/>
      <c r="M7115"/>
      <c r="N7115"/>
      <c r="O7115"/>
      <c r="P7115" s="57"/>
      <c r="Q7115" s="57"/>
      <c r="R7115" s="57"/>
      <c r="S7115" s="97"/>
      <c r="T7115" s="57"/>
      <c r="U7115" s="57"/>
      <c r="V7115" s="57"/>
      <c r="W7115" s="57"/>
      <c r="X7115" s="97"/>
    </row>
    <row r="7116" spans="1:24" s="75" customFormat="1" x14ac:dyDescent="0.35">
      <c r="A7116" s="75">
        <v>7112</v>
      </c>
      <c r="B7116" s="75">
        <v>7113</v>
      </c>
      <c r="C7116">
        <v>146.11412921799899</v>
      </c>
      <c r="D7116">
        <v>-17.6174974258</v>
      </c>
      <c r="E7116" s="92" t="str">
        <f t="shared" si="20"/>
        <v/>
      </c>
      <c r="I7116" s="75">
        <v>1</v>
      </c>
      <c r="J7116" s="75" t="s">
        <v>26</v>
      </c>
      <c r="K7116" s="97" t="s">
        <v>26</v>
      </c>
      <c r="L7116"/>
      <c r="M7116"/>
      <c r="N7116"/>
      <c r="O7116"/>
      <c r="P7116" s="57"/>
      <c r="Q7116" s="57"/>
      <c r="R7116" s="57"/>
      <c r="S7116" s="97"/>
      <c r="T7116" s="57"/>
      <c r="U7116" s="57"/>
      <c r="V7116" s="57"/>
      <c r="W7116" s="57"/>
      <c r="X7116" s="97"/>
    </row>
    <row r="7117" spans="1:24" s="75" customFormat="1" x14ac:dyDescent="0.35">
      <c r="A7117" s="75">
        <v>7113</v>
      </c>
      <c r="B7117" s="75">
        <v>7114</v>
      </c>
      <c r="C7117">
        <v>146.111428907</v>
      </c>
      <c r="D7117">
        <v>-17.6170506765</v>
      </c>
      <c r="E7117" s="92" t="str">
        <f t="shared" si="20"/>
        <v/>
      </c>
      <c r="F7117" s="93" t="str">
        <f t="shared" ref="F7117:F7180" si="21">HYPERLINK("D:\Data From Lucan\2024\Moresby\Frames_for_Analysis\" &amp; G7117,G7117)</f>
        <v>7114_20240611_0002_R_0367.jpg</v>
      </c>
      <c r="G7117" s="75" t="s">
        <v>6992</v>
      </c>
      <c r="I7117" s="75">
        <v>1</v>
      </c>
      <c r="K7117" s="97">
        <v>1</v>
      </c>
      <c r="L7117"/>
      <c r="M7117"/>
      <c r="N7117"/>
      <c r="O7117"/>
      <c r="P7117" s="57"/>
      <c r="Q7117" s="57"/>
      <c r="R7117" s="57"/>
      <c r="S7117" s="97">
        <v>0</v>
      </c>
      <c r="T7117" s="57"/>
      <c r="U7117" s="57"/>
      <c r="V7117" s="57"/>
      <c r="W7117" s="57"/>
      <c r="X7117" s="97">
        <v>0</v>
      </c>
    </row>
    <row r="7118" spans="1:24" s="75" customFormat="1" x14ac:dyDescent="0.35">
      <c r="A7118" s="75">
        <v>7114</v>
      </c>
      <c r="B7118" s="75">
        <v>7115</v>
      </c>
      <c r="C7118">
        <v>146.11145589</v>
      </c>
      <c r="D7118">
        <v>-17.6169690119</v>
      </c>
      <c r="E7118" s="92">
        <f t="shared" si="20"/>
        <v>50</v>
      </c>
      <c r="F7118" s="93" t="str">
        <f t="shared" si="21"/>
        <v>7115_20240611_0002_R_0362.jpg</v>
      </c>
      <c r="G7118" s="75" t="s">
        <v>6993</v>
      </c>
      <c r="I7118" s="75">
        <v>1</v>
      </c>
      <c r="K7118" s="97">
        <v>1</v>
      </c>
      <c r="L7118"/>
      <c r="M7118"/>
      <c r="N7118"/>
      <c r="O7118"/>
      <c r="P7118" s="57"/>
      <c r="Q7118" s="57"/>
      <c r="R7118" s="57"/>
      <c r="S7118" s="97">
        <v>0</v>
      </c>
      <c r="T7118" s="57"/>
      <c r="U7118" s="57"/>
      <c r="V7118" s="57"/>
      <c r="W7118" s="57"/>
      <c r="X7118" s="97">
        <v>0</v>
      </c>
    </row>
    <row r="7119" spans="1:24" s="75" customFormat="1" x14ac:dyDescent="0.35">
      <c r="A7119" s="75">
        <v>7115</v>
      </c>
      <c r="B7119" s="75">
        <v>7116</v>
      </c>
      <c r="C7119">
        <v>146.111486632999</v>
      </c>
      <c r="D7119">
        <v>-17.6168885794999</v>
      </c>
      <c r="E7119" s="92" t="str">
        <f t="shared" si="20"/>
        <v/>
      </c>
      <c r="F7119" s="93" t="str">
        <f t="shared" si="21"/>
        <v>7116_20240611_0002_R_0359.jpg</v>
      </c>
      <c r="G7119" s="75" t="s">
        <v>6994</v>
      </c>
      <c r="I7119" s="75">
        <v>1</v>
      </c>
      <c r="K7119" s="97">
        <v>1</v>
      </c>
      <c r="L7119"/>
      <c r="M7119"/>
      <c r="N7119"/>
      <c r="O7119"/>
      <c r="P7119" s="57"/>
      <c r="Q7119" s="57"/>
      <c r="R7119" s="57"/>
      <c r="S7119" s="97">
        <v>0</v>
      </c>
      <c r="T7119" s="57"/>
      <c r="U7119" s="57"/>
      <c r="V7119" s="57"/>
      <c r="W7119" s="57"/>
      <c r="X7119" s="97">
        <v>0</v>
      </c>
    </row>
    <row r="7120" spans="1:24" s="75" customFormat="1" x14ac:dyDescent="0.35">
      <c r="A7120" s="75">
        <v>7116</v>
      </c>
      <c r="B7120" s="75">
        <v>7117</v>
      </c>
      <c r="C7120">
        <v>146.111518058999</v>
      </c>
      <c r="D7120">
        <v>-17.616808371000001</v>
      </c>
      <c r="E7120" s="92" t="str">
        <f t="shared" ref="E7120:E7183" si="22">IF(MOD(B7120,5)=0, 50, "")</f>
        <v/>
      </c>
      <c r="F7120" s="93" t="str">
        <f t="shared" si="21"/>
        <v>7117_20240611_0002_R_0356.jpg</v>
      </c>
      <c r="G7120" s="75" t="s">
        <v>6995</v>
      </c>
      <c r="I7120" s="75">
        <v>1</v>
      </c>
      <c r="K7120" s="97">
        <v>1</v>
      </c>
      <c r="L7120"/>
      <c r="M7120"/>
      <c r="N7120"/>
      <c r="O7120"/>
      <c r="P7120" s="57"/>
      <c r="Q7120" s="57"/>
      <c r="R7120" s="57"/>
      <c r="S7120" s="97">
        <v>0</v>
      </c>
      <c r="T7120" s="57"/>
      <c r="U7120" s="57"/>
      <c r="V7120" s="57"/>
      <c r="W7120" s="57"/>
      <c r="X7120" s="97">
        <v>0</v>
      </c>
    </row>
    <row r="7121" spans="1:24" s="75" customFormat="1" x14ac:dyDescent="0.35">
      <c r="A7121" s="75">
        <v>7117</v>
      </c>
      <c r="B7121" s="75">
        <v>7118</v>
      </c>
      <c r="C7121">
        <v>146.11154948500001</v>
      </c>
      <c r="D7121">
        <v>-17.6167281624999</v>
      </c>
      <c r="E7121" s="92" t="str">
        <f t="shared" si="22"/>
        <v/>
      </c>
      <c r="F7121" s="93" t="str">
        <f t="shared" si="21"/>
        <v>7118_20240611_0002_R_0352.jpg</v>
      </c>
      <c r="G7121" s="75" t="s">
        <v>6996</v>
      </c>
      <c r="I7121" s="75">
        <v>1</v>
      </c>
      <c r="K7121" s="97">
        <v>1</v>
      </c>
      <c r="L7121"/>
      <c r="M7121"/>
      <c r="N7121"/>
      <c r="O7121"/>
      <c r="P7121" s="57"/>
      <c r="Q7121" s="57"/>
      <c r="R7121" s="57"/>
      <c r="S7121" s="97">
        <v>0</v>
      </c>
      <c r="T7121" s="57"/>
      <c r="U7121" s="57"/>
      <c r="V7121" s="57"/>
      <c r="W7121" s="57"/>
      <c r="X7121" s="97">
        <v>0</v>
      </c>
    </row>
    <row r="7122" spans="1:24" s="75" customFormat="1" x14ac:dyDescent="0.35">
      <c r="A7122" s="75">
        <v>7118</v>
      </c>
      <c r="B7122" s="75">
        <v>7119</v>
      </c>
      <c r="C7122">
        <v>146.111580911</v>
      </c>
      <c r="D7122">
        <v>-17.6166479538999</v>
      </c>
      <c r="E7122" s="92" t="str">
        <f t="shared" si="22"/>
        <v/>
      </c>
      <c r="F7122" s="93" t="str">
        <f t="shared" si="21"/>
        <v>7119_20240611_0002_R_0349.jpg</v>
      </c>
      <c r="G7122" s="75" t="s">
        <v>6997</v>
      </c>
      <c r="I7122" s="75">
        <v>1</v>
      </c>
      <c r="K7122" s="97">
        <v>1</v>
      </c>
      <c r="L7122"/>
      <c r="M7122"/>
      <c r="N7122"/>
      <c r="O7122"/>
      <c r="P7122" s="57"/>
      <c r="Q7122" s="57"/>
      <c r="R7122" s="57"/>
      <c r="S7122" s="97">
        <v>0</v>
      </c>
      <c r="T7122" s="57"/>
      <c r="U7122" s="57"/>
      <c r="V7122" s="57"/>
      <c r="W7122" s="57"/>
      <c r="X7122" s="97">
        <v>0</v>
      </c>
    </row>
    <row r="7123" spans="1:24" s="75" customFormat="1" x14ac:dyDescent="0.35">
      <c r="A7123" s="75">
        <v>7119</v>
      </c>
      <c r="B7123" s="75">
        <v>7120</v>
      </c>
      <c r="C7123">
        <v>146.11161233799899</v>
      </c>
      <c r="D7123">
        <v>-17.6165677452999</v>
      </c>
      <c r="E7123" s="92">
        <f t="shared" si="22"/>
        <v>50</v>
      </c>
      <c r="F7123" s="93" t="str">
        <f t="shared" si="21"/>
        <v>7120_20240611_0002_R_0346.jpg</v>
      </c>
      <c r="G7123" s="75" t="s">
        <v>6998</v>
      </c>
      <c r="I7123" s="75">
        <v>1</v>
      </c>
      <c r="K7123" s="97">
        <v>1</v>
      </c>
      <c r="L7123"/>
      <c r="M7123"/>
      <c r="N7123"/>
      <c r="O7123"/>
      <c r="P7123" s="57"/>
      <c r="Q7123" s="57"/>
      <c r="R7123" s="57"/>
      <c r="S7123" s="97">
        <v>0</v>
      </c>
      <c r="T7123" s="57"/>
      <c r="U7123" s="57"/>
      <c r="V7123" s="57"/>
      <c r="W7123" s="57"/>
      <c r="X7123" s="97">
        <v>0</v>
      </c>
    </row>
    <row r="7124" spans="1:24" s="75" customFormat="1" x14ac:dyDescent="0.35">
      <c r="A7124" s="75">
        <v>7120</v>
      </c>
      <c r="B7124" s="75">
        <v>7121</v>
      </c>
      <c r="C7124">
        <v>146.11164376400001</v>
      </c>
      <c r="D7124">
        <v>-17.616487536600001</v>
      </c>
      <c r="E7124" s="92" t="str">
        <f t="shared" si="22"/>
        <v/>
      </c>
      <c r="F7124" s="93" t="str">
        <f t="shared" si="21"/>
        <v>7121_20240611_0002_R_0343.jpg</v>
      </c>
      <c r="G7124" s="75" t="s">
        <v>6999</v>
      </c>
      <c r="I7124" s="75">
        <v>1</v>
      </c>
      <c r="K7124" s="97">
        <v>1</v>
      </c>
      <c r="L7124"/>
      <c r="M7124"/>
      <c r="N7124"/>
      <c r="O7124"/>
      <c r="P7124" s="57"/>
      <c r="Q7124" s="57"/>
      <c r="R7124" s="57"/>
      <c r="S7124" s="97">
        <v>0</v>
      </c>
      <c r="T7124" s="57"/>
      <c r="U7124" s="57"/>
      <c r="V7124" s="57"/>
      <c r="W7124" s="57"/>
      <c r="X7124" s="97">
        <v>0</v>
      </c>
    </row>
    <row r="7125" spans="1:24" s="75" customFormat="1" x14ac:dyDescent="0.35">
      <c r="A7125" s="75">
        <v>7121</v>
      </c>
      <c r="B7125" s="75">
        <v>7122</v>
      </c>
      <c r="C7125">
        <v>146.11167742000001</v>
      </c>
      <c r="D7125">
        <v>-17.616408270400001</v>
      </c>
      <c r="E7125" s="92" t="str">
        <f t="shared" si="22"/>
        <v/>
      </c>
      <c r="F7125" s="93" t="str">
        <f t="shared" si="21"/>
        <v>7122_20240611_0002_R_0340.jpg</v>
      </c>
      <c r="G7125" s="75" t="s">
        <v>7000</v>
      </c>
      <c r="I7125" s="75">
        <v>1</v>
      </c>
      <c r="K7125" s="97">
        <v>1</v>
      </c>
      <c r="L7125"/>
      <c r="M7125"/>
      <c r="N7125"/>
      <c r="O7125"/>
      <c r="P7125" s="57"/>
      <c r="Q7125" s="57"/>
      <c r="R7125" s="57"/>
      <c r="S7125" s="97">
        <v>0</v>
      </c>
      <c r="T7125" s="57"/>
      <c r="U7125" s="57"/>
      <c r="V7125" s="57"/>
      <c r="W7125" s="57"/>
      <c r="X7125" s="97">
        <v>0</v>
      </c>
    </row>
    <row r="7126" spans="1:24" s="75" customFormat="1" x14ac:dyDescent="0.35">
      <c r="A7126" s="75">
        <v>7122</v>
      </c>
      <c r="B7126" s="75">
        <v>7123</v>
      </c>
      <c r="C7126">
        <v>146.111718679999</v>
      </c>
      <c r="D7126">
        <v>-17.616332217</v>
      </c>
      <c r="E7126" s="92" t="str">
        <f t="shared" si="22"/>
        <v/>
      </c>
      <c r="F7126" s="93" t="str">
        <f t="shared" si="21"/>
        <v>7123_20240611_0002_R_0337.jpg</v>
      </c>
      <c r="G7126" s="75" t="s">
        <v>7001</v>
      </c>
      <c r="I7126" s="75">
        <v>1</v>
      </c>
      <c r="K7126" s="97">
        <v>1</v>
      </c>
      <c r="L7126"/>
      <c r="M7126"/>
      <c r="N7126"/>
      <c r="O7126"/>
      <c r="P7126" s="57"/>
      <c r="Q7126" s="57"/>
      <c r="R7126" s="57"/>
      <c r="S7126" s="97">
        <v>0</v>
      </c>
      <c r="T7126" s="57"/>
      <c r="U7126" s="57"/>
      <c r="V7126" s="57"/>
      <c r="W7126" s="57"/>
      <c r="X7126" s="97">
        <v>0</v>
      </c>
    </row>
    <row r="7127" spans="1:24" s="75" customFormat="1" x14ac:dyDescent="0.35">
      <c r="A7127" s="75">
        <v>7123</v>
      </c>
      <c r="B7127" s="75">
        <v>7124</v>
      </c>
      <c r="C7127">
        <v>146.11175994000001</v>
      </c>
      <c r="D7127">
        <v>-17.616256163500001</v>
      </c>
      <c r="E7127" s="92" t="str">
        <f t="shared" si="22"/>
        <v/>
      </c>
      <c r="F7127" s="93" t="str">
        <f t="shared" si="21"/>
        <v>7124_20240611_0002_R_0334.jpg</v>
      </c>
      <c r="G7127" s="75" t="s">
        <v>7002</v>
      </c>
      <c r="I7127" s="75">
        <v>1</v>
      </c>
      <c r="K7127" s="97">
        <v>1</v>
      </c>
      <c r="L7127"/>
      <c r="M7127"/>
      <c r="N7127"/>
      <c r="O7127"/>
      <c r="P7127" s="57"/>
      <c r="Q7127" s="57"/>
      <c r="R7127" s="57"/>
      <c r="S7127" s="97">
        <v>0</v>
      </c>
      <c r="T7127" s="57"/>
      <c r="U7127" s="57"/>
      <c r="V7127" s="57"/>
      <c r="W7127" s="57"/>
      <c r="X7127" s="97">
        <v>0</v>
      </c>
    </row>
    <row r="7128" spans="1:24" s="75" customFormat="1" x14ac:dyDescent="0.35">
      <c r="A7128" s="75">
        <v>7124</v>
      </c>
      <c r="B7128" s="75">
        <v>7125</v>
      </c>
      <c r="C7128">
        <v>146.111791482999</v>
      </c>
      <c r="D7128">
        <v>-17.616176225499899</v>
      </c>
      <c r="E7128" s="92">
        <f t="shared" si="22"/>
        <v>50</v>
      </c>
      <c r="F7128" s="93" t="str">
        <f t="shared" si="21"/>
        <v>7125_20240611_0002_R_0331.jpg</v>
      </c>
      <c r="G7128" s="75" t="s">
        <v>7003</v>
      </c>
      <c r="I7128" s="75">
        <v>1</v>
      </c>
      <c r="K7128" s="97">
        <v>1</v>
      </c>
      <c r="L7128"/>
      <c r="M7128"/>
      <c r="N7128"/>
      <c r="O7128"/>
      <c r="P7128" s="57"/>
      <c r="Q7128" s="57"/>
      <c r="R7128" s="57"/>
      <c r="S7128" s="97">
        <v>0</v>
      </c>
      <c r="T7128" s="57"/>
      <c r="U7128" s="57"/>
      <c r="V7128" s="57"/>
      <c r="W7128" s="57"/>
      <c r="X7128" s="97">
        <v>0</v>
      </c>
    </row>
    <row r="7129" spans="1:24" s="75" customFormat="1" x14ac:dyDescent="0.35">
      <c r="A7129" s="75">
        <v>7125</v>
      </c>
      <c r="B7129" s="75">
        <v>7126</v>
      </c>
      <c r="C7129">
        <v>146.111819494999</v>
      </c>
      <c r="D7129">
        <v>-17.6160948755</v>
      </c>
      <c r="E7129" s="92" t="str">
        <f t="shared" si="22"/>
        <v/>
      </c>
      <c r="F7129" s="93" t="str">
        <f t="shared" si="21"/>
        <v>7126_20240611_0002_R_0328.jpg</v>
      </c>
      <c r="G7129" s="75" t="s">
        <v>7004</v>
      </c>
      <c r="I7129" s="75">
        <v>1</v>
      </c>
      <c r="K7129" s="97">
        <v>1</v>
      </c>
      <c r="L7129"/>
      <c r="M7129"/>
      <c r="N7129"/>
      <c r="O7129"/>
      <c r="P7129" s="57"/>
      <c r="Q7129" s="57"/>
      <c r="R7129" s="57"/>
      <c r="S7129" s="97">
        <v>0</v>
      </c>
      <c r="T7129" s="57"/>
      <c r="U7129" s="57"/>
      <c r="V7129" s="57"/>
      <c r="W7129" s="57"/>
      <c r="X7129" s="97">
        <v>0</v>
      </c>
    </row>
    <row r="7130" spans="1:24" s="75" customFormat="1" x14ac:dyDescent="0.35">
      <c r="A7130" s="75">
        <v>7126</v>
      </c>
      <c r="B7130" s="75">
        <v>7127</v>
      </c>
      <c r="C7130">
        <v>146.111851642999</v>
      </c>
      <c r="D7130">
        <v>-17.616015135800001</v>
      </c>
      <c r="E7130" s="92" t="str">
        <f t="shared" si="22"/>
        <v/>
      </c>
      <c r="F7130" s="93" t="str">
        <f t="shared" si="21"/>
        <v>7127_20240611_0002_R_0325.jpg</v>
      </c>
      <c r="G7130" s="75" t="s">
        <v>7005</v>
      </c>
      <c r="I7130" s="75">
        <v>1</v>
      </c>
      <c r="K7130" s="97">
        <v>1</v>
      </c>
      <c r="L7130"/>
      <c r="M7130"/>
      <c r="N7130"/>
      <c r="O7130"/>
      <c r="P7130" s="57"/>
      <c r="Q7130" s="57"/>
      <c r="R7130" s="57"/>
      <c r="S7130" s="97">
        <v>0</v>
      </c>
      <c r="T7130" s="57"/>
      <c r="U7130" s="57"/>
      <c r="V7130" s="57"/>
      <c r="W7130" s="57"/>
      <c r="X7130" s="97">
        <v>0</v>
      </c>
    </row>
    <row r="7131" spans="1:24" s="75" customFormat="1" x14ac:dyDescent="0.35">
      <c r="A7131" s="75">
        <v>7127</v>
      </c>
      <c r="B7131" s="75">
        <v>7128</v>
      </c>
      <c r="C7131">
        <v>146.11189139000001</v>
      </c>
      <c r="D7131">
        <v>-17.615938353600001</v>
      </c>
      <c r="E7131" s="92" t="str">
        <f t="shared" si="22"/>
        <v/>
      </c>
      <c r="F7131" s="93" t="str">
        <f t="shared" si="21"/>
        <v>7128_20240611_0002_R_0322.jpg</v>
      </c>
      <c r="G7131" s="75" t="s">
        <v>7006</v>
      </c>
      <c r="I7131" s="75">
        <v>1</v>
      </c>
      <c r="K7131" s="97">
        <v>1</v>
      </c>
      <c r="L7131"/>
      <c r="M7131"/>
      <c r="N7131"/>
      <c r="O7131"/>
      <c r="P7131" s="57"/>
      <c r="Q7131" s="57"/>
      <c r="R7131" s="57"/>
      <c r="S7131" s="97">
        <v>0</v>
      </c>
      <c r="T7131" s="57"/>
      <c r="U7131" s="57"/>
      <c r="V7131" s="57"/>
      <c r="W7131" s="57"/>
      <c r="X7131" s="97">
        <v>0</v>
      </c>
    </row>
    <row r="7132" spans="1:24" s="75" customFormat="1" x14ac:dyDescent="0.35">
      <c r="A7132" s="75">
        <v>7128</v>
      </c>
      <c r="B7132" s="75">
        <v>7129</v>
      </c>
      <c r="C7132">
        <v>146.111931136999</v>
      </c>
      <c r="D7132">
        <v>-17.6158615714</v>
      </c>
      <c r="E7132" s="92" t="str">
        <f t="shared" si="22"/>
        <v/>
      </c>
      <c r="F7132" s="93" t="str">
        <f t="shared" si="21"/>
        <v>7129_20240611_0002_R_0319.jpg</v>
      </c>
      <c r="G7132" s="75" t="s">
        <v>7007</v>
      </c>
      <c r="I7132" s="75">
        <v>1</v>
      </c>
      <c r="K7132" s="97">
        <v>1</v>
      </c>
      <c r="L7132"/>
      <c r="M7132"/>
      <c r="N7132"/>
      <c r="O7132"/>
      <c r="P7132" s="57"/>
      <c r="Q7132" s="57"/>
      <c r="R7132" s="57"/>
      <c r="S7132" s="97">
        <v>0</v>
      </c>
      <c r="T7132" s="57"/>
      <c r="U7132" s="57"/>
      <c r="V7132" s="57"/>
      <c r="W7132" s="57"/>
      <c r="X7132" s="97">
        <v>0</v>
      </c>
    </row>
    <row r="7133" spans="1:24" s="75" customFormat="1" x14ac:dyDescent="0.35">
      <c r="A7133" s="75">
        <v>7129</v>
      </c>
      <c r="B7133" s="75">
        <v>7130</v>
      </c>
      <c r="C7133">
        <v>146.111970882999</v>
      </c>
      <c r="D7133">
        <v>-17.615784789100001</v>
      </c>
      <c r="E7133" s="92">
        <f t="shared" si="22"/>
        <v>50</v>
      </c>
      <c r="F7133" s="93" t="str">
        <f t="shared" si="21"/>
        <v>7130_20240611_0002_R_0315.jpg</v>
      </c>
      <c r="G7133" s="75" t="s">
        <v>7008</v>
      </c>
      <c r="I7133" s="75">
        <v>1</v>
      </c>
      <c r="K7133" s="97">
        <v>1</v>
      </c>
      <c r="L7133"/>
      <c r="M7133"/>
      <c r="N7133"/>
      <c r="O7133"/>
      <c r="P7133" s="57"/>
      <c r="Q7133" s="57"/>
      <c r="R7133" s="57"/>
      <c r="S7133" s="97">
        <v>0</v>
      </c>
      <c r="T7133" s="57"/>
      <c r="U7133" s="57"/>
      <c r="V7133" s="57"/>
      <c r="W7133" s="57"/>
      <c r="X7133" s="97">
        <v>0</v>
      </c>
    </row>
    <row r="7134" spans="1:24" s="75" customFormat="1" x14ac:dyDescent="0.35">
      <c r="A7134" s="75">
        <v>7130</v>
      </c>
      <c r="B7134" s="75">
        <v>7131</v>
      </c>
      <c r="C7134">
        <v>146.11201062999899</v>
      </c>
      <c r="D7134">
        <v>-17.615708006799899</v>
      </c>
      <c r="E7134" s="92" t="str">
        <f t="shared" si="22"/>
        <v/>
      </c>
      <c r="F7134" s="93" t="str">
        <f t="shared" si="21"/>
        <v>7131_20240611_0002_R_0312.jpg</v>
      </c>
      <c r="G7134" s="75" t="s">
        <v>7009</v>
      </c>
      <c r="I7134" s="75">
        <v>1</v>
      </c>
      <c r="K7134" s="97">
        <v>1</v>
      </c>
      <c r="L7134"/>
      <c r="M7134"/>
      <c r="N7134"/>
      <c r="O7134"/>
      <c r="P7134" s="57"/>
      <c r="Q7134" s="57"/>
      <c r="R7134" s="57"/>
      <c r="S7134" s="97">
        <v>0</v>
      </c>
      <c r="T7134" s="57"/>
      <c r="U7134" s="57"/>
      <c r="V7134" s="57"/>
      <c r="W7134" s="57"/>
      <c r="X7134" s="97">
        <v>0</v>
      </c>
    </row>
    <row r="7135" spans="1:24" s="75" customFormat="1" x14ac:dyDescent="0.35">
      <c r="A7135" s="75">
        <v>7131</v>
      </c>
      <c r="B7135" s="75">
        <v>7132</v>
      </c>
      <c r="C7135">
        <v>146.11205261699899</v>
      </c>
      <c r="D7135">
        <v>-17.615632323</v>
      </c>
      <c r="E7135" s="92" t="str">
        <f t="shared" si="22"/>
        <v/>
      </c>
      <c r="F7135" s="93" t="str">
        <f t="shared" si="21"/>
        <v>7132_20240611_0002_R_0309.jpg</v>
      </c>
      <c r="G7135" s="75" t="s">
        <v>7010</v>
      </c>
      <c r="I7135" s="75">
        <v>1</v>
      </c>
      <c r="K7135" s="97">
        <v>1</v>
      </c>
      <c r="L7135"/>
      <c r="M7135"/>
      <c r="N7135"/>
      <c r="O7135"/>
      <c r="P7135" s="57"/>
      <c r="Q7135" s="57"/>
      <c r="R7135" s="57"/>
      <c r="S7135" s="97">
        <v>0</v>
      </c>
      <c r="T7135" s="57"/>
      <c r="U7135" s="57"/>
      <c r="V7135" s="57"/>
      <c r="W7135" s="57"/>
      <c r="X7135" s="97">
        <v>0</v>
      </c>
    </row>
    <row r="7136" spans="1:24" s="75" customFormat="1" x14ac:dyDescent="0.35">
      <c r="A7136" s="75">
        <v>7132</v>
      </c>
      <c r="B7136" s="75">
        <v>7133</v>
      </c>
      <c r="C7136">
        <v>146.11209506</v>
      </c>
      <c r="D7136">
        <v>-17.615556863199899</v>
      </c>
      <c r="E7136" s="92" t="str">
        <f t="shared" si="22"/>
        <v/>
      </c>
      <c r="F7136" s="93" t="str">
        <f t="shared" si="21"/>
        <v>7133_20240611_0002_R_0306.jpg</v>
      </c>
      <c r="G7136" s="75" t="s">
        <v>7011</v>
      </c>
      <c r="I7136" s="75">
        <v>1</v>
      </c>
      <c r="K7136" s="97">
        <v>1</v>
      </c>
      <c r="L7136"/>
      <c r="M7136"/>
      <c r="N7136"/>
      <c r="O7136"/>
      <c r="P7136" s="57"/>
      <c r="Q7136" s="57"/>
      <c r="R7136" s="57"/>
      <c r="S7136" s="97">
        <v>0</v>
      </c>
      <c r="T7136" s="57"/>
      <c r="U7136" s="57"/>
      <c r="V7136" s="57"/>
      <c r="W7136" s="57"/>
      <c r="X7136" s="97">
        <v>0</v>
      </c>
    </row>
    <row r="7137" spans="1:24" s="75" customFormat="1" x14ac:dyDescent="0.35">
      <c r="A7137" s="75">
        <v>7133</v>
      </c>
      <c r="B7137" s="75">
        <v>7134</v>
      </c>
      <c r="C7137">
        <v>146.11213750300001</v>
      </c>
      <c r="D7137">
        <v>-17.615481403299899</v>
      </c>
      <c r="E7137" s="92" t="str">
        <f t="shared" si="22"/>
        <v/>
      </c>
      <c r="F7137" s="93" t="str">
        <f t="shared" si="21"/>
        <v>7134_20240611_0002_R_0303.jpg</v>
      </c>
      <c r="G7137" s="75" t="s">
        <v>7012</v>
      </c>
      <c r="I7137" s="75">
        <v>1</v>
      </c>
      <c r="K7137" s="97">
        <v>1</v>
      </c>
      <c r="L7137"/>
      <c r="M7137"/>
      <c r="N7137"/>
      <c r="O7137"/>
      <c r="P7137" s="57"/>
      <c r="Q7137" s="57"/>
      <c r="R7137" s="57"/>
      <c r="S7137" s="97">
        <v>0</v>
      </c>
      <c r="T7137" s="57"/>
      <c r="U7137" s="57"/>
      <c r="V7137" s="57"/>
      <c r="W7137" s="57"/>
      <c r="X7137" s="97">
        <v>0</v>
      </c>
    </row>
    <row r="7138" spans="1:24" s="75" customFormat="1" x14ac:dyDescent="0.35">
      <c r="A7138" s="75">
        <v>7134</v>
      </c>
      <c r="B7138" s="75">
        <v>7135</v>
      </c>
      <c r="C7138">
        <v>146.11217994699899</v>
      </c>
      <c r="D7138">
        <v>-17.615405943500001</v>
      </c>
      <c r="E7138" s="92">
        <f t="shared" si="22"/>
        <v>50</v>
      </c>
      <c r="F7138" s="93" t="str">
        <f t="shared" si="21"/>
        <v>7135_20240611_0002_R_0300.jpg</v>
      </c>
      <c r="G7138" s="75" t="s">
        <v>7013</v>
      </c>
      <c r="I7138" s="75">
        <v>1</v>
      </c>
      <c r="K7138" s="97">
        <v>1</v>
      </c>
      <c r="L7138"/>
      <c r="M7138"/>
      <c r="N7138"/>
      <c r="O7138"/>
      <c r="P7138" s="57"/>
      <c r="Q7138" s="57"/>
      <c r="R7138" s="57"/>
      <c r="S7138" s="97">
        <v>0</v>
      </c>
      <c r="T7138" s="57"/>
      <c r="U7138" s="57"/>
      <c r="V7138" s="57"/>
      <c r="W7138" s="57"/>
      <c r="X7138" s="97">
        <v>0</v>
      </c>
    </row>
    <row r="7139" spans="1:24" s="75" customFormat="1" x14ac:dyDescent="0.35">
      <c r="A7139" s="75">
        <v>7135</v>
      </c>
      <c r="B7139" s="75">
        <v>7136</v>
      </c>
      <c r="C7139">
        <v>146.11223128</v>
      </c>
      <c r="D7139">
        <v>-17.615335737900001</v>
      </c>
      <c r="E7139" s="92" t="str">
        <f t="shared" si="22"/>
        <v/>
      </c>
      <c r="F7139" s="93" t="str">
        <f t="shared" si="21"/>
        <v>7136_20240611_0002_R_0297.jpg</v>
      </c>
      <c r="G7139" s="75" t="s">
        <v>7014</v>
      </c>
      <c r="I7139" s="75">
        <v>1</v>
      </c>
      <c r="K7139" s="97">
        <v>1</v>
      </c>
      <c r="L7139"/>
      <c r="M7139"/>
      <c r="N7139"/>
      <c r="O7139"/>
      <c r="P7139" s="57"/>
      <c r="Q7139" s="57"/>
      <c r="R7139" s="57"/>
      <c r="S7139" s="97">
        <v>0</v>
      </c>
      <c r="T7139" s="57"/>
      <c r="U7139" s="57"/>
      <c r="V7139" s="57"/>
      <c r="W7139" s="57"/>
      <c r="X7139" s="97">
        <v>0</v>
      </c>
    </row>
    <row r="7140" spans="1:24" s="75" customFormat="1" x14ac:dyDescent="0.35">
      <c r="A7140" s="75">
        <v>7136</v>
      </c>
      <c r="B7140" s="75">
        <v>7137</v>
      </c>
      <c r="C7140">
        <v>146.11228333700001</v>
      </c>
      <c r="D7140">
        <v>-17.6152659601</v>
      </c>
      <c r="E7140" s="92" t="str">
        <f t="shared" si="22"/>
        <v/>
      </c>
      <c r="F7140" s="93" t="str">
        <f t="shared" si="21"/>
        <v>7137_20240611_0002_R_0294.jpg</v>
      </c>
      <c r="G7140" s="75" t="s">
        <v>7015</v>
      </c>
      <c r="I7140" s="75">
        <v>1</v>
      </c>
      <c r="K7140" s="97">
        <v>1</v>
      </c>
      <c r="L7140"/>
      <c r="M7140"/>
      <c r="N7140"/>
      <c r="O7140"/>
      <c r="P7140" s="57"/>
      <c r="Q7140" s="57"/>
      <c r="R7140" s="57"/>
      <c r="S7140" s="97">
        <v>0</v>
      </c>
      <c r="T7140" s="57"/>
      <c r="U7140" s="57"/>
      <c r="V7140" s="57"/>
      <c r="W7140" s="57"/>
      <c r="X7140" s="97">
        <v>0</v>
      </c>
    </row>
    <row r="7141" spans="1:24" s="75" customFormat="1" x14ac:dyDescent="0.35">
      <c r="A7141" s="75">
        <v>7137</v>
      </c>
      <c r="B7141" s="75">
        <v>7138</v>
      </c>
      <c r="C7141">
        <v>146.11233584300001</v>
      </c>
      <c r="D7141">
        <v>-17.615196490100001</v>
      </c>
      <c r="E7141" s="92" t="str">
        <f t="shared" si="22"/>
        <v/>
      </c>
      <c r="F7141" s="93" t="str">
        <f t="shared" si="21"/>
        <v>7138_20240611_0002_R_0291.jpg</v>
      </c>
      <c r="G7141" s="75" t="s">
        <v>7016</v>
      </c>
      <c r="I7141" s="75">
        <v>1</v>
      </c>
      <c r="K7141" s="97">
        <v>1</v>
      </c>
      <c r="L7141"/>
      <c r="M7141"/>
      <c r="N7141"/>
      <c r="O7141"/>
      <c r="P7141" s="57"/>
      <c r="Q7141" s="57"/>
      <c r="R7141" s="57"/>
      <c r="S7141" s="97">
        <v>0</v>
      </c>
      <c r="T7141" s="57"/>
      <c r="U7141" s="57"/>
      <c r="V7141" s="57"/>
      <c r="W7141" s="57"/>
      <c r="X7141" s="97">
        <v>0</v>
      </c>
    </row>
    <row r="7142" spans="1:24" s="75" customFormat="1" x14ac:dyDescent="0.35">
      <c r="A7142" s="75">
        <v>7138</v>
      </c>
      <c r="B7142" s="75">
        <v>7139</v>
      </c>
      <c r="C7142">
        <v>146.11238856700001</v>
      </c>
      <c r="D7142">
        <v>-17.615127169000001</v>
      </c>
      <c r="E7142" s="92" t="str">
        <f t="shared" si="22"/>
        <v/>
      </c>
      <c r="F7142" s="93" t="str">
        <f t="shared" si="21"/>
        <v>7139_20240611_0002_R_0289.jpg</v>
      </c>
      <c r="G7142" s="75" t="s">
        <v>7017</v>
      </c>
      <c r="I7142" s="75">
        <v>1</v>
      </c>
      <c r="K7142" s="97">
        <v>1</v>
      </c>
      <c r="L7142"/>
      <c r="M7142"/>
      <c r="N7142"/>
      <c r="O7142"/>
      <c r="P7142" s="57"/>
      <c r="Q7142" s="57"/>
      <c r="R7142" s="57"/>
      <c r="S7142" s="97">
        <v>0</v>
      </c>
      <c r="T7142" s="57"/>
      <c r="U7142" s="57"/>
      <c r="V7142" s="57"/>
      <c r="W7142" s="57"/>
      <c r="X7142" s="97">
        <v>0</v>
      </c>
    </row>
    <row r="7143" spans="1:24" s="75" customFormat="1" x14ac:dyDescent="0.35">
      <c r="A7143" s="75">
        <v>7139</v>
      </c>
      <c r="B7143" s="75">
        <v>7140</v>
      </c>
      <c r="C7143">
        <v>146.11242408300001</v>
      </c>
      <c r="D7143">
        <v>-17.615048584299899</v>
      </c>
      <c r="E7143" s="92">
        <f t="shared" si="22"/>
        <v>50</v>
      </c>
      <c r="F7143" s="93" t="str">
        <f t="shared" si="21"/>
        <v>7140_20240611_0002_R_0286.jpg</v>
      </c>
      <c r="G7143" s="75" t="s">
        <v>7018</v>
      </c>
      <c r="I7143" s="75">
        <v>1</v>
      </c>
      <c r="K7143" s="97">
        <v>1</v>
      </c>
      <c r="L7143"/>
      <c r="M7143"/>
      <c r="N7143"/>
      <c r="O7143"/>
      <c r="P7143" s="57"/>
      <c r="Q7143" s="57"/>
      <c r="R7143" s="57"/>
      <c r="S7143" s="97">
        <v>0</v>
      </c>
      <c r="T7143" s="57"/>
      <c r="U7143" s="57"/>
      <c r="V7143" s="57"/>
      <c r="W7143" s="57"/>
      <c r="X7143" s="97">
        <v>0</v>
      </c>
    </row>
    <row r="7144" spans="1:24" s="75" customFormat="1" x14ac:dyDescent="0.35">
      <c r="A7144" s="75">
        <v>7140</v>
      </c>
      <c r="B7144" s="75">
        <v>7141</v>
      </c>
      <c r="C7144">
        <v>146.11243861200001</v>
      </c>
      <c r="D7144">
        <v>-17.6149676872</v>
      </c>
      <c r="E7144" s="92" t="str">
        <f t="shared" si="22"/>
        <v/>
      </c>
      <c r="F7144" s="93" t="str">
        <f t="shared" si="21"/>
        <v>7141_20240611_0002_R_0283.jpg</v>
      </c>
      <c r="G7144" s="75" t="s">
        <v>7019</v>
      </c>
      <c r="I7144" s="75">
        <v>1</v>
      </c>
      <c r="K7144" s="97">
        <v>1</v>
      </c>
      <c r="L7144"/>
      <c r="M7144"/>
      <c r="N7144"/>
      <c r="O7144"/>
      <c r="P7144" s="57"/>
      <c r="Q7144" s="57"/>
      <c r="R7144" s="57"/>
      <c r="S7144" s="97">
        <v>0</v>
      </c>
      <c r="T7144" s="57"/>
      <c r="U7144" s="57"/>
      <c r="V7144" s="57"/>
      <c r="W7144" s="57"/>
      <c r="X7144" s="97">
        <v>0</v>
      </c>
    </row>
    <row r="7145" spans="1:24" s="75" customFormat="1" x14ac:dyDescent="0.35">
      <c r="A7145" s="75">
        <v>7141</v>
      </c>
      <c r="B7145" s="75">
        <v>7142</v>
      </c>
      <c r="C7145">
        <v>146.11245768800001</v>
      </c>
      <c r="D7145">
        <v>-17.6148863302999</v>
      </c>
      <c r="E7145" s="92" t="str">
        <f t="shared" si="22"/>
        <v/>
      </c>
      <c r="F7145" s="93" t="str">
        <f t="shared" si="21"/>
        <v>7142_20240611_0002_R_0280.jpg</v>
      </c>
      <c r="G7145" s="75" t="s">
        <v>7020</v>
      </c>
      <c r="I7145" s="75">
        <v>1</v>
      </c>
      <c r="K7145" s="97">
        <v>1</v>
      </c>
      <c r="L7145"/>
      <c r="M7145"/>
      <c r="N7145"/>
      <c r="O7145"/>
      <c r="P7145" s="57"/>
      <c r="Q7145" s="57"/>
      <c r="R7145" s="57"/>
      <c r="S7145" s="97">
        <v>0</v>
      </c>
      <c r="T7145" s="57"/>
      <c r="U7145" s="57"/>
      <c r="V7145" s="57"/>
      <c r="W7145" s="57"/>
      <c r="X7145" s="97">
        <v>0</v>
      </c>
    </row>
    <row r="7146" spans="1:24" s="75" customFormat="1" x14ac:dyDescent="0.35">
      <c r="A7146" s="75">
        <v>7142</v>
      </c>
      <c r="B7146" s="75">
        <v>7143</v>
      </c>
      <c r="C7146">
        <v>146.112529983</v>
      </c>
      <c r="D7146">
        <v>-17.614841013900001</v>
      </c>
      <c r="E7146" s="92" t="str">
        <f t="shared" si="22"/>
        <v/>
      </c>
      <c r="F7146" s="93" t="str">
        <f t="shared" si="21"/>
        <v>7143_20240611_0002_R_0278.jpg</v>
      </c>
      <c r="G7146" s="75" t="s">
        <v>7021</v>
      </c>
      <c r="I7146" s="75">
        <v>1</v>
      </c>
      <c r="K7146" s="97">
        <v>1</v>
      </c>
      <c r="L7146"/>
      <c r="M7146"/>
      <c r="N7146"/>
      <c r="O7146"/>
      <c r="P7146" s="57"/>
      <c r="Q7146" s="57"/>
      <c r="R7146" s="57"/>
      <c r="S7146" s="97">
        <v>0</v>
      </c>
      <c r="T7146" s="57"/>
      <c r="U7146" s="57"/>
      <c r="V7146" s="57"/>
      <c r="W7146" s="57"/>
      <c r="X7146" s="97">
        <v>0</v>
      </c>
    </row>
    <row r="7147" spans="1:24" s="75" customFormat="1" x14ac:dyDescent="0.35">
      <c r="A7147" s="75">
        <v>7143</v>
      </c>
      <c r="B7147" s="75">
        <v>7144</v>
      </c>
      <c r="C7147">
        <v>146.11261110199899</v>
      </c>
      <c r="D7147">
        <v>-17.614804266499899</v>
      </c>
      <c r="E7147" s="92" t="str">
        <f t="shared" si="22"/>
        <v/>
      </c>
      <c r="F7147" s="93" t="str">
        <f t="shared" si="21"/>
        <v>7144_20240611_0002_R_0276.jpg</v>
      </c>
      <c r="G7147" s="75" t="s">
        <v>7022</v>
      </c>
      <c r="I7147" s="75">
        <v>1</v>
      </c>
      <c r="K7147" s="97">
        <v>1</v>
      </c>
      <c r="L7147"/>
      <c r="M7147"/>
      <c r="N7147"/>
      <c r="O7147"/>
      <c r="P7147" s="57"/>
      <c r="Q7147" s="57"/>
      <c r="R7147" s="57"/>
      <c r="S7147" s="97">
        <v>0</v>
      </c>
      <c r="T7147" s="57"/>
      <c r="U7147" s="57"/>
      <c r="V7147" s="57"/>
      <c r="W7147" s="57"/>
      <c r="X7147" s="97">
        <v>0</v>
      </c>
    </row>
    <row r="7148" spans="1:24" s="75" customFormat="1" x14ac:dyDescent="0.35">
      <c r="A7148" s="75">
        <v>7144</v>
      </c>
      <c r="B7148" s="75">
        <v>7145</v>
      </c>
      <c r="C7148">
        <v>146.112681546</v>
      </c>
      <c r="D7148">
        <v>-17.614751135900001</v>
      </c>
      <c r="E7148" s="92">
        <f t="shared" si="22"/>
        <v>50</v>
      </c>
      <c r="F7148" s="93" t="str">
        <f t="shared" si="21"/>
        <v>7145_20240611_0002_R_0273.jpg</v>
      </c>
      <c r="G7148" s="75" t="s">
        <v>7023</v>
      </c>
      <c r="I7148" s="75">
        <v>1</v>
      </c>
      <c r="K7148" s="97">
        <v>1</v>
      </c>
      <c r="L7148"/>
      <c r="M7148"/>
      <c r="N7148"/>
      <c r="O7148"/>
      <c r="P7148" s="57"/>
      <c r="Q7148" s="57"/>
      <c r="R7148" s="57"/>
      <c r="S7148" s="97">
        <v>0</v>
      </c>
      <c r="T7148" s="57"/>
      <c r="U7148" s="57"/>
      <c r="V7148" s="57"/>
      <c r="W7148" s="57"/>
      <c r="X7148" s="97">
        <v>0</v>
      </c>
    </row>
    <row r="7149" spans="1:24" s="75" customFormat="1" x14ac:dyDescent="0.35">
      <c r="A7149" s="75">
        <v>7145</v>
      </c>
      <c r="B7149" s="75">
        <v>7146</v>
      </c>
      <c r="C7149">
        <v>146.112751989</v>
      </c>
      <c r="D7149">
        <v>-17.614698005400001</v>
      </c>
      <c r="E7149" s="92" t="str">
        <f t="shared" si="22"/>
        <v/>
      </c>
      <c r="F7149" s="93" t="str">
        <f t="shared" si="21"/>
        <v>7146_20240611_0002_R_0270.jpg</v>
      </c>
      <c r="G7149" s="75" t="s">
        <v>7024</v>
      </c>
      <c r="I7149" s="75">
        <v>1</v>
      </c>
      <c r="K7149" s="97">
        <v>1</v>
      </c>
      <c r="L7149"/>
      <c r="M7149"/>
      <c r="N7149"/>
      <c r="O7149"/>
      <c r="P7149" s="57"/>
      <c r="Q7149" s="57"/>
      <c r="R7149" s="57"/>
      <c r="S7149" s="97">
        <v>0</v>
      </c>
      <c r="T7149" s="57"/>
      <c r="U7149" s="57"/>
      <c r="V7149" s="57"/>
      <c r="W7149" s="57"/>
      <c r="X7149" s="97">
        <v>0</v>
      </c>
    </row>
    <row r="7150" spans="1:24" s="75" customFormat="1" x14ac:dyDescent="0.35">
      <c r="A7150" s="75">
        <v>7146</v>
      </c>
      <c r="B7150" s="75">
        <v>7147</v>
      </c>
      <c r="C7150">
        <v>146.112822432999</v>
      </c>
      <c r="D7150">
        <v>-17.6146448748</v>
      </c>
      <c r="E7150" s="92" t="str">
        <f t="shared" si="22"/>
        <v/>
      </c>
      <c r="F7150" s="93" t="str">
        <f t="shared" si="21"/>
        <v>7147_20240611_0002_R_0267.jpg</v>
      </c>
      <c r="G7150" s="75" t="s">
        <v>7025</v>
      </c>
      <c r="I7150" s="75">
        <v>1</v>
      </c>
      <c r="K7150" s="97">
        <v>1</v>
      </c>
      <c r="L7150"/>
      <c r="M7150"/>
      <c r="N7150"/>
      <c r="O7150"/>
      <c r="P7150" s="57"/>
      <c r="Q7150" s="57"/>
      <c r="R7150" s="57"/>
      <c r="S7150" s="97">
        <v>0</v>
      </c>
      <c r="T7150" s="57"/>
      <c r="U7150" s="57"/>
      <c r="V7150" s="57"/>
      <c r="W7150" s="57"/>
      <c r="X7150" s="97">
        <v>0</v>
      </c>
    </row>
    <row r="7151" spans="1:24" s="75" customFormat="1" x14ac:dyDescent="0.35">
      <c r="A7151" s="75">
        <v>7147</v>
      </c>
      <c r="B7151" s="75">
        <v>7148</v>
      </c>
      <c r="C7151">
        <v>146.11288631100001</v>
      </c>
      <c r="D7151">
        <v>-17.614584993200001</v>
      </c>
      <c r="E7151" s="92" t="str">
        <f t="shared" si="22"/>
        <v/>
      </c>
      <c r="F7151" s="93" t="str">
        <f t="shared" si="21"/>
        <v>7148_20240611_0002_R_0264.jpg</v>
      </c>
      <c r="G7151" s="75" t="s">
        <v>7026</v>
      </c>
      <c r="I7151" s="75">
        <v>1</v>
      </c>
      <c r="K7151" s="97">
        <v>1</v>
      </c>
      <c r="L7151"/>
      <c r="M7151"/>
      <c r="N7151"/>
      <c r="O7151"/>
      <c r="P7151" s="57"/>
      <c r="Q7151" s="57"/>
      <c r="R7151" s="57"/>
      <c r="S7151" s="97">
        <v>0</v>
      </c>
      <c r="T7151" s="57"/>
      <c r="U7151" s="57"/>
      <c r="V7151" s="57"/>
      <c r="W7151" s="57"/>
      <c r="X7151" s="97">
        <v>0</v>
      </c>
    </row>
    <row r="7152" spans="1:24" s="75" customFormat="1" x14ac:dyDescent="0.35">
      <c r="A7152" s="75">
        <v>7148</v>
      </c>
      <c r="B7152" s="75">
        <v>7149</v>
      </c>
      <c r="C7152">
        <v>146.112947241</v>
      </c>
      <c r="D7152">
        <v>-17.614522078499899</v>
      </c>
      <c r="E7152" s="92" t="str">
        <f t="shared" si="22"/>
        <v/>
      </c>
      <c r="F7152" s="93" t="str">
        <f t="shared" si="21"/>
        <v>7149_20240611_0002_R_0260.jpg</v>
      </c>
      <c r="G7152" s="75" t="s">
        <v>7027</v>
      </c>
      <c r="I7152" s="75">
        <v>1</v>
      </c>
      <c r="K7152" s="97">
        <v>1</v>
      </c>
      <c r="L7152"/>
      <c r="M7152"/>
      <c r="N7152"/>
      <c r="O7152"/>
      <c r="P7152" s="57"/>
      <c r="Q7152" s="57"/>
      <c r="R7152" s="57"/>
      <c r="S7152" s="97">
        <v>0</v>
      </c>
      <c r="T7152" s="57"/>
      <c r="U7152" s="57"/>
      <c r="V7152" s="57"/>
      <c r="W7152" s="57"/>
      <c r="X7152" s="97">
        <v>0</v>
      </c>
    </row>
    <row r="7153" spans="1:24" s="75" customFormat="1" x14ac:dyDescent="0.35">
      <c r="A7153" s="75">
        <v>7149</v>
      </c>
      <c r="B7153" s="75">
        <v>7150</v>
      </c>
      <c r="C7153">
        <v>146.113008170999</v>
      </c>
      <c r="D7153">
        <v>-17.6144591637999</v>
      </c>
      <c r="E7153" s="92">
        <f t="shared" si="22"/>
        <v>50</v>
      </c>
      <c r="F7153" s="93" t="str">
        <f t="shared" si="21"/>
        <v>7150_20240611_0002_R_0257.jpg</v>
      </c>
      <c r="G7153" s="75" t="s">
        <v>7028</v>
      </c>
      <c r="I7153" s="75">
        <v>1</v>
      </c>
      <c r="K7153" s="97">
        <v>1</v>
      </c>
      <c r="L7153"/>
      <c r="M7153"/>
      <c r="N7153"/>
      <c r="O7153"/>
      <c r="P7153" s="57"/>
      <c r="Q7153" s="57"/>
      <c r="R7153" s="57"/>
      <c r="S7153" s="97">
        <v>0</v>
      </c>
      <c r="T7153" s="57"/>
      <c r="U7153" s="57"/>
      <c r="V7153" s="57"/>
      <c r="W7153" s="57"/>
      <c r="X7153" s="97">
        <v>0</v>
      </c>
    </row>
    <row r="7154" spans="1:24" s="75" customFormat="1" x14ac:dyDescent="0.35">
      <c r="A7154" s="75">
        <v>7150</v>
      </c>
      <c r="B7154" s="75">
        <v>7151</v>
      </c>
      <c r="C7154">
        <v>146.11306910100001</v>
      </c>
      <c r="D7154">
        <v>-17.6143962491</v>
      </c>
      <c r="E7154" s="92" t="str">
        <f t="shared" si="22"/>
        <v/>
      </c>
      <c r="F7154" s="93" t="str">
        <f t="shared" si="21"/>
        <v>7151_20240611_0002_R_0254.jpg</v>
      </c>
      <c r="G7154" s="75" t="s">
        <v>7029</v>
      </c>
      <c r="I7154" s="75">
        <v>1</v>
      </c>
      <c r="K7154" s="97">
        <v>1</v>
      </c>
      <c r="L7154"/>
      <c r="M7154"/>
      <c r="N7154"/>
      <c r="O7154"/>
      <c r="P7154" s="57"/>
      <c r="Q7154" s="57"/>
      <c r="R7154" s="57"/>
      <c r="S7154" s="97">
        <v>0</v>
      </c>
      <c r="T7154" s="57"/>
      <c r="U7154" s="57"/>
      <c r="V7154" s="57"/>
      <c r="W7154" s="57"/>
      <c r="X7154" s="97">
        <v>0</v>
      </c>
    </row>
    <row r="7155" spans="1:24" s="75" customFormat="1" x14ac:dyDescent="0.35">
      <c r="A7155" s="75">
        <v>7151</v>
      </c>
      <c r="B7155" s="75">
        <v>7152</v>
      </c>
      <c r="C7155">
        <v>146.11313003000001</v>
      </c>
      <c r="D7155">
        <v>-17.614333334400001</v>
      </c>
      <c r="E7155" s="92" t="str">
        <f t="shared" si="22"/>
        <v/>
      </c>
      <c r="F7155" s="93" t="str">
        <f t="shared" si="21"/>
        <v>7152_20240611_0002_R_0250.jpg</v>
      </c>
      <c r="G7155" s="75" t="s">
        <v>7030</v>
      </c>
      <c r="I7155" s="75">
        <v>1</v>
      </c>
      <c r="K7155" s="97">
        <v>1</v>
      </c>
      <c r="L7155"/>
      <c r="M7155"/>
      <c r="N7155"/>
      <c r="O7155"/>
      <c r="P7155" s="57"/>
      <c r="Q7155" s="57"/>
      <c r="R7155" s="57"/>
      <c r="S7155" s="97">
        <v>0</v>
      </c>
      <c r="T7155" s="57"/>
      <c r="U7155" s="57"/>
      <c r="V7155" s="57"/>
      <c r="W7155" s="57"/>
      <c r="X7155" s="97">
        <v>0</v>
      </c>
    </row>
    <row r="7156" spans="1:24" s="75" customFormat="1" x14ac:dyDescent="0.35">
      <c r="A7156" s="75">
        <v>7152</v>
      </c>
      <c r="B7156" s="75">
        <v>7153</v>
      </c>
      <c r="C7156">
        <v>146.113193090999</v>
      </c>
      <c r="D7156">
        <v>-17.6142724247999</v>
      </c>
      <c r="E7156" s="92" t="str">
        <f t="shared" si="22"/>
        <v/>
      </c>
      <c r="F7156" s="93" t="str">
        <f t="shared" si="21"/>
        <v>7153_20240611_0002_R_0247.jpg</v>
      </c>
      <c r="G7156" s="75" t="s">
        <v>7031</v>
      </c>
      <c r="I7156" s="75">
        <v>1</v>
      </c>
      <c r="K7156" s="97">
        <v>1</v>
      </c>
      <c r="L7156"/>
      <c r="M7156"/>
      <c r="N7156"/>
      <c r="O7156"/>
      <c r="P7156" s="57"/>
      <c r="Q7156" s="57"/>
      <c r="R7156" s="57"/>
      <c r="S7156" s="97">
        <v>0</v>
      </c>
      <c r="T7156" s="57"/>
      <c r="U7156" s="57"/>
      <c r="V7156" s="57"/>
      <c r="W7156" s="57"/>
      <c r="X7156" s="97">
        <v>0</v>
      </c>
    </row>
    <row r="7157" spans="1:24" s="75" customFormat="1" x14ac:dyDescent="0.35">
      <c r="A7157" s="75">
        <v>7153</v>
      </c>
      <c r="B7157" s="75">
        <v>7154</v>
      </c>
      <c r="C7157">
        <v>146.113258330999</v>
      </c>
      <c r="D7157">
        <v>-17.614213567499899</v>
      </c>
      <c r="E7157" s="92" t="str">
        <f t="shared" si="22"/>
        <v/>
      </c>
      <c r="F7157" s="93" t="str">
        <f t="shared" si="21"/>
        <v>7154_20240611_0002_R_0244.jpg</v>
      </c>
      <c r="G7157" s="75" t="s">
        <v>7032</v>
      </c>
      <c r="I7157" s="75">
        <v>1</v>
      </c>
      <c r="K7157" s="97">
        <v>1</v>
      </c>
      <c r="L7157"/>
      <c r="M7157"/>
      <c r="N7157"/>
      <c r="O7157"/>
      <c r="P7157" s="57"/>
      <c r="Q7157" s="57"/>
      <c r="R7157" s="57"/>
      <c r="S7157" s="97">
        <v>0</v>
      </c>
      <c r="T7157" s="57"/>
      <c r="U7157" s="57"/>
      <c r="V7157" s="57"/>
      <c r="W7157" s="57"/>
      <c r="X7157" s="97">
        <v>0</v>
      </c>
    </row>
    <row r="7158" spans="1:24" s="75" customFormat="1" x14ac:dyDescent="0.35">
      <c r="A7158" s="75">
        <v>7154</v>
      </c>
      <c r="B7158" s="75">
        <v>7155</v>
      </c>
      <c r="C7158">
        <v>146.11332357200001</v>
      </c>
      <c r="D7158">
        <v>-17.614154710200001</v>
      </c>
      <c r="E7158" s="92">
        <f t="shared" si="22"/>
        <v>50</v>
      </c>
      <c r="F7158" s="93" t="str">
        <f t="shared" si="21"/>
        <v>7155_20240611_0002_R_0241.jpg</v>
      </c>
      <c r="G7158" s="75" t="s">
        <v>7033</v>
      </c>
      <c r="I7158" s="75">
        <v>1</v>
      </c>
      <c r="K7158" s="97">
        <v>1</v>
      </c>
      <c r="L7158"/>
      <c r="M7158"/>
      <c r="N7158"/>
      <c r="O7158"/>
      <c r="P7158" s="57"/>
      <c r="Q7158" s="57"/>
      <c r="R7158" s="57"/>
      <c r="S7158" s="97">
        <v>0</v>
      </c>
      <c r="T7158" s="57"/>
      <c r="U7158" s="57"/>
      <c r="V7158" s="57"/>
      <c r="W7158" s="57"/>
      <c r="X7158" s="97">
        <v>0</v>
      </c>
    </row>
    <row r="7159" spans="1:24" s="75" customFormat="1" x14ac:dyDescent="0.35">
      <c r="A7159" s="75">
        <v>7155</v>
      </c>
      <c r="B7159" s="75">
        <v>7156</v>
      </c>
      <c r="C7159">
        <v>146.11338881200001</v>
      </c>
      <c r="D7159">
        <v>-17.6140958529</v>
      </c>
      <c r="E7159" s="92" t="str">
        <f t="shared" si="22"/>
        <v/>
      </c>
      <c r="F7159" s="93" t="str">
        <f t="shared" si="21"/>
        <v>7156_20240611_0002_R_0237.jpg</v>
      </c>
      <c r="G7159" s="75" t="s">
        <v>7034</v>
      </c>
      <c r="I7159" s="75">
        <v>1</v>
      </c>
      <c r="K7159" s="97">
        <v>1</v>
      </c>
      <c r="L7159"/>
      <c r="M7159"/>
      <c r="N7159"/>
      <c r="O7159"/>
      <c r="P7159" s="57"/>
      <c r="Q7159" s="57"/>
      <c r="R7159" s="57"/>
      <c r="S7159" s="97">
        <v>0</v>
      </c>
      <c r="T7159" s="57"/>
      <c r="U7159" s="57"/>
      <c r="V7159" s="57"/>
      <c r="W7159" s="57"/>
      <c r="X7159" s="97">
        <v>0</v>
      </c>
    </row>
    <row r="7160" spans="1:24" s="75" customFormat="1" x14ac:dyDescent="0.35">
      <c r="A7160" s="75">
        <v>7156</v>
      </c>
      <c r="B7160" s="75">
        <v>7157</v>
      </c>
      <c r="C7160">
        <v>146.113454052999</v>
      </c>
      <c r="D7160">
        <v>-17.614036995500001</v>
      </c>
      <c r="E7160" s="92" t="str">
        <f t="shared" si="22"/>
        <v/>
      </c>
      <c r="F7160" s="93" t="str">
        <f t="shared" si="21"/>
        <v>7157_20240611_0002_R_0233.jpg</v>
      </c>
      <c r="G7160" s="75" t="s">
        <v>7035</v>
      </c>
      <c r="I7160" s="75">
        <v>1</v>
      </c>
      <c r="K7160" s="97">
        <v>1</v>
      </c>
      <c r="L7160"/>
      <c r="M7160"/>
      <c r="N7160"/>
      <c r="O7160"/>
      <c r="P7160" s="57"/>
      <c r="Q7160" s="57"/>
      <c r="R7160" s="57"/>
      <c r="S7160" s="97">
        <v>0</v>
      </c>
      <c r="T7160" s="57"/>
      <c r="U7160" s="57"/>
      <c r="V7160" s="57"/>
      <c r="W7160" s="57"/>
      <c r="X7160" s="97">
        <v>0</v>
      </c>
    </row>
    <row r="7161" spans="1:24" s="75" customFormat="1" x14ac:dyDescent="0.35">
      <c r="A7161" s="75">
        <v>7157</v>
      </c>
      <c r="B7161" s="75">
        <v>7158</v>
      </c>
      <c r="C7161">
        <v>146.113519292999</v>
      </c>
      <c r="D7161">
        <v>-17.613978138099899</v>
      </c>
      <c r="E7161" s="92" t="str">
        <f t="shared" si="22"/>
        <v/>
      </c>
      <c r="F7161" s="93" t="str">
        <f t="shared" si="21"/>
        <v>7158_20240611_0002_R_0230.jpg</v>
      </c>
      <c r="G7161" s="75" t="s">
        <v>7036</v>
      </c>
      <c r="I7161" s="75">
        <v>1</v>
      </c>
      <c r="K7161" s="97">
        <v>1</v>
      </c>
      <c r="L7161"/>
      <c r="M7161"/>
      <c r="N7161"/>
      <c r="O7161"/>
      <c r="P7161" s="57"/>
      <c r="Q7161" s="57"/>
      <c r="R7161" s="57"/>
      <c r="S7161" s="97">
        <v>0</v>
      </c>
      <c r="T7161" s="57"/>
      <c r="U7161" s="57"/>
      <c r="V7161" s="57"/>
      <c r="W7161" s="57"/>
      <c r="X7161" s="97">
        <v>0</v>
      </c>
    </row>
    <row r="7162" spans="1:24" s="75" customFormat="1" x14ac:dyDescent="0.35">
      <c r="A7162" s="75">
        <v>7158</v>
      </c>
      <c r="B7162" s="75">
        <v>7159</v>
      </c>
      <c r="C7162">
        <v>146.11358453400001</v>
      </c>
      <c r="D7162">
        <v>-17.613919280800001</v>
      </c>
      <c r="E7162" s="92" t="str">
        <f t="shared" si="22"/>
        <v/>
      </c>
      <c r="F7162" s="93" t="str">
        <f t="shared" si="21"/>
        <v>7159_20240611_0002_R_0226.jpg</v>
      </c>
      <c r="G7162" s="75" t="s">
        <v>7037</v>
      </c>
      <c r="I7162" s="75">
        <v>1</v>
      </c>
      <c r="K7162" s="97">
        <v>1</v>
      </c>
      <c r="L7162"/>
      <c r="M7162"/>
      <c r="N7162"/>
      <c r="O7162"/>
      <c r="P7162" s="57"/>
      <c r="Q7162" s="57"/>
      <c r="R7162" s="57"/>
      <c r="S7162" s="97">
        <v>0</v>
      </c>
      <c r="T7162" s="57"/>
      <c r="U7162" s="57"/>
      <c r="V7162" s="57"/>
      <c r="W7162" s="57"/>
      <c r="X7162" s="97">
        <v>0</v>
      </c>
    </row>
    <row r="7163" spans="1:24" s="75" customFormat="1" x14ac:dyDescent="0.35">
      <c r="A7163" s="75">
        <v>7159</v>
      </c>
      <c r="B7163" s="75">
        <v>7160</v>
      </c>
      <c r="C7163">
        <v>146.11364977400001</v>
      </c>
      <c r="D7163">
        <v>-17.6138604233</v>
      </c>
      <c r="E7163" s="92">
        <f t="shared" si="22"/>
        <v>50</v>
      </c>
      <c r="F7163" s="93" t="str">
        <f t="shared" si="21"/>
        <v>7160_20240611_0002_R_0222.jpg</v>
      </c>
      <c r="G7163" s="75" t="s">
        <v>7038</v>
      </c>
      <c r="I7163" s="75">
        <v>1</v>
      </c>
      <c r="K7163" s="97">
        <v>1</v>
      </c>
      <c r="L7163"/>
      <c r="M7163"/>
      <c r="N7163"/>
      <c r="O7163"/>
      <c r="P7163" s="57"/>
      <c r="Q7163" s="57"/>
      <c r="R7163" s="57"/>
      <c r="S7163" s="97">
        <v>0</v>
      </c>
      <c r="T7163" s="57"/>
      <c r="U7163" s="57"/>
      <c r="V7163" s="57"/>
      <c r="W7163" s="57"/>
      <c r="X7163" s="97">
        <v>0</v>
      </c>
    </row>
    <row r="7164" spans="1:24" s="75" customFormat="1" x14ac:dyDescent="0.35">
      <c r="A7164" s="75">
        <v>7160</v>
      </c>
      <c r="B7164" s="75">
        <v>7161</v>
      </c>
      <c r="C7164">
        <v>146.113715014999</v>
      </c>
      <c r="D7164">
        <v>-17.613801565900001</v>
      </c>
      <c r="E7164" s="92" t="str">
        <f t="shared" si="22"/>
        <v/>
      </c>
      <c r="F7164" s="93" t="str">
        <f t="shared" si="21"/>
        <v>7161_20240611_0002_R_0219.jpg</v>
      </c>
      <c r="G7164" s="75" t="s">
        <v>7039</v>
      </c>
      <c r="I7164" s="75">
        <v>1</v>
      </c>
      <c r="K7164" s="97">
        <v>1</v>
      </c>
      <c r="L7164"/>
      <c r="M7164"/>
      <c r="N7164"/>
      <c r="O7164"/>
      <c r="P7164" s="57"/>
      <c r="Q7164" s="57"/>
      <c r="R7164" s="57"/>
      <c r="S7164" s="97">
        <v>0</v>
      </c>
      <c r="T7164" s="57"/>
      <c r="U7164" s="57"/>
      <c r="V7164" s="57"/>
      <c r="W7164" s="57"/>
      <c r="X7164" s="97">
        <v>0</v>
      </c>
    </row>
    <row r="7165" spans="1:24" s="75" customFormat="1" x14ac:dyDescent="0.35">
      <c r="A7165" s="75">
        <v>7161</v>
      </c>
      <c r="B7165" s="75">
        <v>7162</v>
      </c>
      <c r="C7165">
        <v>146.11378025600001</v>
      </c>
      <c r="D7165">
        <v>-17.613742708499899</v>
      </c>
      <c r="E7165" s="92" t="str">
        <f t="shared" si="22"/>
        <v/>
      </c>
      <c r="F7165" s="93" t="str">
        <f t="shared" si="21"/>
        <v>7162_20240611_0002_R_0216.jpg</v>
      </c>
      <c r="G7165" s="75" t="s">
        <v>7040</v>
      </c>
      <c r="I7165" s="75">
        <v>1</v>
      </c>
      <c r="K7165" s="97">
        <v>1</v>
      </c>
      <c r="L7165"/>
      <c r="M7165"/>
      <c r="N7165"/>
      <c r="O7165"/>
      <c r="P7165" s="57"/>
      <c r="Q7165" s="57"/>
      <c r="R7165" s="57"/>
      <c r="S7165" s="97">
        <v>0</v>
      </c>
      <c r="T7165" s="57"/>
      <c r="U7165" s="57"/>
      <c r="V7165" s="57"/>
      <c r="W7165" s="57"/>
      <c r="X7165" s="97">
        <v>0</v>
      </c>
    </row>
    <row r="7166" spans="1:24" s="75" customFormat="1" x14ac:dyDescent="0.35">
      <c r="A7166" s="75">
        <v>7162</v>
      </c>
      <c r="B7166" s="75">
        <v>7163</v>
      </c>
      <c r="C7166">
        <v>146.11384549600001</v>
      </c>
      <c r="D7166">
        <v>-17.613683851000001</v>
      </c>
      <c r="E7166" s="92" t="str">
        <f t="shared" si="22"/>
        <v/>
      </c>
      <c r="F7166" s="93" t="str">
        <f t="shared" si="21"/>
        <v>7163_20240611_0002_R_0213.jpg</v>
      </c>
      <c r="G7166" s="75" t="s">
        <v>7041</v>
      </c>
      <c r="I7166" s="75">
        <v>1</v>
      </c>
      <c r="K7166" s="97">
        <v>1</v>
      </c>
      <c r="L7166"/>
      <c r="M7166"/>
      <c r="N7166"/>
      <c r="O7166"/>
      <c r="P7166" s="57"/>
      <c r="Q7166" s="57"/>
      <c r="R7166" s="57"/>
      <c r="S7166" s="97">
        <v>0</v>
      </c>
      <c r="T7166" s="57"/>
      <c r="U7166" s="57"/>
      <c r="V7166" s="57"/>
      <c r="W7166" s="57"/>
      <c r="X7166" s="97">
        <v>0</v>
      </c>
    </row>
    <row r="7167" spans="1:24" s="75" customFormat="1" x14ac:dyDescent="0.35">
      <c r="A7167" s="75">
        <v>7163</v>
      </c>
      <c r="B7167" s="75">
        <v>7164</v>
      </c>
      <c r="C7167">
        <v>146.113910736999</v>
      </c>
      <c r="D7167">
        <v>-17.6136249935</v>
      </c>
      <c r="E7167" s="92" t="str">
        <f t="shared" si="22"/>
        <v/>
      </c>
      <c r="F7167" s="93" t="str">
        <f t="shared" si="21"/>
        <v>7164_20240611_0002_R_0210.jpg</v>
      </c>
      <c r="G7167" s="75" t="s">
        <v>7042</v>
      </c>
      <c r="I7167" s="75">
        <v>1</v>
      </c>
      <c r="K7167" s="97">
        <v>1</v>
      </c>
      <c r="L7167"/>
      <c r="M7167"/>
      <c r="N7167"/>
      <c r="O7167"/>
      <c r="P7167" s="57"/>
      <c r="Q7167" s="57"/>
      <c r="R7167" s="57"/>
      <c r="S7167" s="97">
        <v>0</v>
      </c>
      <c r="T7167" s="57"/>
      <c r="U7167" s="57"/>
      <c r="V7167" s="57"/>
      <c r="W7167" s="57"/>
      <c r="X7167" s="97">
        <v>0</v>
      </c>
    </row>
    <row r="7168" spans="1:24" s="75" customFormat="1" x14ac:dyDescent="0.35">
      <c r="A7168" s="75">
        <v>7164</v>
      </c>
      <c r="B7168" s="75">
        <v>7165</v>
      </c>
      <c r="C7168">
        <v>146.113975976999</v>
      </c>
      <c r="D7168">
        <v>-17.6135661359999</v>
      </c>
      <c r="E7168" s="92">
        <f t="shared" si="22"/>
        <v>50</v>
      </c>
      <c r="F7168" s="93" t="str">
        <f t="shared" si="21"/>
        <v>7165_20240611_0002_R_0206.jpg</v>
      </c>
      <c r="G7168" s="75" t="s">
        <v>7043</v>
      </c>
      <c r="I7168" s="75">
        <v>1</v>
      </c>
      <c r="K7168" s="97">
        <v>1</v>
      </c>
      <c r="L7168"/>
      <c r="M7168"/>
      <c r="N7168"/>
      <c r="O7168"/>
      <c r="P7168" s="57"/>
      <c r="Q7168" s="57"/>
      <c r="R7168" s="57"/>
      <c r="S7168" s="97">
        <v>0</v>
      </c>
      <c r="T7168" s="57"/>
      <c r="U7168" s="57"/>
      <c r="V7168" s="57"/>
      <c r="W7168" s="57"/>
      <c r="X7168" s="97">
        <v>0</v>
      </c>
    </row>
    <row r="7169" spans="1:24" s="75" customFormat="1" x14ac:dyDescent="0.35">
      <c r="A7169" s="75">
        <v>7165</v>
      </c>
      <c r="B7169" s="75">
        <v>7166</v>
      </c>
      <c r="C7169">
        <v>146.11404121800001</v>
      </c>
      <c r="D7169">
        <v>-17.613507278499899</v>
      </c>
      <c r="E7169" s="92" t="str">
        <f t="shared" si="22"/>
        <v/>
      </c>
      <c r="F7169" s="93" t="str">
        <f t="shared" si="21"/>
        <v>7166_20240611_0002_R_0201.jpg</v>
      </c>
      <c r="G7169" s="75" t="s">
        <v>7044</v>
      </c>
      <c r="I7169" s="75">
        <v>1</v>
      </c>
      <c r="K7169" s="97">
        <v>1</v>
      </c>
      <c r="L7169"/>
      <c r="M7169"/>
      <c r="N7169"/>
      <c r="O7169"/>
      <c r="P7169" s="57"/>
      <c r="Q7169" s="57"/>
      <c r="R7169" s="57"/>
      <c r="S7169" s="97">
        <v>0</v>
      </c>
      <c r="T7169" s="57"/>
      <c r="U7169" s="57"/>
      <c r="V7169" s="57"/>
      <c r="W7169" s="57"/>
      <c r="X7169" s="97">
        <v>0</v>
      </c>
    </row>
    <row r="7170" spans="1:24" s="75" customFormat="1" x14ac:dyDescent="0.35">
      <c r="A7170" s="75">
        <v>7166</v>
      </c>
      <c r="B7170" s="75">
        <v>7167</v>
      </c>
      <c r="C7170">
        <v>146.11410645800001</v>
      </c>
      <c r="D7170">
        <v>-17.613448421000001</v>
      </c>
      <c r="E7170" s="92" t="str">
        <f t="shared" si="22"/>
        <v/>
      </c>
      <c r="F7170" s="93" t="str">
        <f t="shared" si="21"/>
        <v>7167_20240611_0002_R_0199.jpg</v>
      </c>
      <c r="G7170" s="75" t="s">
        <v>7045</v>
      </c>
      <c r="I7170" s="75">
        <v>1</v>
      </c>
      <c r="K7170" s="97">
        <v>1</v>
      </c>
      <c r="L7170"/>
      <c r="M7170"/>
      <c r="N7170"/>
      <c r="O7170"/>
      <c r="P7170" s="57"/>
      <c r="Q7170" s="57"/>
      <c r="R7170" s="57"/>
      <c r="S7170" s="97">
        <v>0</v>
      </c>
      <c r="T7170" s="57"/>
      <c r="U7170" s="57"/>
      <c r="V7170" s="57"/>
      <c r="W7170" s="57"/>
      <c r="X7170" s="97">
        <v>0</v>
      </c>
    </row>
    <row r="7171" spans="1:24" s="75" customFormat="1" x14ac:dyDescent="0.35">
      <c r="A7171" s="75">
        <v>7167</v>
      </c>
      <c r="B7171" s="75">
        <v>7168</v>
      </c>
      <c r="C7171">
        <v>146.114177127999</v>
      </c>
      <c r="D7171">
        <v>-17.6133956792</v>
      </c>
      <c r="E7171" s="92" t="str">
        <f t="shared" si="22"/>
        <v/>
      </c>
      <c r="F7171" s="93" t="str">
        <f t="shared" si="21"/>
        <v>7168_20240611_0002_R_0195.jpg</v>
      </c>
      <c r="G7171" s="75" t="s">
        <v>7046</v>
      </c>
      <c r="I7171" s="75">
        <v>1</v>
      </c>
      <c r="K7171" s="97">
        <v>1</v>
      </c>
      <c r="L7171"/>
      <c r="M7171"/>
      <c r="N7171"/>
      <c r="O7171"/>
      <c r="P7171" s="57"/>
      <c r="Q7171" s="57"/>
      <c r="R7171" s="57"/>
      <c r="S7171" s="97">
        <v>0</v>
      </c>
      <c r="T7171" s="57"/>
      <c r="U7171" s="57"/>
      <c r="V7171" s="57"/>
      <c r="W7171" s="57"/>
      <c r="X7171" s="97">
        <v>0</v>
      </c>
    </row>
    <row r="7172" spans="1:24" s="75" customFormat="1" x14ac:dyDescent="0.35">
      <c r="A7172" s="75">
        <v>7168</v>
      </c>
      <c r="B7172" s="75">
        <v>7169</v>
      </c>
      <c r="C7172">
        <v>146.11424882700001</v>
      </c>
      <c r="D7172">
        <v>-17.6133440959</v>
      </c>
      <c r="E7172" s="92" t="str">
        <f t="shared" si="22"/>
        <v/>
      </c>
      <c r="F7172" s="93" t="str">
        <f t="shared" si="21"/>
        <v>7169_20240611_0002_R_0191.jpg</v>
      </c>
      <c r="G7172" s="75" t="s">
        <v>7047</v>
      </c>
      <c r="I7172" s="75">
        <v>1</v>
      </c>
      <c r="K7172" s="97">
        <v>1</v>
      </c>
      <c r="L7172"/>
      <c r="M7172"/>
      <c r="N7172"/>
      <c r="O7172"/>
      <c r="P7172" s="57"/>
      <c r="Q7172" s="57"/>
      <c r="R7172" s="57"/>
      <c r="S7172" s="97">
        <v>0</v>
      </c>
      <c r="T7172" s="57"/>
      <c r="U7172" s="57"/>
      <c r="V7172" s="57"/>
      <c r="W7172" s="57"/>
      <c r="X7172" s="97">
        <v>0</v>
      </c>
    </row>
    <row r="7173" spans="1:24" s="75" customFormat="1" x14ac:dyDescent="0.35">
      <c r="A7173" s="75">
        <v>7169</v>
      </c>
      <c r="B7173" s="75">
        <v>7170</v>
      </c>
      <c r="C7173">
        <v>146.11432052500001</v>
      </c>
      <c r="D7173">
        <v>-17.613292512600001</v>
      </c>
      <c r="E7173" s="92">
        <f t="shared" si="22"/>
        <v>50</v>
      </c>
      <c r="F7173" s="93" t="str">
        <f t="shared" si="21"/>
        <v>7170_20240611_0002_R_0187.jpg</v>
      </c>
      <c r="G7173" s="75" t="s">
        <v>7048</v>
      </c>
      <c r="I7173" s="75">
        <v>1</v>
      </c>
      <c r="K7173" s="97">
        <v>1</v>
      </c>
      <c r="L7173"/>
      <c r="M7173"/>
      <c r="N7173"/>
      <c r="O7173"/>
      <c r="P7173" s="57"/>
      <c r="Q7173" s="57"/>
      <c r="R7173" s="57"/>
      <c r="S7173" s="97">
        <v>0</v>
      </c>
      <c r="T7173" s="57"/>
      <c r="U7173" s="57"/>
      <c r="V7173" s="57"/>
      <c r="W7173" s="57"/>
      <c r="X7173" s="97">
        <v>0</v>
      </c>
    </row>
    <row r="7174" spans="1:24" s="75" customFormat="1" x14ac:dyDescent="0.35">
      <c r="A7174" s="75">
        <v>7170</v>
      </c>
      <c r="B7174" s="75">
        <v>7171</v>
      </c>
      <c r="C7174">
        <v>146.114392223999</v>
      </c>
      <c r="D7174">
        <v>-17.613240929300002</v>
      </c>
      <c r="E7174" s="92" t="str">
        <f t="shared" si="22"/>
        <v/>
      </c>
      <c r="F7174" s="93" t="str">
        <f t="shared" si="21"/>
        <v>7171_20240611_0002_R_0183.jpg</v>
      </c>
      <c r="G7174" s="75" t="s">
        <v>7049</v>
      </c>
      <c r="I7174" s="75">
        <v>1</v>
      </c>
      <c r="K7174" s="97">
        <v>1</v>
      </c>
      <c r="L7174"/>
      <c r="M7174"/>
      <c r="N7174"/>
      <c r="O7174"/>
      <c r="P7174" s="57"/>
      <c r="Q7174" s="57"/>
      <c r="R7174" s="57"/>
      <c r="S7174" s="97">
        <v>0</v>
      </c>
      <c r="T7174" s="57"/>
      <c r="U7174" s="57"/>
      <c r="V7174" s="57"/>
      <c r="W7174" s="57"/>
      <c r="X7174" s="97">
        <v>0</v>
      </c>
    </row>
    <row r="7175" spans="1:24" s="75" customFormat="1" x14ac:dyDescent="0.35">
      <c r="A7175" s="75">
        <v>7171</v>
      </c>
      <c r="B7175" s="75">
        <v>7172</v>
      </c>
      <c r="C7175">
        <v>146.114463921999</v>
      </c>
      <c r="D7175">
        <v>-17.6131893459</v>
      </c>
      <c r="E7175" s="92" t="str">
        <f t="shared" si="22"/>
        <v/>
      </c>
      <c r="F7175" s="93" t="str">
        <f t="shared" si="21"/>
        <v>7172_20240611_0002_R_0178.jpg</v>
      </c>
      <c r="G7175" s="75" t="s">
        <v>7050</v>
      </c>
      <c r="I7175" s="75">
        <v>1</v>
      </c>
      <c r="K7175" s="97">
        <v>1</v>
      </c>
      <c r="L7175"/>
      <c r="M7175"/>
      <c r="N7175"/>
      <c r="O7175"/>
      <c r="P7175" s="57"/>
      <c r="Q7175" s="57"/>
      <c r="R7175" s="57"/>
      <c r="S7175" s="97">
        <v>0</v>
      </c>
      <c r="T7175" s="57"/>
      <c r="U7175" s="57"/>
      <c r="V7175" s="57"/>
      <c r="W7175" s="57"/>
      <c r="X7175" s="97">
        <v>0</v>
      </c>
    </row>
    <row r="7176" spans="1:24" s="75" customFormat="1" x14ac:dyDescent="0.35">
      <c r="A7176" s="75">
        <v>7172</v>
      </c>
      <c r="B7176" s="75">
        <v>7173</v>
      </c>
      <c r="C7176">
        <v>146.11453562099899</v>
      </c>
      <c r="D7176">
        <v>-17.613137762600001</v>
      </c>
      <c r="E7176" s="92" t="str">
        <f t="shared" si="22"/>
        <v/>
      </c>
      <c r="F7176" s="93" t="str">
        <f t="shared" si="21"/>
        <v>7173_20240611_0002_R_0174.jpg</v>
      </c>
      <c r="G7176" s="75" t="s">
        <v>7051</v>
      </c>
      <c r="I7176" s="75">
        <v>1</v>
      </c>
      <c r="K7176" s="97">
        <v>1</v>
      </c>
      <c r="L7176"/>
      <c r="M7176"/>
      <c r="N7176"/>
      <c r="O7176"/>
      <c r="P7176" s="57"/>
      <c r="Q7176" s="57"/>
      <c r="R7176" s="57"/>
      <c r="S7176" s="97">
        <v>0</v>
      </c>
      <c r="T7176" s="57"/>
      <c r="U7176" s="57"/>
      <c r="V7176" s="57"/>
      <c r="W7176" s="57"/>
      <c r="X7176" s="97">
        <v>0</v>
      </c>
    </row>
    <row r="7177" spans="1:24" s="75" customFormat="1" x14ac:dyDescent="0.35">
      <c r="A7177" s="75">
        <v>7173</v>
      </c>
      <c r="B7177" s="75">
        <v>7174</v>
      </c>
      <c r="C7177">
        <v>146.114606839999</v>
      </c>
      <c r="D7177">
        <v>-17.613085584699899</v>
      </c>
      <c r="E7177" s="92" t="str">
        <f t="shared" si="22"/>
        <v/>
      </c>
      <c r="F7177" s="93" t="str">
        <f t="shared" si="21"/>
        <v>7174_20240611_0002_R_0170.jpg</v>
      </c>
      <c r="G7177" s="75" t="s">
        <v>7052</v>
      </c>
      <c r="I7177" s="75">
        <v>1</v>
      </c>
      <c r="K7177" s="97">
        <v>1</v>
      </c>
      <c r="L7177"/>
      <c r="M7177"/>
      <c r="N7177"/>
      <c r="O7177"/>
      <c r="P7177" s="57"/>
      <c r="Q7177" s="57"/>
      <c r="R7177" s="57"/>
      <c r="S7177" s="97">
        <v>0</v>
      </c>
      <c r="T7177" s="57"/>
      <c r="U7177" s="57"/>
      <c r="V7177" s="57"/>
      <c r="W7177" s="57"/>
      <c r="X7177" s="97">
        <v>0</v>
      </c>
    </row>
    <row r="7178" spans="1:24" s="75" customFormat="1" x14ac:dyDescent="0.35">
      <c r="A7178" s="75">
        <v>7174</v>
      </c>
      <c r="B7178" s="75">
        <v>7175</v>
      </c>
      <c r="C7178">
        <v>146.11467760900001</v>
      </c>
      <c r="D7178">
        <v>-17.613032848</v>
      </c>
      <c r="E7178" s="92">
        <f t="shared" si="22"/>
        <v>50</v>
      </c>
      <c r="F7178" s="93" t="str">
        <f t="shared" si="21"/>
        <v>7175_20240611_0002_R_0166.jpg</v>
      </c>
      <c r="G7178" s="75" t="s">
        <v>7053</v>
      </c>
      <c r="I7178" s="75">
        <v>1</v>
      </c>
      <c r="K7178" s="97">
        <v>1</v>
      </c>
      <c r="L7178"/>
      <c r="M7178"/>
      <c r="N7178"/>
      <c r="O7178"/>
      <c r="P7178" s="57"/>
      <c r="Q7178" s="57"/>
      <c r="R7178" s="57"/>
      <c r="S7178" s="97">
        <v>0</v>
      </c>
      <c r="T7178" s="57"/>
      <c r="U7178" s="57"/>
      <c r="V7178" s="57"/>
      <c r="W7178" s="57"/>
      <c r="X7178" s="97">
        <v>0</v>
      </c>
    </row>
    <row r="7179" spans="1:24" s="75" customFormat="1" x14ac:dyDescent="0.35">
      <c r="A7179" s="75">
        <v>7175</v>
      </c>
      <c r="B7179" s="75">
        <v>7176</v>
      </c>
      <c r="C7179">
        <v>146.114748378</v>
      </c>
      <c r="D7179">
        <v>-17.612980111199899</v>
      </c>
      <c r="E7179" s="92" t="str">
        <f t="shared" si="22"/>
        <v/>
      </c>
      <c r="F7179" s="93" t="str">
        <f t="shared" si="21"/>
        <v>7176_20240611_0002_R_0162.jpg</v>
      </c>
      <c r="G7179" s="75" t="s">
        <v>7054</v>
      </c>
      <c r="I7179" s="75">
        <v>1</v>
      </c>
      <c r="K7179" s="97">
        <v>1</v>
      </c>
      <c r="L7179"/>
      <c r="M7179"/>
      <c r="N7179"/>
      <c r="O7179"/>
      <c r="P7179" s="57"/>
      <c r="Q7179" s="57"/>
      <c r="R7179" s="57"/>
      <c r="S7179" s="97">
        <v>0</v>
      </c>
      <c r="T7179" s="57"/>
      <c r="U7179" s="57"/>
      <c r="V7179" s="57"/>
      <c r="W7179" s="57"/>
      <c r="X7179" s="97">
        <v>0</v>
      </c>
    </row>
    <row r="7180" spans="1:24" s="75" customFormat="1" x14ac:dyDescent="0.35">
      <c r="A7180" s="75">
        <v>7176</v>
      </c>
      <c r="B7180" s="75">
        <v>7177</v>
      </c>
      <c r="C7180">
        <v>146.114819146999</v>
      </c>
      <c r="D7180">
        <v>-17.612927374400002</v>
      </c>
      <c r="E7180" s="92" t="str">
        <f t="shared" si="22"/>
        <v/>
      </c>
      <c r="F7180" s="93" t="str">
        <f t="shared" si="21"/>
        <v>7177_20240611_0002_R_0158.jpg</v>
      </c>
      <c r="G7180" s="75" t="s">
        <v>7055</v>
      </c>
      <c r="I7180" s="75">
        <v>1</v>
      </c>
      <c r="K7180" s="97">
        <v>1</v>
      </c>
      <c r="L7180"/>
      <c r="M7180"/>
      <c r="N7180"/>
      <c r="O7180"/>
      <c r="P7180" s="57"/>
      <c r="Q7180" s="57"/>
      <c r="R7180" s="57"/>
      <c r="S7180" s="97">
        <v>0</v>
      </c>
      <c r="T7180" s="57"/>
      <c r="U7180" s="57"/>
      <c r="V7180" s="57"/>
      <c r="W7180" s="57"/>
      <c r="X7180" s="97">
        <v>0</v>
      </c>
    </row>
    <row r="7181" spans="1:24" s="75" customFormat="1" x14ac:dyDescent="0.35">
      <c r="A7181" s="75">
        <v>7177</v>
      </c>
      <c r="B7181" s="75">
        <v>7178</v>
      </c>
      <c r="C7181">
        <v>146.11488991600001</v>
      </c>
      <c r="D7181">
        <v>-17.612874637600001</v>
      </c>
      <c r="E7181" s="92" t="str">
        <f t="shared" si="22"/>
        <v/>
      </c>
      <c r="F7181" s="93" t="str">
        <f t="shared" ref="F7181:F7208" si="23">HYPERLINK("D:\Data From Lucan\2024\Moresby\Frames_for_Analysis\" &amp; G7181,G7181)</f>
        <v>7178_20240611_0002_R_0155.jpg</v>
      </c>
      <c r="G7181" s="75" t="s">
        <v>7056</v>
      </c>
      <c r="I7181" s="75">
        <v>1</v>
      </c>
      <c r="K7181" s="97">
        <v>1</v>
      </c>
      <c r="L7181"/>
      <c r="M7181"/>
      <c r="N7181"/>
      <c r="O7181"/>
      <c r="P7181" s="57"/>
      <c r="Q7181" s="57"/>
      <c r="R7181" s="57"/>
      <c r="S7181" s="97">
        <v>0</v>
      </c>
      <c r="T7181" s="57"/>
      <c r="U7181" s="57"/>
      <c r="V7181" s="57"/>
      <c r="W7181" s="57"/>
      <c r="X7181" s="97">
        <v>0</v>
      </c>
    </row>
    <row r="7182" spans="1:24" s="75" customFormat="1" x14ac:dyDescent="0.35">
      <c r="A7182" s="75">
        <v>7178</v>
      </c>
      <c r="B7182" s="75">
        <v>7179</v>
      </c>
      <c r="C7182">
        <v>146.114960685</v>
      </c>
      <c r="D7182">
        <v>-17.6128219008</v>
      </c>
      <c r="E7182" s="92" t="str">
        <f t="shared" si="22"/>
        <v/>
      </c>
      <c r="F7182" s="93" t="str">
        <f t="shared" si="23"/>
        <v>7179_20240611_0002_R_0151.jpg</v>
      </c>
      <c r="G7182" s="75" t="s">
        <v>7057</v>
      </c>
      <c r="I7182" s="75">
        <v>1</v>
      </c>
      <c r="K7182" s="97">
        <v>1</v>
      </c>
      <c r="L7182"/>
      <c r="M7182"/>
      <c r="N7182"/>
      <c r="O7182"/>
      <c r="P7182" s="57"/>
      <c r="Q7182" s="57"/>
      <c r="R7182" s="57"/>
      <c r="S7182" s="97">
        <v>0</v>
      </c>
      <c r="T7182" s="57"/>
      <c r="U7182" s="57"/>
      <c r="V7182" s="57"/>
      <c r="W7182" s="57"/>
      <c r="X7182" s="97">
        <v>0</v>
      </c>
    </row>
    <row r="7183" spans="1:24" s="75" customFormat="1" x14ac:dyDescent="0.35">
      <c r="A7183" s="75">
        <v>7179</v>
      </c>
      <c r="B7183" s="75">
        <v>7180</v>
      </c>
      <c r="C7183">
        <v>146.115030789999</v>
      </c>
      <c r="D7183">
        <v>-17.6127684006</v>
      </c>
      <c r="E7183" s="92">
        <f t="shared" si="22"/>
        <v>50</v>
      </c>
      <c r="F7183" s="93" t="str">
        <f t="shared" si="23"/>
        <v>7180_20240611_0002_R_0148.jpg</v>
      </c>
      <c r="G7183" s="75" t="s">
        <v>7058</v>
      </c>
      <c r="I7183" s="75">
        <v>1</v>
      </c>
      <c r="K7183" s="97">
        <v>1</v>
      </c>
      <c r="L7183"/>
      <c r="M7183"/>
      <c r="N7183"/>
      <c r="O7183"/>
      <c r="P7183" s="57"/>
      <c r="Q7183" s="57"/>
      <c r="R7183" s="57"/>
      <c r="S7183" s="97">
        <v>0</v>
      </c>
      <c r="T7183" s="57"/>
      <c r="U7183" s="57"/>
      <c r="V7183" s="57"/>
      <c r="W7183" s="57"/>
      <c r="X7183" s="97">
        <v>0</v>
      </c>
    </row>
    <row r="7184" spans="1:24" s="75" customFormat="1" x14ac:dyDescent="0.35">
      <c r="A7184" s="75">
        <v>7180</v>
      </c>
      <c r="B7184" s="75">
        <v>7181</v>
      </c>
      <c r="C7184">
        <v>146.11509829299899</v>
      </c>
      <c r="D7184">
        <v>-17.612711908600001</v>
      </c>
      <c r="E7184" s="92" t="str">
        <f t="shared" ref="E7184:E7247" si="24">IF(MOD(B7184,5)=0, 50, "")</f>
        <v/>
      </c>
      <c r="F7184" s="93" t="str">
        <f t="shared" si="23"/>
        <v>7181_20240611_0002_R_0144.jpg</v>
      </c>
      <c r="G7184" s="75" t="s">
        <v>7059</v>
      </c>
      <c r="I7184" s="75">
        <v>1</v>
      </c>
      <c r="K7184" s="97">
        <v>1</v>
      </c>
      <c r="L7184"/>
      <c r="M7184"/>
      <c r="N7184"/>
      <c r="O7184"/>
      <c r="P7184" s="57"/>
      <c r="Q7184" s="57"/>
      <c r="R7184" s="57"/>
      <c r="S7184" s="97">
        <v>0</v>
      </c>
      <c r="T7184" s="57"/>
      <c r="U7184" s="57"/>
      <c r="V7184" s="57"/>
      <c r="W7184" s="57"/>
      <c r="X7184" s="97">
        <v>0</v>
      </c>
    </row>
    <row r="7185" spans="1:24" s="75" customFormat="1" x14ac:dyDescent="0.35">
      <c r="A7185" s="75">
        <v>7181</v>
      </c>
      <c r="B7185" s="75">
        <v>7182</v>
      </c>
      <c r="C7185">
        <v>146.115165797</v>
      </c>
      <c r="D7185">
        <v>-17.6126554167999</v>
      </c>
      <c r="E7185" s="92" t="str">
        <f t="shared" si="24"/>
        <v/>
      </c>
      <c r="F7185" s="93" t="str">
        <f t="shared" si="23"/>
        <v>7182_20240611_0002_R_0140.jpg</v>
      </c>
      <c r="G7185" s="75" t="s">
        <v>7060</v>
      </c>
      <c r="I7185" s="75">
        <v>1</v>
      </c>
      <c r="K7185" s="97">
        <v>1</v>
      </c>
      <c r="L7185"/>
      <c r="M7185"/>
      <c r="N7185"/>
      <c r="O7185"/>
      <c r="P7185" s="57"/>
      <c r="Q7185" s="57"/>
      <c r="R7185" s="57"/>
      <c r="S7185" s="97">
        <v>0</v>
      </c>
      <c r="T7185" s="57"/>
      <c r="U7185" s="57"/>
      <c r="V7185" s="57"/>
      <c r="W7185" s="57"/>
      <c r="X7185" s="97">
        <v>0</v>
      </c>
    </row>
    <row r="7186" spans="1:24" s="75" customFormat="1" x14ac:dyDescent="0.35">
      <c r="A7186" s="75">
        <v>7182</v>
      </c>
      <c r="B7186" s="75">
        <v>7183</v>
      </c>
      <c r="C7186">
        <v>146.11523330099899</v>
      </c>
      <c r="D7186">
        <v>-17.612598925099899</v>
      </c>
      <c r="E7186" s="92" t="str">
        <f t="shared" si="24"/>
        <v/>
      </c>
      <c r="F7186" s="93" t="str">
        <f t="shared" si="23"/>
        <v>7183_20240611_0002_R_0136.jpg</v>
      </c>
      <c r="G7186" s="75" t="s">
        <v>7061</v>
      </c>
      <c r="I7186" s="75">
        <v>1</v>
      </c>
      <c r="K7186" s="97">
        <v>1</v>
      </c>
      <c r="L7186"/>
      <c r="M7186"/>
      <c r="N7186"/>
      <c r="O7186"/>
      <c r="P7186" s="57"/>
      <c r="Q7186" s="57"/>
      <c r="R7186" s="57"/>
      <c r="S7186" s="97">
        <v>0</v>
      </c>
      <c r="T7186" s="57"/>
      <c r="U7186" s="57"/>
      <c r="V7186" s="57"/>
      <c r="W7186" s="57"/>
      <c r="X7186" s="97">
        <v>0</v>
      </c>
    </row>
    <row r="7187" spans="1:24" s="75" customFormat="1" x14ac:dyDescent="0.35">
      <c r="A7187" s="75">
        <v>7183</v>
      </c>
      <c r="B7187" s="75">
        <v>7184</v>
      </c>
      <c r="C7187">
        <v>146.115300805</v>
      </c>
      <c r="D7187">
        <v>-17.6125424333</v>
      </c>
      <c r="E7187" s="92" t="str">
        <f t="shared" si="24"/>
        <v/>
      </c>
      <c r="F7187" s="93" t="str">
        <f t="shared" si="23"/>
        <v>7184_20240611_0002_R_0132.jpg</v>
      </c>
      <c r="G7187" s="75" t="s">
        <v>7062</v>
      </c>
      <c r="I7187" s="75">
        <v>1</v>
      </c>
      <c r="K7187" s="97">
        <v>1</v>
      </c>
      <c r="L7187"/>
      <c r="M7187"/>
      <c r="N7187"/>
      <c r="O7187"/>
      <c r="P7187" s="57"/>
      <c r="Q7187" s="57"/>
      <c r="R7187" s="57"/>
      <c r="S7187" s="97">
        <v>0</v>
      </c>
      <c r="T7187" s="57"/>
      <c r="U7187" s="57"/>
      <c r="V7187" s="57"/>
      <c r="W7187" s="57"/>
      <c r="X7187" s="97">
        <v>0</v>
      </c>
    </row>
    <row r="7188" spans="1:24" s="75" customFormat="1" x14ac:dyDescent="0.35">
      <c r="A7188" s="75">
        <v>7184</v>
      </c>
      <c r="B7188" s="75">
        <v>7185</v>
      </c>
      <c r="C7188">
        <v>146.11536068500001</v>
      </c>
      <c r="D7188">
        <v>-17.612478675599899</v>
      </c>
      <c r="E7188" s="92">
        <f t="shared" si="24"/>
        <v>50</v>
      </c>
      <c r="F7188" s="93" t="str">
        <f t="shared" si="23"/>
        <v>7185_20240611_0002_R_0128.jpg</v>
      </c>
      <c r="G7188" s="75" t="s">
        <v>7063</v>
      </c>
      <c r="I7188" s="75">
        <v>1</v>
      </c>
      <c r="K7188" s="97">
        <v>1</v>
      </c>
      <c r="L7188"/>
      <c r="M7188"/>
      <c r="N7188"/>
      <c r="O7188"/>
      <c r="P7188" s="57"/>
      <c r="Q7188" s="57"/>
      <c r="R7188" s="57"/>
      <c r="S7188" s="97">
        <v>0</v>
      </c>
      <c r="T7188" s="57"/>
      <c r="U7188" s="57"/>
      <c r="V7188" s="57"/>
      <c r="W7188" s="57"/>
      <c r="X7188" s="97">
        <v>0</v>
      </c>
    </row>
    <row r="7189" spans="1:24" s="75" customFormat="1" x14ac:dyDescent="0.35">
      <c r="A7189" s="75">
        <v>7185</v>
      </c>
      <c r="B7189" s="75">
        <v>7186</v>
      </c>
      <c r="C7189">
        <v>146.11541994999899</v>
      </c>
      <c r="D7189">
        <v>-17.612414332499899</v>
      </c>
      <c r="E7189" s="92" t="str">
        <f t="shared" si="24"/>
        <v/>
      </c>
      <c r="F7189" s="93" t="str">
        <f t="shared" si="23"/>
        <v>7186_20240611_0002_R_0125.jpg</v>
      </c>
      <c r="G7189" s="75" t="s">
        <v>7064</v>
      </c>
      <c r="I7189" s="75">
        <v>1</v>
      </c>
      <c r="K7189" s="97">
        <v>1</v>
      </c>
      <c r="L7189"/>
      <c r="M7189"/>
      <c r="N7189"/>
      <c r="O7189"/>
      <c r="P7189" s="57"/>
      <c r="Q7189" s="57"/>
      <c r="R7189" s="57"/>
      <c r="S7189" s="97">
        <v>0</v>
      </c>
      <c r="T7189" s="57"/>
      <c r="U7189" s="57"/>
      <c r="V7189" s="57"/>
      <c r="W7189" s="57"/>
      <c r="X7189" s="97">
        <v>0</v>
      </c>
    </row>
    <row r="7190" spans="1:24" s="75" customFormat="1" x14ac:dyDescent="0.35">
      <c r="A7190" s="75">
        <v>7186</v>
      </c>
      <c r="B7190" s="75">
        <v>7187</v>
      </c>
      <c r="C7190">
        <v>146.115458644</v>
      </c>
      <c r="D7190">
        <v>-17.6123403904</v>
      </c>
      <c r="E7190" s="92" t="str">
        <f t="shared" si="24"/>
        <v/>
      </c>
      <c r="F7190" s="93" t="str">
        <f t="shared" si="23"/>
        <v>7187_20240611_0002_R_0122.jpg</v>
      </c>
      <c r="G7190" s="75" t="s">
        <v>7065</v>
      </c>
      <c r="I7190" s="75">
        <v>1</v>
      </c>
      <c r="K7190" s="97">
        <v>1</v>
      </c>
      <c r="L7190"/>
      <c r="M7190"/>
      <c r="N7190"/>
      <c r="O7190"/>
      <c r="P7190" s="57"/>
      <c r="Q7190" s="57"/>
      <c r="R7190" s="57"/>
      <c r="S7190" s="97">
        <v>0</v>
      </c>
      <c r="T7190" s="57"/>
      <c r="U7190" s="57"/>
      <c r="V7190" s="57"/>
      <c r="W7190" s="57"/>
      <c r="X7190" s="97">
        <v>0</v>
      </c>
    </row>
    <row r="7191" spans="1:24" s="75" customFormat="1" x14ac:dyDescent="0.35">
      <c r="A7191" s="75">
        <v>7187</v>
      </c>
      <c r="B7191" s="75">
        <v>7188</v>
      </c>
      <c r="C7191">
        <v>146.115475610999</v>
      </c>
      <c r="D7191">
        <v>-17.6122563107999</v>
      </c>
      <c r="E7191" s="92" t="str">
        <f t="shared" si="24"/>
        <v/>
      </c>
      <c r="F7191" s="93" t="str">
        <f t="shared" si="23"/>
        <v>7188_20240611_0002_R_0119.jpg</v>
      </c>
      <c r="G7191" s="75" t="s">
        <v>7066</v>
      </c>
      <c r="I7191" s="75">
        <v>1</v>
      </c>
      <c r="K7191" s="97">
        <v>1</v>
      </c>
      <c r="L7191"/>
      <c r="M7191"/>
      <c r="N7191"/>
      <c r="O7191"/>
      <c r="P7191" s="57"/>
      <c r="Q7191" s="57"/>
      <c r="R7191" s="57"/>
      <c r="S7191" s="97">
        <v>0</v>
      </c>
      <c r="T7191" s="57"/>
      <c r="U7191" s="57"/>
      <c r="V7191" s="57"/>
      <c r="W7191" s="57"/>
      <c r="X7191" s="97">
        <v>0</v>
      </c>
    </row>
    <row r="7192" spans="1:24" s="75" customFormat="1" x14ac:dyDescent="0.35">
      <c r="A7192" s="75">
        <v>7188</v>
      </c>
      <c r="B7192" s="75">
        <v>7189</v>
      </c>
      <c r="C7192">
        <v>146.115492614</v>
      </c>
      <c r="D7192">
        <v>-17.612172237700001</v>
      </c>
      <c r="E7192" s="92" t="str">
        <f t="shared" si="24"/>
        <v/>
      </c>
      <c r="F7192" s="93" t="str">
        <f t="shared" si="23"/>
        <v>7189_20240611_0002_R_0116.jpg</v>
      </c>
      <c r="G7192" s="75" t="s">
        <v>7067</v>
      </c>
      <c r="I7192" s="75">
        <v>1</v>
      </c>
      <c r="K7192" s="97">
        <v>1</v>
      </c>
      <c r="L7192"/>
      <c r="M7192"/>
      <c r="N7192"/>
      <c r="O7192"/>
      <c r="P7192" s="57"/>
      <c r="Q7192" s="57"/>
      <c r="R7192" s="57"/>
      <c r="S7192" s="97">
        <v>0</v>
      </c>
      <c r="T7192" s="57"/>
      <c r="U7192" s="57"/>
      <c r="V7192" s="57"/>
      <c r="W7192" s="57"/>
      <c r="X7192" s="97">
        <v>0</v>
      </c>
    </row>
    <row r="7193" spans="1:24" s="75" customFormat="1" x14ac:dyDescent="0.35">
      <c r="A7193" s="75">
        <v>7189</v>
      </c>
      <c r="B7193" s="75">
        <v>7190</v>
      </c>
      <c r="C7193">
        <v>146.115509618999</v>
      </c>
      <c r="D7193">
        <v>-17.6120881649999</v>
      </c>
      <c r="E7193" s="92">
        <f t="shared" si="24"/>
        <v>50</v>
      </c>
      <c r="F7193" s="93" t="str">
        <f t="shared" si="23"/>
        <v>7190_20240611_0002_R_0113.jpg</v>
      </c>
      <c r="G7193" s="75" t="s">
        <v>7068</v>
      </c>
      <c r="I7193" s="75">
        <v>1</v>
      </c>
      <c r="K7193" s="97">
        <v>1</v>
      </c>
      <c r="L7193"/>
      <c r="M7193"/>
      <c r="N7193"/>
      <c r="O7193"/>
      <c r="P7193" s="57"/>
      <c r="Q7193" s="57"/>
      <c r="R7193" s="57"/>
      <c r="S7193" s="97">
        <v>0</v>
      </c>
      <c r="T7193" s="57"/>
      <c r="U7193" s="57"/>
      <c r="V7193" s="57"/>
      <c r="W7193" s="57"/>
      <c r="X7193" s="97">
        <v>0</v>
      </c>
    </row>
    <row r="7194" spans="1:24" s="75" customFormat="1" x14ac:dyDescent="0.35">
      <c r="A7194" s="75">
        <v>7190</v>
      </c>
      <c r="B7194" s="75">
        <v>7191</v>
      </c>
      <c r="C7194">
        <v>146.11551404400001</v>
      </c>
      <c r="D7194">
        <v>-17.61200418</v>
      </c>
      <c r="E7194" s="92" t="str">
        <f t="shared" si="24"/>
        <v/>
      </c>
      <c r="F7194" s="93" t="str">
        <f t="shared" si="23"/>
        <v>7191_20240611_0002_R_0110.jpg</v>
      </c>
      <c r="G7194" s="75" t="s">
        <v>7069</v>
      </c>
      <c r="I7194" s="75">
        <v>1</v>
      </c>
      <c r="K7194" s="97">
        <v>1</v>
      </c>
      <c r="L7194"/>
      <c r="M7194"/>
      <c r="N7194"/>
      <c r="O7194"/>
      <c r="P7194" s="57"/>
      <c r="Q7194" s="57"/>
      <c r="R7194" s="57"/>
      <c r="S7194" s="97">
        <v>0</v>
      </c>
      <c r="T7194" s="57"/>
      <c r="U7194" s="57"/>
      <c r="V7194" s="57"/>
      <c r="W7194" s="57"/>
      <c r="X7194" s="97">
        <v>0</v>
      </c>
    </row>
    <row r="7195" spans="1:24" s="75" customFormat="1" x14ac:dyDescent="0.35">
      <c r="A7195" s="75">
        <v>7191</v>
      </c>
      <c r="B7195" s="75">
        <v>7192</v>
      </c>
      <c r="C7195">
        <v>146.115495479</v>
      </c>
      <c r="D7195">
        <v>-17.611920407300001</v>
      </c>
      <c r="E7195" s="92" t="str">
        <f t="shared" si="24"/>
        <v/>
      </c>
      <c r="F7195" s="93" t="str">
        <f t="shared" si="23"/>
        <v>7192_20240611_0002_R_0108.jpg</v>
      </c>
      <c r="G7195" s="75" t="s">
        <v>7070</v>
      </c>
      <c r="I7195" s="75">
        <v>1</v>
      </c>
      <c r="K7195" s="97">
        <v>1</v>
      </c>
      <c r="L7195"/>
      <c r="M7195"/>
      <c r="N7195"/>
      <c r="O7195"/>
      <c r="P7195" s="57"/>
      <c r="Q7195" s="57"/>
      <c r="R7195" s="57"/>
      <c r="S7195" s="97">
        <v>0</v>
      </c>
      <c r="T7195" s="57"/>
      <c r="U7195" s="57"/>
      <c r="V7195" s="57"/>
      <c r="W7195" s="57"/>
      <c r="X7195" s="97">
        <v>0</v>
      </c>
    </row>
    <row r="7196" spans="1:24" s="75" customFormat="1" x14ac:dyDescent="0.35">
      <c r="A7196" s="75">
        <v>7192</v>
      </c>
      <c r="B7196" s="75">
        <v>7193</v>
      </c>
      <c r="C7196">
        <v>146.11547589200001</v>
      </c>
      <c r="D7196">
        <v>-17.611836851500001</v>
      </c>
      <c r="E7196" s="92" t="str">
        <f t="shared" si="24"/>
        <v/>
      </c>
      <c r="F7196" s="93" t="str">
        <f t="shared" si="23"/>
        <v>7193_20240611_0002_R_0105.jpg</v>
      </c>
      <c r="G7196" s="75" t="s">
        <v>7071</v>
      </c>
      <c r="I7196" s="75">
        <v>1</v>
      </c>
      <c r="K7196" s="97">
        <v>1</v>
      </c>
      <c r="L7196"/>
      <c r="M7196"/>
      <c r="N7196"/>
      <c r="O7196"/>
      <c r="P7196" s="57"/>
      <c r="Q7196" s="57"/>
      <c r="R7196" s="57"/>
      <c r="S7196" s="97">
        <v>0</v>
      </c>
      <c r="T7196" s="57"/>
      <c r="U7196" s="57"/>
      <c r="V7196" s="57"/>
      <c r="W7196" s="57"/>
      <c r="X7196" s="97">
        <v>0</v>
      </c>
    </row>
    <row r="7197" spans="1:24" s="75" customFormat="1" x14ac:dyDescent="0.35">
      <c r="A7197" s="75">
        <v>7193</v>
      </c>
      <c r="B7197" s="75">
        <v>7194</v>
      </c>
      <c r="C7197">
        <v>146.11545545499899</v>
      </c>
      <c r="D7197">
        <v>-17.611753475800001</v>
      </c>
      <c r="E7197" s="92" t="str">
        <f t="shared" si="24"/>
        <v/>
      </c>
      <c r="F7197" s="93" t="str">
        <f t="shared" si="23"/>
        <v>7194_20240611_0002_R_0102.jpg</v>
      </c>
      <c r="G7197" s="75" t="s">
        <v>7072</v>
      </c>
      <c r="I7197" s="75">
        <v>1</v>
      </c>
      <c r="K7197" s="97">
        <v>1</v>
      </c>
      <c r="L7197"/>
      <c r="M7197"/>
      <c r="N7197"/>
      <c r="O7197"/>
      <c r="P7197" s="57"/>
      <c r="Q7197" s="57"/>
      <c r="R7197" s="57"/>
      <c r="S7197" s="97">
        <v>0</v>
      </c>
      <c r="T7197" s="57"/>
      <c r="U7197" s="57"/>
      <c r="V7197" s="57"/>
      <c r="W7197" s="57"/>
      <c r="X7197" s="97">
        <v>0</v>
      </c>
    </row>
    <row r="7198" spans="1:24" s="75" customFormat="1" x14ac:dyDescent="0.35">
      <c r="A7198" s="75">
        <v>7194</v>
      </c>
      <c r="B7198" s="75">
        <v>7195</v>
      </c>
      <c r="C7198">
        <v>146.11544214400001</v>
      </c>
      <c r="D7198">
        <v>-17.6116690066</v>
      </c>
      <c r="E7198" s="92">
        <f t="shared" si="24"/>
        <v>50</v>
      </c>
      <c r="F7198" s="93" t="str">
        <f t="shared" si="23"/>
        <v>7195_20240611_0002_R_0099.jpg</v>
      </c>
      <c r="G7198" s="75" t="s">
        <v>7073</v>
      </c>
      <c r="I7198" s="75">
        <v>1</v>
      </c>
      <c r="K7198" s="97">
        <v>1</v>
      </c>
      <c r="L7198"/>
      <c r="M7198"/>
      <c r="N7198"/>
      <c r="O7198"/>
      <c r="P7198" s="57"/>
      <c r="Q7198" s="57"/>
      <c r="R7198" s="57"/>
      <c r="S7198" s="97">
        <v>0</v>
      </c>
      <c r="T7198" s="57"/>
      <c r="U7198" s="57"/>
      <c r="V7198" s="57"/>
      <c r="W7198" s="57"/>
      <c r="X7198" s="97">
        <v>0</v>
      </c>
    </row>
    <row r="7199" spans="1:24" s="75" customFormat="1" x14ac:dyDescent="0.35">
      <c r="A7199" s="75">
        <v>7195</v>
      </c>
      <c r="B7199" s="75">
        <v>7196</v>
      </c>
      <c r="C7199">
        <v>146.11543409500001</v>
      </c>
      <c r="D7199">
        <v>-17.611583729900001</v>
      </c>
      <c r="E7199" s="92" t="str">
        <f t="shared" si="24"/>
        <v/>
      </c>
      <c r="F7199" s="93" t="str">
        <f t="shared" si="23"/>
        <v>7196_20240611_0002_R_0093.jpg</v>
      </c>
      <c r="G7199" s="75" t="s">
        <v>7074</v>
      </c>
      <c r="I7199" s="75">
        <v>1</v>
      </c>
      <c r="K7199" s="97">
        <v>1</v>
      </c>
      <c r="L7199"/>
      <c r="M7199"/>
      <c r="N7199"/>
      <c r="O7199"/>
      <c r="P7199" s="57"/>
      <c r="Q7199" s="57"/>
      <c r="R7199" s="57"/>
      <c r="S7199" s="97">
        <v>0</v>
      </c>
      <c r="T7199" s="57"/>
      <c r="U7199" s="57"/>
      <c r="V7199" s="57"/>
      <c r="W7199" s="57"/>
      <c r="X7199" s="97">
        <v>0</v>
      </c>
    </row>
    <row r="7200" spans="1:24" s="75" customFormat="1" x14ac:dyDescent="0.35">
      <c r="A7200" s="75">
        <v>7196</v>
      </c>
      <c r="B7200" s="75">
        <v>7197</v>
      </c>
      <c r="C7200">
        <v>146.11544225700001</v>
      </c>
      <c r="D7200">
        <v>-17.611498524999899</v>
      </c>
      <c r="E7200" s="92" t="str">
        <f t="shared" si="24"/>
        <v/>
      </c>
      <c r="F7200" s="93" t="str">
        <f t="shared" si="23"/>
        <v>7197_20240611_0002_R_0085.jpg</v>
      </c>
      <c r="G7200" s="75" t="s">
        <v>7075</v>
      </c>
      <c r="I7200" s="75">
        <v>1</v>
      </c>
      <c r="K7200" s="97">
        <v>1</v>
      </c>
      <c r="L7200"/>
      <c r="M7200"/>
      <c r="N7200"/>
      <c r="O7200"/>
      <c r="P7200" s="57"/>
      <c r="Q7200" s="57"/>
      <c r="R7200" s="57"/>
      <c r="S7200" s="97">
        <v>0</v>
      </c>
      <c r="T7200" s="57"/>
      <c r="U7200" s="57"/>
      <c r="V7200" s="57"/>
      <c r="W7200" s="57"/>
      <c r="X7200" s="97">
        <v>0</v>
      </c>
    </row>
    <row r="7201" spans="1:24" s="75" customFormat="1" x14ac:dyDescent="0.35">
      <c r="A7201" s="75">
        <v>7197</v>
      </c>
      <c r="B7201" s="75">
        <v>7198</v>
      </c>
      <c r="C7201">
        <v>146.11544826100001</v>
      </c>
      <c r="D7201">
        <v>-17.611413181100001</v>
      </c>
      <c r="E7201" s="92" t="str">
        <f t="shared" si="24"/>
        <v/>
      </c>
      <c r="F7201" s="93" t="str">
        <f t="shared" si="23"/>
        <v>7198_20240611_0002_R_0081.jpg</v>
      </c>
      <c r="G7201" s="75" t="s">
        <v>7076</v>
      </c>
      <c r="I7201" s="75">
        <v>1</v>
      </c>
      <c r="K7201" s="97">
        <v>1</v>
      </c>
      <c r="L7201"/>
      <c r="M7201"/>
      <c r="N7201"/>
      <c r="O7201"/>
      <c r="P7201" s="57"/>
      <c r="Q7201" s="57"/>
      <c r="R7201" s="57"/>
      <c r="S7201" s="97">
        <v>0</v>
      </c>
      <c r="T7201" s="57"/>
      <c r="U7201" s="57"/>
      <c r="V7201" s="57"/>
      <c r="W7201" s="57"/>
      <c r="X7201" s="97">
        <v>0</v>
      </c>
    </row>
    <row r="7202" spans="1:24" s="75" customFormat="1" x14ac:dyDescent="0.35">
      <c r="A7202" s="75">
        <v>7198</v>
      </c>
      <c r="B7202" s="75">
        <v>7199</v>
      </c>
      <c r="C7202">
        <v>146.115446023999</v>
      </c>
      <c r="D7202">
        <v>-17.611327885600002</v>
      </c>
      <c r="E7202" s="92" t="str">
        <f t="shared" si="24"/>
        <v/>
      </c>
      <c r="F7202" s="93" t="str">
        <f t="shared" si="23"/>
        <v>7199_20240611_0002_R_0079.jpg</v>
      </c>
      <c r="G7202" s="75" t="s">
        <v>7077</v>
      </c>
      <c r="I7202" s="75">
        <v>1</v>
      </c>
      <c r="K7202" s="97">
        <v>1</v>
      </c>
      <c r="L7202"/>
      <c r="M7202"/>
      <c r="N7202"/>
      <c r="O7202"/>
      <c r="P7202" s="57"/>
      <c r="Q7202" s="57"/>
      <c r="R7202" s="57"/>
      <c r="S7202" s="97">
        <v>0</v>
      </c>
      <c r="T7202" s="57"/>
      <c r="U7202" s="57"/>
      <c r="V7202" s="57"/>
      <c r="W7202" s="57"/>
      <c r="X7202" s="97">
        <v>0</v>
      </c>
    </row>
    <row r="7203" spans="1:24" s="75" customFormat="1" x14ac:dyDescent="0.35">
      <c r="A7203" s="75">
        <v>7199</v>
      </c>
      <c r="B7203" s="75">
        <v>7200</v>
      </c>
      <c r="C7203">
        <v>146.115422924</v>
      </c>
      <c r="D7203">
        <v>-17.6112451435</v>
      </c>
      <c r="E7203" s="92">
        <f t="shared" si="24"/>
        <v>50</v>
      </c>
      <c r="F7203" s="93" t="str">
        <f t="shared" si="23"/>
        <v>7200_20240611_0002_R_0077.jpg</v>
      </c>
      <c r="G7203" s="75" t="s">
        <v>7078</v>
      </c>
      <c r="I7203" s="75">
        <v>1</v>
      </c>
      <c r="K7203" s="97">
        <v>1</v>
      </c>
      <c r="L7203"/>
      <c r="M7203"/>
      <c r="N7203"/>
      <c r="O7203"/>
      <c r="P7203" s="57"/>
      <c r="Q7203" s="57"/>
      <c r="R7203" s="57"/>
      <c r="S7203" s="97">
        <v>0</v>
      </c>
      <c r="T7203" s="57"/>
      <c r="U7203" s="57"/>
      <c r="V7203" s="57"/>
      <c r="W7203" s="57"/>
      <c r="X7203" s="97">
        <v>0</v>
      </c>
    </row>
    <row r="7204" spans="1:24" s="75" customFormat="1" x14ac:dyDescent="0.35">
      <c r="A7204" s="75">
        <v>7200</v>
      </c>
      <c r="B7204" s="75">
        <v>7201</v>
      </c>
      <c r="C7204">
        <v>146.115399824999</v>
      </c>
      <c r="D7204">
        <v>-17.611162401200001</v>
      </c>
      <c r="E7204" s="92" t="str">
        <f t="shared" si="24"/>
        <v/>
      </c>
      <c r="F7204" s="93"/>
      <c r="I7204" s="75">
        <v>1</v>
      </c>
      <c r="J7204" s="75" t="s">
        <v>26</v>
      </c>
      <c r="K7204" s="97" t="s">
        <v>26</v>
      </c>
      <c r="L7204"/>
      <c r="M7204"/>
      <c r="N7204"/>
      <c r="O7204"/>
      <c r="P7204" s="57"/>
      <c r="Q7204" s="57"/>
      <c r="R7204" s="57"/>
      <c r="S7204" s="97"/>
      <c r="T7204" s="57"/>
      <c r="U7204" s="57"/>
      <c r="V7204" s="57"/>
      <c r="W7204" s="57"/>
      <c r="X7204" s="97"/>
    </row>
    <row r="7205" spans="1:24" s="75" customFormat="1" x14ac:dyDescent="0.35">
      <c r="A7205" s="75">
        <v>7201</v>
      </c>
      <c r="B7205" s="75">
        <v>7202</v>
      </c>
      <c r="C7205">
        <v>146.11536862700001</v>
      </c>
      <c r="D7205">
        <v>-17.611082549900001</v>
      </c>
      <c r="E7205" s="92" t="str">
        <f t="shared" si="24"/>
        <v/>
      </c>
      <c r="F7205" s="93"/>
      <c r="I7205" s="75">
        <v>1</v>
      </c>
      <c r="J7205" s="75" t="s">
        <v>26</v>
      </c>
      <c r="K7205" s="97" t="s">
        <v>26</v>
      </c>
      <c r="L7205"/>
      <c r="M7205"/>
      <c r="N7205"/>
      <c r="O7205"/>
      <c r="P7205" s="57"/>
      <c r="Q7205" s="57"/>
      <c r="R7205" s="57"/>
      <c r="S7205" s="97"/>
      <c r="T7205" s="57"/>
      <c r="U7205" s="57"/>
      <c r="V7205" s="57"/>
      <c r="W7205" s="57"/>
      <c r="X7205" s="97"/>
    </row>
    <row r="7206" spans="1:24" s="75" customFormat="1" x14ac:dyDescent="0.35">
      <c r="A7206" s="75">
        <v>7202</v>
      </c>
      <c r="B7206" s="75">
        <v>7203</v>
      </c>
      <c r="C7206">
        <v>146.115329024</v>
      </c>
      <c r="D7206">
        <v>-17.6110056982</v>
      </c>
      <c r="E7206" s="92" t="str">
        <f t="shared" si="24"/>
        <v/>
      </c>
      <c r="F7206" s="93" t="str">
        <f t="shared" si="23"/>
        <v>7203_20240611_0002_R_0076.jpg</v>
      </c>
      <c r="G7206" s="75" t="s">
        <v>7079</v>
      </c>
      <c r="I7206" s="75">
        <v>1</v>
      </c>
      <c r="K7206" s="97">
        <v>1</v>
      </c>
      <c r="L7206"/>
      <c r="M7206"/>
      <c r="N7206"/>
      <c r="O7206"/>
      <c r="P7206" s="57"/>
      <c r="Q7206" s="57"/>
      <c r="R7206" s="57"/>
      <c r="S7206" s="97">
        <v>0</v>
      </c>
      <c r="T7206" s="57"/>
      <c r="U7206" s="57"/>
      <c r="V7206" s="57"/>
      <c r="W7206" s="57"/>
      <c r="X7206" s="97">
        <v>0</v>
      </c>
    </row>
    <row r="7207" spans="1:24" s="75" customFormat="1" x14ac:dyDescent="0.35">
      <c r="A7207" s="75">
        <v>7203</v>
      </c>
      <c r="B7207" s="75">
        <v>7204</v>
      </c>
      <c r="C7207">
        <v>146.115289421</v>
      </c>
      <c r="D7207">
        <v>-17.610928846499899</v>
      </c>
      <c r="E7207" s="92" t="str">
        <f t="shared" si="24"/>
        <v/>
      </c>
      <c r="F7207" s="93"/>
      <c r="I7207" s="75">
        <v>1</v>
      </c>
      <c r="J7207" s="75" t="s">
        <v>26</v>
      </c>
      <c r="K7207" s="97" t="s">
        <v>26</v>
      </c>
      <c r="L7207"/>
      <c r="M7207"/>
      <c r="N7207"/>
      <c r="O7207"/>
      <c r="P7207" s="57"/>
      <c r="Q7207" s="57"/>
      <c r="R7207" s="57"/>
      <c r="S7207" s="97"/>
      <c r="T7207" s="57"/>
      <c r="U7207" s="57"/>
      <c r="V7207" s="57"/>
      <c r="W7207" s="57"/>
      <c r="X7207" s="97"/>
    </row>
    <row r="7208" spans="1:24" s="75" customFormat="1" x14ac:dyDescent="0.35">
      <c r="A7208" s="75">
        <v>7204</v>
      </c>
      <c r="B7208" s="75">
        <v>7205</v>
      </c>
      <c r="C7208">
        <v>146.11524981700001</v>
      </c>
      <c r="D7208">
        <v>-17.610851994800001</v>
      </c>
      <c r="E7208" s="92">
        <f t="shared" si="24"/>
        <v>50</v>
      </c>
      <c r="F7208" s="93"/>
      <c r="I7208" s="75">
        <v>1</v>
      </c>
      <c r="J7208" s="75" t="s">
        <v>26</v>
      </c>
      <c r="K7208" s="97" t="s">
        <v>26</v>
      </c>
      <c r="L7208"/>
      <c r="M7208"/>
      <c r="N7208"/>
      <c r="O7208"/>
      <c r="P7208" s="57"/>
      <c r="Q7208" s="57"/>
      <c r="R7208" s="57"/>
      <c r="S7208" s="97"/>
      <c r="T7208" s="57"/>
      <c r="U7208" s="57"/>
      <c r="V7208" s="57"/>
      <c r="W7208" s="57"/>
      <c r="X7208" s="97"/>
    </row>
    <row r="7209" spans="1:24" hidden="1" x14ac:dyDescent="0.35">
      <c r="A7209">
        <v>7205</v>
      </c>
      <c r="B7209">
        <v>7206</v>
      </c>
      <c r="C7209">
        <v>146.115210214</v>
      </c>
      <c r="D7209">
        <v>-17.6107751431</v>
      </c>
      <c r="E7209" s="92" t="str">
        <f t="shared" si="24"/>
        <v/>
      </c>
      <c r="G7209" s="92" t="s">
        <v>7080</v>
      </c>
      <c r="I7209">
        <v>7</v>
      </c>
      <c r="J7209" t="s">
        <v>26</v>
      </c>
      <c r="K7209" s="57"/>
      <c r="S7209" s="57"/>
      <c r="X7209" s="57"/>
    </row>
    <row r="7210" spans="1:24" hidden="1" x14ac:dyDescent="0.35">
      <c r="A7210">
        <v>7206</v>
      </c>
      <c r="B7210">
        <v>7207</v>
      </c>
      <c r="C7210">
        <v>146.115160774</v>
      </c>
      <c r="D7210">
        <v>-17.6107037833</v>
      </c>
      <c r="E7210" s="92" t="str">
        <f t="shared" si="24"/>
        <v/>
      </c>
      <c r="G7210" s="92" t="s">
        <v>7081</v>
      </c>
      <c r="I7210">
        <v>7</v>
      </c>
      <c r="J7210" t="s">
        <v>26</v>
      </c>
      <c r="K7210" s="57"/>
      <c r="S7210" s="57"/>
      <c r="X7210" s="57"/>
    </row>
    <row r="7211" spans="1:24" hidden="1" x14ac:dyDescent="0.35">
      <c r="A7211">
        <v>7207</v>
      </c>
      <c r="B7211">
        <v>7208</v>
      </c>
      <c r="C7211">
        <v>146.11510981500001</v>
      </c>
      <c r="D7211">
        <v>-17.610633271600001</v>
      </c>
      <c r="E7211" s="92" t="str">
        <f t="shared" si="24"/>
        <v/>
      </c>
      <c r="G7211" s="92" t="s">
        <v>7082</v>
      </c>
      <c r="I7211">
        <v>7</v>
      </c>
      <c r="J7211" t="s">
        <v>26</v>
      </c>
      <c r="K7211" s="57"/>
      <c r="S7211" s="57"/>
      <c r="X7211" s="57"/>
    </row>
    <row r="7212" spans="1:24" hidden="1" x14ac:dyDescent="0.35">
      <c r="A7212">
        <v>7208</v>
      </c>
      <c r="B7212">
        <v>7209</v>
      </c>
      <c r="C7212">
        <v>146.115058855999</v>
      </c>
      <c r="D7212">
        <v>-17.610562759899899</v>
      </c>
      <c r="E7212" s="92" t="str">
        <f t="shared" si="24"/>
        <v/>
      </c>
      <c r="G7212" s="92" t="s">
        <v>7083</v>
      </c>
      <c r="I7212">
        <v>7</v>
      </c>
      <c r="J7212" t="s">
        <v>26</v>
      </c>
      <c r="K7212" s="57"/>
      <c r="S7212" s="57"/>
      <c r="X7212" s="57"/>
    </row>
    <row r="7213" spans="1:24" hidden="1" x14ac:dyDescent="0.35">
      <c r="A7213">
        <v>7209</v>
      </c>
      <c r="B7213">
        <v>7210</v>
      </c>
      <c r="C7213">
        <v>146.11500555500001</v>
      </c>
      <c r="D7213">
        <v>-17.6104942869</v>
      </c>
      <c r="E7213" s="92">
        <f t="shared" si="24"/>
        <v>50</v>
      </c>
      <c r="G7213" s="92" t="s">
        <v>7084</v>
      </c>
      <c r="I7213">
        <v>7</v>
      </c>
      <c r="J7213" t="s">
        <v>26</v>
      </c>
      <c r="K7213" s="57"/>
      <c r="S7213" s="57"/>
      <c r="X7213" s="57"/>
    </row>
    <row r="7214" spans="1:24" hidden="1" x14ac:dyDescent="0.35">
      <c r="A7214">
        <v>7210</v>
      </c>
      <c r="B7214">
        <v>7211</v>
      </c>
      <c r="C7214">
        <v>146.114936467999</v>
      </c>
      <c r="D7214">
        <v>-17.610439561500002</v>
      </c>
      <c r="E7214" s="92" t="str">
        <f t="shared" si="24"/>
        <v/>
      </c>
      <c r="G7214" s="92" t="s">
        <v>7085</v>
      </c>
      <c r="I7214">
        <v>7</v>
      </c>
      <c r="J7214" t="s">
        <v>26</v>
      </c>
      <c r="K7214" s="57"/>
      <c r="S7214" s="57"/>
      <c r="X7214" s="57"/>
    </row>
    <row r="7215" spans="1:24" hidden="1" x14ac:dyDescent="0.35">
      <c r="A7215">
        <v>7211</v>
      </c>
      <c r="B7215">
        <v>7212</v>
      </c>
      <c r="C7215">
        <v>146.114867379999</v>
      </c>
      <c r="D7215">
        <v>-17.6103848361</v>
      </c>
      <c r="E7215" s="92" t="str">
        <f t="shared" si="24"/>
        <v/>
      </c>
      <c r="G7215" s="92" t="s">
        <v>7086</v>
      </c>
      <c r="I7215">
        <v>7</v>
      </c>
      <c r="J7215" t="s">
        <v>26</v>
      </c>
      <c r="K7215" s="57"/>
      <c r="S7215" s="57"/>
      <c r="X7215" s="57"/>
    </row>
    <row r="7216" spans="1:24" hidden="1" x14ac:dyDescent="0.35">
      <c r="A7216">
        <v>7212</v>
      </c>
      <c r="B7216">
        <v>7213</v>
      </c>
      <c r="C7216">
        <v>146.11479829300001</v>
      </c>
      <c r="D7216">
        <v>-17.6103301106</v>
      </c>
      <c r="E7216" s="92" t="str">
        <f t="shared" si="24"/>
        <v/>
      </c>
      <c r="G7216" s="92" t="s">
        <v>7087</v>
      </c>
      <c r="I7216">
        <v>7</v>
      </c>
      <c r="J7216" t="s">
        <v>26</v>
      </c>
      <c r="K7216" s="57"/>
      <c r="S7216" s="57"/>
      <c r="X7216" s="57"/>
    </row>
    <row r="7217" spans="1:24" hidden="1" x14ac:dyDescent="0.35">
      <c r="A7217">
        <v>7213</v>
      </c>
      <c r="B7217">
        <v>7214</v>
      </c>
      <c r="C7217">
        <v>146.114720272</v>
      </c>
      <c r="D7217">
        <v>-17.610288080699899</v>
      </c>
      <c r="E7217" s="92" t="str">
        <f t="shared" si="24"/>
        <v/>
      </c>
      <c r="G7217" s="92" t="s">
        <v>7088</v>
      </c>
      <c r="I7217">
        <v>7</v>
      </c>
      <c r="J7217" t="s">
        <v>26</v>
      </c>
      <c r="K7217" s="57"/>
      <c r="S7217" s="57"/>
      <c r="X7217" s="57"/>
    </row>
    <row r="7218" spans="1:24" hidden="1" x14ac:dyDescent="0.35">
      <c r="A7218">
        <v>7214</v>
      </c>
      <c r="B7218">
        <v>7215</v>
      </c>
      <c r="C7218">
        <v>146.11464093000001</v>
      </c>
      <c r="D7218">
        <v>-17.6102479296</v>
      </c>
      <c r="E7218" s="92">
        <f t="shared" si="24"/>
        <v>50</v>
      </c>
      <c r="G7218" s="92" t="s">
        <v>7089</v>
      </c>
      <c r="I7218">
        <v>7</v>
      </c>
      <c r="J7218" t="s">
        <v>26</v>
      </c>
      <c r="K7218" s="57"/>
      <c r="S7218" s="57"/>
      <c r="X7218" s="57"/>
    </row>
    <row r="7219" spans="1:24" hidden="1" x14ac:dyDescent="0.35">
      <c r="A7219">
        <v>7215</v>
      </c>
      <c r="B7219">
        <v>7216</v>
      </c>
      <c r="C7219">
        <v>146.11456158799899</v>
      </c>
      <c r="D7219">
        <v>-17.610207778500001</v>
      </c>
      <c r="E7219" s="92" t="str">
        <f t="shared" si="24"/>
        <v/>
      </c>
      <c r="G7219" s="92" t="s">
        <v>7090</v>
      </c>
      <c r="I7219">
        <v>7</v>
      </c>
      <c r="J7219" t="s">
        <v>26</v>
      </c>
      <c r="K7219" s="57"/>
      <c r="S7219" s="57"/>
      <c r="X7219" s="57"/>
    </row>
    <row r="7220" spans="1:24" hidden="1" x14ac:dyDescent="0.35">
      <c r="A7220">
        <v>7216</v>
      </c>
      <c r="B7220">
        <v>7217</v>
      </c>
      <c r="C7220">
        <v>146.114482245999</v>
      </c>
      <c r="D7220">
        <v>-17.610167627300001</v>
      </c>
      <c r="E7220" s="92" t="str">
        <f t="shared" si="24"/>
        <v/>
      </c>
      <c r="G7220" s="92" t="s">
        <v>7091</v>
      </c>
      <c r="I7220">
        <v>7</v>
      </c>
      <c r="J7220" t="s">
        <v>26</v>
      </c>
      <c r="K7220" s="57"/>
      <c r="S7220" s="57"/>
      <c r="X7220" s="57"/>
    </row>
    <row r="7221" spans="1:24" hidden="1" x14ac:dyDescent="0.35">
      <c r="A7221">
        <v>7217</v>
      </c>
      <c r="B7221">
        <v>7218</v>
      </c>
      <c r="C7221">
        <v>146.114403030999</v>
      </c>
      <c r="D7221">
        <v>-17.610127249000001</v>
      </c>
      <c r="E7221" s="92" t="str">
        <f t="shared" si="24"/>
        <v/>
      </c>
      <c r="G7221" s="92" t="s">
        <v>7092</v>
      </c>
      <c r="I7221">
        <v>7</v>
      </c>
      <c r="J7221" t="s">
        <v>26</v>
      </c>
      <c r="K7221" s="57"/>
      <c r="S7221" s="57"/>
      <c r="X7221" s="57"/>
    </row>
    <row r="7222" spans="1:24" hidden="1" x14ac:dyDescent="0.35">
      <c r="A7222">
        <v>7218</v>
      </c>
      <c r="B7222">
        <v>7219</v>
      </c>
      <c r="C7222">
        <v>146.114323829</v>
      </c>
      <c r="D7222">
        <v>-17.610086848400002</v>
      </c>
      <c r="E7222" s="92" t="str">
        <f t="shared" si="24"/>
        <v/>
      </c>
      <c r="G7222" s="92" t="s">
        <v>7093</v>
      </c>
      <c r="I7222">
        <v>7</v>
      </c>
      <c r="J7222" t="s">
        <v>26</v>
      </c>
      <c r="K7222" s="57"/>
      <c r="S7222" s="57"/>
      <c r="X7222" s="57"/>
    </row>
    <row r="7223" spans="1:24" hidden="1" x14ac:dyDescent="0.35">
      <c r="A7223">
        <v>7219</v>
      </c>
      <c r="B7223">
        <v>7220</v>
      </c>
      <c r="C7223">
        <v>146.11424462599899</v>
      </c>
      <c r="D7223">
        <v>-17.610046447799899</v>
      </c>
      <c r="E7223" s="92">
        <f t="shared" si="24"/>
        <v>50</v>
      </c>
      <c r="G7223" s="92"/>
      <c r="I7223">
        <v>7</v>
      </c>
      <c r="J7223" t="s">
        <v>26</v>
      </c>
      <c r="K7223" s="57"/>
      <c r="S7223" s="57"/>
      <c r="X7223" s="57"/>
    </row>
    <row r="7224" spans="1:24" hidden="1" x14ac:dyDescent="0.35">
      <c r="A7224">
        <v>7220</v>
      </c>
      <c r="B7224">
        <v>7221</v>
      </c>
      <c r="C7224">
        <v>146.114165423</v>
      </c>
      <c r="D7224">
        <v>-17.610006047199899</v>
      </c>
      <c r="E7224" s="92" t="str">
        <f t="shared" si="24"/>
        <v/>
      </c>
      <c r="G7224" s="92" t="s">
        <v>7094</v>
      </c>
      <c r="I7224">
        <v>7</v>
      </c>
      <c r="J7224" t="s">
        <v>26</v>
      </c>
      <c r="K7224" s="57"/>
      <c r="S7224" s="57"/>
      <c r="X7224" s="57"/>
    </row>
    <row r="7225" spans="1:24" hidden="1" x14ac:dyDescent="0.35">
      <c r="A7225">
        <v>7221</v>
      </c>
      <c r="B7225">
        <v>7222</v>
      </c>
      <c r="C7225">
        <v>146.11408622100001</v>
      </c>
      <c r="D7225">
        <v>-17.6099656465999</v>
      </c>
      <c r="E7225" s="92" t="str">
        <f t="shared" si="24"/>
        <v/>
      </c>
      <c r="G7225" s="92"/>
      <c r="I7225">
        <v>7</v>
      </c>
      <c r="J7225" t="s">
        <v>26</v>
      </c>
      <c r="K7225" s="57"/>
      <c r="S7225" s="57"/>
      <c r="X7225" s="57"/>
    </row>
    <row r="7226" spans="1:24" hidden="1" x14ac:dyDescent="0.35">
      <c r="A7226">
        <v>7222</v>
      </c>
      <c r="B7226">
        <v>7223</v>
      </c>
      <c r="C7226">
        <v>146.114007017999</v>
      </c>
      <c r="D7226">
        <v>-17.609925246</v>
      </c>
      <c r="E7226" s="92" t="str">
        <f t="shared" si="24"/>
        <v/>
      </c>
      <c r="G7226" s="92" t="s">
        <v>7095</v>
      </c>
      <c r="I7226">
        <v>7</v>
      </c>
      <c r="J7226" t="s">
        <v>26</v>
      </c>
      <c r="K7226" s="57"/>
      <c r="S7226" s="57"/>
      <c r="X7226" s="57"/>
    </row>
    <row r="7227" spans="1:24" hidden="1" x14ac:dyDescent="0.35">
      <c r="A7227">
        <v>7223</v>
      </c>
      <c r="B7227">
        <v>7224</v>
      </c>
      <c r="C7227">
        <v>146.113927816</v>
      </c>
      <c r="D7227">
        <v>-17.6098848454</v>
      </c>
      <c r="E7227" s="92" t="str">
        <f t="shared" si="24"/>
        <v/>
      </c>
      <c r="G7227" s="92"/>
      <c r="I7227">
        <v>7</v>
      </c>
      <c r="J7227" t="s">
        <v>26</v>
      </c>
      <c r="K7227" s="57"/>
      <c r="S7227" s="57"/>
      <c r="X7227" s="57"/>
    </row>
    <row r="7228" spans="1:24" hidden="1" x14ac:dyDescent="0.35">
      <c r="A7228">
        <v>7224</v>
      </c>
      <c r="B7228">
        <v>7225</v>
      </c>
      <c r="C7228">
        <v>146.11384861299899</v>
      </c>
      <c r="D7228">
        <v>-17.609844444699899</v>
      </c>
      <c r="E7228" s="92">
        <f t="shared" si="24"/>
        <v>50</v>
      </c>
      <c r="G7228" s="92" t="s">
        <v>7096</v>
      </c>
      <c r="I7228">
        <v>7</v>
      </c>
      <c r="J7228" t="s">
        <v>26</v>
      </c>
      <c r="K7228" s="57"/>
      <c r="S7228" s="57"/>
      <c r="X7228" s="57"/>
    </row>
    <row r="7229" spans="1:24" hidden="1" x14ac:dyDescent="0.35">
      <c r="A7229">
        <v>7225</v>
      </c>
      <c r="B7229">
        <v>7226</v>
      </c>
      <c r="C7229">
        <v>146.11376941</v>
      </c>
      <c r="D7229">
        <v>-17.609804044099899</v>
      </c>
      <c r="E7229" s="92" t="str">
        <f t="shared" si="24"/>
        <v/>
      </c>
      <c r="G7229" s="92"/>
      <c r="I7229">
        <v>7</v>
      </c>
      <c r="J7229" t="s">
        <v>26</v>
      </c>
      <c r="K7229" s="57"/>
      <c r="S7229" s="57"/>
      <c r="X7229" s="57"/>
    </row>
    <row r="7230" spans="1:24" hidden="1" x14ac:dyDescent="0.35">
      <c r="A7230">
        <v>7226</v>
      </c>
      <c r="B7230">
        <v>7227</v>
      </c>
      <c r="C7230">
        <v>146.11369020800001</v>
      </c>
      <c r="D7230">
        <v>-17.6097636434999</v>
      </c>
      <c r="E7230" s="92" t="str">
        <f t="shared" si="24"/>
        <v/>
      </c>
      <c r="G7230" s="92" t="s">
        <v>7097</v>
      </c>
      <c r="I7230">
        <v>7</v>
      </c>
      <c r="J7230" t="s">
        <v>26</v>
      </c>
      <c r="K7230" s="57"/>
      <c r="S7230" s="57"/>
      <c r="X7230" s="57"/>
    </row>
    <row r="7231" spans="1:24" hidden="1" x14ac:dyDescent="0.35">
      <c r="A7231">
        <v>7227</v>
      </c>
      <c r="B7231">
        <v>7228</v>
      </c>
      <c r="C7231">
        <v>146.113611004999</v>
      </c>
      <c r="D7231">
        <v>-17.609723242800001</v>
      </c>
      <c r="E7231" s="92" t="str">
        <f t="shared" si="24"/>
        <v/>
      </c>
      <c r="G7231" s="92"/>
      <c r="I7231">
        <v>7</v>
      </c>
      <c r="J7231" t="s">
        <v>26</v>
      </c>
      <c r="K7231" s="57"/>
      <c r="S7231" s="57"/>
      <c r="X7231" s="57"/>
    </row>
    <row r="7232" spans="1:24" hidden="1" x14ac:dyDescent="0.35">
      <c r="A7232">
        <v>7228</v>
      </c>
      <c r="B7232">
        <v>7229</v>
      </c>
      <c r="C7232">
        <v>146.11353258899899</v>
      </c>
      <c r="D7232">
        <v>-17.6096815452999</v>
      </c>
      <c r="E7232" s="92" t="str">
        <f t="shared" si="24"/>
        <v/>
      </c>
      <c r="G7232" s="92" t="s">
        <v>7098</v>
      </c>
      <c r="I7232">
        <v>7</v>
      </c>
      <c r="J7232" t="s">
        <v>26</v>
      </c>
      <c r="K7232" s="57"/>
      <c r="S7232" s="57"/>
      <c r="X7232" s="57"/>
    </row>
    <row r="7233" spans="1:24" hidden="1" x14ac:dyDescent="0.35">
      <c r="A7233">
        <v>7229</v>
      </c>
      <c r="B7233">
        <v>7230</v>
      </c>
      <c r="C7233">
        <v>146.11345630899899</v>
      </c>
      <c r="D7233">
        <v>-17.6096363226</v>
      </c>
      <c r="E7233" s="92">
        <f t="shared" si="24"/>
        <v>50</v>
      </c>
      <c r="G7233" s="92" t="s">
        <v>7099</v>
      </c>
      <c r="I7233">
        <v>7</v>
      </c>
      <c r="J7233" t="s">
        <v>26</v>
      </c>
      <c r="K7233" s="57"/>
      <c r="S7233" s="57"/>
      <c r="X7233" s="57"/>
    </row>
    <row r="7234" spans="1:24" hidden="1" x14ac:dyDescent="0.35">
      <c r="A7234">
        <v>7230</v>
      </c>
      <c r="B7234">
        <v>7231</v>
      </c>
      <c r="C7234">
        <v>146.11338003</v>
      </c>
      <c r="D7234">
        <v>-17.6095910999999</v>
      </c>
      <c r="E7234" s="92" t="str">
        <f t="shared" si="24"/>
        <v/>
      </c>
      <c r="G7234" s="92" t="s">
        <v>7100</v>
      </c>
      <c r="I7234">
        <v>7</v>
      </c>
      <c r="J7234" t="s">
        <v>26</v>
      </c>
      <c r="K7234" s="57"/>
      <c r="S7234" s="57"/>
      <c r="X7234" s="57"/>
    </row>
    <row r="7235" spans="1:24" hidden="1" x14ac:dyDescent="0.35">
      <c r="A7235">
        <v>7231</v>
      </c>
      <c r="B7235">
        <v>7232</v>
      </c>
      <c r="C7235">
        <v>146.11330375</v>
      </c>
      <c r="D7235">
        <v>-17.6095458773</v>
      </c>
      <c r="E7235" s="92" t="str">
        <f t="shared" si="24"/>
        <v/>
      </c>
      <c r="G7235" s="92"/>
      <c r="I7235">
        <v>7</v>
      </c>
      <c r="J7235" t="s">
        <v>26</v>
      </c>
      <c r="K7235" s="57"/>
      <c r="S7235" s="57"/>
      <c r="X7235" s="57"/>
    </row>
    <row r="7236" spans="1:24" hidden="1" x14ac:dyDescent="0.35">
      <c r="A7236">
        <v>7232</v>
      </c>
      <c r="B7236">
        <v>7233</v>
      </c>
      <c r="C7236">
        <v>146.113227469999</v>
      </c>
      <c r="D7236">
        <v>-17.609500654600001</v>
      </c>
      <c r="E7236" s="92" t="str">
        <f t="shared" si="24"/>
        <v/>
      </c>
      <c r="G7236" s="92" t="s">
        <v>7101</v>
      </c>
      <c r="I7236">
        <v>7</v>
      </c>
      <c r="J7236" t="s">
        <v>26</v>
      </c>
      <c r="K7236" s="57"/>
      <c r="S7236" s="57"/>
      <c r="X7236" s="57"/>
    </row>
    <row r="7237" spans="1:24" hidden="1" x14ac:dyDescent="0.35">
      <c r="A7237">
        <v>7233</v>
      </c>
      <c r="B7237">
        <v>7234</v>
      </c>
      <c r="C7237">
        <v>146.11315119099899</v>
      </c>
      <c r="D7237">
        <v>-17.609455431899899</v>
      </c>
      <c r="E7237" s="92" t="str">
        <f t="shared" si="24"/>
        <v/>
      </c>
      <c r="G7237" s="92" t="s">
        <v>7102</v>
      </c>
      <c r="I7237">
        <v>7</v>
      </c>
      <c r="J7237" t="s">
        <v>26</v>
      </c>
      <c r="K7237" s="57"/>
      <c r="S7237" s="57"/>
      <c r="X7237" s="57"/>
    </row>
    <row r="7238" spans="1:24" hidden="1" x14ac:dyDescent="0.35">
      <c r="A7238">
        <v>7234</v>
      </c>
      <c r="B7238">
        <v>7235</v>
      </c>
      <c r="C7238">
        <v>146.11307491100001</v>
      </c>
      <c r="D7238">
        <v>-17.6094102092</v>
      </c>
      <c r="E7238" s="92">
        <f t="shared" si="24"/>
        <v>50</v>
      </c>
      <c r="G7238" s="92" t="s">
        <v>7103</v>
      </c>
      <c r="I7238">
        <v>7</v>
      </c>
      <c r="J7238" t="s">
        <v>26</v>
      </c>
      <c r="K7238" s="57"/>
      <c r="S7238" s="57"/>
      <c r="X7238" s="57"/>
    </row>
    <row r="7239" spans="1:24" hidden="1" x14ac:dyDescent="0.35">
      <c r="A7239">
        <v>7235</v>
      </c>
      <c r="B7239">
        <v>7236</v>
      </c>
      <c r="C7239">
        <v>146.11299863100001</v>
      </c>
      <c r="D7239">
        <v>-17.6093649863999</v>
      </c>
      <c r="E7239" s="92" t="str">
        <f t="shared" si="24"/>
        <v/>
      </c>
      <c r="G7239" s="92"/>
      <c r="I7239">
        <v>7</v>
      </c>
      <c r="J7239" t="s">
        <v>26</v>
      </c>
      <c r="K7239" s="57"/>
      <c r="S7239" s="57"/>
      <c r="X7239" s="57"/>
    </row>
    <row r="7240" spans="1:24" hidden="1" x14ac:dyDescent="0.35">
      <c r="A7240">
        <v>7236</v>
      </c>
      <c r="B7240">
        <v>7237</v>
      </c>
      <c r="C7240">
        <v>146.11291965500001</v>
      </c>
      <c r="D7240">
        <v>-17.609324360799899</v>
      </c>
      <c r="E7240" s="92" t="str">
        <f t="shared" si="24"/>
        <v/>
      </c>
      <c r="G7240" s="92"/>
      <c r="I7240">
        <v>7</v>
      </c>
      <c r="J7240" t="s">
        <v>26</v>
      </c>
      <c r="K7240" s="57"/>
      <c r="S7240" s="57"/>
      <c r="X7240" s="57"/>
    </row>
    <row r="7241" spans="1:24" hidden="1" x14ac:dyDescent="0.35">
      <c r="A7241">
        <v>7237</v>
      </c>
      <c r="B7241">
        <v>7238</v>
      </c>
      <c r="C7241">
        <v>146.112839293999</v>
      </c>
      <c r="D7241">
        <v>-17.609286093200001</v>
      </c>
      <c r="E7241" s="92" t="str">
        <f t="shared" si="24"/>
        <v/>
      </c>
      <c r="G7241" s="92" t="s">
        <v>7104</v>
      </c>
      <c r="I7241">
        <v>7</v>
      </c>
      <c r="J7241" t="s">
        <v>26</v>
      </c>
      <c r="K7241" s="57"/>
      <c r="S7241" s="57"/>
      <c r="X7241" s="57"/>
    </row>
    <row r="7242" spans="1:24" hidden="1" x14ac:dyDescent="0.35">
      <c r="A7242">
        <v>7238</v>
      </c>
      <c r="B7242">
        <v>7239</v>
      </c>
      <c r="C7242">
        <v>146.112758933999</v>
      </c>
      <c r="D7242">
        <v>-17.609247825600001</v>
      </c>
      <c r="E7242" s="92" t="str">
        <f t="shared" si="24"/>
        <v/>
      </c>
      <c r="G7242" s="92"/>
      <c r="I7242">
        <v>7</v>
      </c>
      <c r="J7242" t="s">
        <v>26</v>
      </c>
      <c r="K7242" s="57"/>
      <c r="S7242" s="57"/>
      <c r="X7242" s="57"/>
    </row>
    <row r="7243" spans="1:24" hidden="1" x14ac:dyDescent="0.35">
      <c r="A7243">
        <v>7239</v>
      </c>
      <c r="B7243">
        <v>7240</v>
      </c>
      <c r="C7243">
        <v>146.112678574</v>
      </c>
      <c r="D7243">
        <v>-17.609209558100002</v>
      </c>
      <c r="E7243" s="92">
        <f t="shared" si="24"/>
        <v>50</v>
      </c>
      <c r="G7243" s="92"/>
      <c r="I7243">
        <v>7</v>
      </c>
      <c r="J7243" t="s">
        <v>26</v>
      </c>
      <c r="K7243" s="57"/>
      <c r="S7243" s="57"/>
      <c r="X7243" s="57"/>
    </row>
    <row r="7244" spans="1:24" hidden="1" x14ac:dyDescent="0.35">
      <c r="A7244">
        <v>7240</v>
      </c>
      <c r="B7244">
        <v>7241</v>
      </c>
      <c r="C7244">
        <v>146.112598214</v>
      </c>
      <c r="D7244">
        <v>-17.609171290500001</v>
      </c>
      <c r="E7244" s="92" t="str">
        <f t="shared" si="24"/>
        <v/>
      </c>
      <c r="G7244" s="92" t="s">
        <v>7105</v>
      </c>
      <c r="I7244">
        <v>7</v>
      </c>
      <c r="J7244" t="s">
        <v>26</v>
      </c>
      <c r="K7244" s="57"/>
      <c r="S7244" s="57"/>
      <c r="X7244" s="57"/>
    </row>
    <row r="7245" spans="1:24" hidden="1" x14ac:dyDescent="0.35">
      <c r="A7245">
        <v>7241</v>
      </c>
      <c r="B7245">
        <v>7242</v>
      </c>
      <c r="C7245">
        <v>146.11251785300001</v>
      </c>
      <c r="D7245">
        <v>-17.6091330229</v>
      </c>
      <c r="E7245" s="92" t="str">
        <f t="shared" si="24"/>
        <v/>
      </c>
      <c r="G7245" s="92"/>
      <c r="I7245">
        <v>7</v>
      </c>
      <c r="J7245" t="s">
        <v>26</v>
      </c>
      <c r="K7245" s="57"/>
      <c r="S7245" s="57"/>
      <c r="X7245" s="57"/>
    </row>
    <row r="7246" spans="1:24" hidden="1" x14ac:dyDescent="0.35">
      <c r="A7246">
        <v>7242</v>
      </c>
      <c r="B7246">
        <v>7243</v>
      </c>
      <c r="C7246">
        <v>146.11243749299899</v>
      </c>
      <c r="D7246">
        <v>-17.6090947552999</v>
      </c>
      <c r="E7246" s="92" t="str">
        <f t="shared" si="24"/>
        <v/>
      </c>
      <c r="G7246" s="92" t="s">
        <v>7106</v>
      </c>
      <c r="I7246">
        <v>7</v>
      </c>
      <c r="J7246" t="s">
        <v>26</v>
      </c>
      <c r="K7246" s="57"/>
      <c r="S7246" s="57"/>
      <c r="X7246" s="57"/>
    </row>
    <row r="7247" spans="1:24" hidden="1" x14ac:dyDescent="0.35">
      <c r="A7247">
        <v>7243</v>
      </c>
      <c r="B7247">
        <v>7244</v>
      </c>
      <c r="C7247">
        <v>146.11235713299899</v>
      </c>
      <c r="D7247">
        <v>-17.609056487699899</v>
      </c>
      <c r="E7247" s="92" t="str">
        <f t="shared" si="24"/>
        <v/>
      </c>
      <c r="G7247" s="92"/>
      <c r="I7247">
        <v>7</v>
      </c>
      <c r="J7247" t="s">
        <v>26</v>
      </c>
      <c r="K7247" s="57"/>
      <c r="S7247" s="57"/>
      <c r="X7247" s="57"/>
    </row>
    <row r="7248" spans="1:24" hidden="1" x14ac:dyDescent="0.35">
      <c r="A7248">
        <v>7244</v>
      </c>
      <c r="B7248">
        <v>7245</v>
      </c>
      <c r="C7248">
        <v>146.112276772999</v>
      </c>
      <c r="D7248">
        <v>-17.609018220100001</v>
      </c>
      <c r="E7248" s="92">
        <f t="shared" ref="E7248:E7311" si="25">IF(MOD(B7248,5)=0, 50, "")</f>
        <v>50</v>
      </c>
      <c r="G7248" s="92"/>
      <c r="I7248">
        <v>7</v>
      </c>
      <c r="J7248" t="s">
        <v>26</v>
      </c>
      <c r="K7248" s="57"/>
      <c r="S7248" s="57"/>
      <c r="X7248" s="57"/>
    </row>
    <row r="7249" spans="1:24" hidden="1" x14ac:dyDescent="0.35">
      <c r="A7249">
        <v>7245</v>
      </c>
      <c r="B7249">
        <v>7246</v>
      </c>
      <c r="C7249">
        <v>146.112196412</v>
      </c>
      <c r="D7249">
        <v>-17.6089799525</v>
      </c>
      <c r="E7249" s="92" t="str">
        <f t="shared" si="25"/>
        <v/>
      </c>
      <c r="G7249" s="92"/>
      <c r="I7249">
        <v>7</v>
      </c>
      <c r="J7249" t="s">
        <v>26</v>
      </c>
      <c r="K7249" s="57"/>
      <c r="S7249" s="57"/>
      <c r="X7249" s="57"/>
    </row>
    <row r="7250" spans="1:24" hidden="1" x14ac:dyDescent="0.35">
      <c r="A7250">
        <v>7246</v>
      </c>
      <c r="B7250">
        <v>7247</v>
      </c>
      <c r="C7250">
        <v>146.112116052</v>
      </c>
      <c r="D7250">
        <v>-17.608941684800001</v>
      </c>
      <c r="E7250" s="92" t="str">
        <f t="shared" si="25"/>
        <v/>
      </c>
      <c r="G7250" s="92"/>
      <c r="I7250">
        <v>7</v>
      </c>
      <c r="J7250" t="s">
        <v>26</v>
      </c>
      <c r="K7250" s="57"/>
      <c r="S7250" s="57"/>
      <c r="X7250" s="57"/>
    </row>
    <row r="7251" spans="1:24" hidden="1" x14ac:dyDescent="0.35">
      <c r="A7251">
        <v>7247</v>
      </c>
      <c r="B7251">
        <v>7248</v>
      </c>
      <c r="C7251">
        <v>146.11203569200001</v>
      </c>
      <c r="D7251">
        <v>-17.608903417200001</v>
      </c>
      <c r="E7251" s="92" t="str">
        <f t="shared" si="25"/>
        <v/>
      </c>
      <c r="G7251" s="92"/>
      <c r="I7251">
        <v>7</v>
      </c>
      <c r="J7251" t="s">
        <v>26</v>
      </c>
      <c r="K7251" s="57"/>
      <c r="S7251" s="57"/>
      <c r="X7251" s="57"/>
    </row>
    <row r="7252" spans="1:24" hidden="1" x14ac:dyDescent="0.35">
      <c r="A7252">
        <v>7248</v>
      </c>
      <c r="B7252">
        <v>7249</v>
      </c>
      <c r="C7252">
        <v>146.11195533200001</v>
      </c>
      <c r="D7252">
        <v>-17.608865149500001</v>
      </c>
      <c r="E7252" s="92" t="str">
        <f t="shared" si="25"/>
        <v/>
      </c>
      <c r="G7252" s="92"/>
      <c r="I7252">
        <v>7</v>
      </c>
      <c r="J7252" t="s">
        <v>26</v>
      </c>
      <c r="K7252" s="57"/>
      <c r="S7252" s="57"/>
      <c r="X7252" s="57"/>
    </row>
    <row r="7253" spans="1:24" hidden="1" x14ac:dyDescent="0.35">
      <c r="A7253">
        <v>7249</v>
      </c>
      <c r="B7253">
        <v>7250</v>
      </c>
      <c r="C7253">
        <v>146.111874970999</v>
      </c>
      <c r="D7253">
        <v>-17.608826881900001</v>
      </c>
      <c r="E7253" s="92">
        <f t="shared" si="25"/>
        <v>50</v>
      </c>
      <c r="G7253" s="92"/>
      <c r="I7253">
        <v>7</v>
      </c>
      <c r="J7253" t="s">
        <v>26</v>
      </c>
      <c r="K7253" s="57"/>
      <c r="S7253" s="57"/>
      <c r="X7253" s="57"/>
    </row>
    <row r="7254" spans="1:24" hidden="1" x14ac:dyDescent="0.35">
      <c r="A7254">
        <v>7250</v>
      </c>
      <c r="B7254">
        <v>7251</v>
      </c>
      <c r="C7254">
        <v>146.111794610999</v>
      </c>
      <c r="D7254">
        <v>-17.608788614200002</v>
      </c>
      <c r="E7254" s="92" t="str">
        <f t="shared" si="25"/>
        <v/>
      </c>
      <c r="G7254" s="92"/>
      <c r="I7254">
        <v>7</v>
      </c>
      <c r="J7254" t="s">
        <v>26</v>
      </c>
      <c r="K7254" s="57"/>
      <c r="S7254" s="57"/>
      <c r="X7254" s="57"/>
    </row>
    <row r="7255" spans="1:24" hidden="1" x14ac:dyDescent="0.35">
      <c r="A7255">
        <v>7251</v>
      </c>
      <c r="B7255">
        <v>7252</v>
      </c>
      <c r="C7255">
        <v>146.111714250999</v>
      </c>
      <c r="D7255">
        <v>-17.6087503464999</v>
      </c>
      <c r="E7255" s="92" t="str">
        <f t="shared" si="25"/>
        <v/>
      </c>
      <c r="G7255" s="92"/>
      <c r="I7255">
        <v>7</v>
      </c>
      <c r="J7255" t="s">
        <v>26</v>
      </c>
      <c r="K7255" s="57"/>
      <c r="S7255" s="57"/>
      <c r="X7255" s="57"/>
    </row>
    <row r="7256" spans="1:24" hidden="1" x14ac:dyDescent="0.35">
      <c r="A7256">
        <v>7252</v>
      </c>
      <c r="B7256">
        <v>7253</v>
      </c>
      <c r="C7256">
        <v>146.11163389000001</v>
      </c>
      <c r="D7256">
        <v>-17.608712078899899</v>
      </c>
      <c r="E7256" s="92" t="str">
        <f t="shared" si="25"/>
        <v/>
      </c>
      <c r="G7256" s="92"/>
      <c r="I7256">
        <v>7</v>
      </c>
      <c r="J7256" t="s">
        <v>26</v>
      </c>
      <c r="K7256" s="57"/>
      <c r="S7256" s="57"/>
      <c r="X7256" s="57"/>
    </row>
    <row r="7257" spans="1:24" hidden="1" x14ac:dyDescent="0.35">
      <c r="A7257">
        <v>7253</v>
      </c>
      <c r="B7257">
        <v>7254</v>
      </c>
      <c r="C7257">
        <v>146.11155353000001</v>
      </c>
      <c r="D7257">
        <v>-17.6086738111999</v>
      </c>
      <c r="E7257" s="92" t="str">
        <f t="shared" si="25"/>
        <v/>
      </c>
      <c r="G7257" s="92"/>
      <c r="I7257">
        <v>7</v>
      </c>
      <c r="J7257" t="s">
        <v>26</v>
      </c>
      <c r="K7257" s="57"/>
      <c r="S7257" s="57"/>
      <c r="X7257" s="57"/>
    </row>
    <row r="7258" spans="1:24" hidden="1" x14ac:dyDescent="0.35">
      <c r="A7258">
        <v>7254</v>
      </c>
      <c r="B7258">
        <v>7255</v>
      </c>
      <c r="C7258">
        <v>146.111472286999</v>
      </c>
      <c r="D7258">
        <v>-17.6086374118</v>
      </c>
      <c r="E7258" s="92">
        <f t="shared" si="25"/>
        <v>50</v>
      </c>
      <c r="G7258" s="92"/>
      <c r="I7258">
        <v>7</v>
      </c>
      <c r="J7258" t="s">
        <v>26</v>
      </c>
      <c r="K7258" s="57"/>
      <c r="S7258" s="57"/>
      <c r="X7258" s="57"/>
    </row>
    <row r="7259" spans="1:24" hidden="1" x14ac:dyDescent="0.35">
      <c r="A7259">
        <v>7255</v>
      </c>
      <c r="B7259">
        <v>7256</v>
      </c>
      <c r="C7259">
        <v>146.111388973999</v>
      </c>
      <c r="D7259">
        <v>-17.6086053906999</v>
      </c>
      <c r="E7259" s="92" t="str">
        <f t="shared" si="25"/>
        <v/>
      </c>
      <c r="G7259" s="92"/>
      <c r="I7259">
        <v>7</v>
      </c>
      <c r="J7259" t="s">
        <v>26</v>
      </c>
      <c r="K7259" s="57"/>
      <c r="S7259" s="57"/>
      <c r="X7259" s="57"/>
    </row>
    <row r="7260" spans="1:24" hidden="1" x14ac:dyDescent="0.35">
      <c r="A7260">
        <v>7256</v>
      </c>
      <c r="B7260">
        <v>7257</v>
      </c>
      <c r="C7260">
        <v>146.11130566099899</v>
      </c>
      <c r="D7260">
        <v>-17.608573369599899</v>
      </c>
      <c r="E7260" s="92" t="str">
        <f t="shared" si="25"/>
        <v/>
      </c>
      <c r="G7260" s="92" t="s">
        <v>7107</v>
      </c>
      <c r="I7260">
        <v>7</v>
      </c>
      <c r="J7260" t="s">
        <v>26</v>
      </c>
      <c r="K7260" s="57"/>
      <c r="S7260" s="57"/>
      <c r="X7260" s="57"/>
    </row>
    <row r="7261" spans="1:24" hidden="1" x14ac:dyDescent="0.35">
      <c r="A7261">
        <v>7257</v>
      </c>
      <c r="B7261">
        <v>7258</v>
      </c>
      <c r="C7261">
        <v>146.11122234800001</v>
      </c>
      <c r="D7261">
        <v>-17.608541348500001</v>
      </c>
      <c r="E7261" s="92" t="str">
        <f t="shared" si="25"/>
        <v/>
      </c>
      <c r="G7261" s="92"/>
      <c r="I7261">
        <v>7</v>
      </c>
      <c r="J7261" t="s">
        <v>26</v>
      </c>
      <c r="K7261" s="57"/>
      <c r="S7261" s="57"/>
      <c r="X7261" s="57"/>
    </row>
    <row r="7262" spans="1:24" hidden="1" x14ac:dyDescent="0.35">
      <c r="A7262">
        <v>7258</v>
      </c>
      <c r="B7262">
        <v>7259</v>
      </c>
      <c r="C7262">
        <v>146.111134004999</v>
      </c>
      <c r="D7262">
        <v>-17.608533727000001</v>
      </c>
      <c r="E7262" s="92" t="str">
        <f t="shared" si="25"/>
        <v/>
      </c>
      <c r="G7262" s="92"/>
      <c r="I7262">
        <v>7</v>
      </c>
      <c r="J7262" t="s">
        <v>26</v>
      </c>
      <c r="K7262" s="57"/>
      <c r="S7262" s="57"/>
      <c r="X7262" s="57"/>
    </row>
    <row r="7263" spans="1:24" hidden="1" x14ac:dyDescent="0.35">
      <c r="A7263">
        <v>7259</v>
      </c>
      <c r="B7263">
        <v>7260</v>
      </c>
      <c r="C7263">
        <v>146.111044174</v>
      </c>
      <c r="D7263">
        <v>-17.608533322700001</v>
      </c>
      <c r="E7263" s="92">
        <f t="shared" si="25"/>
        <v>50</v>
      </c>
      <c r="G7263" s="92"/>
      <c r="I7263">
        <v>7</v>
      </c>
      <c r="J7263" t="s">
        <v>26</v>
      </c>
      <c r="K7263" s="57"/>
      <c r="S7263" s="57"/>
      <c r="X7263" s="57"/>
    </row>
    <row r="7264" spans="1:24" hidden="1" x14ac:dyDescent="0.35">
      <c r="A7264">
        <v>7260</v>
      </c>
      <c r="B7264">
        <v>7261</v>
      </c>
      <c r="C7264">
        <v>146.110956815999</v>
      </c>
      <c r="D7264">
        <v>-17.6085411854</v>
      </c>
      <c r="E7264" s="92" t="str">
        <f t="shared" si="25"/>
        <v/>
      </c>
      <c r="G7264" s="92"/>
      <c r="I7264">
        <v>7</v>
      </c>
      <c r="J7264" t="s">
        <v>26</v>
      </c>
      <c r="K7264" s="57"/>
      <c r="S7264" s="57"/>
      <c r="X7264" s="57"/>
    </row>
    <row r="7265" spans="1:24" hidden="1" x14ac:dyDescent="0.35">
      <c r="A7265">
        <v>7261</v>
      </c>
      <c r="B7265">
        <v>7262</v>
      </c>
      <c r="C7265">
        <v>146.11088070400001</v>
      </c>
      <c r="D7265">
        <v>-17.608586664800001</v>
      </c>
      <c r="E7265" s="92" t="str">
        <f t="shared" si="25"/>
        <v/>
      </c>
      <c r="G7265" s="92"/>
      <c r="I7265">
        <v>7</v>
      </c>
      <c r="J7265" t="s">
        <v>26</v>
      </c>
      <c r="K7265" s="57"/>
      <c r="S7265" s="57"/>
      <c r="X7265" s="57"/>
    </row>
    <row r="7266" spans="1:24" hidden="1" x14ac:dyDescent="0.35">
      <c r="A7266">
        <v>7262</v>
      </c>
      <c r="B7266">
        <v>7263</v>
      </c>
      <c r="C7266">
        <v>146.110804591999</v>
      </c>
      <c r="D7266">
        <v>-17.6086321443</v>
      </c>
      <c r="E7266" s="92" t="str">
        <f t="shared" si="25"/>
        <v/>
      </c>
      <c r="G7266" s="92"/>
      <c r="I7266">
        <v>7</v>
      </c>
      <c r="J7266" t="s">
        <v>26</v>
      </c>
      <c r="K7266" s="57"/>
      <c r="S7266" s="57"/>
      <c r="X7266" s="57"/>
    </row>
    <row r="7267" spans="1:24" hidden="1" x14ac:dyDescent="0.35">
      <c r="A7267">
        <v>7263</v>
      </c>
      <c r="B7267">
        <v>7264</v>
      </c>
      <c r="C7267">
        <v>146.11074675200001</v>
      </c>
      <c r="D7267">
        <v>-17.608695955799899</v>
      </c>
      <c r="E7267" s="92" t="str">
        <f t="shared" si="25"/>
        <v/>
      </c>
      <c r="G7267" s="92"/>
      <c r="I7267">
        <v>7</v>
      </c>
      <c r="J7267" t="s">
        <v>26</v>
      </c>
      <c r="K7267" s="57"/>
      <c r="S7267" s="57"/>
      <c r="X7267" s="57"/>
    </row>
    <row r="7268" spans="1:24" hidden="1" x14ac:dyDescent="0.35">
      <c r="A7268">
        <v>7264</v>
      </c>
      <c r="B7268">
        <v>7265</v>
      </c>
      <c r="C7268">
        <v>146.110695195999</v>
      </c>
      <c r="D7268">
        <v>-17.608766073000002</v>
      </c>
      <c r="E7268" s="92">
        <f t="shared" si="25"/>
        <v>50</v>
      </c>
      <c r="G7268" s="92"/>
      <c r="I7268">
        <v>7</v>
      </c>
      <c r="J7268" t="s">
        <v>26</v>
      </c>
      <c r="K7268" s="57"/>
      <c r="S7268" s="57"/>
      <c r="X7268" s="57"/>
    </row>
    <row r="7269" spans="1:24" hidden="1" x14ac:dyDescent="0.35">
      <c r="A7269">
        <v>7265</v>
      </c>
      <c r="B7269">
        <v>7266</v>
      </c>
      <c r="C7269">
        <v>146.11064364000001</v>
      </c>
      <c r="D7269">
        <v>-17.608836190200002</v>
      </c>
      <c r="E7269" s="92" t="str">
        <f t="shared" si="25"/>
        <v/>
      </c>
      <c r="G7269" s="92"/>
      <c r="I7269">
        <v>7</v>
      </c>
      <c r="J7269" t="s">
        <v>26</v>
      </c>
      <c r="K7269" s="57"/>
      <c r="S7269" s="57"/>
      <c r="X7269" s="57"/>
    </row>
    <row r="7270" spans="1:24" hidden="1" x14ac:dyDescent="0.35">
      <c r="A7270">
        <v>7266</v>
      </c>
      <c r="B7270">
        <v>7267</v>
      </c>
      <c r="C7270">
        <v>146.110592083</v>
      </c>
      <c r="D7270">
        <v>-17.608906307400002</v>
      </c>
      <c r="E7270" s="92" t="str">
        <f t="shared" si="25"/>
        <v/>
      </c>
      <c r="G7270" s="92"/>
      <c r="I7270">
        <v>7</v>
      </c>
      <c r="J7270" t="s">
        <v>26</v>
      </c>
      <c r="K7270" s="57"/>
      <c r="S7270" s="57"/>
      <c r="X7270" s="57"/>
    </row>
    <row r="7271" spans="1:24" hidden="1" x14ac:dyDescent="0.35">
      <c r="A7271">
        <v>7267</v>
      </c>
      <c r="B7271">
        <v>7268</v>
      </c>
      <c r="C7271">
        <v>146.11054052700001</v>
      </c>
      <c r="D7271">
        <v>-17.6089764245</v>
      </c>
      <c r="E7271" s="92" t="str">
        <f t="shared" si="25"/>
        <v/>
      </c>
      <c r="G7271" s="92"/>
      <c r="I7271">
        <v>7</v>
      </c>
      <c r="J7271" t="s">
        <v>26</v>
      </c>
      <c r="K7271" s="57"/>
      <c r="S7271" s="57"/>
      <c r="X7271" s="57"/>
    </row>
    <row r="7272" spans="1:24" hidden="1" x14ac:dyDescent="0.35">
      <c r="A7272">
        <v>7268</v>
      </c>
      <c r="B7272">
        <v>7269</v>
      </c>
      <c r="C7272">
        <v>146.11049826600001</v>
      </c>
      <c r="D7272">
        <v>-17.609051801</v>
      </c>
      <c r="E7272" s="92" t="str">
        <f t="shared" si="25"/>
        <v/>
      </c>
      <c r="G7272" s="92"/>
      <c r="I7272">
        <v>7</v>
      </c>
      <c r="J7272" t="s">
        <v>26</v>
      </c>
      <c r="K7272" s="57"/>
      <c r="S7272" s="57"/>
      <c r="X7272" s="57"/>
    </row>
    <row r="7273" spans="1:24" hidden="1" x14ac:dyDescent="0.35">
      <c r="A7273">
        <v>7269</v>
      </c>
      <c r="B7273">
        <v>7270</v>
      </c>
      <c r="C7273">
        <v>146.110458370999</v>
      </c>
      <c r="D7273">
        <v>-17.6091285161</v>
      </c>
      <c r="E7273" s="92">
        <f t="shared" si="25"/>
        <v>50</v>
      </c>
      <c r="G7273" s="92"/>
      <c r="I7273">
        <v>7</v>
      </c>
      <c r="J7273" t="s">
        <v>26</v>
      </c>
      <c r="K7273" s="57"/>
      <c r="S7273" s="57"/>
      <c r="X7273" s="57"/>
    </row>
    <row r="7274" spans="1:24" hidden="1" x14ac:dyDescent="0.35">
      <c r="A7274">
        <v>7270</v>
      </c>
      <c r="B7274">
        <v>7271</v>
      </c>
      <c r="C7274">
        <v>146.11041847600001</v>
      </c>
      <c r="D7274">
        <v>-17.609205231200001</v>
      </c>
      <c r="E7274" s="92" t="str">
        <f t="shared" si="25"/>
        <v/>
      </c>
      <c r="G7274" s="92"/>
      <c r="I7274">
        <v>7</v>
      </c>
      <c r="J7274" t="s">
        <v>26</v>
      </c>
      <c r="K7274" s="57"/>
      <c r="S7274" s="57"/>
      <c r="X7274" s="57"/>
    </row>
    <row r="7275" spans="1:24" hidden="1" x14ac:dyDescent="0.35">
      <c r="A7275">
        <v>7271</v>
      </c>
      <c r="B7275">
        <v>7272</v>
      </c>
      <c r="C7275">
        <v>146.110378580999</v>
      </c>
      <c r="D7275">
        <v>-17.609281946300001</v>
      </c>
      <c r="E7275" s="92" t="str">
        <f t="shared" si="25"/>
        <v/>
      </c>
      <c r="G7275" s="92"/>
      <c r="I7275">
        <v>7</v>
      </c>
      <c r="J7275" t="s">
        <v>26</v>
      </c>
      <c r="K7275" s="57"/>
      <c r="S7275" s="57"/>
      <c r="X7275" s="57"/>
    </row>
    <row r="7276" spans="1:24" hidden="1" x14ac:dyDescent="0.35">
      <c r="A7276">
        <v>7272</v>
      </c>
      <c r="B7276">
        <v>7273</v>
      </c>
      <c r="C7276">
        <v>146.11033868600001</v>
      </c>
      <c r="D7276">
        <v>-17.6093586613</v>
      </c>
      <c r="E7276" s="92" t="str">
        <f t="shared" si="25"/>
        <v/>
      </c>
      <c r="G7276" s="92"/>
      <c r="I7276">
        <v>7</v>
      </c>
      <c r="J7276" t="s">
        <v>26</v>
      </c>
      <c r="K7276" s="57"/>
      <c r="S7276" s="57"/>
      <c r="X7276" s="57"/>
    </row>
    <row r="7277" spans="1:24" hidden="1" x14ac:dyDescent="0.35">
      <c r="A7277">
        <v>7273</v>
      </c>
      <c r="B7277">
        <v>7274</v>
      </c>
      <c r="C7277">
        <v>146.11029879</v>
      </c>
      <c r="D7277">
        <v>-17.6094353762</v>
      </c>
      <c r="E7277" s="92" t="str">
        <f t="shared" si="25"/>
        <v/>
      </c>
      <c r="G7277" s="92"/>
      <c r="I7277">
        <v>7</v>
      </c>
      <c r="J7277" t="s">
        <v>26</v>
      </c>
      <c r="K7277" s="57"/>
      <c r="S7277" s="57"/>
      <c r="X7277" s="57"/>
    </row>
    <row r="7278" spans="1:24" hidden="1" x14ac:dyDescent="0.35">
      <c r="A7278">
        <v>7274</v>
      </c>
      <c r="B7278">
        <v>7275</v>
      </c>
      <c r="C7278">
        <v>146.11025889499899</v>
      </c>
      <c r="D7278">
        <v>-17.6095120911999</v>
      </c>
      <c r="E7278" s="92">
        <f t="shared" si="25"/>
        <v>50</v>
      </c>
      <c r="G7278" s="92"/>
      <c r="I7278">
        <v>7</v>
      </c>
      <c r="J7278" t="s">
        <v>26</v>
      </c>
      <c r="K7278" s="57"/>
      <c r="S7278" s="57"/>
      <c r="X7278" s="57"/>
    </row>
    <row r="7279" spans="1:24" hidden="1" x14ac:dyDescent="0.35">
      <c r="A7279">
        <v>7275</v>
      </c>
      <c r="B7279">
        <v>7276</v>
      </c>
      <c r="C7279">
        <v>146.110219</v>
      </c>
      <c r="D7279">
        <v>-17.6095888061</v>
      </c>
      <c r="E7279" s="92" t="str">
        <f t="shared" si="25"/>
        <v/>
      </c>
      <c r="G7279" s="92"/>
      <c r="I7279">
        <v>7</v>
      </c>
      <c r="J7279" t="s">
        <v>26</v>
      </c>
      <c r="K7279" s="57"/>
      <c r="S7279" s="57"/>
      <c r="X7279" s="57"/>
    </row>
    <row r="7280" spans="1:24" hidden="1" x14ac:dyDescent="0.35">
      <c r="A7280">
        <v>7276</v>
      </c>
      <c r="B7280">
        <v>7277</v>
      </c>
      <c r="C7280">
        <v>146.11017910499899</v>
      </c>
      <c r="D7280">
        <v>-17.609665521</v>
      </c>
      <c r="E7280" s="92" t="str">
        <f t="shared" si="25"/>
        <v/>
      </c>
      <c r="G7280" s="92"/>
      <c r="I7280">
        <v>7</v>
      </c>
      <c r="J7280" t="s">
        <v>26</v>
      </c>
      <c r="K7280" s="57"/>
      <c r="S7280" s="57"/>
      <c r="X7280" s="57"/>
    </row>
    <row r="7281" spans="1:24" hidden="1" x14ac:dyDescent="0.35">
      <c r="A7281">
        <v>7277</v>
      </c>
      <c r="B7281">
        <v>7278</v>
      </c>
      <c r="C7281">
        <v>146.11013920900001</v>
      </c>
      <c r="D7281">
        <v>-17.609742235799899</v>
      </c>
      <c r="E7281" s="92" t="str">
        <f t="shared" si="25"/>
        <v/>
      </c>
      <c r="G7281" s="92"/>
      <c r="I7281">
        <v>7</v>
      </c>
      <c r="J7281" t="s">
        <v>26</v>
      </c>
      <c r="K7281" s="57"/>
      <c r="S7281" s="57"/>
      <c r="X7281" s="57"/>
    </row>
    <row r="7282" spans="1:24" hidden="1" x14ac:dyDescent="0.35">
      <c r="A7282">
        <v>7278</v>
      </c>
      <c r="B7282">
        <v>7279</v>
      </c>
      <c r="C7282">
        <v>146.110099313999</v>
      </c>
      <c r="D7282">
        <v>-17.609818950600001</v>
      </c>
      <c r="E7282" s="92" t="str">
        <f t="shared" si="25"/>
        <v/>
      </c>
      <c r="G7282" s="92"/>
      <c r="I7282">
        <v>7</v>
      </c>
      <c r="J7282" t="s">
        <v>26</v>
      </c>
      <c r="K7282" s="57"/>
      <c r="S7282" s="57"/>
      <c r="X7282" s="57"/>
    </row>
    <row r="7283" spans="1:24" hidden="1" x14ac:dyDescent="0.35">
      <c r="A7283">
        <v>7279</v>
      </c>
      <c r="B7283">
        <v>7280</v>
      </c>
      <c r="C7283">
        <v>146.11005941900001</v>
      </c>
      <c r="D7283">
        <v>-17.6098956654</v>
      </c>
      <c r="E7283" s="92">
        <f t="shared" si="25"/>
        <v>50</v>
      </c>
      <c r="G7283" s="92"/>
      <c r="I7283">
        <v>7</v>
      </c>
      <c r="J7283" t="s">
        <v>26</v>
      </c>
      <c r="K7283" s="57"/>
      <c r="S7283" s="57"/>
      <c r="X7283" s="57"/>
    </row>
    <row r="7284" spans="1:24" hidden="1" x14ac:dyDescent="0.35">
      <c r="A7284">
        <v>7280</v>
      </c>
      <c r="B7284">
        <v>7281</v>
      </c>
      <c r="C7284">
        <v>146.11001932400001</v>
      </c>
      <c r="D7284">
        <v>-17.609972285200001</v>
      </c>
      <c r="E7284" s="92" t="str">
        <f t="shared" si="25"/>
        <v/>
      </c>
      <c r="G7284" s="92"/>
      <c r="I7284">
        <v>7</v>
      </c>
      <c r="J7284" t="s">
        <v>26</v>
      </c>
      <c r="K7284" s="57"/>
      <c r="S7284" s="57"/>
      <c r="X7284" s="57"/>
    </row>
    <row r="7285" spans="1:24" hidden="1" x14ac:dyDescent="0.35">
      <c r="A7285">
        <v>7281</v>
      </c>
      <c r="B7285">
        <v>7282</v>
      </c>
      <c r="C7285">
        <v>146.10997919100001</v>
      </c>
      <c r="D7285">
        <v>-17.610048887200001</v>
      </c>
      <c r="E7285" s="92" t="str">
        <f t="shared" si="25"/>
        <v/>
      </c>
      <c r="G7285" s="92"/>
      <c r="I7285">
        <v>7</v>
      </c>
      <c r="J7285" t="s">
        <v>26</v>
      </c>
      <c r="K7285" s="57"/>
      <c r="S7285" s="57"/>
      <c r="X7285" s="57"/>
    </row>
    <row r="7286" spans="1:24" hidden="1" x14ac:dyDescent="0.35">
      <c r="A7286">
        <v>7282</v>
      </c>
      <c r="B7286">
        <v>7283</v>
      </c>
      <c r="C7286">
        <v>146.109939056999</v>
      </c>
      <c r="D7286">
        <v>-17.6101254891</v>
      </c>
      <c r="E7286" s="92" t="str">
        <f t="shared" si="25"/>
        <v/>
      </c>
      <c r="G7286" s="92"/>
      <c r="I7286">
        <v>7</v>
      </c>
      <c r="J7286" t="s">
        <v>26</v>
      </c>
      <c r="K7286" s="57"/>
      <c r="S7286" s="57"/>
      <c r="X7286" s="57"/>
    </row>
    <row r="7287" spans="1:24" hidden="1" x14ac:dyDescent="0.35">
      <c r="A7287">
        <v>7283</v>
      </c>
      <c r="B7287">
        <v>7284</v>
      </c>
      <c r="C7287">
        <v>146.109898923999</v>
      </c>
      <c r="D7287">
        <v>-17.6102020909</v>
      </c>
      <c r="E7287" s="92" t="str">
        <f t="shared" si="25"/>
        <v/>
      </c>
      <c r="G7287" s="92"/>
      <c r="I7287">
        <v>7</v>
      </c>
      <c r="J7287" t="s">
        <v>26</v>
      </c>
      <c r="K7287" s="57"/>
      <c r="S7287" s="57"/>
      <c r="X7287" s="57"/>
    </row>
    <row r="7288" spans="1:24" hidden="1" x14ac:dyDescent="0.35">
      <c r="A7288">
        <v>7284</v>
      </c>
      <c r="B7288">
        <v>7285</v>
      </c>
      <c r="C7288">
        <v>146.109858790999</v>
      </c>
      <c r="D7288">
        <v>-17.610278692800001</v>
      </c>
      <c r="E7288" s="92">
        <f t="shared" si="25"/>
        <v>50</v>
      </c>
      <c r="G7288" s="92"/>
      <c r="I7288">
        <v>7</v>
      </c>
      <c r="J7288" t="s">
        <v>26</v>
      </c>
      <c r="K7288" s="57"/>
      <c r="S7288" s="57"/>
      <c r="X7288" s="57"/>
    </row>
    <row r="7289" spans="1:24" hidden="1" x14ac:dyDescent="0.35">
      <c r="A7289">
        <v>7285</v>
      </c>
      <c r="B7289">
        <v>7286</v>
      </c>
      <c r="C7289">
        <v>146.109818657999</v>
      </c>
      <c r="D7289">
        <v>-17.6103552945</v>
      </c>
      <c r="E7289" s="92" t="str">
        <f t="shared" si="25"/>
        <v/>
      </c>
      <c r="G7289" s="92"/>
      <c r="I7289">
        <v>7</v>
      </c>
      <c r="J7289" t="s">
        <v>26</v>
      </c>
      <c r="K7289" s="57"/>
      <c r="S7289" s="57"/>
      <c r="X7289" s="57"/>
    </row>
    <row r="7290" spans="1:24" hidden="1" x14ac:dyDescent="0.35">
      <c r="A7290">
        <v>7286</v>
      </c>
      <c r="B7290">
        <v>7287</v>
      </c>
      <c r="C7290">
        <v>146.109778524999</v>
      </c>
      <c r="D7290">
        <v>-17.6104318963</v>
      </c>
      <c r="E7290" s="92" t="str">
        <f t="shared" si="25"/>
        <v/>
      </c>
      <c r="G7290" s="92"/>
      <c r="I7290">
        <v>7</v>
      </c>
      <c r="J7290" t="s">
        <v>26</v>
      </c>
      <c r="K7290" s="57"/>
      <c r="S7290" s="57"/>
      <c r="X7290" s="57"/>
    </row>
    <row r="7291" spans="1:24" hidden="1" x14ac:dyDescent="0.35">
      <c r="A7291">
        <v>7287</v>
      </c>
      <c r="B7291">
        <v>7288</v>
      </c>
      <c r="C7291">
        <v>146.109738391999</v>
      </c>
      <c r="D7291">
        <v>-17.610508498000002</v>
      </c>
      <c r="E7291" s="92" t="str">
        <f t="shared" si="25"/>
        <v/>
      </c>
      <c r="G7291" s="92"/>
      <c r="I7291">
        <v>7</v>
      </c>
      <c r="J7291" t="s">
        <v>26</v>
      </c>
      <c r="K7291" s="57"/>
      <c r="S7291" s="57"/>
      <c r="X7291" s="57"/>
    </row>
    <row r="7292" spans="1:24" hidden="1" x14ac:dyDescent="0.35">
      <c r="A7292">
        <v>7288</v>
      </c>
      <c r="B7292">
        <v>7289</v>
      </c>
      <c r="C7292">
        <v>146.109698258999</v>
      </c>
      <c r="D7292">
        <v>-17.6105850997</v>
      </c>
      <c r="E7292" s="92" t="str">
        <f t="shared" si="25"/>
        <v/>
      </c>
      <c r="G7292" s="92"/>
      <c r="I7292">
        <v>7</v>
      </c>
      <c r="J7292" t="s">
        <v>26</v>
      </c>
      <c r="K7292" s="57"/>
      <c r="S7292" s="57"/>
      <c r="X7292" s="57"/>
    </row>
    <row r="7293" spans="1:24" hidden="1" x14ac:dyDescent="0.35">
      <c r="A7293">
        <v>7289</v>
      </c>
      <c r="B7293">
        <v>7290</v>
      </c>
      <c r="C7293">
        <v>146.109658125999</v>
      </c>
      <c r="D7293">
        <v>-17.6106617013</v>
      </c>
      <c r="E7293" s="92">
        <f t="shared" si="25"/>
        <v>50</v>
      </c>
      <c r="G7293" s="92"/>
      <c r="I7293">
        <v>7</v>
      </c>
      <c r="J7293" t="s">
        <v>26</v>
      </c>
      <c r="K7293" s="57"/>
      <c r="S7293" s="57"/>
      <c r="X7293" s="57"/>
    </row>
    <row r="7294" spans="1:24" hidden="1" x14ac:dyDescent="0.35">
      <c r="A7294">
        <v>7290</v>
      </c>
      <c r="B7294">
        <v>7291</v>
      </c>
      <c r="C7294">
        <v>146.109617993</v>
      </c>
      <c r="D7294">
        <v>-17.610738303000002</v>
      </c>
      <c r="E7294" s="92" t="str">
        <f t="shared" si="25"/>
        <v/>
      </c>
      <c r="G7294" s="92"/>
      <c r="I7294">
        <v>7</v>
      </c>
      <c r="J7294" t="s">
        <v>26</v>
      </c>
      <c r="K7294" s="57"/>
      <c r="S7294" s="57"/>
      <c r="X7294" s="57"/>
    </row>
    <row r="7295" spans="1:24" hidden="1" x14ac:dyDescent="0.35">
      <c r="A7295">
        <v>7291</v>
      </c>
      <c r="B7295">
        <v>7292</v>
      </c>
      <c r="C7295">
        <v>146.10957786</v>
      </c>
      <c r="D7295">
        <v>-17.610814904600002</v>
      </c>
      <c r="E7295" s="92" t="str">
        <f t="shared" si="25"/>
        <v/>
      </c>
      <c r="G7295" s="92"/>
      <c r="I7295">
        <v>7</v>
      </c>
      <c r="J7295" t="s">
        <v>26</v>
      </c>
      <c r="K7295" s="57"/>
      <c r="S7295" s="57"/>
      <c r="X7295" s="57"/>
    </row>
    <row r="7296" spans="1:24" hidden="1" x14ac:dyDescent="0.35">
      <c r="A7296">
        <v>7292</v>
      </c>
      <c r="B7296">
        <v>7293</v>
      </c>
      <c r="C7296">
        <v>146.109536534</v>
      </c>
      <c r="D7296">
        <v>-17.610890913999899</v>
      </c>
      <c r="E7296" s="92" t="str">
        <f t="shared" si="25"/>
        <v/>
      </c>
      <c r="G7296" s="92"/>
      <c r="I7296">
        <v>7</v>
      </c>
      <c r="J7296" t="s">
        <v>26</v>
      </c>
      <c r="K7296" s="57"/>
      <c r="S7296" s="57"/>
      <c r="X7296" s="57"/>
    </row>
    <row r="7297" spans="1:24" hidden="1" x14ac:dyDescent="0.35">
      <c r="A7297">
        <v>7293</v>
      </c>
      <c r="B7297">
        <v>7294</v>
      </c>
      <c r="C7297">
        <v>146.1094937</v>
      </c>
      <c r="D7297">
        <v>-17.6109661755</v>
      </c>
      <c r="E7297" s="92" t="str">
        <f t="shared" si="25"/>
        <v/>
      </c>
      <c r="G7297" s="92"/>
      <c r="I7297">
        <v>7</v>
      </c>
      <c r="J7297" t="s">
        <v>26</v>
      </c>
      <c r="K7297" s="57"/>
      <c r="S7297" s="57"/>
      <c r="X7297" s="57"/>
    </row>
    <row r="7298" spans="1:24" hidden="1" x14ac:dyDescent="0.35">
      <c r="A7298">
        <v>7294</v>
      </c>
      <c r="B7298">
        <v>7295</v>
      </c>
      <c r="C7298">
        <v>146.109450866999</v>
      </c>
      <c r="D7298">
        <v>-17.6110414368999</v>
      </c>
      <c r="E7298" s="92">
        <f t="shared" si="25"/>
        <v>50</v>
      </c>
      <c r="G7298" s="92"/>
      <c r="I7298">
        <v>7</v>
      </c>
      <c r="J7298" t="s">
        <v>26</v>
      </c>
      <c r="K7298" s="57"/>
      <c r="S7298" s="57"/>
      <c r="X7298" s="57"/>
    </row>
    <row r="7299" spans="1:24" hidden="1" x14ac:dyDescent="0.35">
      <c r="A7299">
        <v>7295</v>
      </c>
      <c r="B7299">
        <v>7296</v>
      </c>
      <c r="C7299">
        <v>146.10940803400001</v>
      </c>
      <c r="D7299">
        <v>-17.611116698299899</v>
      </c>
      <c r="E7299" s="92" t="str">
        <f t="shared" si="25"/>
        <v/>
      </c>
      <c r="G7299" s="92"/>
      <c r="I7299">
        <v>7</v>
      </c>
      <c r="J7299" t="s">
        <v>26</v>
      </c>
      <c r="K7299" s="57"/>
      <c r="S7299" s="57"/>
      <c r="X7299" s="57"/>
    </row>
    <row r="7300" spans="1:24" hidden="1" x14ac:dyDescent="0.35">
      <c r="A7300">
        <v>7296</v>
      </c>
      <c r="B7300">
        <v>7297</v>
      </c>
      <c r="C7300">
        <v>146.109365201</v>
      </c>
      <c r="D7300">
        <v>-17.6111919595999</v>
      </c>
      <c r="E7300" s="92" t="str">
        <f t="shared" si="25"/>
        <v/>
      </c>
      <c r="G7300" s="92"/>
      <c r="I7300">
        <v>7</v>
      </c>
      <c r="J7300" t="s">
        <v>26</v>
      </c>
      <c r="K7300" s="57"/>
      <c r="S7300" s="57"/>
      <c r="X7300" s="57"/>
    </row>
    <row r="7301" spans="1:24" hidden="1" x14ac:dyDescent="0.35">
      <c r="A7301">
        <v>7297</v>
      </c>
      <c r="B7301">
        <v>7298</v>
      </c>
      <c r="C7301">
        <v>146.109322367999</v>
      </c>
      <c r="D7301">
        <v>-17.611267220999899</v>
      </c>
      <c r="E7301" s="92" t="str">
        <f t="shared" si="25"/>
        <v/>
      </c>
      <c r="G7301" s="92"/>
      <c r="I7301">
        <v>7</v>
      </c>
      <c r="J7301" t="s">
        <v>26</v>
      </c>
      <c r="K7301" s="57"/>
      <c r="S7301" s="57"/>
      <c r="X7301" s="57"/>
    </row>
    <row r="7302" spans="1:24" hidden="1" x14ac:dyDescent="0.35">
      <c r="A7302">
        <v>7298</v>
      </c>
      <c r="B7302">
        <v>7299</v>
      </c>
      <c r="C7302">
        <v>146.10927953500001</v>
      </c>
      <c r="D7302">
        <v>-17.611342482200001</v>
      </c>
      <c r="E7302" s="92" t="str">
        <f t="shared" si="25"/>
        <v/>
      </c>
      <c r="G7302" s="92"/>
      <c r="I7302">
        <v>7</v>
      </c>
      <c r="J7302" t="s">
        <v>26</v>
      </c>
      <c r="K7302" s="57"/>
      <c r="S7302" s="57"/>
      <c r="X7302" s="57"/>
    </row>
    <row r="7303" spans="1:24" hidden="1" x14ac:dyDescent="0.35">
      <c r="A7303">
        <v>7299</v>
      </c>
      <c r="B7303">
        <v>7300</v>
      </c>
      <c r="C7303">
        <v>146.10923670099899</v>
      </c>
      <c r="D7303">
        <v>-17.611417743499899</v>
      </c>
      <c r="E7303" s="92">
        <f t="shared" si="25"/>
        <v>50</v>
      </c>
      <c r="G7303" s="92"/>
      <c r="I7303">
        <v>7</v>
      </c>
      <c r="J7303" t="s">
        <v>26</v>
      </c>
      <c r="K7303" s="57"/>
      <c r="S7303" s="57"/>
      <c r="X7303" s="57"/>
    </row>
    <row r="7304" spans="1:24" hidden="1" x14ac:dyDescent="0.35">
      <c r="A7304">
        <v>7300</v>
      </c>
      <c r="B7304">
        <v>7301</v>
      </c>
      <c r="C7304">
        <v>146.10919386800001</v>
      </c>
      <c r="D7304">
        <v>-17.611493004700002</v>
      </c>
      <c r="E7304" s="92" t="str">
        <f t="shared" si="25"/>
        <v/>
      </c>
      <c r="G7304" s="92"/>
      <c r="I7304">
        <v>7</v>
      </c>
      <c r="J7304" t="s">
        <v>26</v>
      </c>
      <c r="K7304" s="57"/>
      <c r="S7304" s="57"/>
      <c r="X7304" s="57"/>
    </row>
    <row r="7305" spans="1:24" hidden="1" x14ac:dyDescent="0.35">
      <c r="A7305">
        <v>7301</v>
      </c>
      <c r="B7305">
        <v>7302</v>
      </c>
      <c r="C7305">
        <v>146.109151034999</v>
      </c>
      <c r="D7305">
        <v>-17.611568265900001</v>
      </c>
      <c r="E7305" s="92" t="str">
        <f t="shared" si="25"/>
        <v/>
      </c>
      <c r="G7305" s="92"/>
      <c r="I7305">
        <v>7</v>
      </c>
      <c r="J7305" t="s">
        <v>26</v>
      </c>
      <c r="K7305" s="57"/>
      <c r="S7305" s="57"/>
      <c r="X7305" s="57"/>
    </row>
    <row r="7306" spans="1:24" hidden="1" x14ac:dyDescent="0.35">
      <c r="A7306">
        <v>7302</v>
      </c>
      <c r="B7306">
        <v>7303</v>
      </c>
      <c r="C7306">
        <v>146.10910820199899</v>
      </c>
      <c r="D7306">
        <v>-17.6116435271</v>
      </c>
      <c r="E7306" s="92" t="str">
        <f t="shared" si="25"/>
        <v/>
      </c>
      <c r="G7306" s="92"/>
      <c r="I7306">
        <v>7</v>
      </c>
      <c r="J7306" t="s">
        <v>26</v>
      </c>
      <c r="K7306" s="57"/>
      <c r="S7306" s="57"/>
      <c r="X7306" s="57"/>
    </row>
    <row r="7307" spans="1:24" hidden="1" x14ac:dyDescent="0.35">
      <c r="A7307">
        <v>7303</v>
      </c>
      <c r="B7307">
        <v>7304</v>
      </c>
      <c r="C7307">
        <v>146.109063149999</v>
      </c>
      <c r="D7307">
        <v>-17.6117175579</v>
      </c>
      <c r="E7307" s="92" t="str">
        <f t="shared" si="25"/>
        <v/>
      </c>
      <c r="G7307" s="92"/>
      <c r="I7307">
        <v>7</v>
      </c>
      <c r="J7307" t="s">
        <v>26</v>
      </c>
      <c r="K7307" s="57"/>
      <c r="S7307" s="57"/>
      <c r="X7307" s="57"/>
    </row>
    <row r="7308" spans="1:24" hidden="1" x14ac:dyDescent="0.35">
      <c r="A7308">
        <v>7304</v>
      </c>
      <c r="B7308">
        <v>7305</v>
      </c>
      <c r="C7308">
        <v>146.10901566499899</v>
      </c>
      <c r="D7308">
        <v>-17.6117902386999</v>
      </c>
      <c r="E7308" s="92">
        <f t="shared" si="25"/>
        <v>50</v>
      </c>
      <c r="G7308" s="92"/>
      <c r="I7308">
        <v>7</v>
      </c>
      <c r="J7308" t="s">
        <v>26</v>
      </c>
      <c r="K7308" s="57"/>
      <c r="S7308" s="57"/>
      <c r="X7308" s="57"/>
    </row>
    <row r="7309" spans="1:24" hidden="1" x14ac:dyDescent="0.35">
      <c r="A7309">
        <v>7305</v>
      </c>
      <c r="B7309">
        <v>7306</v>
      </c>
      <c r="C7309">
        <v>146.10896817899899</v>
      </c>
      <c r="D7309">
        <v>-17.611862919499899</v>
      </c>
      <c r="E7309" s="92" t="str">
        <f t="shared" si="25"/>
        <v/>
      </c>
      <c r="G7309" s="92"/>
      <c r="I7309">
        <v>7</v>
      </c>
      <c r="J7309" t="s">
        <v>26</v>
      </c>
      <c r="K7309" s="57"/>
      <c r="S7309" s="57"/>
      <c r="X7309" s="57"/>
    </row>
    <row r="7310" spans="1:24" hidden="1" x14ac:dyDescent="0.35">
      <c r="A7310">
        <v>7306</v>
      </c>
      <c r="B7310">
        <v>7307</v>
      </c>
      <c r="C7310">
        <v>146.10892069400001</v>
      </c>
      <c r="D7310">
        <v>-17.611935600199899</v>
      </c>
      <c r="E7310" s="92" t="str">
        <f t="shared" si="25"/>
        <v/>
      </c>
      <c r="G7310" s="92"/>
      <c r="I7310">
        <v>7</v>
      </c>
      <c r="J7310" t="s">
        <v>26</v>
      </c>
      <c r="K7310" s="57"/>
      <c r="S7310" s="57"/>
      <c r="X7310" s="57"/>
    </row>
    <row r="7311" spans="1:24" hidden="1" x14ac:dyDescent="0.35">
      <c r="A7311">
        <v>7307</v>
      </c>
      <c r="B7311">
        <v>7308</v>
      </c>
      <c r="C7311">
        <v>146.10887320800001</v>
      </c>
      <c r="D7311">
        <v>-17.612008281000001</v>
      </c>
      <c r="E7311" s="92" t="str">
        <f t="shared" si="25"/>
        <v/>
      </c>
      <c r="G7311" s="92"/>
      <c r="I7311">
        <v>7</v>
      </c>
      <c r="J7311" t="s">
        <v>26</v>
      </c>
      <c r="K7311" s="57"/>
      <c r="S7311" s="57"/>
      <c r="X7311" s="57"/>
    </row>
    <row r="7312" spans="1:24" hidden="1" x14ac:dyDescent="0.35">
      <c r="A7312">
        <v>7308</v>
      </c>
      <c r="B7312">
        <v>7309</v>
      </c>
      <c r="C7312">
        <v>146.10880769400001</v>
      </c>
      <c r="D7312">
        <v>-17.612066743900002</v>
      </c>
      <c r="E7312" s="92" t="str">
        <f t="shared" ref="E7312:E7375" si="26">IF(MOD(B7312,5)=0, 50, "")</f>
        <v/>
      </c>
      <c r="G7312" s="92"/>
      <c r="I7312">
        <v>7</v>
      </c>
      <c r="J7312" t="s">
        <v>26</v>
      </c>
      <c r="K7312" s="57"/>
      <c r="S7312" s="57"/>
      <c r="X7312" s="57"/>
    </row>
    <row r="7313" spans="1:24" hidden="1" x14ac:dyDescent="0.35">
      <c r="A7313">
        <v>7309</v>
      </c>
      <c r="B7313">
        <v>7310</v>
      </c>
      <c r="C7313">
        <v>146.10874167700001</v>
      </c>
      <c r="D7313">
        <v>-17.612124810400001</v>
      </c>
      <c r="E7313" s="92">
        <f t="shared" si="26"/>
        <v>50</v>
      </c>
      <c r="G7313" s="92"/>
      <c r="I7313">
        <v>7</v>
      </c>
      <c r="J7313" t="s">
        <v>26</v>
      </c>
      <c r="K7313" s="57"/>
      <c r="S7313" s="57"/>
      <c r="X7313" s="57"/>
    </row>
    <row r="7314" spans="1:24" hidden="1" x14ac:dyDescent="0.35">
      <c r="A7314">
        <v>7310</v>
      </c>
      <c r="B7314">
        <v>7311</v>
      </c>
      <c r="C7314">
        <v>146.108674296999</v>
      </c>
      <c r="D7314">
        <v>-17.6121812318999</v>
      </c>
      <c r="E7314" s="92" t="str">
        <f t="shared" si="26"/>
        <v/>
      </c>
      <c r="G7314" s="92"/>
      <c r="I7314">
        <v>7</v>
      </c>
      <c r="J7314" t="s">
        <v>26</v>
      </c>
      <c r="K7314" s="57"/>
      <c r="S7314" s="57"/>
      <c r="X7314" s="57"/>
    </row>
    <row r="7315" spans="1:24" hidden="1" x14ac:dyDescent="0.35">
      <c r="A7315">
        <v>7311</v>
      </c>
      <c r="B7315">
        <v>7312</v>
      </c>
      <c r="C7315">
        <v>146.108599768999</v>
      </c>
      <c r="D7315">
        <v>-17.6122290341</v>
      </c>
      <c r="E7315" s="92" t="str">
        <f t="shared" si="26"/>
        <v/>
      </c>
      <c r="G7315" s="92"/>
      <c r="I7315">
        <v>7</v>
      </c>
      <c r="J7315" t="s">
        <v>26</v>
      </c>
      <c r="K7315" s="57"/>
      <c r="S7315" s="57"/>
      <c r="X7315" s="57"/>
    </row>
    <row r="7316" spans="1:24" hidden="1" x14ac:dyDescent="0.35">
      <c r="A7316">
        <v>7312</v>
      </c>
      <c r="B7316">
        <v>7313</v>
      </c>
      <c r="C7316">
        <v>146.10852524200001</v>
      </c>
      <c r="D7316">
        <v>-17.6122768364</v>
      </c>
      <c r="E7316" s="92" t="str">
        <f t="shared" si="26"/>
        <v/>
      </c>
      <c r="G7316" s="92"/>
      <c r="I7316">
        <v>7</v>
      </c>
      <c r="J7316" t="s">
        <v>26</v>
      </c>
      <c r="K7316" s="57"/>
      <c r="S7316" s="57"/>
      <c r="X7316" s="57"/>
    </row>
    <row r="7317" spans="1:24" hidden="1" x14ac:dyDescent="0.35">
      <c r="A7317">
        <v>7313</v>
      </c>
      <c r="B7317">
        <v>7314</v>
      </c>
      <c r="C7317">
        <v>146.10845071400001</v>
      </c>
      <c r="D7317">
        <v>-17.612324638600001</v>
      </c>
      <c r="E7317" s="92" t="str">
        <f t="shared" si="26"/>
        <v/>
      </c>
      <c r="G7317" s="92"/>
      <c r="I7317">
        <v>7</v>
      </c>
      <c r="J7317" t="s">
        <v>26</v>
      </c>
      <c r="K7317" s="57"/>
      <c r="S7317" s="57"/>
      <c r="X7317" s="57"/>
    </row>
    <row r="7318" spans="1:24" hidden="1" x14ac:dyDescent="0.35">
      <c r="A7318">
        <v>7314</v>
      </c>
      <c r="B7318">
        <v>7315</v>
      </c>
      <c r="C7318">
        <v>146.10836519399899</v>
      </c>
      <c r="D7318">
        <v>-17.6123442954</v>
      </c>
      <c r="E7318" s="92">
        <f t="shared" si="26"/>
        <v>50</v>
      </c>
      <c r="G7318" s="92"/>
      <c r="I7318">
        <v>7</v>
      </c>
      <c r="J7318" t="s">
        <v>26</v>
      </c>
      <c r="K7318" s="57"/>
      <c r="S7318" s="57"/>
      <c r="X7318" s="57"/>
    </row>
    <row r="7319" spans="1:24" hidden="1" x14ac:dyDescent="0.35">
      <c r="A7319">
        <v>7315</v>
      </c>
      <c r="B7319">
        <v>7316</v>
      </c>
      <c r="C7319">
        <v>146.108276012</v>
      </c>
      <c r="D7319">
        <v>-17.6123545767</v>
      </c>
      <c r="E7319" s="92" t="str">
        <f t="shared" si="26"/>
        <v/>
      </c>
      <c r="G7319" s="92"/>
      <c r="I7319">
        <v>7</v>
      </c>
      <c r="J7319" t="s">
        <v>26</v>
      </c>
      <c r="K7319" s="57"/>
      <c r="S7319" s="57"/>
      <c r="X7319" s="57"/>
    </row>
    <row r="7320" spans="1:24" hidden="1" x14ac:dyDescent="0.35">
      <c r="A7320">
        <v>7316</v>
      </c>
      <c r="B7320">
        <v>7317</v>
      </c>
      <c r="C7320">
        <v>146.10818683100001</v>
      </c>
      <c r="D7320">
        <v>-17.612364858100001</v>
      </c>
      <c r="E7320" s="92" t="str">
        <f t="shared" si="26"/>
        <v/>
      </c>
      <c r="G7320" s="92"/>
      <c r="I7320">
        <v>7</v>
      </c>
      <c r="J7320" t="s">
        <v>26</v>
      </c>
      <c r="K7320" s="57"/>
      <c r="S7320" s="57"/>
      <c r="X7320" s="57"/>
    </row>
    <row r="7321" spans="1:24" hidden="1" x14ac:dyDescent="0.35">
      <c r="A7321">
        <v>7317</v>
      </c>
      <c r="B7321">
        <v>7318</v>
      </c>
      <c r="C7321">
        <v>146.10809765600001</v>
      </c>
      <c r="D7321">
        <v>-17.6123611668</v>
      </c>
      <c r="E7321" s="92" t="str">
        <f t="shared" si="26"/>
        <v/>
      </c>
      <c r="G7321" s="92"/>
      <c r="I7321">
        <v>7</v>
      </c>
      <c r="J7321" t="s">
        <v>26</v>
      </c>
      <c r="K7321" s="57"/>
      <c r="S7321" s="57"/>
      <c r="X7321" s="57"/>
    </row>
    <row r="7322" spans="1:24" hidden="1" x14ac:dyDescent="0.35">
      <c r="A7322">
        <v>7318</v>
      </c>
      <c r="B7322">
        <v>7319</v>
      </c>
      <c r="C7322">
        <v>146.108008482999</v>
      </c>
      <c r="D7322">
        <v>-17.6123508143999</v>
      </c>
      <c r="E7322" s="92" t="str">
        <f t="shared" si="26"/>
        <v/>
      </c>
      <c r="G7322" s="92"/>
      <c r="I7322">
        <v>7</v>
      </c>
      <c r="J7322" t="s">
        <v>26</v>
      </c>
      <c r="K7322" s="57"/>
      <c r="S7322" s="57"/>
      <c r="X7322" s="57"/>
    </row>
    <row r="7323" spans="1:24" hidden="1" x14ac:dyDescent="0.35">
      <c r="A7323">
        <v>7319</v>
      </c>
      <c r="B7323">
        <v>7320</v>
      </c>
      <c r="C7323">
        <v>146.10791931099899</v>
      </c>
      <c r="D7323">
        <v>-17.612340462100001</v>
      </c>
      <c r="E7323" s="92">
        <f t="shared" si="26"/>
        <v>50</v>
      </c>
      <c r="G7323" s="92"/>
      <c r="I7323">
        <v>7</v>
      </c>
      <c r="J7323" t="s">
        <v>26</v>
      </c>
      <c r="K7323" s="57"/>
      <c r="S7323" s="57"/>
      <c r="X7323" s="57"/>
    </row>
    <row r="7324" spans="1:24" hidden="1" x14ac:dyDescent="0.35">
      <c r="A7324">
        <v>7320</v>
      </c>
      <c r="B7324">
        <v>7321</v>
      </c>
      <c r="C7324">
        <v>146.107831752999</v>
      </c>
      <c r="D7324">
        <v>-17.6123234523</v>
      </c>
      <c r="E7324" s="92" t="str">
        <f t="shared" si="26"/>
        <v/>
      </c>
      <c r="G7324" s="92"/>
      <c r="I7324">
        <v>7</v>
      </c>
      <c r="J7324" t="s">
        <v>26</v>
      </c>
      <c r="K7324" s="57"/>
      <c r="S7324" s="57"/>
      <c r="X7324" s="57"/>
    </row>
    <row r="7325" spans="1:24" hidden="1" x14ac:dyDescent="0.35">
      <c r="A7325">
        <v>7321</v>
      </c>
      <c r="B7325">
        <v>7322</v>
      </c>
      <c r="C7325">
        <v>146.10774686100001</v>
      </c>
      <c r="D7325">
        <v>-17.6122954505</v>
      </c>
      <c r="E7325" s="92" t="str">
        <f t="shared" si="26"/>
        <v/>
      </c>
      <c r="G7325" s="92"/>
      <c r="I7325">
        <v>7</v>
      </c>
      <c r="J7325" t="s">
        <v>26</v>
      </c>
      <c r="K7325" s="57"/>
      <c r="S7325" s="57"/>
      <c r="X7325" s="57"/>
    </row>
    <row r="7326" spans="1:24" hidden="1" x14ac:dyDescent="0.35">
      <c r="A7326">
        <v>7322</v>
      </c>
      <c r="B7326">
        <v>7323</v>
      </c>
      <c r="C7326">
        <v>146.10766197000001</v>
      </c>
      <c r="D7326">
        <v>-17.6122674486999</v>
      </c>
      <c r="E7326" s="92" t="str">
        <f t="shared" si="26"/>
        <v/>
      </c>
      <c r="G7326" s="92"/>
      <c r="I7326">
        <v>7</v>
      </c>
      <c r="J7326" t="s">
        <v>26</v>
      </c>
      <c r="K7326" s="57"/>
      <c r="S7326" s="57"/>
      <c r="X7326" s="57"/>
    </row>
    <row r="7327" spans="1:24" hidden="1" x14ac:dyDescent="0.35">
      <c r="A7327">
        <v>7323</v>
      </c>
      <c r="B7327">
        <v>7324</v>
      </c>
      <c r="C7327">
        <v>146.107577077999</v>
      </c>
      <c r="D7327">
        <v>-17.6122394468</v>
      </c>
      <c r="E7327" s="92" t="str">
        <f t="shared" si="26"/>
        <v/>
      </c>
      <c r="G7327" s="92"/>
      <c r="I7327">
        <v>7</v>
      </c>
      <c r="J7327" t="s">
        <v>26</v>
      </c>
      <c r="K7327" s="57"/>
      <c r="S7327" s="57"/>
      <c r="X7327" s="57"/>
    </row>
    <row r="7328" spans="1:24" hidden="1" x14ac:dyDescent="0.35">
      <c r="A7328">
        <v>7324</v>
      </c>
      <c r="B7328">
        <v>7325</v>
      </c>
      <c r="C7328">
        <v>146.107492186999</v>
      </c>
      <c r="D7328">
        <v>-17.612211444900002</v>
      </c>
      <c r="E7328" s="92">
        <f t="shared" si="26"/>
        <v>50</v>
      </c>
      <c r="G7328" s="92"/>
      <c r="I7328">
        <v>7</v>
      </c>
      <c r="J7328" t="s">
        <v>26</v>
      </c>
      <c r="K7328" s="57"/>
      <c r="S7328" s="57"/>
      <c r="X7328" s="57"/>
    </row>
    <row r="7329" spans="1:24" hidden="1" x14ac:dyDescent="0.35">
      <c r="A7329">
        <v>7325</v>
      </c>
      <c r="B7329">
        <v>7326</v>
      </c>
      <c r="C7329">
        <v>146.107410810999</v>
      </c>
      <c r="D7329">
        <v>-17.612176513000001</v>
      </c>
      <c r="E7329" s="92" t="str">
        <f t="shared" si="26"/>
        <v/>
      </c>
      <c r="G7329" s="92"/>
      <c r="I7329">
        <v>7</v>
      </c>
      <c r="J7329" t="s">
        <v>26</v>
      </c>
      <c r="K7329" s="57"/>
      <c r="S7329" s="57"/>
      <c r="X7329" s="57"/>
    </row>
    <row r="7330" spans="1:24" hidden="1" x14ac:dyDescent="0.35">
      <c r="A7330">
        <v>7326</v>
      </c>
      <c r="B7330">
        <v>7327</v>
      </c>
      <c r="C7330">
        <v>146.107335065</v>
      </c>
      <c r="D7330">
        <v>-17.6121304825</v>
      </c>
      <c r="E7330" s="92" t="str">
        <f t="shared" si="26"/>
        <v/>
      </c>
      <c r="G7330" s="92"/>
      <c r="I7330">
        <v>7</v>
      </c>
      <c r="J7330" t="s">
        <v>26</v>
      </c>
      <c r="K7330" s="57"/>
      <c r="S7330" s="57"/>
      <c r="X7330" s="57"/>
    </row>
    <row r="7331" spans="1:24" hidden="1" x14ac:dyDescent="0.35">
      <c r="A7331">
        <v>7327</v>
      </c>
      <c r="B7331">
        <v>7328</v>
      </c>
      <c r="C7331">
        <v>146.107259319999</v>
      </c>
      <c r="D7331">
        <v>-17.612084452000001</v>
      </c>
      <c r="E7331" s="92" t="str">
        <f t="shared" si="26"/>
        <v/>
      </c>
      <c r="G7331" s="92"/>
      <c r="I7331">
        <v>7</v>
      </c>
      <c r="J7331" t="s">
        <v>26</v>
      </c>
      <c r="K7331" s="57"/>
      <c r="S7331" s="57"/>
      <c r="X7331" s="57"/>
    </row>
    <row r="7332" spans="1:24" hidden="1" x14ac:dyDescent="0.35">
      <c r="A7332">
        <v>7328</v>
      </c>
      <c r="B7332">
        <v>7329</v>
      </c>
      <c r="C7332">
        <v>146.107183574</v>
      </c>
      <c r="D7332">
        <v>-17.612038421600001</v>
      </c>
      <c r="E7332" s="92" t="str">
        <f t="shared" si="26"/>
        <v/>
      </c>
      <c r="G7332" s="92"/>
      <c r="I7332">
        <v>7</v>
      </c>
      <c r="J7332" t="s">
        <v>26</v>
      </c>
      <c r="K7332" s="57"/>
      <c r="S7332" s="57"/>
      <c r="X7332" s="57"/>
    </row>
    <row r="7333" spans="1:24" hidden="1" x14ac:dyDescent="0.35">
      <c r="A7333">
        <v>7329</v>
      </c>
      <c r="B7333">
        <v>7330</v>
      </c>
      <c r="C7333">
        <v>146.107107829</v>
      </c>
      <c r="D7333">
        <v>-17.6119923910999</v>
      </c>
      <c r="E7333" s="92">
        <f t="shared" si="26"/>
        <v>50</v>
      </c>
      <c r="G7333" s="92"/>
      <c r="I7333">
        <v>7</v>
      </c>
      <c r="J7333" t="s">
        <v>26</v>
      </c>
      <c r="K7333" s="57"/>
      <c r="S7333" s="57"/>
      <c r="X7333" s="57"/>
    </row>
    <row r="7334" spans="1:24" hidden="1" x14ac:dyDescent="0.35">
      <c r="A7334">
        <v>7330</v>
      </c>
      <c r="B7334">
        <v>7331</v>
      </c>
      <c r="C7334">
        <v>146.10703261699899</v>
      </c>
      <c r="D7334">
        <v>-17.6119456805</v>
      </c>
      <c r="E7334" s="92" t="str">
        <f t="shared" si="26"/>
        <v/>
      </c>
      <c r="G7334" s="92"/>
      <c r="I7334">
        <v>7</v>
      </c>
      <c r="J7334" t="s">
        <v>26</v>
      </c>
      <c r="K7334" s="57"/>
      <c r="S7334" s="57"/>
      <c r="X7334" s="57"/>
    </row>
    <row r="7335" spans="1:24" hidden="1" x14ac:dyDescent="0.35">
      <c r="A7335">
        <v>7331</v>
      </c>
      <c r="B7335">
        <v>7332</v>
      </c>
      <c r="C7335">
        <v>146.106964865999</v>
      </c>
      <c r="D7335">
        <v>-17.611889457699899</v>
      </c>
      <c r="E7335" s="92" t="str">
        <f t="shared" si="26"/>
        <v/>
      </c>
      <c r="G7335" s="92"/>
      <c r="I7335">
        <v>7</v>
      </c>
      <c r="J7335" t="s">
        <v>26</v>
      </c>
      <c r="K7335" s="57"/>
      <c r="S7335" s="57"/>
      <c r="X7335" s="57"/>
    </row>
    <row r="7336" spans="1:24" hidden="1" x14ac:dyDescent="0.35">
      <c r="A7336">
        <v>7332</v>
      </c>
      <c r="B7336">
        <v>7333</v>
      </c>
      <c r="C7336">
        <v>146.10689711500001</v>
      </c>
      <c r="D7336">
        <v>-17.611833234900001</v>
      </c>
      <c r="E7336" s="92" t="str">
        <f t="shared" si="26"/>
        <v/>
      </c>
      <c r="G7336" s="92"/>
      <c r="I7336">
        <v>7</v>
      </c>
      <c r="J7336" t="s">
        <v>26</v>
      </c>
      <c r="K7336" s="57"/>
      <c r="S7336" s="57"/>
      <c r="X7336" s="57"/>
    </row>
    <row r="7337" spans="1:24" hidden="1" x14ac:dyDescent="0.35">
      <c r="A7337">
        <v>7333</v>
      </c>
      <c r="B7337">
        <v>7334</v>
      </c>
      <c r="C7337">
        <v>146.10682936500001</v>
      </c>
      <c r="D7337">
        <v>-17.6117770120999</v>
      </c>
      <c r="E7337" s="92" t="str">
        <f t="shared" si="26"/>
        <v/>
      </c>
      <c r="G7337" s="92"/>
      <c r="I7337">
        <v>7</v>
      </c>
      <c r="J7337" t="s">
        <v>26</v>
      </c>
      <c r="K7337" s="57"/>
      <c r="S7337" s="57"/>
      <c r="X7337" s="57"/>
    </row>
    <row r="7338" spans="1:24" hidden="1" x14ac:dyDescent="0.35">
      <c r="A7338">
        <v>7334</v>
      </c>
      <c r="B7338">
        <v>7335</v>
      </c>
      <c r="C7338">
        <v>146.106761613999</v>
      </c>
      <c r="D7338">
        <v>-17.611720789300001</v>
      </c>
      <c r="E7338" s="92">
        <f t="shared" si="26"/>
        <v>50</v>
      </c>
      <c r="G7338" s="92"/>
      <c r="I7338">
        <v>7</v>
      </c>
      <c r="J7338" t="s">
        <v>26</v>
      </c>
      <c r="K7338" s="57"/>
      <c r="S7338" s="57"/>
      <c r="X7338" s="57"/>
    </row>
    <row r="7339" spans="1:24" hidden="1" x14ac:dyDescent="0.35">
      <c r="A7339">
        <v>7335</v>
      </c>
      <c r="B7339">
        <v>7336</v>
      </c>
      <c r="C7339">
        <v>146.10669387799899</v>
      </c>
      <c r="D7339">
        <v>-17.6116645498</v>
      </c>
      <c r="E7339" s="92" t="str">
        <f t="shared" si="26"/>
        <v/>
      </c>
      <c r="G7339" s="92"/>
      <c r="I7339">
        <v>7</v>
      </c>
      <c r="J7339" t="s">
        <v>26</v>
      </c>
      <c r="K7339" s="57"/>
      <c r="S7339" s="57"/>
      <c r="X7339" s="57"/>
    </row>
    <row r="7340" spans="1:24" hidden="1" x14ac:dyDescent="0.35">
      <c r="A7340">
        <v>7336</v>
      </c>
      <c r="B7340">
        <v>7337</v>
      </c>
      <c r="C7340">
        <v>146.10662624099899</v>
      </c>
      <c r="D7340">
        <v>-17.611608203500001</v>
      </c>
      <c r="E7340" s="92" t="str">
        <f t="shared" si="26"/>
        <v/>
      </c>
      <c r="G7340" s="92"/>
      <c r="I7340">
        <v>7</v>
      </c>
      <c r="J7340" t="s">
        <v>26</v>
      </c>
      <c r="K7340" s="57"/>
      <c r="S7340" s="57"/>
      <c r="X7340" s="57"/>
    </row>
    <row r="7341" spans="1:24" hidden="1" x14ac:dyDescent="0.35">
      <c r="A7341">
        <v>7337</v>
      </c>
      <c r="B7341">
        <v>7338</v>
      </c>
      <c r="C7341">
        <v>146.106558602999</v>
      </c>
      <c r="D7341">
        <v>-17.6115518571</v>
      </c>
      <c r="E7341" s="92" t="str">
        <f t="shared" si="26"/>
        <v/>
      </c>
      <c r="G7341" s="92"/>
      <c r="I7341">
        <v>7</v>
      </c>
      <c r="J7341" t="s">
        <v>26</v>
      </c>
      <c r="K7341" s="57"/>
      <c r="S7341" s="57"/>
      <c r="X7341" s="57"/>
    </row>
    <row r="7342" spans="1:24" hidden="1" x14ac:dyDescent="0.35">
      <c r="A7342">
        <v>7338</v>
      </c>
      <c r="B7342">
        <v>7339</v>
      </c>
      <c r="C7342">
        <v>146.10649096500001</v>
      </c>
      <c r="D7342">
        <v>-17.6114955106999</v>
      </c>
      <c r="E7342" s="92" t="str">
        <f t="shared" si="26"/>
        <v/>
      </c>
      <c r="G7342" s="92"/>
      <c r="I7342">
        <v>7</v>
      </c>
      <c r="J7342" t="s">
        <v>26</v>
      </c>
      <c r="K7342" s="57"/>
      <c r="S7342" s="57"/>
      <c r="X7342" s="57"/>
    </row>
    <row r="7343" spans="1:24" hidden="1" x14ac:dyDescent="0.35">
      <c r="A7343">
        <v>7339</v>
      </c>
      <c r="B7343">
        <v>7340</v>
      </c>
      <c r="C7343">
        <v>146.10642332800001</v>
      </c>
      <c r="D7343">
        <v>-17.6114391644</v>
      </c>
      <c r="E7343" s="92">
        <f t="shared" si="26"/>
        <v>50</v>
      </c>
      <c r="G7343" s="92"/>
      <c r="I7343">
        <v>7</v>
      </c>
      <c r="J7343" t="s">
        <v>26</v>
      </c>
      <c r="K7343" s="57"/>
      <c r="S7343" s="57"/>
      <c r="X7343" s="57"/>
    </row>
    <row r="7344" spans="1:24" hidden="1" x14ac:dyDescent="0.35">
      <c r="A7344">
        <v>7340</v>
      </c>
      <c r="B7344">
        <v>7341</v>
      </c>
      <c r="C7344">
        <v>146.10637386299899</v>
      </c>
      <c r="D7344">
        <v>-17.611368581200001</v>
      </c>
      <c r="E7344" s="92" t="str">
        <f t="shared" si="26"/>
        <v/>
      </c>
      <c r="G7344" s="92"/>
      <c r="I7344">
        <v>7</v>
      </c>
      <c r="J7344" t="s">
        <v>26</v>
      </c>
      <c r="K7344" s="57"/>
      <c r="S7344" s="57"/>
      <c r="X7344" s="57"/>
    </row>
    <row r="7345" spans="1:24" hidden="1" x14ac:dyDescent="0.35">
      <c r="A7345">
        <v>7341</v>
      </c>
      <c r="B7345">
        <v>7342</v>
      </c>
      <c r="C7345">
        <v>146.10632896300001</v>
      </c>
      <c r="D7345">
        <v>-17.6112944226</v>
      </c>
      <c r="E7345" s="92" t="str">
        <f t="shared" si="26"/>
        <v/>
      </c>
      <c r="G7345" s="92"/>
      <c r="I7345">
        <v>7</v>
      </c>
      <c r="J7345" t="s">
        <v>26</v>
      </c>
      <c r="K7345" s="57"/>
      <c r="S7345" s="57"/>
      <c r="X7345" s="57"/>
    </row>
    <row r="7346" spans="1:24" hidden="1" x14ac:dyDescent="0.35">
      <c r="A7346">
        <v>7342</v>
      </c>
      <c r="B7346">
        <v>7343</v>
      </c>
      <c r="C7346">
        <v>146.10628406199899</v>
      </c>
      <c r="D7346">
        <v>-17.611220263900002</v>
      </c>
      <c r="E7346" s="92" t="str">
        <f t="shared" si="26"/>
        <v/>
      </c>
      <c r="G7346" s="92"/>
      <c r="I7346">
        <v>7</v>
      </c>
      <c r="J7346" t="s">
        <v>26</v>
      </c>
      <c r="K7346" s="57"/>
      <c r="S7346" s="57"/>
      <c r="X7346" s="57"/>
    </row>
    <row r="7347" spans="1:24" hidden="1" x14ac:dyDescent="0.35">
      <c r="A7347">
        <v>7343</v>
      </c>
      <c r="B7347">
        <v>7344</v>
      </c>
      <c r="C7347">
        <v>146.10623916200001</v>
      </c>
      <c r="D7347">
        <v>-17.611146105300001</v>
      </c>
      <c r="E7347" s="92" t="str">
        <f t="shared" si="26"/>
        <v/>
      </c>
      <c r="G7347" s="92"/>
      <c r="I7347">
        <v>7</v>
      </c>
      <c r="J7347" t="s">
        <v>26</v>
      </c>
      <c r="K7347" s="57"/>
      <c r="S7347" s="57"/>
      <c r="X7347" s="57"/>
    </row>
    <row r="7348" spans="1:24" hidden="1" x14ac:dyDescent="0.35">
      <c r="A7348">
        <v>7344</v>
      </c>
      <c r="B7348">
        <v>7345</v>
      </c>
      <c r="C7348">
        <v>146.106197436</v>
      </c>
      <c r="D7348">
        <v>-17.611070312100001</v>
      </c>
      <c r="E7348" s="92">
        <f t="shared" si="26"/>
        <v>50</v>
      </c>
      <c r="G7348" s="92"/>
      <c r="I7348">
        <v>7</v>
      </c>
      <c r="J7348" t="s">
        <v>26</v>
      </c>
      <c r="K7348" s="57"/>
      <c r="S7348" s="57"/>
      <c r="X7348" s="57"/>
    </row>
    <row r="7349" spans="1:24" hidden="1" x14ac:dyDescent="0.35">
      <c r="A7349">
        <v>7345</v>
      </c>
      <c r="B7349">
        <v>7346</v>
      </c>
      <c r="C7349">
        <v>146.106156975</v>
      </c>
      <c r="D7349">
        <v>-17.6109938677</v>
      </c>
      <c r="E7349" s="92" t="str">
        <f t="shared" si="26"/>
        <v/>
      </c>
      <c r="G7349" s="92"/>
      <c r="I7349">
        <v>7</v>
      </c>
      <c r="J7349" t="s">
        <v>26</v>
      </c>
      <c r="K7349" s="57"/>
      <c r="S7349" s="57"/>
      <c r="X7349" s="57"/>
    </row>
    <row r="7350" spans="1:24" hidden="1" x14ac:dyDescent="0.35">
      <c r="A7350">
        <v>7346</v>
      </c>
      <c r="B7350">
        <v>7347</v>
      </c>
      <c r="C7350">
        <v>146.10611651299899</v>
      </c>
      <c r="D7350">
        <v>-17.610917423099899</v>
      </c>
      <c r="E7350" s="92" t="str">
        <f t="shared" si="26"/>
        <v/>
      </c>
      <c r="G7350" s="92"/>
      <c r="I7350">
        <v>7</v>
      </c>
      <c r="J7350" t="s">
        <v>26</v>
      </c>
      <c r="K7350" s="57"/>
      <c r="S7350" s="57"/>
      <c r="X7350" s="57"/>
    </row>
    <row r="7351" spans="1:24" hidden="1" x14ac:dyDescent="0.35">
      <c r="A7351">
        <v>7347</v>
      </c>
      <c r="B7351">
        <v>7348</v>
      </c>
      <c r="C7351">
        <v>146.10606945999899</v>
      </c>
      <c r="D7351">
        <v>-17.6108448186</v>
      </c>
      <c r="E7351" s="92" t="str">
        <f t="shared" si="26"/>
        <v/>
      </c>
      <c r="G7351" s="92"/>
      <c r="I7351">
        <v>7</v>
      </c>
      <c r="J7351" t="s">
        <v>26</v>
      </c>
      <c r="K7351" s="57"/>
      <c r="S7351" s="57"/>
      <c r="X7351" s="57"/>
    </row>
    <row r="7352" spans="1:24" hidden="1" x14ac:dyDescent="0.35">
      <c r="A7352">
        <v>7348</v>
      </c>
      <c r="B7352">
        <v>7349</v>
      </c>
      <c r="C7352">
        <v>146.106016541999</v>
      </c>
      <c r="D7352">
        <v>-17.610775629900001</v>
      </c>
      <c r="E7352" s="92" t="str">
        <f t="shared" si="26"/>
        <v/>
      </c>
      <c r="G7352" s="92"/>
      <c r="I7352">
        <v>7</v>
      </c>
      <c r="J7352" t="s">
        <v>26</v>
      </c>
      <c r="K7352" s="57"/>
      <c r="S7352" s="57"/>
      <c r="X7352" s="57"/>
    </row>
    <row r="7353" spans="1:24" hidden="1" x14ac:dyDescent="0.35">
      <c r="A7353">
        <v>7349</v>
      </c>
      <c r="B7353">
        <v>7350</v>
      </c>
      <c r="C7353">
        <v>146.105963623999</v>
      </c>
      <c r="D7353">
        <v>-17.6107064411</v>
      </c>
      <c r="E7353" s="92">
        <f t="shared" si="26"/>
        <v>50</v>
      </c>
      <c r="G7353" s="92"/>
      <c r="I7353">
        <v>7</v>
      </c>
      <c r="J7353" t="s">
        <v>26</v>
      </c>
      <c r="K7353" s="57"/>
      <c r="S7353" s="57"/>
      <c r="X7353" s="57"/>
    </row>
    <row r="7354" spans="1:24" hidden="1" x14ac:dyDescent="0.35">
      <c r="A7354">
        <v>7350</v>
      </c>
      <c r="B7354">
        <v>7351</v>
      </c>
      <c r="C7354">
        <v>146.10590936099899</v>
      </c>
      <c r="D7354">
        <v>-17.6106382064999</v>
      </c>
      <c r="E7354" s="92" t="str">
        <f t="shared" si="26"/>
        <v/>
      </c>
      <c r="G7354" s="92"/>
      <c r="I7354">
        <v>7</v>
      </c>
      <c r="J7354" t="s">
        <v>26</v>
      </c>
      <c r="K7354" s="57"/>
      <c r="S7354" s="57"/>
      <c r="X7354" s="57"/>
    </row>
    <row r="7355" spans="1:24" hidden="1" x14ac:dyDescent="0.35">
      <c r="A7355">
        <v>7351</v>
      </c>
      <c r="B7355">
        <v>7352</v>
      </c>
      <c r="C7355">
        <v>146.10585503900001</v>
      </c>
      <c r="D7355">
        <v>-17.610570013899899</v>
      </c>
      <c r="E7355" s="92" t="str">
        <f t="shared" si="26"/>
        <v/>
      </c>
      <c r="G7355" s="92"/>
      <c r="I7355">
        <v>7</v>
      </c>
      <c r="J7355" t="s">
        <v>26</v>
      </c>
      <c r="K7355" s="57"/>
      <c r="S7355" s="57"/>
      <c r="X7355" s="57"/>
    </row>
    <row r="7356" spans="1:24" hidden="1" x14ac:dyDescent="0.35">
      <c r="A7356">
        <v>7352</v>
      </c>
      <c r="B7356">
        <v>7353</v>
      </c>
      <c r="C7356">
        <v>146.105800716999</v>
      </c>
      <c r="D7356">
        <v>-17.6105018212</v>
      </c>
      <c r="E7356" s="92" t="str">
        <f t="shared" si="26"/>
        <v/>
      </c>
      <c r="G7356" s="92"/>
      <c r="I7356">
        <v>7</v>
      </c>
      <c r="J7356" t="s">
        <v>26</v>
      </c>
      <c r="K7356" s="57"/>
      <c r="S7356" s="57"/>
      <c r="X7356" s="57"/>
    </row>
    <row r="7357" spans="1:24" hidden="1" x14ac:dyDescent="0.35">
      <c r="A7357">
        <v>7353</v>
      </c>
      <c r="B7357">
        <v>7354</v>
      </c>
      <c r="C7357">
        <v>146.10575437200001</v>
      </c>
      <c r="D7357">
        <v>-17.610428879200001</v>
      </c>
      <c r="E7357" s="92" t="str">
        <f t="shared" si="26"/>
        <v/>
      </c>
      <c r="G7357" s="92"/>
      <c r="I7357">
        <v>7</v>
      </c>
      <c r="J7357" t="s">
        <v>26</v>
      </c>
      <c r="K7357" s="57"/>
      <c r="S7357" s="57"/>
      <c r="X7357" s="57"/>
    </row>
    <row r="7358" spans="1:24" hidden="1" x14ac:dyDescent="0.35">
      <c r="A7358">
        <v>7354</v>
      </c>
      <c r="B7358">
        <v>7355</v>
      </c>
      <c r="C7358">
        <v>146.10571391100001</v>
      </c>
      <c r="D7358">
        <v>-17.610352434300001</v>
      </c>
      <c r="E7358" s="92">
        <f t="shared" si="26"/>
        <v>50</v>
      </c>
      <c r="G7358" s="92"/>
      <c r="I7358">
        <v>7</v>
      </c>
      <c r="J7358" t="s">
        <v>26</v>
      </c>
      <c r="K7358" s="57"/>
      <c r="S7358" s="57"/>
      <c r="X7358" s="57"/>
    </row>
    <row r="7359" spans="1:24" hidden="1" x14ac:dyDescent="0.35">
      <c r="A7359">
        <v>7355</v>
      </c>
      <c r="B7359">
        <v>7356</v>
      </c>
      <c r="C7359">
        <v>146.10567345000001</v>
      </c>
      <c r="D7359">
        <v>-17.610275989400002</v>
      </c>
      <c r="E7359" s="92" t="str">
        <f t="shared" si="26"/>
        <v/>
      </c>
      <c r="G7359" s="92"/>
      <c r="I7359">
        <v>7</v>
      </c>
      <c r="J7359" t="s">
        <v>26</v>
      </c>
      <c r="K7359" s="57"/>
      <c r="S7359" s="57"/>
      <c r="X7359" s="57"/>
    </row>
    <row r="7360" spans="1:24" hidden="1" x14ac:dyDescent="0.35">
      <c r="A7360">
        <v>7356</v>
      </c>
      <c r="B7360">
        <v>7357</v>
      </c>
      <c r="C7360">
        <v>146.10563370700001</v>
      </c>
      <c r="D7360">
        <v>-17.6101992084999</v>
      </c>
      <c r="E7360" s="92" t="str">
        <f t="shared" si="26"/>
        <v/>
      </c>
      <c r="G7360" s="92"/>
      <c r="I7360">
        <v>7</v>
      </c>
      <c r="J7360" t="s">
        <v>26</v>
      </c>
      <c r="K7360" s="57"/>
      <c r="S7360" s="57"/>
      <c r="X7360" s="57"/>
    </row>
    <row r="7361" spans="1:24" hidden="1" x14ac:dyDescent="0.35">
      <c r="A7361">
        <v>7357</v>
      </c>
      <c r="B7361">
        <v>7358</v>
      </c>
      <c r="C7361">
        <v>146.105595090999</v>
      </c>
      <c r="D7361">
        <v>-17.610121901700001</v>
      </c>
      <c r="E7361" s="92" t="str">
        <f t="shared" si="26"/>
        <v/>
      </c>
      <c r="G7361" s="92"/>
      <c r="I7361">
        <v>7</v>
      </c>
      <c r="J7361" t="s">
        <v>26</v>
      </c>
      <c r="K7361" s="57"/>
      <c r="S7361" s="57"/>
      <c r="X7361" s="57"/>
    </row>
    <row r="7362" spans="1:24" hidden="1" x14ac:dyDescent="0.35">
      <c r="A7362">
        <v>7358</v>
      </c>
      <c r="B7362">
        <v>7359</v>
      </c>
      <c r="C7362">
        <v>146.10555647499899</v>
      </c>
      <c r="D7362">
        <v>-17.610044594800002</v>
      </c>
      <c r="E7362" s="92" t="str">
        <f t="shared" si="26"/>
        <v/>
      </c>
      <c r="G7362" s="92"/>
      <c r="I7362">
        <v>7</v>
      </c>
      <c r="J7362" t="s">
        <v>26</v>
      </c>
      <c r="K7362" s="57"/>
      <c r="S7362" s="57"/>
      <c r="X7362" s="57"/>
    </row>
    <row r="7363" spans="1:24" hidden="1" x14ac:dyDescent="0.35">
      <c r="A7363">
        <v>7359</v>
      </c>
      <c r="B7363">
        <v>7360</v>
      </c>
      <c r="C7363">
        <v>146.10552731499899</v>
      </c>
      <c r="D7363">
        <v>-17.6099640206</v>
      </c>
      <c r="E7363" s="92">
        <f t="shared" si="26"/>
        <v>50</v>
      </c>
      <c r="G7363" s="92"/>
      <c r="I7363">
        <v>7</v>
      </c>
      <c r="J7363" t="s">
        <v>26</v>
      </c>
      <c r="K7363" s="57"/>
      <c r="S7363" s="57"/>
      <c r="X7363" s="57"/>
    </row>
    <row r="7364" spans="1:24" hidden="1" x14ac:dyDescent="0.35">
      <c r="A7364">
        <v>7360</v>
      </c>
      <c r="B7364">
        <v>7361</v>
      </c>
      <c r="C7364">
        <v>146.105504991999</v>
      </c>
      <c r="D7364">
        <v>-17.6098810845</v>
      </c>
      <c r="E7364" s="92" t="str">
        <f t="shared" si="26"/>
        <v/>
      </c>
      <c r="G7364" s="92"/>
      <c r="I7364">
        <v>7</v>
      </c>
      <c r="J7364" t="s">
        <v>26</v>
      </c>
      <c r="K7364" s="57"/>
      <c r="S7364" s="57"/>
      <c r="X7364" s="57"/>
    </row>
    <row r="7365" spans="1:24" hidden="1" x14ac:dyDescent="0.35">
      <c r="A7365">
        <v>7361</v>
      </c>
      <c r="B7365">
        <v>7362</v>
      </c>
      <c r="C7365">
        <v>146.105482668999</v>
      </c>
      <c r="D7365">
        <v>-17.6097981483999</v>
      </c>
      <c r="E7365" s="92" t="str">
        <f t="shared" si="26"/>
        <v/>
      </c>
      <c r="G7365" s="92"/>
      <c r="I7365">
        <v>7</v>
      </c>
      <c r="J7365" t="s">
        <v>26</v>
      </c>
      <c r="K7365" s="57"/>
      <c r="S7365" s="57"/>
      <c r="X7365" s="57"/>
    </row>
    <row r="7366" spans="1:24" hidden="1" x14ac:dyDescent="0.35">
      <c r="A7366">
        <v>7362</v>
      </c>
      <c r="B7366">
        <v>7363</v>
      </c>
      <c r="C7366">
        <v>146.10547326899899</v>
      </c>
      <c r="D7366">
        <v>-17.609713686700001</v>
      </c>
      <c r="E7366" s="92" t="str">
        <f t="shared" si="26"/>
        <v/>
      </c>
      <c r="G7366" s="92"/>
      <c r="I7366">
        <v>7</v>
      </c>
      <c r="J7366" t="s">
        <v>26</v>
      </c>
      <c r="K7366" s="57"/>
      <c r="S7366" s="57"/>
      <c r="X7366" s="57"/>
    </row>
    <row r="7367" spans="1:24" hidden="1" x14ac:dyDescent="0.35">
      <c r="A7367">
        <v>7363</v>
      </c>
      <c r="B7367">
        <v>7364</v>
      </c>
      <c r="C7367">
        <v>146.10547369099899</v>
      </c>
      <c r="D7367">
        <v>-17.609628065700001</v>
      </c>
      <c r="E7367" s="92" t="str">
        <f t="shared" si="26"/>
        <v/>
      </c>
      <c r="G7367" s="92"/>
      <c r="I7367">
        <v>7</v>
      </c>
      <c r="J7367" t="s">
        <v>26</v>
      </c>
      <c r="K7367" s="57"/>
      <c r="S7367" s="57"/>
      <c r="X7367" s="57"/>
    </row>
    <row r="7368" spans="1:24" hidden="1" x14ac:dyDescent="0.35">
      <c r="A7368">
        <v>7364</v>
      </c>
      <c r="B7368">
        <v>7365</v>
      </c>
      <c r="C7368">
        <v>146.10547411300001</v>
      </c>
      <c r="D7368">
        <v>-17.609542444599899</v>
      </c>
      <c r="E7368" s="92">
        <f t="shared" si="26"/>
        <v>50</v>
      </c>
      <c r="G7368" s="92"/>
      <c r="I7368">
        <v>7</v>
      </c>
      <c r="J7368" t="s">
        <v>26</v>
      </c>
      <c r="K7368" s="57"/>
      <c r="S7368" s="57"/>
      <c r="X7368" s="57"/>
    </row>
    <row r="7369" spans="1:24" hidden="1" x14ac:dyDescent="0.35">
      <c r="A7369">
        <v>7365</v>
      </c>
      <c r="B7369">
        <v>7366</v>
      </c>
      <c r="C7369">
        <v>146.105474533999</v>
      </c>
      <c r="D7369">
        <v>-17.6094568235</v>
      </c>
      <c r="E7369" s="92" t="str">
        <f t="shared" si="26"/>
        <v/>
      </c>
      <c r="G7369" s="92"/>
      <c r="I7369">
        <v>7</v>
      </c>
      <c r="J7369" t="s">
        <v>26</v>
      </c>
      <c r="K7369" s="57"/>
      <c r="S7369" s="57"/>
      <c r="X7369" s="57"/>
    </row>
    <row r="7370" spans="1:24" hidden="1" x14ac:dyDescent="0.35">
      <c r="A7370">
        <v>7366</v>
      </c>
      <c r="B7370">
        <v>7367</v>
      </c>
      <c r="C7370">
        <v>146.10547999400001</v>
      </c>
      <c r="D7370">
        <v>-17.6093715417</v>
      </c>
      <c r="E7370" s="92" t="str">
        <f t="shared" si="26"/>
        <v/>
      </c>
      <c r="G7370" s="92"/>
      <c r="I7370">
        <v>7</v>
      </c>
      <c r="J7370" t="s">
        <v>26</v>
      </c>
      <c r="K7370" s="57"/>
      <c r="S7370" s="57"/>
      <c r="X7370" s="57"/>
    </row>
    <row r="7371" spans="1:24" hidden="1" x14ac:dyDescent="0.35">
      <c r="A7371">
        <v>7367</v>
      </c>
      <c r="B7371">
        <v>7368</v>
      </c>
      <c r="C7371">
        <v>146.105492212999</v>
      </c>
      <c r="D7371">
        <v>-17.6092867154</v>
      </c>
      <c r="E7371" s="92" t="str">
        <f t="shared" si="26"/>
        <v/>
      </c>
      <c r="G7371" s="92"/>
      <c r="I7371">
        <v>7</v>
      </c>
      <c r="J7371" t="s">
        <v>26</v>
      </c>
      <c r="K7371" s="57"/>
      <c r="S7371" s="57"/>
      <c r="X7371" s="57"/>
    </row>
    <row r="7372" spans="1:24" hidden="1" x14ac:dyDescent="0.35">
      <c r="A7372">
        <v>7368</v>
      </c>
      <c r="B7372">
        <v>7369</v>
      </c>
      <c r="C7372">
        <v>146.105504432999</v>
      </c>
      <c r="D7372">
        <v>-17.6092018891</v>
      </c>
      <c r="E7372" s="92" t="str">
        <f t="shared" si="26"/>
        <v/>
      </c>
      <c r="G7372" s="92"/>
      <c r="I7372">
        <v>7</v>
      </c>
      <c r="J7372" t="s">
        <v>26</v>
      </c>
      <c r="K7372" s="57"/>
      <c r="S7372" s="57"/>
      <c r="X7372" s="57"/>
    </row>
    <row r="7373" spans="1:24" hidden="1" x14ac:dyDescent="0.35">
      <c r="A7373">
        <v>7369</v>
      </c>
      <c r="B7373">
        <v>7370</v>
      </c>
      <c r="C7373">
        <v>146.105516652999</v>
      </c>
      <c r="D7373">
        <v>-17.6091170627999</v>
      </c>
      <c r="E7373" s="92">
        <f t="shared" si="26"/>
        <v>50</v>
      </c>
      <c r="G7373" s="92"/>
      <c r="I7373">
        <v>7</v>
      </c>
      <c r="J7373" t="s">
        <v>26</v>
      </c>
      <c r="K7373" s="57"/>
      <c r="S7373" s="57"/>
      <c r="X7373" s="57"/>
    </row>
    <row r="7374" spans="1:24" hidden="1" x14ac:dyDescent="0.35">
      <c r="A7374">
        <v>7370</v>
      </c>
      <c r="B7374">
        <v>7371</v>
      </c>
      <c r="C7374">
        <v>146.10552887200001</v>
      </c>
      <c r="D7374">
        <v>-17.609032236400001</v>
      </c>
      <c r="E7374" s="92" t="str">
        <f t="shared" si="26"/>
        <v/>
      </c>
      <c r="G7374" s="92"/>
      <c r="I7374">
        <v>7</v>
      </c>
      <c r="J7374" t="s">
        <v>26</v>
      </c>
      <c r="K7374" s="57"/>
      <c r="S7374" s="57"/>
      <c r="X7374" s="57"/>
    </row>
    <row r="7375" spans="1:24" hidden="1" x14ac:dyDescent="0.35">
      <c r="A7375">
        <v>7371</v>
      </c>
      <c r="B7375">
        <v>7372</v>
      </c>
      <c r="C7375">
        <v>146.10554109200001</v>
      </c>
      <c r="D7375">
        <v>-17.608947409900001</v>
      </c>
      <c r="E7375" s="92" t="str">
        <f t="shared" si="26"/>
        <v/>
      </c>
      <c r="G7375" s="92"/>
      <c r="I7375">
        <v>7</v>
      </c>
      <c r="J7375" t="s">
        <v>26</v>
      </c>
      <c r="K7375" s="57"/>
      <c r="S7375" s="57"/>
      <c r="X7375" s="57"/>
    </row>
    <row r="7376" spans="1:24" hidden="1" x14ac:dyDescent="0.35">
      <c r="A7376">
        <v>7372</v>
      </c>
      <c r="B7376">
        <v>7373</v>
      </c>
      <c r="C7376">
        <v>146.105547927999</v>
      </c>
      <c r="D7376">
        <v>-17.6088621291</v>
      </c>
      <c r="E7376" s="92" t="str">
        <f t="shared" ref="E7376:E7439" si="27">IF(MOD(B7376,5)=0, 50, "")</f>
        <v/>
      </c>
      <c r="G7376" s="92"/>
      <c r="I7376">
        <v>7</v>
      </c>
      <c r="J7376" t="s">
        <v>26</v>
      </c>
      <c r="K7376" s="57"/>
      <c r="S7376" s="57"/>
      <c r="X7376" s="57"/>
    </row>
    <row r="7377" spans="1:24" hidden="1" x14ac:dyDescent="0.35">
      <c r="A7377">
        <v>7373</v>
      </c>
      <c r="B7377">
        <v>7374</v>
      </c>
      <c r="C7377">
        <v>146.105551534</v>
      </c>
      <c r="D7377">
        <v>-17.608776575699899</v>
      </c>
      <c r="E7377" s="92" t="str">
        <f t="shared" si="27"/>
        <v/>
      </c>
      <c r="G7377" s="92"/>
      <c r="I7377">
        <v>7</v>
      </c>
      <c r="J7377" t="s">
        <v>26</v>
      </c>
      <c r="K7377" s="57"/>
      <c r="S7377" s="57"/>
      <c r="X7377" s="57"/>
    </row>
    <row r="7378" spans="1:24" hidden="1" x14ac:dyDescent="0.35">
      <c r="A7378">
        <v>7374</v>
      </c>
      <c r="B7378">
        <v>7375</v>
      </c>
      <c r="C7378">
        <v>146.10554965200001</v>
      </c>
      <c r="D7378">
        <v>-17.6086911481</v>
      </c>
      <c r="E7378" s="92">
        <f t="shared" si="27"/>
        <v>50</v>
      </c>
      <c r="G7378" s="92"/>
      <c r="I7378">
        <v>7</v>
      </c>
      <c r="J7378" t="s">
        <v>26</v>
      </c>
      <c r="K7378" s="57"/>
      <c r="S7378" s="57"/>
      <c r="X7378" s="57"/>
    </row>
    <row r="7379" spans="1:24" hidden="1" x14ac:dyDescent="0.35">
      <c r="A7379">
        <v>7375</v>
      </c>
      <c r="B7379">
        <v>7376</v>
      </c>
      <c r="C7379">
        <v>146.105541737999</v>
      </c>
      <c r="D7379">
        <v>-17.608605858499899</v>
      </c>
      <c r="E7379" s="92" t="str">
        <f t="shared" si="27"/>
        <v/>
      </c>
      <c r="G7379" s="92"/>
      <c r="I7379">
        <v>7</v>
      </c>
      <c r="J7379" t="s">
        <v>26</v>
      </c>
      <c r="K7379" s="57"/>
      <c r="S7379" s="57"/>
      <c r="X7379" s="57"/>
    </row>
    <row r="7380" spans="1:24" hidden="1" x14ac:dyDescent="0.35">
      <c r="A7380">
        <v>7376</v>
      </c>
      <c r="B7380">
        <v>7377</v>
      </c>
      <c r="C7380">
        <v>146.105533589999</v>
      </c>
      <c r="D7380">
        <v>-17.608520614700002</v>
      </c>
      <c r="E7380" s="92" t="str">
        <f t="shared" si="27"/>
        <v/>
      </c>
      <c r="G7380" s="92"/>
      <c r="I7380">
        <v>7</v>
      </c>
      <c r="J7380" t="s">
        <v>26</v>
      </c>
      <c r="K7380" s="57"/>
      <c r="S7380" s="57"/>
      <c r="X7380" s="57"/>
    </row>
    <row r="7381" spans="1:24" hidden="1" x14ac:dyDescent="0.35">
      <c r="A7381">
        <v>7377</v>
      </c>
      <c r="B7381">
        <v>7378</v>
      </c>
      <c r="C7381">
        <v>146.105505738999</v>
      </c>
      <c r="D7381">
        <v>-17.608439211099899</v>
      </c>
      <c r="E7381" s="92" t="str">
        <f t="shared" si="27"/>
        <v/>
      </c>
      <c r="G7381" s="92"/>
      <c r="I7381">
        <v>7</v>
      </c>
      <c r="J7381" t="s">
        <v>26</v>
      </c>
      <c r="K7381" s="57"/>
      <c r="S7381" s="57"/>
      <c r="X7381" s="57"/>
    </row>
    <row r="7382" spans="1:24" hidden="1" x14ac:dyDescent="0.35">
      <c r="A7382">
        <v>7378</v>
      </c>
      <c r="B7382">
        <v>7379</v>
      </c>
      <c r="C7382">
        <v>146.10547788900001</v>
      </c>
      <c r="D7382">
        <v>-17.608357807400001</v>
      </c>
      <c r="E7382" s="92" t="str">
        <f t="shared" si="27"/>
        <v/>
      </c>
      <c r="G7382" s="92"/>
      <c r="I7382">
        <v>7</v>
      </c>
      <c r="J7382" t="s">
        <v>26</v>
      </c>
      <c r="K7382" s="57"/>
      <c r="S7382" s="57"/>
      <c r="X7382" s="57"/>
    </row>
    <row r="7383" spans="1:24" hidden="1" x14ac:dyDescent="0.35">
      <c r="A7383">
        <v>7379</v>
      </c>
      <c r="B7383">
        <v>7380</v>
      </c>
      <c r="C7383">
        <v>146.10545003799899</v>
      </c>
      <c r="D7383">
        <v>-17.6082764037</v>
      </c>
      <c r="E7383" s="92">
        <f t="shared" si="27"/>
        <v>50</v>
      </c>
      <c r="G7383" s="92"/>
      <c r="I7383">
        <v>7</v>
      </c>
      <c r="J7383" t="s">
        <v>26</v>
      </c>
      <c r="K7383" s="57"/>
      <c r="S7383" s="57"/>
      <c r="X7383" s="57"/>
    </row>
    <row r="7384" spans="1:24" hidden="1" x14ac:dyDescent="0.35">
      <c r="A7384">
        <v>7380</v>
      </c>
      <c r="B7384">
        <v>7381</v>
      </c>
      <c r="C7384">
        <v>146.10540141300001</v>
      </c>
      <c r="D7384">
        <v>-17.608204961799899</v>
      </c>
      <c r="E7384" s="92" t="str">
        <f t="shared" si="27"/>
        <v/>
      </c>
      <c r="G7384" s="92"/>
      <c r="I7384">
        <v>7</v>
      </c>
      <c r="J7384" t="s">
        <v>26</v>
      </c>
      <c r="K7384" s="57"/>
      <c r="S7384" s="57"/>
      <c r="X7384" s="57"/>
    </row>
    <row r="7385" spans="1:24" hidden="1" x14ac:dyDescent="0.35">
      <c r="A7385">
        <v>7381</v>
      </c>
      <c r="B7385">
        <v>7382</v>
      </c>
      <c r="C7385">
        <v>146.10534943600001</v>
      </c>
      <c r="D7385">
        <v>-17.608135127699899</v>
      </c>
      <c r="E7385" s="92" t="str">
        <f t="shared" si="27"/>
        <v/>
      </c>
      <c r="G7385" s="92"/>
      <c r="I7385">
        <v>7</v>
      </c>
      <c r="J7385" t="s">
        <v>26</v>
      </c>
      <c r="K7385" s="57"/>
      <c r="S7385" s="57"/>
      <c r="X7385" s="57"/>
    </row>
    <row r="7386" spans="1:24" hidden="1" x14ac:dyDescent="0.35">
      <c r="A7386">
        <v>7382</v>
      </c>
      <c r="B7386">
        <v>7383</v>
      </c>
      <c r="C7386">
        <v>146.105297457999</v>
      </c>
      <c r="D7386">
        <v>-17.6080652935999</v>
      </c>
      <c r="E7386" s="92" t="str">
        <f t="shared" si="27"/>
        <v/>
      </c>
      <c r="G7386" s="92"/>
      <c r="I7386">
        <v>7</v>
      </c>
      <c r="J7386" t="s">
        <v>26</v>
      </c>
      <c r="K7386" s="57"/>
      <c r="S7386" s="57"/>
      <c r="X7386" s="57"/>
    </row>
    <row r="7387" spans="1:24" hidden="1" x14ac:dyDescent="0.35">
      <c r="A7387">
        <v>7383</v>
      </c>
      <c r="B7387">
        <v>7384</v>
      </c>
      <c r="C7387">
        <v>146.10524548000001</v>
      </c>
      <c r="D7387">
        <v>-17.607995459400001</v>
      </c>
      <c r="E7387" s="92" t="str">
        <f t="shared" si="27"/>
        <v/>
      </c>
      <c r="G7387" s="92"/>
      <c r="I7387">
        <v>7</v>
      </c>
      <c r="J7387" t="s">
        <v>26</v>
      </c>
      <c r="K7387" s="57"/>
      <c r="S7387" s="57"/>
      <c r="X7387" s="57"/>
    </row>
    <row r="7388" spans="1:24" hidden="1" x14ac:dyDescent="0.35">
      <c r="A7388">
        <v>7384</v>
      </c>
      <c r="B7388">
        <v>7385</v>
      </c>
      <c r="C7388">
        <v>146.105184618999</v>
      </c>
      <c r="D7388">
        <v>-17.6079327186999</v>
      </c>
      <c r="E7388" s="92">
        <f t="shared" si="27"/>
        <v>50</v>
      </c>
      <c r="G7388" s="92"/>
      <c r="I7388">
        <v>7</v>
      </c>
      <c r="J7388" t="s">
        <v>26</v>
      </c>
      <c r="K7388" s="57"/>
      <c r="S7388" s="57"/>
      <c r="X7388" s="57"/>
    </row>
    <row r="7389" spans="1:24" hidden="1" x14ac:dyDescent="0.35">
      <c r="A7389">
        <v>7385</v>
      </c>
      <c r="B7389">
        <v>7386</v>
      </c>
      <c r="C7389">
        <v>146.105121593999</v>
      </c>
      <c r="D7389">
        <v>-17.6078717052999</v>
      </c>
      <c r="E7389" s="92" t="str">
        <f t="shared" si="27"/>
        <v/>
      </c>
      <c r="G7389" s="92"/>
      <c r="I7389">
        <v>7</v>
      </c>
      <c r="J7389" t="s">
        <v>26</v>
      </c>
      <c r="K7389" s="57"/>
      <c r="S7389" s="57"/>
      <c r="X7389" s="57"/>
    </row>
    <row r="7390" spans="1:24" hidden="1" x14ac:dyDescent="0.35">
      <c r="A7390">
        <v>7386</v>
      </c>
      <c r="B7390">
        <v>7387</v>
      </c>
      <c r="C7390">
        <v>146.10505857000001</v>
      </c>
      <c r="D7390">
        <v>-17.607810691800001</v>
      </c>
      <c r="E7390" s="92" t="str">
        <f t="shared" si="27"/>
        <v/>
      </c>
      <c r="G7390" s="92"/>
      <c r="I7390">
        <v>7</v>
      </c>
      <c r="J7390" t="s">
        <v>26</v>
      </c>
      <c r="K7390" s="57"/>
      <c r="S7390" s="57"/>
      <c r="X7390" s="57"/>
    </row>
    <row r="7391" spans="1:24" hidden="1" x14ac:dyDescent="0.35">
      <c r="A7391">
        <v>7387</v>
      </c>
      <c r="B7391">
        <v>7388</v>
      </c>
      <c r="C7391">
        <v>146.10499554500001</v>
      </c>
      <c r="D7391">
        <v>-17.6077496782999</v>
      </c>
      <c r="E7391" s="92" t="str">
        <f t="shared" si="27"/>
        <v/>
      </c>
      <c r="G7391" s="92"/>
      <c r="I7391">
        <v>7</v>
      </c>
      <c r="J7391" t="s">
        <v>26</v>
      </c>
      <c r="K7391" s="57"/>
      <c r="S7391" s="57"/>
      <c r="X7391" s="57"/>
    </row>
    <row r="7392" spans="1:24" hidden="1" x14ac:dyDescent="0.35">
      <c r="A7392">
        <v>7388</v>
      </c>
      <c r="B7392">
        <v>7389</v>
      </c>
      <c r="C7392">
        <v>146.104928282</v>
      </c>
      <c r="D7392">
        <v>-17.607694057700002</v>
      </c>
      <c r="E7392" s="92" t="str">
        <f t="shared" si="27"/>
        <v/>
      </c>
      <c r="G7392" s="92"/>
      <c r="I7392">
        <v>7</v>
      </c>
      <c r="J7392" t="s">
        <v>26</v>
      </c>
      <c r="K7392" s="57"/>
      <c r="S7392" s="57"/>
      <c r="X7392" s="57"/>
    </row>
    <row r="7393" spans="1:24" hidden="1" x14ac:dyDescent="0.35">
      <c r="A7393">
        <v>7389</v>
      </c>
      <c r="B7393">
        <v>7390</v>
      </c>
      <c r="C7393">
        <v>146.10484913299899</v>
      </c>
      <c r="D7393">
        <v>-17.6076535611999</v>
      </c>
      <c r="E7393" s="92">
        <f t="shared" si="27"/>
        <v>50</v>
      </c>
      <c r="G7393" s="92"/>
      <c r="I7393">
        <v>7</v>
      </c>
      <c r="J7393" t="s">
        <v>26</v>
      </c>
      <c r="K7393" s="57"/>
      <c r="S7393" s="57"/>
      <c r="X7393" s="57"/>
    </row>
    <row r="7394" spans="1:24" hidden="1" x14ac:dyDescent="0.35">
      <c r="A7394">
        <v>7390</v>
      </c>
      <c r="B7394">
        <v>7391</v>
      </c>
      <c r="C7394">
        <v>146.104769984</v>
      </c>
      <c r="D7394">
        <v>-17.607613064599899</v>
      </c>
      <c r="E7394" s="92" t="str">
        <f t="shared" si="27"/>
        <v/>
      </c>
      <c r="G7394" s="92"/>
      <c r="I7394">
        <v>7</v>
      </c>
      <c r="J7394" t="s">
        <v>26</v>
      </c>
      <c r="K7394" s="57"/>
      <c r="S7394" s="57"/>
      <c r="X7394" s="57"/>
    </row>
    <row r="7395" spans="1:24" hidden="1" x14ac:dyDescent="0.35">
      <c r="A7395">
        <v>7391</v>
      </c>
      <c r="B7395">
        <v>7392</v>
      </c>
      <c r="C7395">
        <v>146.10469083500001</v>
      </c>
      <c r="D7395">
        <v>-17.6075725681</v>
      </c>
      <c r="E7395" s="92" t="str">
        <f t="shared" si="27"/>
        <v/>
      </c>
      <c r="G7395" s="92"/>
      <c r="I7395">
        <v>7</v>
      </c>
      <c r="J7395" t="s">
        <v>26</v>
      </c>
      <c r="K7395" s="57"/>
      <c r="S7395" s="57"/>
      <c r="X7395" s="57"/>
    </row>
    <row r="7396" spans="1:24" hidden="1" x14ac:dyDescent="0.35">
      <c r="A7396">
        <v>7392</v>
      </c>
      <c r="B7396">
        <v>7393</v>
      </c>
      <c r="C7396">
        <v>146.104611685999</v>
      </c>
      <c r="D7396">
        <v>-17.6075320715</v>
      </c>
      <c r="E7396" s="92" t="str">
        <f t="shared" si="27"/>
        <v/>
      </c>
      <c r="G7396" s="92"/>
      <c r="I7396">
        <v>7</v>
      </c>
      <c r="J7396" t="s">
        <v>26</v>
      </c>
      <c r="K7396" s="57"/>
      <c r="S7396" s="57"/>
      <c r="X7396" s="57"/>
    </row>
    <row r="7397" spans="1:24" hidden="1" x14ac:dyDescent="0.35">
      <c r="A7397">
        <v>7393</v>
      </c>
      <c r="B7397">
        <v>7394</v>
      </c>
      <c r="C7397">
        <v>146.10453253700001</v>
      </c>
      <c r="D7397">
        <v>-17.6074915748999</v>
      </c>
      <c r="E7397" s="92" t="str">
        <f t="shared" si="27"/>
        <v/>
      </c>
      <c r="G7397" s="92"/>
      <c r="I7397">
        <v>7</v>
      </c>
      <c r="J7397" t="s">
        <v>26</v>
      </c>
      <c r="K7397" s="57"/>
      <c r="S7397" s="57"/>
      <c r="X7397" s="57"/>
    </row>
    <row r="7398" spans="1:24" hidden="1" x14ac:dyDescent="0.35">
      <c r="A7398">
        <v>7394</v>
      </c>
      <c r="B7398">
        <v>7395</v>
      </c>
      <c r="C7398">
        <v>146.10445338900001</v>
      </c>
      <c r="D7398">
        <v>-17.607451078299899</v>
      </c>
      <c r="E7398" s="92">
        <f t="shared" si="27"/>
        <v>50</v>
      </c>
      <c r="G7398" s="92"/>
      <c r="I7398">
        <v>7</v>
      </c>
      <c r="J7398" t="s">
        <v>26</v>
      </c>
      <c r="K7398" s="57"/>
      <c r="S7398" s="57"/>
      <c r="X7398" s="57"/>
    </row>
    <row r="7399" spans="1:24" hidden="1" x14ac:dyDescent="0.35">
      <c r="A7399">
        <v>7395</v>
      </c>
      <c r="B7399">
        <v>7396</v>
      </c>
      <c r="C7399">
        <v>146.104374239999</v>
      </c>
      <c r="D7399">
        <v>-17.607410581700002</v>
      </c>
      <c r="E7399" s="92" t="str">
        <f t="shared" si="27"/>
        <v/>
      </c>
      <c r="G7399" s="92"/>
      <c r="I7399">
        <v>7</v>
      </c>
      <c r="J7399" t="s">
        <v>26</v>
      </c>
      <c r="K7399" s="57"/>
      <c r="S7399" s="57"/>
      <c r="X7399" s="57"/>
    </row>
    <row r="7400" spans="1:24" hidden="1" x14ac:dyDescent="0.35">
      <c r="A7400">
        <v>7396</v>
      </c>
      <c r="B7400">
        <v>7397</v>
      </c>
      <c r="C7400">
        <v>146.104292313999</v>
      </c>
      <c r="D7400">
        <v>-17.607376443700002</v>
      </c>
      <c r="E7400" s="92" t="str">
        <f t="shared" si="27"/>
        <v/>
      </c>
      <c r="G7400" s="92"/>
      <c r="I7400">
        <v>7</v>
      </c>
      <c r="J7400" t="s">
        <v>26</v>
      </c>
      <c r="K7400" s="57"/>
      <c r="S7400" s="57"/>
      <c r="X7400" s="57"/>
    </row>
    <row r="7401" spans="1:24" hidden="1" x14ac:dyDescent="0.35">
      <c r="A7401">
        <v>7397</v>
      </c>
      <c r="B7401">
        <v>7398</v>
      </c>
      <c r="C7401">
        <v>146.104206395999</v>
      </c>
      <c r="D7401">
        <v>-17.607351445100001</v>
      </c>
      <c r="E7401" s="92" t="str">
        <f t="shared" si="27"/>
        <v/>
      </c>
      <c r="G7401" s="92"/>
      <c r="I7401">
        <v>7</v>
      </c>
      <c r="J7401" t="s">
        <v>26</v>
      </c>
      <c r="K7401" s="57"/>
      <c r="S7401" s="57"/>
      <c r="X7401" s="57"/>
    </row>
    <row r="7402" spans="1:24" hidden="1" x14ac:dyDescent="0.35">
      <c r="A7402">
        <v>7398</v>
      </c>
      <c r="B7402">
        <v>7399</v>
      </c>
      <c r="C7402">
        <v>146.104120477999</v>
      </c>
      <c r="D7402">
        <v>-17.607326446599899</v>
      </c>
      <c r="E7402" s="92" t="str">
        <f t="shared" si="27"/>
        <v/>
      </c>
      <c r="G7402" s="92"/>
      <c r="I7402">
        <v>7</v>
      </c>
      <c r="J7402" t="s">
        <v>26</v>
      </c>
      <c r="K7402" s="57"/>
      <c r="S7402" s="57"/>
      <c r="X7402" s="57"/>
    </row>
    <row r="7403" spans="1:24" hidden="1" x14ac:dyDescent="0.35">
      <c r="A7403">
        <v>7399</v>
      </c>
      <c r="B7403">
        <v>7400</v>
      </c>
      <c r="C7403">
        <v>146.104034560999</v>
      </c>
      <c r="D7403">
        <v>-17.607301448000001</v>
      </c>
      <c r="E7403" s="92">
        <f t="shared" si="27"/>
        <v>50</v>
      </c>
      <c r="G7403" s="92"/>
      <c r="I7403">
        <v>7</v>
      </c>
      <c r="J7403" t="s">
        <v>26</v>
      </c>
      <c r="K7403" s="57"/>
      <c r="S7403" s="57"/>
      <c r="X7403" s="57"/>
    </row>
    <row r="7404" spans="1:24" hidden="1" x14ac:dyDescent="0.35">
      <c r="A7404">
        <v>7400</v>
      </c>
      <c r="B7404">
        <v>7401</v>
      </c>
      <c r="C7404">
        <v>146.103948642999</v>
      </c>
      <c r="D7404">
        <v>-17.607276449499899</v>
      </c>
      <c r="E7404" s="92" t="str">
        <f t="shared" si="27"/>
        <v/>
      </c>
      <c r="G7404" s="92"/>
      <c r="I7404">
        <v>7</v>
      </c>
      <c r="J7404" t="s">
        <v>26</v>
      </c>
      <c r="K7404" s="57"/>
      <c r="S7404" s="57"/>
      <c r="X7404" s="57"/>
    </row>
    <row r="7405" spans="1:24" hidden="1" x14ac:dyDescent="0.35">
      <c r="A7405">
        <v>7401</v>
      </c>
      <c r="B7405">
        <v>7402</v>
      </c>
      <c r="C7405">
        <v>146.10385942299899</v>
      </c>
      <c r="D7405">
        <v>-17.607269188099899</v>
      </c>
      <c r="E7405" s="92" t="str">
        <f t="shared" si="27"/>
        <v/>
      </c>
      <c r="G7405" s="92"/>
      <c r="I7405">
        <v>7</v>
      </c>
      <c r="J7405" t="s">
        <v>26</v>
      </c>
      <c r="K7405" s="57"/>
      <c r="S7405" s="57"/>
      <c r="X7405" s="57"/>
    </row>
    <row r="7406" spans="1:24" hidden="1" x14ac:dyDescent="0.35">
      <c r="A7406">
        <v>7402</v>
      </c>
      <c r="B7406">
        <v>7403</v>
      </c>
      <c r="C7406">
        <v>146.10376972700001</v>
      </c>
      <c r="D7406">
        <v>-17.607264479200001</v>
      </c>
      <c r="E7406" s="92" t="str">
        <f t="shared" si="27"/>
        <v/>
      </c>
      <c r="G7406" s="92"/>
      <c r="I7406">
        <v>7</v>
      </c>
      <c r="J7406" t="s">
        <v>26</v>
      </c>
      <c r="K7406" s="57"/>
      <c r="S7406" s="57"/>
      <c r="X7406" s="57"/>
    </row>
    <row r="7407" spans="1:24" hidden="1" x14ac:dyDescent="0.35">
      <c r="A7407">
        <v>7403</v>
      </c>
      <c r="B7407">
        <v>7404</v>
      </c>
      <c r="C7407">
        <v>146.103680032</v>
      </c>
      <c r="D7407">
        <v>-17.607259770399899</v>
      </c>
      <c r="E7407" s="92" t="str">
        <f t="shared" si="27"/>
        <v/>
      </c>
      <c r="G7407" s="92"/>
      <c r="I7407">
        <v>7</v>
      </c>
      <c r="J7407" t="s">
        <v>26</v>
      </c>
      <c r="K7407" s="57"/>
      <c r="S7407" s="57"/>
      <c r="X7407" s="57"/>
    </row>
    <row r="7408" spans="1:24" hidden="1" x14ac:dyDescent="0.35">
      <c r="A7408">
        <v>7404</v>
      </c>
      <c r="B7408">
        <v>7405</v>
      </c>
      <c r="C7408">
        <v>146.103595227</v>
      </c>
      <c r="D7408">
        <v>-17.6072843862</v>
      </c>
      <c r="E7408" s="92">
        <f t="shared" si="27"/>
        <v>50</v>
      </c>
      <c r="G7408" s="92"/>
      <c r="I7408">
        <v>7</v>
      </c>
      <c r="J7408" t="s">
        <v>26</v>
      </c>
      <c r="K7408" s="57"/>
      <c r="S7408" s="57"/>
      <c r="X7408" s="57"/>
    </row>
    <row r="7409" spans="1:24" hidden="1" x14ac:dyDescent="0.35">
      <c r="A7409">
        <v>7405</v>
      </c>
      <c r="B7409">
        <v>7406</v>
      </c>
      <c r="C7409">
        <v>146.10351148500001</v>
      </c>
      <c r="D7409">
        <v>-17.607315373799899</v>
      </c>
      <c r="E7409" s="92" t="str">
        <f t="shared" si="27"/>
        <v/>
      </c>
      <c r="G7409" s="92"/>
      <c r="I7409">
        <v>7</v>
      </c>
      <c r="J7409" t="s">
        <v>26</v>
      </c>
      <c r="K7409" s="57"/>
      <c r="S7409" s="57"/>
      <c r="X7409" s="57"/>
    </row>
    <row r="7410" spans="1:24" hidden="1" x14ac:dyDescent="0.35">
      <c r="A7410">
        <v>7406</v>
      </c>
      <c r="B7410">
        <v>7407</v>
      </c>
      <c r="C7410">
        <v>146.103446598999</v>
      </c>
      <c r="D7410">
        <v>-17.607373974800002</v>
      </c>
      <c r="E7410" s="92" t="str">
        <f t="shared" si="27"/>
        <v/>
      </c>
      <c r="G7410" s="92"/>
      <c r="I7410">
        <v>7</v>
      </c>
      <c r="J7410" t="s">
        <v>26</v>
      </c>
      <c r="K7410" s="57"/>
      <c r="S7410" s="57"/>
      <c r="X7410" s="57"/>
    </row>
    <row r="7411" spans="1:24" hidden="1" x14ac:dyDescent="0.35">
      <c r="A7411">
        <v>7407</v>
      </c>
      <c r="B7411">
        <v>7408</v>
      </c>
      <c r="C7411">
        <v>146.103386362999</v>
      </c>
      <c r="D7411">
        <v>-17.607436448000001</v>
      </c>
      <c r="E7411" s="92" t="str">
        <f t="shared" si="27"/>
        <v/>
      </c>
      <c r="G7411" s="92"/>
      <c r="I7411">
        <v>7</v>
      </c>
      <c r="J7411" t="s">
        <v>26</v>
      </c>
      <c r="K7411" s="57"/>
      <c r="S7411" s="57"/>
      <c r="X7411" s="57"/>
    </row>
    <row r="7412" spans="1:24" hidden="1" x14ac:dyDescent="0.35">
      <c r="A7412">
        <v>7408</v>
      </c>
      <c r="B7412">
        <v>7409</v>
      </c>
      <c r="C7412">
        <v>146.103356837999</v>
      </c>
      <c r="D7412">
        <v>-17.607517314300001</v>
      </c>
      <c r="E7412" s="92" t="str">
        <f t="shared" si="27"/>
        <v/>
      </c>
      <c r="G7412" s="92"/>
      <c r="I7412">
        <v>7</v>
      </c>
      <c r="J7412" t="s">
        <v>26</v>
      </c>
      <c r="K7412" s="57"/>
      <c r="S7412" s="57"/>
      <c r="X7412" s="57"/>
    </row>
    <row r="7413" spans="1:24" hidden="1" x14ac:dyDescent="0.35">
      <c r="A7413">
        <v>7409</v>
      </c>
      <c r="B7413">
        <v>7410</v>
      </c>
      <c r="C7413">
        <v>146.103327312999</v>
      </c>
      <c r="D7413">
        <v>-17.607598180499899</v>
      </c>
      <c r="E7413" s="92">
        <f t="shared" si="27"/>
        <v>50</v>
      </c>
      <c r="G7413" s="92"/>
      <c r="I7413">
        <v>7</v>
      </c>
      <c r="J7413" t="s">
        <v>26</v>
      </c>
      <c r="K7413" s="57"/>
      <c r="S7413" s="57"/>
      <c r="X7413" s="57"/>
    </row>
    <row r="7414" spans="1:24" hidden="1" x14ac:dyDescent="0.35">
      <c r="A7414">
        <v>7410</v>
      </c>
      <c r="B7414">
        <v>7411</v>
      </c>
      <c r="C7414">
        <v>146.10332807500001</v>
      </c>
      <c r="D7414">
        <v>-17.607682130600001</v>
      </c>
      <c r="E7414" s="92" t="str">
        <f t="shared" si="27"/>
        <v/>
      </c>
      <c r="G7414" s="92"/>
      <c r="I7414">
        <v>7</v>
      </c>
      <c r="J7414" t="s">
        <v>26</v>
      </c>
      <c r="K7414" s="57"/>
      <c r="S7414" s="57"/>
      <c r="X7414" s="57"/>
    </row>
    <row r="7415" spans="1:24" hidden="1" x14ac:dyDescent="0.35">
      <c r="A7415">
        <v>7411</v>
      </c>
      <c r="B7415">
        <v>7412</v>
      </c>
      <c r="C7415">
        <v>146.10333901000001</v>
      </c>
      <c r="D7415">
        <v>-17.607767116800002</v>
      </c>
      <c r="E7415" s="92" t="str">
        <f t="shared" si="27"/>
        <v/>
      </c>
      <c r="G7415" s="92"/>
      <c r="I7415">
        <v>7</v>
      </c>
      <c r="J7415" t="s">
        <v>26</v>
      </c>
      <c r="K7415" s="57"/>
      <c r="S7415" s="57"/>
      <c r="X7415" s="57"/>
    </row>
    <row r="7416" spans="1:24" hidden="1" x14ac:dyDescent="0.35">
      <c r="A7416">
        <v>7412</v>
      </c>
      <c r="B7416">
        <v>7413</v>
      </c>
      <c r="C7416">
        <v>146.103349944999</v>
      </c>
      <c r="D7416">
        <v>-17.607852102900001</v>
      </c>
      <c r="E7416" s="92" t="str">
        <f t="shared" si="27"/>
        <v/>
      </c>
      <c r="G7416" s="92"/>
      <c r="I7416">
        <v>7</v>
      </c>
      <c r="J7416" t="s">
        <v>26</v>
      </c>
      <c r="K7416" s="57"/>
      <c r="S7416" s="57"/>
      <c r="X7416" s="57"/>
    </row>
    <row r="7417" spans="1:24" hidden="1" x14ac:dyDescent="0.35">
      <c r="A7417">
        <v>7413</v>
      </c>
      <c r="B7417">
        <v>7414</v>
      </c>
      <c r="C7417">
        <v>146.10338816500001</v>
      </c>
      <c r="D7417">
        <v>-17.607927779800001</v>
      </c>
      <c r="E7417" s="92" t="str">
        <f t="shared" si="27"/>
        <v/>
      </c>
      <c r="G7417" s="92"/>
      <c r="I7417">
        <v>7</v>
      </c>
      <c r="J7417" t="s">
        <v>26</v>
      </c>
      <c r="K7417" s="57"/>
      <c r="S7417" s="57"/>
      <c r="X7417" s="57"/>
    </row>
    <row r="7418" spans="1:24" hidden="1" x14ac:dyDescent="0.35">
      <c r="A7418">
        <v>7414</v>
      </c>
      <c r="B7418">
        <v>7415</v>
      </c>
      <c r="C7418">
        <v>146.103436297999</v>
      </c>
      <c r="D7418">
        <v>-17.608000074300001</v>
      </c>
      <c r="E7418" s="92">
        <f t="shared" si="27"/>
        <v>50</v>
      </c>
      <c r="G7418" s="92"/>
      <c r="I7418">
        <v>7</v>
      </c>
      <c r="J7418" t="s">
        <v>26</v>
      </c>
      <c r="K7418" s="57"/>
      <c r="S7418" s="57"/>
      <c r="X7418" s="57"/>
    </row>
    <row r="7419" spans="1:24" hidden="1" x14ac:dyDescent="0.35">
      <c r="A7419">
        <v>7415</v>
      </c>
      <c r="B7419">
        <v>7416</v>
      </c>
      <c r="C7419">
        <v>146.103484430999</v>
      </c>
      <c r="D7419">
        <v>-17.6080723687</v>
      </c>
      <c r="E7419" s="92" t="str">
        <f t="shared" si="27"/>
        <v/>
      </c>
      <c r="G7419" s="92"/>
      <c r="I7419">
        <v>7</v>
      </c>
      <c r="J7419" t="s">
        <v>26</v>
      </c>
      <c r="K7419" s="57"/>
      <c r="S7419" s="57"/>
      <c r="X7419" s="57"/>
    </row>
    <row r="7420" spans="1:24" hidden="1" x14ac:dyDescent="0.35">
      <c r="A7420">
        <v>7416</v>
      </c>
      <c r="B7420">
        <v>7417</v>
      </c>
      <c r="C7420">
        <v>146.10353256400001</v>
      </c>
      <c r="D7420">
        <v>-17.6081446630999</v>
      </c>
      <c r="E7420" s="92" t="str">
        <f t="shared" si="27"/>
        <v/>
      </c>
      <c r="G7420" s="92"/>
      <c r="I7420">
        <v>7</v>
      </c>
      <c r="J7420" t="s">
        <v>26</v>
      </c>
      <c r="K7420" s="57"/>
      <c r="S7420" s="57"/>
      <c r="X7420" s="57"/>
    </row>
    <row r="7421" spans="1:24" hidden="1" x14ac:dyDescent="0.35">
      <c r="A7421">
        <v>7417</v>
      </c>
      <c r="B7421">
        <v>7418</v>
      </c>
      <c r="C7421">
        <v>146.103580695999</v>
      </c>
      <c r="D7421">
        <v>-17.608216957500002</v>
      </c>
      <c r="E7421" s="92" t="str">
        <f t="shared" si="27"/>
        <v/>
      </c>
      <c r="G7421" s="92"/>
      <c r="I7421">
        <v>7</v>
      </c>
      <c r="J7421" t="s">
        <v>26</v>
      </c>
      <c r="K7421" s="57"/>
      <c r="S7421" s="57"/>
      <c r="X7421" s="57"/>
    </row>
    <row r="7422" spans="1:24" hidden="1" x14ac:dyDescent="0.35">
      <c r="A7422">
        <v>7418</v>
      </c>
      <c r="B7422">
        <v>7419</v>
      </c>
      <c r="C7422">
        <v>146.103628963999</v>
      </c>
      <c r="D7422">
        <v>-17.608289168700001</v>
      </c>
      <c r="E7422" s="92" t="str">
        <f t="shared" si="27"/>
        <v/>
      </c>
      <c r="G7422" s="92"/>
      <c r="I7422">
        <v>7</v>
      </c>
      <c r="J7422" t="s">
        <v>26</v>
      </c>
      <c r="K7422" s="57"/>
      <c r="S7422" s="57"/>
      <c r="X7422" s="57"/>
    </row>
    <row r="7423" spans="1:24" hidden="1" x14ac:dyDescent="0.35">
      <c r="A7423">
        <v>7419</v>
      </c>
      <c r="B7423">
        <v>7420</v>
      </c>
      <c r="C7423">
        <v>146.103678674999</v>
      </c>
      <c r="D7423">
        <v>-17.608360485999899</v>
      </c>
      <c r="E7423" s="92">
        <f t="shared" si="27"/>
        <v>50</v>
      </c>
      <c r="G7423" s="92"/>
      <c r="I7423">
        <v>7</v>
      </c>
      <c r="J7423" t="s">
        <v>26</v>
      </c>
      <c r="K7423" s="57"/>
      <c r="S7423" s="57"/>
      <c r="X7423" s="57"/>
    </row>
    <row r="7424" spans="1:24" hidden="1" x14ac:dyDescent="0.35">
      <c r="A7424">
        <v>7420</v>
      </c>
      <c r="B7424">
        <v>7421</v>
      </c>
      <c r="C7424">
        <v>146.10372838699899</v>
      </c>
      <c r="D7424">
        <v>-17.608431803199899</v>
      </c>
      <c r="E7424" s="92" t="str">
        <f t="shared" si="27"/>
        <v/>
      </c>
      <c r="G7424" s="92"/>
      <c r="I7424">
        <v>7</v>
      </c>
      <c r="J7424" t="s">
        <v>26</v>
      </c>
      <c r="K7424" s="57"/>
      <c r="S7424" s="57"/>
      <c r="X7424" s="57"/>
    </row>
    <row r="7425" spans="1:24" hidden="1" x14ac:dyDescent="0.35">
      <c r="A7425">
        <v>7421</v>
      </c>
      <c r="B7425">
        <v>7422</v>
      </c>
      <c r="C7425">
        <v>146.103778097999</v>
      </c>
      <c r="D7425">
        <v>-17.608503120400002</v>
      </c>
      <c r="E7425" s="92" t="str">
        <f t="shared" si="27"/>
        <v/>
      </c>
      <c r="G7425" s="92"/>
      <c r="I7425">
        <v>7</v>
      </c>
      <c r="J7425" t="s">
        <v>26</v>
      </c>
      <c r="K7425" s="57"/>
      <c r="S7425" s="57"/>
      <c r="X7425" s="57"/>
    </row>
    <row r="7426" spans="1:24" hidden="1" x14ac:dyDescent="0.35">
      <c r="A7426">
        <v>7422</v>
      </c>
      <c r="B7426">
        <v>7423</v>
      </c>
      <c r="C7426">
        <v>146.10382781000001</v>
      </c>
      <c r="D7426">
        <v>-17.608574437600002</v>
      </c>
      <c r="E7426" s="92" t="str">
        <f t="shared" si="27"/>
        <v/>
      </c>
      <c r="G7426" s="92"/>
      <c r="I7426">
        <v>7</v>
      </c>
      <c r="J7426" t="s">
        <v>26</v>
      </c>
      <c r="K7426" s="57"/>
      <c r="S7426" s="57"/>
      <c r="X7426" s="57"/>
    </row>
    <row r="7427" spans="1:24" hidden="1" x14ac:dyDescent="0.35">
      <c r="A7427">
        <v>7423</v>
      </c>
      <c r="B7427">
        <v>7424</v>
      </c>
      <c r="C7427">
        <v>146.10387752099899</v>
      </c>
      <c r="D7427">
        <v>-17.6086457546999</v>
      </c>
      <c r="E7427" s="92" t="str">
        <f t="shared" si="27"/>
        <v/>
      </c>
      <c r="G7427" s="92"/>
      <c r="I7427">
        <v>7</v>
      </c>
      <c r="J7427" t="s">
        <v>26</v>
      </c>
      <c r="K7427" s="57"/>
      <c r="S7427" s="57"/>
      <c r="X7427" s="57"/>
    </row>
    <row r="7428" spans="1:24" hidden="1" x14ac:dyDescent="0.35">
      <c r="A7428">
        <v>7424</v>
      </c>
      <c r="B7428">
        <v>7425</v>
      </c>
      <c r="C7428">
        <v>146.10392723199899</v>
      </c>
      <c r="D7428">
        <v>-17.608717071800001</v>
      </c>
      <c r="E7428" s="92">
        <f t="shared" si="27"/>
        <v>50</v>
      </c>
      <c r="G7428" s="92"/>
      <c r="I7428">
        <v>7</v>
      </c>
      <c r="J7428" t="s">
        <v>26</v>
      </c>
      <c r="K7428" s="57"/>
      <c r="S7428" s="57"/>
      <c r="X7428" s="57"/>
    </row>
    <row r="7429" spans="1:24" hidden="1" x14ac:dyDescent="0.35">
      <c r="A7429">
        <v>7425</v>
      </c>
      <c r="B7429">
        <v>7426</v>
      </c>
      <c r="C7429">
        <v>146.10397694400001</v>
      </c>
      <c r="D7429">
        <v>-17.6087883888999</v>
      </c>
      <c r="E7429" s="92" t="str">
        <f t="shared" si="27"/>
        <v/>
      </c>
      <c r="G7429" s="92"/>
      <c r="I7429">
        <v>7</v>
      </c>
      <c r="J7429" t="s">
        <v>26</v>
      </c>
      <c r="K7429" s="57"/>
      <c r="S7429" s="57"/>
      <c r="X7429" s="57"/>
    </row>
    <row r="7430" spans="1:24" hidden="1" x14ac:dyDescent="0.35">
      <c r="A7430">
        <v>7426</v>
      </c>
      <c r="B7430">
        <v>7427</v>
      </c>
      <c r="C7430">
        <v>146.104016416999</v>
      </c>
      <c r="D7430">
        <v>-17.6088652794</v>
      </c>
      <c r="E7430" s="92" t="str">
        <f t="shared" si="27"/>
        <v/>
      </c>
      <c r="G7430" s="92"/>
      <c r="I7430">
        <v>7</v>
      </c>
      <c r="J7430" t="s">
        <v>26</v>
      </c>
      <c r="K7430" s="57"/>
      <c r="S7430" s="57"/>
      <c r="X7430" s="57"/>
    </row>
    <row r="7431" spans="1:24" hidden="1" x14ac:dyDescent="0.35">
      <c r="A7431">
        <v>7427</v>
      </c>
      <c r="B7431">
        <v>7428</v>
      </c>
      <c r="C7431">
        <v>146.104055606999</v>
      </c>
      <c r="D7431">
        <v>-17.6089423240999</v>
      </c>
      <c r="E7431" s="92" t="str">
        <f t="shared" si="27"/>
        <v/>
      </c>
      <c r="G7431" s="92"/>
      <c r="I7431">
        <v>7</v>
      </c>
      <c r="J7431" t="s">
        <v>26</v>
      </c>
      <c r="K7431" s="57"/>
      <c r="S7431" s="57"/>
      <c r="X7431" s="57"/>
    </row>
    <row r="7432" spans="1:24" hidden="1" x14ac:dyDescent="0.35">
      <c r="A7432">
        <v>7428</v>
      </c>
      <c r="B7432">
        <v>7429</v>
      </c>
      <c r="C7432">
        <v>146.10409479800001</v>
      </c>
      <c r="D7432">
        <v>-17.6090193687</v>
      </c>
      <c r="E7432" s="92" t="str">
        <f t="shared" si="27"/>
        <v/>
      </c>
      <c r="G7432" s="92"/>
      <c r="I7432">
        <v>7</v>
      </c>
      <c r="J7432" t="s">
        <v>26</v>
      </c>
      <c r="K7432" s="57"/>
      <c r="S7432" s="57"/>
      <c r="X7432" s="57"/>
    </row>
    <row r="7433" spans="1:24" hidden="1" x14ac:dyDescent="0.35">
      <c r="A7433">
        <v>7429</v>
      </c>
      <c r="B7433">
        <v>7430</v>
      </c>
      <c r="C7433">
        <v>146.104133988</v>
      </c>
      <c r="D7433">
        <v>-17.609096413300001</v>
      </c>
      <c r="E7433" s="92">
        <f t="shared" si="27"/>
        <v>50</v>
      </c>
      <c r="G7433" s="92"/>
      <c r="I7433">
        <v>7</v>
      </c>
      <c r="J7433" t="s">
        <v>26</v>
      </c>
      <c r="K7433" s="57"/>
      <c r="S7433" s="57"/>
      <c r="X7433" s="57"/>
    </row>
    <row r="7434" spans="1:24" hidden="1" x14ac:dyDescent="0.35">
      <c r="A7434">
        <v>7430</v>
      </c>
      <c r="B7434">
        <v>7431</v>
      </c>
      <c r="C7434">
        <v>146.104173177999</v>
      </c>
      <c r="D7434">
        <v>-17.609173457800001</v>
      </c>
      <c r="E7434" s="92" t="str">
        <f t="shared" si="27"/>
        <v/>
      </c>
      <c r="G7434" s="92"/>
      <c r="I7434">
        <v>7</v>
      </c>
      <c r="J7434" t="s">
        <v>26</v>
      </c>
      <c r="K7434" s="57"/>
      <c r="S7434" s="57"/>
      <c r="X7434" s="57"/>
    </row>
    <row r="7435" spans="1:24" hidden="1" x14ac:dyDescent="0.35">
      <c r="A7435">
        <v>7431</v>
      </c>
      <c r="B7435">
        <v>7432</v>
      </c>
      <c r="C7435">
        <v>146.104212367999</v>
      </c>
      <c r="D7435">
        <v>-17.609250502399899</v>
      </c>
      <c r="E7435" s="92" t="str">
        <f t="shared" si="27"/>
        <v/>
      </c>
      <c r="G7435" s="92"/>
      <c r="I7435">
        <v>7</v>
      </c>
      <c r="J7435" t="s">
        <v>26</v>
      </c>
      <c r="K7435" s="57"/>
      <c r="S7435" s="57"/>
      <c r="X7435" s="57"/>
    </row>
    <row r="7436" spans="1:24" hidden="1" x14ac:dyDescent="0.35">
      <c r="A7436">
        <v>7432</v>
      </c>
      <c r="B7436">
        <v>7433</v>
      </c>
      <c r="C7436">
        <v>146.10425002400001</v>
      </c>
      <c r="D7436">
        <v>-17.609328182399899</v>
      </c>
      <c r="E7436" s="92" t="str">
        <f t="shared" si="27"/>
        <v/>
      </c>
      <c r="G7436" s="92"/>
      <c r="I7436">
        <v>7</v>
      </c>
      <c r="J7436" t="s">
        <v>26</v>
      </c>
      <c r="K7436" s="57"/>
      <c r="S7436" s="57"/>
      <c r="X7436" s="57"/>
    </row>
    <row r="7437" spans="1:24" hidden="1" x14ac:dyDescent="0.35">
      <c r="A7437">
        <v>7433</v>
      </c>
      <c r="B7437">
        <v>7434</v>
      </c>
      <c r="C7437">
        <v>146.104282380999</v>
      </c>
      <c r="D7437">
        <v>-17.6094080572</v>
      </c>
      <c r="E7437" s="92" t="str">
        <f t="shared" si="27"/>
        <v/>
      </c>
      <c r="G7437" s="92"/>
      <c r="I7437">
        <v>7</v>
      </c>
      <c r="J7437" t="s">
        <v>26</v>
      </c>
      <c r="K7437" s="57"/>
      <c r="S7437" s="57"/>
      <c r="X7437" s="57"/>
    </row>
    <row r="7438" spans="1:24" hidden="1" x14ac:dyDescent="0.35">
      <c r="A7438">
        <v>7434</v>
      </c>
      <c r="B7438">
        <v>7435</v>
      </c>
      <c r="C7438">
        <v>146.104314737999</v>
      </c>
      <c r="D7438">
        <v>-17.609487931899899</v>
      </c>
      <c r="E7438" s="92">
        <f t="shared" si="27"/>
        <v>50</v>
      </c>
      <c r="G7438" s="92"/>
      <c r="I7438">
        <v>7</v>
      </c>
      <c r="J7438" t="s">
        <v>26</v>
      </c>
      <c r="K7438" s="57"/>
      <c r="S7438" s="57"/>
      <c r="X7438" s="57"/>
    </row>
    <row r="7439" spans="1:24" hidden="1" x14ac:dyDescent="0.35">
      <c r="A7439">
        <v>7435</v>
      </c>
      <c r="B7439">
        <v>7436</v>
      </c>
      <c r="C7439">
        <v>146.10434709500001</v>
      </c>
      <c r="D7439">
        <v>-17.609567806600001</v>
      </c>
      <c r="E7439" s="92" t="str">
        <f t="shared" si="27"/>
        <v/>
      </c>
      <c r="G7439" s="92"/>
      <c r="I7439">
        <v>7</v>
      </c>
      <c r="J7439" t="s">
        <v>26</v>
      </c>
      <c r="K7439" s="57"/>
      <c r="S7439" s="57"/>
      <c r="X7439" s="57"/>
    </row>
    <row r="7440" spans="1:24" hidden="1" x14ac:dyDescent="0.35">
      <c r="A7440">
        <v>7436</v>
      </c>
      <c r="B7440">
        <v>7437</v>
      </c>
      <c r="C7440">
        <v>146.10437945300001</v>
      </c>
      <c r="D7440">
        <v>-17.6096476813</v>
      </c>
      <c r="E7440" s="92" t="str">
        <f t="shared" ref="E7440:E7503" si="28">IF(MOD(B7440,5)=0, 50, "")</f>
        <v/>
      </c>
      <c r="G7440" s="92"/>
      <c r="I7440">
        <v>7</v>
      </c>
      <c r="J7440" t="s">
        <v>26</v>
      </c>
      <c r="K7440" s="57"/>
      <c r="S7440" s="57"/>
      <c r="X7440" s="57"/>
    </row>
    <row r="7441" spans="1:24" hidden="1" x14ac:dyDescent="0.35">
      <c r="A7441">
        <v>7437</v>
      </c>
      <c r="B7441">
        <v>7438</v>
      </c>
      <c r="C7441">
        <v>146.10441180999899</v>
      </c>
      <c r="D7441">
        <v>-17.6097275559999</v>
      </c>
      <c r="E7441" s="92" t="str">
        <f t="shared" si="28"/>
        <v/>
      </c>
      <c r="G7441" s="92"/>
      <c r="I7441">
        <v>7</v>
      </c>
      <c r="J7441" t="s">
        <v>26</v>
      </c>
      <c r="K7441" s="57"/>
      <c r="S7441" s="57"/>
      <c r="X7441" s="57"/>
    </row>
    <row r="7442" spans="1:24" hidden="1" x14ac:dyDescent="0.35">
      <c r="A7442">
        <v>7438</v>
      </c>
      <c r="B7442">
        <v>7439</v>
      </c>
      <c r="C7442">
        <v>146.10445074500001</v>
      </c>
      <c r="D7442">
        <v>-17.609804636100002</v>
      </c>
      <c r="E7442" s="92" t="str">
        <f t="shared" si="28"/>
        <v/>
      </c>
      <c r="G7442" s="92"/>
      <c r="I7442">
        <v>7</v>
      </c>
      <c r="J7442" t="s">
        <v>26</v>
      </c>
      <c r="K7442" s="57"/>
      <c r="S7442" s="57"/>
      <c r="X7442" s="57"/>
    </row>
    <row r="7443" spans="1:24" hidden="1" x14ac:dyDescent="0.35">
      <c r="A7443">
        <v>7439</v>
      </c>
      <c r="B7443">
        <v>7440</v>
      </c>
      <c r="C7443">
        <v>146.10449144</v>
      </c>
      <c r="D7443">
        <v>-17.609880968100001</v>
      </c>
      <c r="E7443" s="92">
        <f t="shared" si="28"/>
        <v>50</v>
      </c>
      <c r="G7443" s="92"/>
      <c r="I7443">
        <v>7</v>
      </c>
      <c r="J7443" t="s">
        <v>26</v>
      </c>
      <c r="K7443" s="57"/>
      <c r="S7443" s="57"/>
      <c r="X7443" s="57"/>
    </row>
    <row r="7444" spans="1:24" hidden="1" x14ac:dyDescent="0.35">
      <c r="A7444">
        <v>7440</v>
      </c>
      <c r="B7444">
        <v>7441</v>
      </c>
      <c r="C7444">
        <v>146.104532134999</v>
      </c>
      <c r="D7444">
        <v>-17.6099573001</v>
      </c>
      <c r="E7444" s="92" t="str">
        <f t="shared" si="28"/>
        <v/>
      </c>
      <c r="G7444" s="92"/>
      <c r="I7444">
        <v>7</v>
      </c>
      <c r="J7444" t="s">
        <v>26</v>
      </c>
      <c r="K7444" s="57"/>
      <c r="S7444" s="57"/>
      <c r="X7444" s="57"/>
    </row>
    <row r="7445" spans="1:24" hidden="1" x14ac:dyDescent="0.35">
      <c r="A7445">
        <v>7441</v>
      </c>
      <c r="B7445">
        <v>7442</v>
      </c>
      <c r="C7445">
        <v>146.10457283100001</v>
      </c>
      <c r="D7445">
        <v>-17.610033632099899</v>
      </c>
      <c r="E7445" s="92" t="str">
        <f t="shared" si="28"/>
        <v/>
      </c>
      <c r="G7445" s="92"/>
      <c r="I7445">
        <v>7</v>
      </c>
      <c r="J7445" t="s">
        <v>26</v>
      </c>
      <c r="K7445" s="57"/>
      <c r="S7445" s="57"/>
      <c r="X7445" s="57"/>
    </row>
    <row r="7446" spans="1:24" hidden="1" x14ac:dyDescent="0.35">
      <c r="A7446">
        <v>7442</v>
      </c>
      <c r="B7446">
        <v>7443</v>
      </c>
      <c r="C7446">
        <v>146.10461352600001</v>
      </c>
      <c r="D7446">
        <v>-17.6101099639999</v>
      </c>
      <c r="E7446" s="92" t="str">
        <f t="shared" si="28"/>
        <v/>
      </c>
      <c r="G7446" s="92"/>
      <c r="I7446">
        <v>7</v>
      </c>
      <c r="J7446" t="s">
        <v>26</v>
      </c>
      <c r="K7446" s="57"/>
      <c r="S7446" s="57"/>
      <c r="X7446" s="57"/>
    </row>
    <row r="7447" spans="1:24" hidden="1" x14ac:dyDescent="0.35">
      <c r="A7447">
        <v>7443</v>
      </c>
      <c r="B7447">
        <v>7444</v>
      </c>
      <c r="C7447">
        <v>146.10465123399899</v>
      </c>
      <c r="D7447">
        <v>-17.6101876598999</v>
      </c>
      <c r="E7447" s="92" t="str">
        <f t="shared" si="28"/>
        <v/>
      </c>
      <c r="G7447" s="92"/>
      <c r="I7447">
        <v>7</v>
      </c>
      <c r="J7447" t="s">
        <v>26</v>
      </c>
      <c r="K7447" s="57"/>
      <c r="S7447" s="57"/>
      <c r="X7447" s="57"/>
    </row>
    <row r="7448" spans="1:24" hidden="1" x14ac:dyDescent="0.35">
      <c r="A7448">
        <v>7444</v>
      </c>
      <c r="B7448">
        <v>7445</v>
      </c>
      <c r="C7448">
        <v>146.104688135</v>
      </c>
      <c r="D7448">
        <v>-17.6102657241</v>
      </c>
      <c r="E7448" s="92">
        <f t="shared" si="28"/>
        <v>50</v>
      </c>
      <c r="G7448" s="92"/>
      <c r="I7448">
        <v>7</v>
      </c>
      <c r="J7448" t="s">
        <v>26</v>
      </c>
      <c r="K7448" s="57"/>
      <c r="S7448" s="57"/>
      <c r="X7448" s="57"/>
    </row>
    <row r="7449" spans="1:24" hidden="1" x14ac:dyDescent="0.35">
      <c r="A7449">
        <v>7445</v>
      </c>
      <c r="B7449">
        <v>7446</v>
      </c>
      <c r="C7449">
        <v>146.104725035999</v>
      </c>
      <c r="D7449">
        <v>-17.6103437883</v>
      </c>
      <c r="E7449" s="92" t="str">
        <f t="shared" si="28"/>
        <v/>
      </c>
      <c r="G7449" s="92"/>
      <c r="I7449">
        <v>7</v>
      </c>
      <c r="J7449" t="s">
        <v>26</v>
      </c>
      <c r="K7449" s="57"/>
      <c r="S7449" s="57"/>
      <c r="X7449" s="57"/>
    </row>
    <row r="7450" spans="1:24" hidden="1" x14ac:dyDescent="0.35">
      <c r="A7450">
        <v>7446</v>
      </c>
      <c r="B7450">
        <v>7447</v>
      </c>
      <c r="C7450">
        <v>146.10476193700001</v>
      </c>
      <c r="D7450">
        <v>-17.610421852399899</v>
      </c>
      <c r="E7450" s="92" t="str">
        <f t="shared" si="28"/>
        <v/>
      </c>
      <c r="G7450" s="92"/>
      <c r="I7450">
        <v>7</v>
      </c>
      <c r="J7450" t="s">
        <v>26</v>
      </c>
      <c r="K7450" s="57"/>
      <c r="S7450" s="57"/>
      <c r="X7450" s="57"/>
    </row>
    <row r="7451" spans="1:24" hidden="1" x14ac:dyDescent="0.35">
      <c r="A7451">
        <v>7447</v>
      </c>
      <c r="B7451">
        <v>7448</v>
      </c>
      <c r="C7451">
        <v>146.10479883900001</v>
      </c>
      <c r="D7451">
        <v>-17.6104999165</v>
      </c>
      <c r="E7451" s="92" t="str">
        <f t="shared" si="28"/>
        <v/>
      </c>
      <c r="G7451" s="92"/>
      <c r="I7451">
        <v>7</v>
      </c>
      <c r="J7451" t="s">
        <v>26</v>
      </c>
      <c r="K7451" s="57"/>
      <c r="S7451" s="57"/>
      <c r="X7451" s="57"/>
    </row>
    <row r="7452" spans="1:24" hidden="1" x14ac:dyDescent="0.35">
      <c r="A7452">
        <v>7448</v>
      </c>
      <c r="B7452">
        <v>7449</v>
      </c>
      <c r="C7452">
        <v>146.104841604999</v>
      </c>
      <c r="D7452">
        <v>-17.610575067500001</v>
      </c>
      <c r="E7452" s="92" t="str">
        <f t="shared" si="28"/>
        <v/>
      </c>
      <c r="G7452" s="92"/>
      <c r="I7452">
        <v>7</v>
      </c>
      <c r="J7452" t="s">
        <v>26</v>
      </c>
      <c r="K7452" s="57"/>
      <c r="S7452" s="57"/>
      <c r="X7452" s="57"/>
    </row>
    <row r="7453" spans="1:24" hidden="1" x14ac:dyDescent="0.35">
      <c r="A7453">
        <v>7449</v>
      </c>
      <c r="B7453">
        <v>7450</v>
      </c>
      <c r="C7453">
        <v>146.104887593999</v>
      </c>
      <c r="D7453">
        <v>-17.6106486179999</v>
      </c>
      <c r="E7453" s="92">
        <f t="shared" si="28"/>
        <v>50</v>
      </c>
      <c r="G7453" s="92"/>
      <c r="I7453">
        <v>7</v>
      </c>
      <c r="J7453" t="s">
        <v>26</v>
      </c>
      <c r="K7453" s="57"/>
      <c r="S7453" s="57"/>
      <c r="X7453" s="57"/>
    </row>
    <row r="7454" spans="1:24" hidden="1" x14ac:dyDescent="0.35">
      <c r="A7454">
        <v>7450</v>
      </c>
      <c r="B7454">
        <v>7451</v>
      </c>
      <c r="C7454">
        <v>146.104933582999</v>
      </c>
      <c r="D7454">
        <v>-17.610722168399899</v>
      </c>
      <c r="E7454" s="92" t="str">
        <f t="shared" si="28"/>
        <v/>
      </c>
      <c r="G7454" s="92"/>
      <c r="I7454">
        <v>7</v>
      </c>
      <c r="J7454" t="s">
        <v>26</v>
      </c>
      <c r="K7454" s="57"/>
      <c r="S7454" s="57"/>
      <c r="X7454" s="57"/>
    </row>
    <row r="7455" spans="1:24" hidden="1" x14ac:dyDescent="0.35">
      <c r="A7455">
        <v>7451</v>
      </c>
      <c r="B7455">
        <v>7452</v>
      </c>
      <c r="C7455">
        <v>146.104979571</v>
      </c>
      <c r="D7455">
        <v>-17.610795718799899</v>
      </c>
      <c r="E7455" s="92" t="str">
        <f t="shared" si="28"/>
        <v/>
      </c>
      <c r="G7455" s="92"/>
      <c r="I7455">
        <v>7</v>
      </c>
      <c r="J7455" t="s">
        <v>26</v>
      </c>
      <c r="K7455" s="57"/>
      <c r="S7455" s="57"/>
      <c r="X7455" s="57"/>
    </row>
    <row r="7456" spans="1:24" hidden="1" x14ac:dyDescent="0.35">
      <c r="A7456">
        <v>7452</v>
      </c>
      <c r="B7456">
        <v>7453</v>
      </c>
      <c r="C7456">
        <v>146.10502556</v>
      </c>
      <c r="D7456">
        <v>-17.610869269199899</v>
      </c>
      <c r="E7456" s="92" t="str">
        <f t="shared" si="28"/>
        <v/>
      </c>
      <c r="G7456" s="92"/>
      <c r="I7456">
        <v>7</v>
      </c>
      <c r="J7456" t="s">
        <v>26</v>
      </c>
      <c r="K7456" s="57"/>
      <c r="S7456" s="57"/>
      <c r="X7456" s="57"/>
    </row>
    <row r="7457" spans="1:24" hidden="1" x14ac:dyDescent="0.35">
      <c r="A7457">
        <v>7453</v>
      </c>
      <c r="B7457">
        <v>7454</v>
      </c>
      <c r="C7457">
        <v>146.105071549</v>
      </c>
      <c r="D7457">
        <v>-17.6109428195</v>
      </c>
      <c r="E7457" s="92" t="str">
        <f t="shared" si="28"/>
        <v/>
      </c>
      <c r="G7457" s="92"/>
      <c r="I7457">
        <v>7</v>
      </c>
      <c r="J7457" t="s">
        <v>26</v>
      </c>
      <c r="K7457" s="57"/>
      <c r="S7457" s="57"/>
      <c r="X7457" s="57"/>
    </row>
    <row r="7458" spans="1:24" hidden="1" x14ac:dyDescent="0.35">
      <c r="A7458">
        <v>7454</v>
      </c>
      <c r="B7458">
        <v>7455</v>
      </c>
      <c r="C7458">
        <v>146.10511807200001</v>
      </c>
      <c r="D7458">
        <v>-17.611016063400001</v>
      </c>
      <c r="E7458" s="92">
        <f t="shared" si="28"/>
        <v>50</v>
      </c>
      <c r="G7458" s="92"/>
      <c r="I7458">
        <v>7</v>
      </c>
      <c r="J7458" t="s">
        <v>26</v>
      </c>
      <c r="K7458" s="57"/>
      <c r="S7458" s="57"/>
      <c r="X7458" s="57"/>
    </row>
    <row r="7459" spans="1:24" hidden="1" x14ac:dyDescent="0.35">
      <c r="A7459">
        <v>7455</v>
      </c>
      <c r="B7459">
        <v>7456</v>
      </c>
      <c r="C7459">
        <v>146.105164784999</v>
      </c>
      <c r="D7459">
        <v>-17.611089197399899</v>
      </c>
      <c r="E7459" s="92" t="str">
        <f t="shared" si="28"/>
        <v/>
      </c>
      <c r="G7459" s="92"/>
      <c r="I7459">
        <v>7</v>
      </c>
      <c r="J7459" t="s">
        <v>26</v>
      </c>
      <c r="K7459" s="57"/>
      <c r="S7459" s="57"/>
      <c r="X7459" s="57"/>
    </row>
    <row r="7460" spans="1:24" hidden="1" x14ac:dyDescent="0.35">
      <c r="A7460">
        <v>7456</v>
      </c>
      <c r="B7460">
        <v>7457</v>
      </c>
      <c r="C7460">
        <v>146.10521149900001</v>
      </c>
      <c r="D7460">
        <v>-17.6111623313999</v>
      </c>
      <c r="E7460" s="92" t="str">
        <f t="shared" si="28"/>
        <v/>
      </c>
      <c r="G7460" s="92"/>
      <c r="I7460">
        <v>7</v>
      </c>
      <c r="J7460" t="s">
        <v>26</v>
      </c>
      <c r="K7460" s="57"/>
      <c r="S7460" s="57"/>
      <c r="X7460" s="57"/>
    </row>
    <row r="7461" spans="1:24" hidden="1" x14ac:dyDescent="0.35">
      <c r="A7461">
        <v>7457</v>
      </c>
      <c r="B7461">
        <v>7458</v>
      </c>
      <c r="C7461">
        <v>146.10525821300001</v>
      </c>
      <c r="D7461">
        <v>-17.611235465499899</v>
      </c>
      <c r="E7461" s="92" t="str">
        <f t="shared" si="28"/>
        <v/>
      </c>
      <c r="G7461" s="92"/>
      <c r="I7461">
        <v>7</v>
      </c>
      <c r="J7461" t="s">
        <v>26</v>
      </c>
      <c r="K7461" s="57"/>
      <c r="S7461" s="57"/>
      <c r="X7461" s="57"/>
    </row>
    <row r="7462" spans="1:24" hidden="1" x14ac:dyDescent="0.35">
      <c r="A7462">
        <v>7458</v>
      </c>
      <c r="B7462">
        <v>7459</v>
      </c>
      <c r="C7462">
        <v>146.105304926999</v>
      </c>
      <c r="D7462">
        <v>-17.611308599400001</v>
      </c>
      <c r="E7462" s="92" t="str">
        <f t="shared" si="28"/>
        <v/>
      </c>
      <c r="G7462" s="92"/>
      <c r="I7462">
        <v>7</v>
      </c>
      <c r="J7462" t="s">
        <v>26</v>
      </c>
      <c r="K7462" s="57"/>
      <c r="S7462" s="57"/>
      <c r="X7462" s="57"/>
    </row>
    <row r="7463" spans="1:24" hidden="1" x14ac:dyDescent="0.35">
      <c r="A7463">
        <v>7459</v>
      </c>
      <c r="B7463">
        <v>7460</v>
      </c>
      <c r="C7463">
        <v>146.10535164000001</v>
      </c>
      <c r="D7463">
        <v>-17.611381733399899</v>
      </c>
      <c r="E7463" s="92">
        <f t="shared" si="28"/>
        <v>50</v>
      </c>
      <c r="G7463" s="92"/>
      <c r="I7463">
        <v>7</v>
      </c>
      <c r="J7463" t="s">
        <v>26</v>
      </c>
      <c r="K7463" s="57"/>
      <c r="S7463" s="57"/>
      <c r="X7463" s="57"/>
    </row>
    <row r="7464" spans="1:24" hidden="1" x14ac:dyDescent="0.35">
      <c r="A7464">
        <v>7460</v>
      </c>
      <c r="B7464">
        <v>7461</v>
      </c>
      <c r="C7464">
        <v>146.10539835399899</v>
      </c>
      <c r="D7464">
        <v>-17.611454867300001</v>
      </c>
      <c r="E7464" s="92" t="str">
        <f t="shared" si="28"/>
        <v/>
      </c>
      <c r="G7464" s="92"/>
      <c r="I7464">
        <v>7</v>
      </c>
      <c r="J7464" t="s">
        <v>26</v>
      </c>
      <c r="K7464" s="57"/>
      <c r="S7464" s="57"/>
      <c r="X7464" s="57"/>
    </row>
    <row r="7465" spans="1:24" hidden="1" x14ac:dyDescent="0.35">
      <c r="A7465">
        <v>7461</v>
      </c>
      <c r="B7465">
        <v>7462</v>
      </c>
      <c r="C7465">
        <v>146.10544520299899</v>
      </c>
      <c r="D7465">
        <v>-17.611527921899899</v>
      </c>
      <c r="E7465" s="92" t="str">
        <f t="shared" si="28"/>
        <v/>
      </c>
      <c r="G7465" s="92"/>
      <c r="I7465">
        <v>7</v>
      </c>
      <c r="J7465" t="s">
        <v>26</v>
      </c>
      <c r="K7465" s="57"/>
      <c r="S7465" s="57"/>
      <c r="X7465" s="57"/>
    </row>
    <row r="7466" spans="1:24" hidden="1" x14ac:dyDescent="0.35">
      <c r="A7466">
        <v>7462</v>
      </c>
      <c r="B7466">
        <v>7463</v>
      </c>
      <c r="C7466">
        <v>146.105492698999</v>
      </c>
      <c r="D7466">
        <v>-17.611600596599899</v>
      </c>
      <c r="E7466" s="92" t="str">
        <f t="shared" si="28"/>
        <v/>
      </c>
      <c r="G7466" s="92"/>
      <c r="I7466">
        <v>7</v>
      </c>
      <c r="J7466" t="s">
        <v>26</v>
      </c>
      <c r="K7466" s="57"/>
      <c r="S7466" s="57"/>
      <c r="X7466" s="57"/>
    </row>
    <row r="7467" spans="1:24" hidden="1" x14ac:dyDescent="0.35">
      <c r="A7467">
        <v>7463</v>
      </c>
      <c r="B7467">
        <v>7464</v>
      </c>
      <c r="C7467">
        <v>146.105540195</v>
      </c>
      <c r="D7467">
        <v>-17.611673271200001</v>
      </c>
      <c r="E7467" s="92" t="str">
        <f t="shared" si="28"/>
        <v/>
      </c>
      <c r="G7467" s="92"/>
      <c r="I7467">
        <v>7</v>
      </c>
      <c r="J7467" t="s">
        <v>26</v>
      </c>
      <c r="K7467" s="57"/>
      <c r="S7467" s="57"/>
      <c r="X7467" s="57"/>
    </row>
    <row r="7468" spans="1:24" hidden="1" x14ac:dyDescent="0.35">
      <c r="A7468">
        <v>7464</v>
      </c>
      <c r="B7468">
        <v>7465</v>
      </c>
      <c r="C7468">
        <v>146.10558769100001</v>
      </c>
      <c r="D7468">
        <v>-17.6117459457999</v>
      </c>
      <c r="E7468" s="92">
        <f t="shared" si="28"/>
        <v>50</v>
      </c>
      <c r="G7468" s="92"/>
      <c r="I7468">
        <v>7</v>
      </c>
      <c r="J7468" t="s">
        <v>26</v>
      </c>
      <c r="K7468" s="57"/>
      <c r="S7468" s="57"/>
      <c r="X7468" s="57"/>
    </row>
    <row r="7469" spans="1:24" hidden="1" x14ac:dyDescent="0.35">
      <c r="A7469">
        <v>7465</v>
      </c>
      <c r="B7469">
        <v>7466</v>
      </c>
      <c r="C7469">
        <v>146.105635186999</v>
      </c>
      <c r="D7469">
        <v>-17.6118186202999</v>
      </c>
      <c r="E7469" s="92" t="str">
        <f t="shared" si="28"/>
        <v/>
      </c>
      <c r="G7469" s="92"/>
      <c r="I7469">
        <v>7</v>
      </c>
      <c r="J7469" t="s">
        <v>26</v>
      </c>
      <c r="K7469" s="57"/>
      <c r="S7469" s="57"/>
      <c r="X7469" s="57"/>
    </row>
    <row r="7470" spans="1:24" hidden="1" x14ac:dyDescent="0.35">
      <c r="A7470">
        <v>7466</v>
      </c>
      <c r="B7470">
        <v>7467</v>
      </c>
      <c r="C7470">
        <v>146.105682682999</v>
      </c>
      <c r="D7470">
        <v>-17.611891294900001</v>
      </c>
      <c r="E7470" s="92" t="str">
        <f t="shared" si="28"/>
        <v/>
      </c>
      <c r="G7470" s="92"/>
      <c r="I7470">
        <v>7</v>
      </c>
      <c r="J7470" t="s">
        <v>26</v>
      </c>
      <c r="K7470" s="57"/>
      <c r="S7470" s="57"/>
      <c r="X7470" s="57"/>
    </row>
    <row r="7471" spans="1:24" hidden="1" x14ac:dyDescent="0.35">
      <c r="A7471">
        <v>7467</v>
      </c>
      <c r="B7471">
        <v>7468</v>
      </c>
      <c r="C7471">
        <v>146.10573113000001</v>
      </c>
      <c r="D7471">
        <v>-17.611963394099899</v>
      </c>
      <c r="E7471" s="92" t="str">
        <f t="shared" si="28"/>
        <v/>
      </c>
      <c r="G7471" s="92"/>
      <c r="I7471">
        <v>7</v>
      </c>
      <c r="J7471" t="s">
        <v>26</v>
      </c>
      <c r="K7471" s="57"/>
      <c r="S7471" s="57"/>
      <c r="X7471" s="57"/>
    </row>
    <row r="7472" spans="1:24" hidden="1" x14ac:dyDescent="0.35">
      <c r="A7472">
        <v>7468</v>
      </c>
      <c r="B7472">
        <v>7469</v>
      </c>
      <c r="C7472">
        <v>146.10577991900001</v>
      </c>
      <c r="D7472">
        <v>-17.6120352860999</v>
      </c>
      <c r="E7472" s="92" t="str">
        <f t="shared" si="28"/>
        <v/>
      </c>
      <c r="G7472" s="92"/>
      <c r="I7472">
        <v>7</v>
      </c>
      <c r="J7472" t="s">
        <v>26</v>
      </c>
      <c r="K7472" s="57"/>
      <c r="S7472" s="57"/>
      <c r="X7472" s="57"/>
    </row>
    <row r="7473" spans="1:24" hidden="1" x14ac:dyDescent="0.35">
      <c r="A7473">
        <v>7469</v>
      </c>
      <c r="B7473">
        <v>7470</v>
      </c>
      <c r="C7473">
        <v>146.10582870900001</v>
      </c>
      <c r="D7473">
        <v>-17.612107178199899</v>
      </c>
      <c r="E7473" s="92">
        <f t="shared" si="28"/>
        <v>50</v>
      </c>
      <c r="G7473" s="92"/>
      <c r="I7473">
        <v>7</v>
      </c>
      <c r="J7473" t="s">
        <v>26</v>
      </c>
      <c r="K7473" s="57"/>
      <c r="S7473" s="57"/>
      <c r="X7473" s="57"/>
    </row>
    <row r="7474" spans="1:24" hidden="1" x14ac:dyDescent="0.35">
      <c r="A7474">
        <v>7470</v>
      </c>
      <c r="B7474">
        <v>7471</v>
      </c>
      <c r="C7474">
        <v>146.10587749800001</v>
      </c>
      <c r="D7474">
        <v>-17.6121790702</v>
      </c>
      <c r="E7474" s="92" t="str">
        <f t="shared" si="28"/>
        <v/>
      </c>
      <c r="G7474" s="92"/>
      <c r="I7474">
        <v>7</v>
      </c>
      <c r="J7474" t="s">
        <v>26</v>
      </c>
      <c r="K7474" s="57"/>
      <c r="S7474" s="57"/>
      <c r="X7474" s="57"/>
    </row>
    <row r="7475" spans="1:24" hidden="1" x14ac:dyDescent="0.35">
      <c r="A7475">
        <v>7471</v>
      </c>
      <c r="B7475">
        <v>7472</v>
      </c>
      <c r="C7475">
        <v>146.10592628699899</v>
      </c>
      <c r="D7475">
        <v>-17.612250962200001</v>
      </c>
      <c r="E7475" s="92" t="str">
        <f t="shared" si="28"/>
        <v/>
      </c>
      <c r="G7475" s="92"/>
      <c r="I7475">
        <v>7</v>
      </c>
      <c r="J7475" t="s">
        <v>26</v>
      </c>
      <c r="K7475" s="57"/>
      <c r="S7475" s="57"/>
      <c r="X7475" s="57"/>
    </row>
    <row r="7476" spans="1:24" hidden="1" x14ac:dyDescent="0.35">
      <c r="A7476">
        <v>7472</v>
      </c>
      <c r="B7476">
        <v>7473</v>
      </c>
      <c r="C7476">
        <v>146.105975075999</v>
      </c>
      <c r="D7476">
        <v>-17.612322854199899</v>
      </c>
      <c r="E7476" s="92" t="str">
        <f t="shared" si="28"/>
        <v/>
      </c>
      <c r="G7476" s="92"/>
      <c r="I7476">
        <v>7</v>
      </c>
      <c r="J7476" t="s">
        <v>26</v>
      </c>
      <c r="K7476" s="57"/>
      <c r="S7476" s="57"/>
      <c r="X7476" s="57"/>
    </row>
    <row r="7477" spans="1:24" hidden="1" x14ac:dyDescent="0.35">
      <c r="A7477">
        <v>7473</v>
      </c>
      <c r="B7477">
        <v>7474</v>
      </c>
      <c r="C7477">
        <v>146.10602352199899</v>
      </c>
      <c r="D7477">
        <v>-17.612394936600001</v>
      </c>
      <c r="E7477" s="92" t="str">
        <f t="shared" si="28"/>
        <v/>
      </c>
      <c r="G7477" s="92"/>
      <c r="I7477">
        <v>7</v>
      </c>
      <c r="J7477" t="s">
        <v>26</v>
      </c>
      <c r="K7477" s="57"/>
      <c r="S7477" s="57"/>
      <c r="X7477" s="57"/>
    </row>
    <row r="7478" spans="1:24" hidden="1" x14ac:dyDescent="0.35">
      <c r="A7478">
        <v>7474</v>
      </c>
      <c r="B7478">
        <v>7475</v>
      </c>
      <c r="C7478">
        <v>146.10606505300001</v>
      </c>
      <c r="D7478">
        <v>-17.612470857600002</v>
      </c>
      <c r="E7478" s="92">
        <f t="shared" si="28"/>
        <v>50</v>
      </c>
      <c r="G7478" s="92"/>
      <c r="I7478">
        <v>7</v>
      </c>
      <c r="J7478" t="s">
        <v>26</v>
      </c>
      <c r="K7478" s="57"/>
      <c r="S7478" s="57"/>
      <c r="X7478" s="57"/>
    </row>
    <row r="7479" spans="1:24" hidden="1" x14ac:dyDescent="0.35">
      <c r="A7479">
        <v>7475</v>
      </c>
      <c r="B7479">
        <v>7476</v>
      </c>
      <c r="C7479">
        <v>146.106106584</v>
      </c>
      <c r="D7479">
        <v>-17.612546778599899</v>
      </c>
      <c r="E7479" s="92" t="str">
        <f t="shared" si="28"/>
        <v/>
      </c>
      <c r="G7479" s="92"/>
      <c r="I7479">
        <v>7</v>
      </c>
      <c r="J7479" t="s">
        <v>26</v>
      </c>
      <c r="K7479" s="57"/>
      <c r="S7479" s="57"/>
      <c r="X7479" s="57"/>
    </row>
    <row r="7480" spans="1:24" hidden="1" x14ac:dyDescent="0.35">
      <c r="A7480">
        <v>7476</v>
      </c>
      <c r="B7480">
        <v>7477</v>
      </c>
      <c r="C7480">
        <v>146.106148114999</v>
      </c>
      <c r="D7480">
        <v>-17.6126226995999</v>
      </c>
      <c r="E7480" s="92" t="str">
        <f t="shared" si="28"/>
        <v/>
      </c>
      <c r="G7480" s="92"/>
      <c r="I7480">
        <v>7</v>
      </c>
      <c r="J7480" t="s">
        <v>26</v>
      </c>
      <c r="K7480" s="57"/>
      <c r="S7480" s="57"/>
      <c r="X7480" s="57"/>
    </row>
    <row r="7481" spans="1:24" hidden="1" x14ac:dyDescent="0.35">
      <c r="A7481">
        <v>7477</v>
      </c>
      <c r="B7481">
        <v>7478</v>
      </c>
      <c r="C7481">
        <v>146.106189645999</v>
      </c>
      <c r="D7481">
        <v>-17.612698620500002</v>
      </c>
      <c r="E7481" s="92" t="str">
        <f t="shared" si="28"/>
        <v/>
      </c>
      <c r="G7481" s="92"/>
      <c r="I7481">
        <v>7</v>
      </c>
      <c r="J7481" t="s">
        <v>26</v>
      </c>
      <c r="K7481" s="57"/>
      <c r="S7481" s="57"/>
      <c r="X7481" s="57"/>
    </row>
    <row r="7482" spans="1:24" hidden="1" x14ac:dyDescent="0.35">
      <c r="A7482">
        <v>7478</v>
      </c>
      <c r="B7482">
        <v>7479</v>
      </c>
      <c r="C7482">
        <v>146.106223696999</v>
      </c>
      <c r="D7482">
        <v>-17.612777754100001</v>
      </c>
      <c r="E7482" s="92" t="str">
        <f t="shared" si="28"/>
        <v/>
      </c>
      <c r="G7482" s="92"/>
      <c r="I7482">
        <v>7</v>
      </c>
      <c r="J7482" t="s">
        <v>26</v>
      </c>
      <c r="K7482" s="57"/>
      <c r="S7482" s="57"/>
      <c r="X7482" s="57"/>
    </row>
    <row r="7483" spans="1:24" hidden="1" x14ac:dyDescent="0.35">
      <c r="A7483">
        <v>7479</v>
      </c>
      <c r="B7483">
        <v>7480</v>
      </c>
      <c r="C7483">
        <v>146.10625586500001</v>
      </c>
      <c r="D7483">
        <v>-17.612857696900001</v>
      </c>
      <c r="E7483" s="92">
        <f t="shared" si="28"/>
        <v>50</v>
      </c>
      <c r="G7483" s="92"/>
      <c r="I7483">
        <v>7</v>
      </c>
      <c r="J7483" t="s">
        <v>26</v>
      </c>
      <c r="K7483" s="57"/>
      <c r="S7483" s="57"/>
      <c r="X7483" s="57"/>
    </row>
    <row r="7484" spans="1:24" hidden="1" x14ac:dyDescent="0.35">
      <c r="A7484">
        <v>7480</v>
      </c>
      <c r="B7484">
        <v>7481</v>
      </c>
      <c r="C7484">
        <v>146.10628803200001</v>
      </c>
      <c r="D7484">
        <v>-17.6129376397</v>
      </c>
      <c r="E7484" s="92" t="str">
        <f t="shared" si="28"/>
        <v/>
      </c>
      <c r="G7484" s="92"/>
      <c r="I7484">
        <v>7</v>
      </c>
      <c r="J7484" t="s">
        <v>26</v>
      </c>
      <c r="K7484" s="57"/>
      <c r="S7484" s="57"/>
      <c r="X7484" s="57"/>
    </row>
    <row r="7485" spans="1:24" hidden="1" x14ac:dyDescent="0.35">
      <c r="A7485">
        <v>7481</v>
      </c>
      <c r="B7485">
        <v>7482</v>
      </c>
      <c r="C7485">
        <v>146.106319987999</v>
      </c>
      <c r="D7485">
        <v>-17.613017639599899</v>
      </c>
      <c r="E7485" s="92" t="str">
        <f t="shared" si="28"/>
        <v/>
      </c>
      <c r="G7485" s="92"/>
      <c r="I7485">
        <v>7</v>
      </c>
      <c r="J7485" t="s">
        <v>26</v>
      </c>
      <c r="K7485" s="57"/>
      <c r="S7485" s="57"/>
      <c r="X7485" s="57"/>
    </row>
    <row r="7486" spans="1:24" hidden="1" x14ac:dyDescent="0.35">
      <c r="A7486">
        <v>7482</v>
      </c>
      <c r="B7486">
        <v>7483</v>
      </c>
      <c r="C7486">
        <v>146.106336494999</v>
      </c>
      <c r="D7486">
        <v>-17.6131018019999</v>
      </c>
      <c r="E7486" s="92" t="str">
        <f t="shared" si="28"/>
        <v/>
      </c>
      <c r="G7486" s="92"/>
      <c r="I7486">
        <v>7</v>
      </c>
      <c r="J7486" t="s">
        <v>26</v>
      </c>
      <c r="K7486" s="57"/>
      <c r="S7486" s="57"/>
      <c r="X7486" s="57"/>
    </row>
    <row r="7487" spans="1:24" hidden="1" x14ac:dyDescent="0.35">
      <c r="A7487">
        <v>7483</v>
      </c>
      <c r="B7487">
        <v>7484</v>
      </c>
      <c r="C7487">
        <v>146.10635300300001</v>
      </c>
      <c r="D7487">
        <v>-17.613185964300001</v>
      </c>
      <c r="E7487" s="92" t="str">
        <f t="shared" si="28"/>
        <v/>
      </c>
      <c r="G7487" s="92"/>
      <c r="I7487">
        <v>7</v>
      </c>
      <c r="J7487" t="s">
        <v>26</v>
      </c>
      <c r="K7487" s="57"/>
      <c r="S7487" s="57"/>
      <c r="X7487" s="57"/>
    </row>
    <row r="7488" spans="1:24" hidden="1" x14ac:dyDescent="0.35">
      <c r="A7488">
        <v>7484</v>
      </c>
      <c r="B7488">
        <v>7485</v>
      </c>
      <c r="C7488">
        <v>146.10636951000001</v>
      </c>
      <c r="D7488">
        <v>-17.613270126500002</v>
      </c>
      <c r="E7488" s="92">
        <f t="shared" si="28"/>
        <v>50</v>
      </c>
      <c r="G7488" s="92"/>
      <c r="I7488">
        <v>7</v>
      </c>
      <c r="J7488" t="s">
        <v>26</v>
      </c>
      <c r="K7488" s="57"/>
      <c r="S7488" s="57"/>
      <c r="X7488" s="57"/>
    </row>
    <row r="7489" spans="1:24" hidden="1" x14ac:dyDescent="0.35">
      <c r="A7489">
        <v>7485</v>
      </c>
      <c r="B7489">
        <v>7486</v>
      </c>
      <c r="C7489">
        <v>146.106386017999</v>
      </c>
      <c r="D7489">
        <v>-17.6133542888</v>
      </c>
      <c r="E7489" s="92" t="str">
        <f t="shared" si="28"/>
        <v/>
      </c>
      <c r="G7489" s="92"/>
      <c r="I7489">
        <v>7</v>
      </c>
      <c r="J7489" t="s">
        <v>26</v>
      </c>
      <c r="K7489" s="57"/>
      <c r="S7489" s="57"/>
      <c r="X7489" s="57"/>
    </row>
    <row r="7490" spans="1:24" hidden="1" x14ac:dyDescent="0.35">
      <c r="A7490">
        <v>7486</v>
      </c>
      <c r="B7490">
        <v>7487</v>
      </c>
      <c r="C7490">
        <v>146.106393002999</v>
      </c>
      <c r="D7490">
        <v>-17.613439270499899</v>
      </c>
      <c r="E7490" s="92" t="str">
        <f t="shared" si="28"/>
        <v/>
      </c>
      <c r="G7490" s="92"/>
      <c r="I7490">
        <v>7</v>
      </c>
      <c r="J7490" t="s">
        <v>26</v>
      </c>
      <c r="K7490" s="57"/>
      <c r="S7490" s="57"/>
      <c r="X7490" s="57"/>
    </row>
    <row r="7491" spans="1:24" hidden="1" x14ac:dyDescent="0.35">
      <c r="A7491">
        <v>7487</v>
      </c>
      <c r="B7491">
        <v>7488</v>
      </c>
      <c r="C7491">
        <v>146.106392580999</v>
      </c>
      <c r="D7491">
        <v>-17.613524889800001</v>
      </c>
      <c r="E7491" s="92" t="str">
        <f t="shared" si="28"/>
        <v/>
      </c>
      <c r="G7491" s="92"/>
      <c r="I7491">
        <v>7</v>
      </c>
      <c r="J7491" t="s">
        <v>26</v>
      </c>
      <c r="K7491" s="57"/>
      <c r="S7491" s="57"/>
      <c r="X7491" s="57"/>
    </row>
    <row r="7492" spans="1:24" hidden="1" x14ac:dyDescent="0.35">
      <c r="A7492">
        <v>7488</v>
      </c>
      <c r="B7492">
        <v>7489</v>
      </c>
      <c r="C7492">
        <v>146.10639216000001</v>
      </c>
      <c r="D7492">
        <v>-17.613610509000001</v>
      </c>
      <c r="E7492" s="92" t="str">
        <f t="shared" si="28"/>
        <v/>
      </c>
      <c r="G7492" s="92"/>
      <c r="I7492">
        <v>7</v>
      </c>
      <c r="J7492" t="s">
        <v>26</v>
      </c>
      <c r="K7492" s="57"/>
      <c r="S7492" s="57"/>
      <c r="X7492" s="57"/>
    </row>
    <row r="7493" spans="1:24" hidden="1" x14ac:dyDescent="0.35">
      <c r="A7493">
        <v>7489</v>
      </c>
      <c r="B7493">
        <v>7490</v>
      </c>
      <c r="C7493">
        <v>146.10638557300001</v>
      </c>
      <c r="D7493">
        <v>-17.613694987900001</v>
      </c>
      <c r="E7493" s="92">
        <f t="shared" si="28"/>
        <v>50</v>
      </c>
      <c r="G7493" s="92"/>
      <c r="I7493">
        <v>7</v>
      </c>
      <c r="J7493" t="s">
        <v>26</v>
      </c>
      <c r="K7493" s="57"/>
      <c r="S7493" s="57"/>
      <c r="X7493" s="57"/>
    </row>
    <row r="7494" spans="1:24" hidden="1" x14ac:dyDescent="0.35">
      <c r="A7494">
        <v>7490</v>
      </c>
      <c r="B7494">
        <v>7491</v>
      </c>
      <c r="C7494">
        <v>146.10635237100001</v>
      </c>
      <c r="D7494">
        <v>-17.6137745453</v>
      </c>
      <c r="E7494" s="92" t="str">
        <f t="shared" si="28"/>
        <v/>
      </c>
      <c r="G7494" s="92"/>
      <c r="I7494">
        <v>7</v>
      </c>
      <c r="J7494" t="s">
        <v>26</v>
      </c>
      <c r="K7494" s="57"/>
      <c r="S7494" s="57"/>
      <c r="X7494" s="57"/>
    </row>
    <row r="7495" spans="1:24" hidden="1" x14ac:dyDescent="0.35">
      <c r="A7495">
        <v>7491</v>
      </c>
      <c r="B7495">
        <v>7492</v>
      </c>
      <c r="C7495">
        <v>146.10631917000001</v>
      </c>
      <c r="D7495">
        <v>-17.6138541027</v>
      </c>
      <c r="E7495" s="92" t="str">
        <f t="shared" si="28"/>
        <v/>
      </c>
      <c r="G7495" s="92"/>
      <c r="I7495">
        <v>7</v>
      </c>
      <c r="J7495" t="s">
        <v>26</v>
      </c>
      <c r="K7495" s="57"/>
      <c r="S7495" s="57"/>
      <c r="X7495" s="57"/>
    </row>
    <row r="7496" spans="1:24" hidden="1" x14ac:dyDescent="0.35">
      <c r="A7496">
        <v>7492</v>
      </c>
      <c r="B7496">
        <v>7493</v>
      </c>
      <c r="C7496">
        <v>146.106283977999</v>
      </c>
      <c r="D7496">
        <v>-17.6139323172</v>
      </c>
      <c r="E7496" s="92" t="str">
        <f t="shared" si="28"/>
        <v/>
      </c>
      <c r="G7496" s="92"/>
      <c r="I7496">
        <v>7</v>
      </c>
      <c r="J7496" t="s">
        <v>26</v>
      </c>
      <c r="K7496" s="57"/>
      <c r="S7496" s="57"/>
      <c r="X7496" s="57"/>
    </row>
    <row r="7497" spans="1:24" hidden="1" x14ac:dyDescent="0.35">
      <c r="A7497">
        <v>7493</v>
      </c>
      <c r="B7497">
        <v>7494</v>
      </c>
      <c r="C7497">
        <v>146.106216273</v>
      </c>
      <c r="D7497">
        <v>-17.613988588800002</v>
      </c>
      <c r="E7497" s="92" t="str">
        <f t="shared" si="28"/>
        <v/>
      </c>
      <c r="G7497" s="92"/>
      <c r="I7497">
        <v>7</v>
      </c>
      <c r="J7497" t="s">
        <v>26</v>
      </c>
      <c r="K7497" s="57"/>
      <c r="S7497" s="57"/>
      <c r="X7497" s="57"/>
    </row>
    <row r="7498" spans="1:24" hidden="1" x14ac:dyDescent="0.35">
      <c r="A7498">
        <v>7494</v>
      </c>
      <c r="B7498">
        <v>7495</v>
      </c>
      <c r="C7498">
        <v>146.106148566999</v>
      </c>
      <c r="D7498">
        <v>-17.614044860500002</v>
      </c>
      <c r="E7498" s="92">
        <f t="shared" si="28"/>
        <v>50</v>
      </c>
      <c r="G7498" s="92"/>
      <c r="I7498">
        <v>7</v>
      </c>
      <c r="J7498" t="s">
        <v>26</v>
      </c>
      <c r="K7498" s="57"/>
      <c r="S7498" s="57"/>
      <c r="X7498" s="57"/>
    </row>
    <row r="7499" spans="1:24" hidden="1" x14ac:dyDescent="0.35">
      <c r="A7499">
        <v>7495</v>
      </c>
      <c r="B7499">
        <v>7496</v>
      </c>
      <c r="C7499">
        <v>146.106080861999</v>
      </c>
      <c r="D7499">
        <v>-17.6141011321</v>
      </c>
      <c r="E7499" s="92" t="str">
        <f t="shared" si="28"/>
        <v/>
      </c>
      <c r="G7499" s="92"/>
      <c r="I7499">
        <v>7</v>
      </c>
      <c r="J7499" t="s">
        <v>26</v>
      </c>
      <c r="K7499" s="57"/>
      <c r="S7499" s="57"/>
      <c r="X7499" s="57"/>
    </row>
    <row r="7500" spans="1:24" hidden="1" x14ac:dyDescent="0.35">
      <c r="A7500">
        <v>7496</v>
      </c>
      <c r="B7500">
        <v>7497</v>
      </c>
      <c r="C7500">
        <v>146.10599926</v>
      </c>
      <c r="D7500">
        <v>-17.614134535000002</v>
      </c>
      <c r="E7500" s="92" t="str">
        <f t="shared" si="28"/>
        <v/>
      </c>
      <c r="G7500" s="92"/>
      <c r="I7500">
        <v>7</v>
      </c>
      <c r="J7500" t="s">
        <v>26</v>
      </c>
      <c r="K7500" s="57"/>
      <c r="S7500" s="57"/>
      <c r="X7500" s="57"/>
    </row>
    <row r="7501" spans="1:24" hidden="1" x14ac:dyDescent="0.35">
      <c r="A7501">
        <v>7497</v>
      </c>
      <c r="B7501">
        <v>7498</v>
      </c>
      <c r="C7501">
        <v>146.10591435699899</v>
      </c>
      <c r="D7501">
        <v>-17.6141625058</v>
      </c>
      <c r="E7501" s="92" t="str">
        <f t="shared" si="28"/>
        <v/>
      </c>
      <c r="G7501" s="92"/>
      <c r="I7501">
        <v>7</v>
      </c>
      <c r="J7501" t="s">
        <v>26</v>
      </c>
      <c r="K7501" s="57"/>
      <c r="S7501" s="57"/>
      <c r="X7501" s="57"/>
    </row>
    <row r="7502" spans="1:24" hidden="1" x14ac:dyDescent="0.35">
      <c r="A7502">
        <v>7498</v>
      </c>
      <c r="B7502">
        <v>7499</v>
      </c>
      <c r="C7502">
        <v>146.105829454999</v>
      </c>
      <c r="D7502">
        <v>-17.614190476600001</v>
      </c>
      <c r="E7502" s="92" t="str">
        <f t="shared" si="28"/>
        <v/>
      </c>
      <c r="G7502" s="92"/>
      <c r="I7502">
        <v>7</v>
      </c>
      <c r="J7502" t="s">
        <v>26</v>
      </c>
      <c r="K7502" s="57"/>
      <c r="S7502" s="57"/>
      <c r="X7502" s="57"/>
    </row>
    <row r="7503" spans="1:24" hidden="1" x14ac:dyDescent="0.35">
      <c r="A7503">
        <v>7499</v>
      </c>
      <c r="B7503">
        <v>7500</v>
      </c>
      <c r="C7503">
        <v>146.105743270999</v>
      </c>
      <c r="D7503">
        <v>-17.6142046235999</v>
      </c>
      <c r="E7503" s="92">
        <f t="shared" si="28"/>
        <v>50</v>
      </c>
      <c r="G7503" s="92"/>
      <c r="I7503">
        <v>7</v>
      </c>
      <c r="J7503" t="s">
        <v>26</v>
      </c>
      <c r="K7503" s="57"/>
      <c r="S7503" s="57"/>
      <c r="X7503" s="57"/>
    </row>
    <row r="7504" spans="1:24" hidden="1" x14ac:dyDescent="0.35">
      <c r="A7504">
        <v>7500</v>
      </c>
      <c r="B7504">
        <v>7501</v>
      </c>
      <c r="C7504">
        <v>146.10565453999899</v>
      </c>
      <c r="D7504">
        <v>-17.614191263799899</v>
      </c>
      <c r="E7504" s="92" t="str">
        <f t="shared" ref="E7504:E7567" si="29">IF(MOD(B7504,5)=0, 50, "")</f>
        <v/>
      </c>
      <c r="G7504" s="92"/>
      <c r="I7504">
        <v>7</v>
      </c>
      <c r="J7504" t="s">
        <v>26</v>
      </c>
      <c r="K7504" s="57"/>
      <c r="S7504" s="57"/>
      <c r="X7504" s="57"/>
    </row>
    <row r="7505" spans="1:24" hidden="1" x14ac:dyDescent="0.35">
      <c r="A7505">
        <v>7501</v>
      </c>
      <c r="B7505">
        <v>7502</v>
      </c>
      <c r="C7505">
        <v>146.10556580900001</v>
      </c>
      <c r="D7505">
        <v>-17.614177904000002</v>
      </c>
      <c r="E7505" s="92" t="str">
        <f t="shared" si="29"/>
        <v/>
      </c>
      <c r="G7505" s="92"/>
      <c r="I7505">
        <v>7</v>
      </c>
      <c r="J7505" t="s">
        <v>26</v>
      </c>
      <c r="K7505" s="57"/>
      <c r="S7505" s="57"/>
      <c r="X7505" s="57"/>
    </row>
    <row r="7506" spans="1:24" hidden="1" x14ac:dyDescent="0.35">
      <c r="A7506">
        <v>7502</v>
      </c>
      <c r="B7506">
        <v>7503</v>
      </c>
      <c r="C7506">
        <v>146.10547707800001</v>
      </c>
      <c r="D7506">
        <v>-17.6141645440999</v>
      </c>
      <c r="E7506" s="92" t="str">
        <f t="shared" si="29"/>
        <v/>
      </c>
      <c r="G7506" s="92"/>
      <c r="I7506">
        <v>7</v>
      </c>
      <c r="J7506" t="s">
        <v>26</v>
      </c>
      <c r="K7506" s="57"/>
      <c r="S7506" s="57"/>
      <c r="X7506" s="57"/>
    </row>
    <row r="7507" spans="1:24" hidden="1" x14ac:dyDescent="0.35">
      <c r="A7507">
        <v>7503</v>
      </c>
      <c r="B7507">
        <v>7504</v>
      </c>
      <c r="C7507">
        <v>146.105389258</v>
      </c>
      <c r="D7507">
        <v>-17.614146681800001</v>
      </c>
      <c r="E7507" s="92" t="str">
        <f t="shared" si="29"/>
        <v/>
      </c>
      <c r="G7507" s="92"/>
      <c r="I7507">
        <v>7</v>
      </c>
      <c r="J7507" t="s">
        <v>26</v>
      </c>
      <c r="K7507" s="57"/>
      <c r="S7507" s="57"/>
      <c r="X7507" s="57"/>
    </row>
    <row r="7508" spans="1:24" hidden="1" x14ac:dyDescent="0.35">
      <c r="A7508">
        <v>7504</v>
      </c>
      <c r="B7508">
        <v>7505</v>
      </c>
      <c r="C7508">
        <v>146.105301685999</v>
      </c>
      <c r="D7508">
        <v>-17.614127602899899</v>
      </c>
      <c r="E7508" s="92">
        <f t="shared" si="29"/>
        <v>50</v>
      </c>
      <c r="G7508" s="92"/>
      <c r="I7508">
        <v>7</v>
      </c>
      <c r="J7508" t="s">
        <v>26</v>
      </c>
      <c r="K7508" s="57"/>
      <c r="S7508" s="57"/>
      <c r="X7508" s="57"/>
    </row>
    <row r="7509" spans="1:24" hidden="1" x14ac:dyDescent="0.35">
      <c r="A7509">
        <v>7505</v>
      </c>
      <c r="B7509">
        <v>7506</v>
      </c>
      <c r="C7509">
        <v>146.10521411299899</v>
      </c>
      <c r="D7509">
        <v>-17.614108523999899</v>
      </c>
      <c r="E7509" s="92" t="str">
        <f t="shared" si="29"/>
        <v/>
      </c>
      <c r="G7509" s="92"/>
      <c r="I7509">
        <v>7</v>
      </c>
      <c r="J7509" t="s">
        <v>26</v>
      </c>
      <c r="K7509" s="57"/>
      <c r="S7509" s="57"/>
      <c r="X7509" s="57"/>
    </row>
    <row r="7510" spans="1:24" hidden="1" x14ac:dyDescent="0.35">
      <c r="A7510">
        <v>7506</v>
      </c>
      <c r="B7510">
        <v>7507</v>
      </c>
      <c r="C7510">
        <v>146.105139194999</v>
      </c>
      <c r="D7510">
        <v>-17.614061526499899</v>
      </c>
      <c r="E7510" s="92" t="str">
        <f t="shared" si="29"/>
        <v/>
      </c>
      <c r="G7510" s="92"/>
      <c r="I7510">
        <v>7</v>
      </c>
      <c r="J7510" t="s">
        <v>26</v>
      </c>
      <c r="K7510" s="57"/>
      <c r="S7510" s="57"/>
      <c r="X7510" s="57"/>
    </row>
    <row r="7511" spans="1:24" hidden="1" x14ac:dyDescent="0.35">
      <c r="A7511">
        <v>7507</v>
      </c>
      <c r="B7511">
        <v>7508</v>
      </c>
      <c r="C7511">
        <v>146.105064596999</v>
      </c>
      <c r="D7511">
        <v>-17.614013825299899</v>
      </c>
      <c r="E7511" s="92" t="str">
        <f t="shared" si="29"/>
        <v/>
      </c>
      <c r="G7511" s="92"/>
      <c r="I7511">
        <v>7</v>
      </c>
      <c r="J7511" t="s">
        <v>26</v>
      </c>
      <c r="K7511" s="57"/>
      <c r="S7511" s="57"/>
      <c r="X7511" s="57"/>
    </row>
    <row r="7512" spans="1:24" hidden="1" x14ac:dyDescent="0.35">
      <c r="A7512">
        <v>7508</v>
      </c>
      <c r="B7512">
        <v>7509</v>
      </c>
      <c r="C7512">
        <v>146.10498999800001</v>
      </c>
      <c r="D7512">
        <v>-17.613966124200001</v>
      </c>
      <c r="E7512" s="92" t="str">
        <f t="shared" si="29"/>
        <v/>
      </c>
      <c r="G7512" s="92"/>
      <c r="I7512">
        <v>7</v>
      </c>
      <c r="J7512" t="s">
        <v>26</v>
      </c>
      <c r="K7512" s="57"/>
      <c r="S7512" s="57"/>
      <c r="X7512" s="57"/>
    </row>
    <row r="7513" spans="1:24" hidden="1" x14ac:dyDescent="0.35">
      <c r="A7513">
        <v>7509</v>
      </c>
      <c r="B7513">
        <v>7510</v>
      </c>
      <c r="C7513">
        <v>146.104915398999</v>
      </c>
      <c r="D7513">
        <v>-17.613918423000001</v>
      </c>
      <c r="E7513" s="92">
        <f t="shared" si="29"/>
        <v>50</v>
      </c>
      <c r="G7513" s="92"/>
      <c r="I7513">
        <v>7</v>
      </c>
      <c r="J7513" t="s">
        <v>26</v>
      </c>
      <c r="K7513" s="57"/>
      <c r="S7513" s="57"/>
      <c r="X7513" s="57"/>
    </row>
    <row r="7514" spans="1:24" hidden="1" x14ac:dyDescent="0.35">
      <c r="A7514">
        <v>7510</v>
      </c>
      <c r="B7514">
        <v>7511</v>
      </c>
      <c r="C7514">
        <v>146.104847304</v>
      </c>
      <c r="D7514">
        <v>-17.613863758000001</v>
      </c>
      <c r="E7514" s="92" t="str">
        <f t="shared" si="29"/>
        <v/>
      </c>
      <c r="G7514" s="92"/>
      <c r="I7514">
        <v>7</v>
      </c>
      <c r="J7514" t="s">
        <v>26</v>
      </c>
      <c r="K7514" s="57"/>
      <c r="S7514" s="57"/>
      <c r="X7514" s="57"/>
    </row>
    <row r="7515" spans="1:24" hidden="1" x14ac:dyDescent="0.35">
      <c r="A7515">
        <v>7511</v>
      </c>
      <c r="B7515">
        <v>7512</v>
      </c>
      <c r="C7515">
        <v>146.10478894900001</v>
      </c>
      <c r="D7515">
        <v>-17.613798663600001</v>
      </c>
      <c r="E7515" s="92" t="str">
        <f t="shared" si="29"/>
        <v/>
      </c>
      <c r="G7515" s="92"/>
      <c r="I7515">
        <v>7</v>
      </c>
      <c r="J7515" t="s">
        <v>26</v>
      </c>
      <c r="K7515" s="57"/>
      <c r="S7515" s="57"/>
      <c r="X7515" s="57"/>
    </row>
    <row r="7516" spans="1:24" hidden="1" x14ac:dyDescent="0.35">
      <c r="A7516">
        <v>7512</v>
      </c>
      <c r="B7516">
        <v>7513</v>
      </c>
      <c r="C7516">
        <v>146.10473059399899</v>
      </c>
      <c r="D7516">
        <v>-17.6137335690999</v>
      </c>
      <c r="E7516" s="92" t="str">
        <f t="shared" si="29"/>
        <v/>
      </c>
      <c r="G7516" s="92"/>
      <c r="I7516">
        <v>7</v>
      </c>
      <c r="J7516" t="s">
        <v>26</v>
      </c>
      <c r="K7516" s="57"/>
      <c r="S7516" s="57"/>
      <c r="X7516" s="57"/>
    </row>
    <row r="7517" spans="1:24" hidden="1" x14ac:dyDescent="0.35">
      <c r="A7517">
        <v>7513</v>
      </c>
      <c r="B7517">
        <v>7514</v>
      </c>
      <c r="C7517">
        <v>146.104672238999</v>
      </c>
      <c r="D7517">
        <v>-17.613668474699899</v>
      </c>
      <c r="E7517" s="92" t="str">
        <f t="shared" si="29"/>
        <v/>
      </c>
      <c r="G7517" s="92"/>
      <c r="I7517">
        <v>7</v>
      </c>
      <c r="J7517" t="s">
        <v>26</v>
      </c>
      <c r="K7517" s="57"/>
      <c r="S7517" s="57"/>
      <c r="X7517" s="57"/>
    </row>
    <row r="7518" spans="1:24" hidden="1" x14ac:dyDescent="0.35">
      <c r="A7518">
        <v>7514</v>
      </c>
      <c r="B7518">
        <v>7515</v>
      </c>
      <c r="C7518">
        <v>146.104613884</v>
      </c>
      <c r="D7518">
        <v>-17.613603380200001</v>
      </c>
      <c r="E7518" s="92">
        <f t="shared" si="29"/>
        <v>50</v>
      </c>
      <c r="G7518" s="92"/>
      <c r="I7518">
        <v>7</v>
      </c>
      <c r="J7518" t="s">
        <v>26</v>
      </c>
      <c r="K7518" s="57"/>
      <c r="S7518" s="57"/>
      <c r="X7518" s="57"/>
    </row>
    <row r="7519" spans="1:24" hidden="1" x14ac:dyDescent="0.35">
      <c r="A7519">
        <v>7515</v>
      </c>
      <c r="B7519">
        <v>7516</v>
      </c>
      <c r="C7519">
        <v>146.104555618999</v>
      </c>
      <c r="D7519">
        <v>-17.6135382155</v>
      </c>
      <c r="E7519" s="92" t="str">
        <f t="shared" si="29"/>
        <v/>
      </c>
      <c r="G7519" s="92"/>
      <c r="I7519">
        <v>7</v>
      </c>
      <c r="J7519" t="s">
        <v>26</v>
      </c>
      <c r="K7519" s="57"/>
      <c r="S7519" s="57"/>
      <c r="X7519" s="57"/>
    </row>
    <row r="7520" spans="1:24" hidden="1" x14ac:dyDescent="0.35">
      <c r="A7520">
        <v>7516</v>
      </c>
      <c r="B7520">
        <v>7517</v>
      </c>
      <c r="C7520">
        <v>146.104500043</v>
      </c>
      <c r="D7520">
        <v>-17.613470947500002</v>
      </c>
      <c r="E7520" s="92" t="str">
        <f t="shared" si="29"/>
        <v/>
      </c>
      <c r="G7520" s="92"/>
      <c r="I7520">
        <v>7</v>
      </c>
      <c r="J7520" t="s">
        <v>26</v>
      </c>
      <c r="K7520" s="57"/>
      <c r="S7520" s="57"/>
      <c r="X7520" s="57"/>
    </row>
    <row r="7521" spans="1:24" hidden="1" x14ac:dyDescent="0.35">
      <c r="A7521">
        <v>7517</v>
      </c>
      <c r="B7521">
        <v>7518</v>
      </c>
      <c r="C7521">
        <v>146.104444467999</v>
      </c>
      <c r="D7521">
        <v>-17.6134036794999</v>
      </c>
      <c r="E7521" s="92" t="str">
        <f t="shared" si="29"/>
        <v/>
      </c>
      <c r="G7521" s="92"/>
      <c r="I7521">
        <v>7</v>
      </c>
      <c r="J7521" t="s">
        <v>26</v>
      </c>
      <c r="K7521" s="57"/>
      <c r="S7521" s="57"/>
      <c r="X7521" s="57"/>
    </row>
    <row r="7522" spans="1:24" hidden="1" x14ac:dyDescent="0.35">
      <c r="A7522">
        <v>7518</v>
      </c>
      <c r="B7522">
        <v>7519</v>
      </c>
      <c r="C7522">
        <v>146.104388892</v>
      </c>
      <c r="D7522">
        <v>-17.613336411399899</v>
      </c>
      <c r="E7522" s="92" t="str">
        <f t="shared" si="29"/>
        <v/>
      </c>
      <c r="G7522" s="92"/>
      <c r="I7522">
        <v>7</v>
      </c>
      <c r="J7522" t="s">
        <v>26</v>
      </c>
      <c r="K7522" s="57"/>
      <c r="S7522" s="57"/>
      <c r="X7522" s="57"/>
    </row>
    <row r="7523" spans="1:24" hidden="1" x14ac:dyDescent="0.35">
      <c r="A7523">
        <v>7519</v>
      </c>
      <c r="B7523">
        <v>7520</v>
      </c>
      <c r="C7523">
        <v>146.104333316999</v>
      </c>
      <c r="D7523">
        <v>-17.613269143299899</v>
      </c>
      <c r="E7523" s="92">
        <f t="shared" si="29"/>
        <v>50</v>
      </c>
      <c r="G7523" s="92"/>
      <c r="I7523">
        <v>7</v>
      </c>
      <c r="J7523" t="s">
        <v>26</v>
      </c>
      <c r="K7523" s="57"/>
      <c r="S7523" s="57"/>
      <c r="X7523" s="57"/>
    </row>
    <row r="7524" spans="1:24" hidden="1" x14ac:dyDescent="0.35">
      <c r="A7524">
        <v>7520</v>
      </c>
      <c r="B7524">
        <v>7521</v>
      </c>
      <c r="C7524">
        <v>146.1042731</v>
      </c>
      <c r="D7524">
        <v>-17.613205773400001</v>
      </c>
      <c r="E7524" s="92" t="str">
        <f t="shared" si="29"/>
        <v/>
      </c>
      <c r="G7524" s="92"/>
      <c r="I7524">
        <v>7</v>
      </c>
      <c r="J7524" t="s">
        <v>26</v>
      </c>
      <c r="K7524" s="57"/>
      <c r="S7524" s="57"/>
      <c r="X7524" s="57"/>
    </row>
    <row r="7525" spans="1:24" hidden="1" x14ac:dyDescent="0.35">
      <c r="A7525">
        <v>7521</v>
      </c>
      <c r="B7525">
        <v>7522</v>
      </c>
      <c r="C7525">
        <v>146.10421007599899</v>
      </c>
      <c r="D7525">
        <v>-17.6131447614999</v>
      </c>
      <c r="E7525" s="92" t="str">
        <f t="shared" si="29"/>
        <v/>
      </c>
      <c r="G7525" s="92"/>
      <c r="I7525">
        <v>7</v>
      </c>
      <c r="J7525" t="s">
        <v>26</v>
      </c>
      <c r="K7525" s="57"/>
      <c r="S7525" s="57"/>
      <c r="X7525" s="57"/>
    </row>
    <row r="7526" spans="1:24" hidden="1" x14ac:dyDescent="0.35">
      <c r="A7526">
        <v>7522</v>
      </c>
      <c r="B7526">
        <v>7523</v>
      </c>
      <c r="C7526">
        <v>146.10414705100001</v>
      </c>
      <c r="D7526">
        <v>-17.613083749600001</v>
      </c>
      <c r="E7526" s="92" t="str">
        <f t="shared" si="29"/>
        <v/>
      </c>
      <c r="G7526" s="92"/>
      <c r="I7526">
        <v>7</v>
      </c>
      <c r="J7526" t="s">
        <v>26</v>
      </c>
      <c r="K7526" s="57"/>
      <c r="S7526" s="57"/>
      <c r="X7526" s="57"/>
    </row>
    <row r="7527" spans="1:24" hidden="1" x14ac:dyDescent="0.35">
      <c r="A7527">
        <v>7523</v>
      </c>
      <c r="B7527">
        <v>7524</v>
      </c>
      <c r="C7527">
        <v>146.104084026999</v>
      </c>
      <c r="D7527">
        <v>-17.613022737600001</v>
      </c>
      <c r="E7527" s="92" t="str">
        <f t="shared" si="29"/>
        <v/>
      </c>
      <c r="G7527" s="92"/>
      <c r="I7527">
        <v>7</v>
      </c>
      <c r="J7527" t="s">
        <v>26</v>
      </c>
      <c r="K7527" s="57"/>
      <c r="S7527" s="57"/>
      <c r="X7527" s="57"/>
    </row>
    <row r="7528" spans="1:24" hidden="1" x14ac:dyDescent="0.35">
      <c r="A7528">
        <v>7524</v>
      </c>
      <c r="B7528">
        <v>7525</v>
      </c>
      <c r="C7528">
        <v>146.10401335700001</v>
      </c>
      <c r="D7528">
        <v>-17.6129699446</v>
      </c>
      <c r="E7528" s="92">
        <f t="shared" si="29"/>
        <v>50</v>
      </c>
      <c r="G7528" s="92"/>
      <c r="I7528">
        <v>7</v>
      </c>
      <c r="J7528" t="s">
        <v>26</v>
      </c>
      <c r="K7528" s="57"/>
      <c r="S7528" s="57"/>
      <c r="X7528" s="57"/>
    </row>
    <row r="7529" spans="1:24" hidden="1" x14ac:dyDescent="0.35">
      <c r="A7529">
        <v>7525</v>
      </c>
      <c r="B7529">
        <v>7526</v>
      </c>
      <c r="C7529">
        <v>146.10394225600001</v>
      </c>
      <c r="D7529">
        <v>-17.612917614699899</v>
      </c>
      <c r="E7529" s="92" t="str">
        <f t="shared" si="29"/>
        <v/>
      </c>
      <c r="G7529" s="92"/>
      <c r="I7529">
        <v>7</v>
      </c>
      <c r="J7529" t="s">
        <v>26</v>
      </c>
      <c r="K7529" s="57"/>
      <c r="S7529" s="57"/>
      <c r="X7529" s="57"/>
    </row>
    <row r="7530" spans="1:24" hidden="1" x14ac:dyDescent="0.35">
      <c r="A7530">
        <v>7526</v>
      </c>
      <c r="B7530">
        <v>7527</v>
      </c>
      <c r="C7530">
        <v>146.10386491899899</v>
      </c>
      <c r="D7530">
        <v>-17.6128753753</v>
      </c>
      <c r="E7530" s="92" t="str">
        <f t="shared" si="29"/>
        <v/>
      </c>
      <c r="G7530" s="92"/>
      <c r="I7530">
        <v>7</v>
      </c>
      <c r="J7530" t="s">
        <v>26</v>
      </c>
      <c r="K7530" s="57"/>
      <c r="S7530" s="57"/>
      <c r="X7530" s="57"/>
    </row>
    <row r="7531" spans="1:24" hidden="1" x14ac:dyDescent="0.35">
      <c r="A7531">
        <v>7527</v>
      </c>
      <c r="B7531">
        <v>7528</v>
      </c>
      <c r="C7531">
        <v>146.103782432</v>
      </c>
      <c r="D7531">
        <v>-17.612841467100001</v>
      </c>
      <c r="E7531" s="92" t="str">
        <f t="shared" si="29"/>
        <v/>
      </c>
      <c r="G7531" s="92"/>
      <c r="I7531">
        <v>7</v>
      </c>
      <c r="J7531" t="s">
        <v>26</v>
      </c>
      <c r="K7531" s="57"/>
      <c r="S7531" s="57"/>
      <c r="X7531" s="57"/>
    </row>
    <row r="7532" spans="1:24" hidden="1" x14ac:dyDescent="0.35">
      <c r="A7532">
        <v>7528</v>
      </c>
      <c r="B7532">
        <v>7529</v>
      </c>
      <c r="C7532">
        <v>146.103697603</v>
      </c>
      <c r="D7532">
        <v>-17.612814991499899</v>
      </c>
      <c r="E7532" s="92" t="str">
        <f t="shared" si="29"/>
        <v/>
      </c>
      <c r="G7532" s="92"/>
      <c r="I7532">
        <v>7</v>
      </c>
      <c r="J7532" t="s">
        <v>26</v>
      </c>
      <c r="K7532" s="57"/>
      <c r="S7532" s="57"/>
      <c r="X7532" s="57"/>
    </row>
    <row r="7533" spans="1:24" hidden="1" x14ac:dyDescent="0.35">
      <c r="A7533">
        <v>7529</v>
      </c>
      <c r="B7533">
        <v>7530</v>
      </c>
      <c r="C7533">
        <v>146.103609167</v>
      </c>
      <c r="D7533">
        <v>-17.612799955900002</v>
      </c>
      <c r="E7533" s="92">
        <f t="shared" si="29"/>
        <v>50</v>
      </c>
      <c r="G7533" s="92"/>
      <c r="I7533">
        <v>7</v>
      </c>
      <c r="J7533" t="s">
        <v>26</v>
      </c>
      <c r="K7533" s="57"/>
      <c r="S7533" s="57"/>
      <c r="X7533" s="57"/>
    </row>
    <row r="7534" spans="1:24" hidden="1" x14ac:dyDescent="0.35">
      <c r="A7534">
        <v>7530</v>
      </c>
      <c r="B7534">
        <v>7531</v>
      </c>
      <c r="C7534">
        <v>146.103520833</v>
      </c>
      <c r="D7534">
        <v>-17.612789928600002</v>
      </c>
      <c r="E7534" s="92" t="str">
        <f t="shared" si="29"/>
        <v/>
      </c>
      <c r="G7534" s="92"/>
      <c r="I7534">
        <v>7</v>
      </c>
      <c r="J7534" t="s">
        <v>26</v>
      </c>
      <c r="K7534" s="57"/>
      <c r="S7534" s="57"/>
      <c r="X7534" s="57"/>
    </row>
    <row r="7535" spans="1:24" hidden="1" x14ac:dyDescent="0.35">
      <c r="A7535">
        <v>7531</v>
      </c>
      <c r="B7535">
        <v>7532</v>
      </c>
      <c r="C7535">
        <v>146.10343307400001</v>
      </c>
      <c r="D7535">
        <v>-17.6128082124999</v>
      </c>
      <c r="E7535" s="92" t="str">
        <f t="shared" si="29"/>
        <v/>
      </c>
      <c r="G7535" s="92"/>
      <c r="I7535">
        <v>7</v>
      </c>
      <c r="J7535" t="s">
        <v>26</v>
      </c>
      <c r="K7535" s="57"/>
      <c r="S7535" s="57"/>
      <c r="X7535" s="57"/>
    </row>
    <row r="7536" spans="1:24" hidden="1" x14ac:dyDescent="0.35">
      <c r="A7536">
        <v>7532</v>
      </c>
      <c r="B7536">
        <v>7533</v>
      </c>
      <c r="C7536">
        <v>146.10334569400001</v>
      </c>
      <c r="D7536">
        <v>-17.612827456400002</v>
      </c>
      <c r="E7536" s="92" t="str">
        <f t="shared" si="29"/>
        <v/>
      </c>
      <c r="G7536" s="92"/>
      <c r="I7536">
        <v>7</v>
      </c>
      <c r="J7536" t="s">
        <v>26</v>
      </c>
      <c r="K7536" s="57"/>
      <c r="S7536" s="57"/>
      <c r="X7536" s="57"/>
    </row>
    <row r="7537" spans="1:24" hidden="1" x14ac:dyDescent="0.35">
      <c r="A7537">
        <v>7533</v>
      </c>
      <c r="B7537">
        <v>7534</v>
      </c>
      <c r="C7537">
        <v>146.10326707300001</v>
      </c>
      <c r="D7537">
        <v>-17.612868876099899</v>
      </c>
      <c r="E7537" s="92" t="str">
        <f t="shared" si="29"/>
        <v/>
      </c>
      <c r="G7537" s="92"/>
      <c r="I7537">
        <v>7</v>
      </c>
      <c r="J7537" t="s">
        <v>26</v>
      </c>
      <c r="K7537" s="57"/>
      <c r="S7537" s="57"/>
      <c r="X7537" s="57"/>
    </row>
    <row r="7538" spans="1:24" hidden="1" x14ac:dyDescent="0.35">
      <c r="A7538">
        <v>7534</v>
      </c>
      <c r="B7538">
        <v>7535</v>
      </c>
      <c r="C7538">
        <v>146.10318845200001</v>
      </c>
      <c r="D7538">
        <v>-17.612910295500001</v>
      </c>
      <c r="E7538" s="92">
        <f t="shared" si="29"/>
        <v>50</v>
      </c>
      <c r="G7538" s="92"/>
      <c r="I7538">
        <v>7</v>
      </c>
      <c r="J7538" t="s">
        <v>26</v>
      </c>
      <c r="K7538" s="57"/>
      <c r="S7538" s="57"/>
      <c r="X7538" s="57"/>
    </row>
    <row r="7539" spans="1:24" hidden="1" x14ac:dyDescent="0.35">
      <c r="A7539">
        <v>7535</v>
      </c>
      <c r="B7539">
        <v>7536</v>
      </c>
      <c r="C7539">
        <v>146.10313027500001</v>
      </c>
      <c r="D7539">
        <v>-17.612972580000001</v>
      </c>
      <c r="E7539" s="92" t="str">
        <f t="shared" si="29"/>
        <v/>
      </c>
      <c r="G7539" s="92"/>
      <c r="I7539">
        <v>7</v>
      </c>
      <c r="J7539" t="s">
        <v>26</v>
      </c>
      <c r="K7539" s="57"/>
      <c r="S7539" s="57"/>
      <c r="X7539" s="57"/>
    </row>
    <row r="7540" spans="1:24" hidden="1" x14ac:dyDescent="0.35">
      <c r="A7540">
        <v>7536</v>
      </c>
      <c r="B7540">
        <v>7537</v>
      </c>
      <c r="C7540">
        <v>146.103081551</v>
      </c>
      <c r="D7540">
        <v>-17.613044511599899</v>
      </c>
      <c r="E7540" s="92" t="str">
        <f t="shared" si="29"/>
        <v/>
      </c>
      <c r="G7540" s="92"/>
      <c r="I7540">
        <v>7</v>
      </c>
      <c r="J7540" t="s">
        <v>26</v>
      </c>
      <c r="K7540" s="57"/>
      <c r="S7540" s="57"/>
      <c r="X7540" s="57"/>
    </row>
    <row r="7541" spans="1:24" hidden="1" x14ac:dyDescent="0.35">
      <c r="A7541">
        <v>7537</v>
      </c>
      <c r="B7541">
        <v>7538</v>
      </c>
      <c r="C7541">
        <v>146.103037943999</v>
      </c>
      <c r="D7541">
        <v>-17.6131182128</v>
      </c>
      <c r="E7541" s="92" t="str">
        <f t="shared" si="29"/>
        <v/>
      </c>
      <c r="G7541" s="92"/>
      <c r="I7541">
        <v>7</v>
      </c>
      <c r="J7541" t="s">
        <v>26</v>
      </c>
      <c r="K7541" s="57"/>
      <c r="S7541" s="57"/>
      <c r="X7541" s="57"/>
    </row>
    <row r="7542" spans="1:24" hidden="1" x14ac:dyDescent="0.35">
      <c r="A7542">
        <v>7538</v>
      </c>
      <c r="B7542">
        <v>7539</v>
      </c>
      <c r="C7542">
        <v>146.10302693700001</v>
      </c>
      <c r="D7542">
        <v>-17.613203188</v>
      </c>
      <c r="E7542" s="92" t="str">
        <f t="shared" si="29"/>
        <v/>
      </c>
      <c r="G7542" s="92"/>
      <c r="I7542">
        <v>7</v>
      </c>
      <c r="J7542" t="s">
        <v>26</v>
      </c>
      <c r="K7542" s="57"/>
      <c r="S7542" s="57"/>
      <c r="X7542" s="57"/>
    </row>
    <row r="7543" spans="1:24" hidden="1" x14ac:dyDescent="0.35">
      <c r="A7543">
        <v>7539</v>
      </c>
      <c r="B7543">
        <v>7540</v>
      </c>
      <c r="C7543">
        <v>146.10301593099899</v>
      </c>
      <c r="D7543">
        <v>-17.6132881632</v>
      </c>
      <c r="E7543" s="92">
        <f t="shared" si="29"/>
        <v>50</v>
      </c>
      <c r="G7543" s="92"/>
      <c r="I7543">
        <v>7</v>
      </c>
      <c r="J7543" t="s">
        <v>26</v>
      </c>
      <c r="K7543" s="57"/>
      <c r="S7543" s="57"/>
      <c r="X7543" s="57"/>
    </row>
    <row r="7544" spans="1:24" hidden="1" x14ac:dyDescent="0.35">
      <c r="A7544">
        <v>7540</v>
      </c>
      <c r="B7544">
        <v>7541</v>
      </c>
      <c r="C7544">
        <v>146.103004924</v>
      </c>
      <c r="D7544">
        <v>-17.613373138299899</v>
      </c>
      <c r="E7544" s="92" t="str">
        <f t="shared" si="29"/>
        <v/>
      </c>
      <c r="G7544" s="92"/>
      <c r="I7544">
        <v>7</v>
      </c>
      <c r="J7544" t="s">
        <v>26</v>
      </c>
      <c r="K7544" s="57"/>
      <c r="S7544" s="57"/>
      <c r="X7544" s="57"/>
    </row>
    <row r="7545" spans="1:24" hidden="1" x14ac:dyDescent="0.35">
      <c r="A7545">
        <v>7541</v>
      </c>
      <c r="B7545">
        <v>7542</v>
      </c>
      <c r="C7545">
        <v>146.102993916999</v>
      </c>
      <c r="D7545">
        <v>-17.6134581134</v>
      </c>
      <c r="E7545" s="92" t="str">
        <f t="shared" si="29"/>
        <v/>
      </c>
      <c r="G7545" s="92"/>
      <c r="I7545">
        <v>7</v>
      </c>
      <c r="J7545" t="s">
        <v>26</v>
      </c>
      <c r="K7545" s="57"/>
      <c r="S7545" s="57"/>
      <c r="X7545" s="57"/>
    </row>
    <row r="7546" spans="1:24" hidden="1" x14ac:dyDescent="0.35">
      <c r="A7546">
        <v>7542</v>
      </c>
      <c r="B7546">
        <v>7543</v>
      </c>
      <c r="C7546">
        <v>146.102982910999</v>
      </c>
      <c r="D7546">
        <v>-17.613543088499899</v>
      </c>
      <c r="E7546" s="92" t="str">
        <f t="shared" si="29"/>
        <v/>
      </c>
      <c r="G7546" s="92"/>
      <c r="I7546">
        <v>7</v>
      </c>
      <c r="J7546" t="s">
        <v>26</v>
      </c>
      <c r="K7546" s="57"/>
      <c r="S7546" s="57"/>
      <c r="X7546" s="57"/>
    </row>
    <row r="7547" spans="1:24" hidden="1" x14ac:dyDescent="0.35">
      <c r="A7547">
        <v>7543</v>
      </c>
      <c r="B7547">
        <v>7544</v>
      </c>
      <c r="C7547">
        <v>146.102986313</v>
      </c>
      <c r="D7547">
        <v>-17.613628602799899</v>
      </c>
      <c r="E7547" s="92" t="str">
        <f t="shared" si="29"/>
        <v/>
      </c>
      <c r="G7547" s="92"/>
      <c r="I7547">
        <v>7</v>
      </c>
      <c r="J7547" t="s">
        <v>26</v>
      </c>
      <c r="K7547" s="57"/>
      <c r="S7547" s="57"/>
      <c r="X7547" s="57"/>
    </row>
    <row r="7548" spans="1:24" hidden="1" x14ac:dyDescent="0.35">
      <c r="A7548">
        <v>7544</v>
      </c>
      <c r="B7548">
        <v>7545</v>
      </c>
      <c r="C7548">
        <v>146.10299029500001</v>
      </c>
      <c r="D7548">
        <v>-17.613714138799899</v>
      </c>
      <c r="E7548" s="92">
        <f t="shared" si="29"/>
        <v>50</v>
      </c>
      <c r="G7548" s="92"/>
      <c r="I7548">
        <v>7</v>
      </c>
      <c r="J7548" t="s">
        <v>26</v>
      </c>
      <c r="K7548" s="57"/>
      <c r="S7548" s="57"/>
      <c r="X7548" s="57"/>
    </row>
    <row r="7549" spans="1:24" hidden="1" x14ac:dyDescent="0.35">
      <c r="A7549">
        <v>7545</v>
      </c>
      <c r="B7549">
        <v>7546</v>
      </c>
      <c r="C7549">
        <v>146.102994276</v>
      </c>
      <c r="D7549">
        <v>-17.613799674700001</v>
      </c>
      <c r="E7549" s="92" t="str">
        <f t="shared" si="29"/>
        <v/>
      </c>
      <c r="G7549" s="92"/>
      <c r="I7549">
        <v>7</v>
      </c>
      <c r="J7549" t="s">
        <v>26</v>
      </c>
      <c r="K7549" s="57"/>
      <c r="S7549" s="57"/>
      <c r="X7549" s="57"/>
    </row>
    <row r="7550" spans="1:24" hidden="1" x14ac:dyDescent="0.35">
      <c r="A7550">
        <v>7546</v>
      </c>
      <c r="B7550">
        <v>7547</v>
      </c>
      <c r="C7550">
        <v>146.102998256999</v>
      </c>
      <c r="D7550">
        <v>-17.6138852105999</v>
      </c>
      <c r="E7550" s="92" t="str">
        <f t="shared" si="29"/>
        <v/>
      </c>
      <c r="G7550" s="92"/>
      <c r="I7550">
        <v>7</v>
      </c>
      <c r="J7550" t="s">
        <v>26</v>
      </c>
      <c r="K7550" s="57"/>
      <c r="S7550" s="57"/>
      <c r="X7550" s="57"/>
    </row>
    <row r="7551" spans="1:24" hidden="1" x14ac:dyDescent="0.35">
      <c r="A7551">
        <v>7547</v>
      </c>
      <c r="B7551">
        <v>7548</v>
      </c>
      <c r="C7551">
        <v>146.10300223799899</v>
      </c>
      <c r="D7551">
        <v>-17.6139707464</v>
      </c>
      <c r="E7551" s="92" t="str">
        <f t="shared" si="29"/>
        <v/>
      </c>
      <c r="G7551" s="92"/>
      <c r="I7551">
        <v>7</v>
      </c>
      <c r="J7551" t="s">
        <v>26</v>
      </c>
      <c r="K7551" s="57"/>
      <c r="S7551" s="57"/>
      <c r="X7551" s="57"/>
    </row>
    <row r="7552" spans="1:24" hidden="1" x14ac:dyDescent="0.35">
      <c r="A7552">
        <v>7548</v>
      </c>
      <c r="B7552">
        <v>7549</v>
      </c>
      <c r="C7552">
        <v>146.103006219999</v>
      </c>
      <c r="D7552">
        <v>-17.6140562822</v>
      </c>
      <c r="E7552" s="92" t="str">
        <f t="shared" si="29"/>
        <v/>
      </c>
      <c r="G7552" s="92"/>
      <c r="I7552">
        <v>7</v>
      </c>
      <c r="J7552" t="s">
        <v>26</v>
      </c>
      <c r="K7552" s="57"/>
      <c r="S7552" s="57"/>
      <c r="X7552" s="57"/>
    </row>
    <row r="7553" spans="1:24" hidden="1" x14ac:dyDescent="0.35">
      <c r="A7553">
        <v>7549</v>
      </c>
      <c r="B7553">
        <v>7550</v>
      </c>
      <c r="C7553">
        <v>146.10301769500001</v>
      </c>
      <c r="D7553">
        <v>-17.614141095000001</v>
      </c>
      <c r="E7553" s="92">
        <f t="shared" si="29"/>
        <v>50</v>
      </c>
      <c r="G7553" s="92"/>
      <c r="I7553">
        <v>7</v>
      </c>
      <c r="J7553" t="s">
        <v>26</v>
      </c>
      <c r="K7553" s="57"/>
      <c r="S7553" s="57"/>
      <c r="X7553" s="57"/>
    </row>
    <row r="7554" spans="1:24" hidden="1" x14ac:dyDescent="0.35">
      <c r="A7554">
        <v>7550</v>
      </c>
      <c r="B7554">
        <v>7551</v>
      </c>
      <c r="C7554">
        <v>146.103031778</v>
      </c>
      <c r="D7554">
        <v>-17.6142256563</v>
      </c>
      <c r="E7554" s="92" t="str">
        <f t="shared" si="29"/>
        <v/>
      </c>
      <c r="G7554" s="92"/>
      <c r="I7554">
        <v>7</v>
      </c>
      <c r="J7554" t="s">
        <v>26</v>
      </c>
      <c r="K7554" s="57"/>
      <c r="S7554" s="57"/>
      <c r="X7554" s="57"/>
    </row>
    <row r="7555" spans="1:24" hidden="1" x14ac:dyDescent="0.35">
      <c r="A7555">
        <v>7551</v>
      </c>
      <c r="B7555">
        <v>7552</v>
      </c>
      <c r="C7555">
        <v>146.10304586000001</v>
      </c>
      <c r="D7555">
        <v>-17.614310217500002</v>
      </c>
      <c r="E7555" s="92" t="str">
        <f t="shared" si="29"/>
        <v/>
      </c>
      <c r="G7555" s="92"/>
      <c r="I7555">
        <v>7</v>
      </c>
      <c r="J7555" t="s">
        <v>26</v>
      </c>
      <c r="K7555" s="57"/>
      <c r="S7555" s="57"/>
      <c r="X7555" s="57"/>
    </row>
    <row r="7556" spans="1:24" hidden="1" x14ac:dyDescent="0.35">
      <c r="A7556">
        <v>7552</v>
      </c>
      <c r="B7556">
        <v>7553</v>
      </c>
      <c r="C7556">
        <v>146.10305994199899</v>
      </c>
      <c r="D7556">
        <v>-17.6143947786999</v>
      </c>
      <c r="E7556" s="92" t="str">
        <f t="shared" si="29"/>
        <v/>
      </c>
      <c r="G7556" s="92"/>
      <c r="I7556">
        <v>7</v>
      </c>
      <c r="J7556" t="s">
        <v>26</v>
      </c>
      <c r="K7556" s="57"/>
      <c r="S7556" s="57"/>
      <c r="X7556" s="57"/>
    </row>
    <row r="7557" spans="1:24" hidden="1" x14ac:dyDescent="0.35">
      <c r="A7557">
        <v>7553</v>
      </c>
      <c r="B7557">
        <v>7554</v>
      </c>
      <c r="C7557">
        <v>146.103074023999</v>
      </c>
      <c r="D7557">
        <v>-17.614479339900001</v>
      </c>
      <c r="E7557" s="92" t="str">
        <f t="shared" si="29"/>
        <v/>
      </c>
      <c r="G7557" s="92"/>
      <c r="I7557">
        <v>7</v>
      </c>
      <c r="J7557" t="s">
        <v>26</v>
      </c>
      <c r="K7557" s="57"/>
      <c r="S7557" s="57"/>
      <c r="X7557" s="57"/>
    </row>
    <row r="7558" spans="1:24" hidden="1" x14ac:dyDescent="0.35">
      <c r="A7558">
        <v>7554</v>
      </c>
      <c r="B7558">
        <v>7555</v>
      </c>
      <c r="C7558">
        <v>146.103088106</v>
      </c>
      <c r="D7558">
        <v>-17.614563901</v>
      </c>
      <c r="E7558" s="92">
        <f t="shared" si="29"/>
        <v>50</v>
      </c>
      <c r="G7558" s="92"/>
      <c r="I7558">
        <v>7</v>
      </c>
      <c r="J7558" t="s">
        <v>26</v>
      </c>
      <c r="K7558" s="57"/>
      <c r="S7558" s="57"/>
      <c r="X7558" s="57"/>
    </row>
    <row r="7559" spans="1:24" hidden="1" x14ac:dyDescent="0.35">
      <c r="A7559">
        <v>7555</v>
      </c>
      <c r="B7559">
        <v>7556</v>
      </c>
      <c r="C7559">
        <v>146.10309449900001</v>
      </c>
      <c r="D7559">
        <v>-17.614649094600001</v>
      </c>
      <c r="E7559" s="92" t="str">
        <f t="shared" si="29"/>
        <v/>
      </c>
      <c r="G7559" s="92"/>
      <c r="I7559">
        <v>7</v>
      </c>
      <c r="J7559" t="s">
        <v>26</v>
      </c>
      <c r="K7559" s="57"/>
      <c r="S7559" s="57"/>
      <c r="X7559" s="57"/>
    </row>
    <row r="7560" spans="1:24" hidden="1" x14ac:dyDescent="0.35">
      <c r="A7560">
        <v>7556</v>
      </c>
      <c r="B7560">
        <v>7557</v>
      </c>
      <c r="C7560">
        <v>146.10309582599899</v>
      </c>
      <c r="D7560">
        <v>-17.614734704899899</v>
      </c>
      <c r="E7560" s="92" t="str">
        <f t="shared" si="29"/>
        <v/>
      </c>
      <c r="G7560" s="92"/>
      <c r="I7560">
        <v>7</v>
      </c>
      <c r="J7560" t="s">
        <v>26</v>
      </c>
      <c r="K7560" s="57"/>
      <c r="S7560" s="57"/>
      <c r="X7560" s="57"/>
    </row>
    <row r="7561" spans="1:24" hidden="1" x14ac:dyDescent="0.35">
      <c r="A7561">
        <v>7557</v>
      </c>
      <c r="B7561">
        <v>7558</v>
      </c>
      <c r="C7561">
        <v>146.103097152999</v>
      </c>
      <c r="D7561">
        <v>-17.614820315100001</v>
      </c>
      <c r="E7561" s="92" t="str">
        <f t="shared" si="29"/>
        <v/>
      </c>
      <c r="G7561" s="92"/>
      <c r="I7561">
        <v>7</v>
      </c>
      <c r="J7561" t="s">
        <v>26</v>
      </c>
      <c r="K7561" s="57"/>
      <c r="S7561" s="57"/>
      <c r="X7561" s="57"/>
    </row>
    <row r="7562" spans="1:24" hidden="1" x14ac:dyDescent="0.35">
      <c r="A7562">
        <v>7558</v>
      </c>
      <c r="B7562">
        <v>7559</v>
      </c>
      <c r="C7562">
        <v>146.10309848</v>
      </c>
      <c r="D7562">
        <v>-17.6149059253</v>
      </c>
      <c r="E7562" s="92" t="str">
        <f t="shared" si="29"/>
        <v/>
      </c>
      <c r="G7562" s="92"/>
      <c r="I7562">
        <v>7</v>
      </c>
      <c r="J7562" t="s">
        <v>26</v>
      </c>
      <c r="K7562" s="57"/>
      <c r="S7562" s="57"/>
      <c r="X7562" s="57"/>
    </row>
    <row r="7563" spans="1:24" hidden="1" x14ac:dyDescent="0.35">
      <c r="A7563">
        <v>7559</v>
      </c>
      <c r="B7563">
        <v>7560</v>
      </c>
      <c r="C7563">
        <v>146.10309627199899</v>
      </c>
      <c r="D7563">
        <v>-17.614991489200001</v>
      </c>
      <c r="E7563" s="92">
        <f t="shared" si="29"/>
        <v>50</v>
      </c>
      <c r="G7563" s="92"/>
      <c r="I7563">
        <v>7</v>
      </c>
      <c r="J7563" t="s">
        <v>26</v>
      </c>
      <c r="K7563" s="57"/>
      <c r="S7563" s="57"/>
      <c r="X7563" s="57"/>
    </row>
    <row r="7564" spans="1:24" hidden="1" x14ac:dyDescent="0.35">
      <c r="A7564">
        <v>7560</v>
      </c>
      <c r="B7564">
        <v>7561</v>
      </c>
      <c r="C7564">
        <v>146.10309248300001</v>
      </c>
      <c r="D7564">
        <v>-17.6150770325</v>
      </c>
      <c r="E7564" s="92" t="str">
        <f t="shared" si="29"/>
        <v/>
      </c>
      <c r="G7564" s="92"/>
      <c r="I7564">
        <v>7</v>
      </c>
      <c r="J7564" t="s">
        <v>26</v>
      </c>
      <c r="K7564" s="57"/>
      <c r="S7564" s="57"/>
      <c r="X7564" s="57"/>
    </row>
    <row r="7565" spans="1:24" hidden="1" x14ac:dyDescent="0.35">
      <c r="A7565">
        <v>7561</v>
      </c>
      <c r="B7565">
        <v>7562</v>
      </c>
      <c r="C7565">
        <v>146.10308869400001</v>
      </c>
      <c r="D7565">
        <v>-17.615162575700001</v>
      </c>
      <c r="E7565" s="92" t="str">
        <f t="shared" si="29"/>
        <v/>
      </c>
      <c r="G7565" s="92"/>
      <c r="I7565">
        <v>7</v>
      </c>
      <c r="J7565" t="s">
        <v>26</v>
      </c>
      <c r="K7565" s="57"/>
      <c r="S7565" s="57"/>
      <c r="X7565" s="57"/>
    </row>
    <row r="7566" spans="1:24" hidden="1" x14ac:dyDescent="0.35">
      <c r="A7566">
        <v>7562</v>
      </c>
      <c r="B7566">
        <v>7563</v>
      </c>
      <c r="C7566">
        <v>146.10308490400001</v>
      </c>
      <c r="D7566">
        <v>-17.6152481188</v>
      </c>
      <c r="E7566" s="92" t="str">
        <f t="shared" si="29"/>
        <v/>
      </c>
      <c r="G7566" s="92"/>
      <c r="I7566">
        <v>7</v>
      </c>
      <c r="J7566" t="s">
        <v>26</v>
      </c>
      <c r="K7566" s="57"/>
      <c r="S7566" s="57"/>
      <c r="X7566" s="57"/>
    </row>
    <row r="7567" spans="1:24" hidden="1" x14ac:dyDescent="0.35">
      <c r="A7567">
        <v>7563</v>
      </c>
      <c r="B7567">
        <v>7564</v>
      </c>
      <c r="C7567">
        <v>146.10307613699899</v>
      </c>
      <c r="D7567">
        <v>-17.615333248900001</v>
      </c>
      <c r="E7567" s="92" t="str">
        <f t="shared" si="29"/>
        <v/>
      </c>
      <c r="G7567" s="92"/>
      <c r="I7567">
        <v>7</v>
      </c>
      <c r="J7567" t="s">
        <v>26</v>
      </c>
      <c r="K7567" s="57"/>
      <c r="S7567" s="57"/>
      <c r="X7567" s="57"/>
    </row>
    <row r="7568" spans="1:24" hidden="1" x14ac:dyDescent="0.35">
      <c r="A7568">
        <v>7564</v>
      </c>
      <c r="B7568">
        <v>7565</v>
      </c>
      <c r="C7568">
        <v>146.103064361999</v>
      </c>
      <c r="D7568">
        <v>-17.6154181295</v>
      </c>
      <c r="E7568" s="92">
        <f t="shared" ref="E7568:E7631" si="30">IF(MOD(B7568,5)=0, 50, "")</f>
        <v>50</v>
      </c>
      <c r="G7568" s="92"/>
      <c r="I7568">
        <v>7</v>
      </c>
      <c r="J7568" t="s">
        <v>26</v>
      </c>
      <c r="K7568" s="57"/>
      <c r="S7568" s="57"/>
      <c r="X7568" s="57"/>
    </row>
    <row r="7569" spans="1:24" hidden="1" x14ac:dyDescent="0.35">
      <c r="A7569">
        <v>7565</v>
      </c>
      <c r="B7569">
        <v>7566</v>
      </c>
      <c r="C7569">
        <v>146.10305258700001</v>
      </c>
      <c r="D7569">
        <v>-17.6155030100999</v>
      </c>
      <c r="E7569" s="92" t="str">
        <f t="shared" si="30"/>
        <v/>
      </c>
      <c r="G7569" s="92"/>
      <c r="I7569">
        <v>7</v>
      </c>
      <c r="J7569" t="s">
        <v>26</v>
      </c>
      <c r="K7569" s="57"/>
      <c r="S7569" s="57"/>
      <c r="X7569" s="57"/>
    </row>
    <row r="7570" spans="1:24" hidden="1" x14ac:dyDescent="0.35">
      <c r="A7570">
        <v>7566</v>
      </c>
      <c r="B7570">
        <v>7567</v>
      </c>
      <c r="C7570">
        <v>146.10302916000001</v>
      </c>
      <c r="D7570">
        <v>-17.615585155200002</v>
      </c>
      <c r="E7570" s="92" t="str">
        <f t="shared" si="30"/>
        <v/>
      </c>
      <c r="G7570" s="92"/>
      <c r="I7570">
        <v>7</v>
      </c>
      <c r="J7570" t="s">
        <v>26</v>
      </c>
      <c r="K7570" s="57"/>
      <c r="S7570" s="57"/>
      <c r="X7570" s="57"/>
    </row>
    <row r="7571" spans="1:24" hidden="1" x14ac:dyDescent="0.35">
      <c r="A7571">
        <v>7567</v>
      </c>
      <c r="B7571">
        <v>7568</v>
      </c>
      <c r="C7571">
        <v>146.102998227999</v>
      </c>
      <c r="D7571">
        <v>-17.615665538399899</v>
      </c>
      <c r="E7571" s="92" t="str">
        <f t="shared" si="30"/>
        <v/>
      </c>
      <c r="G7571" s="92"/>
      <c r="I7571">
        <v>7</v>
      </c>
      <c r="J7571" t="s">
        <v>26</v>
      </c>
      <c r="K7571" s="57"/>
      <c r="S7571" s="57"/>
      <c r="X7571" s="57"/>
    </row>
    <row r="7572" spans="1:24" hidden="1" x14ac:dyDescent="0.35">
      <c r="A7572">
        <v>7568</v>
      </c>
      <c r="B7572">
        <v>7569</v>
      </c>
      <c r="C7572">
        <v>146.102967296</v>
      </c>
      <c r="D7572">
        <v>-17.6157459217</v>
      </c>
      <c r="E7572" s="92" t="str">
        <f t="shared" si="30"/>
        <v/>
      </c>
      <c r="G7572" s="92"/>
      <c r="I7572">
        <v>7</v>
      </c>
      <c r="J7572" t="s">
        <v>26</v>
      </c>
      <c r="K7572" s="57"/>
      <c r="S7572" s="57"/>
      <c r="X7572" s="57"/>
    </row>
    <row r="7573" spans="1:24" hidden="1" x14ac:dyDescent="0.35">
      <c r="A7573">
        <v>7569</v>
      </c>
      <c r="B7573">
        <v>7570</v>
      </c>
      <c r="C7573">
        <v>146.102926886999</v>
      </c>
      <c r="D7573">
        <v>-17.615822331899899</v>
      </c>
      <c r="E7573" s="92">
        <f t="shared" si="30"/>
        <v>50</v>
      </c>
      <c r="G7573" s="92"/>
      <c r="I7573">
        <v>7</v>
      </c>
      <c r="J7573" t="s">
        <v>26</v>
      </c>
      <c r="K7573" s="57"/>
      <c r="S7573" s="57"/>
      <c r="X7573" s="57"/>
    </row>
    <row r="7574" spans="1:24" hidden="1" x14ac:dyDescent="0.35">
      <c r="A7574">
        <v>7570</v>
      </c>
      <c r="B7574">
        <v>7571</v>
      </c>
      <c r="C7574">
        <v>146.10288562400001</v>
      </c>
      <c r="D7574">
        <v>-17.615898383800001</v>
      </c>
      <c r="E7574" s="92" t="str">
        <f t="shared" si="30"/>
        <v/>
      </c>
      <c r="G7574" s="92"/>
      <c r="I7574">
        <v>7</v>
      </c>
      <c r="J7574" t="s">
        <v>26</v>
      </c>
      <c r="K7574" s="57"/>
      <c r="S7574" s="57"/>
      <c r="X7574" s="57"/>
    </row>
    <row r="7575" spans="1:24" hidden="1" x14ac:dyDescent="0.35">
      <c r="A7575">
        <v>7571</v>
      </c>
      <c r="B7575">
        <v>7572</v>
      </c>
      <c r="C7575">
        <v>146.10284436000001</v>
      </c>
      <c r="D7575">
        <v>-17.6159744357</v>
      </c>
      <c r="E7575" s="92" t="str">
        <f t="shared" si="30"/>
        <v/>
      </c>
      <c r="G7575" s="92"/>
      <c r="I7575">
        <v>7</v>
      </c>
      <c r="J7575" t="s">
        <v>26</v>
      </c>
      <c r="K7575" s="57"/>
      <c r="S7575" s="57"/>
      <c r="X7575" s="57"/>
    </row>
    <row r="7576" spans="1:24" hidden="1" x14ac:dyDescent="0.35">
      <c r="A7576">
        <v>7572</v>
      </c>
      <c r="B7576">
        <v>7573</v>
      </c>
      <c r="C7576">
        <v>146.10278290599899</v>
      </c>
      <c r="D7576">
        <v>-17.6160363923</v>
      </c>
      <c r="E7576" s="92" t="str">
        <f t="shared" si="30"/>
        <v/>
      </c>
      <c r="G7576" s="92"/>
      <c r="I7576">
        <v>7</v>
      </c>
      <c r="J7576" t="s">
        <v>26</v>
      </c>
      <c r="K7576" s="57"/>
      <c r="S7576" s="57"/>
      <c r="X7576" s="57"/>
    </row>
    <row r="7577" spans="1:24" hidden="1" x14ac:dyDescent="0.35">
      <c r="A7577">
        <v>7573</v>
      </c>
      <c r="B7577">
        <v>7574</v>
      </c>
      <c r="C7577">
        <v>146.102719277999</v>
      </c>
      <c r="D7577">
        <v>-17.616096831899899</v>
      </c>
      <c r="E7577" s="92" t="str">
        <f t="shared" si="30"/>
        <v/>
      </c>
      <c r="G7577" s="92"/>
      <c r="I7577">
        <v>7</v>
      </c>
      <c r="J7577" t="s">
        <v>26</v>
      </c>
      <c r="K7577" s="57"/>
      <c r="S7577" s="57"/>
      <c r="X7577" s="57"/>
    </row>
    <row r="7578" spans="1:24" hidden="1" x14ac:dyDescent="0.35">
      <c r="A7578">
        <v>7574</v>
      </c>
      <c r="B7578">
        <v>7575</v>
      </c>
      <c r="C7578">
        <v>146.10264139700001</v>
      </c>
      <c r="D7578">
        <v>-17.616136973500002</v>
      </c>
      <c r="E7578" s="92">
        <f t="shared" si="30"/>
        <v>50</v>
      </c>
      <c r="G7578" s="92"/>
      <c r="I7578">
        <v>7</v>
      </c>
      <c r="J7578" t="s">
        <v>26</v>
      </c>
      <c r="K7578" s="57"/>
      <c r="S7578" s="57"/>
      <c r="X7578" s="57"/>
    </row>
    <row r="7579" spans="1:24" hidden="1" x14ac:dyDescent="0.35">
      <c r="A7579">
        <v>7575</v>
      </c>
      <c r="B7579">
        <v>7576</v>
      </c>
      <c r="C7579">
        <v>146.102558514999</v>
      </c>
      <c r="D7579">
        <v>-17.616169995300002</v>
      </c>
      <c r="E7579" s="92" t="str">
        <f t="shared" si="30"/>
        <v/>
      </c>
      <c r="G7579" s="92"/>
      <c r="I7579">
        <v>7</v>
      </c>
      <c r="J7579" t="s">
        <v>26</v>
      </c>
      <c r="K7579" s="57"/>
      <c r="S7579" s="57"/>
      <c r="X7579" s="57"/>
    </row>
    <row r="7580" spans="1:24" hidden="1" x14ac:dyDescent="0.35">
      <c r="A7580">
        <v>7576</v>
      </c>
      <c r="B7580">
        <v>7577</v>
      </c>
      <c r="C7580">
        <v>146.102475634</v>
      </c>
      <c r="D7580">
        <v>-17.616203017</v>
      </c>
      <c r="E7580" s="92" t="str">
        <f t="shared" si="30"/>
        <v/>
      </c>
      <c r="G7580" s="92"/>
      <c r="I7580">
        <v>7</v>
      </c>
      <c r="J7580" t="s">
        <v>26</v>
      </c>
      <c r="K7580" s="57"/>
      <c r="S7580" s="57"/>
      <c r="X7580" s="57"/>
    </row>
    <row r="7581" spans="1:24" hidden="1" x14ac:dyDescent="0.35">
      <c r="A7581">
        <v>7577</v>
      </c>
      <c r="B7581">
        <v>7578</v>
      </c>
      <c r="C7581">
        <v>146.102388808</v>
      </c>
      <c r="D7581">
        <v>-17.6162121288999</v>
      </c>
      <c r="E7581" s="92" t="str">
        <f t="shared" si="30"/>
        <v/>
      </c>
      <c r="G7581" s="92"/>
      <c r="I7581">
        <v>7</v>
      </c>
      <c r="J7581" t="s">
        <v>26</v>
      </c>
      <c r="K7581" s="57"/>
      <c r="S7581" s="57"/>
      <c r="X7581" s="57"/>
    </row>
    <row r="7582" spans="1:24" hidden="1" x14ac:dyDescent="0.35">
      <c r="A7582">
        <v>7578</v>
      </c>
      <c r="B7582">
        <v>7579</v>
      </c>
      <c r="C7582">
        <v>146.10229929400001</v>
      </c>
      <c r="D7582">
        <v>-17.616204942700001</v>
      </c>
      <c r="E7582" s="92" t="str">
        <f t="shared" si="30"/>
        <v/>
      </c>
      <c r="G7582" s="92"/>
      <c r="I7582">
        <v>7</v>
      </c>
      <c r="J7582" t="s">
        <v>26</v>
      </c>
      <c r="K7582" s="57"/>
      <c r="S7582" s="57"/>
      <c r="X7582" s="57"/>
    </row>
    <row r="7583" spans="1:24" hidden="1" x14ac:dyDescent="0.35">
      <c r="A7583">
        <v>7579</v>
      </c>
      <c r="B7583">
        <v>7580</v>
      </c>
      <c r="C7583">
        <v>146.102209778999</v>
      </c>
      <c r="D7583">
        <v>-17.616197756399899</v>
      </c>
      <c r="E7583" s="92">
        <f t="shared" si="30"/>
        <v>50</v>
      </c>
      <c r="G7583" s="92"/>
      <c r="I7583">
        <v>7</v>
      </c>
      <c r="J7583" t="s">
        <v>26</v>
      </c>
      <c r="K7583" s="57"/>
      <c r="S7583" s="57"/>
      <c r="X7583" s="57"/>
    </row>
    <row r="7584" spans="1:24" hidden="1" x14ac:dyDescent="0.35">
      <c r="A7584">
        <v>7580</v>
      </c>
      <c r="B7584">
        <v>7581</v>
      </c>
      <c r="C7584">
        <v>146.10212678100001</v>
      </c>
      <c r="D7584">
        <v>-17.616168761000001</v>
      </c>
      <c r="E7584" s="92" t="str">
        <f t="shared" si="30"/>
        <v/>
      </c>
      <c r="G7584" s="92"/>
      <c r="I7584">
        <v>7</v>
      </c>
      <c r="J7584" t="s">
        <v>26</v>
      </c>
      <c r="K7584" s="57"/>
      <c r="S7584" s="57"/>
      <c r="X7584" s="57"/>
    </row>
    <row r="7585" spans="1:24" hidden="1" x14ac:dyDescent="0.35">
      <c r="A7585">
        <v>7581</v>
      </c>
      <c r="B7585">
        <v>7582</v>
      </c>
      <c r="C7585">
        <v>146.10204672500001</v>
      </c>
      <c r="D7585">
        <v>-17.616129920500001</v>
      </c>
      <c r="E7585" s="92" t="str">
        <f t="shared" si="30"/>
        <v/>
      </c>
      <c r="G7585" s="92"/>
      <c r="I7585">
        <v>7</v>
      </c>
      <c r="J7585" t="s">
        <v>26</v>
      </c>
      <c r="K7585" s="57"/>
      <c r="S7585" s="57"/>
      <c r="X7585" s="57"/>
    </row>
    <row r="7586" spans="1:24" hidden="1" x14ac:dyDescent="0.35">
      <c r="A7586">
        <v>7582</v>
      </c>
      <c r="B7586">
        <v>7583</v>
      </c>
      <c r="C7586">
        <v>146.10197572499899</v>
      </c>
      <c r="D7586">
        <v>-17.6160780121999</v>
      </c>
      <c r="E7586" s="92" t="str">
        <f t="shared" si="30"/>
        <v/>
      </c>
      <c r="G7586" s="92"/>
      <c r="I7586">
        <v>7</v>
      </c>
      <c r="J7586" t="s">
        <v>26</v>
      </c>
      <c r="K7586" s="57"/>
      <c r="S7586" s="57"/>
      <c r="X7586" s="57"/>
    </row>
    <row r="7587" spans="1:24" hidden="1" x14ac:dyDescent="0.35">
      <c r="A7587">
        <v>7583</v>
      </c>
      <c r="B7587">
        <v>7584</v>
      </c>
      <c r="C7587">
        <v>146.101906826</v>
      </c>
      <c r="D7587">
        <v>-17.616023073400001</v>
      </c>
      <c r="E7587" s="92" t="str">
        <f t="shared" si="30"/>
        <v/>
      </c>
      <c r="G7587" s="92"/>
      <c r="I7587">
        <v>7</v>
      </c>
      <c r="J7587" t="s">
        <v>26</v>
      </c>
      <c r="K7587" s="57"/>
      <c r="S7587" s="57"/>
      <c r="X7587" s="57"/>
    </row>
    <row r="7588" spans="1:24" hidden="1" x14ac:dyDescent="0.35">
      <c r="A7588">
        <v>7584</v>
      </c>
      <c r="B7588">
        <v>7585</v>
      </c>
      <c r="C7588">
        <v>146.101837926</v>
      </c>
      <c r="D7588">
        <v>-17.6159681345999</v>
      </c>
      <c r="E7588" s="92">
        <f t="shared" si="30"/>
        <v>50</v>
      </c>
      <c r="G7588" s="92"/>
      <c r="I7588">
        <v>7</v>
      </c>
      <c r="J7588" t="s">
        <v>26</v>
      </c>
      <c r="K7588" s="57"/>
      <c r="S7588" s="57"/>
      <c r="X7588" s="57"/>
    </row>
    <row r="7589" spans="1:24" hidden="1" x14ac:dyDescent="0.35">
      <c r="A7589">
        <v>7585</v>
      </c>
      <c r="B7589">
        <v>7586</v>
      </c>
      <c r="C7589">
        <v>146.10177907400001</v>
      </c>
      <c r="D7589">
        <v>-17.615904993800001</v>
      </c>
      <c r="E7589" s="92" t="str">
        <f t="shared" si="30"/>
        <v/>
      </c>
      <c r="G7589" s="92"/>
      <c r="I7589">
        <v>7</v>
      </c>
      <c r="J7589" t="s">
        <v>26</v>
      </c>
      <c r="K7589" s="57"/>
      <c r="S7589" s="57"/>
      <c r="X7589" s="57"/>
    </row>
    <row r="7590" spans="1:24" hidden="1" x14ac:dyDescent="0.35">
      <c r="A7590">
        <v>7586</v>
      </c>
      <c r="B7590">
        <v>7587</v>
      </c>
      <c r="C7590">
        <v>146.10173270300001</v>
      </c>
      <c r="D7590">
        <v>-17.615831663600002</v>
      </c>
      <c r="E7590" s="92" t="str">
        <f t="shared" si="30"/>
        <v/>
      </c>
      <c r="G7590" s="92"/>
      <c r="I7590">
        <v>7</v>
      </c>
      <c r="J7590" t="s">
        <v>26</v>
      </c>
      <c r="K7590" s="57"/>
      <c r="S7590" s="57"/>
      <c r="X7590" s="57"/>
    </row>
    <row r="7591" spans="1:24" hidden="1" x14ac:dyDescent="0.35">
      <c r="A7591">
        <v>7587</v>
      </c>
      <c r="B7591">
        <v>7588</v>
      </c>
      <c r="C7591">
        <v>146.101686333</v>
      </c>
      <c r="D7591">
        <v>-17.615758333300001</v>
      </c>
      <c r="E7591" s="92" t="str">
        <f t="shared" si="30"/>
        <v/>
      </c>
      <c r="G7591" s="92"/>
      <c r="I7591">
        <v>7</v>
      </c>
      <c r="J7591" t="s">
        <v>26</v>
      </c>
      <c r="K7591" s="57"/>
      <c r="S7591" s="57"/>
      <c r="X7591" s="57"/>
    </row>
    <row r="7592" spans="1:24" hidden="1" x14ac:dyDescent="0.35">
      <c r="A7592">
        <v>7588</v>
      </c>
      <c r="B7592">
        <v>7589</v>
      </c>
      <c r="C7592">
        <v>146.101651744999</v>
      </c>
      <c r="D7592">
        <v>-17.615679811100001</v>
      </c>
      <c r="E7592" s="92" t="str">
        <f t="shared" si="30"/>
        <v/>
      </c>
      <c r="G7592" s="92"/>
      <c r="I7592">
        <v>7</v>
      </c>
      <c r="J7592" t="s">
        <v>26</v>
      </c>
      <c r="K7592" s="57"/>
      <c r="S7592" s="57"/>
      <c r="X7592" s="57"/>
    </row>
    <row r="7593" spans="1:24" hidden="1" x14ac:dyDescent="0.35">
      <c r="A7593">
        <v>7589</v>
      </c>
      <c r="B7593">
        <v>7590</v>
      </c>
      <c r="C7593">
        <v>146.101623171</v>
      </c>
      <c r="D7593">
        <v>-17.6155986387</v>
      </c>
      <c r="E7593" s="92">
        <f t="shared" si="30"/>
        <v>50</v>
      </c>
      <c r="G7593" s="92"/>
      <c r="I7593">
        <v>7</v>
      </c>
      <c r="J7593" t="s">
        <v>26</v>
      </c>
      <c r="K7593" s="57"/>
      <c r="S7593" s="57"/>
      <c r="X7593" s="57"/>
    </row>
    <row r="7594" spans="1:24" hidden="1" x14ac:dyDescent="0.35">
      <c r="A7594">
        <v>7590</v>
      </c>
      <c r="B7594">
        <v>7591</v>
      </c>
      <c r="C7594">
        <v>146.101594597</v>
      </c>
      <c r="D7594">
        <v>-17.615517466299899</v>
      </c>
      <c r="E7594" s="92" t="str">
        <f t="shared" si="30"/>
        <v/>
      </c>
      <c r="G7594" s="92"/>
      <c r="I7594">
        <v>7</v>
      </c>
      <c r="J7594" t="s">
        <v>26</v>
      </c>
      <c r="K7594" s="57"/>
      <c r="S7594" s="57"/>
      <c r="X7594" s="57"/>
    </row>
    <row r="7595" spans="1:24" hidden="1" x14ac:dyDescent="0.35">
      <c r="A7595">
        <v>7591</v>
      </c>
      <c r="B7595">
        <v>7592</v>
      </c>
      <c r="C7595">
        <v>146.101578472</v>
      </c>
      <c r="D7595">
        <v>-17.615433424100001</v>
      </c>
      <c r="E7595" s="92" t="str">
        <f t="shared" si="30"/>
        <v/>
      </c>
      <c r="G7595" s="92"/>
      <c r="I7595">
        <v>7</v>
      </c>
      <c r="J7595" t="s">
        <v>26</v>
      </c>
      <c r="K7595" s="57"/>
      <c r="S7595" s="57"/>
      <c r="X7595" s="57"/>
    </row>
    <row r="7596" spans="1:24" hidden="1" x14ac:dyDescent="0.35">
      <c r="A7596">
        <v>7592</v>
      </c>
      <c r="B7596">
        <v>7593</v>
      </c>
      <c r="C7596">
        <v>146.10156496299899</v>
      </c>
      <c r="D7596">
        <v>-17.615348778400001</v>
      </c>
      <c r="E7596" s="92" t="str">
        <f t="shared" si="30"/>
        <v/>
      </c>
      <c r="G7596" s="92"/>
      <c r="I7596">
        <v>7</v>
      </c>
      <c r="J7596" t="s">
        <v>26</v>
      </c>
      <c r="K7596" s="57"/>
      <c r="S7596" s="57"/>
      <c r="X7596" s="57"/>
    </row>
    <row r="7597" spans="1:24" hidden="1" x14ac:dyDescent="0.35">
      <c r="A7597">
        <v>7593</v>
      </c>
      <c r="B7597">
        <v>7594</v>
      </c>
      <c r="C7597">
        <v>146.101551454999</v>
      </c>
      <c r="D7597">
        <v>-17.6152641326</v>
      </c>
      <c r="E7597" s="92" t="str">
        <f t="shared" si="30"/>
        <v/>
      </c>
      <c r="G7597" s="92"/>
      <c r="I7597">
        <v>7</v>
      </c>
      <c r="J7597" t="s">
        <v>26</v>
      </c>
      <c r="K7597" s="57"/>
      <c r="S7597" s="57"/>
      <c r="X7597" s="57"/>
    </row>
    <row r="7598" spans="1:24" hidden="1" x14ac:dyDescent="0.35">
      <c r="A7598">
        <v>7594</v>
      </c>
      <c r="B7598">
        <v>7595</v>
      </c>
      <c r="C7598">
        <v>146.101537946999</v>
      </c>
      <c r="D7598">
        <v>-17.615179486799899</v>
      </c>
      <c r="E7598" s="92">
        <f t="shared" si="30"/>
        <v>50</v>
      </c>
      <c r="G7598" s="92"/>
      <c r="I7598">
        <v>7</v>
      </c>
      <c r="J7598" t="s">
        <v>26</v>
      </c>
      <c r="K7598" s="57"/>
      <c r="S7598" s="57"/>
      <c r="X7598" s="57"/>
    </row>
    <row r="7599" spans="1:24" hidden="1" x14ac:dyDescent="0.35">
      <c r="A7599">
        <v>7595</v>
      </c>
      <c r="B7599">
        <v>7596</v>
      </c>
      <c r="C7599">
        <v>146.10152558300001</v>
      </c>
      <c r="D7599">
        <v>-17.6150946928</v>
      </c>
      <c r="E7599" s="92" t="str">
        <f t="shared" si="30"/>
        <v/>
      </c>
      <c r="G7599" s="92"/>
      <c r="I7599">
        <v>7</v>
      </c>
      <c r="J7599" t="s">
        <v>26</v>
      </c>
      <c r="K7599" s="57"/>
      <c r="S7599" s="57"/>
      <c r="X7599" s="57"/>
    </row>
    <row r="7600" spans="1:24" hidden="1" x14ac:dyDescent="0.35">
      <c r="A7600">
        <v>7596</v>
      </c>
      <c r="B7600">
        <v>7597</v>
      </c>
      <c r="C7600">
        <v>146.10151492899899</v>
      </c>
      <c r="D7600">
        <v>-17.6150096778</v>
      </c>
      <c r="E7600" s="92" t="str">
        <f t="shared" si="30"/>
        <v/>
      </c>
      <c r="G7600" s="92"/>
      <c r="I7600">
        <v>7</v>
      </c>
      <c r="J7600" t="s">
        <v>26</v>
      </c>
      <c r="K7600" s="57"/>
      <c r="S7600" s="57"/>
      <c r="X7600" s="57"/>
    </row>
    <row r="7601" spans="1:24" hidden="1" x14ac:dyDescent="0.35">
      <c r="A7601">
        <v>7597</v>
      </c>
      <c r="B7601">
        <v>7598</v>
      </c>
      <c r="C7601">
        <v>146.10150427400001</v>
      </c>
      <c r="D7601">
        <v>-17.614924662699899</v>
      </c>
      <c r="E7601" s="92" t="str">
        <f t="shared" si="30"/>
        <v/>
      </c>
      <c r="G7601" s="92"/>
      <c r="I7601">
        <v>7</v>
      </c>
      <c r="J7601" t="s">
        <v>26</v>
      </c>
      <c r="K7601" s="57"/>
      <c r="S7601" s="57"/>
      <c r="X7601" s="57"/>
    </row>
    <row r="7602" spans="1:24" hidden="1" x14ac:dyDescent="0.35">
      <c r="A7602">
        <v>7598</v>
      </c>
      <c r="B7602">
        <v>7599</v>
      </c>
      <c r="C7602">
        <v>146.10148786400001</v>
      </c>
      <c r="D7602">
        <v>-17.614840903400001</v>
      </c>
      <c r="E7602" s="92" t="str">
        <f t="shared" si="30"/>
        <v/>
      </c>
      <c r="G7602" s="92"/>
      <c r="I7602">
        <v>7</v>
      </c>
      <c r="J7602" t="s">
        <v>26</v>
      </c>
      <c r="K7602" s="57"/>
      <c r="S7602" s="57"/>
      <c r="X7602" s="57"/>
    </row>
    <row r="7603" spans="1:24" hidden="1" x14ac:dyDescent="0.35">
      <c r="A7603">
        <v>7599</v>
      </c>
      <c r="B7603">
        <v>7600</v>
      </c>
      <c r="C7603">
        <v>146.101458648</v>
      </c>
      <c r="D7603">
        <v>-17.614759938399899</v>
      </c>
      <c r="E7603" s="92">
        <f t="shared" si="30"/>
        <v>50</v>
      </c>
      <c r="G7603" s="92"/>
      <c r="I7603">
        <v>7</v>
      </c>
      <c r="J7603" t="s">
        <v>26</v>
      </c>
      <c r="K7603" s="57"/>
      <c r="S7603" s="57"/>
      <c r="X7603" s="57"/>
    </row>
    <row r="7604" spans="1:24" hidden="1" x14ac:dyDescent="0.35">
      <c r="A7604">
        <v>7600</v>
      </c>
      <c r="B7604">
        <v>7601</v>
      </c>
      <c r="C7604">
        <v>146.101429432999</v>
      </c>
      <c r="D7604">
        <v>-17.6146789734</v>
      </c>
      <c r="E7604" s="92" t="str">
        <f t="shared" si="30"/>
        <v/>
      </c>
      <c r="G7604" s="92"/>
      <c r="I7604">
        <v>7</v>
      </c>
      <c r="J7604" t="s">
        <v>26</v>
      </c>
      <c r="K7604" s="57"/>
      <c r="S7604" s="57"/>
      <c r="X7604" s="57"/>
    </row>
    <row r="7605" spans="1:24" hidden="1" x14ac:dyDescent="0.35">
      <c r="A7605">
        <v>7601</v>
      </c>
      <c r="B7605">
        <v>7602</v>
      </c>
      <c r="C7605">
        <v>146.101393301999</v>
      </c>
      <c r="D7605">
        <v>-17.614601388099899</v>
      </c>
      <c r="E7605" s="92" t="str">
        <f t="shared" si="30"/>
        <v/>
      </c>
      <c r="G7605" s="92"/>
      <c r="I7605">
        <v>7</v>
      </c>
      <c r="J7605" t="s">
        <v>26</v>
      </c>
      <c r="K7605" s="57"/>
      <c r="S7605" s="57"/>
      <c r="X7605" s="57"/>
    </row>
    <row r="7606" spans="1:24" hidden="1" x14ac:dyDescent="0.35">
      <c r="A7606">
        <v>7602</v>
      </c>
      <c r="B7606">
        <v>7603</v>
      </c>
      <c r="C7606">
        <v>146.10134137099899</v>
      </c>
      <c r="D7606">
        <v>-17.6145315252</v>
      </c>
      <c r="E7606" s="92" t="str">
        <f t="shared" si="30"/>
        <v/>
      </c>
      <c r="G7606" s="92"/>
      <c r="I7606">
        <v>7</v>
      </c>
      <c r="J7606" t="s">
        <v>26</v>
      </c>
      <c r="K7606" s="57"/>
      <c r="S7606" s="57"/>
      <c r="X7606" s="57"/>
    </row>
    <row r="7607" spans="1:24" hidden="1" x14ac:dyDescent="0.35">
      <c r="A7607">
        <v>7603</v>
      </c>
      <c r="B7607">
        <v>7604</v>
      </c>
      <c r="C7607">
        <v>146.101289438999</v>
      </c>
      <c r="D7607">
        <v>-17.614461662299899</v>
      </c>
      <c r="E7607" s="92" t="str">
        <f t="shared" si="30"/>
        <v/>
      </c>
      <c r="G7607" s="92"/>
      <c r="I7607">
        <v>7</v>
      </c>
      <c r="J7607" t="s">
        <v>26</v>
      </c>
      <c r="K7607" s="57"/>
      <c r="S7607" s="57"/>
      <c r="X7607" s="57"/>
    </row>
    <row r="7608" spans="1:24" hidden="1" x14ac:dyDescent="0.35">
      <c r="A7608">
        <v>7604</v>
      </c>
      <c r="B7608">
        <v>7605</v>
      </c>
      <c r="C7608">
        <v>146.10122573199899</v>
      </c>
      <c r="D7608">
        <v>-17.6144014007</v>
      </c>
      <c r="E7608" s="92">
        <f t="shared" si="30"/>
        <v>50</v>
      </c>
      <c r="G7608" s="92"/>
      <c r="I7608">
        <v>7</v>
      </c>
      <c r="J7608" t="s">
        <v>26</v>
      </c>
      <c r="K7608" s="57"/>
      <c r="S7608" s="57"/>
      <c r="X7608" s="57"/>
    </row>
    <row r="7609" spans="1:24" hidden="1" x14ac:dyDescent="0.35">
      <c r="A7609">
        <v>7605</v>
      </c>
      <c r="B7609">
        <v>7606</v>
      </c>
      <c r="C7609">
        <v>146.10116136100001</v>
      </c>
      <c r="D7609">
        <v>-17.614341679399899</v>
      </c>
      <c r="E7609" s="92" t="str">
        <f t="shared" si="30"/>
        <v/>
      </c>
      <c r="G7609" s="92"/>
      <c r="I7609">
        <v>7</v>
      </c>
      <c r="J7609" t="s">
        <v>26</v>
      </c>
      <c r="K7609" s="57"/>
      <c r="S7609" s="57"/>
      <c r="X7609" s="57"/>
    </row>
    <row r="7610" spans="1:24" hidden="1" x14ac:dyDescent="0.35">
      <c r="A7610">
        <v>7606</v>
      </c>
      <c r="B7610">
        <v>7607</v>
      </c>
      <c r="C7610">
        <v>146.10109111099899</v>
      </c>
      <c r="D7610">
        <v>-17.614289555500001</v>
      </c>
      <c r="E7610" s="92" t="str">
        <f t="shared" si="30"/>
        <v/>
      </c>
      <c r="G7610" s="92"/>
      <c r="I7610">
        <v>7</v>
      </c>
      <c r="J7610" t="s">
        <v>26</v>
      </c>
      <c r="K7610" s="57"/>
      <c r="S7610" s="57"/>
      <c r="X7610" s="57"/>
    </row>
    <row r="7611" spans="1:24" hidden="1" x14ac:dyDescent="0.35">
      <c r="A7611">
        <v>7607</v>
      </c>
      <c r="B7611">
        <v>7608</v>
      </c>
      <c r="C7611">
        <v>146.101012238999</v>
      </c>
      <c r="D7611">
        <v>-17.6142485738999</v>
      </c>
      <c r="E7611" s="92" t="str">
        <f t="shared" si="30"/>
        <v/>
      </c>
      <c r="G7611" s="92"/>
      <c r="I7611">
        <v>7</v>
      </c>
      <c r="J7611" t="s">
        <v>26</v>
      </c>
      <c r="K7611" s="57"/>
      <c r="S7611" s="57"/>
      <c r="X7611" s="57"/>
    </row>
    <row r="7612" spans="1:24" hidden="1" x14ac:dyDescent="0.35">
      <c r="A7612">
        <v>7608</v>
      </c>
      <c r="B7612">
        <v>7609</v>
      </c>
      <c r="C7612">
        <v>146.100933365999</v>
      </c>
      <c r="D7612">
        <v>-17.614207592300001</v>
      </c>
      <c r="E7612" s="92" t="str">
        <f t="shared" si="30"/>
        <v/>
      </c>
      <c r="G7612" s="92"/>
      <c r="I7612">
        <v>7</v>
      </c>
      <c r="J7612" t="s">
        <v>26</v>
      </c>
      <c r="K7612" s="57"/>
      <c r="S7612" s="57"/>
      <c r="X7612" s="57"/>
    </row>
    <row r="7613" spans="1:24" hidden="1" x14ac:dyDescent="0.35">
      <c r="A7613">
        <v>7609</v>
      </c>
      <c r="B7613">
        <v>7610</v>
      </c>
      <c r="C7613">
        <v>146.10084624300001</v>
      </c>
      <c r="D7613">
        <v>-17.614186949699899</v>
      </c>
      <c r="E7613" s="92">
        <f t="shared" si="30"/>
        <v>50</v>
      </c>
      <c r="G7613" s="92"/>
      <c r="I7613">
        <v>7</v>
      </c>
      <c r="J7613" t="s">
        <v>26</v>
      </c>
      <c r="K7613" s="57"/>
      <c r="S7613" s="57"/>
      <c r="X7613" s="57"/>
    </row>
    <row r="7614" spans="1:24" hidden="1" x14ac:dyDescent="0.35">
      <c r="A7614">
        <v>7610</v>
      </c>
      <c r="B7614">
        <v>7611</v>
      </c>
      <c r="C7614">
        <v>146.10075895899899</v>
      </c>
      <c r="D7614">
        <v>-17.614166705399899</v>
      </c>
      <c r="E7614" s="92" t="str">
        <f t="shared" si="30"/>
        <v/>
      </c>
      <c r="G7614" s="92"/>
      <c r="I7614">
        <v>7</v>
      </c>
      <c r="J7614" t="s">
        <v>26</v>
      </c>
      <c r="K7614" s="57"/>
      <c r="S7614" s="57"/>
      <c r="X7614" s="57"/>
    </row>
    <row r="7615" spans="1:24" hidden="1" x14ac:dyDescent="0.35">
      <c r="A7615">
        <v>7611</v>
      </c>
      <c r="B7615">
        <v>7612</v>
      </c>
      <c r="C7615">
        <v>146.10067166600001</v>
      </c>
      <c r="D7615">
        <v>-17.614146523999899</v>
      </c>
      <c r="E7615" s="92" t="str">
        <f t="shared" si="30"/>
        <v/>
      </c>
      <c r="G7615" s="92"/>
      <c r="I7615">
        <v>7</v>
      </c>
      <c r="J7615" t="s">
        <v>26</v>
      </c>
      <c r="K7615" s="57"/>
      <c r="S7615" s="57"/>
      <c r="X7615" s="57"/>
    </row>
    <row r="7616" spans="1:24" hidden="1" x14ac:dyDescent="0.35">
      <c r="A7616">
        <v>7612</v>
      </c>
      <c r="B7616">
        <v>7613</v>
      </c>
      <c r="C7616">
        <v>146.100581836</v>
      </c>
      <c r="D7616">
        <v>-17.6141461146</v>
      </c>
      <c r="E7616" s="92" t="str">
        <f t="shared" si="30"/>
        <v/>
      </c>
      <c r="G7616" s="92"/>
      <c r="I7616">
        <v>7</v>
      </c>
      <c r="J7616" t="s">
        <v>26</v>
      </c>
      <c r="K7616" s="57"/>
      <c r="S7616" s="57"/>
      <c r="X7616" s="57"/>
    </row>
    <row r="7617" spans="1:24" hidden="1" x14ac:dyDescent="0.35">
      <c r="A7617">
        <v>7613</v>
      </c>
      <c r="B7617">
        <v>7614</v>
      </c>
      <c r="C7617">
        <v>146.10049200500001</v>
      </c>
      <c r="D7617">
        <v>-17.6141457051</v>
      </c>
      <c r="E7617" s="92" t="str">
        <f t="shared" si="30"/>
        <v/>
      </c>
      <c r="G7617" s="92"/>
      <c r="I7617">
        <v>7</v>
      </c>
      <c r="J7617" t="s">
        <v>26</v>
      </c>
      <c r="K7617" s="57"/>
      <c r="S7617" s="57"/>
      <c r="X7617" s="57"/>
    </row>
    <row r="7618" spans="1:24" hidden="1" x14ac:dyDescent="0.35">
      <c r="A7618">
        <v>7614</v>
      </c>
      <c r="B7618">
        <v>7615</v>
      </c>
      <c r="C7618">
        <v>146.100402174999</v>
      </c>
      <c r="D7618">
        <v>-17.614145295699899</v>
      </c>
      <c r="E7618" s="92">
        <f t="shared" si="30"/>
        <v>50</v>
      </c>
      <c r="G7618" s="92"/>
      <c r="I7618">
        <v>7</v>
      </c>
      <c r="J7618" t="s">
        <v>26</v>
      </c>
      <c r="K7618" s="57"/>
      <c r="S7618" s="57"/>
      <c r="X7618" s="57"/>
    </row>
    <row r="7619" spans="1:24" hidden="1" x14ac:dyDescent="0.35">
      <c r="A7619">
        <v>7615</v>
      </c>
      <c r="B7619">
        <v>7616</v>
      </c>
      <c r="C7619">
        <v>146.10031483700001</v>
      </c>
      <c r="D7619">
        <v>-17.614161234800001</v>
      </c>
      <c r="E7619" s="92" t="str">
        <f t="shared" si="30"/>
        <v/>
      </c>
      <c r="G7619" s="92"/>
      <c r="I7619">
        <v>7</v>
      </c>
      <c r="J7619" t="s">
        <v>26</v>
      </c>
      <c r="K7619" s="57"/>
      <c r="S7619" s="57"/>
      <c r="X7619" s="57"/>
    </row>
    <row r="7620" spans="1:24" hidden="1" x14ac:dyDescent="0.35">
      <c r="A7620">
        <v>7616</v>
      </c>
      <c r="B7620">
        <v>7617</v>
      </c>
      <c r="C7620">
        <v>146.10022884700001</v>
      </c>
      <c r="D7620">
        <v>-17.6141860032</v>
      </c>
      <c r="E7620" s="92" t="str">
        <f t="shared" si="30"/>
        <v/>
      </c>
      <c r="G7620" s="92"/>
      <c r="I7620">
        <v>7</v>
      </c>
      <c r="J7620" t="s">
        <v>26</v>
      </c>
      <c r="K7620" s="57"/>
      <c r="S7620" s="57"/>
      <c r="X7620" s="57"/>
    </row>
    <row r="7621" spans="1:24" hidden="1" x14ac:dyDescent="0.35">
      <c r="A7621">
        <v>7617</v>
      </c>
      <c r="B7621">
        <v>7618</v>
      </c>
      <c r="C7621">
        <v>146.100142855999</v>
      </c>
      <c r="D7621">
        <v>-17.614210771700002</v>
      </c>
      <c r="E7621" s="92" t="str">
        <f t="shared" si="30"/>
        <v/>
      </c>
      <c r="G7621" s="92"/>
      <c r="I7621">
        <v>7</v>
      </c>
      <c r="J7621" t="s">
        <v>26</v>
      </c>
      <c r="K7621" s="57"/>
      <c r="S7621" s="57"/>
      <c r="X7621" s="57"/>
    </row>
    <row r="7622" spans="1:24" hidden="1" x14ac:dyDescent="0.35">
      <c r="A7622">
        <v>7618</v>
      </c>
      <c r="B7622">
        <v>7619</v>
      </c>
      <c r="C7622">
        <v>146.10006301600001</v>
      </c>
      <c r="D7622">
        <v>-17.614249205499899</v>
      </c>
      <c r="E7622" s="92" t="str">
        <f t="shared" si="30"/>
        <v/>
      </c>
      <c r="G7622" s="92"/>
      <c r="I7622">
        <v>7</v>
      </c>
      <c r="J7622" t="s">
        <v>26</v>
      </c>
      <c r="K7622" s="57"/>
      <c r="S7622" s="57"/>
      <c r="X7622" s="57"/>
    </row>
    <row r="7623" spans="1:24" hidden="1" x14ac:dyDescent="0.35">
      <c r="A7623">
        <v>7619</v>
      </c>
      <c r="B7623">
        <v>7620</v>
      </c>
      <c r="C7623">
        <v>146.099988609999</v>
      </c>
      <c r="D7623">
        <v>-17.614296829200001</v>
      </c>
      <c r="E7623" s="92">
        <f t="shared" si="30"/>
        <v>50</v>
      </c>
      <c r="G7623" s="92"/>
      <c r="I7623">
        <v>7</v>
      </c>
      <c r="J7623" t="s">
        <v>26</v>
      </c>
      <c r="K7623" s="57"/>
      <c r="S7623" s="57"/>
      <c r="X7623" s="57"/>
    </row>
    <row r="7624" spans="1:24" hidden="1" x14ac:dyDescent="0.35">
      <c r="A7624">
        <v>7620</v>
      </c>
      <c r="B7624">
        <v>7621</v>
      </c>
      <c r="C7624">
        <v>146.09991724700001</v>
      </c>
      <c r="D7624">
        <v>-17.6143488328999</v>
      </c>
      <c r="E7624" s="92" t="str">
        <f t="shared" si="30"/>
        <v/>
      </c>
      <c r="G7624" s="92"/>
      <c r="I7624">
        <v>7</v>
      </c>
      <c r="J7624" t="s">
        <v>26</v>
      </c>
      <c r="K7624" s="57"/>
      <c r="S7624" s="57"/>
      <c r="X7624" s="57"/>
    </row>
    <row r="7625" spans="1:24" hidden="1" x14ac:dyDescent="0.35">
      <c r="A7625">
        <v>7621</v>
      </c>
      <c r="B7625">
        <v>7622</v>
      </c>
      <c r="C7625">
        <v>146.099845883999</v>
      </c>
      <c r="D7625">
        <v>-17.614400836600002</v>
      </c>
      <c r="E7625" s="92" t="str">
        <f t="shared" si="30"/>
        <v/>
      </c>
      <c r="G7625" s="92"/>
      <c r="I7625">
        <v>7</v>
      </c>
      <c r="J7625" t="s">
        <v>26</v>
      </c>
      <c r="K7625" s="57"/>
      <c r="S7625" s="57"/>
      <c r="X7625" s="57"/>
    </row>
    <row r="7626" spans="1:24" hidden="1" x14ac:dyDescent="0.35">
      <c r="A7626">
        <v>7622</v>
      </c>
      <c r="B7626">
        <v>7623</v>
      </c>
      <c r="C7626">
        <v>146.09977452000001</v>
      </c>
      <c r="D7626">
        <v>-17.614452840199899</v>
      </c>
      <c r="E7626" s="92" t="str">
        <f t="shared" si="30"/>
        <v/>
      </c>
      <c r="G7626" s="92"/>
      <c r="I7626">
        <v>7</v>
      </c>
      <c r="J7626" t="s">
        <v>26</v>
      </c>
      <c r="K7626" s="57"/>
      <c r="S7626" s="57"/>
      <c r="X7626" s="57"/>
    </row>
    <row r="7627" spans="1:24" hidden="1" x14ac:dyDescent="0.35">
      <c r="A7627">
        <v>7623</v>
      </c>
      <c r="B7627">
        <v>7624</v>
      </c>
      <c r="C7627">
        <v>146.099707961999</v>
      </c>
      <c r="D7627">
        <v>-17.614509765600001</v>
      </c>
      <c r="E7627" s="92" t="str">
        <f t="shared" si="30"/>
        <v/>
      </c>
      <c r="G7627" s="92"/>
      <c r="I7627">
        <v>7</v>
      </c>
      <c r="J7627" t="s">
        <v>26</v>
      </c>
      <c r="K7627" s="57"/>
      <c r="S7627" s="57"/>
      <c r="X7627" s="57"/>
    </row>
    <row r="7628" spans="1:24" hidden="1" x14ac:dyDescent="0.35">
      <c r="A7628">
        <v>7624</v>
      </c>
      <c r="B7628">
        <v>7625</v>
      </c>
      <c r="C7628">
        <v>146.099648411</v>
      </c>
      <c r="D7628">
        <v>-17.6145738684999</v>
      </c>
      <c r="E7628" s="92">
        <f t="shared" si="30"/>
        <v>50</v>
      </c>
      <c r="G7628" s="92"/>
      <c r="I7628">
        <v>7</v>
      </c>
      <c r="J7628" t="s">
        <v>26</v>
      </c>
      <c r="K7628" s="57"/>
      <c r="S7628" s="57"/>
      <c r="X7628" s="57"/>
    </row>
    <row r="7629" spans="1:24" hidden="1" x14ac:dyDescent="0.35">
      <c r="A7629">
        <v>7625</v>
      </c>
      <c r="B7629">
        <v>7626</v>
      </c>
      <c r="C7629">
        <v>146.099588861</v>
      </c>
      <c r="D7629">
        <v>-17.614637971499899</v>
      </c>
      <c r="E7629" s="92" t="str">
        <f t="shared" si="30"/>
        <v/>
      </c>
      <c r="G7629" s="92"/>
      <c r="I7629">
        <v>7</v>
      </c>
      <c r="J7629" t="s">
        <v>26</v>
      </c>
      <c r="K7629" s="57"/>
      <c r="S7629" s="57"/>
      <c r="X7629" s="57"/>
    </row>
    <row r="7630" spans="1:24" hidden="1" x14ac:dyDescent="0.35">
      <c r="A7630">
        <v>7626</v>
      </c>
      <c r="B7630">
        <v>7627</v>
      </c>
      <c r="C7630">
        <v>146.09952931000001</v>
      </c>
      <c r="D7630">
        <v>-17.614702074499899</v>
      </c>
      <c r="E7630" s="92" t="str">
        <f t="shared" si="30"/>
        <v/>
      </c>
      <c r="G7630" s="92"/>
      <c r="I7630">
        <v>7</v>
      </c>
      <c r="J7630" t="s">
        <v>26</v>
      </c>
      <c r="K7630" s="57"/>
      <c r="S7630" s="57"/>
      <c r="X7630" s="57"/>
    </row>
    <row r="7631" spans="1:24" hidden="1" x14ac:dyDescent="0.35">
      <c r="A7631">
        <v>7627</v>
      </c>
      <c r="B7631">
        <v>7628</v>
      </c>
      <c r="C7631">
        <v>146.09947811000001</v>
      </c>
      <c r="D7631">
        <v>-17.6147723787</v>
      </c>
      <c r="E7631" s="92" t="str">
        <f t="shared" si="30"/>
        <v/>
      </c>
      <c r="G7631" s="92"/>
      <c r="I7631">
        <v>7</v>
      </c>
      <c r="J7631" t="s">
        <v>26</v>
      </c>
      <c r="K7631" s="57"/>
      <c r="S7631" s="57"/>
      <c r="X7631" s="57"/>
    </row>
    <row r="7632" spans="1:24" hidden="1" x14ac:dyDescent="0.35">
      <c r="A7632">
        <v>7628</v>
      </c>
      <c r="B7632">
        <v>7629</v>
      </c>
      <c r="C7632">
        <v>146.09942745500001</v>
      </c>
      <c r="D7632">
        <v>-17.614843087800001</v>
      </c>
      <c r="E7632" s="92" t="str">
        <f t="shared" ref="E7632:E7695" si="31">IF(MOD(B7632,5)=0, 50, "")</f>
        <v/>
      </c>
      <c r="G7632" s="92"/>
      <c r="I7632">
        <v>7</v>
      </c>
      <c r="J7632" t="s">
        <v>26</v>
      </c>
      <c r="K7632" s="57"/>
      <c r="S7632" s="57"/>
      <c r="X7632" s="57"/>
    </row>
    <row r="7633" spans="1:24" hidden="1" x14ac:dyDescent="0.35">
      <c r="A7633">
        <v>7629</v>
      </c>
      <c r="B7633">
        <v>7630</v>
      </c>
      <c r="C7633">
        <v>146.099381730999</v>
      </c>
      <c r="D7633">
        <v>-17.614916662399899</v>
      </c>
      <c r="E7633" s="92">
        <f t="shared" si="31"/>
        <v>50</v>
      </c>
      <c r="G7633" s="92"/>
      <c r="I7633">
        <v>7</v>
      </c>
      <c r="J7633" t="s">
        <v>26</v>
      </c>
      <c r="K7633" s="57"/>
      <c r="S7633" s="57"/>
      <c r="X7633" s="57"/>
    </row>
    <row r="7634" spans="1:24" hidden="1" x14ac:dyDescent="0.35">
      <c r="A7634">
        <v>7630</v>
      </c>
      <c r="B7634">
        <v>7631</v>
      </c>
      <c r="C7634">
        <v>146.09936302200001</v>
      </c>
      <c r="D7634">
        <v>-17.614996965300001</v>
      </c>
      <c r="E7634" s="92" t="str">
        <f t="shared" si="31"/>
        <v/>
      </c>
      <c r="G7634" s="92"/>
      <c r="I7634">
        <v>7</v>
      </c>
      <c r="J7634" t="s">
        <v>26</v>
      </c>
      <c r="K7634" s="57"/>
      <c r="S7634" s="57"/>
      <c r="X7634" s="57"/>
    </row>
    <row r="7635" spans="1:24" hidden="1" x14ac:dyDescent="0.35">
      <c r="A7635">
        <v>7631</v>
      </c>
      <c r="B7635">
        <v>7632</v>
      </c>
      <c r="C7635">
        <v>146.099387049999</v>
      </c>
      <c r="D7635">
        <v>-17.6150766204</v>
      </c>
      <c r="E7635" s="92" t="str">
        <f t="shared" si="31"/>
        <v/>
      </c>
      <c r="G7635" s="92"/>
      <c r="I7635">
        <v>7</v>
      </c>
      <c r="J7635" t="s">
        <v>26</v>
      </c>
      <c r="K7635" s="57"/>
      <c r="S7635" s="57"/>
      <c r="X7635" s="57"/>
    </row>
    <row r="7636" spans="1:24" hidden="1" x14ac:dyDescent="0.35">
      <c r="A7636">
        <v>7632</v>
      </c>
      <c r="B7636">
        <v>7633</v>
      </c>
      <c r="C7636">
        <v>146.099436499999</v>
      </c>
      <c r="D7636">
        <v>-17.6151480917</v>
      </c>
      <c r="E7636" s="92" t="str">
        <f t="shared" si="31"/>
        <v/>
      </c>
      <c r="G7636" s="92"/>
      <c r="I7636">
        <v>7</v>
      </c>
      <c r="J7636" t="s">
        <v>26</v>
      </c>
      <c r="K7636" s="57"/>
      <c r="S7636" s="57"/>
      <c r="X7636" s="57"/>
    </row>
    <row r="7637" spans="1:24" hidden="1" x14ac:dyDescent="0.35">
      <c r="A7637">
        <v>7633</v>
      </c>
      <c r="B7637">
        <v>7634</v>
      </c>
      <c r="C7637">
        <v>146.09949072200001</v>
      </c>
      <c r="D7637">
        <v>-17.6152163546999</v>
      </c>
      <c r="E7637" s="92" t="str">
        <f t="shared" si="31"/>
        <v/>
      </c>
      <c r="G7637" s="92"/>
      <c r="I7637">
        <v>7</v>
      </c>
      <c r="J7637" t="s">
        <v>26</v>
      </c>
      <c r="K7637" s="57"/>
      <c r="S7637" s="57"/>
      <c r="X7637" s="57"/>
    </row>
    <row r="7638" spans="1:24" hidden="1" x14ac:dyDescent="0.35">
      <c r="A7638">
        <v>7634</v>
      </c>
      <c r="B7638">
        <v>7635</v>
      </c>
      <c r="C7638">
        <v>146.099522280999</v>
      </c>
      <c r="D7638">
        <v>-17.6152954959</v>
      </c>
      <c r="E7638" s="92">
        <f t="shared" si="31"/>
        <v>50</v>
      </c>
      <c r="G7638" s="92"/>
      <c r="I7638">
        <v>7</v>
      </c>
      <c r="J7638" t="s">
        <v>26</v>
      </c>
      <c r="K7638" s="57"/>
      <c r="S7638" s="57"/>
      <c r="X7638" s="57"/>
    </row>
    <row r="7639" spans="1:24" hidden="1" x14ac:dyDescent="0.35">
      <c r="A7639">
        <v>7635</v>
      </c>
      <c r="B7639">
        <v>7636</v>
      </c>
      <c r="C7639">
        <v>146.099545613999</v>
      </c>
      <c r="D7639">
        <v>-17.615378080100001</v>
      </c>
      <c r="E7639" s="92" t="str">
        <f t="shared" si="31"/>
        <v/>
      </c>
      <c r="G7639" s="92"/>
      <c r="I7639">
        <v>7</v>
      </c>
      <c r="J7639" t="s">
        <v>26</v>
      </c>
      <c r="K7639" s="57"/>
      <c r="S7639" s="57"/>
      <c r="X7639" s="57"/>
    </row>
    <row r="7640" spans="1:24" hidden="1" x14ac:dyDescent="0.35">
      <c r="A7640">
        <v>7636</v>
      </c>
      <c r="B7640">
        <v>7637</v>
      </c>
      <c r="C7640">
        <v>146.09956028400001</v>
      </c>
      <c r="D7640">
        <v>-17.61546255</v>
      </c>
      <c r="E7640" s="92" t="str">
        <f t="shared" si="31"/>
        <v/>
      </c>
      <c r="G7640" s="92"/>
      <c r="I7640">
        <v>7</v>
      </c>
      <c r="J7640" t="s">
        <v>26</v>
      </c>
      <c r="K7640" s="57"/>
      <c r="S7640" s="57"/>
      <c r="X7640" s="57"/>
    </row>
    <row r="7641" spans="1:24" hidden="1" x14ac:dyDescent="0.35">
      <c r="A7641">
        <v>7637</v>
      </c>
      <c r="B7641">
        <v>7638</v>
      </c>
      <c r="C7641">
        <v>146.099574953</v>
      </c>
      <c r="D7641">
        <v>-17.6155470198999</v>
      </c>
      <c r="E7641" s="92" t="str">
        <f t="shared" si="31"/>
        <v/>
      </c>
      <c r="G7641" s="92"/>
      <c r="I7641">
        <v>7</v>
      </c>
      <c r="J7641" t="s">
        <v>26</v>
      </c>
      <c r="K7641" s="57"/>
      <c r="S7641" s="57"/>
      <c r="X7641" s="57"/>
    </row>
    <row r="7642" spans="1:24" hidden="1" x14ac:dyDescent="0.35">
      <c r="A7642">
        <v>7638</v>
      </c>
      <c r="B7642">
        <v>7639</v>
      </c>
      <c r="C7642">
        <v>146.09957727899899</v>
      </c>
      <c r="D7642">
        <v>-17.6156316518999</v>
      </c>
      <c r="E7642" s="92" t="str">
        <f t="shared" si="31"/>
        <v/>
      </c>
      <c r="G7642" s="92"/>
      <c r="I7642">
        <v>7</v>
      </c>
      <c r="J7642" t="s">
        <v>26</v>
      </c>
      <c r="K7642" s="57"/>
      <c r="S7642" s="57"/>
      <c r="X7642" s="57"/>
    </row>
    <row r="7643" spans="1:24" hidden="1" x14ac:dyDescent="0.35">
      <c r="A7643">
        <v>7639</v>
      </c>
      <c r="B7643">
        <v>7640</v>
      </c>
      <c r="C7643">
        <v>146.09956505599899</v>
      </c>
      <c r="D7643">
        <v>-17.6157164747999</v>
      </c>
      <c r="E7643" s="92">
        <f t="shared" si="31"/>
        <v>50</v>
      </c>
      <c r="G7643" s="92"/>
      <c r="I7643">
        <v>7</v>
      </c>
      <c r="J7643" t="s">
        <v>26</v>
      </c>
      <c r="K7643" s="57"/>
      <c r="S7643" s="57"/>
      <c r="X7643" s="57"/>
    </row>
    <row r="7644" spans="1:24" hidden="1" x14ac:dyDescent="0.35">
      <c r="A7644">
        <v>7640</v>
      </c>
      <c r="B7644">
        <v>7641</v>
      </c>
      <c r="C7644">
        <v>146.09955283400001</v>
      </c>
      <c r="D7644">
        <v>-17.6158012976999</v>
      </c>
      <c r="E7644" s="92" t="str">
        <f t="shared" si="31"/>
        <v/>
      </c>
      <c r="G7644" s="92"/>
      <c r="I7644">
        <v>7</v>
      </c>
      <c r="J7644" t="s">
        <v>26</v>
      </c>
      <c r="K7644" s="57"/>
      <c r="S7644" s="57"/>
      <c r="X7644" s="57"/>
    </row>
    <row r="7645" spans="1:24" hidden="1" x14ac:dyDescent="0.35">
      <c r="A7645">
        <v>7641</v>
      </c>
      <c r="B7645">
        <v>7642</v>
      </c>
      <c r="C7645">
        <v>146.09954061100001</v>
      </c>
      <c r="D7645">
        <v>-17.615886120500001</v>
      </c>
      <c r="E7645" s="92" t="str">
        <f t="shared" si="31"/>
        <v/>
      </c>
      <c r="G7645" s="92"/>
      <c r="I7645">
        <v>7</v>
      </c>
      <c r="J7645" t="s">
        <v>26</v>
      </c>
      <c r="K7645" s="57"/>
      <c r="S7645" s="57"/>
      <c r="X7645" s="57"/>
    </row>
    <row r="7646" spans="1:24" hidden="1" x14ac:dyDescent="0.35">
      <c r="A7646">
        <v>7642</v>
      </c>
      <c r="B7646">
        <v>7643</v>
      </c>
      <c r="C7646">
        <v>146.09949290399899</v>
      </c>
      <c r="D7646">
        <v>-17.615958463799899</v>
      </c>
      <c r="E7646" s="92" t="str">
        <f t="shared" si="31"/>
        <v/>
      </c>
      <c r="G7646" s="92"/>
      <c r="I7646">
        <v>7</v>
      </c>
      <c r="J7646" t="s">
        <v>26</v>
      </c>
      <c r="K7646" s="57"/>
      <c r="S7646" s="57"/>
      <c r="X7646" s="57"/>
    </row>
    <row r="7647" spans="1:24" hidden="1" x14ac:dyDescent="0.35">
      <c r="A7647">
        <v>7643</v>
      </c>
      <c r="B7647">
        <v>7644</v>
      </c>
      <c r="C7647">
        <v>146.09944439</v>
      </c>
      <c r="D7647">
        <v>-17.6160305235999</v>
      </c>
      <c r="E7647" s="92" t="str">
        <f t="shared" si="31"/>
        <v/>
      </c>
      <c r="G7647" s="92"/>
      <c r="I7647">
        <v>7</v>
      </c>
      <c r="J7647" t="s">
        <v>26</v>
      </c>
      <c r="K7647" s="57"/>
      <c r="S7647" s="57"/>
      <c r="X7647" s="57"/>
    </row>
    <row r="7648" spans="1:24" hidden="1" x14ac:dyDescent="0.35">
      <c r="A7648">
        <v>7644</v>
      </c>
      <c r="B7648">
        <v>7645</v>
      </c>
      <c r="C7648">
        <v>146.09939587700001</v>
      </c>
      <c r="D7648">
        <v>-17.616102583299899</v>
      </c>
      <c r="E7648" s="92">
        <f t="shared" si="31"/>
        <v>50</v>
      </c>
      <c r="G7648" s="92"/>
      <c r="I7648">
        <v>7</v>
      </c>
      <c r="J7648" t="s">
        <v>26</v>
      </c>
      <c r="K7648" s="57"/>
      <c r="S7648" s="57"/>
      <c r="X7648" s="57"/>
    </row>
    <row r="7649" spans="1:24" hidden="1" x14ac:dyDescent="0.35">
      <c r="A7649">
        <v>7645</v>
      </c>
      <c r="B7649">
        <v>7646</v>
      </c>
      <c r="C7649">
        <v>146.09932772600001</v>
      </c>
      <c r="D7649">
        <v>-17.6161556642999</v>
      </c>
      <c r="E7649" s="92" t="str">
        <f t="shared" si="31"/>
        <v/>
      </c>
      <c r="G7649" s="92"/>
      <c r="I7649">
        <v>7</v>
      </c>
      <c r="J7649" t="s">
        <v>26</v>
      </c>
      <c r="K7649" s="57"/>
      <c r="S7649" s="57"/>
      <c r="X7649" s="57"/>
    </row>
    <row r="7650" spans="1:24" hidden="1" x14ac:dyDescent="0.35">
      <c r="A7650">
        <v>7646</v>
      </c>
      <c r="B7650">
        <v>7647</v>
      </c>
      <c r="C7650">
        <v>146.099248697999</v>
      </c>
      <c r="D7650">
        <v>-17.616194898900002</v>
      </c>
      <c r="E7650" s="92" t="str">
        <f t="shared" si="31"/>
        <v/>
      </c>
      <c r="G7650" s="92"/>
      <c r="I7650">
        <v>7</v>
      </c>
      <c r="J7650" t="s">
        <v>26</v>
      </c>
      <c r="K7650" s="57"/>
      <c r="S7650" s="57"/>
      <c r="X7650" s="57"/>
    </row>
    <row r="7651" spans="1:24" hidden="1" x14ac:dyDescent="0.35">
      <c r="A7651">
        <v>7647</v>
      </c>
      <c r="B7651">
        <v>7648</v>
      </c>
      <c r="C7651">
        <v>146.09916209599899</v>
      </c>
      <c r="D7651">
        <v>-17.616217649300001</v>
      </c>
      <c r="E7651" s="92" t="str">
        <f t="shared" si="31"/>
        <v/>
      </c>
      <c r="G7651" s="92"/>
      <c r="I7651">
        <v>7</v>
      </c>
      <c r="J7651" t="s">
        <v>26</v>
      </c>
      <c r="K7651" s="57"/>
      <c r="S7651" s="57"/>
      <c r="X7651" s="57"/>
    </row>
    <row r="7652" spans="1:24" hidden="1" x14ac:dyDescent="0.35">
      <c r="A7652">
        <v>7648</v>
      </c>
      <c r="B7652">
        <v>7649</v>
      </c>
      <c r="C7652">
        <v>146.099075494</v>
      </c>
      <c r="D7652">
        <v>-17.616240399700001</v>
      </c>
      <c r="E7652" s="92" t="str">
        <f t="shared" si="31"/>
        <v/>
      </c>
      <c r="G7652" s="92"/>
      <c r="I7652">
        <v>7</v>
      </c>
      <c r="J7652" t="s">
        <v>26</v>
      </c>
      <c r="K7652" s="57"/>
      <c r="S7652" s="57"/>
      <c r="X7652" s="57"/>
    </row>
    <row r="7653" spans="1:24" hidden="1" x14ac:dyDescent="0.35">
      <c r="A7653">
        <v>7649</v>
      </c>
      <c r="B7653">
        <v>7650</v>
      </c>
      <c r="C7653">
        <v>146.098988891</v>
      </c>
      <c r="D7653">
        <v>-17.6162631501</v>
      </c>
      <c r="E7653" s="92">
        <f t="shared" si="31"/>
        <v>50</v>
      </c>
      <c r="G7653" s="92"/>
      <c r="I7653">
        <v>7</v>
      </c>
      <c r="J7653" t="s">
        <v>26</v>
      </c>
      <c r="K7653" s="57"/>
      <c r="S7653" s="57"/>
      <c r="X7653" s="57"/>
    </row>
    <row r="7654" spans="1:24" hidden="1" x14ac:dyDescent="0.35">
      <c r="A7654">
        <v>7650</v>
      </c>
      <c r="B7654">
        <v>7651</v>
      </c>
      <c r="C7654">
        <v>146.098899520999</v>
      </c>
      <c r="D7654">
        <v>-17.616267831799899</v>
      </c>
      <c r="E7654" s="92" t="str">
        <f t="shared" si="31"/>
        <v/>
      </c>
      <c r="G7654" s="92"/>
      <c r="I7654">
        <v>7</v>
      </c>
      <c r="J7654" t="s">
        <v>26</v>
      </c>
      <c r="K7654" s="57"/>
      <c r="S7654" s="57"/>
      <c r="X7654" s="57"/>
    </row>
    <row r="7655" spans="1:24" hidden="1" x14ac:dyDescent="0.35">
      <c r="A7655">
        <v>7651</v>
      </c>
      <c r="B7655">
        <v>7652</v>
      </c>
      <c r="C7655">
        <v>146.09880971000001</v>
      </c>
      <c r="D7655">
        <v>-17.6162696297</v>
      </c>
      <c r="E7655" s="92" t="str">
        <f t="shared" si="31"/>
        <v/>
      </c>
      <c r="G7655" s="92"/>
      <c r="I7655">
        <v>7</v>
      </c>
      <c r="J7655" t="s">
        <v>26</v>
      </c>
      <c r="K7655" s="57"/>
      <c r="S7655" s="57"/>
      <c r="X7655" s="57"/>
    </row>
    <row r="7656" spans="1:24" hidden="1" x14ac:dyDescent="0.35">
      <c r="A7656">
        <v>7652</v>
      </c>
      <c r="B7656">
        <v>7653</v>
      </c>
      <c r="C7656">
        <v>146.09871989800001</v>
      </c>
      <c r="D7656">
        <v>-17.616271427600001</v>
      </c>
      <c r="E7656" s="92" t="str">
        <f t="shared" si="31"/>
        <v/>
      </c>
      <c r="G7656" s="92"/>
      <c r="I7656">
        <v>7</v>
      </c>
      <c r="J7656" t="s">
        <v>26</v>
      </c>
      <c r="K7656" s="57"/>
      <c r="S7656" s="57"/>
      <c r="X7656" s="57"/>
    </row>
    <row r="7657" spans="1:24" hidden="1" x14ac:dyDescent="0.35">
      <c r="A7657">
        <v>7653</v>
      </c>
      <c r="B7657">
        <v>7654</v>
      </c>
      <c r="C7657">
        <v>146.09863008599899</v>
      </c>
      <c r="D7657">
        <v>-17.616273225499899</v>
      </c>
      <c r="E7657" s="92" t="str">
        <f t="shared" si="31"/>
        <v/>
      </c>
      <c r="G7657" s="92"/>
      <c r="I7657">
        <v>7</v>
      </c>
      <c r="J7657" t="s">
        <v>26</v>
      </c>
      <c r="K7657" s="57"/>
      <c r="S7657" s="57"/>
      <c r="X7657" s="57"/>
    </row>
    <row r="7658" spans="1:24" hidden="1" x14ac:dyDescent="0.35">
      <c r="A7658">
        <v>7654</v>
      </c>
      <c r="B7658">
        <v>7655</v>
      </c>
      <c r="C7658">
        <v>146.09854027399899</v>
      </c>
      <c r="D7658">
        <v>-17.616275023299899</v>
      </c>
      <c r="E7658" s="92">
        <f t="shared" si="31"/>
        <v>50</v>
      </c>
      <c r="G7658" s="92"/>
      <c r="I7658">
        <v>7</v>
      </c>
      <c r="J7658" t="s">
        <v>26</v>
      </c>
      <c r="K7658" s="57"/>
      <c r="S7658" s="57"/>
      <c r="X7658" s="57"/>
    </row>
    <row r="7659" spans="1:24" hidden="1" x14ac:dyDescent="0.35">
      <c r="A7659">
        <v>7655</v>
      </c>
      <c r="B7659">
        <v>7656</v>
      </c>
      <c r="C7659">
        <v>146.09845046300001</v>
      </c>
      <c r="D7659">
        <v>-17.6162768212</v>
      </c>
      <c r="E7659" s="92" t="str">
        <f t="shared" si="31"/>
        <v/>
      </c>
      <c r="G7659" s="92"/>
      <c r="I7659">
        <v>7</v>
      </c>
      <c r="J7659" t="s">
        <v>26</v>
      </c>
      <c r="K7659" s="57"/>
      <c r="S7659" s="57"/>
      <c r="X7659" s="57"/>
    </row>
    <row r="7660" spans="1:24" hidden="1" x14ac:dyDescent="0.35">
      <c r="A7660">
        <v>7656</v>
      </c>
      <c r="B7660">
        <v>7657</v>
      </c>
      <c r="C7660">
        <v>146.09836067800001</v>
      </c>
      <c r="D7660">
        <v>-17.616279571100002</v>
      </c>
      <c r="E7660" s="92" t="str">
        <f t="shared" si="31"/>
        <v/>
      </c>
      <c r="G7660" s="92"/>
      <c r="I7660">
        <v>7</v>
      </c>
      <c r="J7660" t="s">
        <v>26</v>
      </c>
      <c r="K7660" s="57"/>
      <c r="S7660" s="57"/>
      <c r="X7660" s="57"/>
    </row>
    <row r="7661" spans="1:24" hidden="1" x14ac:dyDescent="0.35">
      <c r="A7661">
        <v>7657</v>
      </c>
      <c r="B7661">
        <v>7658</v>
      </c>
      <c r="C7661">
        <v>146.098270896</v>
      </c>
      <c r="D7661">
        <v>-17.6162824096</v>
      </c>
      <c r="E7661" s="92" t="str">
        <f t="shared" si="31"/>
        <v/>
      </c>
      <c r="G7661" s="92"/>
      <c r="I7661">
        <v>7</v>
      </c>
      <c r="J7661" t="s">
        <v>26</v>
      </c>
      <c r="K7661" s="57"/>
      <c r="S7661" s="57"/>
      <c r="X7661" s="57"/>
    </row>
    <row r="7662" spans="1:24" hidden="1" x14ac:dyDescent="0.35">
      <c r="A7662">
        <v>7658</v>
      </c>
      <c r="B7662">
        <v>7659</v>
      </c>
      <c r="C7662">
        <v>146.098181113999</v>
      </c>
      <c r="D7662">
        <v>-17.616285248000001</v>
      </c>
      <c r="E7662" s="92" t="str">
        <f t="shared" si="31"/>
        <v/>
      </c>
      <c r="G7662" s="92"/>
      <c r="I7662">
        <v>7</v>
      </c>
      <c r="J7662" t="s">
        <v>26</v>
      </c>
      <c r="K7662" s="57"/>
      <c r="S7662" s="57"/>
      <c r="X7662" s="57"/>
    </row>
    <row r="7663" spans="1:24" hidden="1" x14ac:dyDescent="0.35">
      <c r="A7663">
        <v>7659</v>
      </c>
      <c r="B7663">
        <v>7660</v>
      </c>
      <c r="C7663">
        <v>146.098091331999</v>
      </c>
      <c r="D7663">
        <v>-17.6162880864999</v>
      </c>
      <c r="E7663" s="92">
        <f t="shared" si="31"/>
        <v>50</v>
      </c>
      <c r="G7663" s="92"/>
      <c r="I7663">
        <v>7</v>
      </c>
      <c r="J7663" t="s">
        <v>26</v>
      </c>
      <c r="K7663" s="57"/>
      <c r="S7663" s="57"/>
      <c r="X7663" s="57"/>
    </row>
    <row r="7664" spans="1:24" hidden="1" x14ac:dyDescent="0.35">
      <c r="A7664">
        <v>7660</v>
      </c>
      <c r="B7664">
        <v>7661</v>
      </c>
      <c r="C7664">
        <v>146.09800154600001</v>
      </c>
      <c r="D7664">
        <v>-17.6162908218</v>
      </c>
      <c r="E7664" s="92" t="str">
        <f t="shared" si="31"/>
        <v/>
      </c>
      <c r="G7664" s="92"/>
      <c r="I7664">
        <v>7</v>
      </c>
      <c r="J7664" t="s">
        <v>26</v>
      </c>
      <c r="K7664" s="57"/>
      <c r="S7664" s="57"/>
      <c r="X7664" s="57"/>
    </row>
    <row r="7665" spans="1:24" hidden="1" x14ac:dyDescent="0.35">
      <c r="A7665">
        <v>7661</v>
      </c>
      <c r="B7665">
        <v>7662</v>
      </c>
      <c r="C7665">
        <v>146.09791175999899</v>
      </c>
      <c r="D7665">
        <v>-17.6162935418999</v>
      </c>
      <c r="E7665" s="92" t="str">
        <f t="shared" si="31"/>
        <v/>
      </c>
      <c r="G7665" s="92"/>
      <c r="I7665">
        <v>7</v>
      </c>
      <c r="J7665" t="s">
        <v>26</v>
      </c>
      <c r="K7665" s="57"/>
      <c r="S7665" s="57"/>
      <c r="X7665" s="57"/>
    </row>
    <row r="7666" spans="1:24" hidden="1" x14ac:dyDescent="0.35">
      <c r="A7666">
        <v>7662</v>
      </c>
      <c r="B7666">
        <v>7663</v>
      </c>
      <c r="C7666">
        <v>146.097821973999</v>
      </c>
      <c r="D7666">
        <v>-17.616296262100001</v>
      </c>
      <c r="E7666" s="92" t="str">
        <f t="shared" si="31"/>
        <v/>
      </c>
      <c r="G7666" s="92"/>
      <c r="I7666">
        <v>7</v>
      </c>
      <c r="J7666" t="s">
        <v>26</v>
      </c>
      <c r="K7666" s="57"/>
      <c r="S7666" s="57"/>
      <c r="X7666" s="57"/>
    </row>
    <row r="7667" spans="1:24" hidden="1" x14ac:dyDescent="0.35">
      <c r="A7667">
        <v>7663</v>
      </c>
      <c r="B7667">
        <v>7664</v>
      </c>
      <c r="C7667">
        <v>146.097732186999</v>
      </c>
      <c r="D7667">
        <v>-17.6162989822</v>
      </c>
      <c r="E7667" s="92" t="str">
        <f t="shared" si="31"/>
        <v/>
      </c>
      <c r="G7667" s="92"/>
      <c r="I7667">
        <v>7</v>
      </c>
      <c r="J7667" t="s">
        <v>26</v>
      </c>
      <c r="K7667" s="57"/>
      <c r="S7667" s="57"/>
      <c r="X7667" s="57"/>
    </row>
    <row r="7668" spans="1:24" hidden="1" x14ac:dyDescent="0.35">
      <c r="A7668">
        <v>7664</v>
      </c>
      <c r="B7668">
        <v>7665</v>
      </c>
      <c r="C7668">
        <v>146.097642583999</v>
      </c>
      <c r="D7668">
        <v>-17.616304709200001</v>
      </c>
      <c r="E7668" s="92">
        <f t="shared" si="31"/>
        <v>50</v>
      </c>
      <c r="G7668" s="92"/>
      <c r="I7668">
        <v>7</v>
      </c>
      <c r="J7668" t="s">
        <v>26</v>
      </c>
      <c r="K7668" s="57"/>
      <c r="S7668" s="57"/>
      <c r="X7668" s="57"/>
    </row>
    <row r="7669" spans="1:24" hidden="1" x14ac:dyDescent="0.35">
      <c r="A7669">
        <v>7665</v>
      </c>
      <c r="B7669">
        <v>7666</v>
      </c>
      <c r="C7669">
        <v>146.09755306700001</v>
      </c>
      <c r="D7669">
        <v>-17.616311871400001</v>
      </c>
      <c r="E7669" s="92" t="str">
        <f t="shared" si="31"/>
        <v/>
      </c>
      <c r="G7669" s="92"/>
      <c r="I7669">
        <v>7</v>
      </c>
      <c r="J7669" t="s">
        <v>26</v>
      </c>
      <c r="K7669" s="57"/>
      <c r="S7669" s="57"/>
      <c r="X7669" s="57"/>
    </row>
    <row r="7670" spans="1:24" hidden="1" x14ac:dyDescent="0.35">
      <c r="A7670">
        <v>7666</v>
      </c>
      <c r="B7670">
        <v>7667</v>
      </c>
      <c r="C7670">
        <v>146.09746410100001</v>
      </c>
      <c r="D7670">
        <v>-17.6163210916</v>
      </c>
      <c r="E7670" s="92" t="str">
        <f t="shared" si="31"/>
        <v/>
      </c>
      <c r="G7670" s="92"/>
      <c r="I7670">
        <v>7</v>
      </c>
      <c r="J7670" t="s">
        <v>26</v>
      </c>
      <c r="K7670" s="57"/>
      <c r="S7670" s="57"/>
      <c r="X7670" s="57"/>
    </row>
    <row r="7671" spans="1:24" hidden="1" x14ac:dyDescent="0.35">
      <c r="A7671">
        <v>7667</v>
      </c>
      <c r="B7671">
        <v>7668</v>
      </c>
      <c r="C7671">
        <v>146.09738192</v>
      </c>
      <c r="D7671">
        <v>-17.616355667699899</v>
      </c>
      <c r="E7671" s="92" t="str">
        <f t="shared" si="31"/>
        <v/>
      </c>
      <c r="G7671" s="92"/>
      <c r="I7671">
        <v>7</v>
      </c>
      <c r="J7671" t="s">
        <v>26</v>
      </c>
      <c r="K7671" s="57"/>
      <c r="S7671" s="57"/>
      <c r="X7671" s="57"/>
    </row>
    <row r="7672" spans="1:24" hidden="1" x14ac:dyDescent="0.35">
      <c r="A7672">
        <v>7668</v>
      </c>
      <c r="B7672">
        <v>7669</v>
      </c>
      <c r="C7672">
        <v>146.09729974000001</v>
      </c>
      <c r="D7672">
        <v>-17.616390243800002</v>
      </c>
      <c r="E7672" s="92" t="str">
        <f t="shared" si="31"/>
        <v/>
      </c>
      <c r="G7672" s="92"/>
      <c r="I7672">
        <v>7</v>
      </c>
      <c r="J7672" t="s">
        <v>26</v>
      </c>
      <c r="K7672" s="57"/>
      <c r="S7672" s="57"/>
      <c r="X7672" s="57"/>
    </row>
    <row r="7673" spans="1:24" hidden="1" x14ac:dyDescent="0.35">
      <c r="A7673">
        <v>7669</v>
      </c>
      <c r="B7673">
        <v>7670</v>
      </c>
      <c r="C7673">
        <v>146.09721950700001</v>
      </c>
      <c r="D7673">
        <v>-17.616427160600001</v>
      </c>
      <c r="E7673" s="92">
        <f t="shared" si="31"/>
        <v>50</v>
      </c>
      <c r="G7673" s="92"/>
      <c r="I7673">
        <v>7</v>
      </c>
      <c r="J7673" t="s">
        <v>26</v>
      </c>
      <c r="K7673" s="57"/>
      <c r="S7673" s="57"/>
      <c r="X7673" s="57"/>
    </row>
    <row r="7674" spans="1:24" hidden="1" x14ac:dyDescent="0.35">
      <c r="A7674">
        <v>7670</v>
      </c>
      <c r="B7674">
        <v>7671</v>
      </c>
      <c r="C7674">
        <v>146.09716547599899</v>
      </c>
      <c r="D7674">
        <v>-17.616495560699899</v>
      </c>
      <c r="E7674" s="92" t="str">
        <f t="shared" si="31"/>
        <v/>
      </c>
      <c r="G7674" s="92"/>
      <c r="I7674">
        <v>7</v>
      </c>
      <c r="J7674" t="s">
        <v>26</v>
      </c>
      <c r="K7674" s="57"/>
      <c r="S7674" s="57"/>
      <c r="X7674" s="57"/>
    </row>
    <row r="7675" spans="1:24" hidden="1" x14ac:dyDescent="0.35">
      <c r="A7675">
        <v>7671</v>
      </c>
      <c r="B7675">
        <v>7672</v>
      </c>
      <c r="C7675">
        <v>146.097118085999</v>
      </c>
      <c r="D7675">
        <v>-17.616566539600001</v>
      </c>
      <c r="E7675" s="92" t="str">
        <f t="shared" si="31"/>
        <v/>
      </c>
      <c r="G7675" s="92"/>
      <c r="I7675">
        <v>7</v>
      </c>
      <c r="J7675" t="s">
        <v>26</v>
      </c>
      <c r="K7675" s="57"/>
      <c r="S7675" s="57"/>
      <c r="X7675" s="57"/>
    </row>
    <row r="7676" spans="1:24" hidden="1" x14ac:dyDescent="0.35">
      <c r="A7676">
        <v>7672</v>
      </c>
      <c r="B7676">
        <v>7673</v>
      </c>
      <c r="C7676">
        <v>146.097106588</v>
      </c>
      <c r="D7676">
        <v>-17.6166514539999</v>
      </c>
      <c r="E7676" s="92" t="str">
        <f t="shared" si="31"/>
        <v/>
      </c>
      <c r="G7676" s="92"/>
      <c r="I7676">
        <v>7</v>
      </c>
      <c r="J7676" t="s">
        <v>26</v>
      </c>
      <c r="K7676" s="57"/>
      <c r="S7676" s="57"/>
      <c r="X7676" s="57"/>
    </row>
    <row r="7677" spans="1:24" hidden="1" x14ac:dyDescent="0.35">
      <c r="A7677">
        <v>7673</v>
      </c>
      <c r="B7677">
        <v>7674</v>
      </c>
      <c r="C7677">
        <v>146.09710805399899</v>
      </c>
      <c r="D7677">
        <v>-17.616734940600001</v>
      </c>
      <c r="E7677" s="92" t="str">
        <f t="shared" si="31"/>
        <v/>
      </c>
      <c r="G7677" s="92"/>
      <c r="I7677">
        <v>7</v>
      </c>
      <c r="J7677" t="s">
        <v>26</v>
      </c>
      <c r="K7677" s="57"/>
      <c r="S7677" s="57"/>
      <c r="X7677" s="57"/>
    </row>
    <row r="7678" spans="1:24" hidden="1" x14ac:dyDescent="0.35">
      <c r="A7678">
        <v>7674</v>
      </c>
      <c r="B7678">
        <v>7675</v>
      </c>
      <c r="C7678">
        <v>146.097139566999</v>
      </c>
      <c r="D7678">
        <v>-17.616815118200002</v>
      </c>
      <c r="E7678" s="92">
        <f t="shared" si="31"/>
        <v>50</v>
      </c>
      <c r="G7678" s="92"/>
      <c r="I7678">
        <v>7</v>
      </c>
      <c r="J7678" t="s">
        <v>26</v>
      </c>
      <c r="K7678" s="57"/>
      <c r="S7678" s="57"/>
      <c r="X7678" s="57"/>
    </row>
    <row r="7679" spans="1:24" hidden="1" x14ac:dyDescent="0.35">
      <c r="A7679">
        <v>7675</v>
      </c>
      <c r="B7679">
        <v>7676</v>
      </c>
      <c r="C7679">
        <v>146.09717108000001</v>
      </c>
      <c r="D7679">
        <v>-17.616895295700001</v>
      </c>
      <c r="E7679" s="92" t="str">
        <f t="shared" si="31"/>
        <v/>
      </c>
      <c r="G7679" s="92"/>
      <c r="I7679">
        <v>7</v>
      </c>
      <c r="J7679" t="s">
        <v>26</v>
      </c>
      <c r="K7679" s="57"/>
      <c r="S7679" s="57"/>
      <c r="X7679" s="57"/>
    </row>
    <row r="7680" spans="1:24" hidden="1" x14ac:dyDescent="0.35">
      <c r="A7680">
        <v>7676</v>
      </c>
      <c r="B7680">
        <v>7677</v>
      </c>
      <c r="C7680">
        <v>146.097211678999</v>
      </c>
      <c r="D7680">
        <v>-17.616971080500001</v>
      </c>
      <c r="E7680" s="92" t="str">
        <f t="shared" si="31"/>
        <v/>
      </c>
      <c r="G7680" s="92"/>
      <c r="I7680">
        <v>7</v>
      </c>
      <c r="J7680" t="s">
        <v>26</v>
      </c>
      <c r="K7680" s="57"/>
      <c r="S7680" s="57"/>
      <c r="X7680" s="57"/>
    </row>
    <row r="7681" spans="1:24" hidden="1" x14ac:dyDescent="0.35">
      <c r="A7681">
        <v>7677</v>
      </c>
      <c r="B7681">
        <v>7678</v>
      </c>
      <c r="C7681">
        <v>146.097260941</v>
      </c>
      <c r="D7681">
        <v>-17.617042676899899</v>
      </c>
      <c r="E7681" s="92" t="str">
        <f t="shared" si="31"/>
        <v/>
      </c>
      <c r="G7681" s="92"/>
      <c r="I7681">
        <v>7</v>
      </c>
      <c r="J7681" t="s">
        <v>26</v>
      </c>
      <c r="K7681" s="57"/>
      <c r="S7681" s="57"/>
      <c r="X7681" s="57"/>
    </row>
    <row r="7682" spans="1:24" hidden="1" x14ac:dyDescent="0.35">
      <c r="A7682">
        <v>7678</v>
      </c>
      <c r="B7682">
        <v>7679</v>
      </c>
      <c r="C7682">
        <v>146.097310203999</v>
      </c>
      <c r="D7682">
        <v>-17.6171142733</v>
      </c>
      <c r="E7682" s="92" t="str">
        <f t="shared" si="31"/>
        <v/>
      </c>
      <c r="G7682" s="92"/>
      <c r="I7682">
        <v>7</v>
      </c>
      <c r="J7682" t="s">
        <v>26</v>
      </c>
      <c r="K7682" s="57"/>
      <c r="S7682" s="57"/>
      <c r="X7682" s="57"/>
    </row>
    <row r="7683" spans="1:24" hidden="1" x14ac:dyDescent="0.35">
      <c r="A7683">
        <v>7679</v>
      </c>
      <c r="B7683">
        <v>7680</v>
      </c>
      <c r="C7683">
        <v>146.097359466</v>
      </c>
      <c r="D7683">
        <v>-17.6171858696</v>
      </c>
      <c r="E7683" s="92">
        <f t="shared" si="31"/>
        <v>50</v>
      </c>
      <c r="G7683" s="92"/>
      <c r="I7683">
        <v>7</v>
      </c>
      <c r="J7683" t="s">
        <v>26</v>
      </c>
      <c r="K7683" s="57"/>
      <c r="S7683" s="57"/>
      <c r="X7683" s="57"/>
    </row>
    <row r="7684" spans="1:24" hidden="1" x14ac:dyDescent="0.35">
      <c r="A7684">
        <v>7680</v>
      </c>
      <c r="B7684">
        <v>7681</v>
      </c>
      <c r="C7684">
        <v>146.09742144800001</v>
      </c>
      <c r="D7684">
        <v>-17.617246675899899</v>
      </c>
      <c r="E7684" s="92" t="str">
        <f t="shared" si="31"/>
        <v/>
      </c>
      <c r="G7684" s="92"/>
      <c r="I7684">
        <v>7</v>
      </c>
      <c r="J7684" t="s">
        <v>26</v>
      </c>
      <c r="K7684" s="57"/>
      <c r="S7684" s="57"/>
      <c r="X7684" s="57"/>
    </row>
    <row r="7685" spans="1:24" hidden="1" x14ac:dyDescent="0.35">
      <c r="A7685">
        <v>7681</v>
      </c>
      <c r="B7685">
        <v>7682</v>
      </c>
      <c r="C7685">
        <v>146.097490346</v>
      </c>
      <c r="D7685">
        <v>-17.617301616199899</v>
      </c>
      <c r="E7685" s="92" t="str">
        <f t="shared" si="31"/>
        <v/>
      </c>
      <c r="G7685" s="92"/>
      <c r="I7685">
        <v>7</v>
      </c>
      <c r="J7685" t="s">
        <v>26</v>
      </c>
      <c r="K7685" s="57"/>
      <c r="S7685" s="57"/>
      <c r="X7685" s="57"/>
    </row>
    <row r="7686" spans="1:24" hidden="1" x14ac:dyDescent="0.35">
      <c r="A7686">
        <v>7682</v>
      </c>
      <c r="B7686">
        <v>7683</v>
      </c>
      <c r="C7686">
        <v>146.097559243999</v>
      </c>
      <c r="D7686">
        <v>-17.617356556400001</v>
      </c>
      <c r="E7686" s="92" t="str">
        <f t="shared" si="31"/>
        <v/>
      </c>
      <c r="G7686" s="92"/>
      <c r="I7686">
        <v>7</v>
      </c>
      <c r="J7686" t="s">
        <v>26</v>
      </c>
      <c r="K7686" s="57"/>
      <c r="S7686" s="57"/>
      <c r="X7686" s="57"/>
    </row>
    <row r="7687" spans="1:24" hidden="1" x14ac:dyDescent="0.35">
      <c r="A7687">
        <v>7683</v>
      </c>
      <c r="B7687">
        <v>7684</v>
      </c>
      <c r="C7687">
        <v>146.097628141</v>
      </c>
      <c r="D7687">
        <v>-17.617411496700001</v>
      </c>
      <c r="E7687" s="92" t="str">
        <f t="shared" si="31"/>
        <v/>
      </c>
      <c r="G7687" s="92"/>
      <c r="I7687">
        <v>7</v>
      </c>
      <c r="J7687" t="s">
        <v>26</v>
      </c>
      <c r="K7687" s="57"/>
      <c r="S7687" s="57"/>
      <c r="X7687" s="57"/>
    </row>
    <row r="7688" spans="1:24" hidden="1" x14ac:dyDescent="0.35">
      <c r="A7688">
        <v>7684</v>
      </c>
      <c r="B7688">
        <v>7685</v>
      </c>
      <c r="C7688">
        <v>146.097697038999</v>
      </c>
      <c r="D7688">
        <v>-17.6174664368999</v>
      </c>
      <c r="E7688" s="92">
        <f t="shared" si="31"/>
        <v>50</v>
      </c>
      <c r="G7688" s="92"/>
      <c r="I7688">
        <v>7</v>
      </c>
      <c r="J7688" t="s">
        <v>26</v>
      </c>
      <c r="K7688" s="57"/>
      <c r="S7688" s="57"/>
      <c r="X7688" s="57"/>
    </row>
    <row r="7689" spans="1:24" hidden="1" x14ac:dyDescent="0.35">
      <c r="A7689">
        <v>7685</v>
      </c>
      <c r="B7689">
        <v>7686</v>
      </c>
      <c r="C7689">
        <v>146.097765936999</v>
      </c>
      <c r="D7689">
        <v>-17.617521377100001</v>
      </c>
      <c r="E7689" s="92" t="str">
        <f t="shared" si="31"/>
        <v/>
      </c>
      <c r="G7689" s="92"/>
      <c r="I7689">
        <v>7</v>
      </c>
      <c r="J7689" t="s">
        <v>26</v>
      </c>
      <c r="K7689" s="57"/>
      <c r="S7689" s="57"/>
      <c r="X7689" s="57"/>
    </row>
    <row r="7690" spans="1:24" hidden="1" x14ac:dyDescent="0.35">
      <c r="A7690">
        <v>7686</v>
      </c>
      <c r="B7690">
        <v>7687</v>
      </c>
      <c r="C7690">
        <v>146.09783483499899</v>
      </c>
      <c r="D7690">
        <v>-17.6175763172999</v>
      </c>
      <c r="E7690" s="92" t="str">
        <f t="shared" si="31"/>
        <v/>
      </c>
      <c r="G7690" s="92"/>
      <c r="I7690">
        <v>7</v>
      </c>
      <c r="J7690" t="s">
        <v>26</v>
      </c>
      <c r="K7690" s="57"/>
      <c r="S7690" s="57"/>
      <c r="X7690" s="57"/>
    </row>
    <row r="7691" spans="1:24" hidden="1" x14ac:dyDescent="0.35">
      <c r="A7691">
        <v>7687</v>
      </c>
      <c r="B7691">
        <v>7688</v>
      </c>
      <c r="C7691">
        <v>146.09790915100001</v>
      </c>
      <c r="D7691">
        <v>-17.617624345100001</v>
      </c>
      <c r="E7691" s="92" t="str">
        <f t="shared" si="31"/>
        <v/>
      </c>
      <c r="G7691" s="92"/>
      <c r="I7691">
        <v>7</v>
      </c>
      <c r="J7691" t="s">
        <v>26</v>
      </c>
      <c r="K7691" s="57"/>
      <c r="S7691" s="57"/>
      <c r="X7691" s="57"/>
    </row>
    <row r="7692" spans="1:24" hidden="1" x14ac:dyDescent="0.35">
      <c r="A7692">
        <v>7688</v>
      </c>
      <c r="B7692">
        <v>7689</v>
      </c>
      <c r="C7692">
        <v>146.097983962999</v>
      </c>
      <c r="D7692">
        <v>-17.617671740900001</v>
      </c>
      <c r="E7692" s="92" t="str">
        <f t="shared" si="31"/>
        <v/>
      </c>
      <c r="G7692" s="92"/>
      <c r="I7692">
        <v>7</v>
      </c>
      <c r="J7692" t="s">
        <v>26</v>
      </c>
      <c r="K7692" s="57"/>
      <c r="S7692" s="57"/>
      <c r="X7692" s="57"/>
    </row>
    <row r="7693" spans="1:24" hidden="1" x14ac:dyDescent="0.35">
      <c r="A7693">
        <v>7689</v>
      </c>
      <c r="B7693">
        <v>7690</v>
      </c>
      <c r="C7693">
        <v>146.098058774999</v>
      </c>
      <c r="D7693">
        <v>-17.6177191367</v>
      </c>
      <c r="E7693" s="92">
        <f t="shared" si="31"/>
        <v>50</v>
      </c>
      <c r="G7693" s="92"/>
      <c r="I7693">
        <v>7</v>
      </c>
      <c r="J7693" t="s">
        <v>26</v>
      </c>
      <c r="K7693" s="57"/>
      <c r="S7693" s="57"/>
      <c r="X7693" s="57"/>
    </row>
    <row r="7694" spans="1:24" hidden="1" x14ac:dyDescent="0.35">
      <c r="A7694">
        <v>7690</v>
      </c>
      <c r="B7694">
        <v>7691</v>
      </c>
      <c r="C7694">
        <v>146.09813358700001</v>
      </c>
      <c r="D7694">
        <v>-17.6177665324999</v>
      </c>
      <c r="E7694" s="92" t="str">
        <f t="shared" si="31"/>
        <v/>
      </c>
      <c r="G7694" s="92"/>
      <c r="I7694">
        <v>7</v>
      </c>
      <c r="J7694" t="s">
        <v>26</v>
      </c>
      <c r="K7694" s="57"/>
      <c r="S7694" s="57"/>
      <c r="X7694" s="57"/>
    </row>
    <row r="7695" spans="1:24" hidden="1" x14ac:dyDescent="0.35">
      <c r="A7695">
        <v>7691</v>
      </c>
      <c r="B7695">
        <v>7692</v>
      </c>
      <c r="C7695">
        <v>146.09820888799899</v>
      </c>
      <c r="D7695">
        <v>-17.617813178799899</v>
      </c>
      <c r="E7695" s="92" t="str">
        <f t="shared" si="31"/>
        <v/>
      </c>
      <c r="G7695" s="92"/>
      <c r="I7695">
        <v>7</v>
      </c>
      <c r="J7695" t="s">
        <v>26</v>
      </c>
      <c r="K7695" s="57"/>
      <c r="S7695" s="57"/>
      <c r="X7695" s="57"/>
    </row>
    <row r="7696" spans="1:24" hidden="1" x14ac:dyDescent="0.35">
      <c r="A7696">
        <v>7692</v>
      </c>
      <c r="B7696">
        <v>7693</v>
      </c>
      <c r="C7696">
        <v>146.098286551</v>
      </c>
      <c r="D7696">
        <v>-17.6178562071999</v>
      </c>
      <c r="E7696" s="92" t="str">
        <f t="shared" ref="E7696:E7759" si="32">IF(MOD(B7696,5)=0, 50, "")</f>
        <v/>
      </c>
      <c r="G7696" s="92"/>
      <c r="I7696">
        <v>7</v>
      </c>
      <c r="J7696" t="s">
        <v>26</v>
      </c>
      <c r="K7696" s="57"/>
      <c r="S7696" s="57"/>
      <c r="X7696" s="57"/>
    </row>
    <row r="7697" spans="1:24" hidden="1" x14ac:dyDescent="0.35">
      <c r="A7697">
        <v>7693</v>
      </c>
      <c r="B7697">
        <v>7694</v>
      </c>
      <c r="C7697">
        <v>146.098359931999</v>
      </c>
      <c r="D7697">
        <v>-17.617904623200001</v>
      </c>
      <c r="E7697" s="92" t="str">
        <f t="shared" si="32"/>
        <v/>
      </c>
      <c r="G7697" s="92"/>
      <c r="I7697">
        <v>7</v>
      </c>
      <c r="J7697" t="s">
        <v>26</v>
      </c>
      <c r="K7697" s="57"/>
      <c r="S7697" s="57"/>
      <c r="X7697" s="57"/>
    </row>
    <row r="7698" spans="1:24" hidden="1" x14ac:dyDescent="0.35">
      <c r="A7698">
        <v>7694</v>
      </c>
      <c r="B7698">
        <v>7695</v>
      </c>
      <c r="C7698">
        <v>146.098424424999</v>
      </c>
      <c r="D7698">
        <v>-17.617964222600001</v>
      </c>
      <c r="E7698" s="92">
        <f t="shared" si="32"/>
        <v>50</v>
      </c>
      <c r="G7698" s="92"/>
      <c r="I7698">
        <v>7</v>
      </c>
      <c r="J7698" t="s">
        <v>26</v>
      </c>
      <c r="K7698" s="57"/>
      <c r="S7698" s="57"/>
      <c r="X7698" s="57"/>
    </row>
    <row r="7699" spans="1:24" hidden="1" x14ac:dyDescent="0.35">
      <c r="A7699">
        <v>7695</v>
      </c>
      <c r="B7699">
        <v>7696</v>
      </c>
      <c r="C7699">
        <v>146.09848892100001</v>
      </c>
      <c r="D7699">
        <v>-17.6180238237</v>
      </c>
      <c r="E7699" s="92" t="str">
        <f t="shared" si="32"/>
        <v/>
      </c>
      <c r="G7699" s="92"/>
      <c r="I7699">
        <v>7</v>
      </c>
      <c r="J7699" t="s">
        <v>26</v>
      </c>
      <c r="K7699" s="57"/>
      <c r="S7699" s="57"/>
      <c r="X7699" s="57"/>
    </row>
    <row r="7700" spans="1:24" hidden="1" x14ac:dyDescent="0.35">
      <c r="A7700">
        <v>7696</v>
      </c>
      <c r="B7700">
        <v>7697</v>
      </c>
      <c r="C7700">
        <v>146.09852452300001</v>
      </c>
      <c r="D7700">
        <v>-17.618102427899899</v>
      </c>
      <c r="E7700" s="92" t="str">
        <f t="shared" si="32"/>
        <v/>
      </c>
      <c r="G7700" s="92"/>
      <c r="I7700">
        <v>7</v>
      </c>
      <c r="J7700" t="s">
        <v>26</v>
      </c>
      <c r="K7700" s="57"/>
      <c r="S7700" s="57"/>
      <c r="X7700" s="57"/>
    </row>
    <row r="7701" spans="1:24" hidden="1" x14ac:dyDescent="0.35">
      <c r="A7701">
        <v>7697</v>
      </c>
      <c r="B7701">
        <v>7698</v>
      </c>
      <c r="C7701">
        <v>146.098560125999</v>
      </c>
      <c r="D7701">
        <v>-17.618181034300001</v>
      </c>
      <c r="E7701" s="92" t="str">
        <f t="shared" si="32"/>
        <v/>
      </c>
      <c r="G7701" s="92"/>
      <c r="I7701">
        <v>7</v>
      </c>
      <c r="J7701" t="s">
        <v>26</v>
      </c>
      <c r="K7701" s="57"/>
      <c r="S7701" s="57"/>
      <c r="X7701" s="57"/>
    </row>
    <row r="7702" spans="1:24" hidden="1" x14ac:dyDescent="0.35">
      <c r="A7702">
        <v>7698</v>
      </c>
      <c r="B7702">
        <v>7699</v>
      </c>
      <c r="C7702">
        <v>146.098565116999</v>
      </c>
      <c r="D7702">
        <v>-17.6182659854999</v>
      </c>
      <c r="E7702" s="92" t="str">
        <f t="shared" si="32"/>
        <v/>
      </c>
      <c r="G7702" s="92"/>
      <c r="I7702">
        <v>7</v>
      </c>
      <c r="J7702" t="s">
        <v>26</v>
      </c>
      <c r="K7702" s="57"/>
      <c r="S7702" s="57"/>
      <c r="X7702" s="57"/>
    </row>
    <row r="7703" spans="1:24" hidden="1" x14ac:dyDescent="0.35">
      <c r="A7703">
        <v>7699</v>
      </c>
      <c r="B7703">
        <v>7700</v>
      </c>
      <c r="C7703">
        <v>146.098566981</v>
      </c>
      <c r="D7703">
        <v>-17.6183515849999</v>
      </c>
      <c r="E7703" s="92">
        <f t="shared" si="32"/>
        <v>50</v>
      </c>
      <c r="G7703" s="92"/>
      <c r="I7703">
        <v>7</v>
      </c>
      <c r="J7703" t="s">
        <v>26</v>
      </c>
      <c r="K7703" s="57"/>
      <c r="S7703" s="57"/>
      <c r="X7703" s="57"/>
    </row>
    <row r="7704" spans="1:24" hidden="1" x14ac:dyDescent="0.35">
      <c r="A7704">
        <v>7700</v>
      </c>
      <c r="B7704">
        <v>7701</v>
      </c>
      <c r="C7704">
        <v>146.098568843999</v>
      </c>
      <c r="D7704">
        <v>-17.618437184400001</v>
      </c>
      <c r="E7704" s="92" t="str">
        <f t="shared" si="32"/>
        <v/>
      </c>
      <c r="G7704" s="92"/>
      <c r="I7704">
        <v>7</v>
      </c>
      <c r="J7704" t="s">
        <v>26</v>
      </c>
      <c r="K7704" s="57"/>
      <c r="S7704" s="57"/>
      <c r="X7704" s="57"/>
    </row>
    <row r="7705" spans="1:24" hidden="1" x14ac:dyDescent="0.35">
      <c r="A7705">
        <v>7701</v>
      </c>
      <c r="B7705">
        <v>7702</v>
      </c>
      <c r="C7705">
        <v>146.09856305400001</v>
      </c>
      <c r="D7705">
        <v>-17.618522595400002</v>
      </c>
      <c r="E7705" s="92" t="str">
        <f t="shared" si="32"/>
        <v/>
      </c>
      <c r="G7705" s="92"/>
      <c r="I7705">
        <v>7</v>
      </c>
      <c r="J7705" t="s">
        <v>26</v>
      </c>
      <c r="K7705" s="57"/>
      <c r="S7705" s="57"/>
      <c r="X7705" s="57"/>
    </row>
    <row r="7706" spans="1:24" hidden="1" x14ac:dyDescent="0.35">
      <c r="A7706">
        <v>7702</v>
      </c>
      <c r="B7706">
        <v>7703</v>
      </c>
      <c r="C7706">
        <v>146.098556556999</v>
      </c>
      <c r="D7706">
        <v>-17.6186079888999</v>
      </c>
      <c r="E7706" s="92" t="str">
        <f t="shared" si="32"/>
        <v/>
      </c>
      <c r="G7706" s="92"/>
      <c r="I7706">
        <v>7</v>
      </c>
      <c r="J7706" t="s">
        <v>26</v>
      </c>
      <c r="K7706" s="57"/>
      <c r="S7706" s="57"/>
      <c r="X7706" s="57"/>
    </row>
    <row r="7707" spans="1:24" hidden="1" x14ac:dyDescent="0.35">
      <c r="A7707">
        <v>7703</v>
      </c>
      <c r="B7707">
        <v>7704</v>
      </c>
      <c r="C7707">
        <v>146.098550058999</v>
      </c>
      <c r="D7707">
        <v>-17.6186933824</v>
      </c>
      <c r="E7707" s="92" t="str">
        <f t="shared" si="32"/>
        <v/>
      </c>
      <c r="G7707" s="92"/>
      <c r="I7707">
        <v>7</v>
      </c>
      <c r="J7707" t="s">
        <v>26</v>
      </c>
      <c r="K7707" s="57"/>
      <c r="S7707" s="57"/>
      <c r="X7707" s="57"/>
    </row>
    <row r="7708" spans="1:24" hidden="1" x14ac:dyDescent="0.35">
      <c r="A7708">
        <v>7704</v>
      </c>
      <c r="B7708">
        <v>7705</v>
      </c>
      <c r="C7708">
        <v>146.098534645</v>
      </c>
      <c r="D7708">
        <v>-17.618777343800001</v>
      </c>
      <c r="E7708" s="92">
        <f t="shared" si="32"/>
        <v>50</v>
      </c>
      <c r="G7708" s="92"/>
      <c r="I7708">
        <v>7</v>
      </c>
      <c r="J7708" t="s">
        <v>26</v>
      </c>
      <c r="K7708" s="57"/>
      <c r="S7708" s="57"/>
      <c r="X7708" s="57"/>
    </row>
    <row r="7709" spans="1:24" hidden="1" x14ac:dyDescent="0.35">
      <c r="A7709">
        <v>7705</v>
      </c>
      <c r="B7709">
        <v>7706</v>
      </c>
      <c r="C7709">
        <v>146.098511422</v>
      </c>
      <c r="D7709">
        <v>-17.618860050999899</v>
      </c>
      <c r="E7709" s="92" t="str">
        <f t="shared" si="32"/>
        <v/>
      </c>
      <c r="G7709" s="92"/>
      <c r="I7709">
        <v>7</v>
      </c>
      <c r="J7709" t="s">
        <v>26</v>
      </c>
      <c r="K7709" s="57"/>
      <c r="S7709" s="57"/>
      <c r="X7709" s="57"/>
    </row>
    <row r="7710" spans="1:24" hidden="1" x14ac:dyDescent="0.35">
      <c r="A7710">
        <v>7706</v>
      </c>
      <c r="B7710">
        <v>7707</v>
      </c>
      <c r="C7710">
        <v>146.098488199</v>
      </c>
      <c r="D7710">
        <v>-17.6189427581999</v>
      </c>
      <c r="E7710" s="92" t="str">
        <f t="shared" si="32"/>
        <v/>
      </c>
      <c r="G7710" s="92"/>
      <c r="I7710">
        <v>7</v>
      </c>
      <c r="J7710" t="s">
        <v>26</v>
      </c>
      <c r="K7710" s="57"/>
      <c r="S7710" s="57"/>
      <c r="X7710" s="57"/>
    </row>
    <row r="7711" spans="1:24" hidden="1" x14ac:dyDescent="0.35">
      <c r="A7711">
        <v>7707</v>
      </c>
      <c r="B7711">
        <v>7708</v>
      </c>
      <c r="C7711">
        <v>146.098464976</v>
      </c>
      <c r="D7711">
        <v>-17.6190254654</v>
      </c>
      <c r="E7711" s="92" t="str">
        <f t="shared" si="32"/>
        <v/>
      </c>
      <c r="G7711" s="92"/>
      <c r="I7711">
        <v>7</v>
      </c>
      <c r="J7711" t="s">
        <v>26</v>
      </c>
      <c r="K7711" s="57"/>
      <c r="S7711" s="57"/>
      <c r="X7711" s="57"/>
    </row>
    <row r="7712" spans="1:24" hidden="1" x14ac:dyDescent="0.35">
      <c r="A7712">
        <v>7708</v>
      </c>
      <c r="B7712">
        <v>7709</v>
      </c>
      <c r="C7712">
        <v>146.098438141</v>
      </c>
      <c r="D7712">
        <v>-17.619107009699899</v>
      </c>
      <c r="E7712" s="92" t="str">
        <f t="shared" si="32"/>
        <v/>
      </c>
      <c r="G7712" s="92"/>
      <c r="I7712">
        <v>7</v>
      </c>
      <c r="J7712" t="s">
        <v>26</v>
      </c>
      <c r="K7712" s="57"/>
      <c r="S7712" s="57"/>
      <c r="X7712" s="57"/>
    </row>
    <row r="7713" spans="1:24" hidden="1" x14ac:dyDescent="0.35">
      <c r="A7713">
        <v>7709</v>
      </c>
      <c r="B7713">
        <v>7710</v>
      </c>
      <c r="C7713">
        <v>146.09840399500001</v>
      </c>
      <c r="D7713">
        <v>-17.6191862011</v>
      </c>
      <c r="E7713" s="92">
        <f t="shared" si="32"/>
        <v>50</v>
      </c>
      <c r="G7713" s="92"/>
      <c r="I7713">
        <v>7</v>
      </c>
      <c r="J7713" t="s">
        <v>26</v>
      </c>
      <c r="K7713" s="57"/>
      <c r="S7713" s="57"/>
      <c r="X7713" s="57"/>
    </row>
    <row r="7714" spans="1:24" hidden="1" x14ac:dyDescent="0.35">
      <c r="A7714">
        <v>7710</v>
      </c>
      <c r="B7714">
        <v>7711</v>
      </c>
      <c r="C7714">
        <v>146.09836985000001</v>
      </c>
      <c r="D7714">
        <v>-17.6192653923999</v>
      </c>
      <c r="E7714" s="92" t="str">
        <f t="shared" si="32"/>
        <v/>
      </c>
      <c r="G7714" s="92"/>
      <c r="I7714">
        <v>7</v>
      </c>
      <c r="J7714" t="s">
        <v>26</v>
      </c>
      <c r="K7714" s="57"/>
      <c r="S7714" s="57"/>
      <c r="X7714" s="57"/>
    </row>
    <row r="7715" spans="1:24" hidden="1" x14ac:dyDescent="0.35">
      <c r="A7715">
        <v>7711</v>
      </c>
      <c r="B7715">
        <v>7712</v>
      </c>
      <c r="C7715">
        <v>146.09833570500001</v>
      </c>
      <c r="D7715">
        <v>-17.619344583699899</v>
      </c>
      <c r="E7715" s="92" t="str">
        <f t="shared" si="32"/>
        <v/>
      </c>
      <c r="G7715" s="92"/>
      <c r="I7715">
        <v>7</v>
      </c>
      <c r="J7715" t="s">
        <v>26</v>
      </c>
      <c r="K7715" s="57"/>
      <c r="S7715" s="57"/>
      <c r="X7715" s="57"/>
    </row>
    <row r="7716" spans="1:24" hidden="1" x14ac:dyDescent="0.35">
      <c r="A7716">
        <v>7712</v>
      </c>
      <c r="B7716">
        <v>7713</v>
      </c>
      <c r="C7716">
        <v>146.09830156000001</v>
      </c>
      <c r="D7716">
        <v>-17.619423775000001</v>
      </c>
      <c r="E7716" s="92" t="str">
        <f t="shared" si="32"/>
        <v/>
      </c>
      <c r="G7716" s="92"/>
      <c r="I7716">
        <v>7</v>
      </c>
      <c r="J7716" t="s">
        <v>26</v>
      </c>
      <c r="K7716" s="57"/>
      <c r="S7716" s="57"/>
      <c r="X7716" s="57"/>
    </row>
    <row r="7717" spans="1:24" hidden="1" x14ac:dyDescent="0.35">
      <c r="A7717">
        <v>7713</v>
      </c>
      <c r="B7717">
        <v>7714</v>
      </c>
      <c r="C7717">
        <v>146.098267413999</v>
      </c>
      <c r="D7717">
        <v>-17.619502966300001</v>
      </c>
      <c r="E7717" s="92" t="str">
        <f t="shared" si="32"/>
        <v/>
      </c>
      <c r="G7717" s="92"/>
      <c r="I7717">
        <v>7</v>
      </c>
      <c r="J7717" t="s">
        <v>26</v>
      </c>
      <c r="K7717" s="57"/>
      <c r="S7717" s="57"/>
      <c r="X7717" s="57"/>
    </row>
    <row r="7718" spans="1:24" hidden="1" x14ac:dyDescent="0.35">
      <c r="A7718">
        <v>7714</v>
      </c>
      <c r="B7718">
        <v>7715</v>
      </c>
      <c r="C7718">
        <v>146.098232529</v>
      </c>
      <c r="D7718">
        <v>-17.619581768500002</v>
      </c>
      <c r="E7718" s="92">
        <f t="shared" si="32"/>
        <v>50</v>
      </c>
      <c r="G7718" s="92"/>
      <c r="I7718">
        <v>7</v>
      </c>
      <c r="J7718" t="s">
        <v>26</v>
      </c>
      <c r="K7718" s="57"/>
      <c r="S7718" s="57"/>
      <c r="X7718" s="57"/>
    </row>
    <row r="7719" spans="1:24" hidden="1" x14ac:dyDescent="0.35">
      <c r="A7719">
        <v>7715</v>
      </c>
      <c r="B7719">
        <v>7716</v>
      </c>
      <c r="C7719">
        <v>146.09818051600001</v>
      </c>
      <c r="D7719">
        <v>-17.619651574700001</v>
      </c>
      <c r="E7719" s="92" t="str">
        <f t="shared" si="32"/>
        <v/>
      </c>
      <c r="G7719" s="92"/>
      <c r="I7719">
        <v>7</v>
      </c>
      <c r="J7719" t="s">
        <v>26</v>
      </c>
      <c r="K7719" s="57"/>
      <c r="S7719" s="57"/>
      <c r="X7719" s="57"/>
    </row>
    <row r="7720" spans="1:24" hidden="1" x14ac:dyDescent="0.35">
      <c r="A7720">
        <v>7716</v>
      </c>
      <c r="B7720">
        <v>7717</v>
      </c>
      <c r="C7720">
        <v>146.09812850399899</v>
      </c>
      <c r="D7720">
        <v>-17.6197213809</v>
      </c>
      <c r="E7720" s="92" t="str">
        <f t="shared" si="32"/>
        <v/>
      </c>
      <c r="G7720" s="92"/>
      <c r="I7720">
        <v>7</v>
      </c>
      <c r="J7720" t="s">
        <v>26</v>
      </c>
      <c r="K7720" s="57"/>
      <c r="S7720" s="57"/>
      <c r="X7720" s="57"/>
    </row>
    <row r="7721" spans="1:24" hidden="1" x14ac:dyDescent="0.35">
      <c r="A7721">
        <v>7717</v>
      </c>
      <c r="B7721">
        <v>7718</v>
      </c>
      <c r="C7721">
        <v>146.098076491999</v>
      </c>
      <c r="D7721">
        <v>-17.619791187000001</v>
      </c>
      <c r="E7721" s="92" t="str">
        <f t="shared" si="32"/>
        <v/>
      </c>
      <c r="G7721" s="92"/>
      <c r="I7721">
        <v>7</v>
      </c>
      <c r="J7721" t="s">
        <v>26</v>
      </c>
      <c r="K7721" s="57"/>
      <c r="S7721" s="57"/>
      <c r="X7721" s="57"/>
    </row>
    <row r="7722" spans="1:24" hidden="1" x14ac:dyDescent="0.35">
      <c r="A7722">
        <v>7718</v>
      </c>
      <c r="B7722">
        <v>7719</v>
      </c>
      <c r="C7722">
        <v>146.098024479</v>
      </c>
      <c r="D7722">
        <v>-17.619860993100001</v>
      </c>
      <c r="E7722" s="92" t="str">
        <f t="shared" si="32"/>
        <v/>
      </c>
      <c r="G7722" s="92"/>
      <c r="I7722">
        <v>7</v>
      </c>
      <c r="J7722" t="s">
        <v>26</v>
      </c>
      <c r="K7722" s="57"/>
      <c r="S7722" s="57"/>
      <c r="X7722" s="57"/>
    </row>
    <row r="7723" spans="1:24" hidden="1" x14ac:dyDescent="0.35">
      <c r="A7723">
        <v>7719</v>
      </c>
      <c r="B7723">
        <v>7720</v>
      </c>
      <c r="C7723">
        <v>146.09797246700001</v>
      </c>
      <c r="D7723">
        <v>-17.619930799199899</v>
      </c>
      <c r="E7723" s="92">
        <f t="shared" si="32"/>
        <v>50</v>
      </c>
      <c r="G7723" s="92"/>
      <c r="I7723">
        <v>7</v>
      </c>
      <c r="J7723" t="s">
        <v>26</v>
      </c>
      <c r="K7723" s="57"/>
      <c r="S7723" s="57"/>
      <c r="X7723" s="57"/>
    </row>
    <row r="7724" spans="1:24" hidden="1" x14ac:dyDescent="0.35">
      <c r="A7724">
        <v>7720</v>
      </c>
      <c r="B7724">
        <v>7721</v>
      </c>
      <c r="C7724">
        <v>146.097920453999</v>
      </c>
      <c r="D7724">
        <v>-17.620000605200001</v>
      </c>
      <c r="E7724" s="92" t="str">
        <f t="shared" si="32"/>
        <v/>
      </c>
      <c r="G7724" s="92"/>
      <c r="I7724">
        <v>7</v>
      </c>
      <c r="J7724" t="s">
        <v>26</v>
      </c>
      <c r="K7724" s="57"/>
      <c r="S7724" s="57"/>
      <c r="X7724" s="57"/>
    </row>
    <row r="7725" spans="1:24" hidden="1" x14ac:dyDescent="0.35">
      <c r="A7725">
        <v>7721</v>
      </c>
      <c r="B7725">
        <v>7722</v>
      </c>
      <c r="C7725">
        <v>146.097868441999</v>
      </c>
      <c r="D7725">
        <v>-17.6200704112</v>
      </c>
      <c r="E7725" s="92" t="str">
        <f t="shared" si="32"/>
        <v/>
      </c>
      <c r="G7725" s="92"/>
      <c r="I7725">
        <v>7</v>
      </c>
      <c r="J7725" t="s">
        <v>26</v>
      </c>
      <c r="K7725" s="57"/>
      <c r="S7725" s="57"/>
      <c r="X7725" s="57"/>
    </row>
    <row r="7726" spans="1:24" hidden="1" x14ac:dyDescent="0.35">
      <c r="A7726">
        <v>7722</v>
      </c>
      <c r="B7726">
        <v>7723</v>
      </c>
      <c r="C7726">
        <v>146.097815381</v>
      </c>
      <c r="D7726">
        <v>-17.6201394763</v>
      </c>
      <c r="E7726" s="92" t="str">
        <f t="shared" si="32"/>
        <v/>
      </c>
      <c r="G7726" s="92"/>
      <c r="I7726">
        <v>7</v>
      </c>
      <c r="J7726" t="s">
        <v>26</v>
      </c>
      <c r="K7726" s="57"/>
      <c r="S7726" s="57"/>
      <c r="X7726" s="57"/>
    </row>
    <row r="7727" spans="1:24" hidden="1" x14ac:dyDescent="0.35">
      <c r="A7727">
        <v>7723</v>
      </c>
      <c r="B7727">
        <v>7724</v>
      </c>
      <c r="C7727">
        <v>146.09776040899899</v>
      </c>
      <c r="D7727">
        <v>-17.6202071909</v>
      </c>
      <c r="E7727" s="92" t="str">
        <f t="shared" si="32"/>
        <v/>
      </c>
      <c r="G7727" s="92"/>
      <c r="I7727">
        <v>7</v>
      </c>
      <c r="J7727" t="s">
        <v>26</v>
      </c>
      <c r="K7727" s="57"/>
      <c r="S7727" s="57"/>
      <c r="X7727" s="57"/>
    </row>
    <row r="7728" spans="1:24" hidden="1" x14ac:dyDescent="0.35">
      <c r="A7728">
        <v>7724</v>
      </c>
      <c r="B7728">
        <v>7725</v>
      </c>
      <c r="C7728">
        <v>146.097705437999</v>
      </c>
      <c r="D7728">
        <v>-17.620274905500001</v>
      </c>
      <c r="E7728" s="92">
        <f t="shared" si="32"/>
        <v>50</v>
      </c>
      <c r="G7728" s="92"/>
      <c r="I7728">
        <v>7</v>
      </c>
      <c r="J7728" t="s">
        <v>26</v>
      </c>
      <c r="K7728" s="57"/>
      <c r="S7728" s="57"/>
      <c r="X7728" s="57"/>
    </row>
    <row r="7729" spans="1:24" hidden="1" x14ac:dyDescent="0.35">
      <c r="A7729">
        <v>7725</v>
      </c>
      <c r="B7729">
        <v>7726</v>
      </c>
      <c r="C7729">
        <v>146.097650466</v>
      </c>
      <c r="D7729">
        <v>-17.620342620100001</v>
      </c>
      <c r="E7729" s="92" t="str">
        <f t="shared" si="32"/>
        <v/>
      </c>
      <c r="G7729" s="92"/>
      <c r="I7729">
        <v>7</v>
      </c>
      <c r="J7729" t="s">
        <v>26</v>
      </c>
      <c r="K7729" s="57"/>
      <c r="S7729" s="57"/>
      <c r="X7729" s="57"/>
    </row>
    <row r="7730" spans="1:24" hidden="1" x14ac:dyDescent="0.35">
      <c r="A7730">
        <v>7726</v>
      </c>
      <c r="B7730">
        <v>7727</v>
      </c>
      <c r="C7730">
        <v>146.09759549399899</v>
      </c>
      <c r="D7730">
        <v>-17.620410334599899</v>
      </c>
      <c r="E7730" s="92" t="str">
        <f t="shared" si="32"/>
        <v/>
      </c>
      <c r="G7730" s="92"/>
      <c r="I7730">
        <v>7</v>
      </c>
      <c r="J7730" t="s">
        <v>26</v>
      </c>
      <c r="K7730" s="57"/>
      <c r="S7730" s="57"/>
      <c r="X7730" s="57"/>
    </row>
    <row r="7731" spans="1:24" hidden="1" x14ac:dyDescent="0.35">
      <c r="A7731">
        <v>7727</v>
      </c>
      <c r="B7731">
        <v>7728</v>
      </c>
      <c r="C7731">
        <v>146.09753198799899</v>
      </c>
      <c r="D7731">
        <v>-17.6204704853</v>
      </c>
      <c r="E7731" s="92" t="str">
        <f t="shared" si="32"/>
        <v/>
      </c>
      <c r="G7731" s="92"/>
      <c r="I7731">
        <v>7</v>
      </c>
      <c r="J7731" t="s">
        <v>26</v>
      </c>
      <c r="K7731" s="57"/>
      <c r="S7731" s="57"/>
      <c r="X7731" s="57"/>
    </row>
    <row r="7732" spans="1:24" hidden="1" x14ac:dyDescent="0.35">
      <c r="A7732">
        <v>7728</v>
      </c>
      <c r="B7732">
        <v>7729</v>
      </c>
      <c r="C7732">
        <v>146.097465112999</v>
      </c>
      <c r="D7732">
        <v>-17.6205276494</v>
      </c>
      <c r="E7732" s="92" t="str">
        <f t="shared" si="32"/>
        <v/>
      </c>
      <c r="G7732" s="92"/>
      <c r="I7732">
        <v>7</v>
      </c>
      <c r="J7732" t="s">
        <v>26</v>
      </c>
      <c r="K7732" s="57"/>
      <c r="S7732" s="57"/>
      <c r="X7732" s="57"/>
    </row>
    <row r="7733" spans="1:24" hidden="1" x14ac:dyDescent="0.35">
      <c r="A7733">
        <v>7729</v>
      </c>
      <c r="B7733">
        <v>7730</v>
      </c>
      <c r="C7733">
        <v>146.097398236999</v>
      </c>
      <c r="D7733">
        <v>-17.620584813400001</v>
      </c>
      <c r="E7733" s="92">
        <f t="shared" si="32"/>
        <v>50</v>
      </c>
      <c r="G7733" s="92"/>
      <c r="I7733">
        <v>7</v>
      </c>
      <c r="J7733" t="s">
        <v>26</v>
      </c>
      <c r="K7733" s="57"/>
      <c r="S7733" s="57"/>
      <c r="X7733" s="57"/>
    </row>
    <row r="7734" spans="1:24" hidden="1" x14ac:dyDescent="0.35">
      <c r="A7734">
        <v>7730</v>
      </c>
      <c r="B7734">
        <v>7731</v>
      </c>
      <c r="C7734">
        <v>146.09733136200001</v>
      </c>
      <c r="D7734">
        <v>-17.6206419775</v>
      </c>
      <c r="E7734" s="92" t="str">
        <f t="shared" si="32"/>
        <v/>
      </c>
      <c r="G7734" s="92"/>
      <c r="I7734">
        <v>7</v>
      </c>
      <c r="J7734" t="s">
        <v>26</v>
      </c>
      <c r="K7734" s="57"/>
      <c r="S7734" s="57"/>
      <c r="X7734" s="57"/>
    </row>
    <row r="7735" spans="1:24" hidden="1" x14ac:dyDescent="0.35">
      <c r="A7735">
        <v>7731</v>
      </c>
      <c r="B7735">
        <v>7732</v>
      </c>
      <c r="C7735">
        <v>146.09725495800001</v>
      </c>
      <c r="D7735">
        <v>-17.620684869800002</v>
      </c>
      <c r="E7735" s="92" t="str">
        <f t="shared" si="32"/>
        <v/>
      </c>
      <c r="G7735" s="92"/>
      <c r="I7735">
        <v>7</v>
      </c>
      <c r="J7735" t="s">
        <v>26</v>
      </c>
      <c r="K7735" s="57"/>
      <c r="S7735" s="57"/>
      <c r="X7735" s="57"/>
    </row>
    <row r="7736" spans="1:24" hidden="1" x14ac:dyDescent="0.35">
      <c r="A7736">
        <v>7732</v>
      </c>
      <c r="B7736">
        <v>7733</v>
      </c>
      <c r="C7736">
        <v>146.097172298999</v>
      </c>
      <c r="D7736">
        <v>-17.620718393200001</v>
      </c>
      <c r="E7736" s="92" t="str">
        <f t="shared" si="32"/>
        <v/>
      </c>
      <c r="G7736" s="92"/>
      <c r="I7736">
        <v>7</v>
      </c>
      <c r="J7736" t="s">
        <v>26</v>
      </c>
      <c r="K7736" s="57"/>
      <c r="S7736" s="57"/>
      <c r="X7736" s="57"/>
    </row>
    <row r="7737" spans="1:24" hidden="1" x14ac:dyDescent="0.35">
      <c r="A7737">
        <v>7733</v>
      </c>
      <c r="B7737">
        <v>7734</v>
      </c>
      <c r="C7737">
        <v>146.09708964000001</v>
      </c>
      <c r="D7737">
        <v>-17.620751916700002</v>
      </c>
      <c r="E7737" s="92" t="str">
        <f t="shared" si="32"/>
        <v/>
      </c>
      <c r="G7737" s="92"/>
      <c r="I7737">
        <v>7</v>
      </c>
      <c r="J7737" t="s">
        <v>26</v>
      </c>
      <c r="K7737" s="57"/>
      <c r="S7737" s="57"/>
      <c r="X7737" s="57"/>
    </row>
    <row r="7738" spans="1:24" hidden="1" x14ac:dyDescent="0.35">
      <c r="A7738">
        <v>7734</v>
      </c>
      <c r="B7738">
        <v>7735</v>
      </c>
      <c r="C7738">
        <v>146.097006225999</v>
      </c>
      <c r="D7738">
        <v>-17.620782795099899</v>
      </c>
      <c r="E7738" s="92">
        <f t="shared" si="32"/>
        <v>50</v>
      </c>
      <c r="G7738" s="92"/>
      <c r="I7738">
        <v>7</v>
      </c>
      <c r="J7738" t="s">
        <v>26</v>
      </c>
      <c r="K7738" s="57"/>
      <c r="S7738" s="57"/>
      <c r="X7738" s="57"/>
    </row>
    <row r="7739" spans="1:24" hidden="1" x14ac:dyDescent="0.35">
      <c r="A7739">
        <v>7735</v>
      </c>
      <c r="B7739">
        <v>7736</v>
      </c>
      <c r="C7739">
        <v>146.096917136</v>
      </c>
      <c r="D7739">
        <v>-17.620793770999899</v>
      </c>
      <c r="E7739" s="92" t="str">
        <f t="shared" si="32"/>
        <v/>
      </c>
      <c r="G7739" s="92"/>
      <c r="I7739">
        <v>7</v>
      </c>
      <c r="J7739" t="s">
        <v>26</v>
      </c>
      <c r="K7739" s="57"/>
      <c r="S7739" s="57"/>
      <c r="X7739" s="57"/>
    </row>
    <row r="7740" spans="1:24" hidden="1" x14ac:dyDescent="0.35">
      <c r="A7740">
        <v>7736</v>
      </c>
      <c r="B7740">
        <v>7737</v>
      </c>
      <c r="C7740">
        <v>146.09682804600001</v>
      </c>
      <c r="D7740">
        <v>-17.6208047468999</v>
      </c>
      <c r="E7740" s="92" t="str">
        <f t="shared" si="32"/>
        <v/>
      </c>
      <c r="G7740" s="92"/>
      <c r="I7740">
        <v>7</v>
      </c>
      <c r="J7740" t="s">
        <v>26</v>
      </c>
      <c r="K7740" s="57"/>
      <c r="S7740" s="57"/>
      <c r="X7740" s="57"/>
    </row>
    <row r="7741" spans="1:24" hidden="1" x14ac:dyDescent="0.35">
      <c r="A7741">
        <v>7737</v>
      </c>
      <c r="B7741">
        <v>7738</v>
      </c>
      <c r="C7741">
        <v>146.09673895500001</v>
      </c>
      <c r="D7741">
        <v>-17.620815722700002</v>
      </c>
      <c r="E7741" s="92" t="str">
        <f t="shared" si="32"/>
        <v/>
      </c>
      <c r="G7741" s="92"/>
      <c r="I7741">
        <v>7</v>
      </c>
      <c r="J7741" t="s">
        <v>26</v>
      </c>
      <c r="K7741" s="57"/>
      <c r="S7741" s="57"/>
      <c r="X7741" s="57"/>
    </row>
    <row r="7742" spans="1:24" hidden="1" x14ac:dyDescent="0.35">
      <c r="A7742">
        <v>7738</v>
      </c>
      <c r="B7742">
        <v>7739</v>
      </c>
      <c r="C7742">
        <v>146.09665214399899</v>
      </c>
      <c r="D7742">
        <v>-17.620802486700001</v>
      </c>
      <c r="E7742" s="92" t="str">
        <f t="shared" si="32"/>
        <v/>
      </c>
      <c r="G7742" s="92"/>
      <c r="I7742">
        <v>7</v>
      </c>
      <c r="J7742" t="s">
        <v>26</v>
      </c>
      <c r="K7742" s="57"/>
      <c r="S7742" s="57"/>
      <c r="X7742" s="57"/>
    </row>
    <row r="7743" spans="1:24" hidden="1" x14ac:dyDescent="0.35">
      <c r="A7743">
        <v>7739</v>
      </c>
      <c r="B7743">
        <v>7740</v>
      </c>
      <c r="C7743">
        <v>146.096566523999</v>
      </c>
      <c r="D7743">
        <v>-17.620776576600001</v>
      </c>
      <c r="E7743" s="92">
        <f t="shared" si="32"/>
        <v>50</v>
      </c>
      <c r="G7743" s="92"/>
      <c r="I7743">
        <v>7</v>
      </c>
      <c r="J7743" t="s">
        <v>26</v>
      </c>
      <c r="K7743" s="57"/>
      <c r="S7743" s="57"/>
      <c r="X7743" s="57"/>
    </row>
    <row r="7744" spans="1:24" hidden="1" x14ac:dyDescent="0.35">
      <c r="A7744">
        <v>7740</v>
      </c>
      <c r="B7744">
        <v>7741</v>
      </c>
      <c r="C7744">
        <v>146.096498561</v>
      </c>
      <c r="D7744">
        <v>-17.620732472299899</v>
      </c>
      <c r="E7744" s="92" t="str">
        <f t="shared" si="32"/>
        <v/>
      </c>
      <c r="G7744" s="92"/>
      <c r="I7744">
        <v>7</v>
      </c>
      <c r="J7744" t="s">
        <v>26</v>
      </c>
      <c r="K7744" s="57"/>
      <c r="S7744" s="57"/>
      <c r="X7744" s="57"/>
    </row>
    <row r="7745" spans="1:24" hidden="1" x14ac:dyDescent="0.35">
      <c r="A7745">
        <v>7741</v>
      </c>
      <c r="B7745">
        <v>7742</v>
      </c>
      <c r="C7745">
        <v>146.096464787999</v>
      </c>
      <c r="D7745">
        <v>-17.620653137000001</v>
      </c>
      <c r="E7745" s="92" t="str">
        <f t="shared" si="32"/>
        <v/>
      </c>
      <c r="G7745" s="92"/>
      <c r="I7745">
        <v>7</v>
      </c>
      <c r="J7745" t="s">
        <v>26</v>
      </c>
      <c r="K7745" s="57"/>
      <c r="S7745" s="57"/>
      <c r="X7745" s="57"/>
    </row>
    <row r="7746" spans="1:24" hidden="1" x14ac:dyDescent="0.35">
      <c r="A7746">
        <v>7742</v>
      </c>
      <c r="B7746">
        <v>7743</v>
      </c>
      <c r="C7746">
        <v>146.09643101399899</v>
      </c>
      <c r="D7746">
        <v>-17.620573801700001</v>
      </c>
      <c r="E7746" s="92" t="str">
        <f t="shared" si="32"/>
        <v/>
      </c>
      <c r="G7746" s="92"/>
      <c r="I7746">
        <v>7</v>
      </c>
      <c r="J7746" t="s">
        <v>26</v>
      </c>
      <c r="K7746" s="57"/>
      <c r="S7746" s="57"/>
      <c r="X7746" s="57"/>
    </row>
    <row r="7747" spans="1:24" hidden="1" x14ac:dyDescent="0.35">
      <c r="A7747">
        <v>7743</v>
      </c>
      <c r="B7747">
        <v>7744</v>
      </c>
      <c r="C7747">
        <v>146.096433031999</v>
      </c>
      <c r="D7747">
        <v>-17.6204886889</v>
      </c>
      <c r="E7747" s="92" t="str">
        <f t="shared" si="32"/>
        <v/>
      </c>
      <c r="G7747" s="92"/>
      <c r="I7747">
        <v>7</v>
      </c>
      <c r="J7747" t="s">
        <v>26</v>
      </c>
      <c r="K7747" s="57"/>
      <c r="S7747" s="57"/>
      <c r="X7747" s="57"/>
    </row>
    <row r="7748" spans="1:24" hidden="1" x14ac:dyDescent="0.35">
      <c r="A7748">
        <v>7744</v>
      </c>
      <c r="B7748">
        <v>7745</v>
      </c>
      <c r="C7748">
        <v>146.096445187</v>
      </c>
      <c r="D7748">
        <v>-17.620404881100001</v>
      </c>
      <c r="E7748" s="92">
        <f t="shared" si="32"/>
        <v>50</v>
      </c>
      <c r="G7748" s="92"/>
      <c r="I7748">
        <v>7</v>
      </c>
      <c r="J7748" t="s">
        <v>26</v>
      </c>
      <c r="K7748" s="57"/>
      <c r="S7748" s="57"/>
      <c r="X7748" s="57"/>
    </row>
    <row r="7749" spans="1:24" hidden="1" x14ac:dyDescent="0.35">
      <c r="A7749">
        <v>7745</v>
      </c>
      <c r="B7749">
        <v>7746</v>
      </c>
      <c r="C7749">
        <v>146.096483126999</v>
      </c>
      <c r="D7749">
        <v>-17.620327828499899</v>
      </c>
      <c r="E7749" s="92" t="str">
        <f t="shared" si="32"/>
        <v/>
      </c>
      <c r="G7749" s="92"/>
      <c r="I7749">
        <v>7</v>
      </c>
      <c r="J7749" t="s">
        <v>26</v>
      </c>
      <c r="K7749" s="57"/>
      <c r="S7749" s="57"/>
      <c r="X7749" s="57"/>
    </row>
    <row r="7750" spans="1:24" hidden="1" x14ac:dyDescent="0.35">
      <c r="A7750">
        <v>7746</v>
      </c>
      <c r="B7750">
        <v>7747</v>
      </c>
      <c r="C7750">
        <v>146.09654815100001</v>
      </c>
      <c r="D7750">
        <v>-17.620268755200001</v>
      </c>
      <c r="E7750" s="92" t="str">
        <f t="shared" si="32"/>
        <v/>
      </c>
      <c r="G7750" s="92"/>
      <c r="I7750">
        <v>7</v>
      </c>
      <c r="J7750" t="s">
        <v>26</v>
      </c>
      <c r="K7750" s="57"/>
      <c r="S7750" s="57"/>
      <c r="X7750" s="57"/>
    </row>
    <row r="7751" spans="1:24" hidden="1" x14ac:dyDescent="0.35">
      <c r="A7751">
        <v>7747</v>
      </c>
      <c r="B7751">
        <v>7748</v>
      </c>
      <c r="C7751">
        <v>146.096613173999</v>
      </c>
      <c r="D7751">
        <v>-17.6202096819</v>
      </c>
      <c r="E7751" s="92" t="str">
        <f t="shared" si="32"/>
        <v/>
      </c>
      <c r="G7751" s="92"/>
      <c r="I7751">
        <v>7</v>
      </c>
      <c r="J7751" t="s">
        <v>26</v>
      </c>
      <c r="K7751" s="57"/>
      <c r="S7751" s="57"/>
      <c r="X7751" s="57"/>
    </row>
    <row r="7752" spans="1:24" hidden="1" x14ac:dyDescent="0.35">
      <c r="A7752">
        <v>7748</v>
      </c>
      <c r="B7752">
        <v>7749</v>
      </c>
      <c r="C7752">
        <v>146.09667807700001</v>
      </c>
      <c r="D7752">
        <v>-17.6201504886</v>
      </c>
      <c r="E7752" s="92" t="str">
        <f t="shared" si="32"/>
        <v/>
      </c>
      <c r="G7752" s="92"/>
      <c r="I7752">
        <v>7</v>
      </c>
      <c r="J7752" t="s">
        <v>26</v>
      </c>
      <c r="K7752" s="57"/>
      <c r="S7752" s="57"/>
      <c r="X7752" s="57"/>
    </row>
    <row r="7753" spans="1:24" hidden="1" x14ac:dyDescent="0.35">
      <c r="A7753">
        <v>7749</v>
      </c>
      <c r="B7753">
        <v>7750</v>
      </c>
      <c r="C7753">
        <v>146.096742914</v>
      </c>
      <c r="D7753">
        <v>-17.620091229700002</v>
      </c>
      <c r="E7753" s="92">
        <f t="shared" si="32"/>
        <v>50</v>
      </c>
      <c r="G7753" s="92"/>
      <c r="I7753">
        <v>7</v>
      </c>
      <c r="J7753" t="s">
        <v>26</v>
      </c>
      <c r="K7753" s="57"/>
      <c r="S7753" s="57"/>
      <c r="X7753" s="57"/>
    </row>
    <row r="7754" spans="1:24" hidden="1" x14ac:dyDescent="0.35">
      <c r="A7754">
        <v>7750</v>
      </c>
      <c r="B7754">
        <v>7751</v>
      </c>
      <c r="C7754">
        <v>146.096807751</v>
      </c>
      <c r="D7754">
        <v>-17.620031970700001</v>
      </c>
      <c r="E7754" s="92" t="str">
        <f t="shared" si="32"/>
        <v/>
      </c>
      <c r="G7754" s="92"/>
      <c r="I7754">
        <v>7</v>
      </c>
      <c r="J7754" t="s">
        <v>26</v>
      </c>
      <c r="K7754" s="57"/>
      <c r="S7754" s="57"/>
      <c r="X7754" s="57"/>
    </row>
    <row r="7755" spans="1:24" hidden="1" x14ac:dyDescent="0.35">
      <c r="A7755">
        <v>7751</v>
      </c>
      <c r="B7755">
        <v>7752</v>
      </c>
      <c r="C7755">
        <v>146.096872587999</v>
      </c>
      <c r="D7755">
        <v>-17.619972711700001</v>
      </c>
      <c r="E7755" s="92" t="str">
        <f t="shared" si="32"/>
        <v/>
      </c>
      <c r="G7755" s="92"/>
      <c r="I7755">
        <v>7</v>
      </c>
      <c r="J7755" t="s">
        <v>26</v>
      </c>
      <c r="K7755" s="57"/>
      <c r="S7755" s="57"/>
      <c r="X7755" s="57"/>
    </row>
    <row r="7756" spans="1:24" hidden="1" x14ac:dyDescent="0.35">
      <c r="A7756">
        <v>7752</v>
      </c>
      <c r="B7756">
        <v>7753</v>
      </c>
      <c r="C7756">
        <v>146.096937424999</v>
      </c>
      <c r="D7756">
        <v>-17.619913452599899</v>
      </c>
      <c r="E7756" s="92" t="str">
        <f t="shared" si="32"/>
        <v/>
      </c>
      <c r="G7756" s="92"/>
      <c r="I7756">
        <v>7</v>
      </c>
      <c r="J7756" t="s">
        <v>26</v>
      </c>
      <c r="K7756" s="57"/>
      <c r="S7756" s="57"/>
      <c r="X7756" s="57"/>
    </row>
    <row r="7757" spans="1:24" hidden="1" x14ac:dyDescent="0.35">
      <c r="A7757">
        <v>7753</v>
      </c>
      <c r="B7757">
        <v>7754</v>
      </c>
      <c r="C7757">
        <v>146.097002220999</v>
      </c>
      <c r="D7757">
        <v>-17.619854153599899</v>
      </c>
      <c r="E7757" s="92" t="str">
        <f t="shared" si="32"/>
        <v/>
      </c>
      <c r="G7757" s="92"/>
      <c r="I7757">
        <v>7</v>
      </c>
      <c r="J7757" t="s">
        <v>26</v>
      </c>
      <c r="K7757" s="57"/>
      <c r="S7757" s="57"/>
      <c r="X7757" s="57"/>
    </row>
    <row r="7758" spans="1:24" hidden="1" x14ac:dyDescent="0.35">
      <c r="A7758">
        <v>7754</v>
      </c>
      <c r="B7758">
        <v>7755</v>
      </c>
      <c r="C7758">
        <v>146.097065297</v>
      </c>
      <c r="D7758">
        <v>-17.6197931922</v>
      </c>
      <c r="E7758" s="92">
        <f t="shared" si="32"/>
        <v>50</v>
      </c>
      <c r="G7758" s="92"/>
      <c r="I7758">
        <v>7</v>
      </c>
      <c r="J7758" t="s">
        <v>26</v>
      </c>
      <c r="K7758" s="57"/>
      <c r="S7758" s="57"/>
      <c r="X7758" s="57"/>
    </row>
    <row r="7759" spans="1:24" hidden="1" x14ac:dyDescent="0.35">
      <c r="A7759">
        <v>7755</v>
      </c>
      <c r="B7759">
        <v>7756</v>
      </c>
      <c r="C7759">
        <v>146.097128373</v>
      </c>
      <c r="D7759">
        <v>-17.6197322308</v>
      </c>
      <c r="E7759" s="92" t="str">
        <f t="shared" si="32"/>
        <v/>
      </c>
      <c r="G7759" s="92"/>
      <c r="I7759">
        <v>7</v>
      </c>
      <c r="J7759" t="s">
        <v>26</v>
      </c>
      <c r="K7759" s="57"/>
      <c r="S7759" s="57"/>
      <c r="X7759" s="57"/>
    </row>
    <row r="7760" spans="1:24" hidden="1" x14ac:dyDescent="0.35">
      <c r="A7760">
        <v>7756</v>
      </c>
      <c r="B7760">
        <v>7757</v>
      </c>
      <c r="C7760">
        <v>146.09719144799899</v>
      </c>
      <c r="D7760">
        <v>-17.6196712692999</v>
      </c>
      <c r="E7760" s="92" t="str">
        <f t="shared" ref="E7760:E7823" si="33">IF(MOD(B7760,5)=0, 50, "")</f>
        <v/>
      </c>
      <c r="G7760" s="92"/>
      <c r="I7760">
        <v>7</v>
      </c>
      <c r="J7760" t="s">
        <v>26</v>
      </c>
      <c r="K7760" s="57"/>
      <c r="S7760" s="57"/>
      <c r="X7760" s="57"/>
    </row>
    <row r="7761" spans="1:24" hidden="1" x14ac:dyDescent="0.35">
      <c r="A7761">
        <v>7757</v>
      </c>
      <c r="B7761">
        <v>7758</v>
      </c>
      <c r="C7761">
        <v>146.097254523999</v>
      </c>
      <c r="D7761">
        <v>-17.619610307799899</v>
      </c>
      <c r="E7761" s="92" t="str">
        <f t="shared" si="33"/>
        <v/>
      </c>
      <c r="G7761" s="92"/>
      <c r="I7761">
        <v>7</v>
      </c>
      <c r="J7761" t="s">
        <v>26</v>
      </c>
      <c r="K7761" s="57"/>
      <c r="S7761" s="57"/>
      <c r="X7761" s="57"/>
    </row>
    <row r="7762" spans="1:24" hidden="1" x14ac:dyDescent="0.35">
      <c r="A7762">
        <v>7758</v>
      </c>
      <c r="B7762">
        <v>7759</v>
      </c>
      <c r="C7762">
        <v>146.097317599999</v>
      </c>
      <c r="D7762">
        <v>-17.619549346300001</v>
      </c>
      <c r="E7762" s="92" t="str">
        <f t="shared" si="33"/>
        <v/>
      </c>
      <c r="G7762" s="92"/>
      <c r="I7762">
        <v>7</v>
      </c>
      <c r="J7762" t="s">
        <v>26</v>
      </c>
      <c r="K7762" s="57"/>
      <c r="S7762" s="57"/>
      <c r="X7762" s="57"/>
    </row>
    <row r="7763" spans="1:24" hidden="1" x14ac:dyDescent="0.35">
      <c r="A7763">
        <v>7759</v>
      </c>
      <c r="B7763">
        <v>7760</v>
      </c>
      <c r="C7763">
        <v>146.09738067500001</v>
      </c>
      <c r="D7763">
        <v>-17.6194883848</v>
      </c>
      <c r="E7763" s="92">
        <f t="shared" si="33"/>
        <v>50</v>
      </c>
      <c r="G7763" s="92"/>
      <c r="I7763">
        <v>7</v>
      </c>
      <c r="J7763" t="s">
        <v>26</v>
      </c>
      <c r="K7763" s="57"/>
      <c r="S7763" s="57"/>
      <c r="X7763" s="57"/>
    </row>
    <row r="7764" spans="1:24" hidden="1" x14ac:dyDescent="0.35">
      <c r="A7764">
        <v>7760</v>
      </c>
      <c r="B7764">
        <v>7761</v>
      </c>
      <c r="C7764">
        <v>146.097444682</v>
      </c>
      <c r="D7764">
        <v>-17.619428313699899</v>
      </c>
      <c r="E7764" s="92" t="str">
        <f t="shared" si="33"/>
        <v/>
      </c>
      <c r="G7764" s="92"/>
      <c r="I7764">
        <v>7</v>
      </c>
      <c r="J7764" t="s">
        <v>26</v>
      </c>
      <c r="K7764" s="57"/>
      <c r="S7764" s="57"/>
      <c r="X7764" s="57"/>
    </row>
    <row r="7765" spans="1:24" hidden="1" x14ac:dyDescent="0.35">
      <c r="A7765">
        <v>7761</v>
      </c>
      <c r="B7765">
        <v>7762</v>
      </c>
      <c r="C7765">
        <v>146.097508911999</v>
      </c>
      <c r="D7765">
        <v>-17.619368457499899</v>
      </c>
      <c r="E7765" s="92" t="str">
        <f t="shared" si="33"/>
        <v/>
      </c>
      <c r="G7765" s="92"/>
      <c r="I7765">
        <v>7</v>
      </c>
      <c r="J7765" t="s">
        <v>26</v>
      </c>
      <c r="K7765" s="57"/>
      <c r="S7765" s="57"/>
      <c r="X7765" s="57"/>
    </row>
    <row r="7766" spans="1:24" hidden="1" x14ac:dyDescent="0.35">
      <c r="A7766">
        <v>7762</v>
      </c>
      <c r="B7766">
        <v>7763</v>
      </c>
      <c r="C7766">
        <v>146.09757314300001</v>
      </c>
      <c r="D7766">
        <v>-17.619308601299899</v>
      </c>
      <c r="E7766" s="92" t="str">
        <f t="shared" si="33"/>
        <v/>
      </c>
      <c r="G7766" s="92"/>
      <c r="I7766">
        <v>7</v>
      </c>
      <c r="J7766" t="s">
        <v>26</v>
      </c>
      <c r="K7766" s="57"/>
      <c r="S7766" s="57"/>
      <c r="X7766" s="57"/>
    </row>
    <row r="7767" spans="1:24" hidden="1" x14ac:dyDescent="0.35">
      <c r="A7767">
        <v>7763</v>
      </c>
      <c r="B7767">
        <v>7764</v>
      </c>
      <c r="C7767">
        <v>146.097637372999</v>
      </c>
      <c r="D7767">
        <v>-17.619248745</v>
      </c>
      <c r="E7767" s="92" t="str">
        <f t="shared" si="33"/>
        <v/>
      </c>
      <c r="G7767" s="92"/>
      <c r="I7767">
        <v>7</v>
      </c>
      <c r="J7767" t="s">
        <v>26</v>
      </c>
      <c r="K7767" s="57"/>
      <c r="S7767" s="57"/>
      <c r="X7767" s="57"/>
    </row>
    <row r="7768" spans="1:24" hidden="1" x14ac:dyDescent="0.35">
      <c r="A7768">
        <v>7764</v>
      </c>
      <c r="B7768">
        <v>7765</v>
      </c>
      <c r="C7768">
        <v>146.09770160400001</v>
      </c>
      <c r="D7768">
        <v>-17.619188888699899</v>
      </c>
      <c r="E7768" s="92">
        <f t="shared" si="33"/>
        <v>50</v>
      </c>
      <c r="G7768" s="92"/>
      <c r="I7768">
        <v>7</v>
      </c>
      <c r="J7768" t="s">
        <v>26</v>
      </c>
      <c r="K7768" s="57"/>
      <c r="S7768" s="57"/>
      <c r="X7768" s="57"/>
    </row>
    <row r="7769" spans="1:24" hidden="1" x14ac:dyDescent="0.35">
      <c r="A7769">
        <v>7765</v>
      </c>
      <c r="B7769">
        <v>7766</v>
      </c>
      <c r="C7769">
        <v>146.097763036999</v>
      </c>
      <c r="D7769">
        <v>-17.619127026600001</v>
      </c>
      <c r="E7769" s="92" t="str">
        <f t="shared" si="33"/>
        <v/>
      </c>
      <c r="G7769" s="92"/>
      <c r="I7769">
        <v>7</v>
      </c>
      <c r="J7769" t="s">
        <v>26</v>
      </c>
      <c r="K7769" s="57"/>
      <c r="S7769" s="57"/>
      <c r="X7769" s="57"/>
    </row>
    <row r="7770" spans="1:24" hidden="1" x14ac:dyDescent="0.35">
      <c r="A7770">
        <v>7766</v>
      </c>
      <c r="B7770">
        <v>7767</v>
      </c>
      <c r="C7770">
        <v>146.09780558200001</v>
      </c>
      <c r="D7770">
        <v>-17.619051620299899</v>
      </c>
      <c r="E7770" s="92" t="str">
        <f t="shared" si="33"/>
        <v/>
      </c>
      <c r="G7770" s="92"/>
      <c r="I7770">
        <v>7</v>
      </c>
      <c r="J7770" t="s">
        <v>26</v>
      </c>
      <c r="K7770" s="57"/>
      <c r="S7770" s="57"/>
      <c r="X7770" s="57"/>
    </row>
    <row r="7771" spans="1:24" hidden="1" x14ac:dyDescent="0.35">
      <c r="A7771">
        <v>7767</v>
      </c>
      <c r="B7771">
        <v>7768</v>
      </c>
      <c r="C7771">
        <v>146.097848126999</v>
      </c>
      <c r="D7771">
        <v>-17.618976213900002</v>
      </c>
      <c r="E7771" s="92" t="str">
        <f t="shared" si="33"/>
        <v/>
      </c>
      <c r="G7771" s="92"/>
      <c r="I7771">
        <v>7</v>
      </c>
      <c r="J7771" t="s">
        <v>26</v>
      </c>
      <c r="K7771" s="57"/>
      <c r="S7771" s="57"/>
      <c r="X7771" s="57"/>
    </row>
    <row r="7772" spans="1:24" hidden="1" x14ac:dyDescent="0.35">
      <c r="A7772">
        <v>7768</v>
      </c>
      <c r="B7772">
        <v>7769</v>
      </c>
      <c r="C7772">
        <v>146.09789067200001</v>
      </c>
      <c r="D7772">
        <v>-17.618900807500001</v>
      </c>
      <c r="E7772" s="92" t="str">
        <f t="shared" si="33"/>
        <v/>
      </c>
      <c r="G7772" s="92"/>
      <c r="I7772">
        <v>7</v>
      </c>
      <c r="J7772" t="s">
        <v>26</v>
      </c>
      <c r="K7772" s="57"/>
      <c r="S7772" s="57"/>
      <c r="X7772" s="57"/>
    </row>
    <row r="7773" spans="1:24" hidden="1" x14ac:dyDescent="0.35">
      <c r="A7773">
        <v>7769</v>
      </c>
      <c r="B7773">
        <v>7770</v>
      </c>
      <c r="C7773">
        <v>146.09792672500001</v>
      </c>
      <c r="D7773">
        <v>-17.618822828900001</v>
      </c>
      <c r="E7773" s="92">
        <f t="shared" si="33"/>
        <v>50</v>
      </c>
      <c r="G7773" s="92"/>
      <c r="I7773">
        <v>7</v>
      </c>
      <c r="J7773" t="s">
        <v>26</v>
      </c>
      <c r="K7773" s="57"/>
      <c r="S7773" s="57"/>
      <c r="X7773" s="57"/>
    </row>
    <row r="7774" spans="1:24" hidden="1" x14ac:dyDescent="0.35">
      <c r="A7774">
        <v>7770</v>
      </c>
      <c r="B7774">
        <v>7771</v>
      </c>
      <c r="C7774">
        <v>146.097952800999</v>
      </c>
      <c r="D7774">
        <v>-17.618740897799899</v>
      </c>
      <c r="E7774" s="92" t="str">
        <f t="shared" si="33"/>
        <v/>
      </c>
      <c r="G7774" s="92"/>
      <c r="I7774">
        <v>7</v>
      </c>
      <c r="J7774" t="s">
        <v>26</v>
      </c>
      <c r="K7774" s="57"/>
      <c r="S7774" s="57"/>
      <c r="X7774" s="57"/>
    </row>
    <row r="7775" spans="1:24" hidden="1" x14ac:dyDescent="0.35">
      <c r="A7775">
        <v>7771</v>
      </c>
      <c r="B7775">
        <v>7772</v>
      </c>
      <c r="C7775">
        <v>146.097978877999</v>
      </c>
      <c r="D7775">
        <v>-17.6186589667</v>
      </c>
      <c r="E7775" s="92" t="str">
        <f t="shared" si="33"/>
        <v/>
      </c>
      <c r="G7775" s="92"/>
      <c r="I7775">
        <v>7</v>
      </c>
      <c r="J7775" t="s">
        <v>26</v>
      </c>
      <c r="K7775" s="57"/>
      <c r="S7775" s="57"/>
      <c r="X7775" s="57"/>
    </row>
    <row r="7776" spans="1:24" hidden="1" x14ac:dyDescent="0.35">
      <c r="A7776">
        <v>7772</v>
      </c>
      <c r="B7776">
        <v>7773</v>
      </c>
      <c r="C7776">
        <v>146.09797618900001</v>
      </c>
      <c r="D7776">
        <v>-17.618573417</v>
      </c>
      <c r="E7776" s="92" t="str">
        <f t="shared" si="33"/>
        <v/>
      </c>
      <c r="G7776" s="92"/>
      <c r="I7776">
        <v>7</v>
      </c>
      <c r="J7776" t="s">
        <v>26</v>
      </c>
      <c r="K7776" s="57"/>
      <c r="S7776" s="57"/>
      <c r="X7776" s="57"/>
    </row>
    <row r="7777" spans="1:24" hidden="1" x14ac:dyDescent="0.35">
      <c r="A7777">
        <v>7773</v>
      </c>
      <c r="B7777">
        <v>7774</v>
      </c>
      <c r="C7777">
        <v>146.097973308999</v>
      </c>
      <c r="D7777">
        <v>-17.618487843299899</v>
      </c>
      <c r="E7777" s="92" t="str">
        <f t="shared" si="33"/>
        <v/>
      </c>
      <c r="G7777" s="92"/>
      <c r="I7777">
        <v>7</v>
      </c>
      <c r="J7777" t="s">
        <v>26</v>
      </c>
      <c r="K7777" s="57"/>
      <c r="S7777" s="57"/>
      <c r="X7777" s="57"/>
    </row>
    <row r="7778" spans="1:24" hidden="1" x14ac:dyDescent="0.35">
      <c r="A7778">
        <v>7774</v>
      </c>
      <c r="B7778">
        <v>7775</v>
      </c>
      <c r="C7778">
        <v>146.09793398400001</v>
      </c>
      <c r="D7778">
        <v>-17.618411586000001</v>
      </c>
      <c r="E7778" s="92">
        <f t="shared" si="33"/>
        <v>50</v>
      </c>
      <c r="G7778" s="92"/>
      <c r="I7778">
        <v>7</v>
      </c>
      <c r="J7778" t="s">
        <v>26</v>
      </c>
      <c r="K7778" s="57"/>
      <c r="S7778" s="57"/>
      <c r="X7778" s="57"/>
    </row>
    <row r="7779" spans="1:24" hidden="1" x14ac:dyDescent="0.35">
      <c r="A7779">
        <v>7775</v>
      </c>
      <c r="B7779">
        <v>7776</v>
      </c>
      <c r="C7779">
        <v>146.097891470999</v>
      </c>
      <c r="D7779">
        <v>-17.618336195800001</v>
      </c>
      <c r="E7779" s="92" t="str">
        <f t="shared" si="33"/>
        <v/>
      </c>
      <c r="G7779" s="92"/>
      <c r="I7779">
        <v>7</v>
      </c>
      <c r="J7779" t="s">
        <v>26</v>
      </c>
      <c r="K7779" s="57"/>
      <c r="S7779" s="57"/>
      <c r="X7779" s="57"/>
    </row>
    <row r="7780" spans="1:24" hidden="1" x14ac:dyDescent="0.35">
      <c r="A7780">
        <v>7776</v>
      </c>
      <c r="B7780">
        <v>7777</v>
      </c>
      <c r="C7780">
        <v>146.097812285999</v>
      </c>
      <c r="D7780">
        <v>-17.618295766900001</v>
      </c>
      <c r="E7780" s="92" t="str">
        <f t="shared" si="33"/>
        <v/>
      </c>
      <c r="G7780" s="92"/>
      <c r="I7780">
        <v>7</v>
      </c>
      <c r="J7780" t="s">
        <v>26</v>
      </c>
      <c r="K7780" s="57"/>
      <c r="S7780" s="57"/>
      <c r="X7780" s="57"/>
    </row>
    <row r="7781" spans="1:24" hidden="1" x14ac:dyDescent="0.35">
      <c r="A7781">
        <v>7777</v>
      </c>
      <c r="B7781">
        <v>7778</v>
      </c>
      <c r="C7781">
        <v>146.097729248999</v>
      </c>
      <c r="D7781">
        <v>-17.618270988700001</v>
      </c>
      <c r="E7781" s="92" t="str">
        <f t="shared" si="33"/>
        <v/>
      </c>
      <c r="G7781" s="92"/>
      <c r="I7781">
        <v>7</v>
      </c>
      <c r="J7781" t="s">
        <v>26</v>
      </c>
      <c r="K7781" s="57"/>
      <c r="S7781" s="57"/>
      <c r="X7781" s="57"/>
    </row>
    <row r="7782" spans="1:24" hidden="1" x14ac:dyDescent="0.35">
      <c r="A7782">
        <v>7778</v>
      </c>
      <c r="B7782">
        <v>7779</v>
      </c>
      <c r="C7782">
        <v>146.097639461</v>
      </c>
      <c r="D7782">
        <v>-17.618273652500001</v>
      </c>
      <c r="E7782" s="92" t="str">
        <f t="shared" si="33"/>
        <v/>
      </c>
      <c r="G7782" s="92"/>
      <c r="I7782">
        <v>7</v>
      </c>
      <c r="J7782" t="s">
        <v>26</v>
      </c>
      <c r="K7782" s="57"/>
      <c r="S7782" s="57"/>
      <c r="X7782" s="57"/>
    </row>
    <row r="7783" spans="1:24" hidden="1" x14ac:dyDescent="0.35">
      <c r="A7783">
        <v>7779</v>
      </c>
      <c r="B7783">
        <v>7780</v>
      </c>
      <c r="C7783">
        <v>146.097550291</v>
      </c>
      <c r="D7783">
        <v>-17.618280498600001</v>
      </c>
      <c r="E7783" s="92">
        <f t="shared" si="33"/>
        <v>50</v>
      </c>
      <c r="G7783" s="92"/>
      <c r="I7783">
        <v>7</v>
      </c>
      <c r="J7783" t="s">
        <v>26</v>
      </c>
      <c r="K7783" s="57"/>
      <c r="S7783" s="57"/>
      <c r="X7783" s="57"/>
    </row>
    <row r="7784" spans="1:24" hidden="1" x14ac:dyDescent="0.35">
      <c r="A7784">
        <v>7780</v>
      </c>
      <c r="B7784">
        <v>7781</v>
      </c>
      <c r="C7784">
        <v>146.097463215999</v>
      </c>
      <c r="D7784">
        <v>-17.618301545800001</v>
      </c>
      <c r="E7784" s="92" t="str">
        <f t="shared" si="33"/>
        <v/>
      </c>
      <c r="G7784" s="92"/>
      <c r="I7784">
        <v>7</v>
      </c>
      <c r="J7784" t="s">
        <v>26</v>
      </c>
      <c r="K7784" s="57"/>
      <c r="S7784" s="57"/>
      <c r="X7784" s="57"/>
    </row>
    <row r="7785" spans="1:24" hidden="1" x14ac:dyDescent="0.35">
      <c r="A7785">
        <v>7781</v>
      </c>
      <c r="B7785">
        <v>7782</v>
      </c>
      <c r="C7785">
        <v>146.09737614100001</v>
      </c>
      <c r="D7785">
        <v>-17.618322592999899</v>
      </c>
      <c r="E7785" s="92" t="str">
        <f t="shared" si="33"/>
        <v/>
      </c>
      <c r="G7785" s="92"/>
      <c r="I7785">
        <v>7</v>
      </c>
      <c r="J7785" t="s">
        <v>26</v>
      </c>
      <c r="K7785" s="57"/>
      <c r="S7785" s="57"/>
      <c r="X7785" s="57"/>
    </row>
    <row r="7786" spans="1:24" hidden="1" x14ac:dyDescent="0.35">
      <c r="A7786">
        <v>7782</v>
      </c>
      <c r="B7786">
        <v>7783</v>
      </c>
      <c r="C7786">
        <v>146.09729030400001</v>
      </c>
      <c r="D7786">
        <v>-17.618347481800001</v>
      </c>
      <c r="E7786" s="92" t="str">
        <f t="shared" si="33"/>
        <v/>
      </c>
      <c r="G7786" s="92"/>
      <c r="I7786">
        <v>7</v>
      </c>
      <c r="J7786" t="s">
        <v>26</v>
      </c>
      <c r="K7786" s="57"/>
      <c r="S7786" s="57"/>
      <c r="X7786" s="57"/>
    </row>
    <row r="7787" spans="1:24" hidden="1" x14ac:dyDescent="0.35">
      <c r="A7787">
        <v>7783</v>
      </c>
      <c r="B7787">
        <v>7784</v>
      </c>
      <c r="C7787">
        <v>146.097205854999</v>
      </c>
      <c r="D7787">
        <v>-17.618376671499899</v>
      </c>
      <c r="E7787" s="92" t="str">
        <f t="shared" si="33"/>
        <v/>
      </c>
      <c r="G7787" s="92"/>
      <c r="I7787">
        <v>7</v>
      </c>
      <c r="J7787" t="s">
        <v>26</v>
      </c>
      <c r="K7787" s="57"/>
      <c r="S7787" s="57"/>
      <c r="X7787" s="57"/>
    </row>
    <row r="7788" spans="1:24" hidden="1" x14ac:dyDescent="0.35">
      <c r="A7788">
        <v>7784</v>
      </c>
      <c r="B7788">
        <v>7785</v>
      </c>
      <c r="C7788">
        <v>146.097121404999</v>
      </c>
      <c r="D7788">
        <v>-17.6184058611999</v>
      </c>
      <c r="E7788" s="92">
        <f t="shared" si="33"/>
        <v>50</v>
      </c>
      <c r="G7788" s="92"/>
      <c r="I7788">
        <v>7</v>
      </c>
      <c r="J7788" t="s">
        <v>26</v>
      </c>
      <c r="K7788" s="57"/>
      <c r="S7788" s="57"/>
      <c r="X7788" s="57"/>
    </row>
    <row r="7789" spans="1:24" hidden="1" x14ac:dyDescent="0.35">
      <c r="A7789">
        <v>7785</v>
      </c>
      <c r="B7789">
        <v>7786</v>
      </c>
      <c r="C7789">
        <v>146.09703703400001</v>
      </c>
      <c r="D7789">
        <v>-17.6184352520999</v>
      </c>
      <c r="E7789" s="92" t="str">
        <f t="shared" si="33"/>
        <v/>
      </c>
      <c r="G7789" s="92"/>
      <c r="I7789">
        <v>7</v>
      </c>
      <c r="J7789" t="s">
        <v>26</v>
      </c>
      <c r="K7789" s="57"/>
      <c r="S7789" s="57"/>
      <c r="X7789" s="57"/>
    </row>
    <row r="7790" spans="1:24" hidden="1" x14ac:dyDescent="0.35">
      <c r="A7790">
        <v>7786</v>
      </c>
      <c r="B7790">
        <v>7787</v>
      </c>
      <c r="C7790">
        <v>146.09695314000001</v>
      </c>
      <c r="D7790">
        <v>-17.618465862600001</v>
      </c>
      <c r="E7790" s="92" t="str">
        <f t="shared" si="33"/>
        <v/>
      </c>
      <c r="G7790" s="92"/>
      <c r="I7790">
        <v>7</v>
      </c>
      <c r="J7790" t="s">
        <v>26</v>
      </c>
      <c r="K7790" s="57"/>
      <c r="S7790" s="57"/>
      <c r="X7790" s="57"/>
    </row>
    <row r="7791" spans="1:24" hidden="1" x14ac:dyDescent="0.35">
      <c r="A7791">
        <v>7787</v>
      </c>
      <c r="B7791">
        <v>7788</v>
      </c>
      <c r="C7791">
        <v>146.09686924600001</v>
      </c>
      <c r="D7791">
        <v>-17.618496473099899</v>
      </c>
      <c r="E7791" s="92" t="str">
        <f t="shared" si="33"/>
        <v/>
      </c>
      <c r="G7791" s="92"/>
      <c r="I7791">
        <v>7</v>
      </c>
      <c r="J7791" t="s">
        <v>26</v>
      </c>
      <c r="K7791" s="57"/>
      <c r="S7791" s="57"/>
      <c r="X7791" s="57"/>
    </row>
    <row r="7792" spans="1:24" hidden="1" x14ac:dyDescent="0.35">
      <c r="A7792">
        <v>7788</v>
      </c>
      <c r="B7792">
        <v>7789</v>
      </c>
      <c r="C7792">
        <v>146.09678535200001</v>
      </c>
      <c r="D7792">
        <v>-17.6185270836</v>
      </c>
      <c r="E7792" s="92" t="str">
        <f t="shared" si="33"/>
        <v/>
      </c>
      <c r="G7792" s="92"/>
      <c r="I7792">
        <v>7</v>
      </c>
      <c r="J7792" t="s">
        <v>26</v>
      </c>
      <c r="K7792" s="57"/>
      <c r="S7792" s="57"/>
      <c r="X7792" s="57"/>
    </row>
    <row r="7793" spans="1:24" hidden="1" x14ac:dyDescent="0.35">
      <c r="A7793">
        <v>7789</v>
      </c>
      <c r="B7793">
        <v>7790</v>
      </c>
      <c r="C7793">
        <v>146.09670145800001</v>
      </c>
      <c r="D7793">
        <v>-17.618557694100001</v>
      </c>
      <c r="E7793" s="92">
        <f t="shared" si="33"/>
        <v>50</v>
      </c>
      <c r="G7793" s="92"/>
      <c r="I7793">
        <v>7</v>
      </c>
      <c r="J7793" t="s">
        <v>26</v>
      </c>
      <c r="K7793" s="57"/>
      <c r="S7793" s="57"/>
      <c r="X7793" s="57"/>
    </row>
    <row r="7794" spans="1:24" hidden="1" x14ac:dyDescent="0.35">
      <c r="A7794">
        <v>7790</v>
      </c>
      <c r="B7794">
        <v>7791</v>
      </c>
      <c r="C7794">
        <v>146.096615743</v>
      </c>
      <c r="D7794">
        <v>-17.6185825383</v>
      </c>
      <c r="E7794" s="92" t="str">
        <f t="shared" si="33"/>
        <v/>
      </c>
      <c r="G7794" s="92"/>
      <c r="I7794">
        <v>7</v>
      </c>
      <c r="J7794" t="s">
        <v>26</v>
      </c>
      <c r="K7794" s="57"/>
      <c r="S7794" s="57"/>
      <c r="X7794" s="57"/>
    </row>
    <row r="7795" spans="1:24" hidden="1" x14ac:dyDescent="0.35">
      <c r="A7795">
        <v>7791</v>
      </c>
      <c r="B7795">
        <v>7792</v>
      </c>
      <c r="C7795">
        <v>146.09652806099899</v>
      </c>
      <c r="D7795">
        <v>-17.618601154099899</v>
      </c>
      <c r="E7795" s="92" t="str">
        <f t="shared" si="33"/>
        <v/>
      </c>
      <c r="G7795" s="92"/>
      <c r="I7795">
        <v>7</v>
      </c>
      <c r="J7795" t="s">
        <v>26</v>
      </c>
      <c r="K7795" s="57"/>
      <c r="S7795" s="57"/>
      <c r="X7795" s="57"/>
    </row>
    <row r="7796" spans="1:24" hidden="1" x14ac:dyDescent="0.35">
      <c r="A7796">
        <v>7792</v>
      </c>
      <c r="B7796">
        <v>7793</v>
      </c>
      <c r="C7796">
        <v>146.09644037800001</v>
      </c>
      <c r="D7796">
        <v>-17.6186197699</v>
      </c>
      <c r="E7796" s="92" t="str">
        <f t="shared" si="33"/>
        <v/>
      </c>
      <c r="G7796" s="92"/>
      <c r="I7796">
        <v>7</v>
      </c>
      <c r="J7796" t="s">
        <v>26</v>
      </c>
      <c r="K7796" s="57"/>
      <c r="S7796" s="57"/>
      <c r="X7796" s="57"/>
    </row>
    <row r="7797" spans="1:24" hidden="1" x14ac:dyDescent="0.35">
      <c r="A7797">
        <v>7793</v>
      </c>
      <c r="B7797">
        <v>7794</v>
      </c>
      <c r="C7797">
        <v>146.096352695999</v>
      </c>
      <c r="D7797">
        <v>-17.618638385699899</v>
      </c>
      <c r="E7797" s="92" t="str">
        <f t="shared" si="33"/>
        <v/>
      </c>
      <c r="G7797" s="92"/>
      <c r="I7797">
        <v>7</v>
      </c>
      <c r="J7797" t="s">
        <v>26</v>
      </c>
      <c r="K7797" s="57"/>
      <c r="S7797" s="57"/>
      <c r="X7797" s="57"/>
    </row>
    <row r="7798" spans="1:24" hidden="1" x14ac:dyDescent="0.35">
      <c r="A7798">
        <v>7794</v>
      </c>
      <c r="B7798">
        <v>7795</v>
      </c>
      <c r="C7798">
        <v>146.096264636999</v>
      </c>
      <c r="D7798">
        <v>-17.6186463579999</v>
      </c>
      <c r="E7798" s="92">
        <f t="shared" si="33"/>
        <v>50</v>
      </c>
      <c r="G7798" s="92"/>
      <c r="I7798">
        <v>7</v>
      </c>
      <c r="J7798" t="s">
        <v>26</v>
      </c>
      <c r="K7798" s="57"/>
      <c r="S7798" s="57"/>
      <c r="X7798" s="57"/>
    </row>
    <row r="7799" spans="1:24" hidden="1" x14ac:dyDescent="0.35">
      <c r="A7799">
        <v>7795</v>
      </c>
      <c r="B7799">
        <v>7796</v>
      </c>
      <c r="C7799">
        <v>146.096175837</v>
      </c>
      <c r="D7799">
        <v>-17.618633419199899</v>
      </c>
      <c r="E7799" s="92" t="str">
        <f t="shared" si="33"/>
        <v/>
      </c>
      <c r="G7799" s="92"/>
      <c r="I7799">
        <v>7</v>
      </c>
      <c r="J7799" t="s">
        <v>26</v>
      </c>
      <c r="K7799" s="57"/>
      <c r="S7799" s="57"/>
      <c r="X7799" s="57"/>
    </row>
    <row r="7800" spans="1:24" hidden="1" x14ac:dyDescent="0.35">
      <c r="A7800">
        <v>7796</v>
      </c>
      <c r="B7800">
        <v>7797</v>
      </c>
      <c r="C7800">
        <v>146.09608703699899</v>
      </c>
      <c r="D7800">
        <v>-17.618620480499899</v>
      </c>
      <c r="E7800" s="92" t="str">
        <f t="shared" si="33"/>
        <v/>
      </c>
      <c r="G7800" s="92"/>
      <c r="I7800">
        <v>7</v>
      </c>
      <c r="J7800" t="s">
        <v>26</v>
      </c>
      <c r="K7800" s="57"/>
      <c r="S7800" s="57"/>
      <c r="X7800" s="57"/>
    </row>
    <row r="7801" spans="1:24" hidden="1" x14ac:dyDescent="0.35">
      <c r="A7801">
        <v>7797</v>
      </c>
      <c r="B7801">
        <v>7798</v>
      </c>
      <c r="C7801">
        <v>146.09600636100001</v>
      </c>
      <c r="D7801">
        <v>-17.618585735500002</v>
      </c>
      <c r="E7801" s="92" t="str">
        <f t="shared" si="33"/>
        <v/>
      </c>
      <c r="G7801" s="92"/>
      <c r="I7801">
        <v>7</v>
      </c>
      <c r="J7801" t="s">
        <v>26</v>
      </c>
      <c r="K7801" s="57"/>
      <c r="S7801" s="57"/>
      <c r="X7801" s="57"/>
    </row>
    <row r="7802" spans="1:24" hidden="1" x14ac:dyDescent="0.35">
      <c r="A7802">
        <v>7798</v>
      </c>
      <c r="B7802">
        <v>7799</v>
      </c>
      <c r="C7802">
        <v>146.095928885999</v>
      </c>
      <c r="D7802">
        <v>-17.618542400900001</v>
      </c>
      <c r="E7802" s="92" t="str">
        <f t="shared" si="33"/>
        <v/>
      </c>
      <c r="G7802" s="92"/>
      <c r="I7802">
        <v>7</v>
      </c>
      <c r="J7802" t="s">
        <v>26</v>
      </c>
      <c r="K7802" s="57"/>
      <c r="S7802" s="57"/>
      <c r="X7802" s="57"/>
    </row>
    <row r="7803" spans="1:24" hidden="1" x14ac:dyDescent="0.35">
      <c r="A7803">
        <v>7799</v>
      </c>
      <c r="B7803">
        <v>7800</v>
      </c>
      <c r="C7803">
        <v>146.09586270400001</v>
      </c>
      <c r="D7803">
        <v>-17.6184874938</v>
      </c>
      <c r="E7803" s="92">
        <f t="shared" si="33"/>
        <v>50</v>
      </c>
      <c r="G7803" s="92"/>
      <c r="I7803">
        <v>7</v>
      </c>
      <c r="J7803" t="s">
        <v>26</v>
      </c>
      <c r="K7803" s="57"/>
      <c r="S7803" s="57"/>
      <c r="X7803" s="57"/>
    </row>
    <row r="7804" spans="1:24" hidden="1" x14ac:dyDescent="0.35">
      <c r="A7804">
        <v>7800</v>
      </c>
      <c r="B7804">
        <v>7801</v>
      </c>
      <c r="C7804">
        <v>146.095811752999</v>
      </c>
      <c r="D7804">
        <v>-17.618416979900001</v>
      </c>
      <c r="E7804" s="92" t="str">
        <f t="shared" si="33"/>
        <v/>
      </c>
      <c r="G7804" s="92"/>
      <c r="I7804">
        <v>7</v>
      </c>
      <c r="J7804" t="s">
        <v>26</v>
      </c>
      <c r="K7804" s="57"/>
      <c r="S7804" s="57"/>
      <c r="X7804" s="57"/>
    </row>
    <row r="7805" spans="1:24" hidden="1" x14ac:dyDescent="0.35">
      <c r="A7805">
        <v>7801</v>
      </c>
      <c r="B7805">
        <v>7802</v>
      </c>
      <c r="C7805">
        <v>146.095777351999</v>
      </c>
      <c r="D7805">
        <v>-17.6183394042</v>
      </c>
      <c r="E7805" s="92" t="str">
        <f t="shared" si="33"/>
        <v/>
      </c>
      <c r="G7805" s="92"/>
      <c r="I7805">
        <v>7</v>
      </c>
      <c r="J7805" t="s">
        <v>26</v>
      </c>
      <c r="K7805" s="57"/>
      <c r="S7805" s="57"/>
      <c r="X7805" s="57"/>
    </row>
    <row r="7806" spans="1:24" hidden="1" x14ac:dyDescent="0.35">
      <c r="A7806">
        <v>7802</v>
      </c>
      <c r="B7806">
        <v>7803</v>
      </c>
      <c r="C7806">
        <v>146.095756104</v>
      </c>
      <c r="D7806">
        <v>-17.618256215799899</v>
      </c>
      <c r="E7806" s="92" t="str">
        <f t="shared" si="33"/>
        <v/>
      </c>
      <c r="G7806" s="92"/>
      <c r="I7806">
        <v>7</v>
      </c>
      <c r="J7806" t="s">
        <v>26</v>
      </c>
      <c r="K7806" s="57"/>
      <c r="S7806" s="57"/>
      <c r="X7806" s="57"/>
    </row>
    <row r="7807" spans="1:24" hidden="1" x14ac:dyDescent="0.35">
      <c r="A7807">
        <v>7803</v>
      </c>
      <c r="B7807">
        <v>7804</v>
      </c>
      <c r="C7807">
        <v>146.09574151300001</v>
      </c>
      <c r="D7807">
        <v>-17.6181721972</v>
      </c>
      <c r="E7807" s="92" t="str">
        <f t="shared" si="33"/>
        <v/>
      </c>
      <c r="G7807" s="92"/>
      <c r="I7807">
        <v>7</v>
      </c>
      <c r="J7807" t="s">
        <v>26</v>
      </c>
      <c r="K7807" s="57"/>
      <c r="S7807" s="57"/>
      <c r="X7807" s="57"/>
    </row>
    <row r="7808" spans="1:24" hidden="1" x14ac:dyDescent="0.35">
      <c r="A7808">
        <v>7804</v>
      </c>
      <c r="B7808">
        <v>7805</v>
      </c>
      <c r="C7808">
        <v>146.09573959100001</v>
      </c>
      <c r="D7808">
        <v>-17.618086598800001</v>
      </c>
      <c r="E7808" s="92">
        <f t="shared" si="33"/>
        <v>50</v>
      </c>
      <c r="G7808" s="92"/>
      <c r="I7808">
        <v>7</v>
      </c>
      <c r="J7808" t="s">
        <v>26</v>
      </c>
      <c r="K7808" s="57"/>
      <c r="S7808" s="57"/>
      <c r="X7808" s="57"/>
    </row>
    <row r="7809" spans="1:24" hidden="1" x14ac:dyDescent="0.35">
      <c r="A7809">
        <v>7805</v>
      </c>
      <c r="B7809">
        <v>7806</v>
      </c>
      <c r="C7809">
        <v>146.095737667999</v>
      </c>
      <c r="D7809">
        <v>-17.6180010004</v>
      </c>
      <c r="E7809" s="92" t="str">
        <f t="shared" si="33"/>
        <v/>
      </c>
      <c r="G7809" s="92"/>
      <c r="I7809">
        <v>7</v>
      </c>
      <c r="J7809" t="s">
        <v>26</v>
      </c>
      <c r="K7809" s="57"/>
      <c r="S7809" s="57"/>
      <c r="X7809" s="57"/>
    </row>
    <row r="7810" spans="1:24" hidden="1" x14ac:dyDescent="0.35">
      <c r="A7810">
        <v>7806</v>
      </c>
      <c r="B7810">
        <v>7807</v>
      </c>
      <c r="C7810">
        <v>146.09574694099899</v>
      </c>
      <c r="D7810">
        <v>-17.617916747900001</v>
      </c>
      <c r="E7810" s="92" t="str">
        <f t="shared" si="33"/>
        <v/>
      </c>
      <c r="G7810" s="92"/>
      <c r="I7810">
        <v>7</v>
      </c>
      <c r="J7810" t="s">
        <v>26</v>
      </c>
      <c r="K7810" s="57"/>
      <c r="S7810" s="57"/>
      <c r="X7810" s="57"/>
    </row>
    <row r="7811" spans="1:24" hidden="1" x14ac:dyDescent="0.35">
      <c r="A7811">
        <v>7807</v>
      </c>
      <c r="B7811">
        <v>7808</v>
      </c>
      <c r="C7811">
        <v>146.095771106</v>
      </c>
      <c r="D7811">
        <v>-17.617834285800001</v>
      </c>
      <c r="E7811" s="92" t="str">
        <f t="shared" si="33"/>
        <v/>
      </c>
      <c r="G7811" s="92"/>
      <c r="I7811">
        <v>7</v>
      </c>
      <c r="J7811" t="s">
        <v>26</v>
      </c>
      <c r="K7811" s="57"/>
      <c r="S7811" s="57"/>
      <c r="X7811" s="57"/>
    </row>
    <row r="7812" spans="1:24" hidden="1" x14ac:dyDescent="0.35">
      <c r="A7812">
        <v>7808</v>
      </c>
      <c r="B7812">
        <v>7809</v>
      </c>
      <c r="C7812">
        <v>146.095794761999</v>
      </c>
      <c r="D7812">
        <v>-17.617751700300001</v>
      </c>
      <c r="E7812" s="92" t="str">
        <f t="shared" si="33"/>
        <v/>
      </c>
      <c r="G7812" s="92"/>
      <c r="I7812">
        <v>7</v>
      </c>
      <c r="J7812" t="s">
        <v>26</v>
      </c>
      <c r="K7812" s="57"/>
      <c r="S7812" s="57"/>
      <c r="X7812" s="57"/>
    </row>
    <row r="7813" spans="1:24" hidden="1" x14ac:dyDescent="0.35">
      <c r="A7813">
        <v>7809</v>
      </c>
      <c r="B7813">
        <v>7810</v>
      </c>
      <c r="C7813">
        <v>146.095814781999</v>
      </c>
      <c r="D7813">
        <v>-17.6176682356</v>
      </c>
      <c r="E7813" s="92">
        <f t="shared" si="33"/>
        <v>50</v>
      </c>
      <c r="G7813" s="92"/>
      <c r="I7813">
        <v>7</v>
      </c>
      <c r="J7813" t="s">
        <v>26</v>
      </c>
      <c r="K7813" s="57"/>
      <c r="S7813" s="57"/>
      <c r="X7813" s="57"/>
    </row>
    <row r="7814" spans="1:24" hidden="1" x14ac:dyDescent="0.35">
      <c r="A7814">
        <v>7810</v>
      </c>
      <c r="B7814">
        <v>7811</v>
      </c>
      <c r="C7814">
        <v>146.095834803</v>
      </c>
      <c r="D7814">
        <v>-17.617584770800001</v>
      </c>
      <c r="E7814" s="92" t="str">
        <f t="shared" si="33"/>
        <v/>
      </c>
      <c r="G7814" s="92"/>
      <c r="I7814">
        <v>7</v>
      </c>
      <c r="J7814" t="s">
        <v>26</v>
      </c>
      <c r="K7814" s="57"/>
      <c r="S7814" s="57"/>
      <c r="X7814" s="57"/>
    </row>
    <row r="7815" spans="1:24" hidden="1" x14ac:dyDescent="0.35">
      <c r="A7815">
        <v>7811</v>
      </c>
      <c r="B7815">
        <v>7812</v>
      </c>
      <c r="C7815">
        <v>146.09585482400001</v>
      </c>
      <c r="D7815">
        <v>-17.6175013060999</v>
      </c>
      <c r="E7815" s="92" t="str">
        <f t="shared" si="33"/>
        <v/>
      </c>
      <c r="G7815" s="92"/>
      <c r="I7815">
        <v>7</v>
      </c>
      <c r="J7815" t="s">
        <v>26</v>
      </c>
      <c r="K7815" s="57"/>
      <c r="S7815" s="57"/>
      <c r="X7815" s="57"/>
    </row>
    <row r="7816" spans="1:24" hidden="1" x14ac:dyDescent="0.35">
      <c r="A7816">
        <v>7812</v>
      </c>
      <c r="B7816">
        <v>7813</v>
      </c>
      <c r="C7816">
        <v>146.09586457200001</v>
      </c>
      <c r="D7816">
        <v>-17.617416205400001</v>
      </c>
      <c r="E7816" s="92" t="str">
        <f t="shared" si="33"/>
        <v/>
      </c>
      <c r="G7816" s="92"/>
      <c r="I7816">
        <v>7</v>
      </c>
      <c r="J7816" t="s">
        <v>26</v>
      </c>
      <c r="K7816" s="57"/>
      <c r="S7816" s="57"/>
      <c r="X7816" s="57"/>
    </row>
    <row r="7817" spans="1:24" hidden="1" x14ac:dyDescent="0.35">
      <c r="A7817">
        <v>7813</v>
      </c>
      <c r="B7817">
        <v>7814</v>
      </c>
      <c r="C7817">
        <v>146.09587410699899</v>
      </c>
      <c r="D7817">
        <v>-17.617331070700001</v>
      </c>
      <c r="E7817" s="92" t="str">
        <f t="shared" si="33"/>
        <v/>
      </c>
      <c r="G7817" s="92"/>
      <c r="I7817">
        <v>7</v>
      </c>
      <c r="J7817" t="s">
        <v>26</v>
      </c>
      <c r="K7817" s="57"/>
      <c r="S7817" s="57"/>
      <c r="X7817" s="57"/>
    </row>
    <row r="7818" spans="1:24" hidden="1" x14ac:dyDescent="0.35">
      <c r="A7818">
        <v>7814</v>
      </c>
      <c r="B7818">
        <v>7815</v>
      </c>
      <c r="C7818">
        <v>146.095883641</v>
      </c>
      <c r="D7818">
        <v>-17.617245935900002</v>
      </c>
      <c r="E7818" s="92">
        <f t="shared" si="33"/>
        <v>50</v>
      </c>
      <c r="G7818" s="92"/>
      <c r="I7818">
        <v>7</v>
      </c>
      <c r="J7818" t="s">
        <v>26</v>
      </c>
      <c r="K7818" s="57"/>
      <c r="S7818" s="57"/>
      <c r="X7818" s="57"/>
    </row>
    <row r="7819" spans="1:24" hidden="1" x14ac:dyDescent="0.35">
      <c r="A7819">
        <v>7815</v>
      </c>
      <c r="B7819">
        <v>7816</v>
      </c>
      <c r="C7819">
        <v>146.095893176</v>
      </c>
      <c r="D7819">
        <v>-17.617160801200001</v>
      </c>
      <c r="E7819" s="92" t="str">
        <f t="shared" si="33"/>
        <v/>
      </c>
      <c r="G7819" s="92"/>
      <c r="I7819">
        <v>7</v>
      </c>
      <c r="J7819" t="s">
        <v>26</v>
      </c>
      <c r="K7819" s="57"/>
      <c r="S7819" s="57"/>
      <c r="X7819" s="57"/>
    </row>
    <row r="7820" spans="1:24" hidden="1" x14ac:dyDescent="0.35">
      <c r="A7820">
        <v>7816</v>
      </c>
      <c r="B7820">
        <v>7817</v>
      </c>
      <c r="C7820">
        <v>146.09590271100001</v>
      </c>
      <c r="D7820">
        <v>-17.6170756663</v>
      </c>
      <c r="E7820" s="92" t="str">
        <f t="shared" si="33"/>
        <v/>
      </c>
      <c r="G7820" s="92"/>
      <c r="I7820">
        <v>7</v>
      </c>
      <c r="J7820" t="s">
        <v>26</v>
      </c>
      <c r="K7820" s="57"/>
      <c r="S7820" s="57"/>
      <c r="X7820" s="57"/>
    </row>
    <row r="7821" spans="1:24" hidden="1" x14ac:dyDescent="0.35">
      <c r="A7821">
        <v>7817</v>
      </c>
      <c r="B7821">
        <v>7818</v>
      </c>
      <c r="C7821">
        <v>146.095912244999</v>
      </c>
      <c r="D7821">
        <v>-17.616990531500001</v>
      </c>
      <c r="E7821" s="92" t="str">
        <f t="shared" si="33"/>
        <v/>
      </c>
      <c r="G7821" s="92"/>
      <c r="I7821">
        <v>7</v>
      </c>
      <c r="J7821" t="s">
        <v>26</v>
      </c>
      <c r="K7821" s="57"/>
      <c r="S7821" s="57"/>
      <c r="X7821" s="57"/>
    </row>
    <row r="7822" spans="1:24" hidden="1" x14ac:dyDescent="0.35">
      <c r="A7822">
        <v>7818</v>
      </c>
      <c r="B7822">
        <v>7819</v>
      </c>
      <c r="C7822">
        <v>146.095921156</v>
      </c>
      <c r="D7822">
        <v>-17.6169053353</v>
      </c>
      <c r="E7822" s="92" t="str">
        <f t="shared" si="33"/>
        <v/>
      </c>
      <c r="G7822" s="92"/>
      <c r="I7822">
        <v>7</v>
      </c>
      <c r="J7822" t="s">
        <v>26</v>
      </c>
      <c r="K7822" s="57"/>
      <c r="S7822" s="57"/>
      <c r="X7822" s="57"/>
    </row>
    <row r="7823" spans="1:24" hidden="1" x14ac:dyDescent="0.35">
      <c r="A7823">
        <v>7819</v>
      </c>
      <c r="B7823">
        <v>7820</v>
      </c>
      <c r="C7823">
        <v>146.09593004600001</v>
      </c>
      <c r="D7823">
        <v>-17.616820137000001</v>
      </c>
      <c r="E7823" s="92">
        <f t="shared" si="33"/>
        <v>50</v>
      </c>
      <c r="G7823" s="92"/>
      <c r="I7823">
        <v>7</v>
      </c>
      <c r="J7823" t="s">
        <v>26</v>
      </c>
      <c r="K7823" s="57"/>
      <c r="S7823" s="57"/>
      <c r="X7823" s="57"/>
    </row>
    <row r="7824" spans="1:24" hidden="1" x14ac:dyDescent="0.35">
      <c r="A7824">
        <v>7820</v>
      </c>
      <c r="B7824">
        <v>7821</v>
      </c>
      <c r="C7824">
        <v>146.09593893600001</v>
      </c>
      <c r="D7824">
        <v>-17.616734938600001</v>
      </c>
      <c r="E7824" s="92" t="str">
        <f t="shared" ref="E7824:E7887" si="34">IF(MOD(B7824,5)=0, 50, "")</f>
        <v/>
      </c>
      <c r="G7824" s="92"/>
      <c r="I7824">
        <v>7</v>
      </c>
      <c r="J7824" t="s">
        <v>26</v>
      </c>
      <c r="K7824" s="57"/>
      <c r="S7824" s="57"/>
      <c r="X7824" s="57"/>
    </row>
    <row r="7825" spans="1:24" hidden="1" x14ac:dyDescent="0.35">
      <c r="A7825">
        <v>7821</v>
      </c>
      <c r="B7825">
        <v>7822</v>
      </c>
      <c r="C7825">
        <v>146.09594782600001</v>
      </c>
      <c r="D7825">
        <v>-17.616649740300002</v>
      </c>
      <c r="E7825" s="92" t="str">
        <f t="shared" si="34"/>
        <v/>
      </c>
      <c r="G7825" s="92"/>
      <c r="I7825">
        <v>7</v>
      </c>
      <c r="J7825" t="s">
        <v>26</v>
      </c>
      <c r="K7825" s="57"/>
      <c r="S7825" s="57"/>
      <c r="X7825" s="57"/>
    </row>
    <row r="7826" spans="1:24" hidden="1" x14ac:dyDescent="0.35">
      <c r="A7826">
        <v>7822</v>
      </c>
      <c r="B7826">
        <v>7823</v>
      </c>
      <c r="C7826">
        <v>146.095955524</v>
      </c>
      <c r="D7826">
        <v>-17.616564495599899</v>
      </c>
      <c r="E7826" s="92" t="str">
        <f t="shared" si="34"/>
        <v/>
      </c>
      <c r="G7826" s="92"/>
      <c r="I7826">
        <v>7</v>
      </c>
      <c r="J7826" t="s">
        <v>26</v>
      </c>
      <c r="K7826" s="57"/>
      <c r="S7826" s="57"/>
      <c r="X7826" s="57"/>
    </row>
    <row r="7827" spans="1:24" hidden="1" x14ac:dyDescent="0.35">
      <c r="A7827">
        <v>7823</v>
      </c>
      <c r="B7827">
        <v>7824</v>
      </c>
      <c r="C7827">
        <v>146.09595392200001</v>
      </c>
      <c r="D7827">
        <v>-17.616478890500002</v>
      </c>
      <c r="E7827" s="92" t="str">
        <f t="shared" si="34"/>
        <v/>
      </c>
      <c r="G7827" s="92"/>
      <c r="I7827">
        <v>7</v>
      </c>
      <c r="J7827" t="s">
        <v>26</v>
      </c>
      <c r="K7827" s="57"/>
      <c r="S7827" s="57"/>
      <c r="X7827" s="57"/>
    </row>
    <row r="7828" spans="1:24" hidden="1" x14ac:dyDescent="0.35">
      <c r="A7828">
        <v>7824</v>
      </c>
      <c r="B7828">
        <v>7825</v>
      </c>
      <c r="C7828">
        <v>146.09595232000001</v>
      </c>
      <c r="D7828">
        <v>-17.616393285400001</v>
      </c>
      <c r="E7828" s="92">
        <f t="shared" si="34"/>
        <v>50</v>
      </c>
      <c r="G7828" s="92"/>
      <c r="I7828">
        <v>7</v>
      </c>
      <c r="J7828" t="s">
        <v>26</v>
      </c>
      <c r="K7828" s="57"/>
      <c r="S7828" s="57"/>
      <c r="X7828" s="57"/>
    </row>
    <row r="7829" spans="1:24" hidden="1" x14ac:dyDescent="0.35">
      <c r="A7829">
        <v>7825</v>
      </c>
      <c r="B7829">
        <v>7826</v>
      </c>
      <c r="C7829">
        <v>146.095950716999</v>
      </c>
      <c r="D7829">
        <v>-17.616307680199899</v>
      </c>
      <c r="E7829" s="92" t="str">
        <f t="shared" si="34"/>
        <v/>
      </c>
      <c r="G7829" s="92"/>
      <c r="I7829">
        <v>7</v>
      </c>
      <c r="J7829" t="s">
        <v>26</v>
      </c>
      <c r="K7829" s="57"/>
      <c r="S7829" s="57"/>
      <c r="X7829" s="57"/>
    </row>
    <row r="7830" spans="1:24" hidden="1" x14ac:dyDescent="0.35">
      <c r="A7830">
        <v>7826</v>
      </c>
      <c r="B7830">
        <v>7827</v>
      </c>
      <c r="C7830">
        <v>146.09593557900001</v>
      </c>
      <c r="D7830">
        <v>-17.6162236413</v>
      </c>
      <c r="E7830" s="92" t="str">
        <f t="shared" si="34"/>
        <v/>
      </c>
      <c r="G7830" s="92"/>
      <c r="I7830">
        <v>7</v>
      </c>
      <c r="J7830" t="s">
        <v>26</v>
      </c>
      <c r="K7830" s="57"/>
      <c r="S7830" s="57"/>
      <c r="X7830" s="57"/>
    </row>
    <row r="7831" spans="1:24" hidden="1" x14ac:dyDescent="0.35">
      <c r="A7831">
        <v>7827</v>
      </c>
      <c r="B7831">
        <v>7828</v>
      </c>
      <c r="C7831">
        <v>146.095915641999</v>
      </c>
      <c r="D7831">
        <v>-17.616140157699899</v>
      </c>
      <c r="E7831" s="92" t="str">
        <f t="shared" si="34"/>
        <v/>
      </c>
      <c r="G7831" s="92"/>
      <c r="I7831">
        <v>7</v>
      </c>
      <c r="J7831" t="s">
        <v>26</v>
      </c>
      <c r="K7831" s="57"/>
      <c r="S7831" s="57"/>
      <c r="X7831" s="57"/>
    </row>
    <row r="7832" spans="1:24" hidden="1" x14ac:dyDescent="0.35">
      <c r="A7832">
        <v>7828</v>
      </c>
      <c r="B7832">
        <v>7829</v>
      </c>
      <c r="C7832">
        <v>146.095895705</v>
      </c>
      <c r="D7832">
        <v>-17.616056674100001</v>
      </c>
      <c r="E7832" s="92" t="str">
        <f t="shared" si="34"/>
        <v/>
      </c>
      <c r="G7832" s="92"/>
      <c r="I7832">
        <v>7</v>
      </c>
      <c r="J7832" t="s">
        <v>26</v>
      </c>
      <c r="K7832" s="57"/>
      <c r="S7832" s="57"/>
      <c r="X7832" s="57"/>
    </row>
    <row r="7833" spans="1:24" hidden="1" x14ac:dyDescent="0.35">
      <c r="A7833">
        <v>7829</v>
      </c>
      <c r="B7833">
        <v>7830</v>
      </c>
      <c r="C7833">
        <v>146.09587545400001</v>
      </c>
      <c r="D7833">
        <v>-17.615973273800002</v>
      </c>
      <c r="E7833" s="92">
        <f t="shared" si="34"/>
        <v>50</v>
      </c>
      <c r="G7833" s="92"/>
      <c r="I7833">
        <v>7</v>
      </c>
      <c r="J7833" t="s">
        <v>26</v>
      </c>
      <c r="K7833" s="57"/>
      <c r="S7833" s="57"/>
      <c r="X7833" s="57"/>
    </row>
    <row r="7834" spans="1:24" hidden="1" x14ac:dyDescent="0.35">
      <c r="A7834">
        <v>7830</v>
      </c>
      <c r="B7834">
        <v>7831</v>
      </c>
      <c r="C7834">
        <v>146.09584715400001</v>
      </c>
      <c r="D7834">
        <v>-17.6158920146</v>
      </c>
      <c r="E7834" s="92" t="str">
        <f t="shared" si="34"/>
        <v/>
      </c>
      <c r="G7834" s="92"/>
      <c r="I7834">
        <v>7</v>
      </c>
      <c r="J7834" t="s">
        <v>26</v>
      </c>
      <c r="K7834" s="57"/>
      <c r="S7834" s="57"/>
      <c r="X7834" s="57"/>
    </row>
    <row r="7835" spans="1:24" hidden="1" x14ac:dyDescent="0.35">
      <c r="A7835">
        <v>7831</v>
      </c>
      <c r="B7835">
        <v>7832</v>
      </c>
      <c r="C7835">
        <v>146.095818852999</v>
      </c>
      <c r="D7835">
        <v>-17.6158107553</v>
      </c>
      <c r="E7835" s="92" t="str">
        <f t="shared" si="34"/>
        <v/>
      </c>
      <c r="G7835" s="92"/>
      <c r="I7835">
        <v>7</v>
      </c>
      <c r="J7835" t="s">
        <v>26</v>
      </c>
      <c r="K7835" s="57"/>
      <c r="S7835" s="57"/>
      <c r="X7835" s="57"/>
    </row>
    <row r="7836" spans="1:24" hidden="1" x14ac:dyDescent="0.35">
      <c r="A7836">
        <v>7832</v>
      </c>
      <c r="B7836">
        <v>7833</v>
      </c>
      <c r="C7836">
        <v>146.095790553</v>
      </c>
      <c r="D7836">
        <v>-17.615729496</v>
      </c>
      <c r="E7836" s="92" t="str">
        <f t="shared" si="34"/>
        <v/>
      </c>
      <c r="G7836" s="92"/>
      <c r="I7836">
        <v>7</v>
      </c>
      <c r="J7836" t="s">
        <v>26</v>
      </c>
      <c r="K7836" s="57"/>
      <c r="S7836" s="57"/>
      <c r="X7836" s="57"/>
    </row>
    <row r="7837" spans="1:24" hidden="1" x14ac:dyDescent="0.35">
      <c r="A7837">
        <v>7833</v>
      </c>
      <c r="B7837">
        <v>7834</v>
      </c>
      <c r="C7837">
        <v>146.095762253</v>
      </c>
      <c r="D7837">
        <v>-17.6156482367</v>
      </c>
      <c r="E7837" s="92" t="str">
        <f t="shared" si="34"/>
        <v/>
      </c>
      <c r="G7837" s="92"/>
      <c r="I7837">
        <v>7</v>
      </c>
      <c r="J7837" t="s">
        <v>26</v>
      </c>
      <c r="K7837" s="57"/>
      <c r="S7837" s="57"/>
      <c r="X7837" s="57"/>
    </row>
    <row r="7838" spans="1:24" hidden="1" x14ac:dyDescent="0.35">
      <c r="A7838">
        <v>7834</v>
      </c>
      <c r="B7838">
        <v>7835</v>
      </c>
      <c r="C7838">
        <v>146.09572294399899</v>
      </c>
      <c r="D7838">
        <v>-17.615572124100002</v>
      </c>
      <c r="E7838" s="92">
        <f t="shared" si="34"/>
        <v>50</v>
      </c>
      <c r="G7838" s="92"/>
      <c r="I7838">
        <v>7</v>
      </c>
      <c r="J7838" t="s">
        <v>26</v>
      </c>
      <c r="K7838" s="57"/>
      <c r="S7838" s="57"/>
      <c r="X7838" s="57"/>
    </row>
    <row r="7839" spans="1:24" hidden="1" x14ac:dyDescent="0.35">
      <c r="A7839">
        <v>7835</v>
      </c>
      <c r="B7839">
        <v>7836</v>
      </c>
      <c r="C7839">
        <v>146.095672847999</v>
      </c>
      <c r="D7839">
        <v>-17.6155010543999</v>
      </c>
      <c r="E7839" s="92" t="str">
        <f t="shared" si="34"/>
        <v/>
      </c>
      <c r="G7839" s="92"/>
      <c r="I7839">
        <v>7</v>
      </c>
      <c r="J7839" t="s">
        <v>26</v>
      </c>
      <c r="K7839" s="57"/>
      <c r="S7839" s="57"/>
      <c r="X7839" s="57"/>
    </row>
    <row r="7840" spans="1:24" hidden="1" x14ac:dyDescent="0.35">
      <c r="A7840">
        <v>7836</v>
      </c>
      <c r="B7840">
        <v>7837</v>
      </c>
      <c r="C7840">
        <v>146.095622751999</v>
      </c>
      <c r="D7840">
        <v>-17.615429984799899</v>
      </c>
      <c r="E7840" s="92" t="str">
        <f t="shared" si="34"/>
        <v/>
      </c>
      <c r="G7840" s="92"/>
      <c r="I7840">
        <v>7</v>
      </c>
      <c r="J7840" t="s">
        <v>26</v>
      </c>
      <c r="K7840" s="57"/>
      <c r="S7840" s="57"/>
      <c r="X7840" s="57"/>
    </row>
    <row r="7841" spans="1:24" hidden="1" x14ac:dyDescent="0.35">
      <c r="A7841">
        <v>7837</v>
      </c>
      <c r="B7841">
        <v>7838</v>
      </c>
      <c r="C7841">
        <v>146.095572656</v>
      </c>
      <c r="D7841">
        <v>-17.6153589151</v>
      </c>
      <c r="E7841" s="92" t="str">
        <f t="shared" si="34"/>
        <v/>
      </c>
      <c r="G7841" s="92"/>
      <c r="I7841">
        <v>7</v>
      </c>
      <c r="J7841" t="s">
        <v>26</v>
      </c>
      <c r="K7841" s="57"/>
      <c r="S7841" s="57"/>
      <c r="X7841" s="57"/>
    </row>
    <row r="7842" spans="1:24" hidden="1" x14ac:dyDescent="0.35">
      <c r="A7842">
        <v>7838</v>
      </c>
      <c r="B7842">
        <v>7839</v>
      </c>
      <c r="C7842">
        <v>146.095507513</v>
      </c>
      <c r="D7842">
        <v>-17.615301356100002</v>
      </c>
      <c r="E7842" s="92" t="str">
        <f t="shared" si="34"/>
        <v/>
      </c>
      <c r="G7842" s="92"/>
      <c r="I7842">
        <v>7</v>
      </c>
      <c r="J7842" t="s">
        <v>26</v>
      </c>
      <c r="K7842" s="57"/>
      <c r="S7842" s="57"/>
      <c r="X7842" s="57"/>
    </row>
    <row r="7843" spans="1:24" hidden="1" x14ac:dyDescent="0.35">
      <c r="A7843">
        <v>7839</v>
      </c>
      <c r="B7843">
        <v>7840</v>
      </c>
      <c r="C7843">
        <v>146.095436065999</v>
      </c>
      <c r="D7843">
        <v>-17.6152494574999</v>
      </c>
      <c r="E7843" s="92">
        <f t="shared" si="34"/>
        <v>50</v>
      </c>
      <c r="G7843" s="92"/>
      <c r="I7843">
        <v>7</v>
      </c>
      <c r="J7843" t="s">
        <v>26</v>
      </c>
      <c r="K7843" s="57"/>
      <c r="S7843" s="57"/>
      <c r="X7843" s="57"/>
    </row>
    <row r="7844" spans="1:24" hidden="1" x14ac:dyDescent="0.35">
      <c r="A7844">
        <v>7840</v>
      </c>
      <c r="B7844">
        <v>7841</v>
      </c>
      <c r="C7844">
        <v>146.09536461900001</v>
      </c>
      <c r="D7844">
        <v>-17.615197558999899</v>
      </c>
      <c r="E7844" s="92" t="str">
        <f t="shared" si="34"/>
        <v/>
      </c>
      <c r="G7844" s="92"/>
      <c r="I7844">
        <v>7</v>
      </c>
      <c r="J7844" t="s">
        <v>26</v>
      </c>
      <c r="K7844" s="57"/>
      <c r="S7844" s="57"/>
      <c r="X7844" s="57"/>
    </row>
    <row r="7845" spans="1:24" hidden="1" x14ac:dyDescent="0.35">
      <c r="A7845">
        <v>7841</v>
      </c>
      <c r="B7845">
        <v>7842</v>
      </c>
      <c r="C7845">
        <v>146.09528259199899</v>
      </c>
      <c r="D7845">
        <v>-17.615167448200001</v>
      </c>
      <c r="E7845" s="92" t="str">
        <f t="shared" si="34"/>
        <v/>
      </c>
      <c r="G7845" s="92"/>
      <c r="I7845">
        <v>7</v>
      </c>
      <c r="J7845" t="s">
        <v>26</v>
      </c>
      <c r="K7845" s="57"/>
      <c r="S7845" s="57"/>
      <c r="X7845" s="57"/>
    </row>
    <row r="7846" spans="1:24" hidden="1" x14ac:dyDescent="0.35">
      <c r="A7846">
        <v>7842</v>
      </c>
      <c r="B7846">
        <v>7843</v>
      </c>
      <c r="C7846">
        <v>146.09519484200001</v>
      </c>
      <c r="D7846">
        <v>-17.6151491235</v>
      </c>
      <c r="E7846" s="92" t="str">
        <f t="shared" si="34"/>
        <v/>
      </c>
      <c r="G7846" s="92"/>
      <c r="I7846">
        <v>7</v>
      </c>
      <c r="J7846" t="s">
        <v>26</v>
      </c>
      <c r="K7846" s="57"/>
      <c r="S7846" s="57"/>
      <c r="X7846" s="57"/>
    </row>
    <row r="7847" spans="1:24" hidden="1" x14ac:dyDescent="0.35">
      <c r="A7847">
        <v>7843</v>
      </c>
      <c r="B7847">
        <v>7844</v>
      </c>
      <c r="C7847">
        <v>146.09510709200001</v>
      </c>
      <c r="D7847">
        <v>-17.615130798700001</v>
      </c>
      <c r="E7847" s="92" t="str">
        <f t="shared" si="34"/>
        <v/>
      </c>
      <c r="G7847" s="92"/>
      <c r="I7847">
        <v>7</v>
      </c>
      <c r="J7847" t="s">
        <v>26</v>
      </c>
      <c r="K7847" s="57"/>
      <c r="S7847" s="57"/>
      <c r="X7847" s="57"/>
    </row>
    <row r="7848" spans="1:24" hidden="1" x14ac:dyDescent="0.35">
      <c r="A7848">
        <v>7844</v>
      </c>
      <c r="B7848">
        <v>7845</v>
      </c>
      <c r="C7848">
        <v>146.095019342</v>
      </c>
      <c r="D7848">
        <v>-17.615112474</v>
      </c>
      <c r="E7848" s="92">
        <f t="shared" si="34"/>
        <v>50</v>
      </c>
      <c r="G7848" s="92"/>
      <c r="I7848">
        <v>7</v>
      </c>
      <c r="J7848" t="s">
        <v>26</v>
      </c>
      <c r="K7848" s="57"/>
      <c r="S7848" s="57"/>
      <c r="X7848" s="57"/>
    </row>
    <row r="7849" spans="1:24" hidden="1" x14ac:dyDescent="0.35">
      <c r="A7849">
        <v>7845</v>
      </c>
      <c r="B7849">
        <v>7846</v>
      </c>
      <c r="C7849">
        <v>146.09492954199899</v>
      </c>
      <c r="D7849">
        <v>-17.6151117970999</v>
      </c>
      <c r="E7849" s="92" t="str">
        <f t="shared" si="34"/>
        <v/>
      </c>
      <c r="G7849" s="92"/>
      <c r="I7849">
        <v>7</v>
      </c>
      <c r="J7849" t="s">
        <v>26</v>
      </c>
      <c r="K7849" s="57"/>
      <c r="S7849" s="57"/>
      <c r="X7849" s="57"/>
    </row>
    <row r="7850" spans="1:24" hidden="1" x14ac:dyDescent="0.35">
      <c r="A7850">
        <v>7846</v>
      </c>
      <c r="B7850">
        <v>7847</v>
      </c>
      <c r="C7850">
        <v>146.09483971200001</v>
      </c>
      <c r="D7850">
        <v>-17.615111385199899</v>
      </c>
      <c r="E7850" s="92" t="str">
        <f t="shared" si="34"/>
        <v/>
      </c>
      <c r="G7850" s="92"/>
      <c r="I7850">
        <v>7</v>
      </c>
      <c r="J7850" t="s">
        <v>26</v>
      </c>
      <c r="K7850" s="57"/>
      <c r="S7850" s="57"/>
      <c r="X7850" s="57"/>
    </row>
    <row r="7851" spans="1:24" hidden="1" x14ac:dyDescent="0.35">
      <c r="A7851">
        <v>7847</v>
      </c>
      <c r="B7851">
        <v>7848</v>
      </c>
      <c r="C7851">
        <v>146.09474988100001</v>
      </c>
      <c r="D7851">
        <v>-17.615110973299899</v>
      </c>
      <c r="E7851" s="92" t="str">
        <f t="shared" si="34"/>
        <v/>
      </c>
      <c r="G7851" s="92"/>
      <c r="I7851">
        <v>7</v>
      </c>
      <c r="J7851" t="s">
        <v>26</v>
      </c>
      <c r="K7851" s="57"/>
      <c r="S7851" s="57"/>
      <c r="X7851" s="57"/>
    </row>
    <row r="7852" spans="1:24" hidden="1" x14ac:dyDescent="0.35">
      <c r="A7852">
        <v>7848</v>
      </c>
      <c r="B7852">
        <v>7849</v>
      </c>
      <c r="C7852">
        <v>146.094661414</v>
      </c>
      <c r="D7852">
        <v>-17.6151210019</v>
      </c>
      <c r="E7852" s="92" t="str">
        <f t="shared" si="34"/>
        <v/>
      </c>
      <c r="G7852" s="92"/>
      <c r="I7852">
        <v>7</v>
      </c>
      <c r="J7852" t="s">
        <v>26</v>
      </c>
      <c r="K7852" s="57"/>
      <c r="S7852" s="57"/>
      <c r="X7852" s="57"/>
    </row>
    <row r="7853" spans="1:24" hidden="1" x14ac:dyDescent="0.35">
      <c r="A7853">
        <v>7849</v>
      </c>
      <c r="B7853">
        <v>7850</v>
      </c>
      <c r="C7853">
        <v>146.09457443100001</v>
      </c>
      <c r="D7853">
        <v>-17.6151423917999</v>
      </c>
      <c r="E7853" s="92">
        <f t="shared" si="34"/>
        <v>50</v>
      </c>
      <c r="G7853" s="92"/>
      <c r="I7853">
        <v>7</v>
      </c>
      <c r="J7853" t="s">
        <v>26</v>
      </c>
      <c r="K7853" s="57"/>
      <c r="S7853" s="57"/>
      <c r="X7853" s="57"/>
    </row>
    <row r="7854" spans="1:24" hidden="1" x14ac:dyDescent="0.35">
      <c r="A7854">
        <v>7850</v>
      </c>
      <c r="B7854">
        <v>7851</v>
      </c>
      <c r="C7854">
        <v>146.094487447999</v>
      </c>
      <c r="D7854">
        <v>-17.6151637816</v>
      </c>
      <c r="E7854" s="92" t="str">
        <f t="shared" si="34"/>
        <v/>
      </c>
      <c r="G7854" s="92"/>
      <c r="I7854">
        <v>7</v>
      </c>
      <c r="J7854" t="s">
        <v>26</v>
      </c>
      <c r="K7854" s="57"/>
      <c r="S7854" s="57"/>
      <c r="X7854" s="57"/>
    </row>
    <row r="7855" spans="1:24" hidden="1" x14ac:dyDescent="0.35">
      <c r="A7855">
        <v>7851</v>
      </c>
      <c r="B7855">
        <v>7852</v>
      </c>
      <c r="C7855">
        <v>146.09440046500001</v>
      </c>
      <c r="D7855">
        <v>-17.615185171499899</v>
      </c>
      <c r="E7855" s="92" t="str">
        <f t="shared" si="34"/>
        <v/>
      </c>
      <c r="G7855" s="92"/>
      <c r="I7855">
        <v>7</v>
      </c>
      <c r="J7855" t="s">
        <v>26</v>
      </c>
      <c r="K7855" s="57"/>
      <c r="S7855" s="57"/>
      <c r="X7855" s="57"/>
    </row>
    <row r="7856" spans="1:24" hidden="1" x14ac:dyDescent="0.35">
      <c r="A7856">
        <v>7852</v>
      </c>
      <c r="B7856">
        <v>7853</v>
      </c>
      <c r="C7856">
        <v>146.094313481999</v>
      </c>
      <c r="D7856">
        <v>-17.6152065612999</v>
      </c>
      <c r="E7856" s="92" t="str">
        <f t="shared" si="34"/>
        <v/>
      </c>
      <c r="G7856" s="92"/>
      <c r="I7856">
        <v>7</v>
      </c>
      <c r="J7856" t="s">
        <v>26</v>
      </c>
      <c r="K7856" s="57"/>
      <c r="S7856" s="57"/>
      <c r="X7856" s="57"/>
    </row>
    <row r="7857" spans="1:24" hidden="1" x14ac:dyDescent="0.35">
      <c r="A7857">
        <v>7853</v>
      </c>
      <c r="B7857">
        <v>7854</v>
      </c>
      <c r="C7857">
        <v>146.09422632900001</v>
      </c>
      <c r="D7857">
        <v>-17.615227294899899</v>
      </c>
      <c r="E7857" s="92" t="str">
        <f t="shared" si="34"/>
        <v/>
      </c>
      <c r="G7857" s="92"/>
      <c r="I7857">
        <v>7</v>
      </c>
      <c r="J7857" t="s">
        <v>26</v>
      </c>
      <c r="K7857" s="57"/>
      <c r="S7857" s="57"/>
      <c r="X7857" s="57"/>
    </row>
    <row r="7858" spans="1:24" hidden="1" x14ac:dyDescent="0.35">
      <c r="A7858">
        <v>7854</v>
      </c>
      <c r="B7858">
        <v>7855</v>
      </c>
      <c r="C7858">
        <v>146.094138869999</v>
      </c>
      <c r="D7858">
        <v>-17.615246839800001</v>
      </c>
      <c r="E7858" s="92">
        <f t="shared" si="34"/>
        <v>50</v>
      </c>
      <c r="G7858" s="92"/>
      <c r="I7858">
        <v>7</v>
      </c>
      <c r="J7858" t="s">
        <v>26</v>
      </c>
      <c r="K7858" s="57"/>
      <c r="S7858" s="57"/>
      <c r="X7858" s="57"/>
    </row>
    <row r="7859" spans="1:24" hidden="1" x14ac:dyDescent="0.35">
      <c r="A7859">
        <v>7855</v>
      </c>
      <c r="B7859">
        <v>7856</v>
      </c>
      <c r="C7859">
        <v>146.094051409999</v>
      </c>
      <c r="D7859">
        <v>-17.6152663847</v>
      </c>
      <c r="E7859" s="92" t="str">
        <f t="shared" si="34"/>
        <v/>
      </c>
      <c r="G7859" s="92"/>
      <c r="I7859">
        <v>7</v>
      </c>
      <c r="J7859" t="s">
        <v>26</v>
      </c>
      <c r="K7859" s="57"/>
      <c r="S7859" s="57"/>
      <c r="X7859" s="57"/>
    </row>
    <row r="7860" spans="1:24" hidden="1" x14ac:dyDescent="0.35">
      <c r="A7860">
        <v>7856</v>
      </c>
      <c r="B7860">
        <v>7857</v>
      </c>
      <c r="C7860">
        <v>146.09396394999899</v>
      </c>
      <c r="D7860">
        <v>-17.615285929599899</v>
      </c>
      <c r="E7860" s="92" t="str">
        <f t="shared" si="34"/>
        <v/>
      </c>
      <c r="G7860" s="92"/>
      <c r="I7860">
        <v>7</v>
      </c>
      <c r="J7860" t="s">
        <v>26</v>
      </c>
      <c r="K7860" s="57"/>
      <c r="S7860" s="57"/>
      <c r="X7860" s="57"/>
    </row>
    <row r="7861" spans="1:24" hidden="1" x14ac:dyDescent="0.35">
      <c r="A7861">
        <v>7857</v>
      </c>
      <c r="B7861">
        <v>7858</v>
      </c>
      <c r="C7861">
        <v>146.093876491</v>
      </c>
      <c r="D7861">
        <v>-17.615305474500001</v>
      </c>
      <c r="E7861" s="92" t="str">
        <f t="shared" si="34"/>
        <v/>
      </c>
      <c r="G7861" s="92"/>
      <c r="I7861">
        <v>7</v>
      </c>
      <c r="J7861" t="s">
        <v>26</v>
      </c>
      <c r="K7861" s="57"/>
      <c r="S7861" s="57"/>
      <c r="X7861" s="57"/>
    </row>
    <row r="7862" spans="1:24" hidden="1" x14ac:dyDescent="0.35">
      <c r="A7862">
        <v>7858</v>
      </c>
      <c r="B7862">
        <v>7859</v>
      </c>
      <c r="C7862">
        <v>146.093790958</v>
      </c>
      <c r="D7862">
        <v>-17.615330681700001</v>
      </c>
      <c r="E7862" s="92" t="str">
        <f t="shared" si="34"/>
        <v/>
      </c>
      <c r="G7862" s="92"/>
      <c r="I7862">
        <v>7</v>
      </c>
      <c r="J7862" t="s">
        <v>26</v>
      </c>
      <c r="K7862" s="57"/>
      <c r="S7862" s="57"/>
      <c r="X7862" s="57"/>
    </row>
    <row r="7863" spans="1:24" hidden="1" x14ac:dyDescent="0.35">
      <c r="A7863">
        <v>7859</v>
      </c>
      <c r="B7863">
        <v>7860</v>
      </c>
      <c r="C7863">
        <v>146.093708109999</v>
      </c>
      <c r="D7863">
        <v>-17.6153637791999</v>
      </c>
      <c r="E7863" s="92">
        <f t="shared" si="34"/>
        <v>50</v>
      </c>
      <c r="G7863" s="92"/>
      <c r="I7863">
        <v>7</v>
      </c>
      <c r="J7863" t="s">
        <v>26</v>
      </c>
      <c r="K7863" s="57"/>
      <c r="S7863" s="57"/>
      <c r="X7863" s="57"/>
    </row>
    <row r="7864" spans="1:24" hidden="1" x14ac:dyDescent="0.35">
      <c r="A7864">
        <v>7860</v>
      </c>
      <c r="B7864">
        <v>7861</v>
      </c>
      <c r="C7864">
        <v>146.093625261</v>
      </c>
      <c r="D7864">
        <v>-17.615396876599899</v>
      </c>
      <c r="E7864" s="92" t="str">
        <f t="shared" si="34"/>
        <v/>
      </c>
      <c r="G7864" s="92"/>
      <c r="I7864">
        <v>7</v>
      </c>
      <c r="J7864" t="s">
        <v>26</v>
      </c>
      <c r="K7864" s="57"/>
      <c r="S7864" s="57"/>
      <c r="X7864" s="57"/>
    </row>
    <row r="7865" spans="1:24" hidden="1" x14ac:dyDescent="0.35">
      <c r="A7865">
        <v>7861</v>
      </c>
      <c r="B7865">
        <v>7862</v>
      </c>
      <c r="C7865">
        <v>146.093542412999</v>
      </c>
      <c r="D7865">
        <v>-17.6154299741</v>
      </c>
      <c r="E7865" s="92" t="str">
        <f t="shared" si="34"/>
        <v/>
      </c>
      <c r="G7865" s="92"/>
      <c r="I7865">
        <v>7</v>
      </c>
      <c r="J7865" t="s">
        <v>26</v>
      </c>
      <c r="K7865" s="57"/>
      <c r="S7865" s="57"/>
      <c r="X7865" s="57"/>
    </row>
    <row r="7866" spans="1:24" hidden="1" x14ac:dyDescent="0.35">
      <c r="A7866">
        <v>7862</v>
      </c>
      <c r="B7866">
        <v>7863</v>
      </c>
      <c r="C7866">
        <v>146.093462396999</v>
      </c>
      <c r="D7866">
        <v>-17.6154686673</v>
      </c>
      <c r="E7866" s="92" t="str">
        <f t="shared" si="34"/>
        <v/>
      </c>
      <c r="G7866" s="92"/>
      <c r="I7866">
        <v>7</v>
      </c>
      <c r="J7866" t="s">
        <v>26</v>
      </c>
      <c r="K7866" s="57"/>
      <c r="S7866" s="57"/>
      <c r="X7866" s="57"/>
    </row>
    <row r="7867" spans="1:24" hidden="1" x14ac:dyDescent="0.35">
      <c r="A7867">
        <v>7863</v>
      </c>
      <c r="B7867">
        <v>7864</v>
      </c>
      <c r="C7867">
        <v>146.09338364600001</v>
      </c>
      <c r="D7867">
        <v>-17.6155098614</v>
      </c>
      <c r="E7867" s="92" t="str">
        <f t="shared" si="34"/>
        <v/>
      </c>
      <c r="G7867" s="92"/>
      <c r="I7867">
        <v>7</v>
      </c>
      <c r="J7867" t="s">
        <v>26</v>
      </c>
      <c r="K7867" s="57"/>
      <c r="S7867" s="57"/>
      <c r="X7867" s="57"/>
    </row>
    <row r="7868" spans="1:24" hidden="1" x14ac:dyDescent="0.35">
      <c r="A7868">
        <v>7864</v>
      </c>
      <c r="B7868">
        <v>7865</v>
      </c>
      <c r="C7868">
        <v>146.093307818</v>
      </c>
      <c r="D7868">
        <v>-17.6155546108</v>
      </c>
      <c r="E7868" s="92">
        <f t="shared" si="34"/>
        <v>50</v>
      </c>
      <c r="G7868" s="92"/>
      <c r="I7868">
        <v>7</v>
      </c>
      <c r="J7868" t="s">
        <v>26</v>
      </c>
      <c r="K7868" s="57"/>
      <c r="S7868" s="57"/>
      <c r="X7868" s="57"/>
    </row>
    <row r="7869" spans="1:24" hidden="1" x14ac:dyDescent="0.35">
      <c r="A7869">
        <v>7865</v>
      </c>
      <c r="B7869">
        <v>7866</v>
      </c>
      <c r="C7869">
        <v>146.093246999999</v>
      </c>
      <c r="D7869">
        <v>-17.615617623999899</v>
      </c>
      <c r="E7869" s="92" t="str">
        <f t="shared" si="34"/>
        <v/>
      </c>
      <c r="G7869" s="92"/>
      <c r="I7869">
        <v>7</v>
      </c>
      <c r="J7869" t="s">
        <v>26</v>
      </c>
      <c r="K7869" s="57"/>
      <c r="S7869" s="57"/>
      <c r="X7869" s="57"/>
    </row>
    <row r="7870" spans="1:24" hidden="1" x14ac:dyDescent="0.35">
      <c r="A7870">
        <v>7866</v>
      </c>
      <c r="B7870">
        <v>7867</v>
      </c>
      <c r="C7870">
        <v>146.09324161999899</v>
      </c>
      <c r="D7870">
        <v>-17.615701388400002</v>
      </c>
      <c r="E7870" s="92" t="str">
        <f t="shared" si="34"/>
        <v/>
      </c>
      <c r="G7870" s="92"/>
      <c r="I7870">
        <v>7</v>
      </c>
      <c r="J7870" t="s">
        <v>26</v>
      </c>
      <c r="K7870" s="57"/>
      <c r="S7870" s="57"/>
      <c r="X7870" s="57"/>
    </row>
    <row r="7871" spans="1:24" hidden="1" x14ac:dyDescent="0.35">
      <c r="A7871">
        <v>7867</v>
      </c>
      <c r="B7871">
        <v>7868</v>
      </c>
      <c r="C7871">
        <v>146.093291969999</v>
      </c>
      <c r="D7871">
        <v>-17.615768005100001</v>
      </c>
      <c r="E7871" s="92" t="str">
        <f t="shared" si="34"/>
        <v/>
      </c>
      <c r="G7871" s="92"/>
      <c r="I7871">
        <v>7</v>
      </c>
      <c r="J7871" t="s">
        <v>26</v>
      </c>
      <c r="K7871" s="57"/>
      <c r="S7871" s="57"/>
      <c r="X7871" s="57"/>
    </row>
    <row r="7872" spans="1:24" hidden="1" x14ac:dyDescent="0.35">
      <c r="A7872">
        <v>7868</v>
      </c>
      <c r="B7872">
        <v>7869</v>
      </c>
      <c r="C7872">
        <v>146.093379948999</v>
      </c>
      <c r="D7872">
        <v>-17.615785300199899</v>
      </c>
      <c r="E7872" s="92" t="str">
        <f t="shared" si="34"/>
        <v/>
      </c>
      <c r="G7872" s="92"/>
      <c r="I7872">
        <v>7</v>
      </c>
      <c r="J7872" t="s">
        <v>26</v>
      </c>
      <c r="K7872" s="57"/>
      <c r="S7872" s="57"/>
      <c r="X7872" s="57"/>
    </row>
    <row r="7873" spans="1:24" hidden="1" x14ac:dyDescent="0.35">
      <c r="A7873">
        <v>7869</v>
      </c>
      <c r="B7873">
        <v>7870</v>
      </c>
      <c r="C7873">
        <v>146.093468685</v>
      </c>
      <c r="D7873">
        <v>-17.6157974780999</v>
      </c>
      <c r="E7873" s="92">
        <f t="shared" si="34"/>
        <v>50</v>
      </c>
      <c r="G7873" s="92"/>
      <c r="I7873">
        <v>7</v>
      </c>
      <c r="J7873" t="s">
        <v>26</v>
      </c>
      <c r="K7873" s="57"/>
      <c r="S7873" s="57"/>
      <c r="X7873" s="57"/>
    </row>
    <row r="7874" spans="1:24" hidden="1" x14ac:dyDescent="0.35">
      <c r="A7874">
        <v>7870</v>
      </c>
      <c r="B7874">
        <v>7871</v>
      </c>
      <c r="C7874">
        <v>146.09355825399899</v>
      </c>
      <c r="D7874">
        <v>-17.6158040261999</v>
      </c>
      <c r="E7874" s="92" t="str">
        <f t="shared" si="34"/>
        <v/>
      </c>
      <c r="G7874" s="92"/>
      <c r="I7874">
        <v>7</v>
      </c>
      <c r="J7874" t="s">
        <v>26</v>
      </c>
      <c r="K7874" s="57"/>
      <c r="S7874" s="57"/>
      <c r="X7874" s="57"/>
    </row>
    <row r="7875" spans="1:24" hidden="1" x14ac:dyDescent="0.35">
      <c r="A7875">
        <v>7871</v>
      </c>
      <c r="B7875">
        <v>7872</v>
      </c>
      <c r="C7875">
        <v>146.09364696200001</v>
      </c>
      <c r="D7875">
        <v>-17.6158155309999</v>
      </c>
      <c r="E7875" s="92" t="str">
        <f t="shared" si="34"/>
        <v/>
      </c>
      <c r="G7875" s="92"/>
      <c r="I7875">
        <v>7</v>
      </c>
      <c r="J7875" t="s">
        <v>26</v>
      </c>
      <c r="K7875" s="57"/>
      <c r="S7875" s="57"/>
      <c r="X7875" s="57"/>
    </row>
    <row r="7876" spans="1:24" hidden="1" x14ac:dyDescent="0.35">
      <c r="A7876">
        <v>7872</v>
      </c>
      <c r="B7876">
        <v>7873</v>
      </c>
      <c r="C7876">
        <v>146.093733974</v>
      </c>
      <c r="D7876">
        <v>-17.615836816200002</v>
      </c>
      <c r="E7876" s="92" t="str">
        <f t="shared" si="34"/>
        <v/>
      </c>
      <c r="G7876" s="92"/>
      <c r="I7876">
        <v>7</v>
      </c>
      <c r="J7876" t="s">
        <v>26</v>
      </c>
      <c r="K7876" s="57"/>
      <c r="S7876" s="57"/>
      <c r="X7876" s="57"/>
    </row>
    <row r="7877" spans="1:24" hidden="1" x14ac:dyDescent="0.35">
      <c r="A7877">
        <v>7873</v>
      </c>
      <c r="B7877">
        <v>7874</v>
      </c>
      <c r="C7877">
        <v>146.09382098500001</v>
      </c>
      <c r="D7877">
        <v>-17.615858101299899</v>
      </c>
      <c r="E7877" s="92" t="str">
        <f t="shared" si="34"/>
        <v/>
      </c>
      <c r="G7877" s="92"/>
      <c r="I7877">
        <v>7</v>
      </c>
      <c r="J7877" t="s">
        <v>26</v>
      </c>
      <c r="K7877" s="57"/>
      <c r="S7877" s="57"/>
      <c r="X7877" s="57"/>
    </row>
    <row r="7878" spans="1:24" hidden="1" x14ac:dyDescent="0.35">
      <c r="A7878">
        <v>7874</v>
      </c>
      <c r="B7878">
        <v>7875</v>
      </c>
      <c r="C7878">
        <v>146.093900300999</v>
      </c>
      <c r="D7878">
        <v>-17.615894657599899</v>
      </c>
      <c r="E7878" s="92">
        <f t="shared" si="34"/>
        <v>50</v>
      </c>
      <c r="G7878" s="92"/>
      <c r="I7878">
        <v>7</v>
      </c>
      <c r="J7878" t="s">
        <v>26</v>
      </c>
      <c r="K7878" s="57"/>
      <c r="S7878" s="57"/>
      <c r="X7878" s="57"/>
    </row>
    <row r="7879" spans="1:24" hidden="1" x14ac:dyDescent="0.35">
      <c r="A7879">
        <v>7875</v>
      </c>
      <c r="B7879">
        <v>7876</v>
      </c>
      <c r="C7879">
        <v>146.093972127999</v>
      </c>
      <c r="D7879">
        <v>-17.615946078499899</v>
      </c>
      <c r="E7879" s="92" t="str">
        <f t="shared" si="34"/>
        <v/>
      </c>
      <c r="G7879" s="92"/>
      <c r="I7879">
        <v>7</v>
      </c>
      <c r="J7879" t="s">
        <v>26</v>
      </c>
      <c r="K7879" s="57"/>
      <c r="S7879" s="57"/>
      <c r="X7879" s="57"/>
    </row>
    <row r="7880" spans="1:24" hidden="1" x14ac:dyDescent="0.35">
      <c r="A7880">
        <v>7876</v>
      </c>
      <c r="B7880">
        <v>7877</v>
      </c>
      <c r="C7880">
        <v>146.09403885200001</v>
      </c>
      <c r="D7880">
        <v>-17.616002502299899</v>
      </c>
      <c r="E7880" s="92" t="str">
        <f t="shared" si="34"/>
        <v/>
      </c>
      <c r="G7880" s="92"/>
      <c r="I7880">
        <v>7</v>
      </c>
      <c r="J7880" t="s">
        <v>26</v>
      </c>
      <c r="K7880" s="57"/>
      <c r="S7880" s="57"/>
      <c r="X7880" s="57"/>
    </row>
    <row r="7881" spans="1:24" hidden="1" x14ac:dyDescent="0.35">
      <c r="A7881">
        <v>7877</v>
      </c>
      <c r="B7881">
        <v>7878</v>
      </c>
      <c r="C7881">
        <v>146.09409482999899</v>
      </c>
      <c r="D7881">
        <v>-17.616069465399899</v>
      </c>
      <c r="E7881" s="92" t="str">
        <f t="shared" si="34"/>
        <v/>
      </c>
      <c r="G7881" s="92"/>
      <c r="I7881">
        <v>7</v>
      </c>
      <c r="J7881" t="s">
        <v>26</v>
      </c>
      <c r="K7881" s="57"/>
      <c r="S7881" s="57"/>
      <c r="X7881" s="57"/>
    </row>
    <row r="7882" spans="1:24" hidden="1" x14ac:dyDescent="0.35">
      <c r="A7882">
        <v>7878</v>
      </c>
      <c r="B7882">
        <v>7879</v>
      </c>
      <c r="C7882">
        <v>146.094142153999</v>
      </c>
      <c r="D7882">
        <v>-17.6161405165</v>
      </c>
      <c r="E7882" s="92" t="str">
        <f t="shared" si="34"/>
        <v/>
      </c>
      <c r="G7882" s="92"/>
      <c r="I7882">
        <v>7</v>
      </c>
      <c r="J7882" t="s">
        <v>26</v>
      </c>
      <c r="K7882" s="57"/>
      <c r="S7882" s="57"/>
      <c r="X7882" s="57"/>
    </row>
    <row r="7883" spans="1:24" hidden="1" x14ac:dyDescent="0.35">
      <c r="A7883">
        <v>7879</v>
      </c>
      <c r="B7883">
        <v>7880</v>
      </c>
      <c r="C7883">
        <v>146.09416415499899</v>
      </c>
      <c r="D7883">
        <v>-17.616223527700001</v>
      </c>
      <c r="E7883" s="92">
        <f t="shared" si="34"/>
        <v>50</v>
      </c>
      <c r="G7883" s="92"/>
      <c r="I7883">
        <v>7</v>
      </c>
      <c r="J7883" t="s">
        <v>26</v>
      </c>
      <c r="K7883" s="57"/>
      <c r="S7883" s="57"/>
      <c r="X7883" s="57"/>
    </row>
    <row r="7884" spans="1:24" hidden="1" x14ac:dyDescent="0.35">
      <c r="A7884">
        <v>7880</v>
      </c>
      <c r="B7884">
        <v>7881</v>
      </c>
      <c r="C7884">
        <v>146.094180811999</v>
      </c>
      <c r="D7884">
        <v>-17.616306482599899</v>
      </c>
      <c r="E7884" s="92" t="str">
        <f t="shared" si="34"/>
        <v/>
      </c>
      <c r="G7884" s="92"/>
      <c r="I7884">
        <v>7</v>
      </c>
      <c r="J7884" t="s">
        <v>26</v>
      </c>
      <c r="K7884" s="57"/>
      <c r="S7884" s="57"/>
      <c r="X7884" s="57"/>
    </row>
    <row r="7885" spans="1:24" hidden="1" x14ac:dyDescent="0.35">
      <c r="A7885">
        <v>7881</v>
      </c>
      <c r="B7885">
        <v>7882</v>
      </c>
      <c r="C7885">
        <v>146.094147270999</v>
      </c>
      <c r="D7885">
        <v>-17.616383657299899</v>
      </c>
      <c r="E7885" s="92" t="str">
        <f t="shared" si="34"/>
        <v/>
      </c>
      <c r="G7885" s="92"/>
      <c r="I7885">
        <v>7</v>
      </c>
      <c r="J7885" t="s">
        <v>26</v>
      </c>
      <c r="K7885" s="57"/>
      <c r="S7885" s="57"/>
      <c r="X7885" s="57"/>
    </row>
    <row r="7886" spans="1:24" hidden="1" x14ac:dyDescent="0.35">
      <c r="A7886">
        <v>7882</v>
      </c>
      <c r="B7886">
        <v>7883</v>
      </c>
      <c r="C7886">
        <v>146.09408010300001</v>
      </c>
      <c r="D7886">
        <v>-17.6163717154</v>
      </c>
      <c r="E7886" s="92" t="str">
        <f t="shared" si="34"/>
        <v/>
      </c>
      <c r="G7886" s="92"/>
      <c r="I7886">
        <v>7</v>
      </c>
      <c r="J7886" t="s">
        <v>26</v>
      </c>
      <c r="K7886" s="57"/>
      <c r="S7886" s="57"/>
      <c r="X7886" s="57"/>
    </row>
    <row r="7887" spans="1:24" hidden="1" x14ac:dyDescent="0.35">
      <c r="A7887">
        <v>7883</v>
      </c>
      <c r="B7887">
        <v>7884</v>
      </c>
      <c r="C7887">
        <v>146.094038009</v>
      </c>
      <c r="D7887">
        <v>-17.6162962294</v>
      </c>
      <c r="E7887" s="92" t="str">
        <f t="shared" si="34"/>
        <v/>
      </c>
      <c r="G7887" s="92"/>
      <c r="I7887">
        <v>7</v>
      </c>
      <c r="J7887" t="s">
        <v>26</v>
      </c>
      <c r="K7887" s="57"/>
      <c r="S7887" s="57"/>
      <c r="X7887" s="57"/>
    </row>
    <row r="7888" spans="1:24" hidden="1" x14ac:dyDescent="0.35">
      <c r="A7888">
        <v>7884</v>
      </c>
      <c r="B7888">
        <v>7885</v>
      </c>
      <c r="C7888">
        <v>146.094003724999</v>
      </c>
      <c r="D7888">
        <v>-17.616217091100001</v>
      </c>
      <c r="E7888" s="92">
        <f t="shared" ref="E7888:E7951" si="35">IF(MOD(B7888,5)=0, 50, "")</f>
        <v>50</v>
      </c>
      <c r="G7888" s="92"/>
      <c r="I7888">
        <v>7</v>
      </c>
      <c r="J7888" t="s">
        <v>26</v>
      </c>
      <c r="K7888" s="57"/>
      <c r="S7888" s="57"/>
      <c r="X7888" s="57"/>
    </row>
    <row r="7889" spans="1:24" hidden="1" x14ac:dyDescent="0.35">
      <c r="A7889">
        <v>7885</v>
      </c>
      <c r="B7889">
        <v>7886</v>
      </c>
      <c r="C7889">
        <v>146.093951374</v>
      </c>
      <c r="D7889">
        <v>-17.6161490159</v>
      </c>
      <c r="E7889" s="92" t="str">
        <f t="shared" si="35"/>
        <v/>
      </c>
      <c r="G7889" s="92"/>
      <c r="I7889">
        <v>7</v>
      </c>
      <c r="J7889" t="s">
        <v>26</v>
      </c>
      <c r="K7889" s="57"/>
      <c r="S7889" s="57"/>
      <c r="X7889" s="57"/>
    </row>
    <row r="7890" spans="1:24" hidden="1" x14ac:dyDescent="0.35">
      <c r="A7890">
        <v>7886</v>
      </c>
      <c r="B7890">
        <v>7887</v>
      </c>
      <c r="C7890">
        <v>146.093890106</v>
      </c>
      <c r="D7890">
        <v>-17.6160864012</v>
      </c>
      <c r="E7890" s="92" t="str">
        <f t="shared" si="35"/>
        <v/>
      </c>
      <c r="G7890" s="92"/>
      <c r="I7890">
        <v>7</v>
      </c>
      <c r="J7890" t="s">
        <v>26</v>
      </c>
      <c r="K7890" s="57"/>
      <c r="S7890" s="57"/>
      <c r="X7890" s="57"/>
    </row>
    <row r="7891" spans="1:24" hidden="1" x14ac:dyDescent="0.35">
      <c r="A7891">
        <v>7887</v>
      </c>
      <c r="B7891">
        <v>7888</v>
      </c>
      <c r="C7891">
        <v>146.09381833200001</v>
      </c>
      <c r="D7891">
        <v>-17.6160361503999</v>
      </c>
      <c r="E7891" s="92" t="str">
        <f t="shared" si="35"/>
        <v/>
      </c>
      <c r="G7891" s="92"/>
      <c r="I7891">
        <v>7</v>
      </c>
      <c r="J7891" t="s">
        <v>26</v>
      </c>
      <c r="K7891" s="57"/>
      <c r="S7891" s="57"/>
      <c r="X7891" s="57"/>
    </row>
    <row r="7892" spans="1:24" hidden="1" x14ac:dyDescent="0.35">
      <c r="A7892">
        <v>7888</v>
      </c>
      <c r="B7892">
        <v>7889</v>
      </c>
      <c r="C7892">
        <v>146.09374133700001</v>
      </c>
      <c r="D7892">
        <v>-17.6159920433</v>
      </c>
      <c r="E7892" s="92" t="str">
        <f t="shared" si="35"/>
        <v/>
      </c>
      <c r="G7892" s="92"/>
      <c r="I7892">
        <v>7</v>
      </c>
      <c r="J7892" t="s">
        <v>26</v>
      </c>
      <c r="K7892" s="57"/>
      <c r="S7892" s="57"/>
      <c r="X7892" s="57"/>
    </row>
    <row r="7893" spans="1:24" hidden="1" x14ac:dyDescent="0.35">
      <c r="A7893">
        <v>7889</v>
      </c>
      <c r="B7893">
        <v>7890</v>
      </c>
      <c r="C7893">
        <v>146.093655138999</v>
      </c>
      <c r="D7893">
        <v>-17.615979268299899</v>
      </c>
      <c r="E7893" s="92">
        <f t="shared" si="35"/>
        <v>50</v>
      </c>
      <c r="G7893" s="92"/>
      <c r="I7893">
        <v>7</v>
      </c>
      <c r="J7893" t="s">
        <v>26</v>
      </c>
      <c r="K7893" s="57"/>
      <c r="S7893" s="57"/>
      <c r="X7893" s="57"/>
    </row>
    <row r="7894" spans="1:24" hidden="1" x14ac:dyDescent="0.35">
      <c r="A7894">
        <v>7890</v>
      </c>
      <c r="B7894">
        <v>7891</v>
      </c>
      <c r="C7894">
        <v>146.093565307999</v>
      </c>
      <c r="D7894">
        <v>-17.6159788559</v>
      </c>
      <c r="E7894" s="92" t="str">
        <f t="shared" si="35"/>
        <v/>
      </c>
      <c r="G7894" s="92"/>
      <c r="I7894">
        <v>7</v>
      </c>
      <c r="J7894" t="s">
        <v>26</v>
      </c>
      <c r="K7894" s="57"/>
      <c r="S7894" s="57"/>
      <c r="X7894" s="57"/>
    </row>
    <row r="7895" spans="1:24" hidden="1" x14ac:dyDescent="0.35">
      <c r="A7895">
        <v>7891</v>
      </c>
      <c r="B7895">
        <v>7892</v>
      </c>
      <c r="C7895">
        <v>146.09347547799899</v>
      </c>
      <c r="D7895">
        <v>-17.615978443500001</v>
      </c>
      <c r="E7895" s="92" t="str">
        <f t="shared" si="35"/>
        <v/>
      </c>
      <c r="G7895" s="92"/>
      <c r="I7895">
        <v>7</v>
      </c>
      <c r="J7895" t="s">
        <v>26</v>
      </c>
      <c r="K7895" s="57"/>
      <c r="S7895" s="57"/>
      <c r="X7895" s="57"/>
    </row>
    <row r="7896" spans="1:24" hidden="1" x14ac:dyDescent="0.35">
      <c r="A7896">
        <v>7892</v>
      </c>
      <c r="B7896">
        <v>7893</v>
      </c>
      <c r="C7896">
        <v>146.09338566900001</v>
      </c>
      <c r="D7896">
        <v>-17.615976862499899</v>
      </c>
      <c r="E7896" s="92" t="str">
        <f t="shared" si="35"/>
        <v/>
      </c>
      <c r="G7896" s="92"/>
      <c r="I7896">
        <v>7</v>
      </c>
      <c r="J7896" t="s">
        <v>26</v>
      </c>
      <c r="K7896" s="57"/>
      <c r="S7896" s="57"/>
      <c r="X7896" s="57"/>
    </row>
    <row r="7897" spans="1:24" hidden="1" x14ac:dyDescent="0.35">
      <c r="A7897">
        <v>7893</v>
      </c>
      <c r="B7897">
        <v>7894</v>
      </c>
      <c r="C7897">
        <v>146.09329588200001</v>
      </c>
      <c r="D7897">
        <v>-17.615974183700001</v>
      </c>
      <c r="E7897" s="92" t="str">
        <f t="shared" si="35"/>
        <v/>
      </c>
      <c r="G7897" s="92"/>
      <c r="I7897">
        <v>7</v>
      </c>
      <c r="J7897" t="s">
        <v>26</v>
      </c>
      <c r="K7897" s="57"/>
      <c r="S7897" s="57"/>
      <c r="X7897" s="57"/>
    </row>
    <row r="7898" spans="1:24" hidden="1" x14ac:dyDescent="0.35">
      <c r="A7898">
        <v>7894</v>
      </c>
      <c r="B7898">
        <v>7895</v>
      </c>
      <c r="C7898">
        <v>146.09320609400001</v>
      </c>
      <c r="D7898">
        <v>-17.6159715048999</v>
      </c>
      <c r="E7898" s="92">
        <f t="shared" si="35"/>
        <v>50</v>
      </c>
      <c r="G7898" s="92"/>
      <c r="I7898">
        <v>7</v>
      </c>
      <c r="J7898" t="s">
        <v>26</v>
      </c>
      <c r="K7898" s="57"/>
      <c r="S7898" s="57"/>
      <c r="X7898" s="57"/>
    </row>
    <row r="7899" spans="1:24" hidden="1" x14ac:dyDescent="0.35">
      <c r="A7899">
        <v>7895</v>
      </c>
      <c r="B7899">
        <v>7896</v>
      </c>
      <c r="C7899">
        <v>146.09312232299899</v>
      </c>
      <c r="D7899">
        <v>-17.6159464730999</v>
      </c>
      <c r="E7899" s="92" t="str">
        <f t="shared" si="35"/>
        <v/>
      </c>
      <c r="G7899" s="92"/>
      <c r="I7899">
        <v>7</v>
      </c>
      <c r="J7899" t="s">
        <v>26</v>
      </c>
      <c r="K7899" s="57"/>
      <c r="S7899" s="57"/>
      <c r="X7899" s="57"/>
    </row>
    <row r="7900" spans="1:24" hidden="1" x14ac:dyDescent="0.35">
      <c r="A7900">
        <v>7896</v>
      </c>
      <c r="B7900">
        <v>7897</v>
      </c>
      <c r="C7900">
        <v>146.093042268</v>
      </c>
      <c r="D7900">
        <v>-17.615907628999899</v>
      </c>
      <c r="E7900" s="92" t="str">
        <f t="shared" si="35"/>
        <v/>
      </c>
      <c r="G7900" s="92"/>
      <c r="I7900">
        <v>7</v>
      </c>
      <c r="J7900" t="s">
        <v>26</v>
      </c>
      <c r="K7900" s="57"/>
      <c r="S7900" s="57"/>
      <c r="X7900" s="57"/>
    </row>
    <row r="7901" spans="1:24" hidden="1" x14ac:dyDescent="0.35">
      <c r="A7901">
        <v>7897</v>
      </c>
      <c r="B7901">
        <v>7898</v>
      </c>
      <c r="C7901">
        <v>146.09298979900001</v>
      </c>
      <c r="D7901">
        <v>-17.6158452494</v>
      </c>
      <c r="E7901" s="92" t="str">
        <f t="shared" si="35"/>
        <v/>
      </c>
      <c r="G7901" s="92"/>
      <c r="I7901">
        <v>7</v>
      </c>
      <c r="J7901" t="s">
        <v>26</v>
      </c>
      <c r="K7901" s="57"/>
      <c r="S7901" s="57"/>
      <c r="X7901" s="57"/>
    </row>
    <row r="7902" spans="1:24" hidden="1" x14ac:dyDescent="0.35">
      <c r="A7902">
        <v>7898</v>
      </c>
      <c r="B7902">
        <v>7899</v>
      </c>
      <c r="C7902">
        <v>146.09298135700001</v>
      </c>
      <c r="D7902">
        <v>-17.6157629315999</v>
      </c>
      <c r="E7902" s="92" t="str">
        <f t="shared" si="35"/>
        <v/>
      </c>
      <c r="G7902" s="92"/>
      <c r="I7902">
        <v>7</v>
      </c>
      <c r="J7902" t="s">
        <v>26</v>
      </c>
      <c r="K7902" s="57"/>
      <c r="S7902" s="57"/>
      <c r="X7902" s="57"/>
    </row>
    <row r="7903" spans="1:24" hidden="1" x14ac:dyDescent="0.35">
      <c r="A7903">
        <v>7899</v>
      </c>
      <c r="B7903">
        <v>7900</v>
      </c>
      <c r="C7903">
        <v>146.092995887999</v>
      </c>
      <c r="D7903">
        <v>-17.615678440100002</v>
      </c>
      <c r="E7903" s="92">
        <f t="shared" si="35"/>
        <v>50</v>
      </c>
      <c r="G7903" s="92"/>
      <c r="I7903">
        <v>7</v>
      </c>
      <c r="J7903" t="s">
        <v>26</v>
      </c>
      <c r="K7903" s="57"/>
      <c r="S7903" s="57"/>
      <c r="X7903" s="57"/>
    </row>
    <row r="7904" spans="1:24" hidden="1" x14ac:dyDescent="0.35">
      <c r="A7904">
        <v>7900</v>
      </c>
      <c r="B7904">
        <v>7901</v>
      </c>
      <c r="C7904">
        <v>146.09302651100001</v>
      </c>
      <c r="D7904">
        <v>-17.615599236400001</v>
      </c>
      <c r="E7904" s="92" t="str">
        <f t="shared" si="35"/>
        <v/>
      </c>
      <c r="G7904" s="92"/>
      <c r="I7904">
        <v>7</v>
      </c>
      <c r="J7904" t="s">
        <v>26</v>
      </c>
      <c r="K7904" s="57"/>
      <c r="S7904" s="57"/>
      <c r="X7904" s="57"/>
    </row>
    <row r="7905" spans="1:24" hidden="1" x14ac:dyDescent="0.35">
      <c r="A7905">
        <v>7901</v>
      </c>
      <c r="B7905">
        <v>7902</v>
      </c>
      <c r="C7905">
        <v>146.093069700999</v>
      </c>
      <c r="D7905">
        <v>-17.615524162500002</v>
      </c>
      <c r="E7905" s="92" t="str">
        <f t="shared" si="35"/>
        <v/>
      </c>
      <c r="G7905" s="92"/>
      <c r="I7905">
        <v>7</v>
      </c>
      <c r="J7905" t="s">
        <v>26</v>
      </c>
      <c r="K7905" s="57"/>
      <c r="S7905" s="57"/>
      <c r="X7905" s="57"/>
    </row>
    <row r="7906" spans="1:24" hidden="1" x14ac:dyDescent="0.35">
      <c r="A7906">
        <v>7902</v>
      </c>
      <c r="B7906">
        <v>7903</v>
      </c>
      <c r="C7906">
        <v>146.09313350599899</v>
      </c>
      <c r="D7906">
        <v>-17.615467306500001</v>
      </c>
      <c r="E7906" s="92" t="str">
        <f t="shared" si="35"/>
        <v/>
      </c>
      <c r="G7906" s="92"/>
      <c r="I7906">
        <v>7</v>
      </c>
      <c r="J7906" t="s">
        <v>26</v>
      </c>
      <c r="K7906" s="57"/>
      <c r="S7906" s="57"/>
      <c r="X7906" s="57"/>
    </row>
    <row r="7907" spans="1:24" hidden="1" x14ac:dyDescent="0.35">
      <c r="A7907">
        <v>7903</v>
      </c>
      <c r="B7907">
        <v>7904</v>
      </c>
      <c r="C7907">
        <v>146.093208790999</v>
      </c>
      <c r="D7907">
        <v>-17.615420594900002</v>
      </c>
      <c r="E7907" s="92" t="str">
        <f t="shared" si="35"/>
        <v/>
      </c>
      <c r="G7907" s="92"/>
      <c r="I7907">
        <v>7</v>
      </c>
      <c r="J7907" t="s">
        <v>26</v>
      </c>
      <c r="K7907" s="57"/>
      <c r="S7907" s="57"/>
      <c r="X7907" s="57"/>
    </row>
    <row r="7908" spans="1:24" hidden="1" x14ac:dyDescent="0.35">
      <c r="A7908">
        <v>7904</v>
      </c>
      <c r="B7908">
        <v>7905</v>
      </c>
      <c r="C7908">
        <v>146.09328407500001</v>
      </c>
      <c r="D7908">
        <v>-17.615373883299899</v>
      </c>
      <c r="E7908" s="92">
        <f t="shared" si="35"/>
        <v>50</v>
      </c>
      <c r="G7908" s="92"/>
      <c r="I7908">
        <v>7</v>
      </c>
      <c r="J7908" t="s">
        <v>26</v>
      </c>
      <c r="K7908" s="57"/>
      <c r="S7908" s="57"/>
      <c r="X7908" s="57"/>
    </row>
    <row r="7909" spans="1:24" hidden="1" x14ac:dyDescent="0.35">
      <c r="A7909">
        <v>7905</v>
      </c>
      <c r="B7909">
        <v>7906</v>
      </c>
      <c r="C7909">
        <v>146.093359359999</v>
      </c>
      <c r="D7909">
        <v>-17.615327171600001</v>
      </c>
      <c r="E7909" s="92" t="str">
        <f t="shared" si="35"/>
        <v/>
      </c>
      <c r="G7909" s="92"/>
      <c r="I7909">
        <v>7</v>
      </c>
      <c r="J7909" t="s">
        <v>26</v>
      </c>
      <c r="K7909" s="57"/>
      <c r="S7909" s="57"/>
      <c r="X7909" s="57"/>
    </row>
    <row r="7910" spans="1:24" hidden="1" x14ac:dyDescent="0.35">
      <c r="A7910">
        <v>7906</v>
      </c>
      <c r="B7910">
        <v>7907</v>
      </c>
      <c r="C7910">
        <v>146.09343464400001</v>
      </c>
      <c r="D7910">
        <v>-17.615280460000001</v>
      </c>
      <c r="E7910" s="92" t="str">
        <f t="shared" si="35"/>
        <v/>
      </c>
      <c r="G7910" s="92"/>
      <c r="I7910">
        <v>7</v>
      </c>
      <c r="J7910" t="s">
        <v>26</v>
      </c>
      <c r="K7910" s="57"/>
      <c r="S7910" s="57"/>
      <c r="X7910" s="57"/>
    </row>
    <row r="7911" spans="1:24" hidden="1" x14ac:dyDescent="0.35">
      <c r="A7911">
        <v>7907</v>
      </c>
      <c r="B7911">
        <v>7908</v>
      </c>
      <c r="C7911">
        <v>146.09351874000001</v>
      </c>
      <c r="D7911">
        <v>-17.615251064599899</v>
      </c>
      <c r="E7911" s="92" t="str">
        <f t="shared" si="35"/>
        <v/>
      </c>
      <c r="G7911" s="92"/>
      <c r="I7911">
        <v>7</v>
      </c>
      <c r="J7911" t="s">
        <v>26</v>
      </c>
      <c r="K7911" s="57"/>
      <c r="S7911" s="57"/>
      <c r="X7911" s="57"/>
    </row>
    <row r="7912" spans="1:24" hidden="1" x14ac:dyDescent="0.35">
      <c r="A7912">
        <v>7908</v>
      </c>
      <c r="B7912">
        <v>7909</v>
      </c>
      <c r="C7912">
        <v>146.09360383800001</v>
      </c>
      <c r="D7912">
        <v>-17.615223635700001</v>
      </c>
      <c r="E7912" s="92" t="str">
        <f t="shared" si="35"/>
        <v/>
      </c>
      <c r="G7912" s="92"/>
      <c r="I7912">
        <v>7</v>
      </c>
      <c r="J7912" t="s">
        <v>26</v>
      </c>
      <c r="K7912" s="57"/>
      <c r="S7912" s="57"/>
      <c r="X7912" s="57"/>
    </row>
    <row r="7913" spans="1:24" hidden="1" x14ac:dyDescent="0.35">
      <c r="A7913">
        <v>7909</v>
      </c>
      <c r="B7913">
        <v>7910</v>
      </c>
      <c r="C7913">
        <v>146.09368893499899</v>
      </c>
      <c r="D7913">
        <v>-17.6151962068</v>
      </c>
      <c r="E7913" s="92">
        <f t="shared" si="35"/>
        <v>50</v>
      </c>
      <c r="G7913" s="92"/>
      <c r="I7913">
        <v>7</v>
      </c>
      <c r="J7913" t="s">
        <v>26</v>
      </c>
      <c r="K7913" s="57"/>
      <c r="S7913" s="57"/>
      <c r="X7913" s="57"/>
    </row>
    <row r="7914" spans="1:24" hidden="1" x14ac:dyDescent="0.35">
      <c r="A7914">
        <v>7910</v>
      </c>
      <c r="B7914">
        <v>7911</v>
      </c>
      <c r="C7914">
        <v>146.093774031999</v>
      </c>
      <c r="D7914">
        <v>-17.6151687778999</v>
      </c>
      <c r="E7914" s="92" t="str">
        <f t="shared" si="35"/>
        <v/>
      </c>
      <c r="G7914" s="92"/>
      <c r="I7914">
        <v>7</v>
      </c>
      <c r="J7914" t="s">
        <v>26</v>
      </c>
      <c r="K7914" s="57"/>
      <c r="S7914" s="57"/>
      <c r="X7914" s="57"/>
    </row>
    <row r="7915" spans="1:24" hidden="1" x14ac:dyDescent="0.35">
      <c r="A7915">
        <v>7911</v>
      </c>
      <c r="B7915">
        <v>7912</v>
      </c>
      <c r="C7915">
        <v>146.09385912900001</v>
      </c>
      <c r="D7915">
        <v>-17.615141349000002</v>
      </c>
      <c r="E7915" s="92" t="str">
        <f t="shared" si="35"/>
        <v/>
      </c>
      <c r="G7915" s="92"/>
      <c r="I7915">
        <v>7</v>
      </c>
      <c r="J7915" t="s">
        <v>26</v>
      </c>
      <c r="K7915" s="57"/>
      <c r="S7915" s="57"/>
      <c r="X7915" s="57"/>
    </row>
    <row r="7916" spans="1:24" hidden="1" x14ac:dyDescent="0.35">
      <c r="A7916">
        <v>7912</v>
      </c>
      <c r="B7916">
        <v>7913</v>
      </c>
      <c r="C7916">
        <v>146.093944225999</v>
      </c>
      <c r="D7916">
        <v>-17.615113920199899</v>
      </c>
      <c r="E7916" s="92" t="str">
        <f t="shared" si="35"/>
        <v/>
      </c>
      <c r="G7916" s="92"/>
      <c r="I7916">
        <v>7</v>
      </c>
      <c r="J7916" t="s">
        <v>26</v>
      </c>
      <c r="K7916" s="57"/>
      <c r="S7916" s="57"/>
      <c r="X7916" s="57"/>
    </row>
    <row r="7917" spans="1:24" hidden="1" x14ac:dyDescent="0.35">
      <c r="A7917">
        <v>7913</v>
      </c>
      <c r="B7917">
        <v>7914</v>
      </c>
      <c r="C7917">
        <v>146.094029981999</v>
      </c>
      <c r="D7917">
        <v>-17.615088671900001</v>
      </c>
      <c r="E7917" s="92" t="str">
        <f t="shared" si="35"/>
        <v/>
      </c>
      <c r="G7917" s="92"/>
      <c r="I7917">
        <v>7</v>
      </c>
      <c r="J7917" t="s">
        <v>26</v>
      </c>
      <c r="K7917" s="57"/>
      <c r="S7917" s="57"/>
      <c r="X7917" s="57"/>
    </row>
    <row r="7918" spans="1:24" hidden="1" x14ac:dyDescent="0.35">
      <c r="A7918">
        <v>7914</v>
      </c>
      <c r="B7918">
        <v>7915</v>
      </c>
      <c r="C7918">
        <v>146.094117355999</v>
      </c>
      <c r="D7918">
        <v>-17.6150687835</v>
      </c>
      <c r="E7918" s="92">
        <f t="shared" si="35"/>
        <v>50</v>
      </c>
      <c r="G7918" s="92"/>
      <c r="I7918">
        <v>7</v>
      </c>
      <c r="J7918" t="s">
        <v>26</v>
      </c>
      <c r="K7918" s="57"/>
      <c r="S7918" s="57"/>
      <c r="X7918" s="57"/>
    </row>
    <row r="7919" spans="1:24" hidden="1" x14ac:dyDescent="0.35">
      <c r="A7919">
        <v>7915</v>
      </c>
      <c r="B7919">
        <v>7916</v>
      </c>
      <c r="C7919">
        <v>146.09420473</v>
      </c>
      <c r="D7919">
        <v>-17.6150488950999</v>
      </c>
      <c r="E7919" s="92" t="str">
        <f t="shared" si="35"/>
        <v/>
      </c>
      <c r="G7919" s="92"/>
      <c r="I7919">
        <v>7</v>
      </c>
      <c r="J7919" t="s">
        <v>26</v>
      </c>
      <c r="K7919" s="57"/>
      <c r="S7919" s="57"/>
      <c r="X7919" s="57"/>
    </row>
    <row r="7920" spans="1:24" hidden="1" x14ac:dyDescent="0.35">
      <c r="A7920">
        <v>7916</v>
      </c>
      <c r="B7920">
        <v>7917</v>
      </c>
      <c r="C7920">
        <v>146.094292104999</v>
      </c>
      <c r="D7920">
        <v>-17.6150290066</v>
      </c>
      <c r="E7920" s="92" t="str">
        <f t="shared" si="35"/>
        <v/>
      </c>
      <c r="G7920" s="92"/>
      <c r="I7920">
        <v>7</v>
      </c>
      <c r="J7920" t="s">
        <v>26</v>
      </c>
      <c r="K7920" s="57"/>
      <c r="S7920" s="57"/>
      <c r="X7920" s="57"/>
    </row>
    <row r="7921" spans="1:24" hidden="1" x14ac:dyDescent="0.35">
      <c r="A7921">
        <v>7917</v>
      </c>
      <c r="B7921">
        <v>7918</v>
      </c>
      <c r="C7921">
        <v>146.094379478999</v>
      </c>
      <c r="D7921">
        <v>-17.6150091182</v>
      </c>
      <c r="E7921" s="92" t="str">
        <f t="shared" si="35"/>
        <v/>
      </c>
      <c r="G7921" s="92"/>
      <c r="I7921">
        <v>7</v>
      </c>
      <c r="J7921" t="s">
        <v>26</v>
      </c>
      <c r="K7921" s="57"/>
      <c r="S7921" s="57"/>
      <c r="X7921" s="57"/>
    </row>
    <row r="7922" spans="1:24" hidden="1" x14ac:dyDescent="0.35">
      <c r="A7922">
        <v>7918</v>
      </c>
      <c r="B7922">
        <v>7919</v>
      </c>
      <c r="C7922">
        <v>146.09446709700001</v>
      </c>
      <c r="D7922">
        <v>-17.6149907138999</v>
      </c>
      <c r="E7922" s="92" t="str">
        <f t="shared" si="35"/>
        <v/>
      </c>
      <c r="G7922" s="92"/>
      <c r="I7922">
        <v>7</v>
      </c>
      <c r="J7922" t="s">
        <v>26</v>
      </c>
      <c r="K7922" s="57"/>
      <c r="S7922" s="57"/>
      <c r="X7922" s="57"/>
    </row>
    <row r="7923" spans="1:24" hidden="1" x14ac:dyDescent="0.35">
      <c r="A7923">
        <v>7919</v>
      </c>
      <c r="B7923">
        <v>7920</v>
      </c>
      <c r="C7923">
        <v>146.094556667999</v>
      </c>
      <c r="D7923">
        <v>-17.6149842003</v>
      </c>
      <c r="E7923" s="92">
        <f t="shared" si="35"/>
        <v>50</v>
      </c>
      <c r="G7923" s="92"/>
      <c r="I7923">
        <v>7</v>
      </c>
      <c r="J7923" t="s">
        <v>26</v>
      </c>
      <c r="K7923" s="57"/>
      <c r="S7923" s="57"/>
      <c r="X7923" s="57"/>
    </row>
    <row r="7924" spans="1:24" hidden="1" x14ac:dyDescent="0.35">
      <c r="A7924">
        <v>7920</v>
      </c>
      <c r="B7924">
        <v>7921</v>
      </c>
      <c r="C7924">
        <v>146.09464623900001</v>
      </c>
      <c r="D7924">
        <v>-17.614977686700001</v>
      </c>
      <c r="E7924" s="92" t="str">
        <f t="shared" si="35"/>
        <v/>
      </c>
      <c r="G7924" s="92"/>
      <c r="I7924">
        <v>7</v>
      </c>
      <c r="J7924" t="s">
        <v>26</v>
      </c>
      <c r="K7924" s="57"/>
      <c r="S7924" s="57"/>
      <c r="X7924" s="57"/>
    </row>
    <row r="7925" spans="1:24" hidden="1" x14ac:dyDescent="0.35">
      <c r="A7925">
        <v>7921</v>
      </c>
      <c r="B7925">
        <v>7922</v>
      </c>
      <c r="C7925">
        <v>146.094735810999</v>
      </c>
      <c r="D7925">
        <v>-17.614971173099899</v>
      </c>
      <c r="E7925" s="92" t="str">
        <f t="shared" si="35"/>
        <v/>
      </c>
      <c r="G7925" s="92"/>
      <c r="I7925">
        <v>7</v>
      </c>
      <c r="J7925" t="s">
        <v>26</v>
      </c>
      <c r="K7925" s="57"/>
      <c r="S7925" s="57"/>
      <c r="X7925" s="57"/>
    </row>
    <row r="7926" spans="1:24" hidden="1" x14ac:dyDescent="0.35">
      <c r="A7926">
        <v>7922</v>
      </c>
      <c r="B7926">
        <v>7923</v>
      </c>
      <c r="C7926">
        <v>146.09482538200001</v>
      </c>
      <c r="D7926">
        <v>-17.614964659399899</v>
      </c>
      <c r="E7926" s="92" t="str">
        <f t="shared" si="35"/>
        <v/>
      </c>
      <c r="G7926" s="92"/>
      <c r="I7926">
        <v>7</v>
      </c>
      <c r="J7926" t="s">
        <v>26</v>
      </c>
      <c r="K7926" s="57"/>
      <c r="S7926" s="57"/>
      <c r="X7926" s="57"/>
    </row>
    <row r="7927" spans="1:24" hidden="1" x14ac:dyDescent="0.35">
      <c r="A7927">
        <v>7923</v>
      </c>
      <c r="B7927">
        <v>7924</v>
      </c>
      <c r="C7927">
        <v>146.094914727</v>
      </c>
      <c r="D7927">
        <v>-17.614964950400001</v>
      </c>
      <c r="E7927" s="92" t="str">
        <f t="shared" si="35"/>
        <v/>
      </c>
      <c r="G7927" s="92"/>
      <c r="I7927">
        <v>7</v>
      </c>
      <c r="J7927" t="s">
        <v>26</v>
      </c>
      <c r="K7927" s="57"/>
      <c r="S7927" s="57"/>
      <c r="X7927" s="57"/>
    </row>
    <row r="7928" spans="1:24" hidden="1" x14ac:dyDescent="0.35">
      <c r="A7928">
        <v>7924</v>
      </c>
      <c r="B7928">
        <v>7925</v>
      </c>
      <c r="C7928">
        <v>146.095003687</v>
      </c>
      <c r="D7928">
        <v>-17.614976849400001</v>
      </c>
      <c r="E7928" s="92">
        <f t="shared" si="35"/>
        <v>50</v>
      </c>
      <c r="G7928" s="92"/>
      <c r="I7928">
        <v>7</v>
      </c>
      <c r="J7928" t="s">
        <v>26</v>
      </c>
      <c r="K7928" s="57"/>
      <c r="S7928" s="57"/>
      <c r="X7928" s="57"/>
    </row>
    <row r="7929" spans="1:24" hidden="1" x14ac:dyDescent="0.35">
      <c r="A7929">
        <v>7925</v>
      </c>
      <c r="B7929">
        <v>7926</v>
      </c>
      <c r="C7929">
        <v>146.095092647</v>
      </c>
      <c r="D7929">
        <v>-17.6149887485</v>
      </c>
      <c r="E7929" s="92" t="str">
        <f t="shared" si="35"/>
        <v/>
      </c>
      <c r="G7929" s="92"/>
      <c r="I7929">
        <v>7</v>
      </c>
      <c r="J7929" t="s">
        <v>26</v>
      </c>
      <c r="K7929" s="57"/>
      <c r="S7929" s="57"/>
      <c r="X7929" s="57"/>
    </row>
    <row r="7930" spans="1:24" hidden="1" x14ac:dyDescent="0.35">
      <c r="A7930">
        <v>7926</v>
      </c>
      <c r="B7930">
        <v>7927</v>
      </c>
      <c r="C7930">
        <v>146.09518160600001</v>
      </c>
      <c r="D7930">
        <v>-17.6150006475</v>
      </c>
      <c r="E7930" s="92" t="str">
        <f t="shared" si="35"/>
        <v/>
      </c>
      <c r="G7930" s="92"/>
      <c r="I7930">
        <v>7</v>
      </c>
      <c r="J7930" t="s">
        <v>26</v>
      </c>
      <c r="K7930" s="57"/>
      <c r="S7930" s="57"/>
      <c r="X7930" s="57"/>
    </row>
    <row r="7931" spans="1:24" hidden="1" x14ac:dyDescent="0.35">
      <c r="A7931">
        <v>7927</v>
      </c>
      <c r="B7931">
        <v>7928</v>
      </c>
      <c r="C7931">
        <v>146.095268110999</v>
      </c>
      <c r="D7931">
        <v>-17.6150208199</v>
      </c>
      <c r="E7931" s="92" t="str">
        <f t="shared" si="35"/>
        <v/>
      </c>
      <c r="G7931" s="92"/>
      <c r="I7931">
        <v>7</v>
      </c>
      <c r="J7931" t="s">
        <v>26</v>
      </c>
      <c r="K7931" s="57"/>
      <c r="S7931" s="57"/>
      <c r="X7931" s="57"/>
    </row>
    <row r="7932" spans="1:24" hidden="1" x14ac:dyDescent="0.35">
      <c r="A7932">
        <v>7928</v>
      </c>
      <c r="B7932">
        <v>7929</v>
      </c>
      <c r="C7932">
        <v>146.09535042900001</v>
      </c>
      <c r="D7932">
        <v>-17.6150550985999</v>
      </c>
      <c r="E7932" s="92" t="str">
        <f t="shared" si="35"/>
        <v/>
      </c>
      <c r="G7932" s="92"/>
      <c r="I7932">
        <v>7</v>
      </c>
      <c r="J7932" t="s">
        <v>26</v>
      </c>
      <c r="K7932" s="57"/>
      <c r="S7932" s="57"/>
      <c r="X7932" s="57"/>
    </row>
    <row r="7933" spans="1:24" hidden="1" x14ac:dyDescent="0.35">
      <c r="A7933">
        <v>7929</v>
      </c>
      <c r="B7933">
        <v>7930</v>
      </c>
      <c r="C7933">
        <v>146.095432195999</v>
      </c>
      <c r="D7933">
        <v>-17.615090246200001</v>
      </c>
      <c r="E7933" s="92">
        <f t="shared" si="35"/>
        <v>50</v>
      </c>
      <c r="G7933" s="92"/>
      <c r="I7933">
        <v>7</v>
      </c>
      <c r="J7933" t="s">
        <v>26</v>
      </c>
      <c r="K7933" s="57"/>
      <c r="S7933" s="57"/>
      <c r="X7933" s="57"/>
    </row>
    <row r="7934" spans="1:24" hidden="1" x14ac:dyDescent="0.35">
      <c r="A7934">
        <v>7930</v>
      </c>
      <c r="B7934">
        <v>7931</v>
      </c>
      <c r="C7934">
        <v>146.095502401</v>
      </c>
      <c r="D7934">
        <v>-17.6151436637</v>
      </c>
      <c r="E7934" s="92" t="str">
        <f t="shared" si="35"/>
        <v/>
      </c>
      <c r="G7934" s="92"/>
      <c r="I7934">
        <v>7</v>
      </c>
      <c r="J7934" t="s">
        <v>26</v>
      </c>
      <c r="K7934" s="57"/>
      <c r="S7934" s="57"/>
      <c r="X7934" s="57"/>
    </row>
    <row r="7935" spans="1:24" hidden="1" x14ac:dyDescent="0.35">
      <c r="A7935">
        <v>7931</v>
      </c>
      <c r="B7935">
        <v>7932</v>
      </c>
      <c r="C7935">
        <v>146.095572605</v>
      </c>
      <c r="D7935">
        <v>-17.615197081200002</v>
      </c>
      <c r="E7935" s="92" t="str">
        <f t="shared" si="35"/>
        <v/>
      </c>
      <c r="G7935" s="92"/>
      <c r="I7935">
        <v>7</v>
      </c>
      <c r="J7935" t="s">
        <v>26</v>
      </c>
      <c r="K7935" s="57"/>
      <c r="S7935" s="57"/>
      <c r="X7935" s="57"/>
    </row>
    <row r="7936" spans="1:24" hidden="1" x14ac:dyDescent="0.35">
      <c r="A7936">
        <v>7932</v>
      </c>
      <c r="B7936">
        <v>7933</v>
      </c>
      <c r="C7936">
        <v>146.09563794100001</v>
      </c>
      <c r="D7936">
        <v>-17.6152550838999</v>
      </c>
      <c r="E7936" s="92" t="str">
        <f t="shared" si="35"/>
        <v/>
      </c>
      <c r="G7936" s="92"/>
      <c r="I7936">
        <v>7</v>
      </c>
      <c r="J7936" t="s">
        <v>26</v>
      </c>
      <c r="K7936" s="57"/>
      <c r="S7936" s="57"/>
      <c r="X7936" s="57"/>
    </row>
    <row r="7937" spans="1:24" hidden="1" x14ac:dyDescent="0.35">
      <c r="A7937">
        <v>7933</v>
      </c>
      <c r="B7937">
        <v>7934</v>
      </c>
      <c r="C7937">
        <v>146.095693151999</v>
      </c>
      <c r="D7937">
        <v>-17.615322623000001</v>
      </c>
      <c r="E7937" s="92" t="str">
        <f t="shared" si="35"/>
        <v/>
      </c>
      <c r="G7937" s="92"/>
      <c r="I7937">
        <v>7</v>
      </c>
      <c r="J7937" t="s">
        <v>26</v>
      </c>
      <c r="K7937" s="57"/>
      <c r="S7937" s="57"/>
      <c r="X7937" s="57"/>
    </row>
    <row r="7938" spans="1:24" hidden="1" x14ac:dyDescent="0.35">
      <c r="A7938">
        <v>7934</v>
      </c>
      <c r="B7938">
        <v>7935</v>
      </c>
      <c r="C7938">
        <v>146.095748364</v>
      </c>
      <c r="D7938">
        <v>-17.615390162000001</v>
      </c>
      <c r="E7938" s="92">
        <f t="shared" si="35"/>
        <v>50</v>
      </c>
      <c r="G7938" s="92"/>
      <c r="I7938">
        <v>7</v>
      </c>
      <c r="J7938" t="s">
        <v>26</v>
      </c>
      <c r="K7938" s="57"/>
      <c r="S7938" s="57"/>
      <c r="X7938" s="57"/>
    </row>
    <row r="7939" spans="1:24" hidden="1" x14ac:dyDescent="0.35">
      <c r="A7939">
        <v>7935</v>
      </c>
      <c r="B7939">
        <v>7936</v>
      </c>
      <c r="C7939">
        <v>146.09578732099899</v>
      </c>
      <c r="D7939">
        <v>-17.615467272899899</v>
      </c>
      <c r="E7939" s="92" t="str">
        <f t="shared" si="35"/>
        <v/>
      </c>
      <c r="G7939" s="92"/>
      <c r="I7939">
        <v>7</v>
      </c>
      <c r="J7939" t="s">
        <v>26</v>
      </c>
      <c r="K7939" s="57"/>
      <c r="S7939" s="57"/>
      <c r="X7939" s="57"/>
    </row>
    <row r="7940" spans="1:24" hidden="1" x14ac:dyDescent="0.35">
      <c r="A7940">
        <v>7936</v>
      </c>
      <c r="B7940">
        <v>7937</v>
      </c>
      <c r="C7940">
        <v>146.09582599000001</v>
      </c>
      <c r="D7940">
        <v>-17.6155445535999</v>
      </c>
      <c r="E7940" s="92" t="str">
        <f t="shared" si="35"/>
        <v/>
      </c>
      <c r="G7940" s="92"/>
      <c r="I7940">
        <v>7</v>
      </c>
      <c r="J7940" t="s">
        <v>26</v>
      </c>
      <c r="K7940" s="57"/>
      <c r="S7940" s="57"/>
      <c r="X7940" s="57"/>
    </row>
    <row r="7941" spans="1:24" hidden="1" x14ac:dyDescent="0.35">
      <c r="A7941">
        <v>7937</v>
      </c>
      <c r="B7941">
        <v>7938</v>
      </c>
      <c r="C7941">
        <v>146.09586465300001</v>
      </c>
      <c r="D7941">
        <v>-17.6156218367999</v>
      </c>
      <c r="E7941" s="92" t="str">
        <f t="shared" si="35"/>
        <v/>
      </c>
      <c r="G7941" s="92"/>
      <c r="I7941">
        <v>7</v>
      </c>
      <c r="J7941" t="s">
        <v>26</v>
      </c>
      <c r="K7941" s="57"/>
      <c r="S7941" s="57"/>
      <c r="X7941" s="57"/>
    </row>
    <row r="7942" spans="1:24" hidden="1" x14ac:dyDescent="0.35">
      <c r="A7942">
        <v>7938</v>
      </c>
      <c r="B7942">
        <v>7939</v>
      </c>
      <c r="C7942">
        <v>146.095900083</v>
      </c>
      <c r="D7942">
        <v>-17.615700515499899</v>
      </c>
      <c r="E7942" s="92" t="str">
        <f t="shared" si="35"/>
        <v/>
      </c>
      <c r="G7942" s="92"/>
      <c r="I7942">
        <v>7</v>
      </c>
      <c r="J7942" t="s">
        <v>26</v>
      </c>
      <c r="K7942" s="57"/>
      <c r="S7942" s="57"/>
      <c r="X7942" s="57"/>
    </row>
    <row r="7943" spans="1:24" hidden="1" x14ac:dyDescent="0.35">
      <c r="A7943">
        <v>7939</v>
      </c>
      <c r="B7943">
        <v>7940</v>
      </c>
      <c r="C7943">
        <v>146.095935513</v>
      </c>
      <c r="D7943">
        <v>-17.6157791941</v>
      </c>
      <c r="E7943" s="92">
        <f t="shared" si="35"/>
        <v>50</v>
      </c>
      <c r="G7943" s="92"/>
      <c r="I7943">
        <v>7</v>
      </c>
      <c r="J7943" t="s">
        <v>26</v>
      </c>
      <c r="K7943" s="57"/>
      <c r="S7943" s="57"/>
      <c r="X7943" s="57"/>
    </row>
    <row r="7944" spans="1:24" hidden="1" x14ac:dyDescent="0.35">
      <c r="A7944">
        <v>7940</v>
      </c>
      <c r="B7944">
        <v>7941</v>
      </c>
      <c r="C7944">
        <v>146.095970942999</v>
      </c>
      <c r="D7944">
        <v>-17.615857872700001</v>
      </c>
      <c r="E7944" s="92" t="str">
        <f t="shared" si="35"/>
        <v/>
      </c>
      <c r="G7944" s="92"/>
      <c r="I7944">
        <v>7</v>
      </c>
      <c r="J7944" t="s">
        <v>26</v>
      </c>
      <c r="K7944" s="57"/>
      <c r="S7944" s="57"/>
      <c r="X7944" s="57"/>
    </row>
    <row r="7945" spans="1:24" hidden="1" x14ac:dyDescent="0.35">
      <c r="A7945">
        <v>7941</v>
      </c>
      <c r="B7945">
        <v>7942</v>
      </c>
      <c r="C7945">
        <v>146.09600637200001</v>
      </c>
      <c r="D7945">
        <v>-17.615936551200001</v>
      </c>
      <c r="E7945" s="92" t="str">
        <f t="shared" si="35"/>
        <v/>
      </c>
      <c r="G7945" s="92"/>
      <c r="I7945">
        <v>7</v>
      </c>
      <c r="J7945" t="s">
        <v>26</v>
      </c>
      <c r="K7945" s="57"/>
      <c r="S7945" s="57"/>
      <c r="X7945" s="57"/>
    </row>
    <row r="7946" spans="1:24" hidden="1" x14ac:dyDescent="0.35">
      <c r="A7946">
        <v>7942</v>
      </c>
      <c r="B7946">
        <v>7943</v>
      </c>
      <c r="C7946">
        <v>146.096025349999</v>
      </c>
      <c r="D7946">
        <v>-17.616020217700001</v>
      </c>
      <c r="E7946" s="92" t="str">
        <f t="shared" si="35"/>
        <v/>
      </c>
      <c r="G7946" s="92"/>
      <c r="I7946">
        <v>7</v>
      </c>
      <c r="J7946" t="s">
        <v>26</v>
      </c>
      <c r="K7946" s="57"/>
      <c r="S7946" s="57"/>
      <c r="X7946" s="57"/>
    </row>
    <row r="7947" spans="1:24" hidden="1" x14ac:dyDescent="0.35">
      <c r="A7947">
        <v>7943</v>
      </c>
      <c r="B7947">
        <v>7944</v>
      </c>
      <c r="C7947">
        <v>146.096044121999</v>
      </c>
      <c r="D7947">
        <v>-17.616103946300001</v>
      </c>
      <c r="E7947" s="92" t="str">
        <f t="shared" si="35"/>
        <v/>
      </c>
      <c r="G7947" s="92"/>
      <c r="I7947">
        <v>7</v>
      </c>
      <c r="J7947" t="s">
        <v>26</v>
      </c>
      <c r="K7947" s="57"/>
      <c r="S7947" s="57"/>
      <c r="X7947" s="57"/>
    </row>
    <row r="7948" spans="1:24" hidden="1" x14ac:dyDescent="0.35">
      <c r="A7948">
        <v>7944</v>
      </c>
      <c r="B7948">
        <v>7945</v>
      </c>
      <c r="C7948">
        <v>146.09606289499899</v>
      </c>
      <c r="D7948">
        <v>-17.6161876747999</v>
      </c>
      <c r="E7948" s="92">
        <f t="shared" si="35"/>
        <v>50</v>
      </c>
      <c r="G7948" s="92"/>
      <c r="I7948">
        <v>7</v>
      </c>
      <c r="J7948" t="s">
        <v>26</v>
      </c>
      <c r="K7948" s="57"/>
      <c r="S7948" s="57"/>
      <c r="X7948" s="57"/>
    </row>
    <row r="7949" spans="1:24" hidden="1" x14ac:dyDescent="0.35">
      <c r="A7949">
        <v>7945</v>
      </c>
      <c r="B7949">
        <v>7946</v>
      </c>
      <c r="C7949">
        <v>146.096080376999</v>
      </c>
      <c r="D7949">
        <v>-17.616271520200002</v>
      </c>
      <c r="E7949" s="92" t="str">
        <f t="shared" si="35"/>
        <v/>
      </c>
      <c r="G7949" s="92"/>
      <c r="I7949">
        <v>7</v>
      </c>
      <c r="J7949" t="s">
        <v>26</v>
      </c>
      <c r="K7949" s="57"/>
      <c r="S7949" s="57"/>
      <c r="X7949" s="57"/>
    </row>
    <row r="7950" spans="1:24" hidden="1" x14ac:dyDescent="0.35">
      <c r="A7950">
        <v>7946</v>
      </c>
      <c r="B7950">
        <v>7947</v>
      </c>
      <c r="C7950">
        <v>146.096078487</v>
      </c>
      <c r="D7950">
        <v>-17.616357120100002</v>
      </c>
      <c r="E7950" s="92" t="str">
        <f t="shared" si="35"/>
        <v/>
      </c>
      <c r="G7950" s="92"/>
      <c r="I7950">
        <v>7</v>
      </c>
      <c r="J7950" t="s">
        <v>26</v>
      </c>
      <c r="K7950" s="57"/>
      <c r="S7950" s="57"/>
      <c r="X7950" s="57"/>
    </row>
    <row r="7951" spans="1:24" hidden="1" x14ac:dyDescent="0.35">
      <c r="A7951">
        <v>7947</v>
      </c>
      <c r="B7951">
        <v>7948</v>
      </c>
      <c r="C7951">
        <v>146.09607659700001</v>
      </c>
      <c r="D7951">
        <v>-17.616442719999899</v>
      </c>
      <c r="E7951" s="92" t="str">
        <f t="shared" si="35"/>
        <v/>
      </c>
      <c r="G7951" s="92"/>
      <c r="I7951">
        <v>7</v>
      </c>
      <c r="J7951" t="s">
        <v>26</v>
      </c>
      <c r="K7951" s="57"/>
      <c r="S7951" s="57"/>
      <c r="X7951" s="57"/>
    </row>
    <row r="7952" spans="1:24" hidden="1" x14ac:dyDescent="0.35">
      <c r="A7952">
        <v>7948</v>
      </c>
      <c r="B7952">
        <v>7949</v>
      </c>
      <c r="C7952">
        <v>146.09607470700001</v>
      </c>
      <c r="D7952">
        <v>-17.6165283198</v>
      </c>
      <c r="E7952" s="92" t="str">
        <f t="shared" ref="E7952:E8015" si="36">IF(MOD(B7952,5)=0, 50, "")</f>
        <v/>
      </c>
      <c r="G7952" s="92"/>
      <c r="I7952">
        <v>7</v>
      </c>
      <c r="J7952" t="s">
        <v>26</v>
      </c>
      <c r="K7952" s="57"/>
      <c r="S7952" s="57"/>
      <c r="X7952" s="57"/>
    </row>
    <row r="7953" spans="1:24" hidden="1" x14ac:dyDescent="0.35">
      <c r="A7953">
        <v>7949</v>
      </c>
      <c r="B7953">
        <v>7950</v>
      </c>
      <c r="C7953">
        <v>146.096072816999</v>
      </c>
      <c r="D7953">
        <v>-17.616613919500001</v>
      </c>
      <c r="E7953" s="92">
        <f t="shared" si="36"/>
        <v>50</v>
      </c>
      <c r="G7953" s="92"/>
      <c r="I7953">
        <v>7</v>
      </c>
      <c r="J7953" t="s">
        <v>26</v>
      </c>
      <c r="K7953" s="57"/>
      <c r="S7953" s="57"/>
      <c r="X7953" s="57"/>
    </row>
    <row r="7954" spans="1:24" hidden="1" x14ac:dyDescent="0.35">
      <c r="A7954">
        <v>7950</v>
      </c>
      <c r="B7954">
        <v>7951</v>
      </c>
      <c r="C7954">
        <v>146.096067653999</v>
      </c>
      <c r="D7954">
        <v>-17.6166993046999</v>
      </c>
      <c r="E7954" s="92" t="str">
        <f t="shared" si="36"/>
        <v/>
      </c>
      <c r="G7954" s="92"/>
      <c r="I7954">
        <v>7</v>
      </c>
      <c r="J7954" t="s">
        <v>26</v>
      </c>
      <c r="K7954" s="57"/>
      <c r="S7954" s="57"/>
      <c r="X7954" s="57"/>
    </row>
    <row r="7955" spans="1:24" hidden="1" x14ac:dyDescent="0.35">
      <c r="A7955">
        <v>7951</v>
      </c>
      <c r="B7955">
        <v>7952</v>
      </c>
      <c r="C7955">
        <v>146.09605723300001</v>
      </c>
      <c r="D7955">
        <v>-17.6167843451999</v>
      </c>
      <c r="E7955" s="92" t="str">
        <f t="shared" si="36"/>
        <v/>
      </c>
      <c r="G7955" s="92"/>
      <c r="I7955">
        <v>7</v>
      </c>
      <c r="J7955" t="s">
        <v>26</v>
      </c>
      <c r="K7955" s="57"/>
      <c r="S7955" s="57"/>
      <c r="X7955" s="57"/>
    </row>
    <row r="7956" spans="1:24" hidden="1" x14ac:dyDescent="0.35">
      <c r="A7956">
        <v>7952</v>
      </c>
      <c r="B7956">
        <v>7953</v>
      </c>
      <c r="C7956">
        <v>146.09604681100001</v>
      </c>
      <c r="D7956">
        <v>-17.6168693856999</v>
      </c>
      <c r="E7956" s="92" t="str">
        <f t="shared" si="36"/>
        <v/>
      </c>
      <c r="G7956" s="92"/>
      <c r="I7956">
        <v>7</v>
      </c>
      <c r="J7956" t="s">
        <v>26</v>
      </c>
      <c r="K7956" s="57"/>
      <c r="S7956" s="57"/>
      <c r="X7956" s="57"/>
    </row>
    <row r="7957" spans="1:24" hidden="1" x14ac:dyDescent="0.35">
      <c r="A7957">
        <v>7953</v>
      </c>
      <c r="B7957">
        <v>7954</v>
      </c>
      <c r="C7957">
        <v>146.096036389999</v>
      </c>
      <c r="D7957">
        <v>-17.6169544262</v>
      </c>
      <c r="E7957" s="92" t="str">
        <f t="shared" si="36"/>
        <v/>
      </c>
      <c r="G7957" s="92"/>
      <c r="I7957">
        <v>7</v>
      </c>
      <c r="J7957" t="s">
        <v>26</v>
      </c>
      <c r="K7957" s="57"/>
      <c r="S7957" s="57"/>
      <c r="X7957" s="57"/>
    </row>
    <row r="7958" spans="1:24" hidden="1" x14ac:dyDescent="0.35">
      <c r="A7958">
        <v>7954</v>
      </c>
      <c r="B7958">
        <v>7955</v>
      </c>
      <c r="C7958">
        <v>146.096025967999</v>
      </c>
      <c r="D7958">
        <v>-17.617039466600001</v>
      </c>
      <c r="E7958" s="92">
        <f t="shared" si="36"/>
        <v>50</v>
      </c>
      <c r="G7958" s="92"/>
      <c r="I7958">
        <v>7</v>
      </c>
      <c r="J7958" t="s">
        <v>26</v>
      </c>
      <c r="K7958" s="57"/>
      <c r="S7958" s="57"/>
      <c r="X7958" s="57"/>
    </row>
    <row r="7959" spans="1:24" hidden="1" x14ac:dyDescent="0.35">
      <c r="A7959">
        <v>7955</v>
      </c>
      <c r="B7959">
        <v>7956</v>
      </c>
      <c r="C7959">
        <v>146.09601554700001</v>
      </c>
      <c r="D7959">
        <v>-17.617124506900002</v>
      </c>
      <c r="E7959" s="92" t="str">
        <f t="shared" si="36"/>
        <v/>
      </c>
      <c r="G7959" s="92"/>
      <c r="I7959">
        <v>7</v>
      </c>
      <c r="J7959" t="s">
        <v>26</v>
      </c>
      <c r="K7959" s="57"/>
      <c r="S7959" s="57"/>
      <c r="X7959" s="57"/>
    </row>
    <row r="7960" spans="1:24" hidden="1" x14ac:dyDescent="0.35">
      <c r="A7960">
        <v>7956</v>
      </c>
      <c r="B7960">
        <v>7957</v>
      </c>
      <c r="C7960">
        <v>146.09601102299899</v>
      </c>
      <c r="D7960">
        <v>-17.617209997100002</v>
      </c>
      <c r="E7960" s="92" t="str">
        <f t="shared" si="36"/>
        <v/>
      </c>
      <c r="G7960" s="92"/>
      <c r="I7960">
        <v>7</v>
      </c>
      <c r="J7960" t="s">
        <v>26</v>
      </c>
      <c r="K7960" s="57"/>
      <c r="S7960" s="57"/>
      <c r="X7960" s="57"/>
    </row>
    <row r="7961" spans="1:24" hidden="1" x14ac:dyDescent="0.35">
      <c r="A7961">
        <v>7957</v>
      </c>
      <c r="B7961">
        <v>7958</v>
      </c>
      <c r="C7961">
        <v>146.09600712100001</v>
      </c>
      <c r="D7961">
        <v>-17.617295534699899</v>
      </c>
      <c r="E7961" s="92" t="str">
        <f t="shared" si="36"/>
        <v/>
      </c>
      <c r="G7961" s="92"/>
      <c r="I7961">
        <v>7</v>
      </c>
      <c r="J7961" t="s">
        <v>26</v>
      </c>
      <c r="K7961" s="57"/>
      <c r="S7961" s="57"/>
      <c r="X7961" s="57"/>
    </row>
    <row r="7962" spans="1:24" hidden="1" x14ac:dyDescent="0.35">
      <c r="A7962">
        <v>7958</v>
      </c>
      <c r="B7962">
        <v>7959</v>
      </c>
      <c r="C7962">
        <v>146.09600321900001</v>
      </c>
      <c r="D7962">
        <v>-17.617381072200001</v>
      </c>
      <c r="E7962" s="92" t="str">
        <f t="shared" si="36"/>
        <v/>
      </c>
      <c r="G7962" s="92"/>
      <c r="I7962">
        <v>7</v>
      </c>
      <c r="J7962" t="s">
        <v>26</v>
      </c>
      <c r="K7962" s="57"/>
      <c r="S7962" s="57"/>
      <c r="X7962" s="57"/>
    </row>
    <row r="7963" spans="1:24" hidden="1" x14ac:dyDescent="0.35">
      <c r="A7963">
        <v>7959</v>
      </c>
      <c r="B7963">
        <v>7960</v>
      </c>
      <c r="C7963">
        <v>146.09599931700001</v>
      </c>
      <c r="D7963">
        <v>-17.6174666096999</v>
      </c>
      <c r="E7963" s="92">
        <f t="shared" si="36"/>
        <v>50</v>
      </c>
      <c r="G7963" s="92"/>
      <c r="I7963">
        <v>7</v>
      </c>
      <c r="J7963" t="s">
        <v>26</v>
      </c>
      <c r="K7963" s="57"/>
      <c r="S7963" s="57"/>
      <c r="X7963" s="57"/>
    </row>
    <row r="7964" spans="1:24" hidden="1" x14ac:dyDescent="0.35">
      <c r="A7964">
        <v>7960</v>
      </c>
      <c r="B7964">
        <v>7961</v>
      </c>
      <c r="C7964">
        <v>146.095995415</v>
      </c>
      <c r="D7964">
        <v>-17.617552147200001</v>
      </c>
      <c r="E7964" s="92" t="str">
        <f t="shared" si="36"/>
        <v/>
      </c>
      <c r="G7964" s="92"/>
      <c r="I7964">
        <v>7</v>
      </c>
      <c r="J7964" t="s">
        <v>26</v>
      </c>
      <c r="K7964" s="57"/>
      <c r="S7964" s="57"/>
      <c r="X7964" s="57"/>
    </row>
    <row r="7965" spans="1:24" hidden="1" x14ac:dyDescent="0.35">
      <c r="A7965">
        <v>7961</v>
      </c>
      <c r="B7965">
        <v>7962</v>
      </c>
      <c r="C7965">
        <v>146.095991513</v>
      </c>
      <c r="D7965">
        <v>-17.617637684599899</v>
      </c>
      <c r="E7965" s="92" t="str">
        <f t="shared" si="36"/>
        <v/>
      </c>
      <c r="G7965" s="92"/>
      <c r="I7965">
        <v>7</v>
      </c>
      <c r="J7965" t="s">
        <v>26</v>
      </c>
      <c r="K7965" s="57"/>
      <c r="S7965" s="57"/>
      <c r="X7965" s="57"/>
    </row>
    <row r="7966" spans="1:24" hidden="1" x14ac:dyDescent="0.35">
      <c r="A7966">
        <v>7962</v>
      </c>
      <c r="B7966">
        <v>7963</v>
      </c>
      <c r="C7966">
        <v>146.095977564999</v>
      </c>
      <c r="D7966">
        <v>-17.617722261600001</v>
      </c>
      <c r="E7966" s="92" t="str">
        <f t="shared" si="36"/>
        <v/>
      </c>
      <c r="G7966" s="92"/>
      <c r="I7966">
        <v>7</v>
      </c>
      <c r="J7966" t="s">
        <v>26</v>
      </c>
      <c r="K7966" s="57"/>
      <c r="S7966" s="57"/>
      <c r="X7966" s="57"/>
    </row>
    <row r="7967" spans="1:24" hidden="1" x14ac:dyDescent="0.35">
      <c r="A7967">
        <v>7963</v>
      </c>
      <c r="B7967">
        <v>7964</v>
      </c>
      <c r="C7967">
        <v>146.09596356500001</v>
      </c>
      <c r="D7967">
        <v>-17.6178068336</v>
      </c>
      <c r="E7967" s="92" t="str">
        <f t="shared" si="36"/>
        <v/>
      </c>
      <c r="G7967" s="92"/>
      <c r="I7967">
        <v>7</v>
      </c>
      <c r="J7967" t="s">
        <v>26</v>
      </c>
      <c r="K7967" s="57"/>
      <c r="S7967" s="57"/>
      <c r="X7967" s="57"/>
    </row>
    <row r="7968" spans="1:24" hidden="1" x14ac:dyDescent="0.35">
      <c r="A7968">
        <v>7964</v>
      </c>
      <c r="B7968">
        <v>7965</v>
      </c>
      <c r="C7968">
        <v>146.09594956500001</v>
      </c>
      <c r="D7968">
        <v>-17.6178914055</v>
      </c>
      <c r="E7968" s="92">
        <f t="shared" si="36"/>
        <v>50</v>
      </c>
      <c r="G7968" s="92"/>
      <c r="I7968">
        <v>7</v>
      </c>
      <c r="J7968" t="s">
        <v>26</v>
      </c>
      <c r="K7968" s="57"/>
      <c r="S7968" s="57"/>
      <c r="X7968" s="57"/>
    </row>
    <row r="7969" spans="1:24" hidden="1" x14ac:dyDescent="0.35">
      <c r="A7969">
        <v>7965</v>
      </c>
      <c r="B7969">
        <v>7966</v>
      </c>
      <c r="C7969">
        <v>146.095935564999</v>
      </c>
      <c r="D7969">
        <v>-17.6179759774</v>
      </c>
      <c r="E7969" s="92" t="str">
        <f t="shared" si="36"/>
        <v/>
      </c>
      <c r="G7969" s="92"/>
      <c r="I7969">
        <v>7</v>
      </c>
      <c r="J7969" t="s">
        <v>26</v>
      </c>
      <c r="K7969" s="57"/>
      <c r="S7969" s="57"/>
      <c r="X7969" s="57"/>
    </row>
    <row r="7970" spans="1:24" hidden="1" x14ac:dyDescent="0.35">
      <c r="A7970">
        <v>7966</v>
      </c>
      <c r="B7970">
        <v>7967</v>
      </c>
      <c r="C7970">
        <v>146.09592156400001</v>
      </c>
      <c r="D7970">
        <v>-17.6180605491999</v>
      </c>
      <c r="E7970" s="92" t="str">
        <f t="shared" si="36"/>
        <v/>
      </c>
      <c r="G7970" s="92"/>
      <c r="I7970">
        <v>7</v>
      </c>
      <c r="J7970" t="s">
        <v>26</v>
      </c>
      <c r="K7970" s="57"/>
      <c r="S7970" s="57"/>
      <c r="X7970" s="57"/>
    </row>
    <row r="7971" spans="1:24" hidden="1" x14ac:dyDescent="0.35">
      <c r="A7971">
        <v>7967</v>
      </c>
      <c r="B7971">
        <v>7968</v>
      </c>
      <c r="C7971">
        <v>146.09590756399899</v>
      </c>
      <c r="D7971">
        <v>-17.618145121000001</v>
      </c>
      <c r="E7971" s="92" t="str">
        <f t="shared" si="36"/>
        <v/>
      </c>
      <c r="G7971" s="92"/>
      <c r="I7971">
        <v>7</v>
      </c>
      <c r="J7971" t="s">
        <v>26</v>
      </c>
      <c r="K7971" s="57"/>
      <c r="S7971" s="57"/>
      <c r="X7971" s="57"/>
    </row>
    <row r="7972" spans="1:24" hidden="1" x14ac:dyDescent="0.35">
      <c r="A7972">
        <v>7968</v>
      </c>
      <c r="B7972">
        <v>7969</v>
      </c>
      <c r="C7972">
        <v>146.095923561999</v>
      </c>
      <c r="D7972">
        <v>-17.618229078700001</v>
      </c>
      <c r="E7972" s="92" t="str">
        <f t="shared" si="36"/>
        <v/>
      </c>
      <c r="G7972" s="92"/>
      <c r="I7972">
        <v>7</v>
      </c>
      <c r="J7972" t="s">
        <v>26</v>
      </c>
      <c r="K7972" s="57"/>
      <c r="S7972" s="57"/>
      <c r="X7972" s="57"/>
    </row>
    <row r="7973" spans="1:24" hidden="1" x14ac:dyDescent="0.35">
      <c r="A7973">
        <v>7969</v>
      </c>
      <c r="B7973">
        <v>7970</v>
      </c>
      <c r="C7973">
        <v>146.09594226300001</v>
      </c>
      <c r="D7973">
        <v>-17.6183127500999</v>
      </c>
      <c r="E7973" s="92">
        <f t="shared" si="36"/>
        <v>50</v>
      </c>
      <c r="G7973" s="92"/>
      <c r="I7973">
        <v>7</v>
      </c>
      <c r="J7973" t="s">
        <v>26</v>
      </c>
      <c r="K7973" s="57"/>
      <c r="S7973" s="57"/>
      <c r="X7973" s="57"/>
    </row>
    <row r="7974" spans="1:24" hidden="1" x14ac:dyDescent="0.35">
      <c r="A7974">
        <v>7970</v>
      </c>
      <c r="B7974">
        <v>7971</v>
      </c>
      <c r="C7974">
        <v>146.095974251</v>
      </c>
      <c r="D7974">
        <v>-17.618392755799899</v>
      </c>
      <c r="E7974" s="92" t="str">
        <f t="shared" si="36"/>
        <v/>
      </c>
      <c r="G7974" s="92"/>
      <c r="I7974">
        <v>7</v>
      </c>
      <c r="J7974" t="s">
        <v>26</v>
      </c>
      <c r="K7974" s="57"/>
      <c r="S7974" s="57"/>
      <c r="X7974" s="57"/>
    </row>
    <row r="7975" spans="1:24" hidden="1" x14ac:dyDescent="0.35">
      <c r="A7975">
        <v>7971</v>
      </c>
      <c r="B7975">
        <v>7972</v>
      </c>
      <c r="C7975">
        <v>146.09603678299899</v>
      </c>
      <c r="D7975">
        <v>-17.6184433064</v>
      </c>
      <c r="E7975" s="92" t="str">
        <f t="shared" si="36"/>
        <v/>
      </c>
      <c r="G7975" s="92"/>
      <c r="I7975">
        <v>7</v>
      </c>
      <c r="J7975" t="s">
        <v>26</v>
      </c>
      <c r="K7975" s="57"/>
      <c r="S7975" s="57"/>
      <c r="X7975" s="57"/>
    </row>
    <row r="7976" spans="1:24" hidden="1" x14ac:dyDescent="0.35">
      <c r="A7976">
        <v>7972</v>
      </c>
      <c r="B7976">
        <v>7973</v>
      </c>
      <c r="C7976">
        <v>146.09612109700001</v>
      </c>
      <c r="D7976">
        <v>-17.618472849900002</v>
      </c>
      <c r="E7976" s="92" t="str">
        <f t="shared" si="36"/>
        <v/>
      </c>
      <c r="G7976" s="92"/>
      <c r="I7976">
        <v>7</v>
      </c>
      <c r="J7976" t="s">
        <v>26</v>
      </c>
      <c r="K7976" s="57"/>
      <c r="S7976" s="57"/>
      <c r="X7976" s="57"/>
    </row>
    <row r="7977" spans="1:24" hidden="1" x14ac:dyDescent="0.35">
      <c r="A7977">
        <v>7973</v>
      </c>
      <c r="B7977">
        <v>7974</v>
      </c>
      <c r="C7977">
        <v>146.09620839900001</v>
      </c>
      <c r="D7977">
        <v>-17.618483177800002</v>
      </c>
      <c r="E7977" s="92" t="str">
        <f t="shared" si="36"/>
        <v/>
      </c>
      <c r="G7977" s="92"/>
      <c r="I7977">
        <v>7</v>
      </c>
      <c r="J7977" t="s">
        <v>26</v>
      </c>
      <c r="K7977" s="57"/>
      <c r="S7977" s="57"/>
      <c r="X7977" s="57"/>
    </row>
    <row r="7978" spans="1:24" hidden="1" x14ac:dyDescent="0.35">
      <c r="A7978">
        <v>7974</v>
      </c>
      <c r="B7978">
        <v>7975</v>
      </c>
      <c r="C7978">
        <v>146.096298079999</v>
      </c>
      <c r="D7978">
        <v>-17.6184782154</v>
      </c>
      <c r="E7978" s="92">
        <f t="shared" si="36"/>
        <v>50</v>
      </c>
      <c r="G7978" s="92"/>
      <c r="I7978">
        <v>7</v>
      </c>
      <c r="J7978" t="s">
        <v>26</v>
      </c>
      <c r="K7978" s="57"/>
      <c r="S7978" s="57"/>
      <c r="X7978" s="57"/>
    </row>
    <row r="7979" spans="1:24" hidden="1" x14ac:dyDescent="0.35">
      <c r="A7979">
        <v>7975</v>
      </c>
      <c r="B7979">
        <v>7976</v>
      </c>
      <c r="C7979">
        <v>146.096387458999</v>
      </c>
      <c r="D7979">
        <v>-17.6184714129</v>
      </c>
      <c r="E7979" s="92" t="str">
        <f t="shared" si="36"/>
        <v/>
      </c>
      <c r="G7979" s="92"/>
      <c r="I7979">
        <v>7</v>
      </c>
      <c r="J7979" t="s">
        <v>26</v>
      </c>
      <c r="K7979" s="57"/>
      <c r="S7979" s="57"/>
      <c r="X7979" s="57"/>
    </row>
    <row r="7980" spans="1:24" hidden="1" x14ac:dyDescent="0.35">
      <c r="A7980">
        <v>7976</v>
      </c>
      <c r="B7980">
        <v>7977</v>
      </c>
      <c r="C7980">
        <v>146.09647447500001</v>
      </c>
      <c r="D7980">
        <v>-17.618450142499899</v>
      </c>
      <c r="E7980" s="92" t="str">
        <f t="shared" si="36"/>
        <v/>
      </c>
      <c r="G7980" s="92"/>
      <c r="I7980">
        <v>7</v>
      </c>
      <c r="J7980" t="s">
        <v>26</v>
      </c>
      <c r="K7980" s="57"/>
      <c r="S7980" s="57"/>
      <c r="X7980" s="57"/>
    </row>
    <row r="7981" spans="1:24" hidden="1" x14ac:dyDescent="0.35">
      <c r="A7981">
        <v>7977</v>
      </c>
      <c r="B7981">
        <v>7978</v>
      </c>
      <c r="C7981">
        <v>146.096561489999</v>
      </c>
      <c r="D7981">
        <v>-17.618428872100001</v>
      </c>
      <c r="E7981" s="92" t="str">
        <f t="shared" si="36"/>
        <v/>
      </c>
      <c r="G7981" s="92"/>
      <c r="I7981">
        <v>7</v>
      </c>
      <c r="J7981" t="s">
        <v>26</v>
      </c>
      <c r="K7981" s="57"/>
      <c r="S7981" s="57"/>
      <c r="X7981" s="57"/>
    </row>
    <row r="7982" spans="1:24" hidden="1" x14ac:dyDescent="0.35">
      <c r="A7982">
        <v>7978</v>
      </c>
      <c r="B7982">
        <v>7979</v>
      </c>
      <c r="C7982">
        <v>146.096648504999</v>
      </c>
      <c r="D7982">
        <v>-17.6184076017</v>
      </c>
      <c r="E7982" s="92" t="str">
        <f t="shared" si="36"/>
        <v/>
      </c>
      <c r="G7982" s="92"/>
      <c r="I7982">
        <v>7</v>
      </c>
      <c r="J7982" t="s">
        <v>26</v>
      </c>
      <c r="K7982" s="57"/>
      <c r="S7982" s="57"/>
      <c r="X7982" s="57"/>
    </row>
    <row r="7983" spans="1:24" hidden="1" x14ac:dyDescent="0.35">
      <c r="A7983">
        <v>7979</v>
      </c>
      <c r="B7983">
        <v>7980</v>
      </c>
      <c r="C7983">
        <v>146.09673486899899</v>
      </c>
      <c r="D7983">
        <v>-17.6183844462</v>
      </c>
      <c r="E7983" s="92">
        <f t="shared" si="36"/>
        <v>50</v>
      </c>
      <c r="G7983" s="92"/>
      <c r="I7983">
        <v>7</v>
      </c>
      <c r="J7983" t="s">
        <v>26</v>
      </c>
      <c r="K7983" s="57"/>
      <c r="S7983" s="57"/>
      <c r="X7983" s="57"/>
    </row>
    <row r="7984" spans="1:24" hidden="1" x14ac:dyDescent="0.35">
      <c r="A7984">
        <v>7980</v>
      </c>
      <c r="B7984">
        <v>7981</v>
      </c>
      <c r="C7984">
        <v>146.09681812900001</v>
      </c>
      <c r="D7984">
        <v>-17.6183523019</v>
      </c>
      <c r="E7984" s="92" t="str">
        <f t="shared" si="36"/>
        <v/>
      </c>
      <c r="G7984" s="92"/>
      <c r="I7984">
        <v>7</v>
      </c>
      <c r="J7984" t="s">
        <v>26</v>
      </c>
      <c r="K7984" s="57"/>
      <c r="S7984" s="57"/>
      <c r="X7984" s="57"/>
    </row>
    <row r="7985" spans="1:24" hidden="1" x14ac:dyDescent="0.35">
      <c r="A7985">
        <v>7981</v>
      </c>
      <c r="B7985">
        <v>7982</v>
      </c>
      <c r="C7985">
        <v>146.09690138900001</v>
      </c>
      <c r="D7985">
        <v>-17.618320157700001</v>
      </c>
      <c r="E7985" s="92" t="str">
        <f t="shared" si="36"/>
        <v/>
      </c>
      <c r="G7985" s="92"/>
      <c r="I7985">
        <v>7</v>
      </c>
      <c r="J7985" t="s">
        <v>26</v>
      </c>
      <c r="K7985" s="57"/>
      <c r="S7985" s="57"/>
      <c r="X7985" s="57"/>
    </row>
    <row r="7986" spans="1:24" hidden="1" x14ac:dyDescent="0.35">
      <c r="A7986">
        <v>7982</v>
      </c>
      <c r="B7986">
        <v>7983</v>
      </c>
      <c r="C7986">
        <v>146.096984649999</v>
      </c>
      <c r="D7986">
        <v>-17.618288013400001</v>
      </c>
      <c r="E7986" s="92" t="str">
        <f t="shared" si="36"/>
        <v/>
      </c>
      <c r="G7986" s="92"/>
      <c r="I7986">
        <v>7</v>
      </c>
      <c r="J7986" t="s">
        <v>26</v>
      </c>
      <c r="K7986" s="57"/>
      <c r="S7986" s="57"/>
      <c r="X7986" s="57"/>
    </row>
    <row r="7987" spans="1:24" hidden="1" x14ac:dyDescent="0.35">
      <c r="A7987">
        <v>7983</v>
      </c>
      <c r="B7987">
        <v>7984</v>
      </c>
      <c r="C7987">
        <v>146.09706774</v>
      </c>
      <c r="D7987">
        <v>-17.618255489900001</v>
      </c>
      <c r="E7987" s="92" t="str">
        <f t="shared" si="36"/>
        <v/>
      </c>
      <c r="G7987" s="92"/>
      <c r="I7987">
        <v>7</v>
      </c>
      <c r="J7987" t="s">
        <v>26</v>
      </c>
      <c r="K7987" s="57"/>
      <c r="S7987" s="57"/>
      <c r="X7987" s="57"/>
    </row>
    <row r="7988" spans="1:24" hidden="1" x14ac:dyDescent="0.35">
      <c r="A7988">
        <v>7984</v>
      </c>
      <c r="B7988">
        <v>7985</v>
      </c>
      <c r="C7988">
        <v>146.09714975099899</v>
      </c>
      <c r="D7988">
        <v>-17.6182205508</v>
      </c>
      <c r="E7988" s="92">
        <f t="shared" si="36"/>
        <v>50</v>
      </c>
      <c r="G7988" s="92"/>
      <c r="I7988">
        <v>7</v>
      </c>
      <c r="J7988" t="s">
        <v>26</v>
      </c>
      <c r="K7988" s="57"/>
      <c r="S7988" s="57"/>
      <c r="X7988" s="57"/>
    </row>
    <row r="7989" spans="1:24" hidden="1" x14ac:dyDescent="0.35">
      <c r="A7989">
        <v>7985</v>
      </c>
      <c r="B7989">
        <v>7986</v>
      </c>
      <c r="C7989">
        <v>146.097231762999</v>
      </c>
      <c r="D7989">
        <v>-17.6181856117</v>
      </c>
      <c r="E7989" s="92" t="str">
        <f t="shared" si="36"/>
        <v/>
      </c>
      <c r="G7989" s="92"/>
      <c r="I7989">
        <v>7</v>
      </c>
      <c r="J7989" t="s">
        <v>26</v>
      </c>
      <c r="K7989" s="57"/>
      <c r="S7989" s="57"/>
      <c r="X7989" s="57"/>
    </row>
    <row r="7990" spans="1:24" hidden="1" x14ac:dyDescent="0.35">
      <c r="A7990">
        <v>7986</v>
      </c>
      <c r="B7990">
        <v>7987</v>
      </c>
      <c r="C7990">
        <v>146.09731377400001</v>
      </c>
      <c r="D7990">
        <v>-17.618150672500001</v>
      </c>
      <c r="E7990" s="92" t="str">
        <f t="shared" si="36"/>
        <v/>
      </c>
      <c r="G7990" s="92"/>
      <c r="I7990">
        <v>7</v>
      </c>
      <c r="J7990" t="s">
        <v>26</v>
      </c>
      <c r="K7990" s="57"/>
      <c r="S7990" s="57"/>
      <c r="X7990" s="57"/>
    </row>
    <row r="7991" spans="1:24" hidden="1" x14ac:dyDescent="0.35">
      <c r="A7991">
        <v>7987</v>
      </c>
      <c r="B7991">
        <v>7988</v>
      </c>
      <c r="C7991">
        <v>146.097401767999</v>
      </c>
      <c r="D7991">
        <v>-17.6181384056</v>
      </c>
      <c r="E7991" s="92" t="str">
        <f t="shared" si="36"/>
        <v/>
      </c>
      <c r="G7991" s="92"/>
      <c r="I7991">
        <v>7</v>
      </c>
      <c r="J7991" t="s">
        <v>26</v>
      </c>
      <c r="K7991" s="57"/>
      <c r="S7991" s="57"/>
      <c r="X7991" s="57"/>
    </row>
    <row r="7992" spans="1:24" hidden="1" x14ac:dyDescent="0.35">
      <c r="A7992">
        <v>7988</v>
      </c>
      <c r="B7992">
        <v>7989</v>
      </c>
      <c r="C7992">
        <v>146.09749136400001</v>
      </c>
      <c r="D7992">
        <v>-17.6181322083</v>
      </c>
      <c r="E7992" s="92" t="str">
        <f t="shared" si="36"/>
        <v/>
      </c>
      <c r="G7992" s="92"/>
      <c r="I7992">
        <v>7</v>
      </c>
      <c r="J7992" t="s">
        <v>26</v>
      </c>
      <c r="K7992" s="57"/>
      <c r="S7992" s="57"/>
      <c r="X7992" s="57"/>
    </row>
    <row r="7993" spans="1:24" hidden="1" x14ac:dyDescent="0.35">
      <c r="A7993">
        <v>7989</v>
      </c>
      <c r="B7993">
        <v>7990</v>
      </c>
      <c r="C7993">
        <v>146.09758095999899</v>
      </c>
      <c r="D7993">
        <v>-17.6181260108999</v>
      </c>
      <c r="E7993" s="92">
        <f t="shared" si="36"/>
        <v>50</v>
      </c>
      <c r="G7993" s="92"/>
      <c r="I7993">
        <v>7</v>
      </c>
      <c r="J7993" t="s">
        <v>26</v>
      </c>
      <c r="K7993" s="57"/>
      <c r="S7993" s="57"/>
      <c r="X7993" s="57"/>
    </row>
    <row r="7994" spans="1:24" hidden="1" x14ac:dyDescent="0.35">
      <c r="A7994">
        <v>7990</v>
      </c>
      <c r="B7994">
        <v>7991</v>
      </c>
      <c r="C7994">
        <v>146.09767046299899</v>
      </c>
      <c r="D7994">
        <v>-17.6181309199</v>
      </c>
      <c r="E7994" s="92" t="str">
        <f t="shared" si="36"/>
        <v/>
      </c>
      <c r="G7994" s="92"/>
      <c r="I7994">
        <v>7</v>
      </c>
      <c r="J7994" t="s">
        <v>26</v>
      </c>
      <c r="K7994" s="57"/>
      <c r="S7994" s="57"/>
      <c r="X7994" s="57"/>
    </row>
    <row r="7995" spans="1:24" hidden="1" x14ac:dyDescent="0.35">
      <c r="A7995">
        <v>7991</v>
      </c>
      <c r="B7995">
        <v>7992</v>
      </c>
      <c r="C7995">
        <v>146.097759943</v>
      </c>
      <c r="D7995">
        <v>-17.618138482500001</v>
      </c>
      <c r="E7995" s="92" t="str">
        <f t="shared" si="36"/>
        <v/>
      </c>
      <c r="G7995" s="92"/>
      <c r="I7995">
        <v>7</v>
      </c>
      <c r="J7995" t="s">
        <v>26</v>
      </c>
      <c r="K7995" s="57"/>
      <c r="S7995" s="57"/>
      <c r="X7995" s="57"/>
    </row>
    <row r="7996" spans="1:24" hidden="1" x14ac:dyDescent="0.35">
      <c r="A7996">
        <v>7992</v>
      </c>
      <c r="B7996">
        <v>7993</v>
      </c>
      <c r="C7996">
        <v>146.097848951999</v>
      </c>
      <c r="D7996">
        <v>-17.6181476534999</v>
      </c>
      <c r="E7996" s="92" t="str">
        <f t="shared" si="36"/>
        <v/>
      </c>
      <c r="G7996" s="92"/>
      <c r="I7996">
        <v>7</v>
      </c>
      <c r="J7996" t="s">
        <v>26</v>
      </c>
      <c r="K7996" s="57"/>
      <c r="S7996" s="57"/>
      <c r="X7996" s="57"/>
    </row>
    <row r="7997" spans="1:24" hidden="1" x14ac:dyDescent="0.35">
      <c r="A7997">
        <v>7993</v>
      </c>
      <c r="B7997">
        <v>7994</v>
      </c>
      <c r="C7997">
        <v>146.097929609</v>
      </c>
      <c r="D7997">
        <v>-17.618185348400001</v>
      </c>
      <c r="E7997" s="92" t="str">
        <f t="shared" si="36"/>
        <v/>
      </c>
      <c r="G7997" s="92"/>
      <c r="I7997">
        <v>7</v>
      </c>
      <c r="J7997" t="s">
        <v>26</v>
      </c>
      <c r="K7997" s="57"/>
      <c r="S7997" s="57"/>
      <c r="X7997" s="57"/>
    </row>
    <row r="7998" spans="1:24" hidden="1" x14ac:dyDescent="0.35">
      <c r="A7998">
        <v>7994</v>
      </c>
      <c r="B7998">
        <v>7995</v>
      </c>
      <c r="C7998">
        <v>146.09801026599899</v>
      </c>
      <c r="D7998">
        <v>-17.618223043299899</v>
      </c>
      <c r="E7998" s="92">
        <f t="shared" si="36"/>
        <v>50</v>
      </c>
      <c r="G7998" s="92"/>
      <c r="I7998">
        <v>7</v>
      </c>
      <c r="J7998" t="s">
        <v>26</v>
      </c>
      <c r="K7998" s="57"/>
      <c r="S7998" s="57"/>
      <c r="X7998" s="57"/>
    </row>
    <row r="7999" spans="1:24" hidden="1" x14ac:dyDescent="0.35">
      <c r="A7999">
        <v>7995</v>
      </c>
      <c r="B7999">
        <v>7996</v>
      </c>
      <c r="C7999">
        <v>146.098065155</v>
      </c>
      <c r="D7999">
        <v>-17.618287754299899</v>
      </c>
      <c r="E7999" s="92" t="str">
        <f t="shared" si="36"/>
        <v/>
      </c>
      <c r="G7999" s="92"/>
      <c r="I7999">
        <v>7</v>
      </c>
      <c r="J7999" t="s">
        <v>26</v>
      </c>
      <c r="K7999" s="57"/>
      <c r="S7999" s="57"/>
      <c r="X7999" s="57"/>
    </row>
    <row r="8000" spans="1:24" hidden="1" x14ac:dyDescent="0.35">
      <c r="A8000">
        <v>7996</v>
      </c>
      <c r="B8000">
        <v>7997</v>
      </c>
      <c r="C8000">
        <v>146.098112192999</v>
      </c>
      <c r="D8000">
        <v>-17.6183606962</v>
      </c>
      <c r="E8000" s="92" t="str">
        <f t="shared" si="36"/>
        <v/>
      </c>
      <c r="G8000" s="92"/>
      <c r="I8000">
        <v>7</v>
      </c>
      <c r="J8000" t="s">
        <v>26</v>
      </c>
      <c r="K8000" s="57"/>
      <c r="S8000" s="57"/>
      <c r="X8000" s="57"/>
    </row>
    <row r="8001" spans="1:24" hidden="1" x14ac:dyDescent="0.35">
      <c r="A8001">
        <v>7997</v>
      </c>
      <c r="B8001">
        <v>7998</v>
      </c>
      <c r="C8001">
        <v>146.098139578999</v>
      </c>
      <c r="D8001">
        <v>-17.6184405873</v>
      </c>
      <c r="E8001" s="92" t="str">
        <f t="shared" si="36"/>
        <v/>
      </c>
      <c r="G8001" s="92"/>
      <c r="I8001">
        <v>7</v>
      </c>
      <c r="J8001" t="s">
        <v>26</v>
      </c>
      <c r="K8001" s="57"/>
      <c r="S8001" s="57"/>
      <c r="X8001" s="57"/>
    </row>
    <row r="8002" spans="1:24" hidden="1" x14ac:dyDescent="0.35">
      <c r="A8002">
        <v>7998</v>
      </c>
      <c r="B8002">
        <v>7999</v>
      </c>
      <c r="C8002">
        <v>146.09815384000001</v>
      </c>
      <c r="D8002">
        <v>-17.6185251192999</v>
      </c>
      <c r="E8002" s="92" t="str">
        <f t="shared" si="36"/>
        <v/>
      </c>
      <c r="G8002" s="92"/>
      <c r="I8002">
        <v>7</v>
      </c>
      <c r="J8002" t="s">
        <v>26</v>
      </c>
      <c r="K8002" s="57"/>
      <c r="S8002" s="57"/>
      <c r="X8002" s="57"/>
    </row>
    <row r="8003" spans="1:24" hidden="1" x14ac:dyDescent="0.35">
      <c r="A8003">
        <v>7999</v>
      </c>
      <c r="B8003">
        <v>8000</v>
      </c>
      <c r="C8003">
        <v>146.098153359999</v>
      </c>
      <c r="D8003">
        <v>-17.618610315800002</v>
      </c>
      <c r="E8003" s="92">
        <f t="shared" si="36"/>
        <v>50</v>
      </c>
      <c r="G8003" s="92"/>
      <c r="I8003">
        <v>7</v>
      </c>
      <c r="J8003" t="s">
        <v>26</v>
      </c>
      <c r="K8003" s="57"/>
      <c r="S8003" s="57"/>
      <c r="X8003" s="57"/>
    </row>
    <row r="8004" spans="1:24" hidden="1" x14ac:dyDescent="0.35">
      <c r="A8004">
        <v>8000</v>
      </c>
      <c r="B8004">
        <v>8001</v>
      </c>
      <c r="C8004">
        <v>146.098147533999</v>
      </c>
      <c r="D8004">
        <v>-17.6186957532999</v>
      </c>
      <c r="E8004" s="92" t="str">
        <f t="shared" si="36"/>
        <v/>
      </c>
      <c r="G8004" s="92"/>
      <c r="I8004">
        <v>7</v>
      </c>
      <c r="J8004" t="s">
        <v>26</v>
      </c>
      <c r="K8004" s="57"/>
      <c r="S8004" s="57"/>
      <c r="X8004" s="57"/>
    </row>
    <row r="8005" spans="1:24" hidden="1" x14ac:dyDescent="0.35">
      <c r="A8005">
        <v>8001</v>
      </c>
      <c r="B8005">
        <v>8002</v>
      </c>
      <c r="C8005">
        <v>146.098134638</v>
      </c>
      <c r="D8005">
        <v>-17.618779309499899</v>
      </c>
      <c r="E8005" s="92" t="str">
        <f t="shared" si="36"/>
        <v/>
      </c>
      <c r="G8005" s="92"/>
      <c r="I8005">
        <v>7</v>
      </c>
      <c r="J8005" t="s">
        <v>26</v>
      </c>
      <c r="K8005" s="57"/>
      <c r="S8005" s="57"/>
      <c r="X8005" s="57"/>
    </row>
    <row r="8006" spans="1:24" hidden="1" x14ac:dyDescent="0.35">
      <c r="A8006">
        <v>8002</v>
      </c>
      <c r="B8006">
        <v>8003</v>
      </c>
      <c r="C8006">
        <v>146.09809318699899</v>
      </c>
      <c r="D8006">
        <v>-17.618855267499899</v>
      </c>
      <c r="E8006" s="92" t="str">
        <f t="shared" si="36"/>
        <v/>
      </c>
      <c r="G8006" s="92"/>
      <c r="I8006">
        <v>7</v>
      </c>
      <c r="J8006" t="s">
        <v>26</v>
      </c>
      <c r="K8006" s="57"/>
      <c r="S8006" s="57"/>
      <c r="X8006" s="57"/>
    </row>
    <row r="8007" spans="1:24" hidden="1" x14ac:dyDescent="0.35">
      <c r="A8007">
        <v>8003</v>
      </c>
      <c r="B8007">
        <v>8004</v>
      </c>
      <c r="C8007">
        <v>146.098051736</v>
      </c>
      <c r="D8007">
        <v>-17.618931225400001</v>
      </c>
      <c r="E8007" s="92" t="str">
        <f t="shared" si="36"/>
        <v/>
      </c>
      <c r="G8007" s="92"/>
      <c r="I8007">
        <v>7</v>
      </c>
      <c r="J8007" t="s">
        <v>26</v>
      </c>
      <c r="K8007" s="57"/>
      <c r="S8007" s="57"/>
      <c r="X8007" s="57"/>
    </row>
    <row r="8008" spans="1:24" hidden="1" x14ac:dyDescent="0.35">
      <c r="A8008">
        <v>8004</v>
      </c>
      <c r="B8008">
        <v>8005</v>
      </c>
      <c r="C8008">
        <v>146.098003105999</v>
      </c>
      <c r="D8008">
        <v>-17.619003019200001</v>
      </c>
      <c r="E8008" s="92">
        <f t="shared" si="36"/>
        <v>50</v>
      </c>
      <c r="G8008" s="92"/>
      <c r="I8008">
        <v>7</v>
      </c>
      <c r="J8008" t="s">
        <v>26</v>
      </c>
      <c r="K8008" s="57"/>
      <c r="S8008" s="57"/>
      <c r="X8008" s="57"/>
    </row>
    <row r="8009" spans="1:24" hidden="1" x14ac:dyDescent="0.35">
      <c r="A8009">
        <v>8005</v>
      </c>
      <c r="B8009">
        <v>8006</v>
      </c>
      <c r="C8009">
        <v>146.09795136599899</v>
      </c>
      <c r="D8009">
        <v>-17.6190730088999</v>
      </c>
      <c r="E8009" s="92" t="str">
        <f t="shared" si="36"/>
        <v/>
      </c>
      <c r="G8009" s="92"/>
      <c r="I8009">
        <v>7</v>
      </c>
      <c r="J8009" t="s">
        <v>26</v>
      </c>
      <c r="K8009" s="57"/>
      <c r="S8009" s="57"/>
      <c r="X8009" s="57"/>
    </row>
    <row r="8010" spans="1:24" hidden="1" x14ac:dyDescent="0.35">
      <c r="A8010">
        <v>8006</v>
      </c>
      <c r="B8010">
        <v>8007</v>
      </c>
      <c r="C8010">
        <v>146.097899624999</v>
      </c>
      <c r="D8010">
        <v>-17.619142998600001</v>
      </c>
      <c r="E8010" s="92" t="str">
        <f t="shared" si="36"/>
        <v/>
      </c>
      <c r="G8010" s="92"/>
      <c r="I8010">
        <v>7</v>
      </c>
      <c r="J8010" t="s">
        <v>26</v>
      </c>
      <c r="K8010" s="57"/>
      <c r="S8010" s="57"/>
      <c r="X8010" s="57"/>
    </row>
    <row r="8011" spans="1:24" hidden="1" x14ac:dyDescent="0.35">
      <c r="A8011">
        <v>8007</v>
      </c>
      <c r="B8011">
        <v>8008</v>
      </c>
      <c r="C8011">
        <v>146.097847884999</v>
      </c>
      <c r="D8011">
        <v>-17.6192129882999</v>
      </c>
      <c r="E8011" s="92" t="str">
        <f t="shared" si="36"/>
        <v/>
      </c>
      <c r="G8011" s="92"/>
      <c r="I8011">
        <v>7</v>
      </c>
      <c r="J8011" t="s">
        <v>26</v>
      </c>
      <c r="K8011" s="57"/>
      <c r="S8011" s="57"/>
      <c r="X8011" s="57"/>
    </row>
    <row r="8012" spans="1:24" hidden="1" x14ac:dyDescent="0.35">
      <c r="A8012">
        <v>8008</v>
      </c>
      <c r="B8012">
        <v>8009</v>
      </c>
      <c r="C8012">
        <v>146.097796144</v>
      </c>
      <c r="D8012">
        <v>-17.619282978000001</v>
      </c>
      <c r="E8012" s="92" t="str">
        <f t="shared" si="36"/>
        <v/>
      </c>
      <c r="G8012" s="92"/>
      <c r="I8012">
        <v>7</v>
      </c>
      <c r="J8012" t="s">
        <v>26</v>
      </c>
      <c r="K8012" s="57"/>
      <c r="S8012" s="57"/>
      <c r="X8012" s="57"/>
    </row>
    <row r="8013" spans="1:24" hidden="1" x14ac:dyDescent="0.35">
      <c r="A8013">
        <v>8009</v>
      </c>
      <c r="B8013">
        <v>8010</v>
      </c>
      <c r="C8013">
        <v>146.09773985300001</v>
      </c>
      <c r="D8013">
        <v>-17.6193492827</v>
      </c>
      <c r="E8013" s="92">
        <f t="shared" si="36"/>
        <v>50</v>
      </c>
      <c r="G8013" s="92"/>
      <c r="I8013">
        <v>7</v>
      </c>
      <c r="J8013" t="s">
        <v>26</v>
      </c>
      <c r="K8013" s="57"/>
      <c r="S8013" s="57"/>
      <c r="X8013" s="57"/>
    </row>
    <row r="8014" spans="1:24" hidden="1" x14ac:dyDescent="0.35">
      <c r="A8014">
        <v>8010</v>
      </c>
      <c r="B8014">
        <v>8011</v>
      </c>
      <c r="C8014">
        <v>146.097675748</v>
      </c>
      <c r="D8014">
        <v>-17.619409261600001</v>
      </c>
      <c r="E8014" s="92" t="str">
        <f t="shared" si="36"/>
        <v/>
      </c>
      <c r="G8014" s="92"/>
      <c r="I8014">
        <v>7</v>
      </c>
      <c r="J8014" t="s">
        <v>26</v>
      </c>
      <c r="K8014" s="57"/>
      <c r="S8014" s="57"/>
      <c r="X8014" s="57"/>
    </row>
    <row r="8015" spans="1:24" hidden="1" x14ac:dyDescent="0.35">
      <c r="A8015">
        <v>8011</v>
      </c>
      <c r="B8015">
        <v>8012</v>
      </c>
      <c r="C8015">
        <v>146.09761164400001</v>
      </c>
      <c r="D8015">
        <v>-17.6194692404999</v>
      </c>
      <c r="E8015" s="92" t="str">
        <f t="shared" si="36"/>
        <v/>
      </c>
      <c r="G8015" s="92"/>
      <c r="I8015">
        <v>7</v>
      </c>
      <c r="J8015" t="s">
        <v>26</v>
      </c>
      <c r="K8015" s="57"/>
      <c r="S8015" s="57"/>
      <c r="X8015" s="57"/>
    </row>
    <row r="8016" spans="1:24" hidden="1" x14ac:dyDescent="0.35">
      <c r="A8016">
        <v>8012</v>
      </c>
      <c r="B8016">
        <v>8013</v>
      </c>
      <c r="C8016">
        <v>146.097547539999</v>
      </c>
      <c r="D8016">
        <v>-17.6195292194</v>
      </c>
      <c r="E8016" s="92" t="str">
        <f t="shared" ref="E8016:E8079" si="37">IF(MOD(B8016,5)=0, 50, "")</f>
        <v/>
      </c>
      <c r="G8016" s="92"/>
      <c r="I8016">
        <v>7</v>
      </c>
      <c r="J8016" t="s">
        <v>26</v>
      </c>
      <c r="K8016" s="57"/>
      <c r="S8016" s="57"/>
      <c r="X8016" s="57"/>
    </row>
    <row r="8017" spans="1:24" hidden="1" x14ac:dyDescent="0.35">
      <c r="A8017">
        <v>8013</v>
      </c>
      <c r="B8017">
        <v>8014</v>
      </c>
      <c r="C8017">
        <v>146.09748343499899</v>
      </c>
      <c r="D8017">
        <v>-17.619589198300002</v>
      </c>
      <c r="E8017" s="92" t="str">
        <f t="shared" si="37"/>
        <v/>
      </c>
      <c r="G8017" s="92"/>
      <c r="I8017">
        <v>7</v>
      </c>
      <c r="J8017" t="s">
        <v>26</v>
      </c>
      <c r="K8017" s="57"/>
      <c r="S8017" s="57"/>
      <c r="X8017" s="57"/>
    </row>
    <row r="8018" spans="1:24" hidden="1" x14ac:dyDescent="0.35">
      <c r="A8018">
        <v>8014</v>
      </c>
      <c r="B8018">
        <v>8015</v>
      </c>
      <c r="C8018">
        <v>146.097419330999</v>
      </c>
      <c r="D8018">
        <v>-17.619649177100001</v>
      </c>
      <c r="E8018" s="92">
        <f t="shared" si="37"/>
        <v>50</v>
      </c>
      <c r="G8018" s="92"/>
      <c r="I8018">
        <v>7</v>
      </c>
      <c r="J8018" t="s">
        <v>26</v>
      </c>
      <c r="K8018" s="57"/>
      <c r="S8018" s="57"/>
      <c r="X8018" s="57"/>
    </row>
    <row r="8019" spans="1:24" hidden="1" x14ac:dyDescent="0.35">
      <c r="A8019">
        <v>8015</v>
      </c>
      <c r="B8019">
        <v>8016</v>
      </c>
      <c r="C8019">
        <v>146.097355225999</v>
      </c>
      <c r="D8019">
        <v>-17.619709155900001</v>
      </c>
      <c r="E8019" s="92" t="str">
        <f t="shared" si="37"/>
        <v/>
      </c>
      <c r="G8019" s="92"/>
      <c r="I8019">
        <v>7</v>
      </c>
      <c r="J8019" t="s">
        <v>26</v>
      </c>
      <c r="K8019" s="57"/>
      <c r="S8019" s="57"/>
      <c r="X8019" s="57"/>
    </row>
    <row r="8020" spans="1:24" hidden="1" x14ac:dyDescent="0.35">
      <c r="A8020">
        <v>8016</v>
      </c>
      <c r="B8020">
        <v>8017</v>
      </c>
      <c r="C8020">
        <v>146.09729177700001</v>
      </c>
      <c r="D8020">
        <v>-17.619769735799899</v>
      </c>
      <c r="E8020" s="92" t="str">
        <f t="shared" si="37"/>
        <v/>
      </c>
      <c r="G8020" s="92"/>
      <c r="I8020">
        <v>7</v>
      </c>
      <c r="J8020" t="s">
        <v>26</v>
      </c>
      <c r="K8020" s="57"/>
      <c r="S8020" s="57"/>
      <c r="X8020" s="57"/>
    </row>
    <row r="8021" spans="1:24" hidden="1" x14ac:dyDescent="0.35">
      <c r="A8021">
        <v>8017</v>
      </c>
      <c r="B8021">
        <v>8018</v>
      </c>
      <c r="C8021">
        <v>146.097231359999</v>
      </c>
      <c r="D8021">
        <v>-17.619833096099899</v>
      </c>
      <c r="E8021" s="92" t="str">
        <f t="shared" si="37"/>
        <v/>
      </c>
      <c r="G8021" s="92"/>
      <c r="I8021">
        <v>7</v>
      </c>
      <c r="J8021" t="s">
        <v>26</v>
      </c>
      <c r="K8021" s="57"/>
      <c r="S8021" s="57"/>
      <c r="X8021" s="57"/>
    </row>
    <row r="8022" spans="1:24" hidden="1" x14ac:dyDescent="0.35">
      <c r="A8022">
        <v>8018</v>
      </c>
      <c r="B8022">
        <v>8019</v>
      </c>
      <c r="C8022">
        <v>146.09717094300001</v>
      </c>
      <c r="D8022">
        <v>-17.6198964563999</v>
      </c>
      <c r="E8022" s="92" t="str">
        <f t="shared" si="37"/>
        <v/>
      </c>
      <c r="G8022" s="92"/>
      <c r="I8022">
        <v>7</v>
      </c>
      <c r="J8022" t="s">
        <v>26</v>
      </c>
      <c r="K8022" s="57"/>
      <c r="S8022" s="57"/>
      <c r="X8022" s="57"/>
    </row>
    <row r="8023" spans="1:24" hidden="1" x14ac:dyDescent="0.35">
      <c r="A8023">
        <v>8019</v>
      </c>
      <c r="B8023">
        <v>8020</v>
      </c>
      <c r="C8023">
        <v>146.097110525999</v>
      </c>
      <c r="D8023">
        <v>-17.6199598167</v>
      </c>
      <c r="E8023" s="92">
        <f t="shared" si="37"/>
        <v>50</v>
      </c>
      <c r="G8023" s="92"/>
      <c r="I8023">
        <v>7</v>
      </c>
      <c r="J8023" t="s">
        <v>26</v>
      </c>
      <c r="K8023" s="57"/>
      <c r="S8023" s="57"/>
      <c r="X8023" s="57"/>
    </row>
    <row r="8024" spans="1:24" hidden="1" x14ac:dyDescent="0.35">
      <c r="A8024">
        <v>8020</v>
      </c>
      <c r="B8024">
        <v>8021</v>
      </c>
      <c r="C8024">
        <v>146.09705010900001</v>
      </c>
      <c r="D8024">
        <v>-17.620023176899899</v>
      </c>
      <c r="E8024" s="92" t="str">
        <f t="shared" si="37"/>
        <v/>
      </c>
      <c r="G8024" s="92"/>
      <c r="I8024">
        <v>7</v>
      </c>
      <c r="J8024" t="s">
        <v>26</v>
      </c>
      <c r="K8024" s="57"/>
      <c r="S8024" s="57"/>
      <c r="X8024" s="57"/>
    </row>
    <row r="8025" spans="1:24" hidden="1" x14ac:dyDescent="0.35">
      <c r="A8025">
        <v>8021</v>
      </c>
      <c r="B8025">
        <v>8022</v>
      </c>
      <c r="C8025">
        <v>146.096989691999</v>
      </c>
      <c r="D8025">
        <v>-17.620086537100001</v>
      </c>
      <c r="E8025" s="92" t="str">
        <f t="shared" si="37"/>
        <v/>
      </c>
      <c r="G8025" s="92"/>
      <c r="I8025">
        <v>7</v>
      </c>
      <c r="J8025" t="s">
        <v>26</v>
      </c>
      <c r="K8025" s="57"/>
      <c r="S8025" s="57"/>
      <c r="X8025" s="57"/>
    </row>
    <row r="8026" spans="1:24" hidden="1" x14ac:dyDescent="0.35">
      <c r="A8026">
        <v>8022</v>
      </c>
      <c r="B8026">
        <v>8023</v>
      </c>
      <c r="C8026">
        <v>146.096926996999</v>
      </c>
      <c r="D8026">
        <v>-17.6201478242</v>
      </c>
      <c r="E8026" s="92" t="str">
        <f t="shared" si="37"/>
        <v/>
      </c>
      <c r="G8026" s="92"/>
      <c r="I8026">
        <v>7</v>
      </c>
      <c r="J8026" t="s">
        <v>26</v>
      </c>
      <c r="K8026" s="57"/>
      <c r="S8026" s="57"/>
      <c r="X8026" s="57"/>
    </row>
    <row r="8027" spans="1:24" hidden="1" x14ac:dyDescent="0.35">
      <c r="A8027">
        <v>8023</v>
      </c>
      <c r="B8027">
        <v>8024</v>
      </c>
      <c r="C8027">
        <v>146.096863366999</v>
      </c>
      <c r="D8027">
        <v>-17.620208260199899</v>
      </c>
      <c r="E8027" s="92" t="str">
        <f t="shared" si="37"/>
        <v/>
      </c>
      <c r="G8027" s="92"/>
      <c r="I8027">
        <v>7</v>
      </c>
      <c r="J8027" t="s">
        <v>26</v>
      </c>
      <c r="K8027" s="57"/>
      <c r="S8027" s="57"/>
      <c r="X8027" s="57"/>
    </row>
    <row r="8028" spans="1:24" hidden="1" x14ac:dyDescent="0.35">
      <c r="A8028">
        <v>8024</v>
      </c>
      <c r="B8028">
        <v>8025</v>
      </c>
      <c r="C8028">
        <v>146.096799736999</v>
      </c>
      <c r="D8028">
        <v>-17.620268696099899</v>
      </c>
      <c r="E8028" s="92">
        <f t="shared" si="37"/>
        <v>50</v>
      </c>
      <c r="G8028" s="92"/>
      <c r="I8028">
        <v>7</v>
      </c>
      <c r="J8028" t="s">
        <v>26</v>
      </c>
      <c r="K8028" s="57"/>
      <c r="S8028" s="57"/>
      <c r="X8028" s="57"/>
    </row>
    <row r="8029" spans="1:24" hidden="1" x14ac:dyDescent="0.35">
      <c r="A8029">
        <v>8025</v>
      </c>
      <c r="B8029">
        <v>8026</v>
      </c>
      <c r="C8029">
        <v>146.096738058</v>
      </c>
      <c r="D8029">
        <v>-17.620330791600001</v>
      </c>
      <c r="E8029" s="92" t="str">
        <f t="shared" si="37"/>
        <v/>
      </c>
      <c r="G8029" s="92"/>
      <c r="I8029">
        <v>7</v>
      </c>
      <c r="J8029" t="s">
        <v>26</v>
      </c>
      <c r="K8029" s="57"/>
      <c r="S8029" s="57"/>
      <c r="X8029" s="57"/>
    </row>
    <row r="8030" spans="1:24" hidden="1" x14ac:dyDescent="0.35">
      <c r="A8030">
        <v>8026</v>
      </c>
      <c r="B8030">
        <v>8027</v>
      </c>
      <c r="C8030">
        <v>146.096682267999</v>
      </c>
      <c r="D8030">
        <v>-17.620397895100002</v>
      </c>
      <c r="E8030" s="92" t="str">
        <f t="shared" si="37"/>
        <v/>
      </c>
      <c r="G8030" s="92"/>
      <c r="I8030">
        <v>7</v>
      </c>
      <c r="J8030" t="s">
        <v>26</v>
      </c>
      <c r="K8030" s="57"/>
      <c r="S8030" s="57"/>
      <c r="X8030" s="57"/>
    </row>
    <row r="8031" spans="1:24" hidden="1" x14ac:dyDescent="0.35">
      <c r="A8031">
        <v>8027</v>
      </c>
      <c r="B8031">
        <v>8028</v>
      </c>
      <c r="C8031">
        <v>146.09664305800001</v>
      </c>
      <c r="D8031">
        <v>-17.620471928499899</v>
      </c>
      <c r="E8031" s="92" t="str">
        <f t="shared" si="37"/>
        <v/>
      </c>
      <c r="G8031" s="92"/>
      <c r="I8031">
        <v>7</v>
      </c>
      <c r="J8031" t="s">
        <v>26</v>
      </c>
      <c r="K8031" s="57"/>
      <c r="S8031" s="57"/>
      <c r="X8031" s="57"/>
    </row>
    <row r="8032" spans="1:24" hidden="1" x14ac:dyDescent="0.35">
      <c r="A8032">
        <v>8028</v>
      </c>
      <c r="B8032">
        <v>8029</v>
      </c>
      <c r="C8032">
        <v>146.09664053</v>
      </c>
      <c r="D8032">
        <v>-17.620556403599899</v>
      </c>
      <c r="E8032" s="92" t="str">
        <f t="shared" si="37"/>
        <v/>
      </c>
      <c r="G8032" s="92"/>
      <c r="I8032">
        <v>7</v>
      </c>
      <c r="J8032" t="s">
        <v>26</v>
      </c>
      <c r="K8032" s="57"/>
      <c r="S8032" s="57"/>
      <c r="X8032" s="57"/>
    </row>
    <row r="8033" spans="1:24" hidden="1" x14ac:dyDescent="0.35">
      <c r="A8033">
        <v>8029</v>
      </c>
      <c r="B8033">
        <v>8030</v>
      </c>
      <c r="C8033">
        <v>146.096683468999</v>
      </c>
      <c r="D8033">
        <v>-17.620626159099899</v>
      </c>
      <c r="E8033" s="92">
        <f t="shared" si="37"/>
        <v>50</v>
      </c>
      <c r="G8033" s="92"/>
      <c r="I8033">
        <v>7</v>
      </c>
      <c r="J8033" t="s">
        <v>26</v>
      </c>
      <c r="K8033" s="57"/>
      <c r="S8033" s="57"/>
      <c r="X8033" s="57"/>
    </row>
    <row r="8034" spans="1:24" hidden="1" x14ac:dyDescent="0.35">
      <c r="A8034">
        <v>8030</v>
      </c>
      <c r="B8034">
        <v>8031</v>
      </c>
      <c r="C8034">
        <v>146.09676669300001</v>
      </c>
      <c r="D8034">
        <v>-17.620647217799899</v>
      </c>
      <c r="E8034" s="92" t="str">
        <f t="shared" si="37"/>
        <v/>
      </c>
      <c r="G8034" s="92"/>
      <c r="I8034">
        <v>7</v>
      </c>
      <c r="J8034" t="s">
        <v>26</v>
      </c>
      <c r="K8034" s="57"/>
      <c r="S8034" s="57"/>
      <c r="X8034" s="57"/>
    </row>
    <row r="8035" spans="1:24" hidden="1" x14ac:dyDescent="0.35">
      <c r="A8035">
        <v>8031</v>
      </c>
      <c r="B8035">
        <v>8032</v>
      </c>
      <c r="C8035">
        <v>146.09685559600001</v>
      </c>
      <c r="D8035">
        <v>-17.6206391873</v>
      </c>
      <c r="E8035" s="92" t="str">
        <f t="shared" si="37"/>
        <v/>
      </c>
      <c r="G8035" s="92"/>
      <c r="I8035">
        <v>7</v>
      </c>
      <c r="J8035" t="s">
        <v>26</v>
      </c>
      <c r="K8035" s="57"/>
      <c r="S8035" s="57"/>
      <c r="X8035" s="57"/>
    </row>
    <row r="8036" spans="1:24" hidden="1" x14ac:dyDescent="0.35">
      <c r="A8036">
        <v>8032</v>
      </c>
      <c r="B8036">
        <v>8033</v>
      </c>
      <c r="C8036">
        <v>146.096944261</v>
      </c>
      <c r="D8036">
        <v>-17.620625434400001</v>
      </c>
      <c r="E8036" s="92" t="str">
        <f t="shared" si="37"/>
        <v/>
      </c>
      <c r="G8036" s="92"/>
      <c r="I8036">
        <v>7</v>
      </c>
      <c r="J8036" t="s">
        <v>26</v>
      </c>
      <c r="K8036" s="57"/>
      <c r="S8036" s="57"/>
      <c r="X8036" s="57"/>
    </row>
    <row r="8037" spans="1:24" hidden="1" x14ac:dyDescent="0.35">
      <c r="A8037">
        <v>8033</v>
      </c>
      <c r="B8037">
        <v>8034</v>
      </c>
      <c r="C8037">
        <v>146.09702696700001</v>
      </c>
      <c r="D8037">
        <v>-17.620592891600001</v>
      </c>
      <c r="E8037" s="92" t="str">
        <f t="shared" si="37"/>
        <v/>
      </c>
      <c r="G8037" s="92"/>
      <c r="I8037">
        <v>7</v>
      </c>
      <c r="J8037" t="s">
        <v>26</v>
      </c>
      <c r="K8037" s="57"/>
      <c r="S8037" s="57"/>
      <c r="X8037" s="57"/>
    </row>
    <row r="8038" spans="1:24" hidden="1" x14ac:dyDescent="0.35">
      <c r="A8038">
        <v>8034</v>
      </c>
      <c r="B8038">
        <v>8035</v>
      </c>
      <c r="C8038">
        <v>146.09710877800001</v>
      </c>
      <c r="D8038">
        <v>-17.6205575287999</v>
      </c>
      <c r="E8038" s="92">
        <f t="shared" si="37"/>
        <v>50</v>
      </c>
      <c r="G8038" s="92"/>
      <c r="I8038">
        <v>7</v>
      </c>
      <c r="J8038" t="s">
        <v>26</v>
      </c>
      <c r="K8038" s="57"/>
      <c r="S8038" s="57"/>
      <c r="X8038" s="57"/>
    </row>
    <row r="8039" spans="1:24" hidden="1" x14ac:dyDescent="0.35">
      <c r="A8039">
        <v>8035</v>
      </c>
      <c r="B8039">
        <v>8036</v>
      </c>
      <c r="C8039">
        <v>146.09719058799899</v>
      </c>
      <c r="D8039">
        <v>-17.620522166000001</v>
      </c>
      <c r="E8039" s="92" t="str">
        <f t="shared" si="37"/>
        <v/>
      </c>
      <c r="G8039" s="92"/>
      <c r="I8039">
        <v>7</v>
      </c>
      <c r="J8039" t="s">
        <v>26</v>
      </c>
      <c r="K8039" s="57"/>
      <c r="S8039" s="57"/>
      <c r="X8039" s="57"/>
    </row>
    <row r="8040" spans="1:24" hidden="1" x14ac:dyDescent="0.35">
      <c r="A8040">
        <v>8036</v>
      </c>
      <c r="B8040">
        <v>8037</v>
      </c>
      <c r="C8040">
        <v>146.09727227400001</v>
      </c>
      <c r="D8040">
        <v>-17.620486608</v>
      </c>
      <c r="E8040" s="92" t="str">
        <f t="shared" si="37"/>
        <v/>
      </c>
      <c r="G8040" s="92"/>
      <c r="I8040">
        <v>7</v>
      </c>
      <c r="J8040" t="s">
        <v>26</v>
      </c>
      <c r="K8040" s="57"/>
      <c r="S8040" s="57"/>
      <c r="X8040" s="57"/>
    </row>
    <row r="8041" spans="1:24" hidden="1" x14ac:dyDescent="0.35">
      <c r="A8041">
        <v>8037</v>
      </c>
      <c r="B8041">
        <v>8038</v>
      </c>
      <c r="C8041">
        <v>146.09734269699899</v>
      </c>
      <c r="D8041">
        <v>-17.620433454200001</v>
      </c>
      <c r="E8041" s="92" t="str">
        <f t="shared" si="37"/>
        <v/>
      </c>
      <c r="G8041" s="92"/>
      <c r="I8041">
        <v>7</v>
      </c>
      <c r="J8041" t="s">
        <v>26</v>
      </c>
      <c r="K8041" s="57"/>
      <c r="S8041" s="57"/>
      <c r="X8041" s="57"/>
    </row>
    <row r="8042" spans="1:24" hidden="1" x14ac:dyDescent="0.35">
      <c r="A8042">
        <v>8038</v>
      </c>
      <c r="B8042">
        <v>8039</v>
      </c>
      <c r="C8042">
        <v>146.097413119999</v>
      </c>
      <c r="D8042">
        <v>-17.6203803002999</v>
      </c>
      <c r="E8042" s="92" t="str">
        <f t="shared" si="37"/>
        <v/>
      </c>
      <c r="G8042" s="92"/>
      <c r="I8042">
        <v>7</v>
      </c>
      <c r="J8042" t="s">
        <v>26</v>
      </c>
      <c r="K8042" s="57"/>
      <c r="S8042" s="57"/>
      <c r="X8042" s="57"/>
    </row>
    <row r="8043" spans="1:24" hidden="1" x14ac:dyDescent="0.35">
      <c r="A8043">
        <v>8039</v>
      </c>
      <c r="B8043">
        <v>8040</v>
      </c>
      <c r="C8043">
        <v>146.09748354300001</v>
      </c>
      <c r="D8043">
        <v>-17.6203271464999</v>
      </c>
      <c r="E8043" s="92">
        <f t="shared" si="37"/>
        <v>50</v>
      </c>
      <c r="G8043" s="92"/>
      <c r="I8043">
        <v>7</v>
      </c>
      <c r="J8043" t="s">
        <v>26</v>
      </c>
      <c r="K8043" s="57"/>
      <c r="S8043" s="57"/>
      <c r="X8043" s="57"/>
    </row>
    <row r="8044" spans="1:24" hidden="1" x14ac:dyDescent="0.35">
      <c r="A8044">
        <v>8040</v>
      </c>
      <c r="B8044">
        <v>8041</v>
      </c>
      <c r="C8044">
        <v>146.09755074</v>
      </c>
      <c r="D8044">
        <v>-17.6202709672</v>
      </c>
      <c r="E8044" s="92" t="str">
        <f t="shared" si="37"/>
        <v/>
      </c>
      <c r="G8044" s="92"/>
      <c r="I8044">
        <v>7</v>
      </c>
      <c r="J8044" t="s">
        <v>26</v>
      </c>
      <c r="K8044" s="57"/>
      <c r="S8044" s="57"/>
      <c r="X8044" s="57"/>
    </row>
    <row r="8045" spans="1:24" hidden="1" x14ac:dyDescent="0.35">
      <c r="A8045">
        <v>8041</v>
      </c>
      <c r="B8045">
        <v>8042</v>
      </c>
      <c r="C8045">
        <v>146.09760539000001</v>
      </c>
      <c r="D8045">
        <v>-17.6202030161</v>
      </c>
      <c r="E8045" s="92" t="str">
        <f t="shared" si="37"/>
        <v/>
      </c>
      <c r="G8045" s="92"/>
      <c r="I8045">
        <v>7</v>
      </c>
      <c r="J8045" t="s">
        <v>26</v>
      </c>
      <c r="K8045" s="57"/>
      <c r="S8045" s="57"/>
      <c r="X8045" s="57"/>
    </row>
    <row r="8046" spans="1:24" hidden="1" x14ac:dyDescent="0.35">
      <c r="A8046">
        <v>8042</v>
      </c>
      <c r="B8046">
        <v>8043</v>
      </c>
      <c r="C8046">
        <v>146.097660039999</v>
      </c>
      <c r="D8046">
        <v>-17.620135064900001</v>
      </c>
      <c r="E8046" s="92" t="str">
        <f t="shared" si="37"/>
        <v/>
      </c>
      <c r="G8046" s="92"/>
      <c r="I8046">
        <v>7</v>
      </c>
      <c r="J8046" t="s">
        <v>26</v>
      </c>
      <c r="K8046" s="57"/>
      <c r="S8046" s="57"/>
      <c r="X8046" s="57"/>
    </row>
    <row r="8047" spans="1:24" hidden="1" x14ac:dyDescent="0.35">
      <c r="A8047">
        <v>8043</v>
      </c>
      <c r="B8047">
        <v>8044</v>
      </c>
      <c r="C8047">
        <v>146.09771468899899</v>
      </c>
      <c r="D8047">
        <v>-17.620067113800001</v>
      </c>
      <c r="E8047" s="92" t="str">
        <f t="shared" si="37"/>
        <v/>
      </c>
      <c r="G8047" s="92"/>
      <c r="I8047">
        <v>7</v>
      </c>
      <c r="J8047" t="s">
        <v>26</v>
      </c>
      <c r="K8047" s="57"/>
      <c r="S8047" s="57"/>
      <c r="X8047" s="57"/>
    </row>
    <row r="8048" spans="1:24" hidden="1" x14ac:dyDescent="0.35">
      <c r="A8048">
        <v>8044</v>
      </c>
      <c r="B8048">
        <v>8045</v>
      </c>
      <c r="C8048">
        <v>146.097769338999</v>
      </c>
      <c r="D8048">
        <v>-17.6199991625999</v>
      </c>
      <c r="E8048" s="92">
        <f t="shared" si="37"/>
        <v>50</v>
      </c>
      <c r="G8048" s="92"/>
      <c r="I8048">
        <v>7</v>
      </c>
      <c r="J8048" t="s">
        <v>26</v>
      </c>
      <c r="K8048" s="57"/>
      <c r="S8048" s="57"/>
      <c r="X8048" s="57"/>
    </row>
    <row r="8049" spans="1:24" hidden="1" x14ac:dyDescent="0.35">
      <c r="A8049">
        <v>8045</v>
      </c>
      <c r="B8049">
        <v>8046</v>
      </c>
      <c r="C8049">
        <v>146.09782398799899</v>
      </c>
      <c r="D8049">
        <v>-17.619931211400001</v>
      </c>
      <c r="E8049" s="92" t="str">
        <f t="shared" si="37"/>
        <v/>
      </c>
      <c r="G8049" s="92"/>
      <c r="I8049">
        <v>7</v>
      </c>
      <c r="J8049" t="s">
        <v>26</v>
      </c>
      <c r="K8049" s="57"/>
      <c r="S8049" s="57"/>
      <c r="X8049" s="57"/>
    </row>
    <row r="8050" spans="1:24" hidden="1" x14ac:dyDescent="0.35">
      <c r="A8050">
        <v>8046</v>
      </c>
      <c r="B8050">
        <v>8047</v>
      </c>
      <c r="C8050">
        <v>146.097875294999</v>
      </c>
      <c r="D8050">
        <v>-17.619860943300001</v>
      </c>
      <c r="E8050" s="92" t="str">
        <f t="shared" si="37"/>
        <v/>
      </c>
      <c r="G8050" s="92"/>
      <c r="I8050">
        <v>7</v>
      </c>
      <c r="J8050" t="s">
        <v>26</v>
      </c>
      <c r="K8050" s="57"/>
      <c r="S8050" s="57"/>
      <c r="X8050" s="57"/>
    </row>
    <row r="8051" spans="1:24" hidden="1" x14ac:dyDescent="0.35">
      <c r="A8051">
        <v>8047</v>
      </c>
      <c r="B8051">
        <v>8048</v>
      </c>
      <c r="C8051">
        <v>146.097926266999</v>
      </c>
      <c r="D8051">
        <v>-17.6197904435999</v>
      </c>
      <c r="E8051" s="92" t="str">
        <f t="shared" si="37"/>
        <v/>
      </c>
      <c r="G8051" s="92"/>
      <c r="I8051">
        <v>7</v>
      </c>
      <c r="J8051" t="s">
        <v>26</v>
      </c>
      <c r="K8051" s="57"/>
      <c r="S8051" s="57"/>
      <c r="X8051" s="57"/>
    </row>
    <row r="8052" spans="1:24" hidden="1" x14ac:dyDescent="0.35">
      <c r="A8052">
        <v>8048</v>
      </c>
      <c r="B8052">
        <v>8049</v>
      </c>
      <c r="C8052">
        <v>146.09797723899899</v>
      </c>
      <c r="D8052">
        <v>-17.6197199438</v>
      </c>
      <c r="E8052" s="92" t="str">
        <f t="shared" si="37"/>
        <v/>
      </c>
      <c r="G8052" s="92"/>
      <c r="I8052">
        <v>7</v>
      </c>
      <c r="J8052" t="s">
        <v>26</v>
      </c>
      <c r="K8052" s="57"/>
      <c r="S8052" s="57"/>
      <c r="X8052" s="57"/>
    </row>
    <row r="8053" spans="1:24" hidden="1" x14ac:dyDescent="0.35">
      <c r="A8053">
        <v>8049</v>
      </c>
      <c r="B8053">
        <v>8050</v>
      </c>
      <c r="C8053">
        <v>146.09802821100001</v>
      </c>
      <c r="D8053">
        <v>-17.619649444099899</v>
      </c>
      <c r="E8053" s="92">
        <f t="shared" si="37"/>
        <v>50</v>
      </c>
      <c r="G8053" s="92"/>
      <c r="I8053">
        <v>7</v>
      </c>
      <c r="J8053" t="s">
        <v>26</v>
      </c>
      <c r="K8053" s="57"/>
      <c r="S8053" s="57"/>
      <c r="X8053" s="57"/>
    </row>
    <row r="8054" spans="1:24" hidden="1" x14ac:dyDescent="0.35">
      <c r="A8054">
        <v>8050</v>
      </c>
      <c r="B8054">
        <v>8051</v>
      </c>
      <c r="C8054">
        <v>146.09807742000001</v>
      </c>
      <c r="D8054">
        <v>-17.6195779419999</v>
      </c>
      <c r="E8054" s="92" t="str">
        <f t="shared" si="37"/>
        <v/>
      </c>
      <c r="G8054" s="92"/>
      <c r="I8054">
        <v>7</v>
      </c>
      <c r="J8054" t="s">
        <v>26</v>
      </c>
      <c r="K8054" s="57"/>
      <c r="S8054" s="57"/>
      <c r="X8054" s="57"/>
    </row>
    <row r="8055" spans="1:24" hidden="1" x14ac:dyDescent="0.35">
      <c r="A8055">
        <v>8051</v>
      </c>
      <c r="B8055">
        <v>8052</v>
      </c>
      <c r="C8055">
        <v>146.098118301</v>
      </c>
      <c r="D8055">
        <v>-17.6195017042999</v>
      </c>
      <c r="E8055" s="92" t="str">
        <f t="shared" si="37"/>
        <v/>
      </c>
      <c r="G8055" s="92"/>
      <c r="I8055">
        <v>7</v>
      </c>
      <c r="J8055" t="s">
        <v>26</v>
      </c>
      <c r="K8055" s="57"/>
      <c r="S8055" s="57"/>
      <c r="X8055" s="57"/>
    </row>
    <row r="8056" spans="1:24" hidden="1" x14ac:dyDescent="0.35">
      <c r="A8056">
        <v>8052</v>
      </c>
      <c r="B8056">
        <v>8053</v>
      </c>
      <c r="C8056">
        <v>146.09815918300001</v>
      </c>
      <c r="D8056">
        <v>-17.6194254665999</v>
      </c>
      <c r="E8056" s="92" t="str">
        <f t="shared" si="37"/>
        <v/>
      </c>
      <c r="G8056" s="92"/>
      <c r="I8056">
        <v>7</v>
      </c>
      <c r="J8056" t="s">
        <v>26</v>
      </c>
      <c r="K8056" s="57"/>
      <c r="S8056" s="57"/>
      <c r="X8056" s="57"/>
    </row>
    <row r="8057" spans="1:24" hidden="1" x14ac:dyDescent="0.35">
      <c r="A8057">
        <v>8053</v>
      </c>
      <c r="B8057">
        <v>8054</v>
      </c>
      <c r="C8057">
        <v>146.098200063999</v>
      </c>
      <c r="D8057">
        <v>-17.6193492288999</v>
      </c>
      <c r="E8057" s="92" t="str">
        <f t="shared" si="37"/>
        <v/>
      </c>
      <c r="G8057" s="92"/>
      <c r="I8057">
        <v>7</v>
      </c>
      <c r="J8057" t="s">
        <v>26</v>
      </c>
      <c r="K8057" s="57"/>
      <c r="S8057" s="57"/>
      <c r="X8057" s="57"/>
    </row>
    <row r="8058" spans="1:24" hidden="1" x14ac:dyDescent="0.35">
      <c r="A8058">
        <v>8054</v>
      </c>
      <c r="B8058">
        <v>8055</v>
      </c>
      <c r="C8058">
        <v>146.09824094499899</v>
      </c>
      <c r="D8058">
        <v>-17.619272991100001</v>
      </c>
      <c r="E8058" s="92">
        <f t="shared" si="37"/>
        <v>50</v>
      </c>
      <c r="G8058" s="92"/>
      <c r="I8058">
        <v>7</v>
      </c>
      <c r="J8058" t="s">
        <v>26</v>
      </c>
      <c r="K8058" s="57"/>
      <c r="S8058" s="57"/>
      <c r="X8058" s="57"/>
    </row>
    <row r="8059" spans="1:24" hidden="1" x14ac:dyDescent="0.35">
      <c r="A8059">
        <v>8055</v>
      </c>
      <c r="B8059">
        <v>8056</v>
      </c>
      <c r="C8059">
        <v>146.098281826</v>
      </c>
      <c r="D8059">
        <v>-17.619196753299899</v>
      </c>
      <c r="E8059" s="92" t="str">
        <f t="shared" si="37"/>
        <v/>
      </c>
      <c r="G8059" s="92"/>
      <c r="I8059">
        <v>7</v>
      </c>
      <c r="J8059" t="s">
        <v>26</v>
      </c>
      <c r="K8059" s="57"/>
      <c r="S8059" s="57"/>
      <c r="X8059" s="57"/>
    </row>
    <row r="8060" spans="1:24" hidden="1" x14ac:dyDescent="0.35">
      <c r="A8060">
        <v>8056</v>
      </c>
      <c r="B8060">
        <v>8057</v>
      </c>
      <c r="C8060">
        <v>146.098308524</v>
      </c>
      <c r="D8060">
        <v>-17.6191150967</v>
      </c>
      <c r="E8060" s="92" t="str">
        <f t="shared" si="37"/>
        <v/>
      </c>
      <c r="G8060" s="92"/>
      <c r="I8060">
        <v>7</v>
      </c>
      <c r="J8060" t="s">
        <v>26</v>
      </c>
      <c r="K8060" s="57"/>
      <c r="S8060" s="57"/>
      <c r="X8060" s="57"/>
    </row>
    <row r="8061" spans="1:24" hidden="1" x14ac:dyDescent="0.35">
      <c r="A8061">
        <v>8057</v>
      </c>
      <c r="B8061">
        <v>8058</v>
      </c>
      <c r="C8061">
        <v>146.098334214</v>
      </c>
      <c r="D8061">
        <v>-17.6190330547999</v>
      </c>
      <c r="E8061" s="92" t="str">
        <f t="shared" si="37"/>
        <v/>
      </c>
      <c r="G8061" s="92"/>
      <c r="I8061">
        <v>7</v>
      </c>
      <c r="J8061" t="s">
        <v>26</v>
      </c>
      <c r="K8061" s="57"/>
      <c r="S8061" s="57"/>
      <c r="X8061" s="57"/>
    </row>
    <row r="8062" spans="1:24" hidden="1" x14ac:dyDescent="0.35">
      <c r="A8062">
        <v>8058</v>
      </c>
      <c r="B8062">
        <v>8059</v>
      </c>
      <c r="C8062">
        <v>146.09835990299899</v>
      </c>
      <c r="D8062">
        <v>-17.618951013</v>
      </c>
      <c r="E8062" s="92" t="str">
        <f t="shared" si="37"/>
        <v/>
      </c>
      <c r="G8062" s="92"/>
      <c r="I8062">
        <v>7</v>
      </c>
      <c r="J8062" t="s">
        <v>26</v>
      </c>
      <c r="K8062" s="57"/>
      <c r="S8062" s="57"/>
      <c r="X8062" s="57"/>
    </row>
    <row r="8063" spans="1:24" hidden="1" x14ac:dyDescent="0.35">
      <c r="A8063">
        <v>8059</v>
      </c>
      <c r="B8063">
        <v>8060</v>
      </c>
      <c r="C8063">
        <v>146.09838559299899</v>
      </c>
      <c r="D8063">
        <v>-17.618868971000001</v>
      </c>
      <c r="E8063" s="92">
        <f t="shared" si="37"/>
        <v>50</v>
      </c>
      <c r="G8063" s="92"/>
      <c r="I8063">
        <v>7</v>
      </c>
      <c r="J8063" t="s">
        <v>26</v>
      </c>
      <c r="K8063" s="57"/>
      <c r="S8063" s="57"/>
      <c r="X8063" s="57"/>
    </row>
    <row r="8064" spans="1:24" hidden="1" x14ac:dyDescent="0.35">
      <c r="A8064">
        <v>8060</v>
      </c>
      <c r="B8064">
        <v>8061</v>
      </c>
      <c r="C8064">
        <v>146.09841035900001</v>
      </c>
      <c r="D8064">
        <v>-17.6187867505</v>
      </c>
      <c r="E8064" s="92" t="str">
        <f t="shared" si="37"/>
        <v/>
      </c>
      <c r="G8064" s="92"/>
      <c r="I8064">
        <v>7</v>
      </c>
      <c r="J8064" t="s">
        <v>26</v>
      </c>
      <c r="K8064" s="57"/>
      <c r="S8064" s="57"/>
      <c r="X8064" s="57"/>
    </row>
    <row r="8065" spans="1:24" hidden="1" x14ac:dyDescent="0.35">
      <c r="A8065">
        <v>8061</v>
      </c>
      <c r="B8065">
        <v>8062</v>
      </c>
      <c r="C8065">
        <v>146.098420226999</v>
      </c>
      <c r="D8065">
        <v>-17.618701650999899</v>
      </c>
      <c r="E8065" s="92" t="str">
        <f t="shared" si="37"/>
        <v/>
      </c>
      <c r="G8065" s="92"/>
      <c r="I8065">
        <v>7</v>
      </c>
      <c r="J8065" t="s">
        <v>26</v>
      </c>
      <c r="K8065" s="57"/>
      <c r="S8065" s="57"/>
      <c r="X8065" s="57"/>
    </row>
    <row r="8066" spans="1:24" hidden="1" x14ac:dyDescent="0.35">
      <c r="A8066">
        <v>8062</v>
      </c>
      <c r="B8066">
        <v>8063</v>
      </c>
      <c r="C8066">
        <v>146.09843009599899</v>
      </c>
      <c r="D8066">
        <v>-17.618616551500001</v>
      </c>
      <c r="E8066" s="92" t="str">
        <f t="shared" si="37"/>
        <v/>
      </c>
      <c r="G8066" s="92"/>
      <c r="I8066">
        <v>7</v>
      </c>
      <c r="J8066" t="s">
        <v>26</v>
      </c>
      <c r="K8066" s="57"/>
      <c r="S8066" s="57"/>
      <c r="X8066" s="57"/>
    </row>
    <row r="8067" spans="1:24" hidden="1" x14ac:dyDescent="0.35">
      <c r="A8067">
        <v>8063</v>
      </c>
      <c r="B8067">
        <v>8064</v>
      </c>
      <c r="C8067">
        <v>146.09843996500001</v>
      </c>
      <c r="D8067">
        <v>-17.6185314519999</v>
      </c>
      <c r="E8067" s="92" t="str">
        <f t="shared" si="37"/>
        <v/>
      </c>
      <c r="G8067" s="92"/>
      <c r="I8067">
        <v>7</v>
      </c>
      <c r="J8067" t="s">
        <v>26</v>
      </c>
      <c r="K8067" s="57"/>
      <c r="S8067" s="57"/>
      <c r="X8067" s="57"/>
    </row>
    <row r="8068" spans="1:24" hidden="1" x14ac:dyDescent="0.35">
      <c r="A8068">
        <v>8064</v>
      </c>
      <c r="B8068">
        <v>8065</v>
      </c>
      <c r="C8068">
        <v>146.098443320999</v>
      </c>
      <c r="D8068">
        <v>-17.6184461886</v>
      </c>
      <c r="E8068" s="92">
        <f t="shared" si="37"/>
        <v>50</v>
      </c>
      <c r="G8068" s="92"/>
      <c r="I8068">
        <v>7</v>
      </c>
      <c r="J8068" t="s">
        <v>26</v>
      </c>
      <c r="K8068" s="57"/>
      <c r="S8068" s="57"/>
      <c r="X8068" s="57"/>
    </row>
    <row r="8069" spans="1:24" hidden="1" x14ac:dyDescent="0.35">
      <c r="A8069">
        <v>8065</v>
      </c>
      <c r="B8069">
        <v>8066</v>
      </c>
      <c r="C8069">
        <v>146.09843817500001</v>
      </c>
      <c r="D8069">
        <v>-17.6183607112999</v>
      </c>
      <c r="E8069" s="92" t="str">
        <f t="shared" si="37"/>
        <v/>
      </c>
      <c r="G8069" s="92"/>
      <c r="I8069">
        <v>7</v>
      </c>
      <c r="J8069" t="s">
        <v>26</v>
      </c>
      <c r="K8069" s="57"/>
      <c r="S8069" s="57"/>
      <c r="X8069" s="57"/>
    </row>
    <row r="8070" spans="1:24" hidden="1" x14ac:dyDescent="0.35">
      <c r="A8070">
        <v>8066</v>
      </c>
      <c r="B8070">
        <v>8067</v>
      </c>
      <c r="C8070">
        <v>146.098433029999</v>
      </c>
      <c r="D8070">
        <v>-17.6182752339</v>
      </c>
      <c r="E8070" s="92" t="str">
        <f t="shared" si="37"/>
        <v/>
      </c>
      <c r="G8070" s="92"/>
      <c r="I8070">
        <v>7</v>
      </c>
      <c r="J8070" t="s">
        <v>26</v>
      </c>
      <c r="K8070" s="57"/>
      <c r="S8070" s="57"/>
      <c r="X8070" s="57"/>
    </row>
    <row r="8071" spans="1:24" hidden="1" x14ac:dyDescent="0.35">
      <c r="A8071">
        <v>8067</v>
      </c>
      <c r="B8071">
        <v>8068</v>
      </c>
      <c r="C8071">
        <v>146.098388008999</v>
      </c>
      <c r="D8071">
        <v>-17.6182014195</v>
      </c>
      <c r="E8071" s="92" t="str">
        <f t="shared" si="37"/>
        <v/>
      </c>
      <c r="G8071" s="92"/>
      <c r="I8071">
        <v>7</v>
      </c>
      <c r="J8071" t="s">
        <v>26</v>
      </c>
      <c r="K8071" s="57"/>
      <c r="S8071" s="57"/>
      <c r="X8071" s="57"/>
    </row>
    <row r="8072" spans="1:24" hidden="1" x14ac:dyDescent="0.35">
      <c r="A8072">
        <v>8068</v>
      </c>
      <c r="B8072">
        <v>8069</v>
      </c>
      <c r="C8072">
        <v>146.09834196200001</v>
      </c>
      <c r="D8072">
        <v>-17.618127905200001</v>
      </c>
      <c r="E8072" s="92" t="str">
        <f t="shared" si="37"/>
        <v/>
      </c>
      <c r="G8072" s="92"/>
      <c r="I8072">
        <v>7</v>
      </c>
      <c r="J8072" t="s">
        <v>26</v>
      </c>
      <c r="K8072" s="57"/>
      <c r="S8072" s="57"/>
      <c r="X8072" s="57"/>
    </row>
    <row r="8073" spans="1:24" hidden="1" x14ac:dyDescent="0.35">
      <c r="A8073">
        <v>8069</v>
      </c>
      <c r="B8073">
        <v>8070</v>
      </c>
      <c r="C8073">
        <v>146.098283476999</v>
      </c>
      <c r="D8073">
        <v>-17.618065227700001</v>
      </c>
      <c r="E8073" s="92">
        <f t="shared" si="37"/>
        <v>50</v>
      </c>
      <c r="G8073" s="92"/>
      <c r="I8073">
        <v>7</v>
      </c>
      <c r="J8073" t="s">
        <v>26</v>
      </c>
      <c r="K8073" s="57"/>
      <c r="S8073" s="57"/>
      <c r="X8073" s="57"/>
    </row>
    <row r="8074" spans="1:24" hidden="1" x14ac:dyDescent="0.35">
      <c r="A8074">
        <v>8070</v>
      </c>
      <c r="B8074">
        <v>8071</v>
      </c>
      <c r="C8074">
        <v>146.09821077999899</v>
      </c>
      <c r="D8074">
        <v>-17.6180149304999</v>
      </c>
      <c r="E8074" s="92" t="str">
        <f t="shared" si="37"/>
        <v/>
      </c>
      <c r="G8074" s="92"/>
      <c r="I8074">
        <v>7</v>
      </c>
      <c r="J8074" t="s">
        <v>26</v>
      </c>
      <c r="K8074" s="57"/>
      <c r="S8074" s="57"/>
      <c r="X8074" s="57"/>
    </row>
    <row r="8075" spans="1:24" hidden="1" x14ac:dyDescent="0.35">
      <c r="A8075">
        <v>8071</v>
      </c>
      <c r="B8075">
        <v>8072</v>
      </c>
      <c r="C8075">
        <v>146.098138083999</v>
      </c>
      <c r="D8075">
        <v>-17.617964633300002</v>
      </c>
      <c r="E8075" s="92" t="str">
        <f t="shared" si="37"/>
        <v/>
      </c>
      <c r="G8075" s="92"/>
      <c r="I8075">
        <v>7</v>
      </c>
      <c r="J8075" t="s">
        <v>26</v>
      </c>
      <c r="K8075" s="57"/>
      <c r="S8075" s="57"/>
      <c r="X8075" s="57"/>
    </row>
    <row r="8076" spans="1:24" hidden="1" x14ac:dyDescent="0.35">
      <c r="A8076">
        <v>8072</v>
      </c>
      <c r="B8076">
        <v>8073</v>
      </c>
      <c r="C8076">
        <v>146.09806479400001</v>
      </c>
      <c r="D8076">
        <v>-17.617915170100002</v>
      </c>
      <c r="E8076" s="92" t="str">
        <f t="shared" si="37"/>
        <v/>
      </c>
      <c r="G8076" s="92"/>
      <c r="I8076">
        <v>7</v>
      </c>
      <c r="J8076" t="s">
        <v>26</v>
      </c>
      <c r="K8076" s="57"/>
      <c r="S8076" s="57"/>
      <c r="X8076" s="57"/>
    </row>
    <row r="8077" spans="1:24" hidden="1" x14ac:dyDescent="0.35">
      <c r="A8077">
        <v>8073</v>
      </c>
      <c r="B8077">
        <v>8074</v>
      </c>
      <c r="C8077">
        <v>146.09798882800001</v>
      </c>
      <c r="D8077">
        <v>-17.617869473700001</v>
      </c>
      <c r="E8077" s="92" t="str">
        <f t="shared" si="37"/>
        <v/>
      </c>
      <c r="G8077" s="92"/>
      <c r="I8077">
        <v>7</v>
      </c>
      <c r="J8077" t="s">
        <v>26</v>
      </c>
      <c r="K8077" s="57"/>
      <c r="S8077" s="57"/>
      <c r="X8077" s="57"/>
    </row>
    <row r="8078" spans="1:24" hidden="1" x14ac:dyDescent="0.35">
      <c r="A8078">
        <v>8074</v>
      </c>
      <c r="B8078">
        <v>8075</v>
      </c>
      <c r="C8078">
        <v>146.097912860999</v>
      </c>
      <c r="D8078">
        <v>-17.617823777200002</v>
      </c>
      <c r="E8078" s="92">
        <f t="shared" si="37"/>
        <v>50</v>
      </c>
      <c r="G8078" s="92"/>
      <c r="I8078">
        <v>7</v>
      </c>
      <c r="J8078" t="s">
        <v>26</v>
      </c>
      <c r="K8078" s="57"/>
      <c r="S8078" s="57"/>
      <c r="X8078" s="57"/>
    </row>
    <row r="8079" spans="1:24" hidden="1" x14ac:dyDescent="0.35">
      <c r="A8079">
        <v>8075</v>
      </c>
      <c r="B8079">
        <v>8076</v>
      </c>
      <c r="C8079">
        <v>146.097839227999</v>
      </c>
      <c r="D8079">
        <v>-17.617774848500002</v>
      </c>
      <c r="E8079" s="92" t="str">
        <f t="shared" si="37"/>
        <v/>
      </c>
      <c r="G8079" s="92"/>
      <c r="I8079">
        <v>7</v>
      </c>
      <c r="J8079" t="s">
        <v>26</v>
      </c>
      <c r="K8079" s="57"/>
      <c r="S8079" s="57"/>
      <c r="X8079" s="57"/>
    </row>
    <row r="8080" spans="1:24" hidden="1" x14ac:dyDescent="0.35">
      <c r="A8080">
        <v>8076</v>
      </c>
      <c r="B8080">
        <v>8077</v>
      </c>
      <c r="C8080">
        <v>146.097767320999</v>
      </c>
      <c r="D8080">
        <v>-17.617723531100001</v>
      </c>
      <c r="E8080" s="92" t="str">
        <f t="shared" ref="E8080:E8143" si="38">IF(MOD(B8080,5)=0, 50, "")</f>
        <v/>
      </c>
      <c r="G8080" s="92"/>
      <c r="I8080">
        <v>7</v>
      </c>
      <c r="J8080" t="s">
        <v>26</v>
      </c>
      <c r="K8080" s="57"/>
      <c r="S8080" s="57"/>
      <c r="X8080" s="57"/>
    </row>
    <row r="8081" spans="1:24" hidden="1" x14ac:dyDescent="0.35">
      <c r="A8081">
        <v>8077</v>
      </c>
      <c r="B8081">
        <v>8078</v>
      </c>
      <c r="C8081">
        <v>146.09769541399899</v>
      </c>
      <c r="D8081">
        <v>-17.617672213700001</v>
      </c>
      <c r="E8081" s="92" t="str">
        <f t="shared" si="38"/>
        <v/>
      </c>
      <c r="G8081" s="92"/>
      <c r="I8081">
        <v>7</v>
      </c>
      <c r="J8081" t="s">
        <v>26</v>
      </c>
      <c r="K8081" s="57"/>
      <c r="S8081" s="57"/>
      <c r="X8081" s="57"/>
    </row>
    <row r="8082" spans="1:24" hidden="1" x14ac:dyDescent="0.35">
      <c r="A8082">
        <v>8078</v>
      </c>
      <c r="B8082">
        <v>8079</v>
      </c>
      <c r="C8082">
        <v>146.097623505999</v>
      </c>
      <c r="D8082">
        <v>-17.6176208963</v>
      </c>
      <c r="E8082" s="92" t="str">
        <f t="shared" si="38"/>
        <v/>
      </c>
      <c r="G8082" s="92"/>
      <c r="I8082">
        <v>7</v>
      </c>
      <c r="J8082" t="s">
        <v>26</v>
      </c>
      <c r="K8082" s="57"/>
      <c r="S8082" s="57"/>
      <c r="X8082" s="57"/>
    </row>
    <row r="8083" spans="1:24" hidden="1" x14ac:dyDescent="0.35">
      <c r="A8083">
        <v>8079</v>
      </c>
      <c r="B8083">
        <v>8080</v>
      </c>
      <c r="C8083">
        <v>146.09755159900001</v>
      </c>
      <c r="D8083">
        <v>-17.6175695789</v>
      </c>
      <c r="E8083" s="92">
        <f t="shared" si="38"/>
        <v>50</v>
      </c>
      <c r="G8083" s="92"/>
      <c r="I8083">
        <v>7</v>
      </c>
      <c r="J8083" t="s">
        <v>26</v>
      </c>
      <c r="K8083" s="57"/>
      <c r="S8083" s="57"/>
      <c r="X8083" s="57"/>
    </row>
    <row r="8084" spans="1:24" hidden="1" x14ac:dyDescent="0.35">
      <c r="A8084">
        <v>8080</v>
      </c>
      <c r="B8084">
        <v>8081</v>
      </c>
      <c r="C8084">
        <v>146.097479593999</v>
      </c>
      <c r="D8084">
        <v>-17.617518387499899</v>
      </c>
      <c r="E8084" s="92" t="str">
        <f t="shared" si="38"/>
        <v/>
      </c>
      <c r="G8084" s="92"/>
      <c r="I8084">
        <v>7</v>
      </c>
      <c r="J8084" t="s">
        <v>26</v>
      </c>
      <c r="K8084" s="57"/>
      <c r="S8084" s="57"/>
      <c r="X8084" s="57"/>
    </row>
    <row r="8085" spans="1:24" hidden="1" x14ac:dyDescent="0.35">
      <c r="A8085">
        <v>8081</v>
      </c>
      <c r="B8085">
        <v>8082</v>
      </c>
      <c r="C8085">
        <v>146.097407097999</v>
      </c>
      <c r="D8085">
        <v>-17.617467828100001</v>
      </c>
      <c r="E8085" s="92" t="str">
        <f t="shared" si="38"/>
        <v/>
      </c>
      <c r="G8085" s="92"/>
      <c r="I8085">
        <v>7</v>
      </c>
      <c r="J8085" t="s">
        <v>26</v>
      </c>
      <c r="K8085" s="57"/>
      <c r="S8085" s="57"/>
      <c r="X8085" s="57"/>
    </row>
    <row r="8086" spans="1:24" hidden="1" x14ac:dyDescent="0.35">
      <c r="A8086">
        <v>8082</v>
      </c>
      <c r="B8086">
        <v>8083</v>
      </c>
      <c r="C8086">
        <v>146.09733460199899</v>
      </c>
      <c r="D8086">
        <v>-17.617417268699899</v>
      </c>
      <c r="E8086" s="92" t="str">
        <f t="shared" si="38"/>
        <v/>
      </c>
      <c r="G8086" s="92"/>
      <c r="I8086">
        <v>7</v>
      </c>
      <c r="J8086" t="s">
        <v>26</v>
      </c>
      <c r="K8086" s="57"/>
      <c r="S8086" s="57"/>
      <c r="X8086" s="57"/>
    </row>
    <row r="8087" spans="1:24" hidden="1" x14ac:dyDescent="0.35">
      <c r="A8087">
        <v>8083</v>
      </c>
      <c r="B8087">
        <v>8084</v>
      </c>
      <c r="C8087">
        <v>146.09727136199899</v>
      </c>
      <c r="D8087">
        <v>-17.6173567949999</v>
      </c>
      <c r="E8087" s="92" t="str">
        <f t="shared" si="38"/>
        <v/>
      </c>
      <c r="G8087" s="92"/>
      <c r="I8087">
        <v>7</v>
      </c>
      <c r="J8087" t="s">
        <v>26</v>
      </c>
      <c r="K8087" s="57"/>
      <c r="S8087" s="57"/>
      <c r="X8087" s="57"/>
    </row>
    <row r="8088" spans="1:24" hidden="1" x14ac:dyDescent="0.35">
      <c r="A8088">
        <v>8084</v>
      </c>
      <c r="B8088">
        <v>8085</v>
      </c>
      <c r="C8088">
        <v>146.097210249</v>
      </c>
      <c r="D8088">
        <v>-17.617294043000001</v>
      </c>
      <c r="E8088" s="92">
        <f t="shared" si="38"/>
        <v>50</v>
      </c>
      <c r="G8088" s="92"/>
      <c r="I8088">
        <v>7</v>
      </c>
      <c r="J8088" t="s">
        <v>26</v>
      </c>
      <c r="K8088" s="57"/>
      <c r="S8088" s="57"/>
      <c r="X8088" s="57"/>
    </row>
    <row r="8089" spans="1:24" hidden="1" x14ac:dyDescent="0.35">
      <c r="A8089">
        <v>8085</v>
      </c>
      <c r="B8089">
        <v>8086</v>
      </c>
      <c r="C8089">
        <v>146.09714913600001</v>
      </c>
      <c r="D8089">
        <v>-17.617231291</v>
      </c>
      <c r="E8089" s="92" t="str">
        <f t="shared" si="38"/>
        <v/>
      </c>
      <c r="G8089" s="92"/>
      <c r="I8089">
        <v>7</v>
      </c>
      <c r="J8089" t="s">
        <v>26</v>
      </c>
      <c r="K8089" s="57"/>
      <c r="S8089" s="57"/>
      <c r="X8089" s="57"/>
    </row>
    <row r="8090" spans="1:24" hidden="1" x14ac:dyDescent="0.35">
      <c r="A8090">
        <v>8086</v>
      </c>
      <c r="B8090">
        <v>8087</v>
      </c>
      <c r="C8090">
        <v>146.09709006099899</v>
      </c>
      <c r="D8090">
        <v>-17.617167084599899</v>
      </c>
      <c r="E8090" s="92" t="str">
        <f t="shared" si="38"/>
        <v/>
      </c>
      <c r="G8090" s="92"/>
      <c r="I8090">
        <v>7</v>
      </c>
      <c r="J8090" t="s">
        <v>26</v>
      </c>
      <c r="K8090" s="57"/>
      <c r="S8090" s="57"/>
      <c r="X8090" s="57"/>
    </row>
    <row r="8091" spans="1:24" hidden="1" x14ac:dyDescent="0.35">
      <c r="A8091">
        <v>8087</v>
      </c>
      <c r="B8091">
        <v>8088</v>
      </c>
      <c r="C8091">
        <v>146.097044119999</v>
      </c>
      <c r="D8091">
        <v>-17.617093509699899</v>
      </c>
      <c r="E8091" s="92" t="str">
        <f t="shared" si="38"/>
        <v/>
      </c>
      <c r="G8091" s="92"/>
      <c r="I8091">
        <v>7</v>
      </c>
      <c r="J8091" t="s">
        <v>26</v>
      </c>
      <c r="K8091" s="57"/>
      <c r="S8091" s="57"/>
      <c r="X8091" s="57"/>
    </row>
    <row r="8092" spans="1:24" hidden="1" x14ac:dyDescent="0.35">
      <c r="A8092">
        <v>8088</v>
      </c>
      <c r="B8092">
        <v>8089</v>
      </c>
      <c r="C8092">
        <v>146.096998178999</v>
      </c>
      <c r="D8092">
        <v>-17.617019934799899</v>
      </c>
      <c r="E8092" s="92" t="str">
        <f t="shared" si="38"/>
        <v/>
      </c>
      <c r="G8092" s="92"/>
      <c r="I8092">
        <v>7</v>
      </c>
      <c r="J8092" t="s">
        <v>26</v>
      </c>
      <c r="K8092" s="57"/>
      <c r="S8092" s="57"/>
      <c r="X8092" s="57"/>
    </row>
    <row r="8093" spans="1:24" hidden="1" x14ac:dyDescent="0.35">
      <c r="A8093">
        <v>8089</v>
      </c>
      <c r="B8093">
        <v>8090</v>
      </c>
      <c r="C8093">
        <v>146.096952238</v>
      </c>
      <c r="D8093">
        <v>-17.6169463598</v>
      </c>
      <c r="E8093" s="92">
        <f t="shared" si="38"/>
        <v>50</v>
      </c>
      <c r="G8093" s="92"/>
      <c r="I8093">
        <v>7</v>
      </c>
      <c r="J8093" t="s">
        <v>26</v>
      </c>
      <c r="K8093" s="57"/>
      <c r="S8093" s="57"/>
      <c r="X8093" s="57"/>
    </row>
    <row r="8094" spans="1:24" hidden="1" x14ac:dyDescent="0.35">
      <c r="A8094">
        <v>8090</v>
      </c>
      <c r="B8094">
        <v>8091</v>
      </c>
      <c r="C8094">
        <v>146.09693344300001</v>
      </c>
      <c r="D8094">
        <v>-17.616864263499899</v>
      </c>
      <c r="E8094" s="92" t="str">
        <f t="shared" si="38"/>
        <v/>
      </c>
      <c r="G8094" s="92"/>
      <c r="I8094">
        <v>7</v>
      </c>
      <c r="J8094" t="s">
        <v>26</v>
      </c>
      <c r="K8094" s="57"/>
      <c r="S8094" s="57"/>
      <c r="X8094" s="57"/>
    </row>
    <row r="8095" spans="1:24" hidden="1" x14ac:dyDescent="0.35">
      <c r="A8095">
        <v>8091</v>
      </c>
      <c r="B8095">
        <v>8092</v>
      </c>
      <c r="C8095">
        <v>146.09692451999899</v>
      </c>
      <c r="D8095">
        <v>-17.6167790684</v>
      </c>
      <c r="E8095" s="92" t="str">
        <f t="shared" si="38"/>
        <v/>
      </c>
      <c r="G8095" s="92"/>
      <c r="I8095">
        <v>7</v>
      </c>
      <c r="J8095" t="s">
        <v>26</v>
      </c>
      <c r="K8095" s="57"/>
      <c r="S8095" s="57"/>
      <c r="X8095" s="57"/>
    </row>
    <row r="8096" spans="1:24" hidden="1" x14ac:dyDescent="0.35">
      <c r="A8096">
        <v>8092</v>
      </c>
      <c r="B8096">
        <v>8093</v>
      </c>
      <c r="C8096">
        <v>146.096915596</v>
      </c>
      <c r="D8096">
        <v>-17.616693873300001</v>
      </c>
      <c r="E8096" s="92" t="str">
        <f t="shared" si="38"/>
        <v/>
      </c>
      <c r="G8096" s="92"/>
      <c r="I8096">
        <v>7</v>
      </c>
      <c r="J8096" t="s">
        <v>26</v>
      </c>
      <c r="K8096" s="57"/>
      <c r="S8096" s="57"/>
      <c r="X8096" s="57"/>
    </row>
    <row r="8097" spans="1:24" hidden="1" x14ac:dyDescent="0.35">
      <c r="A8097">
        <v>8093</v>
      </c>
      <c r="B8097">
        <v>8094</v>
      </c>
      <c r="C8097">
        <v>146.096925507999</v>
      </c>
      <c r="D8097">
        <v>-17.6166092433999</v>
      </c>
      <c r="E8097" s="92" t="str">
        <f t="shared" si="38"/>
        <v/>
      </c>
      <c r="G8097" s="92"/>
      <c r="I8097">
        <v>7</v>
      </c>
      <c r="J8097" t="s">
        <v>26</v>
      </c>
      <c r="K8097" s="57"/>
      <c r="S8097" s="57"/>
      <c r="X8097" s="57"/>
    </row>
    <row r="8098" spans="1:24" hidden="1" x14ac:dyDescent="0.35">
      <c r="A8098">
        <v>8094</v>
      </c>
      <c r="B8098">
        <v>8095</v>
      </c>
      <c r="C8098">
        <v>146.09694003800001</v>
      </c>
      <c r="D8098">
        <v>-17.616524752099899</v>
      </c>
      <c r="E8098" s="92">
        <f t="shared" si="38"/>
        <v>50</v>
      </c>
      <c r="G8098" s="92"/>
      <c r="I8098">
        <v>7</v>
      </c>
      <c r="J8098" t="s">
        <v>26</v>
      </c>
      <c r="K8098" s="57"/>
      <c r="S8098" s="57"/>
      <c r="X8098" s="57"/>
    </row>
    <row r="8099" spans="1:24" hidden="1" x14ac:dyDescent="0.35">
      <c r="A8099">
        <v>8095</v>
      </c>
      <c r="B8099">
        <v>8096</v>
      </c>
      <c r="C8099">
        <v>146.096983905999</v>
      </c>
      <c r="D8099">
        <v>-17.6164510059</v>
      </c>
      <c r="E8099" s="92" t="str">
        <f t="shared" si="38"/>
        <v/>
      </c>
      <c r="G8099" s="92"/>
      <c r="I8099">
        <v>7</v>
      </c>
      <c r="J8099" t="s">
        <v>26</v>
      </c>
      <c r="K8099" s="57"/>
      <c r="S8099" s="57"/>
      <c r="X8099" s="57"/>
    </row>
    <row r="8100" spans="1:24" hidden="1" x14ac:dyDescent="0.35">
      <c r="A8100">
        <v>8096</v>
      </c>
      <c r="B8100">
        <v>8097</v>
      </c>
      <c r="C8100">
        <v>146.097032479999</v>
      </c>
      <c r="D8100">
        <v>-17.616378983499899</v>
      </c>
      <c r="E8100" s="92" t="str">
        <f t="shared" si="38"/>
        <v/>
      </c>
      <c r="G8100" s="92"/>
      <c r="I8100">
        <v>7</v>
      </c>
      <c r="J8100" t="s">
        <v>26</v>
      </c>
      <c r="K8100" s="57"/>
      <c r="S8100" s="57"/>
      <c r="X8100" s="57"/>
    </row>
    <row r="8101" spans="1:24" hidden="1" x14ac:dyDescent="0.35">
      <c r="A8101">
        <v>8097</v>
      </c>
      <c r="B8101">
        <v>8098</v>
      </c>
      <c r="C8101">
        <v>146.09709601700001</v>
      </c>
      <c r="D8101">
        <v>-17.6163207687</v>
      </c>
      <c r="E8101" s="92" t="str">
        <f t="shared" si="38"/>
        <v/>
      </c>
      <c r="G8101" s="92"/>
      <c r="I8101">
        <v>7</v>
      </c>
      <c r="J8101" t="s">
        <v>26</v>
      </c>
      <c r="K8101" s="57"/>
      <c r="S8101" s="57"/>
      <c r="X8101" s="57"/>
    </row>
    <row r="8102" spans="1:24" hidden="1" x14ac:dyDescent="0.35">
      <c r="A8102">
        <v>8098</v>
      </c>
      <c r="B8102">
        <v>8099</v>
      </c>
      <c r="C8102">
        <v>146.097169973999</v>
      </c>
      <c r="D8102">
        <v>-17.6162721687</v>
      </c>
      <c r="E8102" s="92" t="str">
        <f t="shared" si="38"/>
        <v/>
      </c>
      <c r="G8102" s="92"/>
      <c r="I8102">
        <v>7</v>
      </c>
      <c r="J8102" t="s">
        <v>26</v>
      </c>
      <c r="K8102" s="57"/>
      <c r="S8102" s="57"/>
      <c r="X8102" s="57"/>
    </row>
    <row r="8103" spans="1:24" hidden="1" x14ac:dyDescent="0.35">
      <c r="A8103">
        <v>8099</v>
      </c>
      <c r="B8103">
        <v>8100</v>
      </c>
      <c r="C8103">
        <v>146.097246159999</v>
      </c>
      <c r="D8103">
        <v>-17.616228161199899</v>
      </c>
      <c r="E8103" s="92">
        <f t="shared" si="38"/>
        <v>50</v>
      </c>
      <c r="G8103" s="92"/>
      <c r="I8103">
        <v>7</v>
      </c>
      <c r="J8103" t="s">
        <v>26</v>
      </c>
      <c r="K8103" s="57"/>
      <c r="S8103" s="57"/>
      <c r="X8103" s="57"/>
    </row>
    <row r="8104" spans="1:24" hidden="1" x14ac:dyDescent="0.35">
      <c r="A8104">
        <v>8100</v>
      </c>
      <c r="B8104">
        <v>8101</v>
      </c>
      <c r="C8104">
        <v>146.09733290200001</v>
      </c>
      <c r="D8104">
        <v>-17.616205900800001</v>
      </c>
      <c r="E8104" s="92" t="str">
        <f t="shared" si="38"/>
        <v/>
      </c>
      <c r="G8104" s="92"/>
      <c r="I8104">
        <v>7</v>
      </c>
      <c r="J8104" t="s">
        <v>26</v>
      </c>
      <c r="K8104" s="57"/>
      <c r="S8104" s="57"/>
      <c r="X8104" s="57"/>
    </row>
    <row r="8105" spans="1:24" hidden="1" x14ac:dyDescent="0.35">
      <c r="A8105">
        <v>8101</v>
      </c>
      <c r="B8105">
        <v>8102</v>
      </c>
      <c r="C8105">
        <v>146.097419645</v>
      </c>
      <c r="D8105">
        <v>-17.616183640500001</v>
      </c>
      <c r="E8105" s="92" t="str">
        <f t="shared" si="38"/>
        <v/>
      </c>
      <c r="G8105" s="92"/>
      <c r="I8105">
        <v>7</v>
      </c>
      <c r="J8105" t="s">
        <v>26</v>
      </c>
      <c r="K8105" s="57"/>
      <c r="S8105" s="57"/>
      <c r="X8105" s="57"/>
    </row>
    <row r="8106" spans="1:24" hidden="1" x14ac:dyDescent="0.35">
      <c r="A8106">
        <v>8102</v>
      </c>
      <c r="B8106">
        <v>8103</v>
      </c>
      <c r="C8106">
        <v>146.09750638700001</v>
      </c>
      <c r="D8106">
        <v>-17.6161613800999</v>
      </c>
      <c r="E8106" s="92" t="str">
        <f t="shared" si="38"/>
        <v/>
      </c>
      <c r="G8106" s="92"/>
      <c r="I8106">
        <v>7</v>
      </c>
      <c r="J8106" t="s">
        <v>26</v>
      </c>
      <c r="K8106" s="57"/>
      <c r="S8106" s="57"/>
      <c r="X8106" s="57"/>
    </row>
    <row r="8107" spans="1:24" hidden="1" x14ac:dyDescent="0.35">
      <c r="A8107">
        <v>8103</v>
      </c>
      <c r="B8107">
        <v>8104</v>
      </c>
      <c r="C8107">
        <v>146.09759528000001</v>
      </c>
      <c r="D8107">
        <v>-17.616154911100001</v>
      </c>
      <c r="E8107" s="92" t="str">
        <f t="shared" si="38"/>
        <v/>
      </c>
      <c r="G8107" s="92"/>
      <c r="I8107">
        <v>7</v>
      </c>
      <c r="J8107" t="s">
        <v>26</v>
      </c>
      <c r="K8107" s="57"/>
      <c r="S8107" s="57"/>
      <c r="X8107" s="57"/>
    </row>
    <row r="8108" spans="1:24" hidden="1" x14ac:dyDescent="0.35">
      <c r="A8108">
        <v>8104</v>
      </c>
      <c r="B8108">
        <v>8105</v>
      </c>
      <c r="C8108">
        <v>146.097685111</v>
      </c>
      <c r="D8108">
        <v>-17.616155321600001</v>
      </c>
      <c r="E8108" s="92">
        <f t="shared" si="38"/>
        <v>50</v>
      </c>
      <c r="G8108" s="92"/>
      <c r="I8108">
        <v>7</v>
      </c>
      <c r="J8108" t="s">
        <v>26</v>
      </c>
      <c r="K8108" s="57"/>
      <c r="S8108" s="57"/>
      <c r="X8108" s="57"/>
    </row>
    <row r="8109" spans="1:24" hidden="1" x14ac:dyDescent="0.35">
      <c r="A8109">
        <v>8105</v>
      </c>
      <c r="B8109">
        <v>8106</v>
      </c>
      <c r="C8109">
        <v>146.09777494100001</v>
      </c>
      <c r="D8109">
        <v>-17.616155732100001</v>
      </c>
      <c r="E8109" s="92" t="str">
        <f t="shared" si="38"/>
        <v/>
      </c>
      <c r="G8109" s="92"/>
      <c r="I8109">
        <v>7</v>
      </c>
      <c r="J8109" t="s">
        <v>26</v>
      </c>
      <c r="K8109" s="57"/>
      <c r="S8109" s="57"/>
      <c r="X8109" s="57"/>
    </row>
    <row r="8110" spans="1:24" hidden="1" x14ac:dyDescent="0.35">
      <c r="A8110">
        <v>8106</v>
      </c>
      <c r="B8110">
        <v>8107</v>
      </c>
      <c r="C8110">
        <v>146.09786472299899</v>
      </c>
      <c r="D8110">
        <v>-17.616154338600001</v>
      </c>
      <c r="E8110" s="92" t="str">
        <f t="shared" si="38"/>
        <v/>
      </c>
      <c r="G8110" s="92"/>
      <c r="I8110">
        <v>7</v>
      </c>
      <c r="J8110" t="s">
        <v>26</v>
      </c>
      <c r="K8110" s="57"/>
      <c r="S8110" s="57"/>
      <c r="X8110" s="57"/>
    </row>
    <row r="8111" spans="1:24" hidden="1" x14ac:dyDescent="0.35">
      <c r="A8111">
        <v>8107</v>
      </c>
      <c r="B8111">
        <v>8108</v>
      </c>
      <c r="C8111">
        <v>146.09795441</v>
      </c>
      <c r="D8111">
        <v>-17.6161494842999</v>
      </c>
      <c r="E8111" s="92" t="str">
        <f t="shared" si="38"/>
        <v/>
      </c>
      <c r="G8111" s="92"/>
      <c r="I8111">
        <v>7</v>
      </c>
      <c r="J8111" t="s">
        <v>26</v>
      </c>
      <c r="K8111" s="57"/>
      <c r="S8111" s="57"/>
      <c r="X8111" s="57"/>
    </row>
    <row r="8112" spans="1:24" hidden="1" x14ac:dyDescent="0.35">
      <c r="A8112">
        <v>8108</v>
      </c>
      <c r="B8112">
        <v>8109</v>
      </c>
      <c r="C8112">
        <v>146.09804409700001</v>
      </c>
      <c r="D8112">
        <v>-17.616144630000001</v>
      </c>
      <c r="E8112" s="92" t="str">
        <f t="shared" si="38"/>
        <v/>
      </c>
      <c r="G8112" s="92"/>
      <c r="I8112">
        <v>7</v>
      </c>
      <c r="J8112" t="s">
        <v>26</v>
      </c>
      <c r="K8112" s="57"/>
      <c r="S8112" s="57"/>
      <c r="X8112" s="57"/>
    </row>
    <row r="8113" spans="1:24" hidden="1" x14ac:dyDescent="0.35">
      <c r="A8113">
        <v>8109</v>
      </c>
      <c r="B8113">
        <v>8110</v>
      </c>
      <c r="C8113">
        <v>146.098133783999</v>
      </c>
      <c r="D8113">
        <v>-17.616139775600001</v>
      </c>
      <c r="E8113" s="92">
        <f t="shared" si="38"/>
        <v>50</v>
      </c>
      <c r="G8113" s="92"/>
      <c r="I8113">
        <v>7</v>
      </c>
      <c r="J8113" t="s">
        <v>26</v>
      </c>
      <c r="K8113" s="57"/>
      <c r="S8113" s="57"/>
      <c r="X8113" s="57"/>
    </row>
    <row r="8114" spans="1:24" hidden="1" x14ac:dyDescent="0.35">
      <c r="A8114">
        <v>8110</v>
      </c>
      <c r="B8114">
        <v>8111</v>
      </c>
      <c r="C8114">
        <v>146.09822355700001</v>
      </c>
      <c r="D8114">
        <v>-17.616138083100001</v>
      </c>
      <c r="E8114" s="92" t="str">
        <f t="shared" si="38"/>
        <v/>
      </c>
      <c r="G8114" s="92"/>
      <c r="I8114">
        <v>7</v>
      </c>
      <c r="J8114" t="s">
        <v>26</v>
      </c>
      <c r="K8114" s="57"/>
      <c r="S8114" s="57"/>
      <c r="X8114" s="57"/>
    </row>
    <row r="8115" spans="1:24" hidden="1" x14ac:dyDescent="0.35">
      <c r="A8115">
        <v>8111</v>
      </c>
      <c r="B8115">
        <v>8112</v>
      </c>
      <c r="C8115">
        <v>146.098313386999</v>
      </c>
      <c r="D8115">
        <v>-17.6161384934999</v>
      </c>
      <c r="E8115" s="92" t="str">
        <f t="shared" si="38"/>
        <v/>
      </c>
      <c r="G8115" s="92"/>
      <c r="I8115">
        <v>7</v>
      </c>
      <c r="J8115" t="s">
        <v>26</v>
      </c>
      <c r="K8115" s="57"/>
      <c r="S8115" s="57"/>
      <c r="X8115" s="57"/>
    </row>
    <row r="8116" spans="1:24" hidden="1" x14ac:dyDescent="0.35">
      <c r="A8116">
        <v>8112</v>
      </c>
      <c r="B8116">
        <v>8113</v>
      </c>
      <c r="C8116">
        <v>146.09840321799899</v>
      </c>
      <c r="D8116">
        <v>-17.616138904</v>
      </c>
      <c r="E8116" s="92" t="str">
        <f t="shared" si="38"/>
        <v/>
      </c>
      <c r="G8116" s="92"/>
      <c r="I8116">
        <v>7</v>
      </c>
      <c r="J8116" t="s">
        <v>26</v>
      </c>
      <c r="K8116" s="57"/>
      <c r="S8116" s="57"/>
      <c r="X8116" s="57"/>
    </row>
    <row r="8117" spans="1:24" hidden="1" x14ac:dyDescent="0.35">
      <c r="A8117">
        <v>8113</v>
      </c>
      <c r="B8117">
        <v>8114</v>
      </c>
      <c r="C8117">
        <v>146.098493047999</v>
      </c>
      <c r="D8117">
        <v>-17.616139314400002</v>
      </c>
      <c r="E8117" s="92" t="str">
        <f t="shared" si="38"/>
        <v/>
      </c>
      <c r="G8117" s="92"/>
      <c r="I8117">
        <v>7</v>
      </c>
      <c r="J8117" t="s">
        <v>26</v>
      </c>
      <c r="K8117" s="57"/>
      <c r="S8117" s="57"/>
      <c r="X8117" s="57"/>
    </row>
    <row r="8118" spans="1:24" hidden="1" x14ac:dyDescent="0.35">
      <c r="A8118">
        <v>8114</v>
      </c>
      <c r="B8118">
        <v>8115</v>
      </c>
      <c r="C8118">
        <v>146.098582878999</v>
      </c>
      <c r="D8118">
        <v>-17.616139724899899</v>
      </c>
      <c r="E8118" s="92">
        <f t="shared" si="38"/>
        <v>50</v>
      </c>
      <c r="G8118" s="92"/>
      <c r="I8118">
        <v>7</v>
      </c>
      <c r="J8118" t="s">
        <v>26</v>
      </c>
      <c r="K8118" s="57"/>
      <c r="S8118" s="57"/>
      <c r="X8118" s="57"/>
    </row>
    <row r="8119" spans="1:24" hidden="1" x14ac:dyDescent="0.35">
      <c r="A8119">
        <v>8115</v>
      </c>
      <c r="B8119">
        <v>8116</v>
      </c>
      <c r="C8119">
        <v>146.098672679999</v>
      </c>
      <c r="D8119">
        <v>-17.6161391001</v>
      </c>
      <c r="E8119" s="92" t="str">
        <f t="shared" si="38"/>
        <v/>
      </c>
      <c r="G8119" s="92"/>
      <c r="I8119">
        <v>7</v>
      </c>
      <c r="J8119" t="s">
        <v>26</v>
      </c>
      <c r="K8119" s="57"/>
      <c r="S8119" s="57"/>
      <c r="X8119" s="57"/>
    </row>
    <row r="8120" spans="1:24" hidden="1" x14ac:dyDescent="0.35">
      <c r="A8120">
        <v>8116</v>
      </c>
      <c r="B8120">
        <v>8117</v>
      </c>
      <c r="C8120">
        <v>146.09876235300001</v>
      </c>
      <c r="D8120">
        <v>-17.616134021899899</v>
      </c>
      <c r="E8120" s="92" t="str">
        <f t="shared" si="38"/>
        <v/>
      </c>
      <c r="G8120" s="92"/>
      <c r="I8120">
        <v>7</v>
      </c>
      <c r="J8120" t="s">
        <v>26</v>
      </c>
      <c r="K8120" s="57"/>
      <c r="S8120" s="57"/>
      <c r="X8120" s="57"/>
    </row>
    <row r="8121" spans="1:24" hidden="1" x14ac:dyDescent="0.35">
      <c r="A8121">
        <v>8117</v>
      </c>
      <c r="B8121">
        <v>8118</v>
      </c>
      <c r="C8121">
        <v>146.098852026999</v>
      </c>
      <c r="D8121">
        <v>-17.6161289438</v>
      </c>
      <c r="E8121" s="92" t="str">
        <f t="shared" si="38"/>
        <v/>
      </c>
      <c r="G8121" s="92"/>
      <c r="I8121">
        <v>7</v>
      </c>
      <c r="J8121" t="s">
        <v>26</v>
      </c>
      <c r="K8121" s="57"/>
      <c r="S8121" s="57"/>
      <c r="X8121" s="57"/>
    </row>
    <row r="8122" spans="1:24" hidden="1" x14ac:dyDescent="0.35">
      <c r="A8122">
        <v>8118</v>
      </c>
      <c r="B8122">
        <v>8119</v>
      </c>
      <c r="C8122">
        <v>146.09894170000001</v>
      </c>
      <c r="D8122">
        <v>-17.616123865700001</v>
      </c>
      <c r="E8122" s="92" t="str">
        <f t="shared" si="38"/>
        <v/>
      </c>
      <c r="G8122" s="92"/>
      <c r="I8122">
        <v>7</v>
      </c>
      <c r="J8122" t="s">
        <v>26</v>
      </c>
      <c r="K8122" s="57"/>
      <c r="S8122" s="57"/>
      <c r="X8122" s="57"/>
    </row>
    <row r="8123" spans="1:24" hidden="1" x14ac:dyDescent="0.35">
      <c r="A8123">
        <v>8119</v>
      </c>
      <c r="B8123">
        <v>8120</v>
      </c>
      <c r="C8123">
        <v>146.09902838599899</v>
      </c>
      <c r="D8123">
        <v>-17.616104724500001</v>
      </c>
      <c r="E8123" s="92">
        <f t="shared" si="38"/>
        <v>50</v>
      </c>
      <c r="G8123" s="92"/>
      <c r="I8123">
        <v>7</v>
      </c>
      <c r="J8123" t="s">
        <v>26</v>
      </c>
      <c r="K8123" s="57"/>
      <c r="S8123" s="57"/>
      <c r="X8123" s="57"/>
    </row>
    <row r="8124" spans="1:24" hidden="1" x14ac:dyDescent="0.35">
      <c r="A8124">
        <v>8120</v>
      </c>
      <c r="B8124">
        <v>8121</v>
      </c>
      <c r="C8124">
        <v>146.099113068999</v>
      </c>
      <c r="D8124">
        <v>-17.6160761567</v>
      </c>
      <c r="E8124" s="92" t="str">
        <f t="shared" si="38"/>
        <v/>
      </c>
      <c r="G8124" s="92"/>
      <c r="I8124">
        <v>7</v>
      </c>
      <c r="J8124" t="s">
        <v>26</v>
      </c>
      <c r="K8124" s="57"/>
      <c r="S8124" s="57"/>
      <c r="X8124" s="57"/>
    </row>
    <row r="8125" spans="1:24" hidden="1" x14ac:dyDescent="0.35">
      <c r="A8125">
        <v>8121</v>
      </c>
      <c r="B8125">
        <v>8122</v>
      </c>
      <c r="C8125">
        <v>146.09919606700001</v>
      </c>
      <c r="D8125">
        <v>-17.6160439045</v>
      </c>
      <c r="E8125" s="92" t="str">
        <f t="shared" si="38"/>
        <v/>
      </c>
      <c r="G8125" s="92"/>
      <c r="I8125">
        <v>7</v>
      </c>
      <c r="J8125" t="s">
        <v>26</v>
      </c>
      <c r="K8125" s="57"/>
      <c r="S8125" s="57"/>
      <c r="X8125" s="57"/>
    </row>
    <row r="8126" spans="1:24" hidden="1" x14ac:dyDescent="0.35">
      <c r="A8126">
        <v>8122</v>
      </c>
      <c r="B8126">
        <v>8123</v>
      </c>
      <c r="C8126">
        <v>146.099275656</v>
      </c>
      <c r="D8126">
        <v>-17.616004199599899</v>
      </c>
      <c r="E8126" s="92" t="str">
        <f t="shared" si="38"/>
        <v/>
      </c>
      <c r="G8126" s="92"/>
      <c r="I8126">
        <v>7</v>
      </c>
      <c r="J8126" t="s">
        <v>26</v>
      </c>
      <c r="K8126" s="57"/>
      <c r="S8126" s="57"/>
      <c r="X8126" s="57"/>
    </row>
    <row r="8127" spans="1:24" hidden="1" x14ac:dyDescent="0.35">
      <c r="A8127">
        <v>8123</v>
      </c>
      <c r="B8127">
        <v>8124</v>
      </c>
      <c r="C8127">
        <v>146.099335365999</v>
      </c>
      <c r="D8127">
        <v>-17.615943133399899</v>
      </c>
      <c r="E8127" s="92" t="str">
        <f t="shared" si="38"/>
        <v/>
      </c>
      <c r="G8127" s="92"/>
      <c r="I8127">
        <v>7</v>
      </c>
      <c r="J8127" t="s">
        <v>26</v>
      </c>
      <c r="K8127" s="57"/>
      <c r="S8127" s="57"/>
      <c r="X8127" s="57"/>
    </row>
    <row r="8128" spans="1:24" hidden="1" x14ac:dyDescent="0.35">
      <c r="A8128">
        <v>8124</v>
      </c>
      <c r="B8128">
        <v>8125</v>
      </c>
      <c r="C8128">
        <v>146.099386232999</v>
      </c>
      <c r="D8128">
        <v>-17.6158725632</v>
      </c>
      <c r="E8128" s="92">
        <f t="shared" si="38"/>
        <v>50</v>
      </c>
      <c r="G8128" s="92"/>
      <c r="I8128">
        <v>7</v>
      </c>
      <c r="J8128" t="s">
        <v>26</v>
      </c>
      <c r="K8128" s="57"/>
      <c r="S8128" s="57"/>
      <c r="X8128" s="57"/>
    </row>
    <row r="8129" spans="1:24" hidden="1" x14ac:dyDescent="0.35">
      <c r="A8129">
        <v>8125</v>
      </c>
      <c r="B8129">
        <v>8126</v>
      </c>
      <c r="C8129">
        <v>146.099412997</v>
      </c>
      <c r="D8129">
        <v>-17.615791130400002</v>
      </c>
      <c r="E8129" s="92" t="str">
        <f t="shared" si="38"/>
        <v/>
      </c>
      <c r="G8129" s="92"/>
      <c r="I8129">
        <v>7</v>
      </c>
      <c r="J8129" t="s">
        <v>26</v>
      </c>
      <c r="K8129" s="57"/>
      <c r="S8129" s="57"/>
      <c r="X8129" s="57"/>
    </row>
    <row r="8130" spans="1:24" hidden="1" x14ac:dyDescent="0.35">
      <c r="A8130">
        <v>8126</v>
      </c>
      <c r="B8130">
        <v>8127</v>
      </c>
      <c r="C8130">
        <v>146.099426816999</v>
      </c>
      <c r="D8130">
        <v>-17.6157084903999</v>
      </c>
      <c r="E8130" s="92" t="str">
        <f t="shared" si="38"/>
        <v/>
      </c>
      <c r="G8130" s="92"/>
      <c r="I8130">
        <v>7</v>
      </c>
      <c r="J8130" t="s">
        <v>26</v>
      </c>
      <c r="K8130" s="57"/>
      <c r="S8130" s="57"/>
      <c r="X8130" s="57"/>
    </row>
    <row r="8131" spans="1:24" hidden="1" x14ac:dyDescent="0.35">
      <c r="A8131">
        <v>8127</v>
      </c>
      <c r="B8131">
        <v>8128</v>
      </c>
      <c r="C8131">
        <v>146.09940826100001</v>
      </c>
      <c r="D8131">
        <v>-17.615624717900001</v>
      </c>
      <c r="E8131" s="92" t="str">
        <f t="shared" si="38"/>
        <v/>
      </c>
      <c r="G8131" s="92"/>
      <c r="I8131">
        <v>7</v>
      </c>
      <c r="J8131" t="s">
        <v>26</v>
      </c>
      <c r="K8131" s="57"/>
      <c r="S8131" s="57"/>
      <c r="X8131" s="57"/>
    </row>
    <row r="8132" spans="1:24" hidden="1" x14ac:dyDescent="0.35">
      <c r="A8132">
        <v>8128</v>
      </c>
      <c r="B8132">
        <v>8129</v>
      </c>
      <c r="C8132">
        <v>146.09937652599899</v>
      </c>
      <c r="D8132">
        <v>-17.615546025099899</v>
      </c>
      <c r="E8132" s="92" t="str">
        <f t="shared" si="38"/>
        <v/>
      </c>
      <c r="G8132" s="92"/>
      <c r="I8132">
        <v>7</v>
      </c>
      <c r="J8132" t="s">
        <v>26</v>
      </c>
      <c r="K8132" s="57"/>
      <c r="S8132" s="57"/>
      <c r="X8132" s="57"/>
    </row>
    <row r="8133" spans="1:24" hidden="1" x14ac:dyDescent="0.35">
      <c r="A8133">
        <v>8129</v>
      </c>
      <c r="B8133">
        <v>8130</v>
      </c>
      <c r="C8133">
        <v>146.09932876400001</v>
      </c>
      <c r="D8133">
        <v>-17.615473510800001</v>
      </c>
      <c r="E8133" s="92">
        <f t="shared" si="38"/>
        <v>50</v>
      </c>
      <c r="G8133" s="92"/>
      <c r="I8133">
        <v>7</v>
      </c>
      <c r="J8133" t="s">
        <v>26</v>
      </c>
      <c r="K8133" s="57"/>
      <c r="S8133" s="57"/>
      <c r="X8133" s="57"/>
    </row>
    <row r="8134" spans="1:24" hidden="1" x14ac:dyDescent="0.35">
      <c r="A8134">
        <v>8130</v>
      </c>
      <c r="B8134">
        <v>8131</v>
      </c>
      <c r="C8134">
        <v>146.099272573999</v>
      </c>
      <c r="D8134">
        <v>-17.615408752699899</v>
      </c>
      <c r="E8134" s="92" t="str">
        <f t="shared" si="38"/>
        <v/>
      </c>
      <c r="G8134" s="92"/>
      <c r="I8134">
        <v>7</v>
      </c>
      <c r="J8134" t="s">
        <v>26</v>
      </c>
      <c r="K8134" s="57"/>
      <c r="S8134" s="57"/>
      <c r="X8134" s="57"/>
    </row>
    <row r="8135" spans="1:24" hidden="1" x14ac:dyDescent="0.35">
      <c r="A8135">
        <v>8131</v>
      </c>
      <c r="B8135">
        <v>8132</v>
      </c>
      <c r="C8135">
        <v>146.099198209999</v>
      </c>
      <c r="D8135">
        <v>-17.6153607201</v>
      </c>
      <c r="E8135" s="92" t="str">
        <f t="shared" si="38"/>
        <v/>
      </c>
      <c r="G8135" s="92"/>
      <c r="I8135">
        <v>7</v>
      </c>
      <c r="J8135" t="s">
        <v>26</v>
      </c>
      <c r="K8135" s="57"/>
      <c r="S8135" s="57"/>
      <c r="X8135" s="57"/>
    </row>
    <row r="8136" spans="1:24" hidden="1" x14ac:dyDescent="0.35">
      <c r="A8136">
        <v>8132</v>
      </c>
      <c r="B8136">
        <v>8133</v>
      </c>
      <c r="C8136">
        <v>146.099119693999</v>
      </c>
      <c r="D8136">
        <v>-17.615319164300001</v>
      </c>
      <c r="E8136" s="92" t="str">
        <f t="shared" si="38"/>
        <v/>
      </c>
      <c r="G8136" s="92"/>
      <c r="I8136">
        <v>7</v>
      </c>
      <c r="J8136" t="s">
        <v>26</v>
      </c>
      <c r="K8136" s="57"/>
      <c r="S8136" s="57"/>
      <c r="X8136" s="57"/>
    </row>
    <row r="8137" spans="1:24" hidden="1" x14ac:dyDescent="0.35">
      <c r="A8137">
        <v>8133</v>
      </c>
      <c r="B8137">
        <v>8134</v>
      </c>
      <c r="C8137">
        <v>146.09905888700001</v>
      </c>
      <c r="D8137">
        <v>-17.615257463500001</v>
      </c>
      <c r="E8137" s="92" t="str">
        <f t="shared" si="38"/>
        <v/>
      </c>
      <c r="G8137" s="92"/>
      <c r="I8137">
        <v>7</v>
      </c>
      <c r="J8137" t="s">
        <v>26</v>
      </c>
      <c r="K8137" s="57"/>
      <c r="S8137" s="57"/>
      <c r="X8137" s="57"/>
    </row>
    <row r="8138" spans="1:24" hidden="1" x14ac:dyDescent="0.35">
      <c r="A8138">
        <v>8134</v>
      </c>
      <c r="B8138">
        <v>8135</v>
      </c>
      <c r="C8138">
        <v>146.099026011999</v>
      </c>
      <c r="D8138">
        <v>-17.615179774200001</v>
      </c>
      <c r="E8138" s="92">
        <f t="shared" si="38"/>
        <v>50</v>
      </c>
      <c r="G8138" s="92"/>
      <c r="I8138">
        <v>7</v>
      </c>
      <c r="J8138" t="s">
        <v>26</v>
      </c>
      <c r="K8138" s="57"/>
      <c r="S8138" s="57"/>
      <c r="X8138" s="57"/>
    </row>
    <row r="8139" spans="1:24" hidden="1" x14ac:dyDescent="0.35">
      <c r="A8139">
        <v>8135</v>
      </c>
      <c r="B8139">
        <v>8136</v>
      </c>
      <c r="C8139">
        <v>146.09900267800001</v>
      </c>
      <c r="D8139">
        <v>-17.615097103499899</v>
      </c>
      <c r="E8139" s="92" t="str">
        <f t="shared" si="38"/>
        <v/>
      </c>
      <c r="G8139" s="92"/>
      <c r="I8139">
        <v>7</v>
      </c>
      <c r="J8139" t="s">
        <v>26</v>
      </c>
      <c r="K8139" s="57"/>
      <c r="S8139" s="57"/>
      <c r="X8139" s="57"/>
    </row>
    <row r="8140" spans="1:24" hidden="1" x14ac:dyDescent="0.35">
      <c r="A8140">
        <v>8136</v>
      </c>
      <c r="B8140">
        <v>8137</v>
      </c>
      <c r="C8140">
        <v>146.09894549699899</v>
      </c>
      <c r="D8140">
        <v>-17.615039486600001</v>
      </c>
      <c r="E8140" s="92" t="str">
        <f t="shared" si="38"/>
        <v/>
      </c>
      <c r="G8140" s="92"/>
      <c r="I8140">
        <v>7</v>
      </c>
      <c r="J8140" t="s">
        <v>26</v>
      </c>
      <c r="K8140" s="57"/>
      <c r="S8140" s="57"/>
      <c r="X8140" s="57"/>
    </row>
    <row r="8141" spans="1:24" hidden="1" x14ac:dyDescent="0.35">
      <c r="A8141">
        <v>8137</v>
      </c>
      <c r="B8141">
        <v>8138</v>
      </c>
      <c r="C8141">
        <v>146.098865015</v>
      </c>
      <c r="D8141">
        <v>-17.615004546000002</v>
      </c>
      <c r="E8141" s="92" t="str">
        <f t="shared" si="38"/>
        <v/>
      </c>
      <c r="G8141" s="92"/>
      <c r="I8141">
        <v>7</v>
      </c>
      <c r="J8141" t="s">
        <v>26</v>
      </c>
      <c r="K8141" s="57"/>
      <c r="S8141" s="57"/>
      <c r="X8141" s="57"/>
    </row>
    <row r="8142" spans="1:24" hidden="1" x14ac:dyDescent="0.35">
      <c r="A8142">
        <v>8138</v>
      </c>
      <c r="B8142">
        <v>8139</v>
      </c>
      <c r="C8142">
        <v>146.098775308999</v>
      </c>
      <c r="D8142">
        <v>-17.6150008259999</v>
      </c>
      <c r="E8142" s="92" t="str">
        <f t="shared" si="38"/>
        <v/>
      </c>
      <c r="G8142" s="92"/>
      <c r="I8142">
        <v>7</v>
      </c>
      <c r="J8142" t="s">
        <v>26</v>
      </c>
      <c r="K8142" s="57"/>
      <c r="S8142" s="57"/>
      <c r="X8142" s="57"/>
    </row>
    <row r="8143" spans="1:24" hidden="1" x14ac:dyDescent="0.35">
      <c r="A8143">
        <v>8139</v>
      </c>
      <c r="B8143">
        <v>8140</v>
      </c>
      <c r="C8143">
        <v>146.09873156800001</v>
      </c>
      <c r="D8143">
        <v>-17.614969217199899</v>
      </c>
      <c r="E8143" s="92">
        <f t="shared" si="38"/>
        <v>50</v>
      </c>
      <c r="G8143" s="92"/>
      <c r="I8143">
        <v>7</v>
      </c>
      <c r="J8143" t="s">
        <v>26</v>
      </c>
      <c r="K8143" s="57"/>
      <c r="S8143" s="57"/>
      <c r="X8143" s="57"/>
    </row>
    <row r="8144" spans="1:24" hidden="1" x14ac:dyDescent="0.35">
      <c r="A8144">
        <v>8140</v>
      </c>
      <c r="B8144">
        <v>8141</v>
      </c>
      <c r="C8144">
        <v>146.09879276999899</v>
      </c>
      <c r="D8144">
        <v>-17.6149065428</v>
      </c>
      <c r="E8144" s="92" t="str">
        <f t="shared" ref="E8144:E8207" si="39">IF(MOD(B8144,5)=0, 50, "")</f>
        <v/>
      </c>
      <c r="G8144" s="92"/>
      <c r="I8144">
        <v>7</v>
      </c>
      <c r="J8144" t="s">
        <v>26</v>
      </c>
      <c r="K8144" s="57"/>
      <c r="S8144" s="57"/>
      <c r="X8144" s="57"/>
    </row>
    <row r="8145" spans="1:24" hidden="1" x14ac:dyDescent="0.35">
      <c r="A8145">
        <v>8141</v>
      </c>
      <c r="B8145">
        <v>8142</v>
      </c>
      <c r="C8145">
        <v>146.09885397100001</v>
      </c>
      <c r="D8145">
        <v>-17.6148438682999</v>
      </c>
      <c r="E8145" s="92" t="str">
        <f t="shared" si="39"/>
        <v/>
      </c>
      <c r="G8145" s="92"/>
      <c r="I8145">
        <v>7</v>
      </c>
      <c r="J8145" t="s">
        <v>26</v>
      </c>
      <c r="K8145" s="57"/>
      <c r="S8145" s="57"/>
      <c r="X8145" s="57"/>
    </row>
    <row r="8146" spans="1:24" hidden="1" x14ac:dyDescent="0.35">
      <c r="A8146">
        <v>8142</v>
      </c>
      <c r="B8146">
        <v>8143</v>
      </c>
      <c r="C8146">
        <v>146.098915519</v>
      </c>
      <c r="D8146">
        <v>-17.614781506500002</v>
      </c>
      <c r="E8146" s="92" t="str">
        <f t="shared" si="39"/>
        <v/>
      </c>
      <c r="G8146" s="92"/>
      <c r="I8146">
        <v>7</v>
      </c>
      <c r="J8146" t="s">
        <v>26</v>
      </c>
      <c r="K8146" s="57"/>
      <c r="S8146" s="57"/>
      <c r="X8146" s="57"/>
    </row>
    <row r="8147" spans="1:24" hidden="1" x14ac:dyDescent="0.35">
      <c r="A8147">
        <v>8143</v>
      </c>
      <c r="B8147">
        <v>8144</v>
      </c>
      <c r="C8147">
        <v>146.09897778499899</v>
      </c>
      <c r="D8147">
        <v>-17.614719791300001</v>
      </c>
      <c r="E8147" s="92" t="str">
        <f t="shared" si="39"/>
        <v/>
      </c>
      <c r="G8147" s="92"/>
      <c r="I8147">
        <v>7</v>
      </c>
      <c r="J8147" t="s">
        <v>26</v>
      </c>
      <c r="K8147" s="57"/>
      <c r="S8147" s="57"/>
      <c r="X8147" s="57"/>
    </row>
    <row r="8148" spans="1:24" hidden="1" x14ac:dyDescent="0.35">
      <c r="A8148">
        <v>8144</v>
      </c>
      <c r="B8148">
        <v>8145</v>
      </c>
      <c r="C8148">
        <v>146.09904005000001</v>
      </c>
      <c r="D8148">
        <v>-17.614658076000001</v>
      </c>
      <c r="E8148" s="92">
        <f t="shared" si="39"/>
        <v>50</v>
      </c>
      <c r="G8148" s="92"/>
      <c r="I8148">
        <v>7</v>
      </c>
      <c r="J8148" t="s">
        <v>26</v>
      </c>
      <c r="K8148" s="57"/>
      <c r="S8148" s="57"/>
      <c r="X8148" s="57"/>
    </row>
    <row r="8149" spans="1:24" hidden="1" x14ac:dyDescent="0.35">
      <c r="A8149">
        <v>8145</v>
      </c>
      <c r="B8149">
        <v>8146</v>
      </c>
      <c r="C8149">
        <v>146.09909399399899</v>
      </c>
      <c r="D8149">
        <v>-17.614589824900001</v>
      </c>
      <c r="E8149" s="92" t="str">
        <f t="shared" si="39"/>
        <v/>
      </c>
      <c r="G8149" s="92"/>
      <c r="I8149">
        <v>7</v>
      </c>
      <c r="J8149" t="s">
        <v>26</v>
      </c>
      <c r="K8149" s="57"/>
      <c r="S8149" s="57"/>
      <c r="X8149" s="57"/>
    </row>
    <row r="8150" spans="1:24" hidden="1" x14ac:dyDescent="0.35">
      <c r="A8150">
        <v>8146</v>
      </c>
      <c r="B8150">
        <v>8147</v>
      </c>
      <c r="C8150">
        <v>146.099142763</v>
      </c>
      <c r="D8150">
        <v>-17.614517934799899</v>
      </c>
      <c r="E8150" s="92" t="str">
        <f t="shared" si="39"/>
        <v/>
      </c>
      <c r="G8150" s="92"/>
      <c r="I8150">
        <v>7</v>
      </c>
      <c r="J8150" t="s">
        <v>26</v>
      </c>
      <c r="K8150" s="57"/>
      <c r="S8150" s="57"/>
      <c r="X8150" s="57"/>
    </row>
    <row r="8151" spans="1:24" hidden="1" x14ac:dyDescent="0.35">
      <c r="A8151">
        <v>8147</v>
      </c>
      <c r="B8151">
        <v>8148</v>
      </c>
      <c r="C8151">
        <v>146.09919102200001</v>
      </c>
      <c r="D8151">
        <v>-17.6144457197999</v>
      </c>
      <c r="E8151" s="92" t="str">
        <f t="shared" si="39"/>
        <v/>
      </c>
      <c r="G8151" s="92"/>
      <c r="I8151">
        <v>7</v>
      </c>
      <c r="J8151" t="s">
        <v>26</v>
      </c>
      <c r="K8151" s="57"/>
      <c r="S8151" s="57"/>
      <c r="X8151" s="57"/>
    </row>
    <row r="8152" spans="1:24" hidden="1" x14ac:dyDescent="0.35">
      <c r="A8152">
        <v>8148</v>
      </c>
      <c r="B8152">
        <v>8149</v>
      </c>
      <c r="C8152">
        <v>146.09923928200001</v>
      </c>
      <c r="D8152">
        <v>-17.614373504700001</v>
      </c>
      <c r="E8152" s="92" t="str">
        <f t="shared" si="39"/>
        <v/>
      </c>
      <c r="G8152" s="92"/>
      <c r="I8152">
        <v>7</v>
      </c>
      <c r="J8152" t="s">
        <v>26</v>
      </c>
      <c r="K8152" s="57"/>
      <c r="S8152" s="57"/>
      <c r="X8152" s="57"/>
    </row>
    <row r="8153" spans="1:24" hidden="1" x14ac:dyDescent="0.35">
      <c r="A8153">
        <v>8149</v>
      </c>
      <c r="B8153">
        <v>8150</v>
      </c>
      <c r="C8153">
        <v>146.09928959000001</v>
      </c>
      <c r="D8153">
        <v>-17.6143028587</v>
      </c>
      <c r="E8153" s="92">
        <f t="shared" si="39"/>
        <v>50</v>
      </c>
      <c r="G8153" s="92"/>
      <c r="I8153">
        <v>7</v>
      </c>
      <c r="J8153" t="s">
        <v>26</v>
      </c>
      <c r="K8153" s="57"/>
      <c r="S8153" s="57"/>
      <c r="X8153" s="57"/>
    </row>
    <row r="8154" spans="1:24" hidden="1" x14ac:dyDescent="0.35">
      <c r="A8154">
        <v>8150</v>
      </c>
      <c r="B8154">
        <v>8151</v>
      </c>
      <c r="C8154">
        <v>146.099353218</v>
      </c>
      <c r="D8154">
        <v>-17.614242419299899</v>
      </c>
      <c r="E8154" s="92" t="str">
        <f t="shared" si="39"/>
        <v/>
      </c>
      <c r="G8154" s="92"/>
      <c r="I8154">
        <v>7</v>
      </c>
      <c r="J8154" t="s">
        <v>26</v>
      </c>
      <c r="K8154" s="57"/>
      <c r="S8154" s="57"/>
      <c r="X8154" s="57"/>
    </row>
    <row r="8155" spans="1:24" hidden="1" x14ac:dyDescent="0.35">
      <c r="A8155">
        <v>8151</v>
      </c>
      <c r="B8155">
        <v>8152</v>
      </c>
      <c r="C8155">
        <v>146.099416845999</v>
      </c>
      <c r="D8155">
        <v>-17.6141819799</v>
      </c>
      <c r="E8155" s="92" t="str">
        <f t="shared" si="39"/>
        <v/>
      </c>
      <c r="G8155" s="92"/>
      <c r="I8155">
        <v>7</v>
      </c>
      <c r="J8155" t="s">
        <v>26</v>
      </c>
      <c r="K8155" s="57"/>
      <c r="S8155" s="57"/>
      <c r="X8155" s="57"/>
    </row>
    <row r="8156" spans="1:24" hidden="1" x14ac:dyDescent="0.35">
      <c r="A8156">
        <v>8152</v>
      </c>
      <c r="B8156">
        <v>8153</v>
      </c>
      <c r="C8156">
        <v>146.099492088999</v>
      </c>
      <c r="D8156">
        <v>-17.6141374607</v>
      </c>
      <c r="E8156" s="92" t="str">
        <f t="shared" si="39"/>
        <v/>
      </c>
      <c r="G8156" s="92"/>
      <c r="I8156">
        <v>7</v>
      </c>
      <c r="J8156" t="s">
        <v>26</v>
      </c>
      <c r="K8156" s="57"/>
      <c r="S8156" s="57"/>
      <c r="X8156" s="57"/>
    </row>
    <row r="8157" spans="1:24" hidden="1" x14ac:dyDescent="0.35">
      <c r="A8157">
        <v>8153</v>
      </c>
      <c r="B8157">
        <v>8154</v>
      </c>
      <c r="C8157">
        <v>146.09957368600001</v>
      </c>
      <c r="D8157">
        <v>-17.6141016507</v>
      </c>
      <c r="E8157" s="92" t="str">
        <f t="shared" si="39"/>
        <v/>
      </c>
      <c r="G8157" s="92"/>
      <c r="I8157">
        <v>7</v>
      </c>
      <c r="J8157" t="s">
        <v>26</v>
      </c>
      <c r="K8157" s="57"/>
      <c r="S8157" s="57"/>
      <c r="X8157" s="57"/>
    </row>
    <row r="8158" spans="1:24" hidden="1" x14ac:dyDescent="0.35">
      <c r="A8158">
        <v>8154</v>
      </c>
      <c r="B8158">
        <v>8155</v>
      </c>
      <c r="C8158">
        <v>146.099655283999</v>
      </c>
      <c r="D8158">
        <v>-17.614065840799899</v>
      </c>
      <c r="E8158" s="92">
        <f t="shared" si="39"/>
        <v>50</v>
      </c>
      <c r="G8158" s="92"/>
      <c r="I8158">
        <v>7</v>
      </c>
      <c r="J8158" t="s">
        <v>26</v>
      </c>
      <c r="K8158" s="57"/>
      <c r="S8158" s="57"/>
      <c r="X8158" s="57"/>
    </row>
    <row r="8159" spans="1:24" hidden="1" x14ac:dyDescent="0.35">
      <c r="A8159">
        <v>8155</v>
      </c>
      <c r="B8159">
        <v>8156</v>
      </c>
      <c r="C8159">
        <v>146.099737742</v>
      </c>
      <c r="D8159">
        <v>-17.6140321881999</v>
      </c>
      <c r="E8159" s="92" t="str">
        <f t="shared" si="39"/>
        <v/>
      </c>
      <c r="G8159" s="92"/>
      <c r="I8159">
        <v>7</v>
      </c>
      <c r="J8159" t="s">
        <v>26</v>
      </c>
      <c r="K8159" s="57"/>
      <c r="S8159" s="57"/>
      <c r="X8159" s="57"/>
    </row>
    <row r="8160" spans="1:24" hidden="1" x14ac:dyDescent="0.35">
      <c r="A8160">
        <v>8156</v>
      </c>
      <c r="B8160">
        <v>8157</v>
      </c>
      <c r="C8160">
        <v>146.099823681</v>
      </c>
      <c r="D8160">
        <v>-17.6140072590999</v>
      </c>
      <c r="E8160" s="92" t="str">
        <f t="shared" si="39"/>
        <v/>
      </c>
      <c r="G8160" s="92"/>
      <c r="I8160">
        <v>7</v>
      </c>
      <c r="J8160" t="s">
        <v>26</v>
      </c>
      <c r="K8160" s="57"/>
      <c r="S8160" s="57"/>
      <c r="X8160" s="57"/>
    </row>
    <row r="8161" spans="1:24" hidden="1" x14ac:dyDescent="0.35">
      <c r="A8161">
        <v>8157</v>
      </c>
      <c r="B8161">
        <v>8158</v>
      </c>
      <c r="C8161">
        <v>146.099909620999</v>
      </c>
      <c r="D8161">
        <v>-17.613982330100001</v>
      </c>
      <c r="E8161" s="92" t="str">
        <f t="shared" si="39"/>
        <v/>
      </c>
      <c r="G8161" s="92"/>
      <c r="I8161">
        <v>7</v>
      </c>
      <c r="J8161" t="s">
        <v>26</v>
      </c>
      <c r="K8161" s="57"/>
      <c r="S8161" s="57"/>
      <c r="X8161" s="57"/>
    </row>
    <row r="8162" spans="1:24" hidden="1" x14ac:dyDescent="0.35">
      <c r="A8162">
        <v>8158</v>
      </c>
      <c r="B8162">
        <v>8159</v>
      </c>
      <c r="C8162">
        <v>146.099995559999</v>
      </c>
      <c r="D8162">
        <v>-17.613957401</v>
      </c>
      <c r="E8162" s="92" t="str">
        <f t="shared" si="39"/>
        <v/>
      </c>
      <c r="G8162" s="92"/>
      <c r="I8162">
        <v>7</v>
      </c>
      <c r="J8162" t="s">
        <v>26</v>
      </c>
      <c r="K8162" s="57"/>
      <c r="S8162" s="57"/>
      <c r="X8162" s="57"/>
    </row>
    <row r="8163" spans="1:24" hidden="1" x14ac:dyDescent="0.35">
      <c r="A8163">
        <v>8159</v>
      </c>
      <c r="B8163">
        <v>8160</v>
      </c>
      <c r="C8163">
        <v>146.100081625</v>
      </c>
      <c r="D8163">
        <v>-17.613932972499899</v>
      </c>
      <c r="E8163" s="92">
        <f t="shared" si="39"/>
        <v>50</v>
      </c>
      <c r="G8163" s="92"/>
      <c r="I8163">
        <v>7</v>
      </c>
      <c r="J8163" t="s">
        <v>26</v>
      </c>
      <c r="K8163" s="57"/>
      <c r="S8163" s="57"/>
      <c r="X8163" s="57"/>
    </row>
    <row r="8164" spans="1:24" hidden="1" x14ac:dyDescent="0.35">
      <c r="A8164">
        <v>8160</v>
      </c>
      <c r="B8164">
        <v>8161</v>
      </c>
      <c r="C8164">
        <v>146.10017011599899</v>
      </c>
      <c r="D8164">
        <v>-17.613918235</v>
      </c>
      <c r="E8164" s="92" t="str">
        <f t="shared" si="39"/>
        <v/>
      </c>
      <c r="G8164" s="92"/>
      <c r="I8164">
        <v>7</v>
      </c>
      <c r="J8164" t="s">
        <v>26</v>
      </c>
      <c r="K8164" s="57"/>
      <c r="S8164" s="57"/>
      <c r="X8164" s="57"/>
    </row>
    <row r="8165" spans="1:24" hidden="1" x14ac:dyDescent="0.35">
      <c r="A8165">
        <v>8161</v>
      </c>
      <c r="B8165">
        <v>8162</v>
      </c>
      <c r="C8165">
        <v>146.100258607</v>
      </c>
      <c r="D8165">
        <v>-17.6139034975999</v>
      </c>
      <c r="E8165" s="92" t="str">
        <f t="shared" si="39"/>
        <v/>
      </c>
      <c r="G8165" s="92"/>
      <c r="I8165">
        <v>7</v>
      </c>
      <c r="J8165" t="s">
        <v>26</v>
      </c>
      <c r="K8165" s="57"/>
      <c r="S8165" s="57"/>
      <c r="X8165" s="57"/>
    </row>
    <row r="8166" spans="1:24" hidden="1" x14ac:dyDescent="0.35">
      <c r="A8166">
        <v>8162</v>
      </c>
      <c r="B8166">
        <v>8163</v>
      </c>
      <c r="C8166">
        <v>146.100347096999</v>
      </c>
      <c r="D8166">
        <v>-17.613888760199899</v>
      </c>
      <c r="E8166" s="92" t="str">
        <f t="shared" si="39"/>
        <v/>
      </c>
      <c r="G8166" s="92"/>
      <c r="I8166">
        <v>7</v>
      </c>
      <c r="J8166" t="s">
        <v>26</v>
      </c>
      <c r="K8166" s="57"/>
      <c r="S8166" s="57"/>
      <c r="X8166" s="57"/>
    </row>
    <row r="8167" spans="1:24" hidden="1" x14ac:dyDescent="0.35">
      <c r="A8167">
        <v>8163</v>
      </c>
      <c r="B8167">
        <v>8164</v>
      </c>
      <c r="C8167">
        <v>146.10043558800001</v>
      </c>
      <c r="D8167">
        <v>-17.6138740226999</v>
      </c>
      <c r="E8167" s="92" t="str">
        <f t="shared" si="39"/>
        <v/>
      </c>
      <c r="G8167" s="92"/>
      <c r="I8167">
        <v>7</v>
      </c>
      <c r="J8167" t="s">
        <v>26</v>
      </c>
      <c r="K8167" s="57"/>
      <c r="S8167" s="57"/>
      <c r="X8167" s="57"/>
    </row>
    <row r="8168" spans="1:24" hidden="1" x14ac:dyDescent="0.35">
      <c r="A8168">
        <v>8164</v>
      </c>
      <c r="B8168">
        <v>8165</v>
      </c>
      <c r="C8168">
        <v>146.10052454000001</v>
      </c>
      <c r="D8168">
        <v>-17.613877345500001</v>
      </c>
      <c r="E8168" s="92">
        <f t="shared" si="39"/>
        <v>50</v>
      </c>
      <c r="G8168" s="92"/>
      <c r="I8168">
        <v>7</v>
      </c>
      <c r="J8168" t="s">
        <v>26</v>
      </c>
      <c r="K8168" s="57"/>
      <c r="S8168" s="57"/>
      <c r="X8168" s="57"/>
    </row>
    <row r="8169" spans="1:24" hidden="1" x14ac:dyDescent="0.35">
      <c r="A8169">
        <v>8165</v>
      </c>
      <c r="B8169">
        <v>8166</v>
      </c>
      <c r="C8169">
        <v>146.100613678</v>
      </c>
      <c r="D8169">
        <v>-17.613887963700002</v>
      </c>
      <c r="E8169" s="92" t="str">
        <f t="shared" si="39"/>
        <v/>
      </c>
      <c r="G8169" s="92"/>
      <c r="I8169">
        <v>7</v>
      </c>
      <c r="J8169" t="s">
        <v>26</v>
      </c>
      <c r="K8169" s="57"/>
      <c r="S8169" s="57"/>
      <c r="X8169" s="57"/>
    </row>
    <row r="8170" spans="1:24" hidden="1" x14ac:dyDescent="0.35">
      <c r="A8170">
        <v>8166</v>
      </c>
      <c r="B8170">
        <v>8167</v>
      </c>
      <c r="C8170">
        <v>146.100702815999</v>
      </c>
      <c r="D8170">
        <v>-17.613898582000001</v>
      </c>
      <c r="E8170" s="92" t="str">
        <f t="shared" si="39"/>
        <v/>
      </c>
      <c r="G8170" s="92"/>
      <c r="I8170">
        <v>7</v>
      </c>
      <c r="J8170" t="s">
        <v>26</v>
      </c>
      <c r="K8170" s="57"/>
      <c r="S8170" s="57"/>
      <c r="X8170" s="57"/>
    </row>
    <row r="8171" spans="1:24" hidden="1" x14ac:dyDescent="0.35">
      <c r="A8171">
        <v>8167</v>
      </c>
      <c r="B8171">
        <v>8168</v>
      </c>
      <c r="C8171">
        <v>146.10079195399899</v>
      </c>
      <c r="D8171">
        <v>-17.613909200199899</v>
      </c>
      <c r="E8171" s="92" t="str">
        <f t="shared" si="39"/>
        <v/>
      </c>
      <c r="G8171" s="92"/>
      <c r="I8171">
        <v>7</v>
      </c>
      <c r="J8171" t="s">
        <v>26</v>
      </c>
      <c r="K8171" s="57"/>
      <c r="S8171" s="57"/>
      <c r="X8171" s="57"/>
    </row>
    <row r="8172" spans="1:24" hidden="1" x14ac:dyDescent="0.35">
      <c r="A8172">
        <v>8168</v>
      </c>
      <c r="B8172">
        <v>8169</v>
      </c>
      <c r="C8172">
        <v>146.10088109200001</v>
      </c>
      <c r="D8172">
        <v>-17.6139198183999</v>
      </c>
      <c r="E8172" s="92" t="str">
        <f t="shared" si="39"/>
        <v/>
      </c>
      <c r="G8172" s="92"/>
      <c r="I8172">
        <v>7</v>
      </c>
      <c r="J8172" t="s">
        <v>26</v>
      </c>
      <c r="K8172" s="57"/>
      <c r="S8172" s="57"/>
      <c r="X8172" s="57"/>
    </row>
    <row r="8173" spans="1:24" hidden="1" x14ac:dyDescent="0.35">
      <c r="A8173">
        <v>8169</v>
      </c>
      <c r="B8173">
        <v>8170</v>
      </c>
      <c r="C8173">
        <v>146.10096545100001</v>
      </c>
      <c r="D8173">
        <v>-17.613945747500001</v>
      </c>
      <c r="E8173" s="92">
        <f t="shared" si="39"/>
        <v>50</v>
      </c>
      <c r="G8173" s="92"/>
      <c r="I8173">
        <v>7</v>
      </c>
      <c r="J8173" t="s">
        <v>26</v>
      </c>
      <c r="K8173" s="57"/>
      <c r="S8173" s="57"/>
      <c r="X8173" s="57"/>
    </row>
    <row r="8174" spans="1:24" hidden="1" x14ac:dyDescent="0.35">
      <c r="A8174">
        <v>8170</v>
      </c>
      <c r="B8174">
        <v>8171</v>
      </c>
      <c r="C8174">
        <v>146.101046182999</v>
      </c>
      <c r="D8174">
        <v>-17.613983296699899</v>
      </c>
      <c r="E8174" s="92" t="str">
        <f t="shared" si="39"/>
        <v/>
      </c>
      <c r="G8174" s="92"/>
      <c r="I8174">
        <v>7</v>
      </c>
      <c r="J8174" t="s">
        <v>26</v>
      </c>
      <c r="K8174" s="57"/>
      <c r="S8174" s="57"/>
      <c r="X8174" s="57"/>
    </row>
    <row r="8175" spans="1:24" hidden="1" x14ac:dyDescent="0.35">
      <c r="A8175">
        <v>8171</v>
      </c>
      <c r="B8175">
        <v>8172</v>
      </c>
      <c r="C8175">
        <v>146.10112691500001</v>
      </c>
      <c r="D8175">
        <v>-17.614020845900001</v>
      </c>
      <c r="E8175" s="92" t="str">
        <f t="shared" si="39"/>
        <v/>
      </c>
      <c r="G8175" s="92"/>
      <c r="I8175">
        <v>7</v>
      </c>
      <c r="J8175" t="s">
        <v>26</v>
      </c>
      <c r="K8175" s="57"/>
      <c r="S8175" s="57"/>
      <c r="X8175" s="57"/>
    </row>
    <row r="8176" spans="1:24" hidden="1" x14ac:dyDescent="0.35">
      <c r="A8176">
        <v>8172</v>
      </c>
      <c r="B8176">
        <v>8173</v>
      </c>
      <c r="C8176">
        <v>146.101207646999</v>
      </c>
      <c r="D8176">
        <v>-17.614058395099899</v>
      </c>
      <c r="E8176" s="92" t="str">
        <f t="shared" si="39"/>
        <v/>
      </c>
      <c r="G8176" s="92"/>
      <c r="I8176">
        <v>7</v>
      </c>
      <c r="J8176" t="s">
        <v>26</v>
      </c>
      <c r="K8176" s="57"/>
      <c r="S8176" s="57"/>
      <c r="X8176" s="57"/>
    </row>
    <row r="8177" spans="1:24" hidden="1" x14ac:dyDescent="0.35">
      <c r="A8177">
        <v>8173</v>
      </c>
      <c r="B8177">
        <v>8174</v>
      </c>
      <c r="C8177">
        <v>146.10128112500001</v>
      </c>
      <c r="D8177">
        <v>-17.614106129100001</v>
      </c>
      <c r="E8177" s="92" t="str">
        <f t="shared" si="39"/>
        <v/>
      </c>
      <c r="G8177" s="92"/>
      <c r="I8177">
        <v>7</v>
      </c>
      <c r="J8177" t="s">
        <v>26</v>
      </c>
      <c r="K8177" s="57"/>
      <c r="S8177" s="57"/>
      <c r="X8177" s="57"/>
    </row>
    <row r="8178" spans="1:24" hidden="1" x14ac:dyDescent="0.35">
      <c r="A8178">
        <v>8174</v>
      </c>
      <c r="B8178">
        <v>8175</v>
      </c>
      <c r="C8178">
        <v>146.10134754200001</v>
      </c>
      <c r="D8178">
        <v>-17.6141637791</v>
      </c>
      <c r="E8178" s="92">
        <f t="shared" si="39"/>
        <v>50</v>
      </c>
      <c r="G8178" s="92"/>
      <c r="I8178">
        <v>7</v>
      </c>
      <c r="J8178" t="s">
        <v>26</v>
      </c>
      <c r="K8178" s="57"/>
      <c r="S8178" s="57"/>
      <c r="X8178" s="57"/>
    </row>
    <row r="8179" spans="1:24" hidden="1" x14ac:dyDescent="0.35">
      <c r="A8179">
        <v>8175</v>
      </c>
      <c r="B8179">
        <v>8176</v>
      </c>
      <c r="C8179">
        <v>146.10141395900001</v>
      </c>
      <c r="D8179">
        <v>-17.614221429200001</v>
      </c>
      <c r="E8179" s="92" t="str">
        <f t="shared" si="39"/>
        <v/>
      </c>
      <c r="G8179" s="92"/>
      <c r="I8179">
        <v>7</v>
      </c>
      <c r="J8179" t="s">
        <v>26</v>
      </c>
      <c r="K8179" s="57"/>
      <c r="S8179" s="57"/>
      <c r="X8179" s="57"/>
    </row>
    <row r="8180" spans="1:24" hidden="1" x14ac:dyDescent="0.35">
      <c r="A8180">
        <v>8176</v>
      </c>
      <c r="B8180">
        <v>8177</v>
      </c>
      <c r="C8180">
        <v>146.101474064999</v>
      </c>
      <c r="D8180">
        <v>-17.614284593000001</v>
      </c>
      <c r="E8180" s="92" t="str">
        <f t="shared" si="39"/>
        <v/>
      </c>
      <c r="G8180" s="92"/>
      <c r="I8180">
        <v>7</v>
      </c>
      <c r="J8180" t="s">
        <v>26</v>
      </c>
      <c r="K8180" s="57"/>
      <c r="S8180" s="57"/>
      <c r="X8180" s="57"/>
    </row>
    <row r="8181" spans="1:24" hidden="1" x14ac:dyDescent="0.35">
      <c r="A8181">
        <v>8177</v>
      </c>
      <c r="B8181">
        <v>8178</v>
      </c>
      <c r="C8181">
        <v>146.101528567999</v>
      </c>
      <c r="D8181">
        <v>-17.614352653200001</v>
      </c>
      <c r="E8181" s="92" t="str">
        <f t="shared" si="39"/>
        <v/>
      </c>
      <c r="G8181" s="92"/>
      <c r="I8181">
        <v>7</v>
      </c>
      <c r="J8181" t="s">
        <v>26</v>
      </c>
      <c r="K8181" s="57"/>
      <c r="S8181" s="57"/>
      <c r="X8181" s="57"/>
    </row>
    <row r="8182" spans="1:24" hidden="1" x14ac:dyDescent="0.35">
      <c r="A8182">
        <v>8178</v>
      </c>
      <c r="B8182">
        <v>8179</v>
      </c>
      <c r="C8182">
        <v>146.101583070999</v>
      </c>
      <c r="D8182">
        <v>-17.614420713400001</v>
      </c>
      <c r="E8182" s="92" t="str">
        <f t="shared" si="39"/>
        <v/>
      </c>
      <c r="G8182" s="92"/>
      <c r="I8182">
        <v>7</v>
      </c>
      <c r="J8182" t="s">
        <v>26</v>
      </c>
      <c r="K8182" s="57"/>
      <c r="S8182" s="57"/>
      <c r="X8182" s="57"/>
    </row>
    <row r="8183" spans="1:24" hidden="1" x14ac:dyDescent="0.35">
      <c r="A8183">
        <v>8179</v>
      </c>
      <c r="B8183">
        <v>8180</v>
      </c>
      <c r="C8183">
        <v>146.101637573999</v>
      </c>
      <c r="D8183">
        <v>-17.614488773600002</v>
      </c>
      <c r="E8183" s="92">
        <f t="shared" si="39"/>
        <v>50</v>
      </c>
      <c r="G8183" s="92"/>
      <c r="I8183">
        <v>7</v>
      </c>
      <c r="J8183" t="s">
        <v>26</v>
      </c>
      <c r="K8183" s="57"/>
      <c r="S8183" s="57"/>
      <c r="X8183" s="57"/>
    </row>
    <row r="8184" spans="1:24" hidden="1" x14ac:dyDescent="0.35">
      <c r="A8184">
        <v>8180</v>
      </c>
      <c r="B8184">
        <v>8181</v>
      </c>
      <c r="C8184">
        <v>146.101692076999</v>
      </c>
      <c r="D8184">
        <v>-17.6145568337</v>
      </c>
      <c r="E8184" s="92" t="str">
        <f t="shared" si="39"/>
        <v/>
      </c>
      <c r="G8184" s="92"/>
      <c r="I8184">
        <v>7</v>
      </c>
      <c r="J8184" t="s">
        <v>26</v>
      </c>
      <c r="K8184" s="57"/>
      <c r="S8184" s="57"/>
      <c r="X8184" s="57"/>
    </row>
    <row r="8185" spans="1:24" hidden="1" x14ac:dyDescent="0.35">
      <c r="A8185">
        <v>8181</v>
      </c>
      <c r="B8185">
        <v>8182</v>
      </c>
      <c r="C8185">
        <v>146.101727844999</v>
      </c>
      <c r="D8185">
        <v>-17.6146346483999</v>
      </c>
      <c r="E8185" s="92" t="str">
        <f t="shared" si="39"/>
        <v/>
      </c>
      <c r="G8185" s="92"/>
      <c r="I8185">
        <v>7</v>
      </c>
      <c r="J8185" t="s">
        <v>26</v>
      </c>
      <c r="K8185" s="57"/>
      <c r="S8185" s="57"/>
      <c r="X8185" s="57"/>
    </row>
    <row r="8186" spans="1:24" hidden="1" x14ac:dyDescent="0.35">
      <c r="A8186">
        <v>8182</v>
      </c>
      <c r="B8186">
        <v>8183</v>
      </c>
      <c r="C8186">
        <v>146.10175847900001</v>
      </c>
      <c r="D8186">
        <v>-17.614715135600001</v>
      </c>
      <c r="E8186" s="92" t="str">
        <f t="shared" si="39"/>
        <v/>
      </c>
      <c r="G8186" s="92"/>
      <c r="I8186">
        <v>7</v>
      </c>
      <c r="J8186" t="s">
        <v>26</v>
      </c>
      <c r="K8186" s="57"/>
      <c r="S8186" s="57"/>
      <c r="X8186" s="57"/>
    </row>
    <row r="8187" spans="1:24" hidden="1" x14ac:dyDescent="0.35">
      <c r="A8187">
        <v>8183</v>
      </c>
      <c r="B8187">
        <v>8184</v>
      </c>
      <c r="C8187">
        <v>146.10178911400001</v>
      </c>
      <c r="D8187">
        <v>-17.614795622700001</v>
      </c>
      <c r="E8187" s="92" t="str">
        <f t="shared" si="39"/>
        <v/>
      </c>
      <c r="G8187" s="92"/>
      <c r="I8187">
        <v>7</v>
      </c>
      <c r="J8187" t="s">
        <v>26</v>
      </c>
      <c r="K8187" s="57"/>
      <c r="S8187" s="57"/>
      <c r="X8187" s="57"/>
    </row>
    <row r="8188" spans="1:24" hidden="1" x14ac:dyDescent="0.35">
      <c r="A8188">
        <v>8184</v>
      </c>
      <c r="B8188">
        <v>8185</v>
      </c>
      <c r="C8188">
        <v>146.101819747999</v>
      </c>
      <c r="D8188">
        <v>-17.614876109800001</v>
      </c>
      <c r="E8188" s="92">
        <f t="shared" si="39"/>
        <v>50</v>
      </c>
      <c r="G8188" s="92"/>
      <c r="I8188">
        <v>7</v>
      </c>
      <c r="J8188" t="s">
        <v>26</v>
      </c>
      <c r="K8188" s="57"/>
      <c r="S8188" s="57"/>
      <c r="X8188" s="57"/>
    </row>
    <row r="8189" spans="1:24" hidden="1" x14ac:dyDescent="0.35">
      <c r="A8189">
        <v>8185</v>
      </c>
      <c r="B8189">
        <v>8186</v>
      </c>
      <c r="C8189">
        <v>146.101845548</v>
      </c>
      <c r="D8189">
        <v>-17.614957886100001</v>
      </c>
      <c r="E8189" s="92" t="str">
        <f t="shared" si="39"/>
        <v/>
      </c>
      <c r="G8189" s="92"/>
      <c r="I8189">
        <v>7</v>
      </c>
      <c r="J8189" t="s">
        <v>26</v>
      </c>
      <c r="K8189" s="57"/>
      <c r="S8189" s="57"/>
      <c r="X8189" s="57"/>
    </row>
    <row r="8190" spans="1:24" hidden="1" x14ac:dyDescent="0.35">
      <c r="A8190">
        <v>8186</v>
      </c>
      <c r="B8190">
        <v>8187</v>
      </c>
      <c r="C8190">
        <v>146.101863180999</v>
      </c>
      <c r="D8190">
        <v>-17.6150418398</v>
      </c>
      <c r="E8190" s="92" t="str">
        <f t="shared" si="39"/>
        <v/>
      </c>
      <c r="G8190" s="92"/>
      <c r="I8190">
        <v>7</v>
      </c>
      <c r="J8190" t="s">
        <v>26</v>
      </c>
      <c r="K8190" s="57"/>
      <c r="S8190" s="57"/>
      <c r="X8190" s="57"/>
    </row>
    <row r="8191" spans="1:24" hidden="1" x14ac:dyDescent="0.35">
      <c r="A8191">
        <v>8187</v>
      </c>
      <c r="B8191">
        <v>8188</v>
      </c>
      <c r="C8191">
        <v>146.10188081499899</v>
      </c>
      <c r="D8191">
        <v>-17.615125793600001</v>
      </c>
      <c r="E8191" s="92" t="str">
        <f t="shared" si="39"/>
        <v/>
      </c>
      <c r="G8191" s="92"/>
      <c r="I8191">
        <v>7</v>
      </c>
      <c r="J8191" t="s">
        <v>26</v>
      </c>
      <c r="K8191" s="57"/>
      <c r="S8191" s="57"/>
      <c r="X8191" s="57"/>
    </row>
    <row r="8192" spans="1:24" hidden="1" x14ac:dyDescent="0.35">
      <c r="A8192">
        <v>8188</v>
      </c>
      <c r="B8192">
        <v>8189</v>
      </c>
      <c r="C8192">
        <v>146.10189844799899</v>
      </c>
      <c r="D8192">
        <v>-17.615209747200002</v>
      </c>
      <c r="E8192" s="92" t="str">
        <f t="shared" si="39"/>
        <v/>
      </c>
      <c r="G8192" s="92"/>
      <c r="I8192">
        <v>7</v>
      </c>
      <c r="J8192" t="s">
        <v>26</v>
      </c>
      <c r="K8192" s="57"/>
      <c r="S8192" s="57"/>
      <c r="X8192" s="57"/>
    </row>
    <row r="8193" spans="1:24" hidden="1" x14ac:dyDescent="0.35">
      <c r="A8193">
        <v>8189</v>
      </c>
      <c r="B8193">
        <v>8190</v>
      </c>
      <c r="C8193">
        <v>146.10191608100001</v>
      </c>
      <c r="D8193">
        <v>-17.615293700900001</v>
      </c>
      <c r="E8193" s="92">
        <f t="shared" si="39"/>
        <v>50</v>
      </c>
      <c r="G8193" s="92"/>
      <c r="I8193">
        <v>7</v>
      </c>
      <c r="J8193" t="s">
        <v>26</v>
      </c>
      <c r="K8193" s="57"/>
      <c r="S8193" s="57"/>
      <c r="X8193" s="57"/>
    </row>
    <row r="8194" spans="1:24" hidden="1" x14ac:dyDescent="0.35">
      <c r="A8194">
        <v>8190</v>
      </c>
      <c r="B8194">
        <v>8191</v>
      </c>
      <c r="C8194">
        <v>146.101936572</v>
      </c>
      <c r="D8194">
        <v>-17.615377003100001</v>
      </c>
      <c r="E8194" s="92" t="str">
        <f t="shared" si="39"/>
        <v/>
      </c>
      <c r="G8194" s="92"/>
      <c r="I8194">
        <v>7</v>
      </c>
      <c r="J8194" t="s">
        <v>26</v>
      </c>
      <c r="K8194" s="57"/>
      <c r="S8194" s="57"/>
      <c r="X8194" s="57"/>
    </row>
    <row r="8195" spans="1:24" hidden="1" x14ac:dyDescent="0.35">
      <c r="A8195">
        <v>8191</v>
      </c>
      <c r="B8195">
        <v>8192</v>
      </c>
      <c r="C8195">
        <v>146.101960703</v>
      </c>
      <c r="D8195">
        <v>-17.615459475400002</v>
      </c>
      <c r="E8195" s="92" t="str">
        <f t="shared" si="39"/>
        <v/>
      </c>
      <c r="G8195" s="92"/>
      <c r="I8195">
        <v>7</v>
      </c>
      <c r="J8195" t="s">
        <v>26</v>
      </c>
      <c r="K8195" s="57"/>
      <c r="S8195" s="57"/>
      <c r="X8195" s="57"/>
    </row>
    <row r="8196" spans="1:24" hidden="1" x14ac:dyDescent="0.35">
      <c r="A8196">
        <v>8192</v>
      </c>
      <c r="B8196">
        <v>8193</v>
      </c>
      <c r="C8196">
        <v>146.10198483400001</v>
      </c>
      <c r="D8196">
        <v>-17.615541947600001</v>
      </c>
      <c r="E8196" s="92" t="str">
        <f t="shared" si="39"/>
        <v/>
      </c>
      <c r="G8196" s="92"/>
      <c r="I8196">
        <v>7</v>
      </c>
      <c r="J8196" t="s">
        <v>26</v>
      </c>
      <c r="K8196" s="57"/>
      <c r="S8196" s="57"/>
      <c r="X8196" s="57"/>
    </row>
    <row r="8197" spans="1:24" hidden="1" x14ac:dyDescent="0.35">
      <c r="A8197">
        <v>8193</v>
      </c>
      <c r="B8197">
        <v>8194</v>
      </c>
      <c r="C8197">
        <v>146.102011379</v>
      </c>
      <c r="D8197">
        <v>-17.615623724199899</v>
      </c>
      <c r="E8197" s="92" t="str">
        <f t="shared" si="39"/>
        <v/>
      </c>
      <c r="G8197" s="92"/>
      <c r="I8197">
        <v>7</v>
      </c>
      <c r="J8197" t="s">
        <v>26</v>
      </c>
      <c r="K8197" s="57"/>
      <c r="S8197" s="57"/>
      <c r="X8197" s="57"/>
    </row>
    <row r="8198" spans="1:24" hidden="1" x14ac:dyDescent="0.35">
      <c r="A8198">
        <v>8194</v>
      </c>
      <c r="B8198">
        <v>8195</v>
      </c>
      <c r="C8198">
        <v>146.102039227999</v>
      </c>
      <c r="D8198">
        <v>-17.6157051251</v>
      </c>
      <c r="E8198" s="92">
        <f t="shared" si="39"/>
        <v>50</v>
      </c>
      <c r="G8198" s="92"/>
      <c r="I8198">
        <v>7</v>
      </c>
      <c r="J8198" t="s">
        <v>26</v>
      </c>
      <c r="K8198" s="57"/>
      <c r="S8198" s="57"/>
      <c r="X8198" s="57"/>
    </row>
    <row r="8199" spans="1:24" hidden="1" x14ac:dyDescent="0.35">
      <c r="A8199">
        <v>8195</v>
      </c>
      <c r="B8199">
        <v>8196</v>
      </c>
      <c r="C8199">
        <v>146.10207763700001</v>
      </c>
      <c r="D8199">
        <v>-17.615782206700001</v>
      </c>
      <c r="E8199" s="92" t="str">
        <f t="shared" si="39"/>
        <v/>
      </c>
      <c r="G8199" s="92"/>
      <c r="I8199">
        <v>7</v>
      </c>
      <c r="J8199" t="s">
        <v>26</v>
      </c>
      <c r="K8199" s="57"/>
      <c r="S8199" s="57"/>
      <c r="X8199" s="57"/>
    </row>
    <row r="8200" spans="1:24" hidden="1" x14ac:dyDescent="0.35">
      <c r="A8200">
        <v>8196</v>
      </c>
      <c r="B8200">
        <v>8197</v>
      </c>
      <c r="C8200">
        <v>146.10212035199899</v>
      </c>
      <c r="D8200">
        <v>-17.615857526900001</v>
      </c>
      <c r="E8200" s="92" t="str">
        <f t="shared" si="39"/>
        <v/>
      </c>
      <c r="G8200" s="92"/>
      <c r="I8200">
        <v>7</v>
      </c>
      <c r="J8200" t="s">
        <v>26</v>
      </c>
      <c r="K8200" s="57"/>
      <c r="S8200" s="57"/>
      <c r="X8200" s="57"/>
    </row>
    <row r="8201" spans="1:24" hidden="1" x14ac:dyDescent="0.35">
      <c r="A8201">
        <v>8197</v>
      </c>
      <c r="B8201">
        <v>8198</v>
      </c>
      <c r="C8201">
        <v>146.10219575400001</v>
      </c>
      <c r="D8201">
        <v>-17.6159032823</v>
      </c>
      <c r="E8201" s="92" t="str">
        <f t="shared" si="39"/>
        <v/>
      </c>
      <c r="G8201" s="92"/>
      <c r="I8201">
        <v>7</v>
      </c>
      <c r="J8201" t="s">
        <v>26</v>
      </c>
      <c r="K8201" s="57"/>
      <c r="S8201" s="57"/>
      <c r="X8201" s="57"/>
    </row>
    <row r="8202" spans="1:24" hidden="1" x14ac:dyDescent="0.35">
      <c r="A8202">
        <v>8198</v>
      </c>
      <c r="B8202">
        <v>8199</v>
      </c>
      <c r="C8202">
        <v>146.10228029800001</v>
      </c>
      <c r="D8202">
        <v>-17.6159261468</v>
      </c>
      <c r="E8202" s="92" t="str">
        <f t="shared" si="39"/>
        <v/>
      </c>
      <c r="G8202" s="92"/>
      <c r="I8202">
        <v>7</v>
      </c>
      <c r="J8202" t="s">
        <v>26</v>
      </c>
      <c r="K8202" s="57"/>
      <c r="S8202" s="57"/>
      <c r="X8202" s="57"/>
    </row>
    <row r="8203" spans="1:24" hidden="1" x14ac:dyDescent="0.35">
      <c r="A8203">
        <v>8199</v>
      </c>
      <c r="B8203">
        <v>8200</v>
      </c>
      <c r="C8203">
        <v>146.102368175999</v>
      </c>
      <c r="D8203">
        <v>-17.6159259989</v>
      </c>
      <c r="E8203" s="92">
        <f t="shared" si="39"/>
        <v>50</v>
      </c>
      <c r="G8203" s="92"/>
      <c r="I8203">
        <v>7</v>
      </c>
      <c r="J8203" t="s">
        <v>26</v>
      </c>
      <c r="K8203" s="57"/>
      <c r="S8203" s="57"/>
      <c r="X8203" s="57"/>
    </row>
    <row r="8204" spans="1:24" hidden="1" x14ac:dyDescent="0.35">
      <c r="A8204">
        <v>8200</v>
      </c>
      <c r="B8204">
        <v>8201</v>
      </c>
      <c r="C8204">
        <v>146.10245191800001</v>
      </c>
      <c r="D8204">
        <v>-17.615895014300001</v>
      </c>
      <c r="E8204" s="92" t="str">
        <f t="shared" si="39"/>
        <v/>
      </c>
      <c r="G8204" s="92"/>
      <c r="I8204">
        <v>7</v>
      </c>
      <c r="J8204" t="s">
        <v>26</v>
      </c>
      <c r="K8204" s="57"/>
      <c r="S8204" s="57"/>
      <c r="X8204" s="57"/>
    </row>
    <row r="8205" spans="1:24" hidden="1" x14ac:dyDescent="0.35">
      <c r="A8205">
        <v>8201</v>
      </c>
      <c r="B8205">
        <v>8202</v>
      </c>
      <c r="C8205">
        <v>146.10253307599899</v>
      </c>
      <c r="D8205">
        <v>-17.6158590563</v>
      </c>
      <c r="E8205" s="92" t="str">
        <f t="shared" si="39"/>
        <v/>
      </c>
      <c r="G8205" s="92"/>
      <c r="I8205">
        <v>7</v>
      </c>
      <c r="J8205" t="s">
        <v>26</v>
      </c>
      <c r="K8205" s="57"/>
      <c r="S8205" s="57"/>
      <c r="X8205" s="57"/>
    </row>
    <row r="8206" spans="1:24" hidden="1" x14ac:dyDescent="0.35">
      <c r="A8206">
        <v>8202</v>
      </c>
      <c r="B8206">
        <v>8203</v>
      </c>
      <c r="C8206">
        <v>146.102601832999</v>
      </c>
      <c r="D8206">
        <v>-17.6158077623999</v>
      </c>
      <c r="E8206" s="92" t="str">
        <f t="shared" si="39"/>
        <v/>
      </c>
      <c r="G8206" s="92"/>
      <c r="I8206">
        <v>7</v>
      </c>
      <c r="J8206" t="s">
        <v>26</v>
      </c>
      <c r="K8206" s="57"/>
      <c r="S8206" s="57"/>
      <c r="X8206" s="57"/>
    </row>
    <row r="8207" spans="1:24" hidden="1" x14ac:dyDescent="0.35">
      <c r="A8207">
        <v>8203</v>
      </c>
      <c r="B8207">
        <v>8204</v>
      </c>
      <c r="C8207">
        <v>146.10263851900001</v>
      </c>
      <c r="D8207">
        <v>-17.615729608100001</v>
      </c>
      <c r="E8207" s="92" t="str">
        <f t="shared" si="39"/>
        <v/>
      </c>
      <c r="G8207" s="92"/>
      <c r="I8207">
        <v>7</v>
      </c>
      <c r="J8207" t="s">
        <v>26</v>
      </c>
      <c r="K8207" s="57"/>
      <c r="S8207" s="57"/>
      <c r="X8207" s="57"/>
    </row>
    <row r="8208" spans="1:24" hidden="1" x14ac:dyDescent="0.35">
      <c r="A8208">
        <v>8204</v>
      </c>
      <c r="B8208">
        <v>8205</v>
      </c>
      <c r="C8208">
        <v>146.102681509999</v>
      </c>
      <c r="D8208">
        <v>-17.6156545694</v>
      </c>
      <c r="E8208" s="92">
        <f t="shared" ref="E8208:E8271" si="40">IF(MOD(B8208,5)=0, 50, "")</f>
        <v>50</v>
      </c>
      <c r="G8208" s="92"/>
      <c r="I8208">
        <v>7</v>
      </c>
      <c r="J8208" t="s">
        <v>26</v>
      </c>
      <c r="K8208" s="57"/>
      <c r="S8208" s="57"/>
      <c r="X8208" s="57"/>
    </row>
    <row r="8209" spans="1:24" hidden="1" x14ac:dyDescent="0.35">
      <c r="A8209">
        <v>8205</v>
      </c>
      <c r="B8209">
        <v>8206</v>
      </c>
      <c r="C8209">
        <v>146.10272736900001</v>
      </c>
      <c r="D8209">
        <v>-17.615580947400002</v>
      </c>
      <c r="E8209" s="92" t="str">
        <f t="shared" si="40"/>
        <v/>
      </c>
      <c r="G8209" s="92"/>
      <c r="I8209">
        <v>7</v>
      </c>
      <c r="J8209" t="s">
        <v>26</v>
      </c>
      <c r="K8209" s="57"/>
      <c r="S8209" s="57"/>
      <c r="X8209" s="57"/>
    </row>
    <row r="8210" spans="1:24" hidden="1" x14ac:dyDescent="0.35">
      <c r="A8210">
        <v>8206</v>
      </c>
      <c r="B8210">
        <v>8207</v>
      </c>
      <c r="C8210">
        <v>146.10275544199899</v>
      </c>
      <c r="D8210">
        <v>-17.615500380099899</v>
      </c>
      <c r="E8210" s="92" t="str">
        <f t="shared" si="40"/>
        <v/>
      </c>
      <c r="G8210" s="92"/>
      <c r="I8210">
        <v>7</v>
      </c>
      <c r="J8210" t="s">
        <v>26</v>
      </c>
      <c r="K8210" s="57"/>
      <c r="S8210" s="57"/>
      <c r="X8210" s="57"/>
    </row>
    <row r="8211" spans="1:24" hidden="1" x14ac:dyDescent="0.35">
      <c r="A8211">
        <v>8207</v>
      </c>
      <c r="B8211">
        <v>8208</v>
      </c>
      <c r="C8211">
        <v>146.102776962999</v>
      </c>
      <c r="D8211">
        <v>-17.6154172542</v>
      </c>
      <c r="E8211" s="92" t="str">
        <f t="shared" si="40"/>
        <v/>
      </c>
      <c r="G8211" s="92"/>
      <c r="I8211">
        <v>7</v>
      </c>
      <c r="J8211" t="s">
        <v>26</v>
      </c>
      <c r="K8211" s="57"/>
      <c r="S8211" s="57"/>
      <c r="X8211" s="57"/>
    </row>
    <row r="8212" spans="1:24" hidden="1" x14ac:dyDescent="0.35">
      <c r="A8212">
        <v>8208</v>
      </c>
      <c r="B8212">
        <v>8209</v>
      </c>
      <c r="C8212">
        <v>146.102798484999</v>
      </c>
      <c r="D8212">
        <v>-17.615334128299899</v>
      </c>
      <c r="E8212" s="92" t="str">
        <f t="shared" si="40"/>
        <v/>
      </c>
      <c r="G8212" s="92"/>
      <c r="I8212">
        <v>7</v>
      </c>
      <c r="J8212" t="s">
        <v>26</v>
      </c>
      <c r="K8212" s="57"/>
      <c r="S8212" s="57"/>
      <c r="X8212" s="57"/>
    </row>
    <row r="8213" spans="1:24" hidden="1" x14ac:dyDescent="0.35">
      <c r="A8213">
        <v>8209</v>
      </c>
      <c r="B8213">
        <v>8210</v>
      </c>
      <c r="C8213">
        <v>146.10280288499899</v>
      </c>
      <c r="D8213">
        <v>-17.615248979699899</v>
      </c>
      <c r="E8213" s="92">
        <f t="shared" si="40"/>
        <v>50</v>
      </c>
      <c r="G8213" s="92"/>
      <c r="I8213">
        <v>7</v>
      </c>
      <c r="J8213" t="s">
        <v>26</v>
      </c>
      <c r="K8213" s="57"/>
      <c r="S8213" s="57"/>
      <c r="X8213" s="57"/>
    </row>
    <row r="8214" spans="1:24" hidden="1" x14ac:dyDescent="0.35">
      <c r="A8214">
        <v>8210</v>
      </c>
      <c r="B8214">
        <v>8211</v>
      </c>
      <c r="C8214">
        <v>146.10280330800001</v>
      </c>
      <c r="D8214">
        <v>-17.615163361299899</v>
      </c>
      <c r="E8214" s="92" t="str">
        <f t="shared" si="40"/>
        <v/>
      </c>
      <c r="G8214" s="92"/>
      <c r="I8214">
        <v>7</v>
      </c>
      <c r="J8214" t="s">
        <v>26</v>
      </c>
      <c r="K8214" s="57"/>
      <c r="S8214" s="57"/>
      <c r="X8214" s="57"/>
    </row>
    <row r="8215" spans="1:24" hidden="1" x14ac:dyDescent="0.35">
      <c r="A8215">
        <v>8211</v>
      </c>
      <c r="B8215">
        <v>8212</v>
      </c>
      <c r="C8215">
        <v>146.102803730999</v>
      </c>
      <c r="D8215">
        <v>-17.615077742899899</v>
      </c>
      <c r="E8215" s="92" t="str">
        <f t="shared" si="40"/>
        <v/>
      </c>
      <c r="G8215" s="92"/>
      <c r="I8215">
        <v>7</v>
      </c>
      <c r="J8215" t="s">
        <v>26</v>
      </c>
      <c r="K8215" s="57"/>
      <c r="S8215" s="57"/>
      <c r="X8215" s="57"/>
    </row>
    <row r="8216" spans="1:24" hidden="1" x14ac:dyDescent="0.35">
      <c r="A8216">
        <v>8212</v>
      </c>
      <c r="B8216">
        <v>8213</v>
      </c>
      <c r="C8216">
        <v>146.10280415400001</v>
      </c>
      <c r="D8216">
        <v>-17.614992124400001</v>
      </c>
      <c r="E8216" s="92" t="str">
        <f t="shared" si="40"/>
        <v/>
      </c>
      <c r="G8216" s="92"/>
      <c r="I8216">
        <v>7</v>
      </c>
      <c r="J8216" t="s">
        <v>26</v>
      </c>
      <c r="K8216" s="57"/>
      <c r="S8216" s="57"/>
      <c r="X8216" s="57"/>
    </row>
    <row r="8217" spans="1:24" hidden="1" x14ac:dyDescent="0.35">
      <c r="A8217">
        <v>8213</v>
      </c>
      <c r="B8217">
        <v>8214</v>
      </c>
      <c r="C8217">
        <v>146.102795710999</v>
      </c>
      <c r="D8217">
        <v>-17.614907279600001</v>
      </c>
      <c r="E8217" s="92" t="str">
        <f t="shared" si="40"/>
        <v/>
      </c>
      <c r="G8217" s="92"/>
      <c r="I8217">
        <v>7</v>
      </c>
      <c r="J8217" t="s">
        <v>26</v>
      </c>
      <c r="K8217" s="57"/>
      <c r="S8217" s="57"/>
      <c r="X8217" s="57"/>
    </row>
    <row r="8218" spans="1:24" hidden="1" x14ac:dyDescent="0.35">
      <c r="A8218">
        <v>8214</v>
      </c>
      <c r="B8218">
        <v>8215</v>
      </c>
      <c r="C8218">
        <v>146.10277898000001</v>
      </c>
      <c r="D8218">
        <v>-17.614823158299899</v>
      </c>
      <c r="E8218" s="92">
        <f t="shared" si="40"/>
        <v>50</v>
      </c>
      <c r="G8218" s="92"/>
      <c r="I8218">
        <v>7</v>
      </c>
      <c r="J8218" t="s">
        <v>26</v>
      </c>
      <c r="K8218" s="57"/>
      <c r="S8218" s="57"/>
      <c r="X8218" s="57"/>
    </row>
    <row r="8219" spans="1:24" hidden="1" x14ac:dyDescent="0.35">
      <c r="A8219">
        <v>8215</v>
      </c>
      <c r="B8219">
        <v>8216</v>
      </c>
      <c r="C8219">
        <v>146.102762248</v>
      </c>
      <c r="D8219">
        <v>-17.614739037</v>
      </c>
      <c r="E8219" s="92" t="str">
        <f t="shared" si="40"/>
        <v/>
      </c>
      <c r="G8219" s="92"/>
      <c r="I8219">
        <v>7</v>
      </c>
      <c r="J8219" t="s">
        <v>26</v>
      </c>
      <c r="K8219" s="57"/>
      <c r="S8219" s="57"/>
      <c r="X8219" s="57"/>
    </row>
    <row r="8220" spans="1:24" hidden="1" x14ac:dyDescent="0.35">
      <c r="A8220">
        <v>8216</v>
      </c>
      <c r="B8220">
        <v>8217</v>
      </c>
      <c r="C8220">
        <v>146.102745515999</v>
      </c>
      <c r="D8220">
        <v>-17.6146549155999</v>
      </c>
      <c r="E8220" s="92" t="str">
        <f t="shared" si="40"/>
        <v/>
      </c>
      <c r="G8220" s="92"/>
      <c r="I8220">
        <v>7</v>
      </c>
      <c r="J8220" t="s">
        <v>26</v>
      </c>
      <c r="K8220" s="57"/>
      <c r="S8220" s="57"/>
      <c r="X8220" s="57"/>
    </row>
    <row r="8221" spans="1:24" hidden="1" x14ac:dyDescent="0.35">
      <c r="A8221">
        <v>8217</v>
      </c>
      <c r="B8221">
        <v>8218</v>
      </c>
      <c r="C8221">
        <v>146.10271810500001</v>
      </c>
      <c r="D8221">
        <v>-17.614573436099899</v>
      </c>
      <c r="E8221" s="92" t="str">
        <f t="shared" si="40"/>
        <v/>
      </c>
      <c r="G8221" s="92"/>
      <c r="I8221">
        <v>7</v>
      </c>
      <c r="J8221" t="s">
        <v>26</v>
      </c>
      <c r="K8221" s="57"/>
      <c r="S8221" s="57"/>
      <c r="X8221" s="57"/>
    </row>
    <row r="8222" spans="1:24" hidden="1" x14ac:dyDescent="0.35">
      <c r="A8222">
        <v>8218</v>
      </c>
      <c r="B8222">
        <v>8219</v>
      </c>
      <c r="C8222">
        <v>146.102689800999</v>
      </c>
      <c r="D8222">
        <v>-17.614492177300001</v>
      </c>
      <c r="E8222" s="92" t="str">
        <f t="shared" si="40"/>
        <v/>
      </c>
      <c r="G8222" s="92"/>
      <c r="I8222">
        <v>7</v>
      </c>
      <c r="J8222" t="s">
        <v>26</v>
      </c>
      <c r="K8222" s="57"/>
      <c r="S8222" s="57"/>
      <c r="X8222" s="57"/>
    </row>
    <row r="8223" spans="1:24" hidden="1" x14ac:dyDescent="0.35">
      <c r="A8223">
        <v>8219</v>
      </c>
      <c r="B8223">
        <v>8220</v>
      </c>
      <c r="C8223">
        <v>146.102661498</v>
      </c>
      <c r="D8223">
        <v>-17.614410918400001</v>
      </c>
      <c r="E8223" s="92">
        <f t="shared" si="40"/>
        <v>50</v>
      </c>
      <c r="G8223" s="92"/>
      <c r="I8223">
        <v>7</v>
      </c>
      <c r="J8223" t="s">
        <v>26</v>
      </c>
      <c r="K8223" s="57"/>
      <c r="S8223" s="57"/>
      <c r="X8223" s="57"/>
    </row>
    <row r="8224" spans="1:24" hidden="1" x14ac:dyDescent="0.35">
      <c r="A8224">
        <v>8220</v>
      </c>
      <c r="B8224">
        <v>8221</v>
      </c>
      <c r="C8224">
        <v>146.102633193999</v>
      </c>
      <c r="D8224">
        <v>-17.6143296595999</v>
      </c>
      <c r="E8224" s="92" t="str">
        <f t="shared" si="40"/>
        <v/>
      </c>
      <c r="G8224" s="92"/>
      <c r="I8224">
        <v>7</v>
      </c>
      <c r="J8224" t="s">
        <v>26</v>
      </c>
      <c r="K8224" s="57"/>
      <c r="S8224" s="57"/>
      <c r="X8224" s="57"/>
    </row>
    <row r="8225" spans="1:24" hidden="1" x14ac:dyDescent="0.35">
      <c r="A8225">
        <v>8221</v>
      </c>
      <c r="B8225">
        <v>8222</v>
      </c>
      <c r="C8225">
        <v>146.102607796</v>
      </c>
      <c r="D8225">
        <v>-17.614247612</v>
      </c>
      <c r="E8225" s="92" t="str">
        <f t="shared" si="40"/>
        <v/>
      </c>
      <c r="G8225" s="92"/>
      <c r="I8225">
        <v>7</v>
      </c>
      <c r="J8225" t="s">
        <v>26</v>
      </c>
      <c r="K8225" s="57"/>
      <c r="S8225" s="57"/>
      <c r="X8225" s="57"/>
    </row>
    <row r="8226" spans="1:24" hidden="1" x14ac:dyDescent="0.35">
      <c r="A8226">
        <v>8222</v>
      </c>
      <c r="B8226">
        <v>8223</v>
      </c>
      <c r="C8226">
        <v>146.102586930999</v>
      </c>
      <c r="D8226">
        <v>-17.6141643337</v>
      </c>
      <c r="E8226" s="92" t="str">
        <f t="shared" si="40"/>
        <v/>
      </c>
      <c r="G8226" s="92"/>
      <c r="I8226">
        <v>7</v>
      </c>
      <c r="J8226" t="s">
        <v>26</v>
      </c>
      <c r="K8226" s="57"/>
      <c r="S8226" s="57"/>
      <c r="X8226" s="57"/>
    </row>
    <row r="8227" spans="1:24" hidden="1" x14ac:dyDescent="0.35">
      <c r="A8227">
        <v>8223</v>
      </c>
      <c r="B8227">
        <v>8224</v>
      </c>
      <c r="C8227">
        <v>146.10256606600001</v>
      </c>
      <c r="D8227">
        <v>-17.614081055300002</v>
      </c>
      <c r="E8227" s="92" t="str">
        <f t="shared" si="40"/>
        <v/>
      </c>
      <c r="G8227" s="92"/>
      <c r="I8227">
        <v>7</v>
      </c>
      <c r="J8227" t="s">
        <v>26</v>
      </c>
      <c r="K8227" s="57"/>
      <c r="S8227" s="57"/>
      <c r="X8227" s="57"/>
    </row>
    <row r="8228" spans="1:24" hidden="1" x14ac:dyDescent="0.35">
      <c r="A8228">
        <v>8224</v>
      </c>
      <c r="B8228">
        <v>8225</v>
      </c>
      <c r="C8228">
        <v>146.102545200999</v>
      </c>
      <c r="D8228">
        <v>-17.6139977769</v>
      </c>
      <c r="E8228" s="92">
        <f t="shared" si="40"/>
        <v>50</v>
      </c>
      <c r="G8228" s="92"/>
      <c r="I8228">
        <v>7</v>
      </c>
      <c r="J8228" t="s">
        <v>26</v>
      </c>
      <c r="K8228" s="57"/>
      <c r="S8228" s="57"/>
      <c r="X8228" s="57"/>
    </row>
    <row r="8229" spans="1:24" hidden="1" x14ac:dyDescent="0.35">
      <c r="A8229">
        <v>8225</v>
      </c>
      <c r="B8229">
        <v>8226</v>
      </c>
      <c r="C8229">
        <v>146.102530967999</v>
      </c>
      <c r="D8229">
        <v>-17.613914152300001</v>
      </c>
      <c r="E8229" s="92" t="str">
        <f t="shared" si="40"/>
        <v/>
      </c>
      <c r="G8229" s="92"/>
      <c r="I8229">
        <v>7</v>
      </c>
      <c r="J8229" t="s">
        <v>26</v>
      </c>
      <c r="K8229" s="57"/>
      <c r="S8229" s="57"/>
      <c r="X8229" s="57"/>
    </row>
    <row r="8230" spans="1:24" hidden="1" x14ac:dyDescent="0.35">
      <c r="A8230">
        <v>8226</v>
      </c>
      <c r="B8230">
        <v>8227</v>
      </c>
      <c r="C8230">
        <v>146.102542169</v>
      </c>
      <c r="D8230">
        <v>-17.613829200400001</v>
      </c>
      <c r="E8230" s="92" t="str">
        <f t="shared" si="40"/>
        <v/>
      </c>
      <c r="G8230" s="92"/>
      <c r="I8230">
        <v>7</v>
      </c>
      <c r="J8230" t="s">
        <v>26</v>
      </c>
      <c r="K8230" s="57"/>
      <c r="S8230" s="57"/>
      <c r="X8230" s="57"/>
    </row>
    <row r="8231" spans="1:24" hidden="1" x14ac:dyDescent="0.35">
      <c r="A8231">
        <v>8227</v>
      </c>
      <c r="B8231">
        <v>8228</v>
      </c>
      <c r="C8231">
        <v>146.102553368999</v>
      </c>
      <c r="D8231">
        <v>-17.613744248500002</v>
      </c>
      <c r="E8231" s="92" t="str">
        <f t="shared" si="40"/>
        <v/>
      </c>
      <c r="G8231" s="92"/>
      <c r="I8231">
        <v>7</v>
      </c>
      <c r="J8231" t="s">
        <v>26</v>
      </c>
      <c r="K8231" s="57"/>
      <c r="S8231" s="57"/>
      <c r="X8231" s="57"/>
    </row>
    <row r="8232" spans="1:24" hidden="1" x14ac:dyDescent="0.35">
      <c r="A8232">
        <v>8228</v>
      </c>
      <c r="B8232">
        <v>8229</v>
      </c>
      <c r="C8232">
        <v>146.10256456900001</v>
      </c>
      <c r="D8232">
        <v>-17.6136592965</v>
      </c>
      <c r="E8232" s="92" t="str">
        <f t="shared" si="40"/>
        <v/>
      </c>
      <c r="G8232" s="92"/>
      <c r="I8232">
        <v>7</v>
      </c>
      <c r="J8232" t="s">
        <v>26</v>
      </c>
      <c r="K8232" s="57"/>
      <c r="S8232" s="57"/>
      <c r="X8232" s="57"/>
    </row>
    <row r="8233" spans="1:24" hidden="1" x14ac:dyDescent="0.35">
      <c r="A8233">
        <v>8229</v>
      </c>
      <c r="B8233">
        <v>8230</v>
      </c>
      <c r="C8233">
        <v>146.10257576999899</v>
      </c>
      <c r="D8233">
        <v>-17.613574344500002</v>
      </c>
      <c r="E8233" s="92">
        <f t="shared" si="40"/>
        <v>50</v>
      </c>
      <c r="G8233" s="92"/>
      <c r="I8233">
        <v>7</v>
      </c>
      <c r="J8233" t="s">
        <v>26</v>
      </c>
      <c r="K8233" s="57"/>
      <c r="S8233" s="57"/>
      <c r="X8233" s="57"/>
    </row>
    <row r="8234" spans="1:24" hidden="1" x14ac:dyDescent="0.35">
      <c r="A8234">
        <v>8230</v>
      </c>
      <c r="B8234">
        <v>8231</v>
      </c>
      <c r="C8234">
        <v>146.10258697</v>
      </c>
      <c r="D8234">
        <v>-17.6134893925</v>
      </c>
      <c r="E8234" s="92" t="str">
        <f t="shared" si="40"/>
        <v/>
      </c>
      <c r="G8234" s="92"/>
      <c r="I8234">
        <v>7</v>
      </c>
      <c r="J8234" t="s">
        <v>26</v>
      </c>
      <c r="K8234" s="57"/>
      <c r="S8234" s="57"/>
      <c r="X8234" s="57"/>
    </row>
    <row r="8235" spans="1:24" hidden="1" x14ac:dyDescent="0.35">
      <c r="A8235">
        <v>8231</v>
      </c>
      <c r="B8235">
        <v>8232</v>
      </c>
      <c r="C8235">
        <v>146.102606256999</v>
      </c>
      <c r="D8235">
        <v>-17.6134061572</v>
      </c>
      <c r="E8235" s="92" t="str">
        <f t="shared" si="40"/>
        <v/>
      </c>
      <c r="G8235" s="92"/>
      <c r="I8235">
        <v>7</v>
      </c>
      <c r="J8235" t="s">
        <v>26</v>
      </c>
      <c r="K8235" s="57"/>
      <c r="S8235" s="57"/>
      <c r="X8235" s="57"/>
    </row>
    <row r="8236" spans="1:24" hidden="1" x14ac:dyDescent="0.35">
      <c r="A8236">
        <v>8232</v>
      </c>
      <c r="B8236">
        <v>8233</v>
      </c>
      <c r="C8236">
        <v>146.102633945999</v>
      </c>
      <c r="D8236">
        <v>-17.613324705699899</v>
      </c>
      <c r="E8236" s="92" t="str">
        <f t="shared" si="40"/>
        <v/>
      </c>
      <c r="G8236" s="92"/>
      <c r="I8236">
        <v>7</v>
      </c>
      <c r="J8236" t="s">
        <v>26</v>
      </c>
      <c r="K8236" s="57"/>
      <c r="S8236" s="57"/>
      <c r="X8236" s="57"/>
    </row>
    <row r="8237" spans="1:24" hidden="1" x14ac:dyDescent="0.35">
      <c r="A8237">
        <v>8233</v>
      </c>
      <c r="B8237">
        <v>8234</v>
      </c>
      <c r="C8237">
        <v>146.102661635</v>
      </c>
      <c r="D8237">
        <v>-17.6132432542</v>
      </c>
      <c r="E8237" s="92" t="str">
        <f t="shared" si="40"/>
        <v/>
      </c>
      <c r="G8237" s="92"/>
      <c r="I8237">
        <v>7</v>
      </c>
      <c r="J8237" t="s">
        <v>26</v>
      </c>
      <c r="K8237" s="57"/>
      <c r="S8237" s="57"/>
      <c r="X8237" s="57"/>
    </row>
    <row r="8238" spans="1:24" hidden="1" x14ac:dyDescent="0.35">
      <c r="A8238">
        <v>8234</v>
      </c>
      <c r="B8238">
        <v>8235</v>
      </c>
      <c r="C8238">
        <v>146.10268932400001</v>
      </c>
      <c r="D8238">
        <v>-17.613161802600001</v>
      </c>
      <c r="E8238" s="92">
        <f t="shared" si="40"/>
        <v>50</v>
      </c>
      <c r="G8238" s="92"/>
      <c r="I8238">
        <v>7</v>
      </c>
      <c r="J8238" t="s">
        <v>26</v>
      </c>
      <c r="K8238" s="57"/>
      <c r="S8238" s="57"/>
      <c r="X8238" s="57"/>
    </row>
    <row r="8239" spans="1:24" hidden="1" x14ac:dyDescent="0.35">
      <c r="A8239">
        <v>8235</v>
      </c>
      <c r="B8239">
        <v>8236</v>
      </c>
      <c r="C8239">
        <v>146.102719524999</v>
      </c>
      <c r="D8239">
        <v>-17.6130813087</v>
      </c>
      <c r="E8239" s="92" t="str">
        <f t="shared" si="40"/>
        <v/>
      </c>
      <c r="G8239" s="92"/>
      <c r="I8239">
        <v>7</v>
      </c>
      <c r="J8239" t="s">
        <v>26</v>
      </c>
      <c r="K8239" s="57"/>
      <c r="S8239" s="57"/>
      <c r="X8239" s="57"/>
    </row>
    <row r="8240" spans="1:24" hidden="1" x14ac:dyDescent="0.35">
      <c r="A8240">
        <v>8236</v>
      </c>
      <c r="B8240">
        <v>8237</v>
      </c>
      <c r="C8240">
        <v>146.102758408</v>
      </c>
      <c r="D8240">
        <v>-17.6130041248</v>
      </c>
      <c r="E8240" s="92" t="str">
        <f t="shared" si="40"/>
        <v/>
      </c>
      <c r="G8240" s="92"/>
      <c r="I8240">
        <v>7</v>
      </c>
      <c r="J8240" t="s">
        <v>26</v>
      </c>
      <c r="K8240" s="57"/>
      <c r="S8240" s="57"/>
      <c r="X8240" s="57"/>
    </row>
    <row r="8241" spans="1:24" hidden="1" x14ac:dyDescent="0.35">
      <c r="A8241">
        <v>8237</v>
      </c>
      <c r="B8241">
        <v>8238</v>
      </c>
      <c r="C8241">
        <v>146.102797291999</v>
      </c>
      <c r="D8241">
        <v>-17.6129269409</v>
      </c>
      <c r="E8241" s="92" t="str">
        <f t="shared" si="40"/>
        <v/>
      </c>
      <c r="G8241" s="92"/>
      <c r="I8241">
        <v>7</v>
      </c>
      <c r="J8241" t="s">
        <v>26</v>
      </c>
      <c r="K8241" s="57"/>
      <c r="S8241" s="57"/>
      <c r="X8241" s="57"/>
    </row>
    <row r="8242" spans="1:24" hidden="1" x14ac:dyDescent="0.35">
      <c r="A8242">
        <v>8238</v>
      </c>
      <c r="B8242">
        <v>8239</v>
      </c>
      <c r="C8242">
        <v>146.10283617600001</v>
      </c>
      <c r="D8242">
        <v>-17.6128497569999</v>
      </c>
      <c r="E8242" s="92" t="str">
        <f t="shared" si="40"/>
        <v/>
      </c>
      <c r="G8242" s="92"/>
      <c r="I8242">
        <v>7</v>
      </c>
      <c r="J8242" t="s">
        <v>26</v>
      </c>
      <c r="K8242" s="57"/>
      <c r="S8242" s="57"/>
      <c r="X8242" s="57"/>
    </row>
    <row r="8243" spans="1:24" hidden="1" x14ac:dyDescent="0.35">
      <c r="A8243">
        <v>8239</v>
      </c>
      <c r="B8243">
        <v>8240</v>
      </c>
      <c r="C8243">
        <v>146.102882176999</v>
      </c>
      <c r="D8243">
        <v>-17.6127766607</v>
      </c>
      <c r="E8243" s="92">
        <f t="shared" si="40"/>
        <v>50</v>
      </c>
      <c r="G8243" s="92"/>
      <c r="I8243">
        <v>7</v>
      </c>
      <c r="J8243" t="s">
        <v>26</v>
      </c>
      <c r="K8243" s="57"/>
      <c r="S8243" s="57"/>
      <c r="X8243" s="57"/>
    </row>
    <row r="8244" spans="1:24" hidden="1" x14ac:dyDescent="0.35">
      <c r="A8244">
        <v>8240</v>
      </c>
      <c r="B8244">
        <v>8241</v>
      </c>
      <c r="C8244">
        <v>146.102935596999</v>
      </c>
      <c r="D8244">
        <v>-17.612707824000001</v>
      </c>
      <c r="E8244" s="92" t="str">
        <f t="shared" si="40"/>
        <v/>
      </c>
      <c r="G8244" s="92"/>
      <c r="I8244">
        <v>7</v>
      </c>
      <c r="J8244" t="s">
        <v>26</v>
      </c>
      <c r="K8244" s="57"/>
      <c r="S8244" s="57"/>
      <c r="X8244" s="57"/>
    </row>
    <row r="8245" spans="1:24" hidden="1" x14ac:dyDescent="0.35">
      <c r="A8245">
        <v>8241</v>
      </c>
      <c r="B8245">
        <v>8242</v>
      </c>
      <c r="C8245">
        <v>146.10300719200001</v>
      </c>
      <c r="D8245">
        <v>-17.612659427600001</v>
      </c>
      <c r="E8245" s="92" t="str">
        <f t="shared" si="40"/>
        <v/>
      </c>
      <c r="G8245" s="92"/>
      <c r="I8245">
        <v>7</v>
      </c>
      <c r="J8245" t="s">
        <v>26</v>
      </c>
      <c r="K8245" s="57"/>
      <c r="S8245" s="57"/>
      <c r="X8245" s="57"/>
    </row>
    <row r="8246" spans="1:24" hidden="1" x14ac:dyDescent="0.35">
      <c r="A8246">
        <v>8242</v>
      </c>
      <c r="B8246">
        <v>8243</v>
      </c>
      <c r="C8246">
        <v>146.103087195999</v>
      </c>
      <c r="D8246">
        <v>-17.6126204888999</v>
      </c>
      <c r="E8246" s="92" t="str">
        <f t="shared" si="40"/>
        <v/>
      </c>
      <c r="G8246" s="92"/>
      <c r="I8246">
        <v>7</v>
      </c>
      <c r="J8246" t="s">
        <v>26</v>
      </c>
      <c r="K8246" s="57"/>
      <c r="S8246" s="57"/>
      <c r="X8246" s="57"/>
    </row>
    <row r="8247" spans="1:24" hidden="1" x14ac:dyDescent="0.35">
      <c r="A8247">
        <v>8243</v>
      </c>
      <c r="B8247">
        <v>8244</v>
      </c>
      <c r="C8247">
        <v>146.1031672</v>
      </c>
      <c r="D8247">
        <v>-17.612581550200002</v>
      </c>
      <c r="E8247" s="92" t="str">
        <f t="shared" si="40"/>
        <v/>
      </c>
      <c r="G8247" s="92"/>
      <c r="I8247">
        <v>7</v>
      </c>
      <c r="J8247" t="s">
        <v>26</v>
      </c>
      <c r="K8247" s="57"/>
      <c r="S8247" s="57"/>
      <c r="X8247" s="57"/>
    </row>
    <row r="8248" spans="1:24" hidden="1" x14ac:dyDescent="0.35">
      <c r="A8248">
        <v>8244</v>
      </c>
      <c r="B8248">
        <v>8245</v>
      </c>
      <c r="C8248">
        <v>146.10325108800001</v>
      </c>
      <c r="D8248">
        <v>-17.6125528482</v>
      </c>
      <c r="E8248" s="92">
        <f t="shared" si="40"/>
        <v>50</v>
      </c>
      <c r="G8248" s="92"/>
      <c r="I8248">
        <v>7</v>
      </c>
      <c r="J8248" t="s">
        <v>26</v>
      </c>
      <c r="K8248" s="57"/>
      <c r="S8248" s="57"/>
      <c r="X8248" s="57"/>
    </row>
    <row r="8249" spans="1:24" hidden="1" x14ac:dyDescent="0.35">
      <c r="A8249">
        <v>8245</v>
      </c>
      <c r="B8249">
        <v>8246</v>
      </c>
      <c r="C8249">
        <v>146.103338718</v>
      </c>
      <c r="D8249">
        <v>-17.6125340086999</v>
      </c>
      <c r="E8249" s="92" t="str">
        <f t="shared" si="40"/>
        <v/>
      </c>
      <c r="G8249" s="92"/>
      <c r="I8249">
        <v>7</v>
      </c>
      <c r="J8249" t="s">
        <v>26</v>
      </c>
      <c r="K8249" s="57"/>
      <c r="S8249" s="57"/>
      <c r="X8249" s="57"/>
    </row>
    <row r="8250" spans="1:24" hidden="1" x14ac:dyDescent="0.35">
      <c r="A8250">
        <v>8246</v>
      </c>
      <c r="B8250">
        <v>8247</v>
      </c>
      <c r="C8250">
        <v>146.103426347999</v>
      </c>
      <c r="D8250">
        <v>-17.612515169200002</v>
      </c>
      <c r="E8250" s="92" t="str">
        <f t="shared" si="40"/>
        <v/>
      </c>
      <c r="G8250" s="92"/>
      <c r="I8250">
        <v>7</v>
      </c>
      <c r="J8250" t="s">
        <v>26</v>
      </c>
      <c r="K8250" s="57"/>
      <c r="S8250" s="57"/>
      <c r="X8250" s="57"/>
    </row>
    <row r="8251" spans="1:24" hidden="1" x14ac:dyDescent="0.35">
      <c r="A8251">
        <v>8247</v>
      </c>
      <c r="B8251">
        <v>8248</v>
      </c>
      <c r="C8251">
        <v>146.103513977999</v>
      </c>
      <c r="D8251">
        <v>-17.6124963295999</v>
      </c>
      <c r="E8251" s="92" t="str">
        <f t="shared" si="40"/>
        <v/>
      </c>
      <c r="G8251" s="92"/>
      <c r="I8251">
        <v>7</v>
      </c>
      <c r="J8251" t="s">
        <v>26</v>
      </c>
      <c r="K8251" s="57"/>
      <c r="S8251" s="57"/>
      <c r="X8251" s="57"/>
    </row>
    <row r="8252" spans="1:24" hidden="1" x14ac:dyDescent="0.35">
      <c r="A8252">
        <v>8248</v>
      </c>
      <c r="B8252">
        <v>8249</v>
      </c>
      <c r="C8252">
        <v>146.103601873</v>
      </c>
      <c r="D8252">
        <v>-17.6125047548</v>
      </c>
      <c r="E8252" s="92" t="str">
        <f t="shared" si="40"/>
        <v/>
      </c>
      <c r="G8252" s="92"/>
      <c r="I8252">
        <v>7</v>
      </c>
      <c r="J8252" t="s">
        <v>26</v>
      </c>
      <c r="K8252" s="57"/>
      <c r="S8252" s="57"/>
      <c r="X8252" s="57"/>
    </row>
    <row r="8253" spans="1:24" hidden="1" x14ac:dyDescent="0.35">
      <c r="A8253">
        <v>8249</v>
      </c>
      <c r="B8253">
        <v>8250</v>
      </c>
      <c r="C8253">
        <v>146.10368985400001</v>
      </c>
      <c r="D8253">
        <v>-17.6125220447</v>
      </c>
      <c r="E8253" s="92">
        <f t="shared" si="40"/>
        <v>50</v>
      </c>
      <c r="G8253" s="92"/>
      <c r="I8253">
        <v>7</v>
      </c>
      <c r="J8253" t="s">
        <v>26</v>
      </c>
      <c r="K8253" s="57"/>
      <c r="S8253" s="57"/>
      <c r="X8253" s="57"/>
    </row>
    <row r="8254" spans="1:24" hidden="1" x14ac:dyDescent="0.35">
      <c r="A8254">
        <v>8250</v>
      </c>
      <c r="B8254">
        <v>8251</v>
      </c>
      <c r="C8254">
        <v>146.103777833999</v>
      </c>
      <c r="D8254">
        <v>-17.6125393344999</v>
      </c>
      <c r="E8254" s="92" t="str">
        <f t="shared" si="40"/>
        <v/>
      </c>
      <c r="G8254" s="92"/>
      <c r="I8254">
        <v>7</v>
      </c>
      <c r="J8254" t="s">
        <v>26</v>
      </c>
      <c r="K8254" s="57"/>
      <c r="S8254" s="57"/>
      <c r="X8254" s="57"/>
    </row>
    <row r="8255" spans="1:24" hidden="1" x14ac:dyDescent="0.35">
      <c r="A8255">
        <v>8251</v>
      </c>
      <c r="B8255">
        <v>8252</v>
      </c>
      <c r="C8255">
        <v>146.10386581500001</v>
      </c>
      <c r="D8255">
        <v>-17.6125566244</v>
      </c>
      <c r="E8255" s="92" t="str">
        <f t="shared" si="40"/>
        <v/>
      </c>
      <c r="G8255" s="92"/>
      <c r="I8255">
        <v>7</v>
      </c>
      <c r="J8255" t="s">
        <v>26</v>
      </c>
      <c r="K8255" s="57"/>
      <c r="S8255" s="57"/>
      <c r="X8255" s="57"/>
    </row>
    <row r="8256" spans="1:24" hidden="1" x14ac:dyDescent="0.35">
      <c r="A8256">
        <v>8252</v>
      </c>
      <c r="B8256">
        <v>8253</v>
      </c>
      <c r="C8256">
        <v>146.103952999999</v>
      </c>
      <c r="D8256">
        <v>-17.6125760020999</v>
      </c>
      <c r="E8256" s="92" t="str">
        <f t="shared" si="40"/>
        <v/>
      </c>
      <c r="G8256" s="92"/>
      <c r="I8256">
        <v>7</v>
      </c>
      <c r="J8256" t="s">
        <v>26</v>
      </c>
      <c r="K8256" s="57"/>
      <c r="S8256" s="57"/>
      <c r="X8256" s="57"/>
    </row>
    <row r="8257" spans="1:24" hidden="1" x14ac:dyDescent="0.35">
      <c r="A8257">
        <v>8253</v>
      </c>
      <c r="B8257">
        <v>8254</v>
      </c>
      <c r="C8257">
        <v>146.10403208400001</v>
      </c>
      <c r="D8257">
        <v>-17.612616612299899</v>
      </c>
      <c r="E8257" s="92" t="str">
        <f t="shared" si="40"/>
        <v/>
      </c>
      <c r="G8257" s="92"/>
      <c r="I8257">
        <v>7</v>
      </c>
      <c r="J8257" t="s">
        <v>26</v>
      </c>
      <c r="K8257" s="57"/>
      <c r="S8257" s="57"/>
      <c r="X8257" s="57"/>
    </row>
    <row r="8258" spans="1:24" hidden="1" x14ac:dyDescent="0.35">
      <c r="A8258">
        <v>8254</v>
      </c>
      <c r="B8258">
        <v>8255</v>
      </c>
      <c r="C8258">
        <v>146.104111168</v>
      </c>
      <c r="D8258">
        <v>-17.612657222500001</v>
      </c>
      <c r="E8258" s="92">
        <f t="shared" si="40"/>
        <v>50</v>
      </c>
      <c r="G8258" s="92"/>
      <c r="I8258">
        <v>7</v>
      </c>
      <c r="J8258" t="s">
        <v>26</v>
      </c>
      <c r="K8258" s="57"/>
      <c r="S8258" s="57"/>
      <c r="X8258" s="57"/>
    </row>
    <row r="8259" spans="1:24" hidden="1" x14ac:dyDescent="0.35">
      <c r="A8259">
        <v>8255</v>
      </c>
      <c r="B8259">
        <v>8256</v>
      </c>
      <c r="C8259">
        <v>146.104190251999</v>
      </c>
      <c r="D8259">
        <v>-17.612697832599899</v>
      </c>
      <c r="E8259" s="92" t="str">
        <f t="shared" si="40"/>
        <v/>
      </c>
      <c r="G8259" s="92"/>
      <c r="I8259">
        <v>7</v>
      </c>
      <c r="J8259" t="s">
        <v>26</v>
      </c>
      <c r="K8259" s="57"/>
      <c r="S8259" s="57"/>
      <c r="X8259" s="57"/>
    </row>
    <row r="8260" spans="1:24" hidden="1" x14ac:dyDescent="0.35">
      <c r="A8260">
        <v>8256</v>
      </c>
      <c r="B8260">
        <v>8257</v>
      </c>
      <c r="C8260">
        <v>146.10426933700001</v>
      </c>
      <c r="D8260">
        <v>-17.612738442800001</v>
      </c>
      <c r="E8260" s="92" t="str">
        <f t="shared" si="40"/>
        <v/>
      </c>
      <c r="G8260" s="92"/>
      <c r="I8260">
        <v>7</v>
      </c>
      <c r="J8260" t="s">
        <v>26</v>
      </c>
      <c r="K8260" s="57"/>
      <c r="S8260" s="57"/>
      <c r="X8260" s="57"/>
    </row>
    <row r="8261" spans="1:24" hidden="1" x14ac:dyDescent="0.35">
      <c r="A8261">
        <v>8257</v>
      </c>
      <c r="B8261">
        <v>8258</v>
      </c>
      <c r="C8261">
        <v>146.104335327999</v>
      </c>
      <c r="D8261">
        <v>-17.6127949014999</v>
      </c>
      <c r="E8261" s="92" t="str">
        <f t="shared" si="40"/>
        <v/>
      </c>
      <c r="G8261" s="92"/>
      <c r="I8261">
        <v>7</v>
      </c>
      <c r="J8261" t="s">
        <v>26</v>
      </c>
      <c r="K8261" s="57"/>
      <c r="S8261" s="57"/>
      <c r="X8261" s="57"/>
    </row>
    <row r="8262" spans="1:24" hidden="1" x14ac:dyDescent="0.35">
      <c r="A8262">
        <v>8258</v>
      </c>
      <c r="B8262">
        <v>8259</v>
      </c>
      <c r="C8262">
        <v>146.104395296999</v>
      </c>
      <c r="D8262">
        <v>-17.61285865</v>
      </c>
      <c r="E8262" s="92" t="str">
        <f t="shared" si="40"/>
        <v/>
      </c>
      <c r="G8262" s="92"/>
      <c r="I8262">
        <v>7</v>
      </c>
      <c r="J8262" t="s">
        <v>26</v>
      </c>
      <c r="K8262" s="57"/>
      <c r="S8262" s="57"/>
      <c r="X8262" s="57"/>
    </row>
    <row r="8263" spans="1:24" hidden="1" x14ac:dyDescent="0.35">
      <c r="A8263">
        <v>8259</v>
      </c>
      <c r="B8263">
        <v>8260</v>
      </c>
      <c r="C8263">
        <v>146.10445526500001</v>
      </c>
      <c r="D8263">
        <v>-17.612922398399899</v>
      </c>
      <c r="E8263" s="92">
        <f t="shared" si="40"/>
        <v>50</v>
      </c>
      <c r="G8263" s="92"/>
      <c r="I8263">
        <v>7</v>
      </c>
      <c r="J8263" t="s">
        <v>26</v>
      </c>
      <c r="K8263" s="57"/>
      <c r="S8263" s="57"/>
      <c r="X8263" s="57"/>
    </row>
    <row r="8264" spans="1:24" hidden="1" x14ac:dyDescent="0.35">
      <c r="A8264">
        <v>8260</v>
      </c>
      <c r="B8264">
        <v>8261</v>
      </c>
      <c r="C8264">
        <v>146.104515233999</v>
      </c>
      <c r="D8264">
        <v>-17.612986146800001</v>
      </c>
      <c r="E8264" s="92" t="str">
        <f t="shared" si="40"/>
        <v/>
      </c>
      <c r="G8264" s="92"/>
      <c r="I8264">
        <v>7</v>
      </c>
      <c r="J8264" t="s">
        <v>26</v>
      </c>
      <c r="K8264" s="57"/>
      <c r="S8264" s="57"/>
      <c r="X8264" s="57"/>
    </row>
    <row r="8265" spans="1:24" hidden="1" x14ac:dyDescent="0.35">
      <c r="A8265">
        <v>8261</v>
      </c>
      <c r="B8265">
        <v>8262</v>
      </c>
      <c r="C8265">
        <v>146.104575202999</v>
      </c>
      <c r="D8265">
        <v>-17.613049895300001</v>
      </c>
      <c r="E8265" s="92" t="str">
        <f t="shared" si="40"/>
        <v/>
      </c>
      <c r="G8265" s="92"/>
      <c r="I8265">
        <v>7</v>
      </c>
      <c r="J8265" t="s">
        <v>26</v>
      </c>
      <c r="K8265" s="57"/>
      <c r="S8265" s="57"/>
      <c r="X8265" s="57"/>
    </row>
    <row r="8266" spans="1:24" hidden="1" x14ac:dyDescent="0.35">
      <c r="A8266">
        <v>8262</v>
      </c>
      <c r="B8266">
        <v>8263</v>
      </c>
      <c r="C8266">
        <v>146.104635172</v>
      </c>
      <c r="D8266">
        <v>-17.6131136437</v>
      </c>
      <c r="E8266" s="92" t="str">
        <f t="shared" si="40"/>
        <v/>
      </c>
      <c r="G8266" s="92"/>
      <c r="I8266">
        <v>7</v>
      </c>
      <c r="J8266" t="s">
        <v>26</v>
      </c>
      <c r="K8266" s="57"/>
      <c r="S8266" s="57"/>
      <c r="X8266" s="57"/>
    </row>
    <row r="8267" spans="1:24" hidden="1" x14ac:dyDescent="0.35">
      <c r="A8267">
        <v>8263</v>
      </c>
      <c r="B8267">
        <v>8264</v>
      </c>
      <c r="C8267">
        <v>146.104701680999</v>
      </c>
      <c r="D8267">
        <v>-17.6131711146</v>
      </c>
      <c r="E8267" s="92" t="str">
        <f t="shared" si="40"/>
        <v/>
      </c>
      <c r="G8267" s="92"/>
      <c r="I8267">
        <v>7</v>
      </c>
      <c r="J8267" t="s">
        <v>26</v>
      </c>
      <c r="K8267" s="57"/>
      <c r="S8267" s="57"/>
      <c r="X8267" s="57"/>
    </row>
    <row r="8268" spans="1:24" hidden="1" x14ac:dyDescent="0.35">
      <c r="A8268">
        <v>8264</v>
      </c>
      <c r="B8268">
        <v>8265</v>
      </c>
      <c r="C8268">
        <v>146.104768981999</v>
      </c>
      <c r="D8268">
        <v>-17.613227825700001</v>
      </c>
      <c r="E8268" s="92">
        <f t="shared" si="40"/>
        <v>50</v>
      </c>
      <c r="G8268" s="92"/>
      <c r="I8268">
        <v>7</v>
      </c>
      <c r="J8268" t="s">
        <v>26</v>
      </c>
      <c r="K8268" s="57"/>
      <c r="S8268" s="57"/>
      <c r="X8268" s="57"/>
    </row>
    <row r="8269" spans="1:24" hidden="1" x14ac:dyDescent="0.35">
      <c r="A8269">
        <v>8265</v>
      </c>
      <c r="B8269">
        <v>8266</v>
      </c>
      <c r="C8269">
        <v>146.104836282999</v>
      </c>
      <c r="D8269">
        <v>-17.6132845369</v>
      </c>
      <c r="E8269" s="92" t="str">
        <f t="shared" si="40"/>
        <v/>
      </c>
      <c r="G8269" s="92"/>
      <c r="I8269">
        <v>7</v>
      </c>
      <c r="J8269" t="s">
        <v>26</v>
      </c>
      <c r="K8269" s="57"/>
      <c r="S8269" s="57"/>
      <c r="X8269" s="57"/>
    </row>
    <row r="8270" spans="1:24" hidden="1" x14ac:dyDescent="0.35">
      <c r="A8270">
        <v>8266</v>
      </c>
      <c r="B8270">
        <v>8267</v>
      </c>
      <c r="C8270">
        <v>146.10490358300001</v>
      </c>
      <c r="D8270">
        <v>-17.613341248000001</v>
      </c>
      <c r="E8270" s="92" t="str">
        <f t="shared" si="40"/>
        <v/>
      </c>
      <c r="G8270" s="92"/>
      <c r="I8270">
        <v>7</v>
      </c>
      <c r="J8270" t="s">
        <v>26</v>
      </c>
      <c r="K8270" s="57"/>
      <c r="S8270" s="57"/>
      <c r="X8270" s="57"/>
    </row>
    <row r="8271" spans="1:24" hidden="1" x14ac:dyDescent="0.35">
      <c r="A8271">
        <v>8267</v>
      </c>
      <c r="B8271">
        <v>8268</v>
      </c>
      <c r="C8271">
        <v>146.10497088400001</v>
      </c>
      <c r="D8271">
        <v>-17.6133979592</v>
      </c>
      <c r="E8271" s="92" t="str">
        <f t="shared" si="40"/>
        <v/>
      </c>
      <c r="G8271" s="92"/>
      <c r="I8271">
        <v>7</v>
      </c>
      <c r="J8271" t="s">
        <v>26</v>
      </c>
      <c r="K8271" s="57"/>
      <c r="S8271" s="57"/>
      <c r="X8271" s="57"/>
    </row>
    <row r="8272" spans="1:24" hidden="1" x14ac:dyDescent="0.35">
      <c r="A8272">
        <v>8268</v>
      </c>
      <c r="B8272">
        <v>8269</v>
      </c>
      <c r="C8272">
        <v>146.10503406000001</v>
      </c>
      <c r="D8272">
        <v>-17.613458488100001</v>
      </c>
      <c r="E8272" s="92" t="str">
        <f t="shared" ref="E8272:E8335" si="41">IF(MOD(B8272,5)=0, 50, "")</f>
        <v/>
      </c>
      <c r="G8272" s="92"/>
      <c r="I8272">
        <v>7</v>
      </c>
      <c r="J8272" t="s">
        <v>26</v>
      </c>
      <c r="K8272" s="57"/>
      <c r="S8272" s="57"/>
      <c r="X8272" s="57"/>
    </row>
    <row r="8273" spans="1:24" hidden="1" x14ac:dyDescent="0.35">
      <c r="A8273">
        <v>8269</v>
      </c>
      <c r="B8273">
        <v>8270</v>
      </c>
      <c r="C8273">
        <v>146.10509155400001</v>
      </c>
      <c r="D8273">
        <v>-17.613524274700001</v>
      </c>
      <c r="E8273" s="92">
        <f t="shared" si="41"/>
        <v>50</v>
      </c>
      <c r="G8273" s="92"/>
      <c r="I8273">
        <v>7</v>
      </c>
      <c r="J8273" t="s">
        <v>26</v>
      </c>
      <c r="K8273" s="57"/>
      <c r="S8273" s="57"/>
      <c r="X8273" s="57"/>
    </row>
    <row r="8274" spans="1:24" hidden="1" x14ac:dyDescent="0.35">
      <c r="A8274">
        <v>8270</v>
      </c>
      <c r="B8274">
        <v>8271</v>
      </c>
      <c r="C8274">
        <v>146.105149049</v>
      </c>
      <c r="D8274">
        <v>-17.613590061299899</v>
      </c>
      <c r="E8274" s="92" t="str">
        <f t="shared" si="41"/>
        <v/>
      </c>
      <c r="G8274" s="92"/>
      <c r="I8274">
        <v>7</v>
      </c>
      <c r="J8274" t="s">
        <v>26</v>
      </c>
      <c r="K8274" s="57"/>
      <c r="S8274" s="57"/>
      <c r="X8274" s="57"/>
    </row>
    <row r="8275" spans="1:24" hidden="1" x14ac:dyDescent="0.35">
      <c r="A8275">
        <v>8271</v>
      </c>
      <c r="B8275">
        <v>8272</v>
      </c>
      <c r="C8275">
        <v>146.10520654300001</v>
      </c>
      <c r="D8275">
        <v>-17.613655847899899</v>
      </c>
      <c r="E8275" s="92" t="str">
        <f t="shared" si="41"/>
        <v/>
      </c>
      <c r="G8275" s="92"/>
      <c r="I8275">
        <v>7</v>
      </c>
      <c r="J8275" t="s">
        <v>26</v>
      </c>
      <c r="K8275" s="57"/>
      <c r="S8275" s="57"/>
      <c r="X8275" s="57"/>
    </row>
    <row r="8276" spans="1:24" hidden="1" x14ac:dyDescent="0.35">
      <c r="A8276">
        <v>8272</v>
      </c>
      <c r="B8276">
        <v>8273</v>
      </c>
      <c r="C8276">
        <v>146.10527303500001</v>
      </c>
      <c r="D8276">
        <v>-17.613712032900001</v>
      </c>
      <c r="E8276" s="92" t="str">
        <f t="shared" si="41"/>
        <v/>
      </c>
      <c r="G8276" s="92"/>
      <c r="I8276">
        <v>7</v>
      </c>
      <c r="J8276" t="s">
        <v>26</v>
      </c>
      <c r="K8276" s="57"/>
      <c r="S8276" s="57"/>
      <c r="X8276" s="57"/>
    </row>
    <row r="8277" spans="1:24" hidden="1" x14ac:dyDescent="0.35">
      <c r="A8277">
        <v>8273</v>
      </c>
      <c r="B8277">
        <v>8274</v>
      </c>
      <c r="C8277">
        <v>146.105348085999</v>
      </c>
      <c r="D8277">
        <v>-17.6137590859</v>
      </c>
      <c r="E8277" s="92" t="str">
        <f t="shared" si="41"/>
        <v/>
      </c>
      <c r="G8277" s="92"/>
      <c r="I8277">
        <v>7</v>
      </c>
      <c r="J8277" t="s">
        <v>26</v>
      </c>
      <c r="K8277" s="57"/>
      <c r="S8277" s="57"/>
      <c r="X8277" s="57"/>
    </row>
    <row r="8278" spans="1:24" hidden="1" x14ac:dyDescent="0.35">
      <c r="A8278">
        <v>8274</v>
      </c>
      <c r="B8278">
        <v>8275</v>
      </c>
      <c r="C8278">
        <v>146.10542313600001</v>
      </c>
      <c r="D8278">
        <v>-17.613806138800001</v>
      </c>
      <c r="E8278" s="92">
        <f t="shared" si="41"/>
        <v>50</v>
      </c>
      <c r="G8278" s="92"/>
      <c r="I8278">
        <v>7</v>
      </c>
      <c r="J8278" t="s">
        <v>26</v>
      </c>
      <c r="K8278" s="57"/>
      <c r="S8278" s="57"/>
      <c r="X8278" s="57"/>
    </row>
    <row r="8279" spans="1:24" hidden="1" x14ac:dyDescent="0.35">
      <c r="A8279">
        <v>8275</v>
      </c>
      <c r="B8279">
        <v>8276</v>
      </c>
      <c r="C8279">
        <v>146.10550300200001</v>
      </c>
      <c r="D8279">
        <v>-17.613843109200001</v>
      </c>
      <c r="E8279" s="92" t="str">
        <f t="shared" si="41"/>
        <v/>
      </c>
      <c r="G8279" s="92"/>
      <c r="I8279">
        <v>7</v>
      </c>
      <c r="J8279" t="s">
        <v>26</v>
      </c>
      <c r="K8279" s="57"/>
      <c r="S8279" s="57"/>
      <c r="X8279" s="57"/>
    </row>
    <row r="8280" spans="1:24" hidden="1" x14ac:dyDescent="0.35">
      <c r="A8280">
        <v>8276</v>
      </c>
      <c r="B8280">
        <v>8277</v>
      </c>
      <c r="C8280">
        <v>146.10558951799899</v>
      </c>
      <c r="D8280">
        <v>-17.6138661576</v>
      </c>
      <c r="E8280" s="92" t="str">
        <f t="shared" si="41"/>
        <v/>
      </c>
      <c r="G8280" s="92"/>
      <c r="I8280">
        <v>7</v>
      </c>
      <c r="J8280" t="s">
        <v>26</v>
      </c>
      <c r="K8280" s="57"/>
      <c r="S8280" s="57"/>
      <c r="X8280" s="57"/>
    </row>
    <row r="8281" spans="1:24" hidden="1" x14ac:dyDescent="0.35">
      <c r="A8281">
        <v>8277</v>
      </c>
      <c r="B8281">
        <v>8278</v>
      </c>
      <c r="C8281">
        <v>146.10567603300001</v>
      </c>
      <c r="D8281">
        <v>-17.613889206</v>
      </c>
      <c r="E8281" s="92" t="str">
        <f t="shared" si="41"/>
        <v/>
      </c>
      <c r="G8281" s="92"/>
      <c r="I8281">
        <v>7</v>
      </c>
      <c r="J8281" t="s">
        <v>26</v>
      </c>
      <c r="K8281" s="57"/>
      <c r="S8281" s="57"/>
      <c r="X8281" s="57"/>
    </row>
    <row r="8282" spans="1:24" hidden="1" x14ac:dyDescent="0.35">
      <c r="A8282">
        <v>8278</v>
      </c>
      <c r="B8282">
        <v>8279</v>
      </c>
      <c r="C8282">
        <v>146.105765238999</v>
      </c>
      <c r="D8282">
        <v>-17.613893877999899</v>
      </c>
      <c r="E8282" s="92" t="str">
        <f t="shared" si="41"/>
        <v/>
      </c>
      <c r="G8282" s="92"/>
      <c r="I8282">
        <v>7</v>
      </c>
      <c r="J8282" t="s">
        <v>26</v>
      </c>
      <c r="K8282" s="57"/>
      <c r="S8282" s="57"/>
      <c r="X8282" s="57"/>
    </row>
    <row r="8283" spans="1:24" hidden="1" x14ac:dyDescent="0.35">
      <c r="A8283">
        <v>8279</v>
      </c>
      <c r="B8283">
        <v>8280</v>
      </c>
      <c r="C8283">
        <v>146.10585326500001</v>
      </c>
      <c r="D8283">
        <v>-17.613886507</v>
      </c>
      <c r="E8283" s="92">
        <f t="shared" si="41"/>
        <v>50</v>
      </c>
      <c r="G8283" s="92"/>
      <c r="I8283">
        <v>7</v>
      </c>
      <c r="J8283" t="s">
        <v>26</v>
      </c>
      <c r="K8283" s="57"/>
      <c r="S8283" s="57"/>
      <c r="X8283" s="57"/>
    </row>
    <row r="8284" spans="1:24" hidden="1" x14ac:dyDescent="0.35">
      <c r="A8284">
        <v>8280</v>
      </c>
      <c r="B8284">
        <v>8281</v>
      </c>
      <c r="C8284">
        <v>146.10593454100001</v>
      </c>
      <c r="D8284">
        <v>-17.613850038100001</v>
      </c>
      <c r="E8284" s="92" t="str">
        <f t="shared" si="41"/>
        <v/>
      </c>
      <c r="G8284" s="92"/>
      <c r="I8284">
        <v>7</v>
      </c>
      <c r="J8284" t="s">
        <v>26</v>
      </c>
      <c r="K8284" s="57"/>
      <c r="S8284" s="57"/>
      <c r="X8284" s="57"/>
    </row>
    <row r="8285" spans="1:24" hidden="1" x14ac:dyDescent="0.35">
      <c r="A8285">
        <v>8281</v>
      </c>
      <c r="B8285">
        <v>8282</v>
      </c>
      <c r="C8285">
        <v>146.10599682500001</v>
      </c>
      <c r="D8285">
        <v>-17.613792530200001</v>
      </c>
      <c r="E8285" s="92" t="str">
        <f t="shared" si="41"/>
        <v/>
      </c>
      <c r="G8285" s="92"/>
      <c r="I8285">
        <v>7</v>
      </c>
      <c r="J8285" t="s">
        <v>26</v>
      </c>
      <c r="K8285" s="57"/>
      <c r="S8285" s="57"/>
      <c r="X8285" s="57"/>
    </row>
    <row r="8286" spans="1:24" hidden="1" x14ac:dyDescent="0.35">
      <c r="A8286">
        <v>8282</v>
      </c>
      <c r="B8286">
        <v>8283</v>
      </c>
      <c r="C8286">
        <v>146.10604679599899</v>
      </c>
      <c r="D8286">
        <v>-17.6137213800999</v>
      </c>
      <c r="E8286" s="92" t="str">
        <f t="shared" si="41"/>
        <v/>
      </c>
      <c r="G8286" s="92"/>
      <c r="I8286">
        <v>7</v>
      </c>
      <c r="J8286" t="s">
        <v>26</v>
      </c>
      <c r="K8286" s="57"/>
      <c r="S8286" s="57"/>
      <c r="X8286" s="57"/>
    </row>
    <row r="8287" spans="1:24" hidden="1" x14ac:dyDescent="0.35">
      <c r="A8287">
        <v>8283</v>
      </c>
      <c r="B8287">
        <v>8284</v>
      </c>
      <c r="C8287">
        <v>146.10605389899899</v>
      </c>
      <c r="D8287">
        <v>-17.6136365933999</v>
      </c>
      <c r="E8287" s="92" t="str">
        <f t="shared" si="41"/>
        <v/>
      </c>
      <c r="G8287" s="92"/>
      <c r="I8287">
        <v>7</v>
      </c>
      <c r="J8287" t="s">
        <v>26</v>
      </c>
      <c r="K8287" s="57"/>
      <c r="S8287" s="57"/>
      <c r="X8287" s="57"/>
    </row>
    <row r="8288" spans="1:24" hidden="1" x14ac:dyDescent="0.35">
      <c r="A8288">
        <v>8284</v>
      </c>
      <c r="B8288">
        <v>8285</v>
      </c>
      <c r="C8288">
        <v>146.106053672</v>
      </c>
      <c r="D8288">
        <v>-17.613551169000001</v>
      </c>
      <c r="E8288" s="92">
        <f t="shared" si="41"/>
        <v>50</v>
      </c>
      <c r="G8288" s="92"/>
      <c r="I8288">
        <v>7</v>
      </c>
      <c r="J8288" t="s">
        <v>26</v>
      </c>
      <c r="K8288" s="57"/>
      <c r="S8288" s="57"/>
      <c r="X8288" s="57"/>
    </row>
    <row r="8289" spans="1:24" hidden="1" x14ac:dyDescent="0.35">
      <c r="A8289">
        <v>8285</v>
      </c>
      <c r="B8289">
        <v>8286</v>
      </c>
      <c r="C8289">
        <v>146.10604624300001</v>
      </c>
      <c r="D8289">
        <v>-17.613465842</v>
      </c>
      <c r="E8289" s="92" t="str">
        <f t="shared" si="41"/>
        <v/>
      </c>
      <c r="G8289" s="92"/>
      <c r="I8289">
        <v>7</v>
      </c>
      <c r="J8289" t="s">
        <v>26</v>
      </c>
      <c r="K8289" s="57"/>
      <c r="S8289" s="57"/>
      <c r="X8289" s="57"/>
    </row>
    <row r="8290" spans="1:24" hidden="1" x14ac:dyDescent="0.35">
      <c r="A8290">
        <v>8286</v>
      </c>
      <c r="B8290">
        <v>8287</v>
      </c>
      <c r="C8290">
        <v>146.10603881500001</v>
      </c>
      <c r="D8290">
        <v>-17.6133805149999</v>
      </c>
      <c r="E8290" s="92" t="str">
        <f t="shared" si="41"/>
        <v/>
      </c>
      <c r="G8290" s="92"/>
      <c r="I8290">
        <v>7</v>
      </c>
      <c r="J8290" t="s">
        <v>26</v>
      </c>
      <c r="K8290" s="57"/>
      <c r="S8290" s="57"/>
      <c r="X8290" s="57"/>
    </row>
    <row r="8291" spans="1:24" hidden="1" x14ac:dyDescent="0.35">
      <c r="A8291">
        <v>8287</v>
      </c>
      <c r="B8291">
        <v>8288</v>
      </c>
      <c r="C8291">
        <v>146.106021193</v>
      </c>
      <c r="D8291">
        <v>-17.613296704700002</v>
      </c>
      <c r="E8291" s="92" t="str">
        <f t="shared" si="41"/>
        <v/>
      </c>
      <c r="G8291" s="92"/>
      <c r="I8291">
        <v>7</v>
      </c>
      <c r="J8291" t="s">
        <v>26</v>
      </c>
      <c r="K8291" s="57"/>
      <c r="S8291" s="57"/>
      <c r="X8291" s="57"/>
    </row>
    <row r="8292" spans="1:24" hidden="1" x14ac:dyDescent="0.35">
      <c r="A8292">
        <v>8288</v>
      </c>
      <c r="B8292">
        <v>8289</v>
      </c>
      <c r="C8292">
        <v>146.106000983</v>
      </c>
      <c r="D8292">
        <v>-17.613213279299899</v>
      </c>
      <c r="E8292" s="92" t="str">
        <f t="shared" si="41"/>
        <v/>
      </c>
      <c r="G8292" s="92"/>
      <c r="I8292">
        <v>7</v>
      </c>
      <c r="J8292" t="s">
        <v>26</v>
      </c>
      <c r="K8292" s="57"/>
      <c r="S8292" s="57"/>
      <c r="X8292" s="57"/>
    </row>
    <row r="8293" spans="1:24" hidden="1" x14ac:dyDescent="0.35">
      <c r="A8293">
        <v>8289</v>
      </c>
      <c r="B8293">
        <v>8290</v>
      </c>
      <c r="C8293">
        <v>146.10598077399899</v>
      </c>
      <c r="D8293">
        <v>-17.613129853899899</v>
      </c>
      <c r="E8293" s="92">
        <f t="shared" si="41"/>
        <v>50</v>
      </c>
      <c r="G8293" s="92"/>
      <c r="I8293">
        <v>7</v>
      </c>
      <c r="J8293" t="s">
        <v>26</v>
      </c>
      <c r="K8293" s="57"/>
      <c r="S8293" s="57"/>
      <c r="X8293" s="57"/>
    </row>
    <row r="8294" spans="1:24" hidden="1" x14ac:dyDescent="0.35">
      <c r="A8294">
        <v>8290</v>
      </c>
      <c r="B8294">
        <v>8291</v>
      </c>
      <c r="C8294">
        <v>146.10596056399899</v>
      </c>
      <c r="D8294">
        <v>-17.613046428400001</v>
      </c>
      <c r="E8294" s="92" t="str">
        <f t="shared" si="41"/>
        <v/>
      </c>
      <c r="G8294" s="92"/>
      <c r="I8294">
        <v>7</v>
      </c>
      <c r="J8294" t="s">
        <v>26</v>
      </c>
      <c r="K8294" s="57"/>
      <c r="S8294" s="57"/>
      <c r="X8294" s="57"/>
    </row>
    <row r="8295" spans="1:24" hidden="1" x14ac:dyDescent="0.35">
      <c r="A8295">
        <v>8291</v>
      </c>
      <c r="B8295">
        <v>8292</v>
      </c>
      <c r="C8295">
        <v>146.105937904999</v>
      </c>
      <c r="D8295">
        <v>-17.6129637863</v>
      </c>
      <c r="E8295" s="92" t="str">
        <f t="shared" si="41"/>
        <v/>
      </c>
      <c r="G8295" s="92"/>
      <c r="I8295">
        <v>7</v>
      </c>
      <c r="J8295" t="s">
        <v>26</v>
      </c>
      <c r="K8295" s="57"/>
      <c r="S8295" s="57"/>
      <c r="X8295" s="57"/>
    </row>
    <row r="8296" spans="1:24" hidden="1" x14ac:dyDescent="0.35">
      <c r="A8296">
        <v>8292</v>
      </c>
      <c r="B8296">
        <v>8293</v>
      </c>
      <c r="C8296">
        <v>146.10590121600001</v>
      </c>
      <c r="D8296">
        <v>-17.6128856326999</v>
      </c>
      <c r="E8296" s="92" t="str">
        <f t="shared" si="41"/>
        <v/>
      </c>
      <c r="G8296" s="92"/>
      <c r="I8296">
        <v>7</v>
      </c>
      <c r="J8296" t="s">
        <v>26</v>
      </c>
      <c r="K8296" s="57"/>
      <c r="S8296" s="57"/>
      <c r="X8296" s="57"/>
    </row>
    <row r="8297" spans="1:24" hidden="1" x14ac:dyDescent="0.35">
      <c r="A8297">
        <v>8293</v>
      </c>
      <c r="B8297">
        <v>8294</v>
      </c>
      <c r="C8297">
        <v>146.105864526</v>
      </c>
      <c r="D8297">
        <v>-17.612807479099899</v>
      </c>
      <c r="E8297" s="92" t="str">
        <f t="shared" si="41"/>
        <v/>
      </c>
      <c r="G8297" s="92"/>
      <c r="I8297">
        <v>7</v>
      </c>
      <c r="J8297" t="s">
        <v>26</v>
      </c>
      <c r="K8297" s="57"/>
      <c r="S8297" s="57"/>
      <c r="X8297" s="57"/>
    </row>
    <row r="8298" spans="1:24" hidden="1" x14ac:dyDescent="0.35">
      <c r="A8298">
        <v>8294</v>
      </c>
      <c r="B8298">
        <v>8295</v>
      </c>
      <c r="C8298">
        <v>146.105827836</v>
      </c>
      <c r="D8298">
        <v>-17.6127293254</v>
      </c>
      <c r="E8298" s="92">
        <f t="shared" si="41"/>
        <v>50</v>
      </c>
      <c r="G8298" s="92"/>
      <c r="I8298">
        <v>7</v>
      </c>
      <c r="J8298" t="s">
        <v>26</v>
      </c>
      <c r="K8298" s="57"/>
      <c r="S8298" s="57"/>
      <c r="X8298" s="57"/>
    </row>
    <row r="8299" spans="1:24" hidden="1" x14ac:dyDescent="0.35">
      <c r="A8299">
        <v>8295</v>
      </c>
      <c r="B8299">
        <v>8296</v>
      </c>
      <c r="C8299">
        <v>146.105791146999</v>
      </c>
      <c r="D8299">
        <v>-17.612651171700001</v>
      </c>
      <c r="E8299" s="92" t="str">
        <f t="shared" si="41"/>
        <v/>
      </c>
      <c r="G8299" s="92"/>
      <c r="I8299">
        <v>7</v>
      </c>
      <c r="J8299" t="s">
        <v>26</v>
      </c>
      <c r="K8299" s="57"/>
      <c r="S8299" s="57"/>
      <c r="X8299" s="57"/>
    </row>
    <row r="8300" spans="1:24" hidden="1" x14ac:dyDescent="0.35">
      <c r="A8300">
        <v>8296</v>
      </c>
      <c r="B8300">
        <v>8297</v>
      </c>
      <c r="C8300">
        <v>146.10575445699899</v>
      </c>
      <c r="D8300">
        <v>-17.6125730179999</v>
      </c>
      <c r="E8300" s="92" t="str">
        <f t="shared" si="41"/>
        <v/>
      </c>
      <c r="G8300" s="92"/>
      <c r="I8300">
        <v>7</v>
      </c>
      <c r="J8300" t="s">
        <v>26</v>
      </c>
      <c r="K8300" s="57"/>
      <c r="S8300" s="57"/>
      <c r="X8300" s="57"/>
    </row>
    <row r="8301" spans="1:24" hidden="1" x14ac:dyDescent="0.35">
      <c r="A8301">
        <v>8297</v>
      </c>
      <c r="B8301">
        <v>8298</v>
      </c>
      <c r="C8301">
        <v>146.105710367999</v>
      </c>
      <c r="D8301">
        <v>-17.612499034700001</v>
      </c>
      <c r="E8301" s="92" t="str">
        <f t="shared" si="41"/>
        <v/>
      </c>
      <c r="G8301" s="92"/>
      <c r="I8301">
        <v>7</v>
      </c>
      <c r="J8301" t="s">
        <v>26</v>
      </c>
      <c r="K8301" s="57"/>
      <c r="S8301" s="57"/>
      <c r="X8301" s="57"/>
    </row>
    <row r="8302" spans="1:24" hidden="1" x14ac:dyDescent="0.35">
      <c r="A8302">
        <v>8298</v>
      </c>
      <c r="B8302">
        <v>8299</v>
      </c>
      <c r="C8302">
        <v>146.10565619400001</v>
      </c>
      <c r="D8302">
        <v>-17.6124307356</v>
      </c>
      <c r="E8302" s="92" t="str">
        <f t="shared" si="41"/>
        <v/>
      </c>
      <c r="G8302" s="92"/>
      <c r="I8302">
        <v>7</v>
      </c>
      <c r="J8302" t="s">
        <v>26</v>
      </c>
      <c r="K8302" s="57"/>
      <c r="S8302" s="57"/>
      <c r="X8302" s="57"/>
    </row>
    <row r="8303" spans="1:24" hidden="1" x14ac:dyDescent="0.35">
      <c r="A8303">
        <v>8299</v>
      </c>
      <c r="B8303">
        <v>8300</v>
      </c>
      <c r="C8303">
        <v>146.105602019999</v>
      </c>
      <c r="D8303">
        <v>-17.6123624365</v>
      </c>
      <c r="E8303" s="92">
        <f t="shared" si="41"/>
        <v>50</v>
      </c>
      <c r="G8303" s="92"/>
      <c r="I8303">
        <v>7</v>
      </c>
      <c r="J8303" t="s">
        <v>26</v>
      </c>
      <c r="K8303" s="57"/>
      <c r="S8303" s="57"/>
      <c r="X8303" s="57"/>
    </row>
    <row r="8304" spans="1:24" hidden="1" x14ac:dyDescent="0.35">
      <c r="A8304">
        <v>8300</v>
      </c>
      <c r="B8304">
        <v>8301</v>
      </c>
      <c r="C8304">
        <v>146.10554784600001</v>
      </c>
      <c r="D8304">
        <v>-17.6122941373999</v>
      </c>
      <c r="E8304" s="92" t="str">
        <f t="shared" si="41"/>
        <v/>
      </c>
      <c r="G8304" s="92"/>
      <c r="I8304">
        <v>7</v>
      </c>
      <c r="J8304" t="s">
        <v>26</v>
      </c>
      <c r="K8304" s="57"/>
      <c r="S8304" s="57"/>
      <c r="X8304" s="57"/>
    </row>
    <row r="8305" spans="1:24" hidden="1" x14ac:dyDescent="0.35">
      <c r="A8305">
        <v>8301</v>
      </c>
      <c r="B8305">
        <v>8302</v>
      </c>
      <c r="C8305">
        <v>146.105493671999</v>
      </c>
      <c r="D8305">
        <v>-17.612225838200001</v>
      </c>
      <c r="E8305" s="92" t="str">
        <f t="shared" si="41"/>
        <v/>
      </c>
      <c r="G8305" s="92"/>
      <c r="I8305">
        <v>7</v>
      </c>
      <c r="J8305" t="s">
        <v>26</v>
      </c>
      <c r="K8305" s="57"/>
      <c r="S8305" s="57"/>
      <c r="X8305" s="57"/>
    </row>
    <row r="8306" spans="1:24" hidden="1" x14ac:dyDescent="0.35">
      <c r="A8306">
        <v>8302</v>
      </c>
      <c r="B8306">
        <v>8303</v>
      </c>
      <c r="C8306">
        <v>146.10543949800001</v>
      </c>
      <c r="D8306">
        <v>-17.612157538999899</v>
      </c>
      <c r="E8306" s="92" t="str">
        <f t="shared" si="41"/>
        <v/>
      </c>
      <c r="G8306" s="92"/>
      <c r="I8306">
        <v>7</v>
      </c>
      <c r="J8306" t="s">
        <v>26</v>
      </c>
      <c r="K8306" s="57"/>
      <c r="S8306" s="57"/>
      <c r="X8306" s="57"/>
    </row>
    <row r="8307" spans="1:24" hidden="1" x14ac:dyDescent="0.35">
      <c r="A8307">
        <v>8303</v>
      </c>
      <c r="B8307">
        <v>8304</v>
      </c>
      <c r="C8307">
        <v>146.105385323999</v>
      </c>
      <c r="D8307">
        <v>-17.6120892398</v>
      </c>
      <c r="E8307" s="92" t="str">
        <f t="shared" si="41"/>
        <v/>
      </c>
      <c r="G8307" s="92"/>
      <c r="I8307">
        <v>7</v>
      </c>
      <c r="J8307" t="s">
        <v>26</v>
      </c>
      <c r="K8307" s="57"/>
      <c r="S8307" s="57"/>
      <c r="X8307" s="57"/>
    </row>
    <row r="8308" spans="1:24" hidden="1" x14ac:dyDescent="0.35">
      <c r="A8308">
        <v>8304</v>
      </c>
      <c r="B8308">
        <v>8305</v>
      </c>
      <c r="C8308">
        <v>146.10533654700001</v>
      </c>
      <c r="D8308">
        <v>-17.6120174228999</v>
      </c>
      <c r="E8308" s="92">
        <f t="shared" si="41"/>
        <v>50</v>
      </c>
      <c r="G8308" s="92"/>
      <c r="I8308">
        <v>7</v>
      </c>
      <c r="J8308" t="s">
        <v>26</v>
      </c>
      <c r="K8308" s="57"/>
      <c r="S8308" s="57"/>
      <c r="X8308" s="57"/>
    </row>
    <row r="8309" spans="1:24" hidden="1" x14ac:dyDescent="0.35">
      <c r="A8309">
        <v>8305</v>
      </c>
      <c r="B8309">
        <v>8306</v>
      </c>
      <c r="C8309">
        <v>146.10528942299899</v>
      </c>
      <c r="D8309">
        <v>-17.6119445287</v>
      </c>
      <c r="E8309" s="92" t="str">
        <f t="shared" si="41"/>
        <v/>
      </c>
      <c r="G8309" s="92"/>
      <c r="I8309">
        <v>7</v>
      </c>
      <c r="J8309" t="s">
        <v>26</v>
      </c>
      <c r="K8309" s="57"/>
      <c r="S8309" s="57"/>
      <c r="X8309" s="57"/>
    </row>
    <row r="8310" spans="1:24" hidden="1" x14ac:dyDescent="0.35">
      <c r="A8310">
        <v>8306</v>
      </c>
      <c r="B8310">
        <v>8307</v>
      </c>
      <c r="C8310">
        <v>146.105242298999</v>
      </c>
      <c r="D8310">
        <v>-17.6118716346</v>
      </c>
      <c r="E8310" s="92" t="str">
        <f t="shared" si="41"/>
        <v/>
      </c>
      <c r="G8310" s="92"/>
      <c r="I8310">
        <v>7</v>
      </c>
      <c r="J8310" t="s">
        <v>26</v>
      </c>
      <c r="K8310" s="57"/>
      <c r="S8310" s="57"/>
      <c r="X8310" s="57"/>
    </row>
    <row r="8311" spans="1:24" hidden="1" x14ac:dyDescent="0.35">
      <c r="A8311">
        <v>8307</v>
      </c>
      <c r="B8311">
        <v>8308</v>
      </c>
      <c r="C8311">
        <v>146.10519517500001</v>
      </c>
      <c r="D8311">
        <v>-17.611798740400001</v>
      </c>
      <c r="E8311" s="92" t="str">
        <f t="shared" si="41"/>
        <v/>
      </c>
      <c r="G8311" s="92"/>
      <c r="I8311">
        <v>7</v>
      </c>
      <c r="J8311" t="s">
        <v>26</v>
      </c>
      <c r="K8311" s="57"/>
      <c r="S8311" s="57"/>
      <c r="X8311" s="57"/>
    </row>
    <row r="8312" spans="1:24" hidden="1" x14ac:dyDescent="0.35">
      <c r="A8312">
        <v>8308</v>
      </c>
      <c r="B8312">
        <v>8309</v>
      </c>
      <c r="C8312">
        <v>146.10514805099899</v>
      </c>
      <c r="D8312">
        <v>-17.611725846199899</v>
      </c>
      <c r="E8312" s="92" t="str">
        <f t="shared" si="41"/>
        <v/>
      </c>
      <c r="G8312" s="92"/>
      <c r="I8312">
        <v>7</v>
      </c>
      <c r="J8312" t="s">
        <v>26</v>
      </c>
      <c r="K8312" s="57"/>
      <c r="S8312" s="57"/>
      <c r="X8312" s="57"/>
    </row>
    <row r="8313" spans="1:24" hidden="1" x14ac:dyDescent="0.35">
      <c r="A8313">
        <v>8309</v>
      </c>
      <c r="B8313">
        <v>8310</v>
      </c>
      <c r="C8313">
        <v>146.105100926999</v>
      </c>
      <c r="D8313">
        <v>-17.611652951899899</v>
      </c>
      <c r="E8313" s="92">
        <f t="shared" si="41"/>
        <v>50</v>
      </c>
      <c r="G8313" s="92"/>
      <c r="I8313">
        <v>7</v>
      </c>
      <c r="J8313" t="s">
        <v>26</v>
      </c>
      <c r="K8313" s="57"/>
      <c r="S8313" s="57"/>
      <c r="X8313" s="57"/>
    </row>
    <row r="8314" spans="1:24" hidden="1" x14ac:dyDescent="0.35">
      <c r="A8314">
        <v>8310</v>
      </c>
      <c r="B8314">
        <v>8311</v>
      </c>
      <c r="C8314">
        <v>146.105053803</v>
      </c>
      <c r="D8314">
        <v>-17.6115800576999</v>
      </c>
      <c r="E8314" s="92" t="str">
        <f t="shared" si="41"/>
        <v/>
      </c>
      <c r="G8314" s="92"/>
      <c r="I8314">
        <v>7</v>
      </c>
      <c r="J8314" t="s">
        <v>26</v>
      </c>
      <c r="K8314" s="57"/>
      <c r="S8314" s="57"/>
      <c r="X8314" s="57"/>
    </row>
    <row r="8315" spans="1:24" hidden="1" x14ac:dyDescent="0.35">
      <c r="A8315">
        <v>8311</v>
      </c>
      <c r="B8315">
        <v>8312</v>
      </c>
      <c r="C8315">
        <v>146.105005016999</v>
      </c>
      <c r="D8315">
        <v>-17.611508232999899</v>
      </c>
      <c r="E8315" s="92" t="str">
        <f t="shared" si="41"/>
        <v/>
      </c>
      <c r="G8315" s="92"/>
      <c r="I8315">
        <v>7</v>
      </c>
      <c r="J8315" t="s">
        <v>26</v>
      </c>
      <c r="K8315" s="57"/>
      <c r="S8315" s="57"/>
      <c r="X8315" s="57"/>
    </row>
    <row r="8316" spans="1:24" hidden="1" x14ac:dyDescent="0.35">
      <c r="A8316">
        <v>8312</v>
      </c>
      <c r="B8316">
        <v>8313</v>
      </c>
      <c r="C8316">
        <v>146.104951669</v>
      </c>
      <c r="D8316">
        <v>-17.6114393452999</v>
      </c>
      <c r="E8316" s="92" t="str">
        <f t="shared" si="41"/>
        <v/>
      </c>
      <c r="G8316" s="92"/>
      <c r="I8316">
        <v>7</v>
      </c>
      <c r="J8316" t="s">
        <v>26</v>
      </c>
      <c r="K8316" s="57"/>
      <c r="S8316" s="57"/>
      <c r="X8316" s="57"/>
    </row>
    <row r="8317" spans="1:24" hidden="1" x14ac:dyDescent="0.35">
      <c r="A8317">
        <v>8313</v>
      </c>
      <c r="B8317">
        <v>8314</v>
      </c>
      <c r="C8317">
        <v>146.10489832100001</v>
      </c>
      <c r="D8317">
        <v>-17.611370457500001</v>
      </c>
      <c r="E8317" s="92" t="str">
        <f t="shared" si="41"/>
        <v/>
      </c>
      <c r="G8317" s="92"/>
      <c r="I8317">
        <v>7</v>
      </c>
      <c r="J8317" t="s">
        <v>26</v>
      </c>
      <c r="K8317" s="57"/>
      <c r="S8317" s="57"/>
      <c r="X8317" s="57"/>
    </row>
    <row r="8318" spans="1:24" hidden="1" x14ac:dyDescent="0.35">
      <c r="A8318">
        <v>8314</v>
      </c>
      <c r="B8318">
        <v>8315</v>
      </c>
      <c r="C8318">
        <v>146.10484497300001</v>
      </c>
      <c r="D8318">
        <v>-17.611301569799899</v>
      </c>
      <c r="E8318" s="92">
        <f t="shared" si="41"/>
        <v>50</v>
      </c>
      <c r="G8318" s="92"/>
      <c r="I8318">
        <v>7</v>
      </c>
      <c r="J8318" t="s">
        <v>26</v>
      </c>
      <c r="K8318" s="57"/>
      <c r="S8318" s="57"/>
      <c r="X8318" s="57"/>
    </row>
    <row r="8319" spans="1:24" hidden="1" x14ac:dyDescent="0.35">
      <c r="A8319">
        <v>8315</v>
      </c>
      <c r="B8319">
        <v>8316</v>
      </c>
      <c r="C8319">
        <v>146.10479162600001</v>
      </c>
      <c r="D8319">
        <v>-17.611232682000001</v>
      </c>
      <c r="E8319" s="92" t="str">
        <f t="shared" si="41"/>
        <v/>
      </c>
      <c r="G8319" s="92"/>
      <c r="I8319">
        <v>7</v>
      </c>
      <c r="J8319" t="s">
        <v>26</v>
      </c>
      <c r="K8319" s="57"/>
      <c r="S8319" s="57"/>
      <c r="X8319" s="57"/>
    </row>
    <row r="8320" spans="1:24" hidden="1" x14ac:dyDescent="0.35">
      <c r="A8320">
        <v>8316</v>
      </c>
      <c r="B8320">
        <v>8317</v>
      </c>
      <c r="C8320">
        <v>146.10473827800001</v>
      </c>
      <c r="D8320">
        <v>-17.6111637941999</v>
      </c>
      <c r="E8320" s="92" t="str">
        <f t="shared" si="41"/>
        <v/>
      </c>
      <c r="G8320" s="92"/>
      <c r="I8320">
        <v>7</v>
      </c>
      <c r="J8320" t="s">
        <v>26</v>
      </c>
      <c r="K8320" s="57"/>
      <c r="S8320" s="57"/>
      <c r="X8320" s="57"/>
    </row>
    <row r="8321" spans="1:24" hidden="1" x14ac:dyDescent="0.35">
      <c r="A8321">
        <v>8317</v>
      </c>
      <c r="B8321">
        <v>8318</v>
      </c>
      <c r="C8321">
        <v>146.104684929999</v>
      </c>
      <c r="D8321">
        <v>-17.611094906400002</v>
      </c>
      <c r="E8321" s="92" t="str">
        <f t="shared" si="41"/>
        <v/>
      </c>
      <c r="G8321" s="92"/>
      <c r="I8321">
        <v>7</v>
      </c>
      <c r="J8321" t="s">
        <v>26</v>
      </c>
      <c r="K8321" s="57"/>
      <c r="S8321" s="57"/>
      <c r="X8321" s="57"/>
    </row>
    <row r="8322" spans="1:24" hidden="1" x14ac:dyDescent="0.35">
      <c r="A8322">
        <v>8318</v>
      </c>
      <c r="B8322">
        <v>8319</v>
      </c>
      <c r="C8322">
        <v>146.104631581999</v>
      </c>
      <c r="D8322">
        <v>-17.611026018499899</v>
      </c>
      <c r="E8322" s="92" t="str">
        <f t="shared" si="41"/>
        <v/>
      </c>
      <c r="G8322" s="92"/>
      <c r="I8322">
        <v>7</v>
      </c>
      <c r="J8322" t="s">
        <v>26</v>
      </c>
      <c r="K8322" s="57"/>
      <c r="S8322" s="57"/>
      <c r="X8322" s="57"/>
    </row>
    <row r="8323" spans="1:24" hidden="1" x14ac:dyDescent="0.35">
      <c r="A8323">
        <v>8319</v>
      </c>
      <c r="B8323">
        <v>8320</v>
      </c>
      <c r="C8323">
        <v>146.10458272599899</v>
      </c>
      <c r="D8323">
        <v>-17.6109547249999</v>
      </c>
      <c r="E8323" s="92">
        <f t="shared" si="41"/>
        <v>50</v>
      </c>
      <c r="G8323" s="92"/>
      <c r="I8323">
        <v>7</v>
      </c>
      <c r="J8323" t="s">
        <v>26</v>
      </c>
      <c r="K8323" s="57"/>
      <c r="S8323" s="57"/>
      <c r="X8323" s="57"/>
    </row>
    <row r="8324" spans="1:24" hidden="1" x14ac:dyDescent="0.35">
      <c r="A8324">
        <v>8320</v>
      </c>
      <c r="B8324">
        <v>8321</v>
      </c>
      <c r="C8324">
        <v>146.10454874600001</v>
      </c>
      <c r="D8324">
        <v>-17.610875465500001</v>
      </c>
      <c r="E8324" s="92" t="str">
        <f t="shared" si="41"/>
        <v/>
      </c>
      <c r="G8324" s="92"/>
      <c r="I8324">
        <v>7</v>
      </c>
      <c r="J8324" t="s">
        <v>26</v>
      </c>
      <c r="K8324" s="57"/>
      <c r="S8324" s="57"/>
      <c r="X8324" s="57"/>
    </row>
    <row r="8325" spans="1:24" hidden="1" x14ac:dyDescent="0.35">
      <c r="A8325">
        <v>8321</v>
      </c>
      <c r="B8325">
        <v>8322</v>
      </c>
      <c r="C8325">
        <v>146.104514765999</v>
      </c>
      <c r="D8325">
        <v>-17.610796205900002</v>
      </c>
      <c r="E8325" s="92" t="str">
        <f t="shared" si="41"/>
        <v/>
      </c>
      <c r="G8325" s="92"/>
      <c r="I8325">
        <v>7</v>
      </c>
      <c r="J8325" t="s">
        <v>26</v>
      </c>
      <c r="K8325" s="57"/>
      <c r="S8325" s="57"/>
      <c r="X8325" s="57"/>
    </row>
    <row r="8326" spans="1:24" hidden="1" x14ac:dyDescent="0.35">
      <c r="A8326">
        <v>8322</v>
      </c>
      <c r="B8326">
        <v>8323</v>
      </c>
      <c r="C8326">
        <v>146.10448078600001</v>
      </c>
      <c r="D8326">
        <v>-17.610716946299899</v>
      </c>
      <c r="E8326" s="92" t="str">
        <f t="shared" si="41"/>
        <v/>
      </c>
      <c r="G8326" s="92"/>
      <c r="I8326">
        <v>7</v>
      </c>
      <c r="J8326" t="s">
        <v>26</v>
      </c>
      <c r="K8326" s="57"/>
      <c r="S8326" s="57"/>
      <c r="X8326" s="57"/>
    </row>
    <row r="8327" spans="1:24" hidden="1" x14ac:dyDescent="0.35">
      <c r="A8327">
        <v>8323</v>
      </c>
      <c r="B8327">
        <v>8324</v>
      </c>
      <c r="C8327">
        <v>146.10444888000001</v>
      </c>
      <c r="D8327">
        <v>-17.6106369908</v>
      </c>
      <c r="E8327" s="92" t="str">
        <f t="shared" si="41"/>
        <v/>
      </c>
      <c r="G8327" s="92"/>
      <c r="I8327">
        <v>7</v>
      </c>
      <c r="J8327" t="s">
        <v>26</v>
      </c>
      <c r="K8327" s="57"/>
      <c r="S8327" s="57"/>
      <c r="X8327" s="57"/>
    </row>
    <row r="8328" spans="1:24" hidden="1" x14ac:dyDescent="0.35">
      <c r="A8328">
        <v>8324</v>
      </c>
      <c r="B8328">
        <v>8325</v>
      </c>
      <c r="C8328">
        <v>146.10442327600001</v>
      </c>
      <c r="D8328">
        <v>-17.610554920799899</v>
      </c>
      <c r="E8328" s="92">
        <f t="shared" si="41"/>
        <v>50</v>
      </c>
      <c r="G8328" s="92"/>
      <c r="I8328">
        <v>7</v>
      </c>
      <c r="J8328" t="s">
        <v>26</v>
      </c>
      <c r="K8328" s="57"/>
      <c r="S8328" s="57"/>
      <c r="X8328" s="57"/>
    </row>
    <row r="8329" spans="1:24" hidden="1" x14ac:dyDescent="0.35">
      <c r="A8329">
        <v>8325</v>
      </c>
      <c r="B8329">
        <v>8326</v>
      </c>
      <c r="C8329">
        <v>146.10439476100001</v>
      </c>
      <c r="D8329">
        <v>-17.6104738053</v>
      </c>
      <c r="E8329" s="92" t="str">
        <f t="shared" si="41"/>
        <v/>
      </c>
      <c r="G8329" s="92"/>
      <c r="I8329">
        <v>7</v>
      </c>
      <c r="J8329" t="s">
        <v>26</v>
      </c>
      <c r="K8329" s="57"/>
      <c r="S8329" s="57"/>
      <c r="X8329" s="57"/>
    </row>
    <row r="8330" spans="1:24" hidden="1" x14ac:dyDescent="0.35">
      <c r="A8330">
        <v>8326</v>
      </c>
      <c r="B8330">
        <v>8327</v>
      </c>
      <c r="C8330">
        <v>146.10436196699899</v>
      </c>
      <c r="D8330">
        <v>-17.610394093099899</v>
      </c>
      <c r="E8330" s="92" t="str">
        <f t="shared" si="41"/>
        <v/>
      </c>
      <c r="G8330" s="92"/>
      <c r="I8330">
        <v>7</v>
      </c>
      <c r="J8330" t="s">
        <v>26</v>
      </c>
      <c r="K8330" s="57"/>
      <c r="S8330" s="57"/>
      <c r="X8330" s="57"/>
    </row>
    <row r="8331" spans="1:24" hidden="1" x14ac:dyDescent="0.35">
      <c r="A8331">
        <v>8327</v>
      </c>
      <c r="B8331">
        <v>8328</v>
      </c>
      <c r="C8331">
        <v>146.10432917200001</v>
      </c>
      <c r="D8331">
        <v>-17.6103143809</v>
      </c>
      <c r="E8331" s="92" t="str">
        <f t="shared" si="41"/>
        <v/>
      </c>
      <c r="G8331" s="92"/>
      <c r="I8331">
        <v>7</v>
      </c>
      <c r="J8331" t="s">
        <v>26</v>
      </c>
      <c r="K8331" s="57"/>
      <c r="S8331" s="57"/>
      <c r="X8331" s="57"/>
    </row>
    <row r="8332" spans="1:24" hidden="1" x14ac:dyDescent="0.35">
      <c r="A8332">
        <v>8328</v>
      </c>
      <c r="B8332">
        <v>8329</v>
      </c>
      <c r="C8332">
        <v>146.104292334999</v>
      </c>
      <c r="D8332">
        <v>-17.6102363962999</v>
      </c>
      <c r="E8332" s="92" t="str">
        <f t="shared" si="41"/>
        <v/>
      </c>
      <c r="G8332" s="92"/>
      <c r="I8332">
        <v>7</v>
      </c>
      <c r="J8332" t="s">
        <v>26</v>
      </c>
      <c r="K8332" s="57"/>
      <c r="S8332" s="57"/>
      <c r="X8332" s="57"/>
    </row>
    <row r="8333" spans="1:24" hidden="1" x14ac:dyDescent="0.35">
      <c r="A8333">
        <v>8329</v>
      </c>
      <c r="B8333">
        <v>8330</v>
      </c>
      <c r="C8333">
        <v>146.10425171</v>
      </c>
      <c r="D8333">
        <v>-17.610160030500001</v>
      </c>
      <c r="E8333" s="92">
        <f t="shared" si="41"/>
        <v>50</v>
      </c>
      <c r="G8333" s="92"/>
      <c r="I8333">
        <v>7</v>
      </c>
      <c r="J8333" t="s">
        <v>26</v>
      </c>
      <c r="K8333" s="57"/>
      <c r="S8333" s="57"/>
      <c r="X8333" s="57"/>
    </row>
    <row r="8334" spans="1:24" hidden="1" x14ac:dyDescent="0.35">
      <c r="A8334">
        <v>8330</v>
      </c>
      <c r="B8334">
        <v>8331</v>
      </c>
      <c r="C8334">
        <v>146.104211085</v>
      </c>
      <c r="D8334">
        <v>-17.6100836646999</v>
      </c>
      <c r="E8334" s="92" t="str">
        <f t="shared" si="41"/>
        <v/>
      </c>
      <c r="G8334" s="92"/>
      <c r="I8334">
        <v>7</v>
      </c>
      <c r="J8334" t="s">
        <v>26</v>
      </c>
      <c r="K8334" s="57"/>
      <c r="S8334" s="57"/>
      <c r="X8334" s="57"/>
    </row>
    <row r="8335" spans="1:24" hidden="1" x14ac:dyDescent="0.35">
      <c r="A8335">
        <v>8331</v>
      </c>
      <c r="B8335">
        <v>8332</v>
      </c>
      <c r="C8335">
        <v>146.104161390999</v>
      </c>
      <c r="D8335">
        <v>-17.610012468000001</v>
      </c>
      <c r="E8335" s="92" t="str">
        <f t="shared" si="41"/>
        <v/>
      </c>
      <c r="G8335" s="92"/>
      <c r="I8335">
        <v>7</v>
      </c>
      <c r="J8335" t="s">
        <v>26</v>
      </c>
      <c r="K8335" s="57"/>
      <c r="S8335" s="57"/>
      <c r="X8335" s="57"/>
    </row>
    <row r="8336" spans="1:24" hidden="1" x14ac:dyDescent="0.35">
      <c r="A8336">
        <v>8332</v>
      </c>
      <c r="B8336">
        <v>8333</v>
      </c>
      <c r="C8336">
        <v>146.10411002500001</v>
      </c>
      <c r="D8336">
        <v>-17.609942224600001</v>
      </c>
      <c r="E8336" s="92" t="str">
        <f t="shared" ref="E8336:E8399" si="42">IF(MOD(B8336,5)=0, 50, "")</f>
        <v/>
      </c>
      <c r="G8336" s="92"/>
      <c r="I8336">
        <v>7</v>
      </c>
      <c r="J8336" t="s">
        <v>26</v>
      </c>
      <c r="K8336" s="57"/>
      <c r="S8336" s="57"/>
      <c r="X8336" s="57"/>
    </row>
    <row r="8337" spans="1:24" hidden="1" x14ac:dyDescent="0.35">
      <c r="A8337">
        <v>8333</v>
      </c>
      <c r="B8337">
        <v>8334</v>
      </c>
      <c r="C8337">
        <v>146.10404814699899</v>
      </c>
      <c r="D8337">
        <v>-17.609881185500001</v>
      </c>
      <c r="E8337" s="92" t="str">
        <f t="shared" si="42"/>
        <v/>
      </c>
      <c r="G8337" s="92"/>
      <c r="I8337">
        <v>7</v>
      </c>
      <c r="J8337" t="s">
        <v>26</v>
      </c>
      <c r="K8337" s="57"/>
      <c r="S8337" s="57"/>
      <c r="X8337" s="57"/>
    </row>
    <row r="8338" spans="1:24" hidden="1" x14ac:dyDescent="0.35">
      <c r="A8338">
        <v>8334</v>
      </c>
      <c r="B8338">
        <v>8335</v>
      </c>
      <c r="C8338">
        <v>146.103979062999</v>
      </c>
      <c r="D8338">
        <v>-17.6098264558</v>
      </c>
      <c r="E8338" s="92">
        <f t="shared" si="42"/>
        <v>50</v>
      </c>
      <c r="G8338" s="92"/>
      <c r="I8338">
        <v>7</v>
      </c>
      <c r="J8338" t="s">
        <v>26</v>
      </c>
      <c r="K8338" s="57"/>
      <c r="S8338" s="57"/>
      <c r="X8338" s="57"/>
    </row>
    <row r="8339" spans="1:24" hidden="1" x14ac:dyDescent="0.35">
      <c r="A8339">
        <v>8335</v>
      </c>
      <c r="B8339">
        <v>8336</v>
      </c>
      <c r="C8339">
        <v>146.10390693900001</v>
      </c>
      <c r="D8339">
        <v>-17.6097757444</v>
      </c>
      <c r="E8339" s="92" t="str">
        <f t="shared" si="42"/>
        <v/>
      </c>
      <c r="G8339" s="92"/>
      <c r="I8339">
        <v>7</v>
      </c>
      <c r="J8339" t="s">
        <v>26</v>
      </c>
      <c r="K8339" s="57"/>
      <c r="S8339" s="57"/>
      <c r="X8339" s="57"/>
    </row>
    <row r="8340" spans="1:24" hidden="1" x14ac:dyDescent="0.35">
      <c r="A8340">
        <v>8336</v>
      </c>
      <c r="B8340">
        <v>8337</v>
      </c>
      <c r="C8340">
        <v>146.10383064000001</v>
      </c>
      <c r="D8340">
        <v>-17.609730552599899</v>
      </c>
      <c r="E8340" s="92" t="str">
        <f t="shared" si="42"/>
        <v/>
      </c>
      <c r="G8340" s="92"/>
      <c r="I8340">
        <v>7</v>
      </c>
      <c r="J8340" t="s">
        <v>26</v>
      </c>
      <c r="K8340" s="57"/>
      <c r="S8340" s="57"/>
      <c r="X8340" s="57"/>
    </row>
    <row r="8341" spans="1:24" hidden="1" x14ac:dyDescent="0.35">
      <c r="A8341">
        <v>8337</v>
      </c>
      <c r="B8341">
        <v>8338</v>
      </c>
      <c r="C8341">
        <v>146.103754339999</v>
      </c>
      <c r="D8341">
        <v>-17.609685360699899</v>
      </c>
      <c r="E8341" s="92" t="str">
        <f t="shared" si="42"/>
        <v/>
      </c>
      <c r="G8341" s="92"/>
      <c r="I8341">
        <v>7</v>
      </c>
      <c r="J8341" t="s">
        <v>26</v>
      </c>
      <c r="K8341" s="57"/>
      <c r="S8341" s="57"/>
      <c r="X8341" s="57"/>
    </row>
    <row r="8342" spans="1:24" hidden="1" x14ac:dyDescent="0.35">
      <c r="A8342">
        <v>8338</v>
      </c>
      <c r="B8342">
        <v>8339</v>
      </c>
      <c r="C8342">
        <v>146.10367831900001</v>
      </c>
      <c r="D8342">
        <v>-17.609639755</v>
      </c>
      <c r="E8342" s="92" t="str">
        <f t="shared" si="42"/>
        <v/>
      </c>
      <c r="G8342" s="92"/>
      <c r="I8342">
        <v>7</v>
      </c>
      <c r="J8342" t="s">
        <v>26</v>
      </c>
      <c r="K8342" s="57"/>
      <c r="S8342" s="57"/>
      <c r="X8342" s="57"/>
    </row>
    <row r="8343" spans="1:24" hidden="1" x14ac:dyDescent="0.35">
      <c r="A8343">
        <v>8339</v>
      </c>
      <c r="B8343">
        <v>8340</v>
      </c>
      <c r="C8343">
        <v>146.10360341200001</v>
      </c>
      <c r="D8343">
        <v>-17.609592493800001</v>
      </c>
      <c r="E8343" s="92">
        <f t="shared" si="42"/>
        <v>50</v>
      </c>
      <c r="G8343" s="92"/>
      <c r="I8343">
        <v>7</v>
      </c>
      <c r="J8343" t="s">
        <v>26</v>
      </c>
      <c r="K8343" s="57"/>
      <c r="S8343" s="57"/>
      <c r="X8343" s="57"/>
    </row>
    <row r="8344" spans="1:24" hidden="1" x14ac:dyDescent="0.35">
      <c r="A8344">
        <v>8340</v>
      </c>
      <c r="B8344">
        <v>8341</v>
      </c>
      <c r="C8344">
        <v>146.10352850500001</v>
      </c>
      <c r="D8344">
        <v>-17.609545232599899</v>
      </c>
      <c r="E8344" s="92" t="str">
        <f t="shared" si="42"/>
        <v/>
      </c>
      <c r="G8344" s="92"/>
      <c r="I8344">
        <v>7</v>
      </c>
      <c r="J8344" t="s">
        <v>26</v>
      </c>
      <c r="K8344" s="57"/>
      <c r="S8344" s="57"/>
      <c r="X8344" s="57"/>
    </row>
    <row r="8345" spans="1:24" hidden="1" x14ac:dyDescent="0.35">
      <c r="A8345">
        <v>8341</v>
      </c>
      <c r="B8345">
        <v>8342</v>
      </c>
      <c r="C8345">
        <v>146.10345359799899</v>
      </c>
      <c r="D8345">
        <v>-17.6094979714</v>
      </c>
      <c r="E8345" s="92" t="str">
        <f t="shared" si="42"/>
        <v/>
      </c>
      <c r="G8345" s="92"/>
      <c r="I8345">
        <v>7</v>
      </c>
      <c r="J8345" t="s">
        <v>26</v>
      </c>
      <c r="K8345" s="57"/>
      <c r="S8345" s="57"/>
      <c r="X8345" s="57"/>
    </row>
    <row r="8346" spans="1:24" hidden="1" x14ac:dyDescent="0.35">
      <c r="A8346">
        <v>8342</v>
      </c>
      <c r="B8346">
        <v>8343</v>
      </c>
      <c r="C8346">
        <v>146.103383159999</v>
      </c>
      <c r="D8346">
        <v>-17.609445846</v>
      </c>
      <c r="E8346" s="92" t="str">
        <f t="shared" si="42"/>
        <v/>
      </c>
      <c r="G8346" s="92"/>
      <c r="I8346">
        <v>7</v>
      </c>
      <c r="J8346" t="s">
        <v>26</v>
      </c>
      <c r="K8346" s="57"/>
      <c r="S8346" s="57"/>
      <c r="X8346" s="57"/>
    </row>
    <row r="8347" spans="1:24" hidden="1" x14ac:dyDescent="0.35">
      <c r="A8347">
        <v>8343</v>
      </c>
      <c r="B8347">
        <v>8344</v>
      </c>
      <c r="C8347">
        <v>146.103324122</v>
      </c>
      <c r="D8347">
        <v>-17.6093813116</v>
      </c>
      <c r="E8347" s="92" t="str">
        <f t="shared" si="42"/>
        <v/>
      </c>
      <c r="G8347" s="92"/>
      <c r="I8347">
        <v>7</v>
      </c>
      <c r="J8347" t="s">
        <v>26</v>
      </c>
      <c r="K8347" s="57"/>
      <c r="S8347" s="57"/>
      <c r="X8347" s="57"/>
    </row>
    <row r="8348" spans="1:24" hidden="1" x14ac:dyDescent="0.35">
      <c r="A8348">
        <v>8344</v>
      </c>
      <c r="B8348">
        <v>8345</v>
      </c>
      <c r="C8348">
        <v>146.10326508399899</v>
      </c>
      <c r="D8348">
        <v>-17.6093167772</v>
      </c>
      <c r="E8348" s="92">
        <f t="shared" si="42"/>
        <v>50</v>
      </c>
      <c r="G8348" s="92"/>
      <c r="I8348">
        <v>7</v>
      </c>
      <c r="J8348" t="s">
        <v>26</v>
      </c>
      <c r="K8348" s="57"/>
      <c r="S8348" s="57"/>
      <c r="X8348" s="57"/>
    </row>
    <row r="8349" spans="1:24" hidden="1" x14ac:dyDescent="0.35">
      <c r="A8349">
        <v>8345</v>
      </c>
      <c r="B8349">
        <v>8346</v>
      </c>
      <c r="C8349">
        <v>146.103206045999</v>
      </c>
      <c r="D8349">
        <v>-17.6092522428</v>
      </c>
      <c r="E8349" s="92" t="str">
        <f t="shared" si="42"/>
        <v/>
      </c>
      <c r="G8349" s="92"/>
      <c r="I8349">
        <v>7</v>
      </c>
      <c r="J8349" t="s">
        <v>26</v>
      </c>
      <c r="K8349" s="57"/>
      <c r="S8349" s="57"/>
      <c r="X8349" s="57"/>
    </row>
    <row r="8350" spans="1:24" hidden="1" x14ac:dyDescent="0.35">
      <c r="A8350">
        <v>8346</v>
      </c>
      <c r="B8350">
        <v>8347</v>
      </c>
      <c r="C8350">
        <v>146.10315463200001</v>
      </c>
      <c r="D8350">
        <v>-17.6091822767</v>
      </c>
      <c r="E8350" s="92" t="str">
        <f t="shared" si="42"/>
        <v/>
      </c>
      <c r="G8350" s="92"/>
      <c r="I8350">
        <v>7</v>
      </c>
      <c r="J8350" t="s">
        <v>26</v>
      </c>
      <c r="K8350" s="57"/>
      <c r="S8350" s="57"/>
      <c r="X8350" s="57"/>
    </row>
    <row r="8351" spans="1:24" hidden="1" x14ac:dyDescent="0.35">
      <c r="A8351">
        <v>8347</v>
      </c>
      <c r="B8351">
        <v>8348</v>
      </c>
      <c r="C8351">
        <v>146.103106397999</v>
      </c>
      <c r="D8351">
        <v>-17.609110043600001</v>
      </c>
      <c r="E8351" s="92" t="str">
        <f t="shared" si="42"/>
        <v/>
      </c>
      <c r="G8351" s="92"/>
      <c r="I8351">
        <v>7</v>
      </c>
      <c r="J8351" t="s">
        <v>26</v>
      </c>
      <c r="K8351" s="57"/>
      <c r="S8351" s="57"/>
      <c r="X8351" s="57"/>
    </row>
    <row r="8352" spans="1:24" hidden="1" x14ac:dyDescent="0.35">
      <c r="A8352">
        <v>8348</v>
      </c>
      <c r="B8352">
        <v>8349</v>
      </c>
      <c r="C8352">
        <v>146.103058164999</v>
      </c>
      <c r="D8352">
        <v>-17.6090378104</v>
      </c>
      <c r="E8352" s="92" t="str">
        <f t="shared" si="42"/>
        <v/>
      </c>
      <c r="G8352" s="92"/>
      <c r="I8352">
        <v>7</v>
      </c>
      <c r="J8352" t="s">
        <v>26</v>
      </c>
      <c r="K8352" s="57"/>
      <c r="S8352" s="57"/>
      <c r="X8352" s="57"/>
    </row>
    <row r="8353" spans="1:24" hidden="1" x14ac:dyDescent="0.35">
      <c r="A8353">
        <v>8349</v>
      </c>
      <c r="B8353">
        <v>8350</v>
      </c>
      <c r="C8353">
        <v>146.10301609800001</v>
      </c>
      <c r="D8353">
        <v>-17.608962350399899</v>
      </c>
      <c r="E8353" s="92">
        <f t="shared" si="42"/>
        <v>50</v>
      </c>
      <c r="G8353" s="92"/>
      <c r="I8353">
        <v>7</v>
      </c>
      <c r="J8353" t="s">
        <v>26</v>
      </c>
      <c r="K8353" s="57"/>
      <c r="S8353" s="57"/>
      <c r="X8353" s="57"/>
    </row>
    <row r="8354" spans="1:24" hidden="1" x14ac:dyDescent="0.35">
      <c r="A8354">
        <v>8350</v>
      </c>
      <c r="B8354">
        <v>8351</v>
      </c>
      <c r="C8354">
        <v>146.10297805100001</v>
      </c>
      <c r="D8354">
        <v>-17.608884786800001</v>
      </c>
      <c r="E8354" s="92" t="str">
        <f t="shared" si="42"/>
        <v/>
      </c>
      <c r="G8354" s="92"/>
      <c r="I8354">
        <v>7</v>
      </c>
      <c r="J8354" t="s">
        <v>26</v>
      </c>
      <c r="K8354" s="57"/>
      <c r="S8354" s="57"/>
      <c r="X8354" s="57"/>
    </row>
    <row r="8355" spans="1:24" hidden="1" x14ac:dyDescent="0.35">
      <c r="A8355">
        <v>8351</v>
      </c>
      <c r="B8355">
        <v>8352</v>
      </c>
      <c r="C8355">
        <v>146.102940004999</v>
      </c>
      <c r="D8355">
        <v>-17.6088072231999</v>
      </c>
      <c r="E8355" s="92" t="str">
        <f t="shared" si="42"/>
        <v/>
      </c>
      <c r="G8355" s="92"/>
      <c r="I8355">
        <v>7</v>
      </c>
      <c r="J8355" t="s">
        <v>26</v>
      </c>
      <c r="K8355" s="57"/>
      <c r="S8355" s="57"/>
      <c r="X8355" s="57"/>
    </row>
    <row r="8356" spans="1:24" hidden="1" x14ac:dyDescent="0.35">
      <c r="A8356">
        <v>8352</v>
      </c>
      <c r="B8356">
        <v>8353</v>
      </c>
      <c r="C8356">
        <v>146.10290252300001</v>
      </c>
      <c r="D8356">
        <v>-17.608729458700001</v>
      </c>
      <c r="E8356" s="92" t="str">
        <f t="shared" si="42"/>
        <v/>
      </c>
      <c r="G8356" s="92"/>
      <c r="I8356">
        <v>7</v>
      </c>
      <c r="J8356" t="s">
        <v>26</v>
      </c>
      <c r="K8356" s="57"/>
      <c r="S8356" s="57"/>
      <c r="X8356" s="57"/>
    </row>
    <row r="8357" spans="1:24" hidden="1" x14ac:dyDescent="0.35">
      <c r="A8357">
        <v>8353</v>
      </c>
      <c r="B8357">
        <v>8354</v>
      </c>
      <c r="C8357">
        <v>146.10287797800001</v>
      </c>
      <c r="D8357">
        <v>-17.608647094199899</v>
      </c>
      <c r="E8357" s="92" t="str">
        <f t="shared" si="42"/>
        <v/>
      </c>
      <c r="G8357" s="92"/>
      <c r="I8357">
        <v>7</v>
      </c>
      <c r="J8357" t="s">
        <v>26</v>
      </c>
      <c r="K8357" s="57"/>
      <c r="S8357" s="57"/>
      <c r="X8357" s="57"/>
    </row>
    <row r="8358" spans="1:24" hidden="1" x14ac:dyDescent="0.35">
      <c r="A8358">
        <v>8354</v>
      </c>
      <c r="B8358">
        <v>8355</v>
      </c>
      <c r="C8358">
        <v>146.102853433999</v>
      </c>
      <c r="D8358">
        <v>-17.6085647296999</v>
      </c>
      <c r="E8358" s="92">
        <f t="shared" si="42"/>
        <v>50</v>
      </c>
      <c r="G8358" s="92"/>
      <c r="I8358">
        <v>7</v>
      </c>
      <c r="J8358" t="s">
        <v>26</v>
      </c>
      <c r="K8358" s="57"/>
      <c r="S8358" s="57"/>
      <c r="X8358" s="57"/>
    </row>
    <row r="8359" spans="1:24" hidden="1" x14ac:dyDescent="0.35">
      <c r="A8359">
        <v>8355</v>
      </c>
      <c r="B8359">
        <v>8356</v>
      </c>
      <c r="C8359">
        <v>146.10282889000001</v>
      </c>
      <c r="D8359">
        <v>-17.608482365099899</v>
      </c>
      <c r="E8359" s="92" t="str">
        <f t="shared" si="42"/>
        <v/>
      </c>
      <c r="G8359" s="92"/>
      <c r="I8359">
        <v>7</v>
      </c>
      <c r="J8359" t="s">
        <v>26</v>
      </c>
      <c r="K8359" s="57"/>
      <c r="S8359" s="57"/>
      <c r="X8359" s="57"/>
    </row>
    <row r="8360" spans="1:24" hidden="1" x14ac:dyDescent="0.35">
      <c r="A8360">
        <v>8356</v>
      </c>
      <c r="B8360">
        <v>8357</v>
      </c>
      <c r="C8360">
        <v>146.10280434500001</v>
      </c>
      <c r="D8360">
        <v>-17.608400000500001</v>
      </c>
      <c r="E8360" s="92" t="str">
        <f t="shared" si="42"/>
        <v/>
      </c>
      <c r="G8360" s="92"/>
      <c r="I8360">
        <v>7</v>
      </c>
      <c r="J8360" t="s">
        <v>26</v>
      </c>
      <c r="K8360" s="57"/>
      <c r="S8360" s="57"/>
      <c r="X8360" s="57"/>
    </row>
    <row r="8361" spans="1:24" hidden="1" x14ac:dyDescent="0.35">
      <c r="A8361">
        <v>8357</v>
      </c>
      <c r="B8361">
        <v>8358</v>
      </c>
      <c r="C8361">
        <v>146.102794918999</v>
      </c>
      <c r="D8361">
        <v>-17.6083155205</v>
      </c>
      <c r="E8361" s="92" t="str">
        <f t="shared" si="42"/>
        <v/>
      </c>
      <c r="G8361" s="92"/>
      <c r="I8361">
        <v>7</v>
      </c>
      <c r="J8361" t="s">
        <v>26</v>
      </c>
      <c r="K8361" s="57"/>
      <c r="S8361" s="57"/>
      <c r="X8361" s="57"/>
    </row>
    <row r="8362" spans="1:24" hidden="1" x14ac:dyDescent="0.35">
      <c r="A8362">
        <v>8358</v>
      </c>
      <c r="B8362">
        <v>8359</v>
      </c>
      <c r="C8362">
        <v>146.102793590999</v>
      </c>
      <c r="D8362">
        <v>-17.608229907199899</v>
      </c>
      <c r="E8362" s="92" t="str">
        <f t="shared" si="42"/>
        <v/>
      </c>
      <c r="G8362" s="92"/>
      <c r="I8362">
        <v>7</v>
      </c>
      <c r="J8362" t="s">
        <v>26</v>
      </c>
      <c r="K8362" s="57"/>
      <c r="S8362" s="57"/>
      <c r="X8362" s="57"/>
    </row>
    <row r="8363" spans="1:24" hidden="1" x14ac:dyDescent="0.35">
      <c r="A8363">
        <v>8359</v>
      </c>
      <c r="B8363">
        <v>8360</v>
      </c>
      <c r="C8363">
        <v>146.10279226399899</v>
      </c>
      <c r="D8363">
        <v>-17.608144293900001</v>
      </c>
      <c r="E8363" s="92">
        <f t="shared" si="42"/>
        <v>50</v>
      </c>
      <c r="G8363" s="92"/>
      <c r="I8363">
        <v>7</v>
      </c>
      <c r="J8363" t="s">
        <v>26</v>
      </c>
      <c r="K8363" s="57"/>
      <c r="S8363" s="57"/>
      <c r="X8363" s="57"/>
    </row>
    <row r="8364" spans="1:24" hidden="1" x14ac:dyDescent="0.35">
      <c r="A8364">
        <v>8360</v>
      </c>
      <c r="B8364">
        <v>8361</v>
      </c>
      <c r="C8364">
        <v>146.102790935999</v>
      </c>
      <c r="D8364">
        <v>-17.608058680500001</v>
      </c>
      <c r="E8364" s="92" t="str">
        <f t="shared" si="42"/>
        <v/>
      </c>
      <c r="G8364" s="92"/>
      <c r="I8364">
        <v>7</v>
      </c>
      <c r="J8364" t="s">
        <v>26</v>
      </c>
      <c r="K8364" s="57"/>
      <c r="S8364" s="57"/>
      <c r="X8364" s="57"/>
    </row>
    <row r="8365" spans="1:24" hidden="1" x14ac:dyDescent="0.35">
      <c r="A8365">
        <v>8361</v>
      </c>
      <c r="B8365">
        <v>8362</v>
      </c>
      <c r="C8365">
        <v>146.10279974100001</v>
      </c>
      <c r="D8365">
        <v>-17.607973663900001</v>
      </c>
      <c r="E8365" s="92" t="str">
        <f t="shared" si="42"/>
        <v/>
      </c>
      <c r="G8365" s="92"/>
      <c r="I8365">
        <v>7</v>
      </c>
      <c r="J8365" t="s">
        <v>26</v>
      </c>
      <c r="K8365" s="57"/>
      <c r="S8365" s="57"/>
      <c r="X8365" s="57"/>
    </row>
    <row r="8366" spans="1:24" hidden="1" x14ac:dyDescent="0.35">
      <c r="A8366">
        <v>8362</v>
      </c>
      <c r="B8366">
        <v>8363</v>
      </c>
      <c r="C8366">
        <v>146.102812118</v>
      </c>
      <c r="D8366">
        <v>-17.607888857700001</v>
      </c>
      <c r="E8366" s="92" t="str">
        <f t="shared" si="42"/>
        <v/>
      </c>
      <c r="G8366" s="92"/>
      <c r="I8366">
        <v>7</v>
      </c>
      <c r="J8366" t="s">
        <v>26</v>
      </c>
      <c r="K8366" s="57"/>
      <c r="S8366" s="57"/>
      <c r="X8366" s="57"/>
    </row>
    <row r="8367" spans="1:24" hidden="1" x14ac:dyDescent="0.35">
      <c r="A8367">
        <v>8363</v>
      </c>
      <c r="B8367">
        <v>8364</v>
      </c>
      <c r="C8367">
        <v>146.102824494999</v>
      </c>
      <c r="D8367">
        <v>-17.6078040515</v>
      </c>
      <c r="E8367" s="92" t="str">
        <f t="shared" si="42"/>
        <v/>
      </c>
      <c r="G8367" s="92"/>
      <c r="I8367">
        <v>7</v>
      </c>
      <c r="J8367" t="s">
        <v>26</v>
      </c>
      <c r="K8367" s="57"/>
      <c r="S8367" s="57"/>
      <c r="X8367" s="57"/>
    </row>
    <row r="8368" spans="1:24" hidden="1" x14ac:dyDescent="0.35">
      <c r="A8368">
        <v>8364</v>
      </c>
      <c r="B8368">
        <v>8365</v>
      </c>
      <c r="C8368">
        <v>146.10284465300001</v>
      </c>
      <c r="D8368">
        <v>-17.607720660199899</v>
      </c>
      <c r="E8368" s="92">
        <f t="shared" si="42"/>
        <v>50</v>
      </c>
      <c r="G8368" s="92"/>
      <c r="I8368">
        <v>7</v>
      </c>
      <c r="J8368" t="s">
        <v>26</v>
      </c>
      <c r="K8368" s="57"/>
      <c r="S8368" s="57"/>
      <c r="X8368" s="57"/>
    </row>
    <row r="8369" spans="1:24" hidden="1" x14ac:dyDescent="0.35">
      <c r="A8369">
        <v>8365</v>
      </c>
      <c r="B8369">
        <v>8366</v>
      </c>
      <c r="C8369">
        <v>146.102865906999</v>
      </c>
      <c r="D8369">
        <v>-17.607637468499899</v>
      </c>
      <c r="E8369" s="92" t="str">
        <f t="shared" si="42"/>
        <v/>
      </c>
      <c r="G8369" s="92"/>
      <c r="I8369">
        <v>7</v>
      </c>
      <c r="J8369" t="s">
        <v>26</v>
      </c>
      <c r="K8369" s="57"/>
      <c r="S8369" s="57"/>
      <c r="X8369" s="57"/>
    </row>
    <row r="8370" spans="1:24" hidden="1" x14ac:dyDescent="0.35">
      <c r="A8370">
        <v>8366</v>
      </c>
      <c r="B8370">
        <v>8367</v>
      </c>
      <c r="C8370">
        <v>146.102887162</v>
      </c>
      <c r="D8370">
        <v>-17.607554276799899</v>
      </c>
      <c r="E8370" s="92" t="str">
        <f t="shared" si="42"/>
        <v/>
      </c>
      <c r="G8370" s="92"/>
      <c r="I8370">
        <v>7</v>
      </c>
      <c r="J8370" t="s">
        <v>26</v>
      </c>
      <c r="K8370" s="57"/>
      <c r="S8370" s="57"/>
      <c r="X8370" s="57"/>
    </row>
    <row r="8371" spans="1:24" hidden="1" x14ac:dyDescent="0.35">
      <c r="A8371">
        <v>8367</v>
      </c>
      <c r="B8371">
        <v>8368</v>
      </c>
      <c r="C8371">
        <v>146.10290841700001</v>
      </c>
      <c r="D8371">
        <v>-17.607471085</v>
      </c>
      <c r="E8371" s="92" t="str">
        <f t="shared" si="42"/>
        <v/>
      </c>
      <c r="G8371" s="92"/>
      <c r="I8371">
        <v>7</v>
      </c>
      <c r="J8371" t="s">
        <v>26</v>
      </c>
      <c r="K8371" s="57"/>
      <c r="S8371" s="57"/>
      <c r="X8371" s="57"/>
    </row>
    <row r="8372" spans="1:24" hidden="1" x14ac:dyDescent="0.35">
      <c r="A8372">
        <v>8368</v>
      </c>
      <c r="B8372">
        <v>8369</v>
      </c>
      <c r="C8372">
        <v>146.102959661</v>
      </c>
      <c r="D8372">
        <v>-17.6074012577999</v>
      </c>
      <c r="E8372" s="92" t="str">
        <f t="shared" si="42"/>
        <v/>
      </c>
      <c r="G8372" s="92"/>
      <c r="I8372">
        <v>7</v>
      </c>
      <c r="J8372" t="s">
        <v>26</v>
      </c>
      <c r="K8372" s="57"/>
      <c r="S8372" s="57"/>
      <c r="X8372" s="57"/>
    </row>
    <row r="8373" spans="1:24" hidden="1" x14ac:dyDescent="0.35">
      <c r="A8373">
        <v>8369</v>
      </c>
      <c r="B8373">
        <v>8370</v>
      </c>
      <c r="C8373">
        <v>146.103013008</v>
      </c>
      <c r="D8373">
        <v>-17.607332368000002</v>
      </c>
      <c r="E8373" s="92">
        <f t="shared" si="42"/>
        <v>50</v>
      </c>
      <c r="G8373" s="92"/>
      <c r="I8373">
        <v>7</v>
      </c>
      <c r="J8373" t="s">
        <v>26</v>
      </c>
      <c r="K8373" s="57"/>
      <c r="S8373" s="57"/>
      <c r="X8373" s="57"/>
    </row>
    <row r="8374" spans="1:24" hidden="1" x14ac:dyDescent="0.35">
      <c r="A8374">
        <v>8370</v>
      </c>
      <c r="B8374">
        <v>8371</v>
      </c>
      <c r="C8374">
        <v>146.10306635500001</v>
      </c>
      <c r="D8374">
        <v>-17.607263478099899</v>
      </c>
      <c r="E8374" s="92" t="str">
        <f t="shared" si="42"/>
        <v/>
      </c>
      <c r="G8374" s="92"/>
      <c r="I8374">
        <v>7</v>
      </c>
      <c r="J8374" t="s">
        <v>26</v>
      </c>
      <c r="K8374" s="57"/>
      <c r="S8374" s="57"/>
      <c r="X8374" s="57"/>
    </row>
    <row r="8375" spans="1:24" hidden="1" x14ac:dyDescent="0.35">
      <c r="A8375">
        <v>8371</v>
      </c>
      <c r="B8375">
        <v>8372</v>
      </c>
      <c r="C8375">
        <v>146.10312929899899</v>
      </c>
      <c r="D8375">
        <v>-17.6072029151</v>
      </c>
      <c r="E8375" s="92" t="str">
        <f t="shared" si="42"/>
        <v/>
      </c>
      <c r="G8375" s="92"/>
      <c r="I8375">
        <v>7</v>
      </c>
      <c r="J8375" t="s">
        <v>26</v>
      </c>
      <c r="K8375" s="57"/>
      <c r="S8375" s="57"/>
      <c r="X8375" s="57"/>
    </row>
    <row r="8376" spans="1:24" hidden="1" x14ac:dyDescent="0.35">
      <c r="A8376">
        <v>8372</v>
      </c>
      <c r="B8376">
        <v>8373</v>
      </c>
      <c r="C8376">
        <v>146.10319625700001</v>
      </c>
      <c r="D8376">
        <v>-17.607145835200001</v>
      </c>
      <c r="E8376" s="92" t="str">
        <f t="shared" si="42"/>
        <v/>
      </c>
      <c r="G8376" s="92"/>
      <c r="I8376">
        <v>7</v>
      </c>
      <c r="J8376" t="s">
        <v>26</v>
      </c>
      <c r="K8376" s="57"/>
      <c r="S8376" s="57"/>
      <c r="X8376" s="57"/>
    </row>
    <row r="8377" spans="1:24" hidden="1" x14ac:dyDescent="0.35">
      <c r="A8377">
        <v>8373</v>
      </c>
      <c r="B8377">
        <v>8374</v>
      </c>
      <c r="C8377">
        <v>146.10326321599899</v>
      </c>
      <c r="D8377">
        <v>-17.607088755300001</v>
      </c>
      <c r="E8377" s="92" t="str">
        <f t="shared" si="42"/>
        <v/>
      </c>
      <c r="G8377" s="92"/>
      <c r="I8377">
        <v>7</v>
      </c>
      <c r="J8377" t="s">
        <v>26</v>
      </c>
      <c r="K8377" s="57"/>
      <c r="S8377" s="57"/>
      <c r="X8377" s="57"/>
    </row>
    <row r="8378" spans="1:24" hidden="1" x14ac:dyDescent="0.35">
      <c r="A8378">
        <v>8374</v>
      </c>
      <c r="B8378">
        <v>8375</v>
      </c>
      <c r="C8378">
        <v>146.10333017400001</v>
      </c>
      <c r="D8378">
        <v>-17.607031675399899</v>
      </c>
      <c r="E8378" s="92">
        <f t="shared" si="42"/>
        <v>50</v>
      </c>
      <c r="G8378" s="92"/>
      <c r="I8378">
        <v>7</v>
      </c>
      <c r="J8378" t="s">
        <v>26</v>
      </c>
      <c r="K8378" s="57"/>
      <c r="S8378" s="57"/>
      <c r="X8378" s="57"/>
    </row>
    <row r="8379" spans="1:24" hidden="1" x14ac:dyDescent="0.35">
      <c r="A8379">
        <v>8375</v>
      </c>
      <c r="B8379">
        <v>8376</v>
      </c>
      <c r="C8379">
        <v>146.10341083</v>
      </c>
      <c r="D8379">
        <v>-17.6069984367</v>
      </c>
      <c r="E8379" s="92" t="str">
        <f t="shared" si="42"/>
        <v/>
      </c>
      <c r="G8379" s="92"/>
      <c r="I8379">
        <v>7</v>
      </c>
      <c r="J8379" t="s">
        <v>26</v>
      </c>
      <c r="K8379" s="57"/>
      <c r="S8379" s="57"/>
      <c r="X8379" s="57"/>
    </row>
    <row r="8380" spans="1:24" hidden="1" x14ac:dyDescent="0.35">
      <c r="A8380">
        <v>8376</v>
      </c>
      <c r="B8380">
        <v>8377</v>
      </c>
      <c r="C8380">
        <v>146.10349735200001</v>
      </c>
      <c r="D8380">
        <v>-17.606975410699899</v>
      </c>
      <c r="E8380" s="92" t="str">
        <f t="shared" si="42"/>
        <v/>
      </c>
      <c r="G8380" s="92"/>
      <c r="I8380">
        <v>7</v>
      </c>
      <c r="J8380" t="s">
        <v>26</v>
      </c>
      <c r="K8380" s="57"/>
      <c r="S8380" s="57"/>
      <c r="X8380" s="57"/>
    </row>
    <row r="8381" spans="1:24" hidden="1" x14ac:dyDescent="0.35">
      <c r="A8381">
        <v>8377</v>
      </c>
      <c r="B8381">
        <v>8378</v>
      </c>
      <c r="C8381">
        <v>146.10358387400001</v>
      </c>
      <c r="D8381">
        <v>-17.6069523848</v>
      </c>
      <c r="E8381" s="92" t="str">
        <f t="shared" si="42"/>
        <v/>
      </c>
      <c r="G8381" s="92"/>
      <c r="I8381">
        <v>7</v>
      </c>
      <c r="J8381" t="s">
        <v>26</v>
      </c>
      <c r="K8381" s="57"/>
      <c r="S8381" s="57"/>
      <c r="X8381" s="57"/>
    </row>
    <row r="8382" spans="1:24" hidden="1" x14ac:dyDescent="0.35">
      <c r="A8382">
        <v>8378</v>
      </c>
      <c r="B8382">
        <v>8379</v>
      </c>
      <c r="C8382">
        <v>146.10367056600001</v>
      </c>
      <c r="D8382">
        <v>-17.606930956900001</v>
      </c>
      <c r="E8382" s="92" t="str">
        <f t="shared" si="42"/>
        <v/>
      </c>
      <c r="G8382" s="92"/>
      <c r="I8382">
        <v>7</v>
      </c>
      <c r="J8382" t="s">
        <v>26</v>
      </c>
      <c r="K8382" s="57"/>
      <c r="S8382" s="57"/>
      <c r="X8382" s="57"/>
    </row>
    <row r="8383" spans="1:24" hidden="1" x14ac:dyDescent="0.35">
      <c r="A8383">
        <v>8379</v>
      </c>
      <c r="B8383">
        <v>8380</v>
      </c>
      <c r="C8383">
        <v>146.10376017600001</v>
      </c>
      <c r="D8383">
        <v>-17.606936969900001</v>
      </c>
      <c r="E8383" s="92">
        <f t="shared" si="42"/>
        <v>50</v>
      </c>
      <c r="G8383" s="92"/>
      <c r="I8383">
        <v>7</v>
      </c>
      <c r="J8383" t="s">
        <v>26</v>
      </c>
      <c r="K8383" s="57"/>
      <c r="S8383" s="57"/>
      <c r="X8383" s="57"/>
    </row>
    <row r="8384" spans="1:24" hidden="1" x14ac:dyDescent="0.35">
      <c r="A8384">
        <v>8380</v>
      </c>
      <c r="B8384">
        <v>8381</v>
      </c>
      <c r="C8384">
        <v>146.10384978600001</v>
      </c>
      <c r="D8384">
        <v>-17.6069429828</v>
      </c>
      <c r="E8384" s="92" t="str">
        <f t="shared" si="42"/>
        <v/>
      </c>
      <c r="G8384" s="92"/>
      <c r="I8384">
        <v>7</v>
      </c>
      <c r="J8384" t="s">
        <v>26</v>
      </c>
      <c r="K8384" s="57"/>
      <c r="S8384" s="57"/>
      <c r="X8384" s="57"/>
    </row>
    <row r="8385" spans="1:24" hidden="1" x14ac:dyDescent="0.35">
      <c r="A8385">
        <v>8381</v>
      </c>
      <c r="B8385">
        <v>8382</v>
      </c>
      <c r="C8385">
        <v>146.10393939599899</v>
      </c>
      <c r="D8385">
        <v>-17.606948995700002</v>
      </c>
      <c r="E8385" s="92" t="str">
        <f t="shared" si="42"/>
        <v/>
      </c>
      <c r="G8385" s="92"/>
      <c r="I8385">
        <v>7</v>
      </c>
      <c r="J8385" t="s">
        <v>26</v>
      </c>
      <c r="K8385" s="57"/>
      <c r="S8385" s="57"/>
      <c r="X8385" s="57"/>
    </row>
    <row r="8386" spans="1:24" hidden="1" x14ac:dyDescent="0.35">
      <c r="A8386">
        <v>8382</v>
      </c>
      <c r="B8386">
        <v>8383</v>
      </c>
      <c r="C8386">
        <v>146.104028021999</v>
      </c>
      <c r="D8386">
        <v>-17.606961573500001</v>
      </c>
      <c r="E8386" s="92" t="str">
        <f t="shared" si="42"/>
        <v/>
      </c>
      <c r="G8386" s="92"/>
      <c r="I8386">
        <v>7</v>
      </c>
      <c r="J8386" t="s">
        <v>26</v>
      </c>
      <c r="K8386" s="57"/>
      <c r="S8386" s="57"/>
      <c r="X8386" s="57"/>
    </row>
    <row r="8387" spans="1:24" hidden="1" x14ac:dyDescent="0.35">
      <c r="A8387">
        <v>8383</v>
      </c>
      <c r="B8387">
        <v>8384</v>
      </c>
      <c r="C8387">
        <v>146.10411581400001</v>
      </c>
      <c r="D8387">
        <v>-17.606979714400001</v>
      </c>
      <c r="E8387" s="92" t="str">
        <f t="shared" si="42"/>
        <v/>
      </c>
      <c r="G8387" s="92"/>
      <c r="I8387">
        <v>7</v>
      </c>
      <c r="J8387" t="s">
        <v>26</v>
      </c>
      <c r="K8387" s="57"/>
      <c r="S8387" s="57"/>
      <c r="X8387" s="57"/>
    </row>
    <row r="8388" spans="1:24" hidden="1" x14ac:dyDescent="0.35">
      <c r="A8388">
        <v>8384</v>
      </c>
      <c r="B8388">
        <v>8385</v>
      </c>
      <c r="C8388">
        <v>146.104203605999</v>
      </c>
      <c r="D8388">
        <v>-17.6069978551999</v>
      </c>
      <c r="E8388" s="92">
        <f t="shared" si="42"/>
        <v>50</v>
      </c>
      <c r="G8388" s="92"/>
      <c r="I8388">
        <v>7</v>
      </c>
      <c r="J8388" t="s">
        <v>26</v>
      </c>
      <c r="K8388" s="57"/>
      <c r="S8388" s="57"/>
      <c r="X8388" s="57"/>
    </row>
    <row r="8389" spans="1:24" hidden="1" x14ac:dyDescent="0.35">
      <c r="A8389">
        <v>8385</v>
      </c>
      <c r="B8389">
        <v>8386</v>
      </c>
      <c r="C8389">
        <v>146.104287591</v>
      </c>
      <c r="D8389">
        <v>-17.6070266850999</v>
      </c>
      <c r="E8389" s="92" t="str">
        <f t="shared" si="42"/>
        <v/>
      </c>
      <c r="G8389" s="92"/>
      <c r="I8389">
        <v>7</v>
      </c>
      <c r="J8389" t="s">
        <v>26</v>
      </c>
      <c r="K8389" s="57"/>
      <c r="S8389" s="57"/>
      <c r="X8389" s="57"/>
    </row>
    <row r="8390" spans="1:24" hidden="1" x14ac:dyDescent="0.35">
      <c r="A8390">
        <v>8386</v>
      </c>
      <c r="B8390">
        <v>8387</v>
      </c>
      <c r="C8390">
        <v>146.104368827</v>
      </c>
      <c r="D8390">
        <v>-17.6070632355</v>
      </c>
      <c r="E8390" s="92" t="str">
        <f t="shared" si="42"/>
        <v/>
      </c>
      <c r="G8390" s="92"/>
      <c r="I8390">
        <v>7</v>
      </c>
      <c r="J8390" t="s">
        <v>26</v>
      </c>
      <c r="K8390" s="57"/>
      <c r="S8390" s="57"/>
      <c r="X8390" s="57"/>
    </row>
    <row r="8391" spans="1:24" hidden="1" x14ac:dyDescent="0.35">
      <c r="A8391">
        <v>8387</v>
      </c>
      <c r="B8391">
        <v>8388</v>
      </c>
      <c r="C8391">
        <v>146.104450063</v>
      </c>
      <c r="D8391">
        <v>-17.607099785900001</v>
      </c>
      <c r="E8391" s="92" t="str">
        <f t="shared" si="42"/>
        <v/>
      </c>
      <c r="G8391" s="92"/>
      <c r="I8391">
        <v>7</v>
      </c>
      <c r="J8391" t="s">
        <v>26</v>
      </c>
      <c r="K8391" s="57"/>
      <c r="S8391" s="57"/>
      <c r="X8391" s="57"/>
    </row>
    <row r="8392" spans="1:24" hidden="1" x14ac:dyDescent="0.35">
      <c r="A8392">
        <v>8388</v>
      </c>
      <c r="B8392">
        <v>8389</v>
      </c>
      <c r="C8392">
        <v>146.104530909999</v>
      </c>
      <c r="D8392">
        <v>-17.607137053399899</v>
      </c>
      <c r="E8392" s="92" t="str">
        <f t="shared" si="42"/>
        <v/>
      </c>
      <c r="G8392" s="92"/>
      <c r="I8392">
        <v>7</v>
      </c>
      <c r="J8392" t="s">
        <v>26</v>
      </c>
      <c r="K8392" s="57"/>
      <c r="S8392" s="57"/>
      <c r="X8392" s="57"/>
    </row>
    <row r="8393" spans="1:24" hidden="1" x14ac:dyDescent="0.35">
      <c r="A8393">
        <v>8389</v>
      </c>
      <c r="B8393">
        <v>8390</v>
      </c>
      <c r="C8393">
        <v>146.104609213</v>
      </c>
      <c r="D8393">
        <v>-17.607179016300002</v>
      </c>
      <c r="E8393" s="92">
        <f t="shared" si="42"/>
        <v>50</v>
      </c>
      <c r="G8393" s="92"/>
      <c r="I8393">
        <v>7</v>
      </c>
      <c r="J8393" t="s">
        <v>26</v>
      </c>
      <c r="K8393" s="57"/>
      <c r="S8393" s="57"/>
      <c r="X8393" s="57"/>
    </row>
    <row r="8394" spans="1:24" hidden="1" x14ac:dyDescent="0.35">
      <c r="A8394">
        <v>8390</v>
      </c>
      <c r="B8394">
        <v>8391</v>
      </c>
      <c r="C8394">
        <v>146.104687517</v>
      </c>
      <c r="D8394">
        <v>-17.607220979200001</v>
      </c>
      <c r="E8394" s="92" t="str">
        <f t="shared" si="42"/>
        <v/>
      </c>
      <c r="G8394" s="92"/>
      <c r="I8394">
        <v>7</v>
      </c>
      <c r="J8394" t="s">
        <v>26</v>
      </c>
      <c r="K8394" s="57"/>
      <c r="S8394" s="57"/>
      <c r="X8394" s="57"/>
    </row>
    <row r="8395" spans="1:24" hidden="1" x14ac:dyDescent="0.35">
      <c r="A8395">
        <v>8391</v>
      </c>
      <c r="B8395">
        <v>8392</v>
      </c>
      <c r="C8395">
        <v>146.104765821</v>
      </c>
      <c r="D8395">
        <v>-17.6072629421</v>
      </c>
      <c r="E8395" s="92" t="str">
        <f t="shared" si="42"/>
        <v/>
      </c>
      <c r="G8395" s="92"/>
      <c r="I8395">
        <v>7</v>
      </c>
      <c r="J8395" t="s">
        <v>26</v>
      </c>
      <c r="K8395" s="57"/>
      <c r="S8395" s="57"/>
      <c r="X8395" s="57"/>
    </row>
    <row r="8396" spans="1:24" hidden="1" x14ac:dyDescent="0.35">
      <c r="A8396">
        <v>8392</v>
      </c>
      <c r="B8396">
        <v>8393</v>
      </c>
      <c r="C8396">
        <v>146.10484293299899</v>
      </c>
      <c r="D8396">
        <v>-17.607306850600001</v>
      </c>
      <c r="E8396" s="92" t="str">
        <f t="shared" si="42"/>
        <v/>
      </c>
      <c r="G8396" s="92"/>
      <c r="I8396">
        <v>7</v>
      </c>
      <c r="J8396" t="s">
        <v>26</v>
      </c>
      <c r="K8396" s="57"/>
      <c r="S8396" s="57"/>
      <c r="X8396" s="57"/>
    </row>
    <row r="8397" spans="1:24" hidden="1" x14ac:dyDescent="0.35">
      <c r="A8397">
        <v>8393</v>
      </c>
      <c r="B8397">
        <v>8394</v>
      </c>
      <c r="C8397">
        <v>146.10491978100001</v>
      </c>
      <c r="D8397">
        <v>-17.6073511907999</v>
      </c>
      <c r="E8397" s="92" t="str">
        <f t="shared" si="42"/>
        <v/>
      </c>
      <c r="G8397" s="92"/>
      <c r="I8397">
        <v>7</v>
      </c>
      <c r="J8397" t="s">
        <v>26</v>
      </c>
      <c r="K8397" s="57"/>
      <c r="S8397" s="57"/>
      <c r="X8397" s="57"/>
    </row>
    <row r="8398" spans="1:24" hidden="1" x14ac:dyDescent="0.35">
      <c r="A8398">
        <v>8394</v>
      </c>
      <c r="B8398">
        <v>8395</v>
      </c>
      <c r="C8398">
        <v>146.104996628999</v>
      </c>
      <c r="D8398">
        <v>-17.6073955311</v>
      </c>
      <c r="E8398" s="92">
        <f t="shared" si="42"/>
        <v>50</v>
      </c>
      <c r="G8398" s="92"/>
      <c r="I8398">
        <v>7</v>
      </c>
      <c r="J8398" t="s">
        <v>26</v>
      </c>
      <c r="K8398" s="57"/>
      <c r="S8398" s="57"/>
      <c r="X8398" s="57"/>
    </row>
    <row r="8399" spans="1:24" hidden="1" x14ac:dyDescent="0.35">
      <c r="A8399">
        <v>8395</v>
      </c>
      <c r="B8399">
        <v>8396</v>
      </c>
      <c r="C8399">
        <v>146.105073228999</v>
      </c>
      <c r="D8399">
        <v>-17.607440237500001</v>
      </c>
      <c r="E8399" s="92" t="str">
        <f t="shared" si="42"/>
        <v/>
      </c>
      <c r="G8399" s="92"/>
      <c r="I8399">
        <v>7</v>
      </c>
      <c r="J8399" t="s">
        <v>26</v>
      </c>
      <c r="K8399" s="57"/>
      <c r="S8399" s="57"/>
      <c r="X8399" s="57"/>
    </row>
    <row r="8400" spans="1:24" hidden="1" x14ac:dyDescent="0.35">
      <c r="A8400">
        <v>8396</v>
      </c>
      <c r="B8400">
        <v>8397</v>
      </c>
      <c r="C8400">
        <v>146.105147219</v>
      </c>
      <c r="D8400">
        <v>-17.607488794199899</v>
      </c>
      <c r="E8400" s="92" t="str">
        <f t="shared" ref="E8400:E8463" si="43">IF(MOD(B8400,5)=0, 50, "")</f>
        <v/>
      </c>
      <c r="G8400" s="92"/>
      <c r="I8400">
        <v>7</v>
      </c>
      <c r="J8400" t="s">
        <v>26</v>
      </c>
      <c r="K8400" s="57"/>
      <c r="S8400" s="57"/>
      <c r="X8400" s="57"/>
    </row>
    <row r="8401" spans="1:24" hidden="1" x14ac:dyDescent="0.35">
      <c r="A8401">
        <v>8397</v>
      </c>
      <c r="B8401">
        <v>8398</v>
      </c>
      <c r="C8401">
        <v>146.10522120900001</v>
      </c>
      <c r="D8401">
        <v>-17.6075373508999</v>
      </c>
      <c r="E8401" s="92" t="str">
        <f t="shared" si="43"/>
        <v/>
      </c>
      <c r="G8401" s="92"/>
      <c r="I8401">
        <v>7</v>
      </c>
      <c r="J8401" t="s">
        <v>26</v>
      </c>
      <c r="K8401" s="57"/>
      <c r="S8401" s="57"/>
      <c r="X8401" s="57"/>
    </row>
    <row r="8402" spans="1:24" hidden="1" x14ac:dyDescent="0.35">
      <c r="A8402">
        <v>8398</v>
      </c>
      <c r="B8402">
        <v>8399</v>
      </c>
      <c r="C8402">
        <v>146.105296576999</v>
      </c>
      <c r="D8402">
        <v>-17.6075836993999</v>
      </c>
      <c r="E8402" s="92" t="str">
        <f t="shared" si="43"/>
        <v/>
      </c>
      <c r="G8402" s="92"/>
      <c r="I8402">
        <v>7</v>
      </c>
      <c r="J8402" t="s">
        <v>26</v>
      </c>
      <c r="K8402" s="57"/>
      <c r="S8402" s="57"/>
      <c r="X8402" s="57"/>
    </row>
    <row r="8403" spans="1:24" hidden="1" x14ac:dyDescent="0.35">
      <c r="A8403">
        <v>8399</v>
      </c>
      <c r="B8403">
        <v>8400</v>
      </c>
      <c r="C8403">
        <v>146.105378467999</v>
      </c>
      <c r="D8403">
        <v>-17.607616896</v>
      </c>
      <c r="E8403" s="92">
        <f t="shared" si="43"/>
        <v>50</v>
      </c>
      <c r="G8403" s="92"/>
      <c r="I8403">
        <v>7</v>
      </c>
      <c r="J8403" t="s">
        <v>26</v>
      </c>
      <c r="K8403" s="57"/>
      <c r="S8403" s="57"/>
      <c r="X8403" s="57"/>
    </row>
    <row r="8404" spans="1:24" hidden="1" x14ac:dyDescent="0.35">
      <c r="A8404">
        <v>8400</v>
      </c>
      <c r="B8404">
        <v>8401</v>
      </c>
      <c r="C8404">
        <v>146.105449026999</v>
      </c>
      <c r="D8404">
        <v>-17.6075827809</v>
      </c>
      <c r="E8404" s="92" t="str">
        <f t="shared" si="43"/>
        <v/>
      </c>
      <c r="G8404" s="92"/>
      <c r="I8404">
        <v>7</v>
      </c>
      <c r="J8404" t="s">
        <v>26</v>
      </c>
      <c r="K8404" s="57"/>
      <c r="S8404" s="57"/>
      <c r="X8404" s="57"/>
    </row>
    <row r="8405" spans="1:24" hidden="1" x14ac:dyDescent="0.35">
      <c r="A8405">
        <v>8401</v>
      </c>
      <c r="B8405">
        <v>8402</v>
      </c>
      <c r="C8405">
        <v>146.10548953200001</v>
      </c>
      <c r="D8405">
        <v>-17.607506377499899</v>
      </c>
      <c r="E8405" s="92" t="str">
        <f t="shared" si="43"/>
        <v/>
      </c>
      <c r="G8405" s="92"/>
      <c r="I8405">
        <v>7</v>
      </c>
      <c r="J8405" t="s">
        <v>26</v>
      </c>
      <c r="K8405" s="57"/>
      <c r="S8405" s="57"/>
      <c r="X8405" s="57"/>
    </row>
    <row r="8406" spans="1:24" hidden="1" x14ac:dyDescent="0.35">
      <c r="A8406">
        <v>8402</v>
      </c>
      <c r="B8406">
        <v>8403</v>
      </c>
      <c r="C8406">
        <v>146.10553915400001</v>
      </c>
      <c r="D8406">
        <v>-17.607435031200001</v>
      </c>
      <c r="E8406" s="92" t="str">
        <f t="shared" si="43"/>
        <v/>
      </c>
      <c r="G8406" s="92"/>
      <c r="I8406">
        <v>7</v>
      </c>
      <c r="J8406" t="s">
        <v>26</v>
      </c>
      <c r="K8406" s="57"/>
      <c r="S8406" s="57"/>
      <c r="X8406" s="57"/>
    </row>
    <row r="8407" spans="1:24" hidden="1" x14ac:dyDescent="0.35">
      <c r="A8407">
        <v>8403</v>
      </c>
      <c r="B8407">
        <v>8404</v>
      </c>
      <c r="C8407">
        <v>146.10559821300001</v>
      </c>
      <c r="D8407">
        <v>-17.607370666400001</v>
      </c>
      <c r="E8407" s="92" t="str">
        <f t="shared" si="43"/>
        <v/>
      </c>
      <c r="G8407" s="92"/>
      <c r="I8407">
        <v>7</v>
      </c>
      <c r="J8407" t="s">
        <v>26</v>
      </c>
      <c r="K8407" s="57"/>
      <c r="S8407" s="57"/>
      <c r="X8407" s="57"/>
    </row>
    <row r="8408" spans="1:24" hidden="1" x14ac:dyDescent="0.35">
      <c r="A8408">
        <v>8404</v>
      </c>
      <c r="B8408">
        <v>8405</v>
      </c>
      <c r="C8408">
        <v>146.105672580999</v>
      </c>
      <c r="D8408">
        <v>-17.607324540299899</v>
      </c>
      <c r="E8408" s="92">
        <f t="shared" si="43"/>
        <v>50</v>
      </c>
      <c r="G8408" s="92"/>
      <c r="I8408">
        <v>7</v>
      </c>
      <c r="J8408" t="s">
        <v>26</v>
      </c>
      <c r="K8408" s="57"/>
      <c r="S8408" s="57"/>
      <c r="X8408" s="57"/>
    </row>
    <row r="8409" spans="1:24" hidden="1" x14ac:dyDescent="0.35">
      <c r="A8409">
        <v>8405</v>
      </c>
      <c r="B8409">
        <v>8406</v>
      </c>
      <c r="C8409">
        <v>146.10575224900001</v>
      </c>
      <c r="D8409">
        <v>-17.607284979300001</v>
      </c>
      <c r="E8409" s="92" t="str">
        <f t="shared" si="43"/>
        <v/>
      </c>
      <c r="G8409" s="92"/>
      <c r="I8409">
        <v>7</v>
      </c>
      <c r="J8409" t="s">
        <v>26</v>
      </c>
      <c r="K8409" s="57"/>
      <c r="S8409" s="57"/>
      <c r="X8409" s="57"/>
    </row>
    <row r="8410" spans="1:24" hidden="1" x14ac:dyDescent="0.35">
      <c r="A8410">
        <v>8406</v>
      </c>
      <c r="B8410">
        <v>8407</v>
      </c>
      <c r="C8410">
        <v>146.105841118999</v>
      </c>
      <c r="D8410">
        <v>-17.6072780044999</v>
      </c>
      <c r="E8410" s="92" t="str">
        <f t="shared" si="43"/>
        <v/>
      </c>
      <c r="G8410" s="92"/>
      <c r="I8410">
        <v>7</v>
      </c>
      <c r="J8410" t="s">
        <v>26</v>
      </c>
      <c r="K8410" s="57"/>
      <c r="S8410" s="57"/>
      <c r="X8410" s="57"/>
    </row>
    <row r="8411" spans="1:24" hidden="1" x14ac:dyDescent="0.35">
      <c r="A8411">
        <v>8407</v>
      </c>
      <c r="B8411">
        <v>8408</v>
      </c>
      <c r="C8411">
        <v>146.105930892999</v>
      </c>
      <c r="D8411">
        <v>-17.6072757753</v>
      </c>
      <c r="E8411" s="92" t="str">
        <f t="shared" si="43"/>
        <v/>
      </c>
      <c r="G8411" s="92"/>
      <c r="I8411">
        <v>7</v>
      </c>
      <c r="J8411" t="s">
        <v>26</v>
      </c>
      <c r="K8411" s="57"/>
      <c r="S8411" s="57"/>
      <c r="X8411" s="57"/>
    </row>
    <row r="8412" spans="1:24" hidden="1" x14ac:dyDescent="0.35">
      <c r="A8412">
        <v>8408</v>
      </c>
      <c r="B8412">
        <v>8409</v>
      </c>
      <c r="C8412">
        <v>146.106020688999</v>
      </c>
      <c r="D8412">
        <v>-17.607276468599899</v>
      </c>
      <c r="E8412" s="92" t="str">
        <f t="shared" si="43"/>
        <v/>
      </c>
      <c r="G8412" s="92"/>
      <c r="I8412">
        <v>7</v>
      </c>
      <c r="J8412" t="s">
        <v>26</v>
      </c>
      <c r="K8412" s="57"/>
      <c r="S8412" s="57"/>
      <c r="X8412" s="57"/>
    </row>
    <row r="8413" spans="1:24" hidden="1" x14ac:dyDescent="0.35">
      <c r="A8413">
        <v>8409</v>
      </c>
      <c r="B8413">
        <v>8410</v>
      </c>
      <c r="C8413">
        <v>146.10609327399899</v>
      </c>
      <c r="D8413">
        <v>-17.6073135982999</v>
      </c>
      <c r="E8413" s="92">
        <f t="shared" si="43"/>
        <v>50</v>
      </c>
      <c r="G8413" s="92"/>
      <c r="I8413">
        <v>7</v>
      </c>
      <c r="J8413" t="s">
        <v>26</v>
      </c>
      <c r="K8413" s="57"/>
      <c r="S8413" s="57"/>
      <c r="X8413" s="57"/>
    </row>
    <row r="8414" spans="1:24" hidden="1" x14ac:dyDescent="0.35">
      <c r="A8414">
        <v>8410</v>
      </c>
      <c r="B8414">
        <v>8411</v>
      </c>
      <c r="C8414">
        <v>146.10605601500001</v>
      </c>
      <c r="D8414">
        <v>-17.607382693999899</v>
      </c>
      <c r="E8414" s="92" t="str">
        <f t="shared" si="43"/>
        <v/>
      </c>
      <c r="G8414" s="92"/>
      <c r="I8414">
        <v>7</v>
      </c>
      <c r="J8414" t="s">
        <v>26</v>
      </c>
      <c r="K8414" s="57"/>
      <c r="S8414" s="57"/>
      <c r="X8414" s="57"/>
    </row>
    <row r="8415" spans="1:24" hidden="1" x14ac:dyDescent="0.35">
      <c r="A8415">
        <v>8411</v>
      </c>
      <c r="B8415">
        <v>8412</v>
      </c>
      <c r="C8415">
        <v>146.105971041999</v>
      </c>
      <c r="D8415">
        <v>-17.607410471600002</v>
      </c>
      <c r="E8415" s="92" t="str">
        <f t="shared" si="43"/>
        <v/>
      </c>
      <c r="G8415" s="92"/>
      <c r="I8415">
        <v>7</v>
      </c>
      <c r="J8415" t="s">
        <v>26</v>
      </c>
      <c r="K8415" s="57"/>
      <c r="S8415" s="57"/>
      <c r="X8415" s="57"/>
    </row>
    <row r="8416" spans="1:24" hidden="1" x14ac:dyDescent="0.35">
      <c r="A8416">
        <v>8412</v>
      </c>
      <c r="B8416">
        <v>8413</v>
      </c>
      <c r="C8416">
        <v>146.10588606900001</v>
      </c>
      <c r="D8416">
        <v>-17.607438249200001</v>
      </c>
      <c r="E8416" s="92" t="str">
        <f t="shared" si="43"/>
        <v/>
      </c>
      <c r="G8416" s="92"/>
      <c r="I8416">
        <v>7</v>
      </c>
      <c r="J8416" t="s">
        <v>26</v>
      </c>
      <c r="K8416" s="57"/>
      <c r="S8416" s="57"/>
      <c r="X8416" s="57"/>
    </row>
    <row r="8417" spans="1:24" hidden="1" x14ac:dyDescent="0.35">
      <c r="A8417">
        <v>8413</v>
      </c>
      <c r="B8417">
        <v>8414</v>
      </c>
      <c r="C8417">
        <v>146.105803425</v>
      </c>
      <c r="D8417">
        <v>-17.607471776800001</v>
      </c>
      <c r="E8417" s="92" t="str">
        <f t="shared" si="43"/>
        <v/>
      </c>
      <c r="G8417" s="92"/>
      <c r="I8417">
        <v>7</v>
      </c>
      <c r="J8417" t="s">
        <v>26</v>
      </c>
      <c r="K8417" s="57"/>
      <c r="S8417" s="57"/>
      <c r="X8417" s="57"/>
    </row>
    <row r="8418" spans="1:24" hidden="1" x14ac:dyDescent="0.35">
      <c r="A8418">
        <v>8414</v>
      </c>
      <c r="B8418">
        <v>8415</v>
      </c>
      <c r="C8418">
        <v>146.10572091</v>
      </c>
      <c r="D8418">
        <v>-17.607505623800002</v>
      </c>
      <c r="E8418" s="92">
        <f t="shared" si="43"/>
        <v>50</v>
      </c>
      <c r="G8418" s="92"/>
      <c r="I8418">
        <v>7</v>
      </c>
      <c r="J8418" t="s">
        <v>26</v>
      </c>
      <c r="K8418" s="57"/>
      <c r="S8418" s="57"/>
      <c r="X8418" s="57"/>
    </row>
    <row r="8419" spans="1:24" hidden="1" x14ac:dyDescent="0.35">
      <c r="A8419">
        <v>8415</v>
      </c>
      <c r="B8419">
        <v>8416</v>
      </c>
      <c r="C8419">
        <v>146.10564360800001</v>
      </c>
      <c r="D8419">
        <v>-17.607547895900002</v>
      </c>
      <c r="E8419" s="92" t="str">
        <f t="shared" si="43"/>
        <v/>
      </c>
      <c r="G8419" s="92"/>
      <c r="I8419">
        <v>7</v>
      </c>
      <c r="J8419" t="s">
        <v>26</v>
      </c>
      <c r="K8419" s="57"/>
      <c r="S8419" s="57"/>
      <c r="X8419" s="57"/>
    </row>
    <row r="8420" spans="1:24" hidden="1" x14ac:dyDescent="0.35">
      <c r="A8420">
        <v>8416</v>
      </c>
      <c r="B8420">
        <v>8417</v>
      </c>
      <c r="C8420">
        <v>146.105605134</v>
      </c>
      <c r="D8420">
        <v>-17.6076189391</v>
      </c>
      <c r="E8420" s="92" t="str">
        <f t="shared" si="43"/>
        <v/>
      </c>
      <c r="G8420" s="92"/>
      <c r="I8420">
        <v>7</v>
      </c>
      <c r="J8420" t="s">
        <v>26</v>
      </c>
      <c r="K8420" s="57"/>
      <c r="S8420" s="57"/>
      <c r="X8420" s="57"/>
    </row>
    <row r="8421" spans="1:24" hidden="1" x14ac:dyDescent="0.35">
      <c r="A8421">
        <v>8417</v>
      </c>
      <c r="B8421">
        <v>8418</v>
      </c>
      <c r="C8421">
        <v>146.105607762999</v>
      </c>
      <c r="D8421">
        <v>-17.6077036187</v>
      </c>
      <c r="E8421" s="92" t="str">
        <f t="shared" si="43"/>
        <v/>
      </c>
      <c r="G8421" s="92"/>
      <c r="I8421">
        <v>7</v>
      </c>
      <c r="J8421" t="s">
        <v>26</v>
      </c>
      <c r="K8421" s="57"/>
      <c r="S8421" s="57"/>
      <c r="X8421" s="57"/>
    </row>
    <row r="8422" spans="1:24" hidden="1" x14ac:dyDescent="0.35">
      <c r="A8422">
        <v>8418</v>
      </c>
      <c r="B8422">
        <v>8419</v>
      </c>
      <c r="C8422">
        <v>146.10562880500001</v>
      </c>
      <c r="D8422">
        <v>-17.607786513400001</v>
      </c>
      <c r="E8422" s="92" t="str">
        <f t="shared" si="43"/>
        <v/>
      </c>
      <c r="G8422" s="92"/>
      <c r="I8422">
        <v>7</v>
      </c>
      <c r="J8422" t="s">
        <v>26</v>
      </c>
      <c r="K8422" s="57"/>
      <c r="S8422" s="57"/>
      <c r="X8422" s="57"/>
    </row>
    <row r="8423" spans="1:24" hidden="1" x14ac:dyDescent="0.35">
      <c r="A8423">
        <v>8419</v>
      </c>
      <c r="B8423">
        <v>8420</v>
      </c>
      <c r="C8423">
        <v>146.105676627999</v>
      </c>
      <c r="D8423">
        <v>-17.607856662700001</v>
      </c>
      <c r="E8423" s="92">
        <f t="shared" si="43"/>
        <v>50</v>
      </c>
      <c r="G8423" s="92"/>
      <c r="I8423">
        <v>7</v>
      </c>
      <c r="J8423" t="s">
        <v>26</v>
      </c>
      <c r="K8423" s="57"/>
      <c r="S8423" s="57"/>
      <c r="X8423" s="57"/>
    </row>
    <row r="8424" spans="1:24" hidden="1" x14ac:dyDescent="0.35">
      <c r="A8424">
        <v>8420</v>
      </c>
      <c r="B8424">
        <v>8421</v>
      </c>
      <c r="C8424">
        <v>146.105738032999</v>
      </c>
      <c r="D8424">
        <v>-17.6079191581</v>
      </c>
      <c r="E8424" s="92" t="str">
        <f t="shared" si="43"/>
        <v/>
      </c>
      <c r="G8424" s="92"/>
      <c r="I8424">
        <v>7</v>
      </c>
      <c r="J8424" t="s">
        <v>26</v>
      </c>
      <c r="K8424" s="57"/>
      <c r="S8424" s="57"/>
      <c r="X8424" s="57"/>
    </row>
    <row r="8425" spans="1:24" hidden="1" x14ac:dyDescent="0.35">
      <c r="A8425">
        <v>8421</v>
      </c>
      <c r="B8425">
        <v>8422</v>
      </c>
      <c r="C8425">
        <v>146.10579943900001</v>
      </c>
      <c r="D8425">
        <v>-17.607981653500001</v>
      </c>
      <c r="E8425" s="92" t="str">
        <f t="shared" si="43"/>
        <v/>
      </c>
      <c r="G8425" s="92"/>
      <c r="I8425">
        <v>7</v>
      </c>
      <c r="J8425" t="s">
        <v>26</v>
      </c>
      <c r="K8425" s="57"/>
      <c r="S8425" s="57"/>
      <c r="X8425" s="57"/>
    </row>
    <row r="8426" spans="1:24" hidden="1" x14ac:dyDescent="0.35">
      <c r="A8426">
        <v>8422</v>
      </c>
      <c r="B8426">
        <v>8423</v>
      </c>
      <c r="C8426">
        <v>146.10586084400001</v>
      </c>
      <c r="D8426">
        <v>-17.608044148800001</v>
      </c>
      <c r="E8426" s="92" t="str">
        <f t="shared" si="43"/>
        <v/>
      </c>
      <c r="G8426" s="92"/>
      <c r="I8426">
        <v>7</v>
      </c>
      <c r="J8426" t="s">
        <v>26</v>
      </c>
      <c r="K8426" s="57"/>
      <c r="S8426" s="57"/>
      <c r="X8426" s="57"/>
    </row>
    <row r="8427" spans="1:24" hidden="1" x14ac:dyDescent="0.35">
      <c r="A8427">
        <v>8423</v>
      </c>
      <c r="B8427">
        <v>8424</v>
      </c>
      <c r="C8427">
        <v>146.10592035100001</v>
      </c>
      <c r="D8427">
        <v>-17.6081081719</v>
      </c>
      <c r="E8427" s="92" t="str">
        <f t="shared" si="43"/>
        <v/>
      </c>
      <c r="G8427" s="92"/>
      <c r="I8427">
        <v>7</v>
      </c>
      <c r="J8427" t="s">
        <v>26</v>
      </c>
      <c r="K8427" s="57"/>
      <c r="S8427" s="57"/>
      <c r="X8427" s="57"/>
    </row>
    <row r="8428" spans="1:24" hidden="1" x14ac:dyDescent="0.35">
      <c r="A8428">
        <v>8424</v>
      </c>
      <c r="B8428">
        <v>8425</v>
      </c>
      <c r="C8428">
        <v>146.10597467400001</v>
      </c>
      <c r="D8428">
        <v>-17.608176364999899</v>
      </c>
      <c r="E8428" s="92">
        <f t="shared" si="43"/>
        <v>50</v>
      </c>
      <c r="G8428" s="92"/>
      <c r="I8428">
        <v>7</v>
      </c>
      <c r="J8428" t="s">
        <v>26</v>
      </c>
      <c r="K8428" s="57"/>
      <c r="S8428" s="57"/>
      <c r="X8428" s="57"/>
    </row>
    <row r="8429" spans="1:24" hidden="1" x14ac:dyDescent="0.35">
      <c r="A8429">
        <v>8425</v>
      </c>
      <c r="B8429">
        <v>8426</v>
      </c>
      <c r="C8429">
        <v>146.10602899700001</v>
      </c>
      <c r="D8429">
        <v>-17.608244558100001</v>
      </c>
      <c r="E8429" s="92" t="str">
        <f t="shared" si="43"/>
        <v/>
      </c>
      <c r="G8429" s="92"/>
      <c r="I8429">
        <v>7</v>
      </c>
      <c r="J8429" t="s">
        <v>26</v>
      </c>
      <c r="K8429" s="57"/>
      <c r="S8429" s="57"/>
      <c r="X8429" s="57"/>
    </row>
    <row r="8430" spans="1:24" hidden="1" x14ac:dyDescent="0.35">
      <c r="A8430">
        <v>8426</v>
      </c>
      <c r="B8430">
        <v>8427</v>
      </c>
      <c r="C8430">
        <v>146.10608332000001</v>
      </c>
      <c r="D8430">
        <v>-17.6083127512</v>
      </c>
      <c r="E8430" s="92" t="str">
        <f t="shared" si="43"/>
        <v/>
      </c>
      <c r="G8430" s="92"/>
      <c r="I8430">
        <v>7</v>
      </c>
      <c r="J8430" t="s">
        <v>26</v>
      </c>
      <c r="K8430" s="57"/>
      <c r="S8430" s="57"/>
      <c r="X8430" s="57"/>
    </row>
    <row r="8431" spans="1:24" hidden="1" x14ac:dyDescent="0.35">
      <c r="A8431">
        <v>8427</v>
      </c>
      <c r="B8431">
        <v>8428</v>
      </c>
      <c r="C8431">
        <v>146.106123346999</v>
      </c>
      <c r="D8431">
        <v>-17.608389190600001</v>
      </c>
      <c r="E8431" s="92" t="str">
        <f t="shared" si="43"/>
        <v/>
      </c>
      <c r="G8431" s="92"/>
      <c r="I8431">
        <v>7</v>
      </c>
      <c r="J8431" t="s">
        <v>26</v>
      </c>
      <c r="K8431" s="57"/>
      <c r="S8431" s="57"/>
      <c r="X8431" s="57"/>
    </row>
    <row r="8432" spans="1:24" hidden="1" x14ac:dyDescent="0.35">
      <c r="A8432">
        <v>8428</v>
      </c>
      <c r="B8432">
        <v>8429</v>
      </c>
      <c r="C8432">
        <v>146.106161530999</v>
      </c>
      <c r="D8432">
        <v>-17.608466693099899</v>
      </c>
      <c r="E8432" s="92" t="str">
        <f t="shared" si="43"/>
        <v/>
      </c>
      <c r="G8432" s="92"/>
      <c r="I8432">
        <v>7</v>
      </c>
      <c r="J8432" t="s">
        <v>26</v>
      </c>
      <c r="K8432" s="57"/>
      <c r="S8432" s="57"/>
      <c r="X8432" s="57"/>
    </row>
    <row r="8433" spans="1:24" hidden="1" x14ac:dyDescent="0.35">
      <c r="A8433">
        <v>8429</v>
      </c>
      <c r="B8433">
        <v>8430</v>
      </c>
      <c r="C8433">
        <v>146.106199715</v>
      </c>
      <c r="D8433">
        <v>-17.6085441956</v>
      </c>
      <c r="E8433" s="92">
        <f t="shared" si="43"/>
        <v>50</v>
      </c>
      <c r="G8433" s="92"/>
      <c r="I8433">
        <v>7</v>
      </c>
      <c r="J8433" t="s">
        <v>26</v>
      </c>
      <c r="K8433" s="57"/>
      <c r="S8433" s="57"/>
      <c r="X8433" s="57"/>
    </row>
    <row r="8434" spans="1:24" hidden="1" x14ac:dyDescent="0.35">
      <c r="A8434">
        <v>8430</v>
      </c>
      <c r="B8434">
        <v>8431</v>
      </c>
      <c r="C8434">
        <v>146.10623789799899</v>
      </c>
      <c r="D8434">
        <v>-17.608621698099899</v>
      </c>
      <c r="E8434" s="92" t="str">
        <f t="shared" si="43"/>
        <v/>
      </c>
      <c r="G8434" s="92"/>
      <c r="I8434">
        <v>7</v>
      </c>
      <c r="J8434" t="s">
        <v>26</v>
      </c>
      <c r="K8434" s="57"/>
      <c r="S8434" s="57"/>
      <c r="X8434" s="57"/>
    </row>
    <row r="8435" spans="1:24" hidden="1" x14ac:dyDescent="0.35">
      <c r="A8435">
        <v>8431</v>
      </c>
      <c r="B8435">
        <v>8432</v>
      </c>
      <c r="C8435">
        <v>146.106270139999</v>
      </c>
      <c r="D8435">
        <v>-17.608701610899899</v>
      </c>
      <c r="E8435" s="92" t="str">
        <f t="shared" si="43"/>
        <v/>
      </c>
      <c r="G8435" s="92"/>
      <c r="I8435">
        <v>7</v>
      </c>
      <c r="J8435" t="s">
        <v>26</v>
      </c>
      <c r="K8435" s="57"/>
      <c r="S8435" s="57"/>
      <c r="X8435" s="57"/>
    </row>
    <row r="8436" spans="1:24" hidden="1" x14ac:dyDescent="0.35">
      <c r="A8436">
        <v>8432</v>
      </c>
      <c r="B8436">
        <v>8433</v>
      </c>
      <c r="C8436">
        <v>146.10630225899899</v>
      </c>
      <c r="D8436">
        <v>-17.608781573400002</v>
      </c>
      <c r="E8436" s="92" t="str">
        <f t="shared" si="43"/>
        <v/>
      </c>
      <c r="G8436" s="92"/>
      <c r="I8436">
        <v>7</v>
      </c>
      <c r="J8436" t="s">
        <v>26</v>
      </c>
      <c r="K8436" s="57"/>
      <c r="S8436" s="57"/>
      <c r="X8436" s="57"/>
    </row>
    <row r="8437" spans="1:24" hidden="1" x14ac:dyDescent="0.35">
      <c r="A8437">
        <v>8433</v>
      </c>
      <c r="B8437">
        <v>8434</v>
      </c>
      <c r="C8437">
        <v>146.106334376999</v>
      </c>
      <c r="D8437">
        <v>-17.6088615357999</v>
      </c>
      <c r="E8437" s="92" t="str">
        <f t="shared" si="43"/>
        <v/>
      </c>
      <c r="G8437" s="92"/>
      <c r="I8437">
        <v>7</v>
      </c>
      <c r="J8437" t="s">
        <v>26</v>
      </c>
      <c r="K8437" s="57"/>
      <c r="S8437" s="57"/>
      <c r="X8437" s="57"/>
    </row>
    <row r="8438" spans="1:24" hidden="1" x14ac:dyDescent="0.35">
      <c r="A8438">
        <v>8434</v>
      </c>
      <c r="B8438">
        <v>8435</v>
      </c>
      <c r="C8438">
        <v>146.106366495999</v>
      </c>
      <c r="D8438">
        <v>-17.608941498299899</v>
      </c>
      <c r="E8438" s="92">
        <f t="shared" si="43"/>
        <v>50</v>
      </c>
      <c r="G8438" s="92"/>
      <c r="I8438">
        <v>7</v>
      </c>
      <c r="J8438" t="s">
        <v>26</v>
      </c>
      <c r="K8438" s="57"/>
      <c r="S8438" s="57"/>
      <c r="X8438" s="57"/>
    </row>
    <row r="8439" spans="1:24" hidden="1" x14ac:dyDescent="0.35">
      <c r="A8439">
        <v>8435</v>
      </c>
      <c r="B8439">
        <v>8436</v>
      </c>
      <c r="C8439">
        <v>146.106398614</v>
      </c>
      <c r="D8439">
        <v>-17.6090214606999</v>
      </c>
      <c r="E8439" s="92" t="str">
        <f t="shared" si="43"/>
        <v/>
      </c>
      <c r="G8439" s="92"/>
      <c r="I8439">
        <v>7</v>
      </c>
      <c r="J8439" t="s">
        <v>26</v>
      </c>
      <c r="K8439" s="57"/>
      <c r="S8439" s="57"/>
      <c r="X8439" s="57"/>
    </row>
    <row r="8440" spans="1:24" hidden="1" x14ac:dyDescent="0.35">
      <c r="A8440">
        <v>8436</v>
      </c>
      <c r="B8440">
        <v>8437</v>
      </c>
      <c r="C8440">
        <v>146.106432009</v>
      </c>
      <c r="D8440">
        <v>-17.6091009423</v>
      </c>
      <c r="E8440" s="92" t="str">
        <f t="shared" si="43"/>
        <v/>
      </c>
      <c r="G8440" s="92"/>
      <c r="I8440">
        <v>7</v>
      </c>
      <c r="J8440" t="s">
        <v>26</v>
      </c>
      <c r="K8440" s="57"/>
      <c r="S8440" s="57"/>
      <c r="X8440" s="57"/>
    </row>
    <row r="8441" spans="1:24" hidden="1" x14ac:dyDescent="0.35">
      <c r="A8441">
        <v>8437</v>
      </c>
      <c r="B8441">
        <v>8438</v>
      </c>
      <c r="C8441">
        <v>146.10646591400001</v>
      </c>
      <c r="D8441">
        <v>-17.609180232</v>
      </c>
      <c r="E8441" s="92" t="str">
        <f t="shared" si="43"/>
        <v/>
      </c>
      <c r="G8441" s="92"/>
      <c r="I8441">
        <v>7</v>
      </c>
      <c r="J8441" t="s">
        <v>26</v>
      </c>
      <c r="K8441" s="57"/>
      <c r="S8441" s="57"/>
      <c r="X8441" s="57"/>
    </row>
    <row r="8442" spans="1:24" hidden="1" x14ac:dyDescent="0.35">
      <c r="A8442">
        <v>8438</v>
      </c>
      <c r="B8442">
        <v>8439</v>
      </c>
      <c r="C8442">
        <v>146.106499818999</v>
      </c>
      <c r="D8442">
        <v>-17.609259521599899</v>
      </c>
      <c r="E8442" s="92" t="str">
        <f t="shared" si="43"/>
        <v/>
      </c>
      <c r="G8442" s="92"/>
      <c r="I8442">
        <v>7</v>
      </c>
      <c r="J8442" t="s">
        <v>26</v>
      </c>
      <c r="K8442" s="57"/>
      <c r="S8442" s="57"/>
      <c r="X8442" s="57"/>
    </row>
    <row r="8443" spans="1:24" hidden="1" x14ac:dyDescent="0.35">
      <c r="A8443">
        <v>8439</v>
      </c>
      <c r="B8443">
        <v>8440</v>
      </c>
      <c r="C8443">
        <v>146.10653372300001</v>
      </c>
      <c r="D8443">
        <v>-17.609338811200001</v>
      </c>
      <c r="E8443" s="92">
        <f t="shared" si="43"/>
        <v>50</v>
      </c>
      <c r="G8443" s="92"/>
      <c r="I8443">
        <v>7</v>
      </c>
      <c r="J8443" t="s">
        <v>26</v>
      </c>
      <c r="K8443" s="57"/>
      <c r="S8443" s="57"/>
      <c r="X8443" s="57"/>
    </row>
    <row r="8444" spans="1:24" hidden="1" x14ac:dyDescent="0.35">
      <c r="A8444">
        <v>8440</v>
      </c>
      <c r="B8444">
        <v>8441</v>
      </c>
      <c r="C8444">
        <v>146.106567627999</v>
      </c>
      <c r="D8444">
        <v>-17.6094181007999</v>
      </c>
      <c r="E8444" s="92" t="str">
        <f t="shared" si="43"/>
        <v/>
      </c>
      <c r="G8444" s="92"/>
      <c r="I8444">
        <v>7</v>
      </c>
      <c r="J8444" t="s">
        <v>26</v>
      </c>
      <c r="K8444" s="57"/>
      <c r="S8444" s="57"/>
      <c r="X8444" s="57"/>
    </row>
    <row r="8445" spans="1:24" hidden="1" x14ac:dyDescent="0.35">
      <c r="A8445">
        <v>8441</v>
      </c>
      <c r="B8445">
        <v>8442</v>
      </c>
      <c r="C8445">
        <v>146.10660153200001</v>
      </c>
      <c r="D8445">
        <v>-17.6094973903</v>
      </c>
      <c r="E8445" s="92" t="str">
        <f t="shared" si="43"/>
        <v/>
      </c>
      <c r="G8445" s="92"/>
      <c r="I8445">
        <v>7</v>
      </c>
      <c r="J8445" t="s">
        <v>26</v>
      </c>
      <c r="K8445" s="57"/>
      <c r="S8445" s="57"/>
      <c r="X8445" s="57"/>
    </row>
    <row r="8446" spans="1:24" hidden="1" x14ac:dyDescent="0.35">
      <c r="A8446">
        <v>8442</v>
      </c>
      <c r="B8446">
        <v>8443</v>
      </c>
      <c r="C8446">
        <v>146.106635990999</v>
      </c>
      <c r="D8446">
        <v>-17.609576458100001</v>
      </c>
      <c r="E8446" s="92" t="str">
        <f t="shared" si="43"/>
        <v/>
      </c>
      <c r="G8446" s="92"/>
      <c r="I8446">
        <v>7</v>
      </c>
      <c r="J8446" t="s">
        <v>26</v>
      </c>
      <c r="K8446" s="57"/>
      <c r="S8446" s="57"/>
      <c r="X8446" s="57"/>
    </row>
    <row r="8447" spans="1:24" hidden="1" x14ac:dyDescent="0.35">
      <c r="A8447">
        <v>8443</v>
      </c>
      <c r="B8447">
        <v>8444</v>
      </c>
      <c r="C8447">
        <v>146.106671597999</v>
      </c>
      <c r="D8447">
        <v>-17.609655066799899</v>
      </c>
      <c r="E8447" s="92" t="str">
        <f t="shared" si="43"/>
        <v/>
      </c>
      <c r="G8447" s="92"/>
      <c r="I8447">
        <v>7</v>
      </c>
      <c r="J8447" t="s">
        <v>26</v>
      </c>
      <c r="K8447" s="57"/>
      <c r="S8447" s="57"/>
      <c r="X8447" s="57"/>
    </row>
    <row r="8448" spans="1:24" hidden="1" x14ac:dyDescent="0.35">
      <c r="A8448">
        <v>8444</v>
      </c>
      <c r="B8448">
        <v>8445</v>
      </c>
      <c r="C8448">
        <v>146.106707204999</v>
      </c>
      <c r="D8448">
        <v>-17.609733675400001</v>
      </c>
      <c r="E8448" s="92">
        <f t="shared" si="43"/>
        <v>50</v>
      </c>
      <c r="G8448" s="92"/>
      <c r="I8448">
        <v>7</v>
      </c>
      <c r="J8448" t="s">
        <v>26</v>
      </c>
      <c r="K8448" s="57"/>
      <c r="S8448" s="57"/>
      <c r="X8448" s="57"/>
    </row>
    <row r="8449" spans="1:24" hidden="1" x14ac:dyDescent="0.35">
      <c r="A8449">
        <v>8445</v>
      </c>
      <c r="B8449">
        <v>8446</v>
      </c>
      <c r="C8449">
        <v>146.106742811999</v>
      </c>
      <c r="D8449">
        <v>-17.609812284</v>
      </c>
      <c r="E8449" s="92" t="str">
        <f t="shared" si="43"/>
        <v/>
      </c>
      <c r="G8449" s="92"/>
      <c r="I8449">
        <v>7</v>
      </c>
      <c r="J8449" t="s">
        <v>26</v>
      </c>
      <c r="K8449" s="57"/>
      <c r="S8449" s="57"/>
      <c r="X8449" s="57"/>
    </row>
    <row r="8450" spans="1:24" hidden="1" x14ac:dyDescent="0.35">
      <c r="A8450">
        <v>8446</v>
      </c>
      <c r="B8450">
        <v>8447</v>
      </c>
      <c r="C8450">
        <v>146.106778418</v>
      </c>
      <c r="D8450">
        <v>-17.6098908925999</v>
      </c>
      <c r="E8450" s="92" t="str">
        <f t="shared" si="43"/>
        <v/>
      </c>
      <c r="G8450" s="92"/>
      <c r="I8450">
        <v>7</v>
      </c>
      <c r="J8450" t="s">
        <v>26</v>
      </c>
      <c r="K8450" s="57"/>
      <c r="S8450" s="57"/>
      <c r="X8450" s="57"/>
    </row>
    <row r="8451" spans="1:24" hidden="1" x14ac:dyDescent="0.35">
      <c r="A8451">
        <v>8447</v>
      </c>
      <c r="B8451">
        <v>8448</v>
      </c>
      <c r="C8451">
        <v>146.10681402500001</v>
      </c>
      <c r="D8451">
        <v>-17.6099695011</v>
      </c>
      <c r="E8451" s="92" t="str">
        <f t="shared" si="43"/>
        <v/>
      </c>
      <c r="G8451" s="92"/>
      <c r="I8451">
        <v>7</v>
      </c>
      <c r="J8451" t="s">
        <v>26</v>
      </c>
      <c r="K8451" s="57"/>
      <c r="S8451" s="57"/>
      <c r="X8451" s="57"/>
    </row>
    <row r="8452" spans="1:24" hidden="1" x14ac:dyDescent="0.35">
      <c r="A8452">
        <v>8448</v>
      </c>
      <c r="B8452">
        <v>8449</v>
      </c>
      <c r="C8452">
        <v>146.10684963200001</v>
      </c>
      <c r="D8452">
        <v>-17.610048109600001</v>
      </c>
      <c r="E8452" s="92" t="str">
        <f t="shared" si="43"/>
        <v/>
      </c>
      <c r="G8452" s="92"/>
      <c r="I8452">
        <v>7</v>
      </c>
      <c r="J8452" t="s">
        <v>26</v>
      </c>
      <c r="K8452" s="57"/>
      <c r="S8452" s="57"/>
      <c r="X8452" s="57"/>
    </row>
    <row r="8453" spans="1:24" hidden="1" x14ac:dyDescent="0.35">
      <c r="A8453">
        <v>8449</v>
      </c>
      <c r="B8453">
        <v>8450</v>
      </c>
      <c r="C8453">
        <v>146.10688523900001</v>
      </c>
      <c r="D8453">
        <v>-17.610126718</v>
      </c>
      <c r="E8453" s="92">
        <f t="shared" si="43"/>
        <v>50</v>
      </c>
      <c r="G8453" s="92"/>
      <c r="I8453">
        <v>7</v>
      </c>
      <c r="J8453" t="s">
        <v>26</v>
      </c>
      <c r="K8453" s="57"/>
      <c r="S8453" s="57"/>
      <c r="X8453" s="57"/>
    </row>
    <row r="8454" spans="1:24" hidden="1" x14ac:dyDescent="0.35">
      <c r="A8454">
        <v>8450</v>
      </c>
      <c r="B8454">
        <v>8451</v>
      </c>
      <c r="C8454">
        <v>146.10692084600001</v>
      </c>
      <c r="D8454">
        <v>-17.6102053263999</v>
      </c>
      <c r="E8454" s="92" t="str">
        <f t="shared" si="43"/>
        <v/>
      </c>
      <c r="G8454" s="92"/>
      <c r="I8454">
        <v>7</v>
      </c>
      <c r="J8454" t="s">
        <v>26</v>
      </c>
      <c r="K8454" s="57"/>
      <c r="S8454" s="57"/>
      <c r="X8454" s="57"/>
    </row>
    <row r="8455" spans="1:24" hidden="1" x14ac:dyDescent="0.35">
      <c r="A8455">
        <v>8451</v>
      </c>
      <c r="B8455">
        <v>8452</v>
      </c>
      <c r="C8455">
        <v>146.106958461</v>
      </c>
      <c r="D8455">
        <v>-17.610283079199899</v>
      </c>
      <c r="E8455" s="92" t="str">
        <f t="shared" si="43"/>
        <v/>
      </c>
      <c r="G8455" s="92"/>
      <c r="I8455">
        <v>7</v>
      </c>
      <c r="J8455" t="s">
        <v>26</v>
      </c>
      <c r="K8455" s="57"/>
      <c r="S8455" s="57"/>
      <c r="X8455" s="57"/>
    </row>
    <row r="8456" spans="1:24" hidden="1" x14ac:dyDescent="0.35">
      <c r="A8456">
        <v>8452</v>
      </c>
      <c r="B8456">
        <v>8453</v>
      </c>
      <c r="C8456">
        <v>146.10699617</v>
      </c>
      <c r="D8456">
        <v>-17.610360791800002</v>
      </c>
      <c r="E8456" s="92" t="str">
        <f t="shared" si="43"/>
        <v/>
      </c>
      <c r="G8456" s="92"/>
      <c r="I8456">
        <v>7</v>
      </c>
      <c r="J8456" t="s">
        <v>26</v>
      </c>
      <c r="K8456" s="57"/>
      <c r="S8456" s="57"/>
      <c r="X8456" s="57"/>
    </row>
    <row r="8457" spans="1:24" hidden="1" x14ac:dyDescent="0.35">
      <c r="A8457">
        <v>8453</v>
      </c>
      <c r="B8457">
        <v>8454</v>
      </c>
      <c r="C8457">
        <v>146.107033878999</v>
      </c>
      <c r="D8457">
        <v>-17.610438504400001</v>
      </c>
      <c r="E8457" s="92" t="str">
        <f t="shared" si="43"/>
        <v/>
      </c>
      <c r="G8457" s="92"/>
      <c r="I8457">
        <v>7</v>
      </c>
      <c r="J8457" t="s">
        <v>26</v>
      </c>
      <c r="K8457" s="57"/>
      <c r="S8457" s="57"/>
      <c r="X8457" s="57"/>
    </row>
    <row r="8458" spans="1:24" hidden="1" x14ac:dyDescent="0.35">
      <c r="A8458">
        <v>8454</v>
      </c>
      <c r="B8458">
        <v>8455</v>
      </c>
      <c r="C8458">
        <v>146.107071587999</v>
      </c>
      <c r="D8458">
        <v>-17.610516217000001</v>
      </c>
      <c r="E8458" s="92">
        <f t="shared" si="43"/>
        <v>50</v>
      </c>
      <c r="G8458" s="92"/>
      <c r="I8458">
        <v>7</v>
      </c>
      <c r="J8458" t="s">
        <v>26</v>
      </c>
      <c r="K8458" s="57"/>
      <c r="S8458" s="57"/>
      <c r="X8458" s="57"/>
    </row>
    <row r="8459" spans="1:24" hidden="1" x14ac:dyDescent="0.35">
      <c r="A8459">
        <v>8455</v>
      </c>
      <c r="B8459">
        <v>8456</v>
      </c>
      <c r="C8459">
        <v>146.107109296999</v>
      </c>
      <c r="D8459">
        <v>-17.610593929499899</v>
      </c>
      <c r="E8459" s="92" t="str">
        <f t="shared" si="43"/>
        <v/>
      </c>
      <c r="G8459" s="92"/>
      <c r="I8459">
        <v>7</v>
      </c>
      <c r="J8459" t="s">
        <v>26</v>
      </c>
      <c r="K8459" s="57"/>
      <c r="S8459" s="57"/>
      <c r="X8459" s="57"/>
    </row>
    <row r="8460" spans="1:24" hidden="1" x14ac:dyDescent="0.35">
      <c r="A8460">
        <v>8456</v>
      </c>
      <c r="B8460">
        <v>8457</v>
      </c>
      <c r="C8460">
        <v>146.107147005999</v>
      </c>
      <c r="D8460">
        <v>-17.610671642</v>
      </c>
      <c r="E8460" s="92" t="str">
        <f t="shared" si="43"/>
        <v/>
      </c>
      <c r="G8460" s="92"/>
      <c r="I8460">
        <v>7</v>
      </c>
      <c r="J8460" t="s">
        <v>26</v>
      </c>
      <c r="K8460" s="57"/>
      <c r="S8460" s="57"/>
      <c r="X8460" s="57"/>
    </row>
    <row r="8461" spans="1:24" hidden="1" x14ac:dyDescent="0.35">
      <c r="A8461">
        <v>8457</v>
      </c>
      <c r="B8461">
        <v>8458</v>
      </c>
      <c r="C8461">
        <v>146.10718471499899</v>
      </c>
      <c r="D8461">
        <v>-17.610749354500001</v>
      </c>
      <c r="E8461" s="92" t="str">
        <f t="shared" si="43"/>
        <v/>
      </c>
      <c r="G8461" s="92"/>
      <c r="I8461">
        <v>7</v>
      </c>
      <c r="J8461" t="s">
        <v>26</v>
      </c>
      <c r="K8461" s="57"/>
      <c r="S8461" s="57"/>
      <c r="X8461" s="57"/>
    </row>
    <row r="8462" spans="1:24" hidden="1" x14ac:dyDescent="0.35">
      <c r="A8462">
        <v>8458</v>
      </c>
      <c r="B8462">
        <v>8459</v>
      </c>
      <c r="C8462">
        <v>146.10722242400001</v>
      </c>
      <c r="D8462">
        <v>-17.610827066900001</v>
      </c>
      <c r="E8462" s="92" t="str">
        <f t="shared" si="43"/>
        <v/>
      </c>
      <c r="G8462" s="92"/>
      <c r="I8462">
        <v>7</v>
      </c>
      <c r="J8462" t="s">
        <v>26</v>
      </c>
      <c r="K8462" s="57"/>
      <c r="S8462" s="57"/>
      <c r="X8462" s="57"/>
    </row>
    <row r="8463" spans="1:24" hidden="1" x14ac:dyDescent="0.35">
      <c r="A8463">
        <v>8459</v>
      </c>
      <c r="B8463">
        <v>8460</v>
      </c>
      <c r="C8463">
        <v>146.10726013300001</v>
      </c>
      <c r="D8463">
        <v>-17.6109047793</v>
      </c>
      <c r="E8463" s="92">
        <f t="shared" si="43"/>
        <v>50</v>
      </c>
      <c r="G8463" s="92"/>
      <c r="I8463">
        <v>7</v>
      </c>
      <c r="J8463" t="s">
        <v>26</v>
      </c>
      <c r="K8463" s="57"/>
      <c r="S8463" s="57"/>
      <c r="X8463" s="57"/>
    </row>
    <row r="8464" spans="1:24" hidden="1" x14ac:dyDescent="0.35">
      <c r="A8464">
        <v>8460</v>
      </c>
      <c r="B8464">
        <v>8461</v>
      </c>
      <c r="C8464">
        <v>146.10729784200001</v>
      </c>
      <c r="D8464">
        <v>-17.6109824917</v>
      </c>
      <c r="E8464" s="92" t="str">
        <f t="shared" ref="E8464:E8527" si="44">IF(MOD(B8464,5)=0, 50, "")</f>
        <v/>
      </c>
      <c r="G8464" s="92"/>
      <c r="I8464">
        <v>7</v>
      </c>
      <c r="J8464" t="s">
        <v>26</v>
      </c>
      <c r="K8464" s="57"/>
      <c r="S8464" s="57"/>
      <c r="X8464" s="57"/>
    </row>
    <row r="8465" spans="1:24" hidden="1" x14ac:dyDescent="0.35">
      <c r="A8465">
        <v>8461</v>
      </c>
      <c r="B8465">
        <v>8462</v>
      </c>
      <c r="C8465">
        <v>146.107342606</v>
      </c>
      <c r="D8465">
        <v>-17.611056563399899</v>
      </c>
      <c r="E8465" s="92" t="str">
        <f t="shared" si="44"/>
        <v/>
      </c>
      <c r="G8465" s="92"/>
      <c r="I8465">
        <v>7</v>
      </c>
      <c r="J8465" t="s">
        <v>26</v>
      </c>
      <c r="K8465" s="57"/>
      <c r="S8465" s="57"/>
      <c r="X8465" s="57"/>
    </row>
    <row r="8466" spans="1:24" hidden="1" x14ac:dyDescent="0.35">
      <c r="A8466">
        <v>8462</v>
      </c>
      <c r="B8466">
        <v>8463</v>
      </c>
      <c r="C8466">
        <v>146.10739026799899</v>
      </c>
      <c r="D8466">
        <v>-17.6111291399999</v>
      </c>
      <c r="E8466" s="92" t="str">
        <f t="shared" si="44"/>
        <v/>
      </c>
      <c r="G8466" s="92"/>
      <c r="I8466">
        <v>7</v>
      </c>
      <c r="J8466" t="s">
        <v>26</v>
      </c>
      <c r="K8466" s="57"/>
      <c r="S8466" s="57"/>
      <c r="X8466" s="57"/>
    </row>
    <row r="8467" spans="1:24" hidden="1" x14ac:dyDescent="0.35">
      <c r="A8467">
        <v>8463</v>
      </c>
      <c r="B8467">
        <v>8464</v>
      </c>
      <c r="C8467">
        <v>146.10743792900001</v>
      </c>
      <c r="D8467">
        <v>-17.611201716499899</v>
      </c>
      <c r="E8467" s="92" t="str">
        <f t="shared" si="44"/>
        <v/>
      </c>
      <c r="G8467" s="92"/>
      <c r="I8467">
        <v>7</v>
      </c>
      <c r="J8467" t="s">
        <v>26</v>
      </c>
      <c r="K8467" s="57"/>
      <c r="S8467" s="57"/>
      <c r="X8467" s="57"/>
    </row>
    <row r="8468" spans="1:24" hidden="1" x14ac:dyDescent="0.35">
      <c r="A8468">
        <v>8464</v>
      </c>
      <c r="B8468">
        <v>8465</v>
      </c>
      <c r="C8468">
        <v>146.10748559000001</v>
      </c>
      <c r="D8468">
        <v>-17.611274293000001</v>
      </c>
      <c r="E8468" s="92">
        <f t="shared" si="44"/>
        <v>50</v>
      </c>
      <c r="G8468" s="92"/>
      <c r="I8468">
        <v>7</v>
      </c>
      <c r="J8468" t="s">
        <v>26</v>
      </c>
      <c r="K8468" s="57"/>
      <c r="S8468" s="57"/>
      <c r="X8468" s="57"/>
    </row>
    <row r="8469" spans="1:24" hidden="1" x14ac:dyDescent="0.35">
      <c r="A8469">
        <v>8465</v>
      </c>
      <c r="B8469">
        <v>8466</v>
      </c>
      <c r="C8469">
        <v>146.10753325100001</v>
      </c>
      <c r="D8469">
        <v>-17.6113468695</v>
      </c>
      <c r="E8469" s="92" t="str">
        <f t="shared" si="44"/>
        <v/>
      </c>
      <c r="G8469" s="92"/>
      <c r="I8469">
        <v>7</v>
      </c>
      <c r="J8469" t="s">
        <v>26</v>
      </c>
      <c r="K8469" s="57"/>
      <c r="S8469" s="57"/>
      <c r="X8469" s="57"/>
    </row>
    <row r="8470" spans="1:24" hidden="1" x14ac:dyDescent="0.35">
      <c r="A8470">
        <v>8466</v>
      </c>
      <c r="B8470">
        <v>8467</v>
      </c>
      <c r="C8470">
        <v>146.107580912</v>
      </c>
      <c r="D8470">
        <v>-17.611419445900001</v>
      </c>
      <c r="E8470" s="92" t="str">
        <f t="shared" si="44"/>
        <v/>
      </c>
      <c r="G8470" s="92"/>
      <c r="I8470">
        <v>7</v>
      </c>
      <c r="J8470" t="s">
        <v>26</v>
      </c>
      <c r="K8470" s="57"/>
      <c r="S8470" s="57"/>
      <c r="X8470" s="57"/>
    </row>
    <row r="8471" spans="1:24" hidden="1" x14ac:dyDescent="0.35">
      <c r="A8471">
        <v>8467</v>
      </c>
      <c r="B8471">
        <v>8468</v>
      </c>
      <c r="C8471">
        <v>146.107635278</v>
      </c>
      <c r="D8471">
        <v>-17.611487430099899</v>
      </c>
      <c r="E8471" s="92" t="str">
        <f t="shared" si="44"/>
        <v/>
      </c>
      <c r="G8471" s="92"/>
      <c r="I8471">
        <v>7</v>
      </c>
      <c r="J8471" t="s">
        <v>26</v>
      </c>
      <c r="K8471" s="57"/>
      <c r="S8471" s="57"/>
      <c r="X8471" s="57"/>
    </row>
    <row r="8472" spans="1:24" hidden="1" x14ac:dyDescent="0.35">
      <c r="A8472">
        <v>8468</v>
      </c>
      <c r="B8472">
        <v>8469</v>
      </c>
      <c r="C8472">
        <v>146.10769225300001</v>
      </c>
      <c r="D8472">
        <v>-17.6115536263999</v>
      </c>
      <c r="E8472" s="92" t="str">
        <f t="shared" si="44"/>
        <v/>
      </c>
      <c r="G8472" s="92"/>
      <c r="I8472">
        <v>7</v>
      </c>
      <c r="J8472" t="s">
        <v>26</v>
      </c>
      <c r="K8472" s="57"/>
      <c r="S8472" s="57"/>
      <c r="X8472" s="57"/>
    </row>
    <row r="8473" spans="1:24" hidden="1" x14ac:dyDescent="0.35">
      <c r="A8473">
        <v>8469</v>
      </c>
      <c r="B8473">
        <v>8470</v>
      </c>
      <c r="C8473">
        <v>146.10774922799899</v>
      </c>
      <c r="D8473">
        <v>-17.6116198227</v>
      </c>
      <c r="E8473" s="92">
        <f t="shared" si="44"/>
        <v>50</v>
      </c>
      <c r="G8473" s="92"/>
      <c r="I8473">
        <v>7</v>
      </c>
      <c r="J8473" t="s">
        <v>26</v>
      </c>
      <c r="K8473" s="57"/>
      <c r="S8473" s="57"/>
      <c r="X8473" s="57"/>
    </row>
    <row r="8474" spans="1:24" hidden="1" x14ac:dyDescent="0.35">
      <c r="A8474">
        <v>8470</v>
      </c>
      <c r="B8474">
        <v>8471</v>
      </c>
      <c r="C8474">
        <v>146.10780620400001</v>
      </c>
      <c r="D8474">
        <v>-17.611686019</v>
      </c>
      <c r="E8474" s="92" t="str">
        <f t="shared" si="44"/>
        <v/>
      </c>
      <c r="G8474" s="92"/>
      <c r="I8474">
        <v>7</v>
      </c>
      <c r="J8474" t="s">
        <v>26</v>
      </c>
      <c r="K8474" s="57"/>
      <c r="S8474" s="57"/>
      <c r="X8474" s="57"/>
    </row>
    <row r="8475" spans="1:24" hidden="1" x14ac:dyDescent="0.35">
      <c r="A8475">
        <v>8471</v>
      </c>
      <c r="B8475">
        <v>8472</v>
      </c>
      <c r="C8475">
        <v>146.107863178999</v>
      </c>
      <c r="D8475">
        <v>-17.611752215300001</v>
      </c>
      <c r="E8475" s="92" t="str">
        <f t="shared" si="44"/>
        <v/>
      </c>
      <c r="G8475" s="92"/>
      <c r="I8475">
        <v>7</v>
      </c>
      <c r="J8475" t="s">
        <v>26</v>
      </c>
      <c r="K8475" s="57"/>
      <c r="S8475" s="57"/>
      <c r="X8475" s="57"/>
    </row>
    <row r="8476" spans="1:24" hidden="1" x14ac:dyDescent="0.35">
      <c r="A8476">
        <v>8472</v>
      </c>
      <c r="B8476">
        <v>8473</v>
      </c>
      <c r="C8476">
        <v>146.10792584000001</v>
      </c>
      <c r="D8476">
        <v>-17.6118135388</v>
      </c>
      <c r="E8476" s="92" t="str">
        <f t="shared" si="44"/>
        <v/>
      </c>
      <c r="G8476" s="92"/>
      <c r="I8476">
        <v>7</v>
      </c>
      <c r="J8476" t="s">
        <v>26</v>
      </c>
      <c r="K8476" s="57"/>
      <c r="S8476" s="57"/>
      <c r="X8476" s="57"/>
    </row>
    <row r="8477" spans="1:24" hidden="1" x14ac:dyDescent="0.35">
      <c r="A8477">
        <v>8473</v>
      </c>
      <c r="B8477">
        <v>8474</v>
      </c>
      <c r="C8477">
        <v>146.107988865999</v>
      </c>
      <c r="D8477">
        <v>-17.6118745504</v>
      </c>
      <c r="E8477" s="92" t="str">
        <f t="shared" si="44"/>
        <v/>
      </c>
      <c r="G8477" s="92"/>
      <c r="I8477">
        <v>7</v>
      </c>
      <c r="J8477" t="s">
        <v>26</v>
      </c>
      <c r="K8477" s="57"/>
      <c r="S8477" s="57"/>
      <c r="X8477" s="57"/>
    </row>
    <row r="8478" spans="1:24" hidden="1" x14ac:dyDescent="0.35">
      <c r="A8478">
        <v>8474</v>
      </c>
      <c r="B8478">
        <v>8475</v>
      </c>
      <c r="C8478">
        <v>146.108062173999</v>
      </c>
      <c r="D8478">
        <v>-17.611922712599899</v>
      </c>
      <c r="E8478" s="92">
        <f t="shared" si="44"/>
        <v>50</v>
      </c>
      <c r="G8478" s="92"/>
      <c r="I8478">
        <v>7</v>
      </c>
      <c r="J8478" t="s">
        <v>26</v>
      </c>
      <c r="K8478" s="57"/>
      <c r="S8478" s="57"/>
      <c r="X8478" s="57"/>
    </row>
    <row r="8479" spans="1:24" hidden="1" x14ac:dyDescent="0.35">
      <c r="A8479">
        <v>8475</v>
      </c>
      <c r="B8479">
        <v>8476</v>
      </c>
      <c r="C8479">
        <v>146.10814056800001</v>
      </c>
      <c r="D8479">
        <v>-17.6119645216999</v>
      </c>
      <c r="E8479" s="92" t="str">
        <f t="shared" si="44"/>
        <v/>
      </c>
      <c r="G8479" s="92"/>
      <c r="I8479">
        <v>7</v>
      </c>
      <c r="J8479" t="s">
        <v>26</v>
      </c>
      <c r="K8479" s="57"/>
      <c r="S8479" s="57"/>
      <c r="X8479" s="57"/>
    </row>
    <row r="8480" spans="1:24" hidden="1" x14ac:dyDescent="0.35">
      <c r="A8480">
        <v>8476</v>
      </c>
      <c r="B8480">
        <v>8477</v>
      </c>
      <c r="C8480">
        <v>146.108227607999</v>
      </c>
      <c r="D8480">
        <v>-17.611984674799899</v>
      </c>
      <c r="E8480" s="92" t="str">
        <f t="shared" si="44"/>
        <v/>
      </c>
      <c r="G8480" s="92"/>
      <c r="I8480">
        <v>7</v>
      </c>
      <c r="J8480" t="s">
        <v>26</v>
      </c>
      <c r="K8480" s="57"/>
      <c r="S8480" s="57"/>
      <c r="X8480" s="57"/>
    </row>
    <row r="8481" spans="1:24" hidden="1" x14ac:dyDescent="0.35">
      <c r="A8481">
        <v>8477</v>
      </c>
      <c r="B8481">
        <v>8478</v>
      </c>
      <c r="C8481">
        <v>146.10831264500001</v>
      </c>
      <c r="D8481">
        <v>-17.6119634643</v>
      </c>
      <c r="E8481" s="92" t="str">
        <f t="shared" si="44"/>
        <v/>
      </c>
      <c r="G8481" s="92"/>
      <c r="I8481">
        <v>7</v>
      </c>
      <c r="J8481" t="s">
        <v>26</v>
      </c>
      <c r="K8481" s="57"/>
      <c r="S8481" s="57"/>
      <c r="X8481" s="57"/>
    </row>
    <row r="8482" spans="1:24" hidden="1" x14ac:dyDescent="0.35">
      <c r="A8482">
        <v>8478</v>
      </c>
      <c r="B8482">
        <v>8479</v>
      </c>
      <c r="C8482">
        <v>146.10836389599899</v>
      </c>
      <c r="D8482">
        <v>-17.611894292700001</v>
      </c>
      <c r="E8482" s="92" t="str">
        <f t="shared" si="44"/>
        <v/>
      </c>
      <c r="G8482" s="92"/>
      <c r="I8482">
        <v>7</v>
      </c>
      <c r="J8482" t="s">
        <v>26</v>
      </c>
      <c r="K8482" s="57"/>
      <c r="S8482" s="57"/>
      <c r="X8482" s="57"/>
    </row>
    <row r="8483" spans="1:24" hidden="1" x14ac:dyDescent="0.35">
      <c r="A8483">
        <v>8479</v>
      </c>
      <c r="B8483">
        <v>8480</v>
      </c>
      <c r="C8483">
        <v>146.108413111</v>
      </c>
      <c r="D8483">
        <v>-17.611822664999899</v>
      </c>
      <c r="E8483" s="92">
        <f t="shared" si="44"/>
        <v>50</v>
      </c>
      <c r="G8483" s="92"/>
      <c r="I8483">
        <v>7</v>
      </c>
      <c r="J8483" t="s">
        <v>26</v>
      </c>
      <c r="K8483" s="57"/>
      <c r="S8483" s="57"/>
      <c r="X8483" s="57"/>
    </row>
    <row r="8484" spans="1:24" hidden="1" x14ac:dyDescent="0.35">
      <c r="A8484">
        <v>8480</v>
      </c>
      <c r="B8484">
        <v>8481</v>
      </c>
      <c r="C8484">
        <v>146.108446189999</v>
      </c>
      <c r="D8484">
        <v>-17.6117434123999</v>
      </c>
      <c r="E8484" s="92" t="str">
        <f t="shared" si="44"/>
        <v/>
      </c>
      <c r="G8484" s="92"/>
      <c r="I8484">
        <v>7</v>
      </c>
      <c r="J8484" t="s">
        <v>26</v>
      </c>
      <c r="K8484" s="57"/>
      <c r="S8484" s="57"/>
      <c r="X8484" s="57"/>
    </row>
    <row r="8485" spans="1:24" hidden="1" x14ac:dyDescent="0.35">
      <c r="A8485">
        <v>8481</v>
      </c>
      <c r="B8485">
        <v>8482</v>
      </c>
      <c r="C8485">
        <v>146.10847620300001</v>
      </c>
      <c r="D8485">
        <v>-17.611662711600001</v>
      </c>
      <c r="E8485" s="92" t="str">
        <f t="shared" si="44"/>
        <v/>
      </c>
      <c r="G8485" s="92"/>
      <c r="I8485">
        <v>7</v>
      </c>
      <c r="J8485" t="s">
        <v>26</v>
      </c>
      <c r="K8485" s="57"/>
      <c r="S8485" s="57"/>
      <c r="X8485" s="57"/>
    </row>
    <row r="8486" spans="1:24" hidden="1" x14ac:dyDescent="0.35">
      <c r="A8486">
        <v>8482</v>
      </c>
      <c r="B8486">
        <v>8483</v>
      </c>
      <c r="C8486">
        <v>146.10850621700001</v>
      </c>
      <c r="D8486">
        <v>-17.6115820107999</v>
      </c>
      <c r="E8486" s="92" t="str">
        <f t="shared" si="44"/>
        <v/>
      </c>
      <c r="G8486" s="92"/>
      <c r="I8486">
        <v>7</v>
      </c>
      <c r="J8486" t="s">
        <v>26</v>
      </c>
      <c r="K8486" s="57"/>
      <c r="S8486" s="57"/>
      <c r="X8486" s="57"/>
    </row>
    <row r="8487" spans="1:24" hidden="1" x14ac:dyDescent="0.35">
      <c r="A8487">
        <v>8483</v>
      </c>
      <c r="B8487">
        <v>8484</v>
      </c>
      <c r="C8487">
        <v>146.108536229999</v>
      </c>
      <c r="D8487">
        <v>-17.611501310000001</v>
      </c>
      <c r="E8487" s="92" t="str">
        <f t="shared" si="44"/>
        <v/>
      </c>
      <c r="G8487" s="92"/>
      <c r="I8487">
        <v>7</v>
      </c>
      <c r="J8487" t="s">
        <v>26</v>
      </c>
      <c r="K8487" s="57"/>
      <c r="S8487" s="57"/>
      <c r="X8487" s="57"/>
    </row>
    <row r="8488" spans="1:24" hidden="1" x14ac:dyDescent="0.35">
      <c r="A8488">
        <v>8484</v>
      </c>
      <c r="B8488">
        <v>8485</v>
      </c>
      <c r="C8488">
        <v>146.108566244</v>
      </c>
      <c r="D8488">
        <v>-17.6114206092</v>
      </c>
      <c r="E8488" s="92">
        <f t="shared" si="44"/>
        <v>50</v>
      </c>
      <c r="G8488" s="92"/>
      <c r="I8488">
        <v>7</v>
      </c>
      <c r="J8488" t="s">
        <v>26</v>
      </c>
      <c r="K8488" s="57"/>
      <c r="S8488" s="57"/>
      <c r="X8488" s="57"/>
    </row>
    <row r="8489" spans="1:24" hidden="1" x14ac:dyDescent="0.35">
      <c r="A8489">
        <v>8485</v>
      </c>
      <c r="B8489">
        <v>8486</v>
      </c>
      <c r="C8489">
        <v>146.10859625800001</v>
      </c>
      <c r="D8489">
        <v>-17.6113399083</v>
      </c>
      <c r="E8489" s="92" t="str">
        <f t="shared" si="44"/>
        <v/>
      </c>
      <c r="G8489" s="92"/>
      <c r="I8489">
        <v>7</v>
      </c>
      <c r="J8489" t="s">
        <v>26</v>
      </c>
      <c r="K8489" s="57"/>
      <c r="S8489" s="57"/>
      <c r="X8489" s="57"/>
    </row>
    <row r="8490" spans="1:24" hidden="1" x14ac:dyDescent="0.35">
      <c r="A8490">
        <v>8486</v>
      </c>
      <c r="B8490">
        <v>8487</v>
      </c>
      <c r="C8490">
        <v>146.108616893999</v>
      </c>
      <c r="D8490">
        <v>-17.611256683499899</v>
      </c>
      <c r="E8490" s="92" t="str">
        <f t="shared" si="44"/>
        <v/>
      </c>
      <c r="G8490" s="92"/>
      <c r="I8490">
        <v>7</v>
      </c>
      <c r="J8490" t="s">
        <v>26</v>
      </c>
      <c r="K8490" s="57"/>
      <c r="S8490" s="57"/>
      <c r="X8490" s="57"/>
    </row>
    <row r="8491" spans="1:24" hidden="1" x14ac:dyDescent="0.35">
      <c r="A8491">
        <v>8487</v>
      </c>
      <c r="B8491">
        <v>8488</v>
      </c>
      <c r="C8491">
        <v>146.108635601</v>
      </c>
      <c r="D8491">
        <v>-17.6111729393999</v>
      </c>
      <c r="E8491" s="92" t="str">
        <f t="shared" si="44"/>
        <v/>
      </c>
      <c r="G8491" s="92"/>
      <c r="I8491">
        <v>7</v>
      </c>
      <c r="J8491" t="s">
        <v>26</v>
      </c>
      <c r="K8491" s="57"/>
      <c r="S8491" s="57"/>
      <c r="X8491" s="57"/>
    </row>
    <row r="8492" spans="1:24" hidden="1" x14ac:dyDescent="0.35">
      <c r="A8492">
        <v>8488</v>
      </c>
      <c r="B8492">
        <v>8489</v>
      </c>
      <c r="C8492">
        <v>146.108654309</v>
      </c>
      <c r="D8492">
        <v>-17.611089195200002</v>
      </c>
      <c r="E8492" s="92" t="str">
        <f t="shared" si="44"/>
        <v/>
      </c>
      <c r="G8492" s="92"/>
      <c r="I8492">
        <v>7</v>
      </c>
      <c r="J8492" t="s">
        <v>26</v>
      </c>
      <c r="K8492" s="57"/>
      <c r="S8492" s="57"/>
      <c r="X8492" s="57"/>
    </row>
    <row r="8493" spans="1:24" hidden="1" x14ac:dyDescent="0.35">
      <c r="A8493">
        <v>8489</v>
      </c>
      <c r="B8493">
        <v>8490</v>
      </c>
      <c r="C8493">
        <v>146.108670144999</v>
      </c>
      <c r="D8493">
        <v>-17.6110049684</v>
      </c>
      <c r="E8493" s="92">
        <f t="shared" si="44"/>
        <v>50</v>
      </c>
      <c r="G8493" s="92"/>
      <c r="I8493">
        <v>7</v>
      </c>
      <c r="J8493" t="s">
        <v>26</v>
      </c>
      <c r="K8493" s="57"/>
      <c r="S8493" s="57"/>
      <c r="X8493" s="57"/>
    </row>
    <row r="8494" spans="1:24" hidden="1" x14ac:dyDescent="0.35">
      <c r="A8494">
        <v>8490</v>
      </c>
      <c r="B8494">
        <v>8491</v>
      </c>
      <c r="C8494">
        <v>146.10868262599899</v>
      </c>
      <c r="D8494">
        <v>-17.610920177499899</v>
      </c>
      <c r="E8494" s="92" t="str">
        <f t="shared" si="44"/>
        <v/>
      </c>
      <c r="G8494" s="92"/>
      <c r="I8494">
        <v>7</v>
      </c>
      <c r="J8494" t="s">
        <v>26</v>
      </c>
      <c r="K8494" s="57"/>
      <c r="S8494" s="57"/>
      <c r="X8494" s="57"/>
    </row>
    <row r="8495" spans="1:24" hidden="1" x14ac:dyDescent="0.35">
      <c r="A8495">
        <v>8491</v>
      </c>
      <c r="B8495">
        <v>8492</v>
      </c>
      <c r="C8495">
        <v>146.10869510800001</v>
      </c>
      <c r="D8495">
        <v>-17.610835386600002</v>
      </c>
      <c r="E8495" s="92" t="str">
        <f t="shared" si="44"/>
        <v/>
      </c>
      <c r="G8495" s="92"/>
      <c r="I8495">
        <v>7</v>
      </c>
      <c r="J8495" t="s">
        <v>26</v>
      </c>
      <c r="K8495" s="57"/>
      <c r="S8495" s="57"/>
      <c r="X8495" s="57"/>
    </row>
    <row r="8496" spans="1:24" hidden="1" x14ac:dyDescent="0.35">
      <c r="A8496">
        <v>8492</v>
      </c>
      <c r="B8496">
        <v>8493</v>
      </c>
      <c r="C8496">
        <v>146.10870700999899</v>
      </c>
      <c r="D8496">
        <v>-17.610750550399899</v>
      </c>
      <c r="E8496" s="92" t="str">
        <f t="shared" si="44"/>
        <v/>
      </c>
      <c r="G8496" s="92"/>
      <c r="I8496">
        <v>7</v>
      </c>
      <c r="J8496" t="s">
        <v>26</v>
      </c>
      <c r="K8496" s="57"/>
      <c r="S8496" s="57"/>
      <c r="X8496" s="57"/>
    </row>
    <row r="8497" spans="1:24" hidden="1" x14ac:dyDescent="0.35">
      <c r="A8497">
        <v>8493</v>
      </c>
      <c r="B8497">
        <v>8494</v>
      </c>
      <c r="C8497">
        <v>146.10870914700001</v>
      </c>
      <c r="D8497">
        <v>-17.610664953200001</v>
      </c>
      <c r="E8497" s="92" t="str">
        <f t="shared" si="44"/>
        <v/>
      </c>
      <c r="G8497" s="92"/>
      <c r="I8497">
        <v>7</v>
      </c>
      <c r="J8497" t="s">
        <v>26</v>
      </c>
      <c r="K8497" s="57"/>
      <c r="S8497" s="57"/>
      <c r="X8497" s="57"/>
    </row>
    <row r="8498" spans="1:24" hidden="1" x14ac:dyDescent="0.35">
      <c r="A8498">
        <v>8494</v>
      </c>
      <c r="B8498">
        <v>8495</v>
      </c>
      <c r="C8498">
        <v>146.108711282999</v>
      </c>
      <c r="D8498">
        <v>-17.610579355900001</v>
      </c>
      <c r="E8498" s="92">
        <f t="shared" si="44"/>
        <v>50</v>
      </c>
      <c r="G8498" s="92"/>
      <c r="I8498">
        <v>7</v>
      </c>
      <c r="J8498" t="s">
        <v>26</v>
      </c>
      <c r="K8498" s="57"/>
      <c r="S8498" s="57"/>
      <c r="X8498" s="57"/>
    </row>
    <row r="8499" spans="1:24" hidden="1" x14ac:dyDescent="0.35">
      <c r="A8499">
        <v>8495</v>
      </c>
      <c r="B8499">
        <v>8496</v>
      </c>
      <c r="C8499">
        <v>146.10871341999899</v>
      </c>
      <c r="D8499">
        <v>-17.610493758499899</v>
      </c>
      <c r="E8499" s="92" t="str">
        <f t="shared" si="44"/>
        <v/>
      </c>
      <c r="G8499" s="92"/>
      <c r="I8499">
        <v>7</v>
      </c>
      <c r="J8499" t="s">
        <v>26</v>
      </c>
      <c r="K8499" s="57"/>
      <c r="S8499" s="57"/>
      <c r="X8499" s="57"/>
    </row>
    <row r="8500" spans="1:24" hidden="1" x14ac:dyDescent="0.35">
      <c r="A8500">
        <v>8496</v>
      </c>
      <c r="B8500">
        <v>8497</v>
      </c>
      <c r="C8500">
        <v>146.108715351</v>
      </c>
      <c r="D8500">
        <v>-17.610408159799899</v>
      </c>
      <c r="E8500" s="92" t="str">
        <f t="shared" si="44"/>
        <v/>
      </c>
      <c r="G8500" s="92"/>
      <c r="I8500">
        <v>7</v>
      </c>
      <c r="J8500" t="s">
        <v>26</v>
      </c>
      <c r="K8500" s="57"/>
      <c r="S8500" s="57"/>
      <c r="X8500" s="57"/>
    </row>
    <row r="8501" spans="1:24" hidden="1" x14ac:dyDescent="0.35">
      <c r="A8501">
        <v>8497</v>
      </c>
      <c r="B8501">
        <v>8498</v>
      </c>
      <c r="C8501">
        <v>146.10871443900001</v>
      </c>
      <c r="D8501">
        <v>-17.610322542500001</v>
      </c>
      <c r="E8501" s="92" t="str">
        <f t="shared" si="44"/>
        <v/>
      </c>
      <c r="G8501" s="92"/>
      <c r="I8501">
        <v>7</v>
      </c>
      <c r="J8501" t="s">
        <v>26</v>
      </c>
      <c r="K8501" s="57"/>
      <c r="S8501" s="57"/>
      <c r="X8501" s="57"/>
    </row>
    <row r="8502" spans="1:24" hidden="1" x14ac:dyDescent="0.35">
      <c r="A8502">
        <v>8498</v>
      </c>
      <c r="B8502">
        <v>8499</v>
      </c>
      <c r="C8502">
        <v>146.108713526</v>
      </c>
      <c r="D8502">
        <v>-17.610236925300001</v>
      </c>
      <c r="E8502" s="92" t="str">
        <f t="shared" si="44"/>
        <v/>
      </c>
      <c r="G8502" s="92"/>
      <c r="I8502">
        <v>7</v>
      </c>
      <c r="J8502" t="s">
        <v>26</v>
      </c>
      <c r="K8502" s="57"/>
      <c r="S8502" s="57"/>
      <c r="X8502" s="57"/>
    </row>
    <row r="8503" spans="1:24" hidden="1" x14ac:dyDescent="0.35">
      <c r="A8503">
        <v>8499</v>
      </c>
      <c r="B8503">
        <v>8500</v>
      </c>
      <c r="C8503">
        <v>146.10871261400001</v>
      </c>
      <c r="D8503">
        <v>-17.610151307900001</v>
      </c>
      <c r="E8503" s="92">
        <f t="shared" si="44"/>
        <v>50</v>
      </c>
      <c r="G8503" s="92"/>
      <c r="I8503">
        <v>7</v>
      </c>
      <c r="J8503" t="s">
        <v>26</v>
      </c>
      <c r="K8503" s="57"/>
      <c r="S8503" s="57"/>
      <c r="X8503" s="57"/>
    </row>
    <row r="8504" spans="1:24" hidden="1" x14ac:dyDescent="0.35">
      <c r="A8504">
        <v>8500</v>
      </c>
      <c r="B8504">
        <v>8501</v>
      </c>
      <c r="C8504">
        <v>146.108711701</v>
      </c>
      <c r="D8504">
        <v>-17.6100656905999</v>
      </c>
      <c r="E8504" s="92" t="str">
        <f t="shared" si="44"/>
        <v/>
      </c>
      <c r="G8504" s="92"/>
      <c r="I8504">
        <v>7</v>
      </c>
      <c r="J8504" t="s">
        <v>26</v>
      </c>
      <c r="K8504" s="57"/>
      <c r="S8504" s="57"/>
      <c r="X8504" s="57"/>
    </row>
    <row r="8505" spans="1:24" hidden="1" x14ac:dyDescent="0.35">
      <c r="A8505">
        <v>8501</v>
      </c>
      <c r="B8505">
        <v>8502</v>
      </c>
      <c r="C8505">
        <v>146.10871078900001</v>
      </c>
      <c r="D8505">
        <v>-17.6099800731999</v>
      </c>
      <c r="E8505" s="92" t="str">
        <f t="shared" si="44"/>
        <v/>
      </c>
      <c r="G8505" s="92"/>
      <c r="I8505">
        <v>7</v>
      </c>
      <c r="J8505" t="s">
        <v>26</v>
      </c>
      <c r="K8505" s="57"/>
      <c r="S8505" s="57"/>
      <c r="X8505" s="57"/>
    </row>
    <row r="8506" spans="1:24" hidden="1" x14ac:dyDescent="0.35">
      <c r="A8506">
        <v>8502</v>
      </c>
      <c r="B8506">
        <v>8503</v>
      </c>
      <c r="C8506">
        <v>146.10871111399899</v>
      </c>
      <c r="D8506">
        <v>-17.609894452500001</v>
      </c>
      <c r="E8506" s="92" t="str">
        <f t="shared" si="44"/>
        <v/>
      </c>
      <c r="G8506" s="92"/>
      <c r="I8506">
        <v>7</v>
      </c>
      <c r="J8506" t="s">
        <v>26</v>
      </c>
      <c r="K8506" s="57"/>
      <c r="S8506" s="57"/>
      <c r="X8506" s="57"/>
    </row>
    <row r="8507" spans="1:24" hidden="1" x14ac:dyDescent="0.35">
      <c r="A8507">
        <v>8503</v>
      </c>
      <c r="B8507">
        <v>8504</v>
      </c>
      <c r="C8507">
        <v>146.108711534999</v>
      </c>
      <c r="D8507">
        <v>-17.609808831500001</v>
      </c>
      <c r="E8507" s="92" t="str">
        <f t="shared" si="44"/>
        <v/>
      </c>
      <c r="G8507" s="92"/>
      <c r="I8507">
        <v>7</v>
      </c>
      <c r="J8507" t="s">
        <v>26</v>
      </c>
      <c r="K8507" s="57"/>
      <c r="S8507" s="57"/>
      <c r="X8507" s="57"/>
    </row>
    <row r="8508" spans="1:24" hidden="1" x14ac:dyDescent="0.35">
      <c r="A8508">
        <v>8504</v>
      </c>
      <c r="B8508">
        <v>8505</v>
      </c>
      <c r="C8508">
        <v>146.10871195499899</v>
      </c>
      <c r="D8508">
        <v>-17.6097232105</v>
      </c>
      <c r="E8508" s="92">
        <f t="shared" si="44"/>
        <v>50</v>
      </c>
      <c r="G8508" s="92"/>
      <c r="I8508">
        <v>7</v>
      </c>
      <c r="J8508" t="s">
        <v>26</v>
      </c>
      <c r="K8508" s="57"/>
      <c r="S8508" s="57"/>
      <c r="X8508" s="57"/>
    </row>
    <row r="8509" spans="1:24" hidden="1" x14ac:dyDescent="0.35">
      <c r="A8509">
        <v>8505</v>
      </c>
      <c r="B8509">
        <v>8506</v>
      </c>
      <c r="C8509">
        <v>146.108712596999</v>
      </c>
      <c r="D8509">
        <v>-17.6096376054</v>
      </c>
      <c r="E8509" s="92" t="str">
        <f t="shared" si="44"/>
        <v/>
      </c>
      <c r="G8509" s="92"/>
      <c r="I8509">
        <v>7</v>
      </c>
      <c r="J8509" t="s">
        <v>26</v>
      </c>
      <c r="K8509" s="57"/>
      <c r="S8509" s="57"/>
      <c r="X8509" s="57"/>
    </row>
    <row r="8510" spans="1:24" hidden="1" x14ac:dyDescent="0.35">
      <c r="A8510">
        <v>8506</v>
      </c>
      <c r="B8510">
        <v>8507</v>
      </c>
      <c r="C8510">
        <v>146.108725641999</v>
      </c>
      <c r="D8510">
        <v>-17.609552890900002</v>
      </c>
      <c r="E8510" s="92" t="str">
        <f t="shared" si="44"/>
        <v/>
      </c>
      <c r="G8510" s="92"/>
      <c r="I8510">
        <v>7</v>
      </c>
      <c r="J8510" t="s">
        <v>26</v>
      </c>
      <c r="K8510" s="57"/>
      <c r="S8510" s="57"/>
      <c r="X8510" s="57"/>
    </row>
    <row r="8511" spans="1:24" hidden="1" x14ac:dyDescent="0.35">
      <c r="A8511">
        <v>8507</v>
      </c>
      <c r="B8511">
        <v>8508</v>
      </c>
      <c r="C8511">
        <v>146.10873868600001</v>
      </c>
      <c r="D8511">
        <v>-17.609468176499899</v>
      </c>
      <c r="E8511" s="92" t="str">
        <f t="shared" si="44"/>
        <v/>
      </c>
      <c r="G8511" s="92"/>
      <c r="I8511">
        <v>7</v>
      </c>
      <c r="J8511" t="s">
        <v>26</v>
      </c>
      <c r="K8511" s="57"/>
      <c r="S8511" s="57"/>
      <c r="X8511" s="57"/>
    </row>
    <row r="8512" spans="1:24" hidden="1" x14ac:dyDescent="0.35">
      <c r="A8512">
        <v>8508</v>
      </c>
      <c r="B8512">
        <v>8509</v>
      </c>
      <c r="C8512">
        <v>146.10875173100001</v>
      </c>
      <c r="D8512">
        <v>-17.609383461899899</v>
      </c>
      <c r="E8512" s="92" t="str">
        <f t="shared" si="44"/>
        <v/>
      </c>
      <c r="G8512" s="92"/>
      <c r="I8512">
        <v>7</v>
      </c>
      <c r="J8512" t="s">
        <v>26</v>
      </c>
      <c r="K8512" s="57"/>
      <c r="S8512" s="57"/>
      <c r="X8512" s="57"/>
    </row>
    <row r="8513" spans="1:24" hidden="1" x14ac:dyDescent="0.35">
      <c r="A8513">
        <v>8509</v>
      </c>
      <c r="B8513">
        <v>8510</v>
      </c>
      <c r="C8513">
        <v>146.108767188999</v>
      </c>
      <c r="D8513">
        <v>-17.6092992317</v>
      </c>
      <c r="E8513" s="92">
        <f t="shared" si="44"/>
        <v>50</v>
      </c>
      <c r="G8513" s="92"/>
      <c r="I8513">
        <v>7</v>
      </c>
      <c r="J8513" t="s">
        <v>26</v>
      </c>
      <c r="K8513" s="57"/>
      <c r="S8513" s="57"/>
      <c r="X8513" s="57"/>
    </row>
    <row r="8514" spans="1:24" hidden="1" x14ac:dyDescent="0.35">
      <c r="A8514">
        <v>8510</v>
      </c>
      <c r="B8514">
        <v>8511</v>
      </c>
      <c r="C8514">
        <v>146.108791096</v>
      </c>
      <c r="D8514">
        <v>-17.609216697400001</v>
      </c>
      <c r="E8514" s="92" t="str">
        <f t="shared" si="44"/>
        <v/>
      </c>
      <c r="G8514" s="92"/>
      <c r="I8514">
        <v>7</v>
      </c>
      <c r="J8514" t="s">
        <v>26</v>
      </c>
      <c r="K8514" s="57"/>
      <c r="S8514" s="57"/>
      <c r="X8514" s="57"/>
    </row>
    <row r="8515" spans="1:24" hidden="1" x14ac:dyDescent="0.35">
      <c r="A8515">
        <v>8511</v>
      </c>
      <c r="B8515">
        <v>8512</v>
      </c>
      <c r="C8515">
        <v>146.10881500400001</v>
      </c>
      <c r="D8515">
        <v>-17.609134163099899</v>
      </c>
      <c r="E8515" s="92" t="str">
        <f t="shared" si="44"/>
        <v/>
      </c>
      <c r="G8515" s="92"/>
      <c r="I8515">
        <v>7</v>
      </c>
      <c r="J8515" t="s">
        <v>26</v>
      </c>
      <c r="K8515" s="57"/>
      <c r="S8515" s="57"/>
      <c r="X8515" s="57"/>
    </row>
    <row r="8516" spans="1:24" hidden="1" x14ac:dyDescent="0.35">
      <c r="A8516">
        <v>8512</v>
      </c>
      <c r="B8516">
        <v>8513</v>
      </c>
      <c r="C8516">
        <v>146.10885545400001</v>
      </c>
      <c r="D8516">
        <v>-17.609059047599899</v>
      </c>
      <c r="E8516" s="92" t="str">
        <f t="shared" si="44"/>
        <v/>
      </c>
      <c r="G8516" s="92"/>
      <c r="I8516">
        <v>7</v>
      </c>
      <c r="J8516" t="s">
        <v>26</v>
      </c>
      <c r="K8516" s="57"/>
      <c r="S8516" s="57"/>
      <c r="X8516" s="57"/>
    </row>
    <row r="8517" spans="1:24" hidden="1" x14ac:dyDescent="0.35">
      <c r="A8517">
        <v>8513</v>
      </c>
      <c r="B8517">
        <v>8514</v>
      </c>
      <c r="C8517">
        <v>146.10890692800001</v>
      </c>
      <c r="D8517">
        <v>-17.608988875400001</v>
      </c>
      <c r="E8517" s="92" t="str">
        <f t="shared" si="44"/>
        <v/>
      </c>
      <c r="G8517" s="92"/>
      <c r="I8517">
        <v>7</v>
      </c>
      <c r="J8517" t="s">
        <v>26</v>
      </c>
      <c r="K8517" s="57"/>
      <c r="S8517" s="57"/>
      <c r="X8517" s="57"/>
    </row>
    <row r="8518" spans="1:24" hidden="1" x14ac:dyDescent="0.35">
      <c r="A8518">
        <v>8514</v>
      </c>
      <c r="B8518">
        <v>8515</v>
      </c>
      <c r="C8518">
        <v>146.108958400999</v>
      </c>
      <c r="D8518">
        <v>-17.608918703200001</v>
      </c>
      <c r="E8518" s="92">
        <f t="shared" si="44"/>
        <v>50</v>
      </c>
      <c r="G8518" s="92"/>
      <c r="I8518">
        <v>7</v>
      </c>
      <c r="J8518" t="s">
        <v>26</v>
      </c>
      <c r="K8518" s="57"/>
      <c r="S8518" s="57"/>
      <c r="X8518" s="57"/>
    </row>
    <row r="8519" spans="1:24" hidden="1" x14ac:dyDescent="0.35">
      <c r="A8519">
        <v>8515</v>
      </c>
      <c r="B8519">
        <v>8516</v>
      </c>
      <c r="C8519">
        <v>146.109009874999</v>
      </c>
      <c r="D8519">
        <v>-17.608848530900001</v>
      </c>
      <c r="E8519" s="92" t="str">
        <f t="shared" si="44"/>
        <v/>
      </c>
      <c r="G8519" s="92"/>
      <c r="I8519">
        <v>7</v>
      </c>
      <c r="J8519" t="s">
        <v>26</v>
      </c>
      <c r="K8519" s="57"/>
      <c r="S8519" s="57"/>
      <c r="X8519" s="57"/>
    </row>
    <row r="8520" spans="1:24" hidden="1" x14ac:dyDescent="0.35">
      <c r="A8520">
        <v>8516</v>
      </c>
      <c r="B8520">
        <v>8517</v>
      </c>
      <c r="C8520">
        <v>146.10906134800001</v>
      </c>
      <c r="D8520">
        <v>-17.6087783587</v>
      </c>
      <c r="E8520" s="92" t="str">
        <f t="shared" si="44"/>
        <v/>
      </c>
      <c r="G8520" s="92"/>
      <c r="I8520">
        <v>7</v>
      </c>
      <c r="J8520" t="s">
        <v>26</v>
      </c>
      <c r="K8520" s="57"/>
      <c r="S8520" s="57"/>
      <c r="X8520" s="57"/>
    </row>
    <row r="8521" spans="1:24" hidden="1" x14ac:dyDescent="0.35">
      <c r="A8521">
        <v>8517</v>
      </c>
      <c r="B8521">
        <v>8518</v>
      </c>
      <c r="C8521">
        <v>146.109118851999</v>
      </c>
      <c r="D8521">
        <v>-17.608713328499899</v>
      </c>
      <c r="E8521" s="92" t="str">
        <f t="shared" si="44"/>
        <v/>
      </c>
      <c r="G8521" s="92"/>
      <c r="I8521">
        <v>7</v>
      </c>
      <c r="J8521" t="s">
        <v>26</v>
      </c>
      <c r="K8521" s="57"/>
      <c r="S8521" s="57"/>
      <c r="X8521" s="57"/>
    </row>
    <row r="8522" spans="1:24" hidden="1" x14ac:dyDescent="0.35">
      <c r="A8522">
        <v>8518</v>
      </c>
      <c r="B8522">
        <v>8519</v>
      </c>
      <c r="C8522">
        <v>146.109186311</v>
      </c>
      <c r="D8522">
        <v>-17.6086567864999</v>
      </c>
      <c r="E8522" s="92" t="str">
        <f t="shared" si="44"/>
        <v/>
      </c>
      <c r="G8522" s="92"/>
      <c r="I8522">
        <v>7</v>
      </c>
      <c r="J8522" t="s">
        <v>26</v>
      </c>
      <c r="K8522" s="57"/>
      <c r="S8522" s="57"/>
      <c r="X8522" s="57"/>
    </row>
    <row r="8523" spans="1:24" hidden="1" x14ac:dyDescent="0.35">
      <c r="A8523">
        <v>8519</v>
      </c>
      <c r="B8523">
        <v>8520</v>
      </c>
      <c r="C8523">
        <v>146.109253768999</v>
      </c>
      <c r="D8523">
        <v>-17.608600244600002</v>
      </c>
      <c r="E8523" s="92">
        <f t="shared" si="44"/>
        <v>50</v>
      </c>
      <c r="G8523" s="92"/>
      <c r="I8523">
        <v>7</v>
      </c>
      <c r="J8523" t="s">
        <v>26</v>
      </c>
      <c r="K8523" s="57"/>
      <c r="S8523" s="57"/>
      <c r="X8523" s="57"/>
    </row>
    <row r="8524" spans="1:24" hidden="1" x14ac:dyDescent="0.35">
      <c r="A8524">
        <v>8520</v>
      </c>
      <c r="B8524">
        <v>8521</v>
      </c>
      <c r="C8524">
        <v>146.109321227999</v>
      </c>
      <c r="D8524">
        <v>-17.608543702599899</v>
      </c>
      <c r="E8524" s="92" t="str">
        <f t="shared" si="44"/>
        <v/>
      </c>
      <c r="G8524" s="92"/>
      <c r="I8524">
        <v>7</v>
      </c>
      <c r="J8524" t="s">
        <v>26</v>
      </c>
      <c r="K8524" s="57"/>
      <c r="S8524" s="57"/>
      <c r="X8524" s="57"/>
    </row>
    <row r="8525" spans="1:24" hidden="1" x14ac:dyDescent="0.35">
      <c r="A8525">
        <v>8521</v>
      </c>
      <c r="B8525">
        <v>8522</v>
      </c>
      <c r="C8525">
        <v>146.10938868700001</v>
      </c>
      <c r="D8525">
        <v>-17.6084871605999</v>
      </c>
      <c r="E8525" s="92" t="str">
        <f t="shared" si="44"/>
        <v/>
      </c>
      <c r="G8525" s="92"/>
      <c r="I8525">
        <v>7</v>
      </c>
      <c r="J8525" t="s">
        <v>26</v>
      </c>
      <c r="K8525" s="57"/>
      <c r="S8525" s="57"/>
      <c r="X8525" s="57"/>
    </row>
    <row r="8526" spans="1:24" hidden="1" x14ac:dyDescent="0.35">
      <c r="A8526">
        <v>8522</v>
      </c>
      <c r="B8526">
        <v>8523</v>
      </c>
      <c r="C8526">
        <v>146.10945860199899</v>
      </c>
      <c r="D8526">
        <v>-17.608434176300001</v>
      </c>
      <c r="E8526" s="92" t="str">
        <f t="shared" si="44"/>
        <v/>
      </c>
      <c r="G8526" s="92"/>
      <c r="I8526">
        <v>7</v>
      </c>
      <c r="J8526" t="s">
        <v>26</v>
      </c>
      <c r="K8526" s="57"/>
      <c r="S8526" s="57"/>
      <c r="X8526" s="57"/>
    </row>
    <row r="8527" spans="1:24" hidden="1" x14ac:dyDescent="0.35">
      <c r="A8527">
        <v>8523</v>
      </c>
      <c r="B8527">
        <v>8524</v>
      </c>
      <c r="C8527">
        <v>146.109539764</v>
      </c>
      <c r="D8527">
        <v>-17.6083974774</v>
      </c>
      <c r="E8527" s="92" t="str">
        <f t="shared" si="44"/>
        <v/>
      </c>
      <c r="G8527" s="92"/>
      <c r="I8527">
        <v>7</v>
      </c>
      <c r="J8527" t="s">
        <v>26</v>
      </c>
      <c r="K8527" s="57"/>
      <c r="S8527" s="57"/>
      <c r="X8527" s="57"/>
    </row>
    <row r="8528" spans="1:24" hidden="1" x14ac:dyDescent="0.35">
      <c r="A8528">
        <v>8524</v>
      </c>
      <c r="B8528">
        <v>8525</v>
      </c>
      <c r="C8528">
        <v>146.109620925999</v>
      </c>
      <c r="D8528">
        <v>-17.6083607785</v>
      </c>
      <c r="E8528" s="92">
        <f t="shared" ref="E8528:E8591" si="45">IF(MOD(B8528,5)=0, 50, "")</f>
        <v>50</v>
      </c>
      <c r="G8528" s="92"/>
      <c r="I8528">
        <v>7</v>
      </c>
      <c r="J8528" t="s">
        <v>26</v>
      </c>
      <c r="K8528" s="57"/>
      <c r="S8528" s="57"/>
      <c r="X8528" s="57"/>
    </row>
    <row r="8529" spans="1:24" hidden="1" x14ac:dyDescent="0.35">
      <c r="A8529">
        <v>8525</v>
      </c>
      <c r="B8529">
        <v>8526</v>
      </c>
      <c r="C8529">
        <v>146.10970208699899</v>
      </c>
      <c r="D8529">
        <v>-17.6083240795999</v>
      </c>
      <c r="E8529" s="92" t="str">
        <f t="shared" si="45"/>
        <v/>
      </c>
      <c r="G8529" s="92"/>
      <c r="I8529">
        <v>7</v>
      </c>
      <c r="J8529" t="s">
        <v>26</v>
      </c>
      <c r="K8529" s="57"/>
      <c r="S8529" s="57"/>
      <c r="X8529" s="57"/>
    </row>
    <row r="8530" spans="1:24" hidden="1" x14ac:dyDescent="0.35">
      <c r="A8530">
        <v>8526</v>
      </c>
      <c r="B8530">
        <v>8527</v>
      </c>
      <c r="C8530">
        <v>146.109785633999</v>
      </c>
      <c r="D8530">
        <v>-17.6082934008999</v>
      </c>
      <c r="E8530" s="92" t="str">
        <f t="shared" si="45"/>
        <v/>
      </c>
      <c r="G8530" s="92"/>
      <c r="I8530">
        <v>7</v>
      </c>
      <c r="J8530" t="s">
        <v>26</v>
      </c>
      <c r="K8530" s="57"/>
      <c r="S8530" s="57"/>
      <c r="X8530" s="57"/>
    </row>
    <row r="8531" spans="1:24" hidden="1" x14ac:dyDescent="0.35">
      <c r="A8531">
        <v>8527</v>
      </c>
      <c r="B8531">
        <v>8528</v>
      </c>
      <c r="C8531">
        <v>146.10987199100001</v>
      </c>
      <c r="D8531">
        <v>-17.608269817899899</v>
      </c>
      <c r="E8531" s="92" t="str">
        <f t="shared" si="45"/>
        <v/>
      </c>
      <c r="G8531" s="92"/>
      <c r="I8531">
        <v>7</v>
      </c>
      <c r="J8531" t="s">
        <v>26</v>
      </c>
      <c r="K8531" s="57"/>
      <c r="S8531" s="57"/>
      <c r="X8531" s="57"/>
    </row>
    <row r="8532" spans="1:24" hidden="1" x14ac:dyDescent="0.35">
      <c r="A8532">
        <v>8528</v>
      </c>
      <c r="B8532">
        <v>8529</v>
      </c>
      <c r="C8532">
        <v>146.10995320800001</v>
      </c>
      <c r="D8532">
        <v>-17.608233904599899</v>
      </c>
      <c r="E8532" s="92" t="str">
        <f t="shared" si="45"/>
        <v/>
      </c>
      <c r="G8532" s="92"/>
      <c r="I8532">
        <v>7</v>
      </c>
      <c r="J8532" t="s">
        <v>26</v>
      </c>
      <c r="K8532" s="57"/>
      <c r="S8532" s="57"/>
      <c r="X8532" s="57"/>
    </row>
    <row r="8533" spans="1:24" hidden="1" x14ac:dyDescent="0.35">
      <c r="A8533">
        <v>8529</v>
      </c>
      <c r="B8533">
        <v>8530</v>
      </c>
      <c r="C8533">
        <v>146.110036903999</v>
      </c>
      <c r="D8533">
        <v>-17.608203149200001</v>
      </c>
      <c r="E8533" s="92">
        <f t="shared" si="45"/>
        <v>50</v>
      </c>
      <c r="G8533" s="92"/>
      <c r="I8533">
        <v>7</v>
      </c>
      <c r="J8533" t="s">
        <v>26</v>
      </c>
      <c r="K8533" s="57"/>
      <c r="S8533" s="57"/>
      <c r="X8533" s="57"/>
    </row>
    <row r="8534" spans="1:24" hidden="1" x14ac:dyDescent="0.35">
      <c r="A8534">
        <v>8530</v>
      </c>
      <c r="B8534">
        <v>8531</v>
      </c>
      <c r="C8534">
        <v>146.11012155700001</v>
      </c>
      <c r="D8534">
        <v>-17.6081744988</v>
      </c>
      <c r="E8534" s="92" t="str">
        <f t="shared" si="45"/>
        <v/>
      </c>
      <c r="G8534" s="92"/>
      <c r="I8534">
        <v>7</v>
      </c>
      <c r="J8534" t="s">
        <v>26</v>
      </c>
      <c r="K8534" s="57"/>
      <c r="S8534" s="57"/>
      <c r="X8534" s="57"/>
    </row>
    <row r="8535" spans="1:24" hidden="1" x14ac:dyDescent="0.35">
      <c r="A8535">
        <v>8531</v>
      </c>
      <c r="B8535">
        <v>8532</v>
      </c>
      <c r="C8535">
        <v>146.11020621</v>
      </c>
      <c r="D8535">
        <v>-17.608145848500001</v>
      </c>
      <c r="E8535" s="92" t="str">
        <f t="shared" si="45"/>
        <v/>
      </c>
      <c r="G8535" s="92"/>
      <c r="I8535">
        <v>7</v>
      </c>
      <c r="J8535" t="s">
        <v>26</v>
      </c>
      <c r="K8535" s="57"/>
      <c r="S8535" s="57"/>
      <c r="X8535" s="57"/>
    </row>
    <row r="8536" spans="1:24" hidden="1" x14ac:dyDescent="0.35">
      <c r="A8536">
        <v>8532</v>
      </c>
      <c r="B8536">
        <v>8533</v>
      </c>
      <c r="C8536">
        <v>146.11029086299899</v>
      </c>
      <c r="D8536">
        <v>-17.6081171981</v>
      </c>
      <c r="E8536" s="92" t="str">
        <f t="shared" si="45"/>
        <v/>
      </c>
      <c r="G8536" s="92"/>
      <c r="I8536">
        <v>7</v>
      </c>
      <c r="J8536" t="s">
        <v>26</v>
      </c>
      <c r="K8536" s="57"/>
      <c r="S8536" s="57"/>
      <c r="X8536" s="57"/>
    </row>
    <row r="8537" spans="1:24" hidden="1" x14ac:dyDescent="0.35">
      <c r="A8537">
        <v>8533</v>
      </c>
      <c r="B8537">
        <v>8534</v>
      </c>
      <c r="C8537">
        <v>146.110375613999</v>
      </c>
      <c r="D8537">
        <v>-17.608088813399899</v>
      </c>
      <c r="E8537" s="92" t="str">
        <f t="shared" si="45"/>
        <v/>
      </c>
      <c r="G8537" s="92"/>
      <c r="I8537">
        <v>7</v>
      </c>
      <c r="J8537" t="s">
        <v>26</v>
      </c>
      <c r="K8537" s="57"/>
      <c r="S8537" s="57"/>
      <c r="X8537" s="57"/>
    </row>
    <row r="8538" spans="1:24" hidden="1" x14ac:dyDescent="0.35">
      <c r="A8538">
        <v>8534</v>
      </c>
      <c r="B8538">
        <v>8535</v>
      </c>
      <c r="C8538">
        <v>146.110460598999</v>
      </c>
      <c r="D8538">
        <v>-17.6080610689</v>
      </c>
      <c r="E8538" s="92">
        <f t="shared" si="45"/>
        <v>50</v>
      </c>
      <c r="G8538" s="92"/>
      <c r="I8538">
        <v>7</v>
      </c>
      <c r="J8538" t="s">
        <v>26</v>
      </c>
      <c r="K8538" s="57"/>
      <c r="S8538" s="57"/>
      <c r="X8538" s="57"/>
    </row>
    <row r="8539" spans="1:24" hidden="1" x14ac:dyDescent="0.35">
      <c r="A8539">
        <v>8535</v>
      </c>
      <c r="B8539">
        <v>8536</v>
      </c>
      <c r="C8539">
        <v>146.110545583</v>
      </c>
      <c r="D8539">
        <v>-17.608033324200001</v>
      </c>
      <c r="E8539" s="92" t="str">
        <f t="shared" si="45"/>
        <v/>
      </c>
      <c r="G8539" s="92"/>
      <c r="I8539">
        <v>7</v>
      </c>
      <c r="J8539" t="s">
        <v>26</v>
      </c>
      <c r="K8539" s="57"/>
      <c r="S8539" s="57"/>
      <c r="X8539" s="57"/>
    </row>
    <row r="8540" spans="1:24" hidden="1" x14ac:dyDescent="0.35">
      <c r="A8540">
        <v>8536</v>
      </c>
      <c r="B8540">
        <v>8537</v>
      </c>
      <c r="C8540">
        <v>146.110630568</v>
      </c>
      <c r="D8540">
        <v>-17.6080055796</v>
      </c>
      <c r="E8540" s="92" t="str">
        <f t="shared" si="45"/>
        <v/>
      </c>
      <c r="G8540" s="92"/>
      <c r="I8540">
        <v>7</v>
      </c>
      <c r="J8540" t="s">
        <v>26</v>
      </c>
      <c r="K8540" s="57"/>
      <c r="S8540" s="57"/>
      <c r="X8540" s="57"/>
    </row>
    <row r="8541" spans="1:24" hidden="1" x14ac:dyDescent="0.35">
      <c r="A8541">
        <v>8537</v>
      </c>
      <c r="B8541">
        <v>8538</v>
      </c>
      <c r="C8541">
        <v>146.11071555300001</v>
      </c>
      <c r="D8541">
        <v>-17.607977834900002</v>
      </c>
      <c r="E8541" s="92" t="str">
        <f t="shared" si="45"/>
        <v/>
      </c>
      <c r="G8541" s="92"/>
      <c r="I8541">
        <v>7</v>
      </c>
      <c r="J8541" t="s">
        <v>26</v>
      </c>
      <c r="K8541" s="57"/>
      <c r="S8541" s="57"/>
      <c r="X8541" s="57"/>
    </row>
    <row r="8542" spans="1:24" hidden="1" x14ac:dyDescent="0.35">
      <c r="A8542">
        <v>8538</v>
      </c>
      <c r="B8542">
        <v>8539</v>
      </c>
      <c r="C8542">
        <v>146.11080053800001</v>
      </c>
      <c r="D8542">
        <v>-17.6079500901999</v>
      </c>
      <c r="E8542" s="92" t="str">
        <f t="shared" si="45"/>
        <v/>
      </c>
      <c r="G8542" s="92"/>
      <c r="I8542">
        <v>7</v>
      </c>
      <c r="J8542" t="s">
        <v>26</v>
      </c>
      <c r="K8542" s="57"/>
      <c r="S8542" s="57"/>
      <c r="X8542" s="57"/>
    </row>
    <row r="8543" spans="1:24" hidden="1" x14ac:dyDescent="0.35">
      <c r="A8543">
        <v>8539</v>
      </c>
      <c r="B8543">
        <v>8540</v>
      </c>
      <c r="C8543">
        <v>146.110889262999</v>
      </c>
      <c r="D8543">
        <v>-17.6079384178</v>
      </c>
      <c r="E8543" s="92">
        <f t="shared" si="45"/>
        <v>50</v>
      </c>
      <c r="G8543" s="92"/>
      <c r="I8543">
        <v>7</v>
      </c>
      <c r="J8543" t="s">
        <v>26</v>
      </c>
      <c r="K8543" s="57"/>
      <c r="S8543" s="57"/>
      <c r="X8543" s="57"/>
    </row>
    <row r="8544" spans="1:24" hidden="1" x14ac:dyDescent="0.35">
      <c r="A8544">
        <v>8540</v>
      </c>
      <c r="B8544">
        <v>8541</v>
      </c>
      <c r="C8544">
        <v>146.11097858400001</v>
      </c>
      <c r="D8544">
        <v>-17.6079293067999</v>
      </c>
      <c r="E8544" s="92" t="str">
        <f t="shared" si="45"/>
        <v/>
      </c>
      <c r="G8544" s="92"/>
      <c r="I8544">
        <v>7</v>
      </c>
      <c r="J8544" t="s">
        <v>26</v>
      </c>
      <c r="K8544" s="57"/>
      <c r="S8544" s="57"/>
      <c r="X8544" s="57"/>
    </row>
    <row r="8545" spans="1:24" hidden="1" x14ac:dyDescent="0.35">
      <c r="A8545">
        <v>8541</v>
      </c>
      <c r="B8545">
        <v>8542</v>
      </c>
      <c r="C8545">
        <v>146.11106790599899</v>
      </c>
      <c r="D8545">
        <v>-17.6079201959</v>
      </c>
      <c r="E8545" s="92" t="str">
        <f t="shared" si="45"/>
        <v/>
      </c>
      <c r="G8545" s="92"/>
      <c r="I8545">
        <v>7</v>
      </c>
      <c r="J8545" t="s">
        <v>26</v>
      </c>
      <c r="K8545" s="57"/>
      <c r="S8545" s="57"/>
      <c r="X8545" s="57"/>
    </row>
    <row r="8546" spans="1:24" hidden="1" x14ac:dyDescent="0.35">
      <c r="A8546">
        <v>8542</v>
      </c>
      <c r="B8546">
        <v>8543</v>
      </c>
      <c r="C8546">
        <v>146.111156905</v>
      </c>
      <c r="D8546">
        <v>-17.607931734000001</v>
      </c>
      <c r="E8546" s="92" t="str">
        <f t="shared" si="45"/>
        <v/>
      </c>
      <c r="G8546" s="92"/>
      <c r="I8546">
        <v>7</v>
      </c>
      <c r="J8546" t="s">
        <v>26</v>
      </c>
      <c r="K8546" s="57"/>
      <c r="S8546" s="57"/>
      <c r="X8546" s="57"/>
    </row>
    <row r="8547" spans="1:24" hidden="1" x14ac:dyDescent="0.35">
      <c r="A8547">
        <v>8543</v>
      </c>
      <c r="B8547">
        <v>8544</v>
      </c>
      <c r="C8547">
        <v>146.111245902999</v>
      </c>
      <c r="D8547">
        <v>-17.607943372400001</v>
      </c>
      <c r="E8547" s="92" t="str">
        <f t="shared" si="45"/>
        <v/>
      </c>
      <c r="G8547" s="92"/>
      <c r="I8547">
        <v>7</v>
      </c>
      <c r="J8547" t="s">
        <v>26</v>
      </c>
      <c r="K8547" s="57"/>
      <c r="S8547" s="57"/>
      <c r="X8547" s="57"/>
    </row>
    <row r="8548" spans="1:24" hidden="1" x14ac:dyDescent="0.35">
      <c r="A8548">
        <v>8544</v>
      </c>
      <c r="B8548">
        <v>8545</v>
      </c>
      <c r="C8548">
        <v>146.111331820999</v>
      </c>
      <c r="D8548">
        <v>-17.607966230199899</v>
      </c>
      <c r="E8548" s="92">
        <f t="shared" si="45"/>
        <v>50</v>
      </c>
      <c r="G8548" s="92"/>
      <c r="I8548">
        <v>7</v>
      </c>
      <c r="J8548" t="s">
        <v>26</v>
      </c>
      <c r="K8548" s="57"/>
      <c r="S8548" s="57"/>
      <c r="X8548" s="57"/>
    </row>
    <row r="8549" spans="1:24" hidden="1" x14ac:dyDescent="0.35">
      <c r="A8549">
        <v>8545</v>
      </c>
      <c r="B8549">
        <v>8546</v>
      </c>
      <c r="C8549">
        <v>146.111415394999</v>
      </c>
      <c r="D8549">
        <v>-17.6079976278</v>
      </c>
      <c r="E8549" s="92" t="str">
        <f t="shared" si="45"/>
        <v/>
      </c>
      <c r="G8549" s="92"/>
      <c r="I8549">
        <v>7</v>
      </c>
      <c r="J8549" t="s">
        <v>26</v>
      </c>
      <c r="K8549" s="57"/>
      <c r="S8549" s="57"/>
      <c r="X8549" s="57"/>
    </row>
    <row r="8550" spans="1:24" hidden="1" x14ac:dyDescent="0.35">
      <c r="A8550">
        <v>8546</v>
      </c>
      <c r="B8550">
        <v>8547</v>
      </c>
      <c r="C8550">
        <v>146.111498968999</v>
      </c>
      <c r="D8550">
        <v>-17.608029025499899</v>
      </c>
      <c r="E8550" s="92" t="str">
        <f t="shared" si="45"/>
        <v/>
      </c>
      <c r="G8550" s="92"/>
      <c r="I8550">
        <v>7</v>
      </c>
      <c r="J8550" t="s">
        <v>26</v>
      </c>
      <c r="K8550" s="57"/>
      <c r="S8550" s="57"/>
      <c r="X8550" s="57"/>
    </row>
    <row r="8551" spans="1:24" hidden="1" x14ac:dyDescent="0.35">
      <c r="A8551">
        <v>8547</v>
      </c>
      <c r="B8551">
        <v>8548</v>
      </c>
      <c r="C8551">
        <v>146.111581835999</v>
      </c>
      <c r="D8551">
        <v>-17.608062047800001</v>
      </c>
      <c r="E8551" s="92" t="str">
        <f t="shared" si="45"/>
        <v/>
      </c>
      <c r="G8551" s="92"/>
      <c r="I8551">
        <v>7</v>
      </c>
      <c r="J8551" t="s">
        <v>26</v>
      </c>
      <c r="K8551" s="57"/>
      <c r="S8551" s="57"/>
      <c r="X8551" s="57"/>
    </row>
    <row r="8552" spans="1:24" hidden="1" x14ac:dyDescent="0.35">
      <c r="A8552">
        <v>8548</v>
      </c>
      <c r="B8552">
        <v>8549</v>
      </c>
      <c r="C8552">
        <v>146.111664187999</v>
      </c>
      <c r="D8552">
        <v>-17.6080962537999</v>
      </c>
      <c r="E8552" s="92" t="str">
        <f t="shared" si="45"/>
        <v/>
      </c>
      <c r="G8552" s="92"/>
      <c r="I8552">
        <v>7</v>
      </c>
      <c r="J8552" t="s">
        <v>26</v>
      </c>
      <c r="K8552" s="57"/>
      <c r="S8552" s="57"/>
      <c r="X8552" s="57"/>
    </row>
    <row r="8553" spans="1:24" hidden="1" x14ac:dyDescent="0.35">
      <c r="A8553">
        <v>8549</v>
      </c>
      <c r="B8553">
        <v>8550</v>
      </c>
      <c r="C8553">
        <v>146.111746538999</v>
      </c>
      <c r="D8553">
        <v>-17.6081304597</v>
      </c>
      <c r="E8553" s="92">
        <f t="shared" si="45"/>
        <v>50</v>
      </c>
      <c r="G8553" s="92"/>
      <c r="I8553">
        <v>7</v>
      </c>
      <c r="J8553" t="s">
        <v>26</v>
      </c>
      <c r="K8553" s="57"/>
      <c r="S8553" s="57"/>
      <c r="X8553" s="57"/>
    </row>
    <row r="8554" spans="1:24" hidden="1" x14ac:dyDescent="0.35">
      <c r="A8554">
        <v>8550</v>
      </c>
      <c r="B8554">
        <v>8551</v>
      </c>
      <c r="C8554">
        <v>146.11183008</v>
      </c>
      <c r="D8554">
        <v>-17.608161855100001</v>
      </c>
      <c r="E8554" s="92" t="str">
        <f t="shared" si="45"/>
        <v/>
      </c>
      <c r="G8554" s="92"/>
      <c r="I8554">
        <v>7</v>
      </c>
      <c r="J8554" t="s">
        <v>26</v>
      </c>
      <c r="K8554" s="57"/>
      <c r="S8554" s="57"/>
      <c r="X8554" s="57"/>
    </row>
    <row r="8555" spans="1:24" hidden="1" x14ac:dyDescent="0.35">
      <c r="A8555">
        <v>8551</v>
      </c>
      <c r="B8555">
        <v>8552</v>
      </c>
      <c r="C8555">
        <v>146.11191429600001</v>
      </c>
      <c r="D8555">
        <v>-17.6081916527</v>
      </c>
      <c r="E8555" s="92" t="str">
        <f t="shared" si="45"/>
        <v/>
      </c>
      <c r="G8555" s="92"/>
      <c r="I8555">
        <v>7</v>
      </c>
      <c r="J8555" t="s">
        <v>26</v>
      </c>
      <c r="K8555" s="57"/>
      <c r="S8555" s="57"/>
      <c r="X8555" s="57"/>
    </row>
    <row r="8556" spans="1:24" hidden="1" x14ac:dyDescent="0.35">
      <c r="A8556">
        <v>8552</v>
      </c>
      <c r="B8556">
        <v>8553</v>
      </c>
      <c r="C8556">
        <v>146.11199851200001</v>
      </c>
      <c r="D8556">
        <v>-17.608221450399899</v>
      </c>
      <c r="E8556" s="92" t="str">
        <f t="shared" si="45"/>
        <v/>
      </c>
      <c r="G8556" s="92"/>
      <c r="I8556">
        <v>7</v>
      </c>
      <c r="J8556" t="s">
        <v>26</v>
      </c>
      <c r="K8556" s="57"/>
      <c r="S8556" s="57"/>
      <c r="X8556" s="57"/>
    </row>
    <row r="8557" spans="1:24" hidden="1" x14ac:dyDescent="0.35">
      <c r="A8557">
        <v>8553</v>
      </c>
      <c r="B8557">
        <v>8554</v>
      </c>
      <c r="C8557">
        <v>146.112081630999</v>
      </c>
      <c r="D8557">
        <v>-17.608253877100001</v>
      </c>
      <c r="E8557" s="92" t="str">
        <f t="shared" si="45"/>
        <v/>
      </c>
      <c r="G8557" s="92"/>
      <c r="I8557">
        <v>7</v>
      </c>
      <c r="J8557" t="s">
        <v>26</v>
      </c>
      <c r="K8557" s="57"/>
      <c r="S8557" s="57"/>
      <c r="X8557" s="57"/>
    </row>
    <row r="8558" spans="1:24" hidden="1" x14ac:dyDescent="0.35">
      <c r="A8558">
        <v>8554</v>
      </c>
      <c r="B8558">
        <v>8555</v>
      </c>
      <c r="C8558">
        <v>146.112164312999</v>
      </c>
      <c r="D8558">
        <v>-17.6082873519</v>
      </c>
      <c r="E8558" s="92">
        <f t="shared" si="45"/>
        <v>50</v>
      </c>
      <c r="G8558" s="92"/>
      <c r="I8558">
        <v>7</v>
      </c>
      <c r="J8558" t="s">
        <v>26</v>
      </c>
      <c r="K8558" s="57"/>
      <c r="S8558" s="57"/>
      <c r="X8558" s="57"/>
    </row>
    <row r="8559" spans="1:24" hidden="1" x14ac:dyDescent="0.35">
      <c r="A8559">
        <v>8555</v>
      </c>
      <c r="B8559">
        <v>8556</v>
      </c>
      <c r="C8559">
        <v>146.11224690700001</v>
      </c>
      <c r="D8559">
        <v>-17.608321020399899</v>
      </c>
      <c r="E8559" s="92" t="str">
        <f t="shared" si="45"/>
        <v/>
      </c>
      <c r="G8559" s="92"/>
      <c r="I8559">
        <v>7</v>
      </c>
      <c r="J8559" t="s">
        <v>26</v>
      </c>
      <c r="K8559" s="57"/>
      <c r="S8559" s="57"/>
      <c r="X8559" s="57"/>
    </row>
    <row r="8560" spans="1:24" hidden="1" x14ac:dyDescent="0.35">
      <c r="A8560">
        <v>8556</v>
      </c>
      <c r="B8560">
        <v>8557</v>
      </c>
      <c r="C8560">
        <v>146.112329227999</v>
      </c>
      <c r="D8560">
        <v>-17.608355292700001</v>
      </c>
      <c r="E8560" s="92" t="str">
        <f t="shared" si="45"/>
        <v/>
      </c>
      <c r="G8560" s="92"/>
      <c r="I8560">
        <v>7</v>
      </c>
      <c r="J8560" t="s">
        <v>26</v>
      </c>
      <c r="K8560" s="57"/>
      <c r="S8560" s="57"/>
      <c r="X8560" s="57"/>
    </row>
    <row r="8561" spans="1:24" hidden="1" x14ac:dyDescent="0.35">
      <c r="A8561">
        <v>8557</v>
      </c>
      <c r="B8561">
        <v>8558</v>
      </c>
      <c r="C8561">
        <v>146.112411549999</v>
      </c>
      <c r="D8561">
        <v>-17.608389564900001</v>
      </c>
      <c r="E8561" s="92" t="str">
        <f t="shared" si="45"/>
        <v/>
      </c>
      <c r="G8561" s="92"/>
      <c r="I8561">
        <v>7</v>
      </c>
      <c r="J8561" t="s">
        <v>26</v>
      </c>
      <c r="K8561" s="57"/>
      <c r="S8561" s="57"/>
      <c r="X8561" s="57"/>
    </row>
    <row r="8562" spans="1:24" hidden="1" x14ac:dyDescent="0.35">
      <c r="A8562">
        <v>8558</v>
      </c>
      <c r="B8562">
        <v>8559</v>
      </c>
      <c r="C8562">
        <v>146.11249292700001</v>
      </c>
      <c r="D8562">
        <v>-17.608425813699899</v>
      </c>
      <c r="E8562" s="92" t="str">
        <f t="shared" si="45"/>
        <v/>
      </c>
      <c r="G8562" s="92"/>
      <c r="I8562">
        <v>7</v>
      </c>
      <c r="J8562" t="s">
        <v>26</v>
      </c>
      <c r="K8562" s="57"/>
      <c r="S8562" s="57"/>
      <c r="X8562" s="57"/>
    </row>
    <row r="8563" spans="1:24" hidden="1" x14ac:dyDescent="0.35">
      <c r="A8563">
        <v>8559</v>
      </c>
      <c r="B8563">
        <v>8560</v>
      </c>
      <c r="C8563">
        <v>146.11257411099899</v>
      </c>
      <c r="D8563">
        <v>-17.6084624691999</v>
      </c>
      <c r="E8563" s="92">
        <f t="shared" si="45"/>
        <v>50</v>
      </c>
      <c r="G8563" s="92"/>
      <c r="I8563">
        <v>7</v>
      </c>
      <c r="J8563" t="s">
        <v>26</v>
      </c>
      <c r="K8563" s="57"/>
      <c r="S8563" s="57"/>
      <c r="X8563" s="57"/>
    </row>
    <row r="8564" spans="1:24" hidden="1" x14ac:dyDescent="0.35">
      <c r="A8564">
        <v>8560</v>
      </c>
      <c r="B8564">
        <v>8561</v>
      </c>
      <c r="C8564">
        <v>146.11265529400001</v>
      </c>
      <c r="D8564">
        <v>-17.608499124200002</v>
      </c>
      <c r="E8564" s="92" t="str">
        <f t="shared" si="45"/>
        <v/>
      </c>
      <c r="G8564" s="92"/>
      <c r="I8564">
        <v>7</v>
      </c>
      <c r="J8564" t="s">
        <v>26</v>
      </c>
      <c r="K8564" s="57"/>
      <c r="S8564" s="57"/>
      <c r="X8564" s="57"/>
    </row>
    <row r="8565" spans="1:24" hidden="1" x14ac:dyDescent="0.35">
      <c r="A8565">
        <v>8561</v>
      </c>
      <c r="B8565">
        <v>8562</v>
      </c>
      <c r="C8565">
        <v>146.11273942899899</v>
      </c>
      <c r="D8565">
        <v>-17.608528931599899</v>
      </c>
      <c r="E8565" s="92" t="str">
        <f t="shared" si="45"/>
        <v/>
      </c>
      <c r="G8565" s="92"/>
      <c r="I8565">
        <v>7</v>
      </c>
      <c r="J8565" t="s">
        <v>26</v>
      </c>
      <c r="K8565" s="57"/>
      <c r="S8565" s="57"/>
      <c r="X8565" s="57"/>
    </row>
    <row r="8566" spans="1:24" hidden="1" x14ac:dyDescent="0.35">
      <c r="A8566">
        <v>8562</v>
      </c>
      <c r="B8566">
        <v>8563</v>
      </c>
      <c r="C8566">
        <v>146.11282420000001</v>
      </c>
      <c r="D8566">
        <v>-17.6085572649</v>
      </c>
      <c r="E8566" s="92" t="str">
        <f t="shared" si="45"/>
        <v/>
      </c>
      <c r="G8566" s="92"/>
      <c r="I8566">
        <v>7</v>
      </c>
      <c r="J8566" t="s">
        <v>26</v>
      </c>
      <c r="K8566" s="57"/>
      <c r="S8566" s="57"/>
      <c r="X8566" s="57"/>
    </row>
    <row r="8567" spans="1:24" hidden="1" x14ac:dyDescent="0.35">
      <c r="A8567">
        <v>8563</v>
      </c>
      <c r="B8567">
        <v>8564</v>
      </c>
      <c r="C8567">
        <v>146.112908970999</v>
      </c>
      <c r="D8567">
        <v>-17.6085855980999</v>
      </c>
      <c r="E8567" s="92" t="str">
        <f t="shared" si="45"/>
        <v/>
      </c>
      <c r="G8567" s="92"/>
      <c r="I8567">
        <v>7</v>
      </c>
      <c r="J8567" t="s">
        <v>26</v>
      </c>
      <c r="K8567" s="57"/>
      <c r="S8567" s="57"/>
      <c r="X8567" s="57"/>
    </row>
    <row r="8568" spans="1:24" hidden="1" x14ac:dyDescent="0.35">
      <c r="A8568">
        <v>8564</v>
      </c>
      <c r="B8568">
        <v>8565</v>
      </c>
      <c r="C8568">
        <v>146.112993740999</v>
      </c>
      <c r="D8568">
        <v>-17.608613931299899</v>
      </c>
      <c r="E8568" s="92">
        <f t="shared" si="45"/>
        <v>50</v>
      </c>
      <c r="G8568" s="92"/>
      <c r="I8568">
        <v>7</v>
      </c>
      <c r="J8568" t="s">
        <v>26</v>
      </c>
      <c r="K8568" s="57"/>
      <c r="S8568" s="57"/>
      <c r="X8568" s="57"/>
    </row>
    <row r="8569" spans="1:24" hidden="1" x14ac:dyDescent="0.35">
      <c r="A8569">
        <v>8565</v>
      </c>
      <c r="B8569">
        <v>8566</v>
      </c>
      <c r="C8569">
        <v>146.113079056999</v>
      </c>
      <c r="D8569">
        <v>-17.608640627700002</v>
      </c>
      <c r="E8569" s="92" t="str">
        <f t="shared" si="45"/>
        <v/>
      </c>
      <c r="G8569" s="92"/>
      <c r="I8569">
        <v>7</v>
      </c>
      <c r="J8569" t="s">
        <v>26</v>
      </c>
      <c r="K8569" s="57"/>
      <c r="S8569" s="57"/>
      <c r="X8569" s="57"/>
    </row>
    <row r="8570" spans="1:24" hidden="1" x14ac:dyDescent="0.35">
      <c r="A8570">
        <v>8566</v>
      </c>
      <c r="B8570">
        <v>8567</v>
      </c>
      <c r="C8570">
        <v>146.11316548299899</v>
      </c>
      <c r="D8570">
        <v>-17.608663980100001</v>
      </c>
      <c r="E8570" s="92" t="str">
        <f t="shared" si="45"/>
        <v/>
      </c>
      <c r="G8570" s="92"/>
      <c r="I8570">
        <v>7</v>
      </c>
      <c r="J8570" t="s">
        <v>26</v>
      </c>
      <c r="K8570" s="57"/>
      <c r="S8570" s="57"/>
      <c r="X8570" s="57"/>
    </row>
    <row r="8571" spans="1:24" hidden="1" x14ac:dyDescent="0.35">
      <c r="A8571">
        <v>8567</v>
      </c>
      <c r="B8571">
        <v>8568</v>
      </c>
      <c r="C8571">
        <v>146.11325203300001</v>
      </c>
      <c r="D8571">
        <v>-17.6086869081999</v>
      </c>
      <c r="E8571" s="92" t="str">
        <f t="shared" si="45"/>
        <v/>
      </c>
      <c r="G8571" s="92" t="s">
        <v>7108</v>
      </c>
      <c r="I8571">
        <v>7</v>
      </c>
      <c r="J8571" t="s">
        <v>26</v>
      </c>
      <c r="K8571" s="57"/>
      <c r="S8571" s="57"/>
      <c r="X8571" s="57"/>
    </row>
    <row r="8572" spans="1:24" hidden="1" x14ac:dyDescent="0.35">
      <c r="A8572">
        <v>8568</v>
      </c>
      <c r="B8572">
        <v>8569</v>
      </c>
      <c r="C8572">
        <v>146.113338583999</v>
      </c>
      <c r="D8572">
        <v>-17.608709836300001</v>
      </c>
      <c r="E8572" s="92" t="str">
        <f t="shared" si="45"/>
        <v/>
      </c>
      <c r="G8572" s="92"/>
      <c r="I8572">
        <v>7</v>
      </c>
      <c r="J8572" t="s">
        <v>26</v>
      </c>
      <c r="K8572" s="57"/>
      <c r="S8572" s="57"/>
      <c r="X8572" s="57"/>
    </row>
    <row r="8573" spans="1:24" hidden="1" x14ac:dyDescent="0.35">
      <c r="A8573">
        <v>8569</v>
      </c>
      <c r="B8573">
        <v>8570</v>
      </c>
      <c r="C8573">
        <v>146.113425135</v>
      </c>
      <c r="D8573">
        <v>-17.6087327643999</v>
      </c>
      <c r="E8573" s="92">
        <f t="shared" si="45"/>
        <v>50</v>
      </c>
      <c r="G8573" s="92"/>
      <c r="I8573">
        <v>7</v>
      </c>
      <c r="J8573" t="s">
        <v>26</v>
      </c>
      <c r="K8573" s="57"/>
      <c r="S8573" s="57"/>
      <c r="X8573" s="57"/>
    </row>
    <row r="8574" spans="1:24" hidden="1" x14ac:dyDescent="0.35">
      <c r="A8574">
        <v>8570</v>
      </c>
      <c r="B8574">
        <v>8571</v>
      </c>
      <c r="C8574">
        <v>146.113511291999</v>
      </c>
      <c r="D8574">
        <v>-17.608756914499899</v>
      </c>
      <c r="E8574" s="92" t="str">
        <f t="shared" si="45"/>
        <v/>
      </c>
      <c r="G8574" s="92" t="s">
        <v>7109</v>
      </c>
      <c r="I8574">
        <v>7</v>
      </c>
      <c r="J8574" t="s">
        <v>26</v>
      </c>
      <c r="K8574" s="57"/>
      <c r="S8574" s="57"/>
      <c r="X8574" s="57"/>
    </row>
    <row r="8575" spans="1:24" hidden="1" x14ac:dyDescent="0.35">
      <c r="A8575">
        <v>8571</v>
      </c>
      <c r="B8575">
        <v>8572</v>
      </c>
      <c r="C8575">
        <v>146.113596424999</v>
      </c>
      <c r="D8575">
        <v>-17.608784243199899</v>
      </c>
      <c r="E8575" s="92" t="str">
        <f t="shared" si="45"/>
        <v/>
      </c>
      <c r="G8575" s="92"/>
      <c r="I8575">
        <v>7</v>
      </c>
      <c r="J8575" t="s">
        <v>26</v>
      </c>
      <c r="K8575" s="57"/>
      <c r="S8575" s="57"/>
      <c r="X8575" s="57"/>
    </row>
    <row r="8576" spans="1:24" hidden="1" x14ac:dyDescent="0.35">
      <c r="A8576">
        <v>8572</v>
      </c>
      <c r="B8576">
        <v>8573</v>
      </c>
      <c r="C8576">
        <v>146.113681557999</v>
      </c>
      <c r="D8576">
        <v>-17.6088115718</v>
      </c>
      <c r="E8576" s="92" t="str">
        <f t="shared" si="45"/>
        <v/>
      </c>
      <c r="G8576" s="92"/>
      <c r="I8576">
        <v>7</v>
      </c>
      <c r="J8576" t="s">
        <v>26</v>
      </c>
      <c r="K8576" s="57"/>
      <c r="S8576" s="57"/>
      <c r="X8576" s="57"/>
    </row>
    <row r="8577" spans="1:24" hidden="1" x14ac:dyDescent="0.35">
      <c r="A8577">
        <v>8573</v>
      </c>
      <c r="B8577">
        <v>8574</v>
      </c>
      <c r="C8577">
        <v>146.113766690999</v>
      </c>
      <c r="D8577">
        <v>-17.6088389005</v>
      </c>
      <c r="E8577" s="92" t="str">
        <f t="shared" si="45"/>
        <v/>
      </c>
      <c r="G8577" s="92" t="s">
        <v>7110</v>
      </c>
      <c r="I8577">
        <v>7</v>
      </c>
      <c r="J8577" t="s">
        <v>26</v>
      </c>
      <c r="K8577" s="57"/>
      <c r="S8577" s="57"/>
      <c r="X8577" s="57"/>
    </row>
    <row r="8578" spans="1:24" hidden="1" x14ac:dyDescent="0.35">
      <c r="A8578">
        <v>8574</v>
      </c>
      <c r="B8578">
        <v>8575</v>
      </c>
      <c r="C8578">
        <v>146.113851823999</v>
      </c>
      <c r="D8578">
        <v>-17.6088662292</v>
      </c>
      <c r="E8578" s="92">
        <f t="shared" si="45"/>
        <v>50</v>
      </c>
      <c r="G8578" s="92" t="s">
        <v>7111</v>
      </c>
      <c r="I8578">
        <v>7</v>
      </c>
      <c r="J8578" t="s">
        <v>26</v>
      </c>
      <c r="K8578" s="57"/>
      <c r="S8578" s="57"/>
      <c r="X8578" s="57"/>
    </row>
    <row r="8579" spans="1:24" hidden="1" x14ac:dyDescent="0.35">
      <c r="A8579">
        <v>8575</v>
      </c>
      <c r="B8579">
        <v>8576</v>
      </c>
      <c r="C8579">
        <v>146.113936956999</v>
      </c>
      <c r="D8579">
        <v>-17.608893557799899</v>
      </c>
      <c r="E8579" s="92" t="str">
        <f t="shared" si="45"/>
        <v/>
      </c>
      <c r="G8579" s="92"/>
      <c r="I8579">
        <v>7</v>
      </c>
      <c r="J8579" t="s">
        <v>26</v>
      </c>
      <c r="K8579" s="57"/>
      <c r="S8579" s="57"/>
      <c r="X8579" s="57"/>
    </row>
    <row r="8580" spans="1:24" hidden="1" x14ac:dyDescent="0.35">
      <c r="A8580">
        <v>8576</v>
      </c>
      <c r="B8580">
        <v>8577</v>
      </c>
      <c r="C8580">
        <v>146.11402170100001</v>
      </c>
      <c r="D8580">
        <v>-17.608921931600001</v>
      </c>
      <c r="E8580" s="92" t="str">
        <f t="shared" si="45"/>
        <v/>
      </c>
      <c r="G8580" s="92"/>
      <c r="I8580">
        <v>7</v>
      </c>
      <c r="J8580" t="s">
        <v>26</v>
      </c>
      <c r="K8580" s="57"/>
      <c r="S8580" s="57"/>
      <c r="X8580" s="57"/>
    </row>
    <row r="8581" spans="1:24" hidden="1" x14ac:dyDescent="0.35">
      <c r="A8581">
        <v>8577</v>
      </c>
      <c r="B8581">
        <v>8578</v>
      </c>
      <c r="C8581">
        <v>146.114105878</v>
      </c>
      <c r="D8581">
        <v>-17.608951830500001</v>
      </c>
      <c r="E8581" s="92" t="str">
        <f t="shared" si="45"/>
        <v/>
      </c>
      <c r="G8581" s="92" t="s">
        <v>7112</v>
      </c>
      <c r="I8581">
        <v>7</v>
      </c>
      <c r="J8581" t="s">
        <v>26</v>
      </c>
      <c r="K8581" s="57"/>
      <c r="S8581" s="57"/>
      <c r="X8581" s="57"/>
    </row>
    <row r="8582" spans="1:24" hidden="1" x14ac:dyDescent="0.35">
      <c r="A8582">
        <v>8578</v>
      </c>
      <c r="B8582">
        <v>8579</v>
      </c>
      <c r="C8582">
        <v>146.11419005400001</v>
      </c>
      <c r="D8582">
        <v>-17.6089817294</v>
      </c>
      <c r="E8582" s="92" t="str">
        <f t="shared" si="45"/>
        <v/>
      </c>
      <c r="G8582" s="92"/>
      <c r="I8582">
        <v>7</v>
      </c>
      <c r="J8582" t="s">
        <v>26</v>
      </c>
      <c r="K8582" s="57"/>
      <c r="S8582" s="57"/>
      <c r="X8582" s="57"/>
    </row>
    <row r="8583" spans="1:24" hidden="1" x14ac:dyDescent="0.35">
      <c r="A8583">
        <v>8579</v>
      </c>
      <c r="B8583">
        <v>8580</v>
      </c>
      <c r="C8583">
        <v>146.114274230999</v>
      </c>
      <c r="D8583">
        <v>-17.6090116282999</v>
      </c>
      <c r="E8583" s="92">
        <f t="shared" si="45"/>
        <v>50</v>
      </c>
      <c r="G8583" s="92"/>
      <c r="I8583">
        <v>7</v>
      </c>
      <c r="J8583" t="s">
        <v>26</v>
      </c>
      <c r="K8583" s="57"/>
      <c r="S8583" s="57"/>
      <c r="X8583" s="57"/>
    </row>
    <row r="8584" spans="1:24" hidden="1" x14ac:dyDescent="0.35">
      <c r="A8584">
        <v>8580</v>
      </c>
      <c r="B8584">
        <v>8581</v>
      </c>
      <c r="C8584">
        <v>146.114357697</v>
      </c>
      <c r="D8584">
        <v>-17.6090430472</v>
      </c>
      <c r="E8584" s="92" t="str">
        <f t="shared" si="45"/>
        <v/>
      </c>
      <c r="G8584" s="92" t="s">
        <v>7113</v>
      </c>
      <c r="I8584">
        <v>7</v>
      </c>
      <c r="J8584" t="s">
        <v>26</v>
      </c>
      <c r="K8584" s="57"/>
      <c r="S8584" s="57"/>
      <c r="X8584" s="57"/>
    </row>
    <row r="8585" spans="1:24" hidden="1" x14ac:dyDescent="0.35">
      <c r="A8585">
        <v>8581</v>
      </c>
      <c r="B8585">
        <v>8582</v>
      </c>
      <c r="C8585">
        <v>146.114437334999</v>
      </c>
      <c r="D8585">
        <v>-17.609082664100001</v>
      </c>
      <c r="E8585" s="92" t="str">
        <f t="shared" si="45"/>
        <v/>
      </c>
      <c r="G8585" s="92" t="s">
        <v>7114</v>
      </c>
      <c r="I8585">
        <v>7</v>
      </c>
      <c r="J8585" t="s">
        <v>26</v>
      </c>
      <c r="K8585" s="57"/>
      <c r="S8585" s="57"/>
      <c r="X8585" s="57"/>
    </row>
    <row r="8586" spans="1:24" hidden="1" x14ac:dyDescent="0.35">
      <c r="A8586">
        <v>8582</v>
      </c>
      <c r="B8586">
        <v>8583</v>
      </c>
      <c r="C8586">
        <v>146.114516971999</v>
      </c>
      <c r="D8586">
        <v>-17.6091222808999</v>
      </c>
      <c r="E8586" s="92" t="str">
        <f t="shared" si="45"/>
        <v/>
      </c>
      <c r="G8586" s="92"/>
      <c r="I8586">
        <v>7</v>
      </c>
      <c r="J8586" t="s">
        <v>26</v>
      </c>
      <c r="K8586" s="57"/>
      <c r="S8586" s="57"/>
      <c r="X8586" s="57"/>
    </row>
    <row r="8587" spans="1:24" hidden="1" x14ac:dyDescent="0.35">
      <c r="A8587">
        <v>8583</v>
      </c>
      <c r="B8587">
        <v>8584</v>
      </c>
      <c r="C8587">
        <v>146.11459536300001</v>
      </c>
      <c r="D8587">
        <v>-17.6091639807</v>
      </c>
      <c r="E8587" s="92" t="str">
        <f t="shared" si="45"/>
        <v/>
      </c>
      <c r="G8587" s="92" t="s">
        <v>7115</v>
      </c>
      <c r="I8587">
        <v>7</v>
      </c>
      <c r="J8587" t="s">
        <v>26</v>
      </c>
      <c r="K8587" s="57"/>
      <c r="S8587" s="57"/>
      <c r="X8587" s="57"/>
    </row>
    <row r="8588" spans="1:24" hidden="1" x14ac:dyDescent="0.35">
      <c r="A8588">
        <v>8584</v>
      </c>
      <c r="B8588">
        <v>8585</v>
      </c>
      <c r="C8588">
        <v>146.11467169900001</v>
      </c>
      <c r="D8588">
        <v>-17.609209118100001</v>
      </c>
      <c r="E8588" s="92">
        <f t="shared" si="45"/>
        <v>50</v>
      </c>
      <c r="G8588" s="92" t="s">
        <v>7116</v>
      </c>
      <c r="I8588">
        <v>7</v>
      </c>
      <c r="J8588" t="s">
        <v>26</v>
      </c>
      <c r="K8588" s="57"/>
      <c r="S8588" s="57"/>
      <c r="X8588" s="57"/>
    </row>
    <row r="8589" spans="1:24" hidden="1" x14ac:dyDescent="0.35">
      <c r="A8589">
        <v>8585</v>
      </c>
      <c r="B8589">
        <v>8586</v>
      </c>
      <c r="C8589">
        <v>146.114748034</v>
      </c>
      <c r="D8589">
        <v>-17.6092542554</v>
      </c>
      <c r="E8589" s="92" t="str">
        <f t="shared" si="45"/>
        <v/>
      </c>
      <c r="G8589" s="92" t="s">
        <v>7117</v>
      </c>
      <c r="I8589">
        <v>7</v>
      </c>
      <c r="J8589" t="s">
        <v>26</v>
      </c>
      <c r="K8589" s="57"/>
      <c r="S8589" s="57"/>
      <c r="X8589" s="57"/>
    </row>
    <row r="8590" spans="1:24" hidden="1" x14ac:dyDescent="0.35">
      <c r="A8590">
        <v>8586</v>
      </c>
      <c r="B8590">
        <v>8587</v>
      </c>
      <c r="C8590">
        <v>146.114824368999</v>
      </c>
      <c r="D8590">
        <v>-17.609299392800001</v>
      </c>
      <c r="E8590" s="92" t="str">
        <f t="shared" si="45"/>
        <v/>
      </c>
      <c r="G8590" s="92"/>
      <c r="I8590">
        <v>7</v>
      </c>
      <c r="J8590" t="s">
        <v>26</v>
      </c>
      <c r="K8590" s="57"/>
      <c r="S8590" s="57"/>
      <c r="X8590" s="57"/>
    </row>
    <row r="8591" spans="1:24" hidden="1" x14ac:dyDescent="0.35">
      <c r="A8591">
        <v>8587</v>
      </c>
      <c r="B8591">
        <v>8588</v>
      </c>
      <c r="C8591">
        <v>146.114900704999</v>
      </c>
      <c r="D8591">
        <v>-17.609344530200001</v>
      </c>
      <c r="E8591" s="92" t="str">
        <f t="shared" si="45"/>
        <v/>
      </c>
      <c r="G8591" s="92" t="s">
        <v>7118</v>
      </c>
      <c r="I8591">
        <v>7</v>
      </c>
      <c r="J8591" t="s">
        <v>26</v>
      </c>
      <c r="K8591" s="57"/>
      <c r="S8591" s="57"/>
      <c r="X8591" s="57"/>
    </row>
    <row r="8592" spans="1:24" hidden="1" x14ac:dyDescent="0.35">
      <c r="A8592">
        <v>8588</v>
      </c>
      <c r="B8592">
        <v>8589</v>
      </c>
      <c r="C8592">
        <v>146.11496888900001</v>
      </c>
      <c r="D8592">
        <v>-17.609400264600001</v>
      </c>
      <c r="E8592" s="92" t="str">
        <f t="shared" ref="E8592:E8655" si="46">IF(MOD(B8592,5)=0, 50, "")</f>
        <v/>
      </c>
      <c r="G8592" s="92" t="s">
        <v>7119</v>
      </c>
      <c r="I8592">
        <v>7</v>
      </c>
      <c r="J8592" t="s">
        <v>26</v>
      </c>
      <c r="K8592" s="57"/>
      <c r="S8592" s="57"/>
      <c r="X8592" s="57"/>
    </row>
    <row r="8593" spans="1:24" hidden="1" x14ac:dyDescent="0.35">
      <c r="A8593">
        <v>8589</v>
      </c>
      <c r="B8593">
        <v>8590</v>
      </c>
      <c r="C8593">
        <v>146.115037016999</v>
      </c>
      <c r="D8593">
        <v>-17.609456072699899</v>
      </c>
      <c r="E8593" s="92">
        <f t="shared" si="46"/>
        <v>50</v>
      </c>
      <c r="G8593" s="92" t="s">
        <v>7120</v>
      </c>
      <c r="I8593">
        <v>7</v>
      </c>
      <c r="J8593" t="s">
        <v>26</v>
      </c>
      <c r="K8593" s="57"/>
      <c r="S8593" s="57"/>
      <c r="X8593" s="57"/>
    </row>
    <row r="8594" spans="1:24" hidden="1" x14ac:dyDescent="0.35">
      <c r="A8594">
        <v>8590</v>
      </c>
      <c r="B8594">
        <v>8591</v>
      </c>
      <c r="C8594">
        <v>146.115105145</v>
      </c>
      <c r="D8594">
        <v>-17.6095118808</v>
      </c>
      <c r="E8594" s="92" t="str">
        <f t="shared" si="46"/>
        <v/>
      </c>
      <c r="G8594" s="92" t="s">
        <v>7121</v>
      </c>
      <c r="I8594">
        <v>7</v>
      </c>
      <c r="J8594" t="s">
        <v>26</v>
      </c>
      <c r="K8594" s="57"/>
      <c r="S8594" s="57"/>
      <c r="X8594" s="57"/>
    </row>
    <row r="8595" spans="1:24" hidden="1" x14ac:dyDescent="0.35">
      <c r="A8595">
        <v>8591</v>
      </c>
      <c r="B8595">
        <v>8592</v>
      </c>
      <c r="C8595">
        <v>146.11518117899899</v>
      </c>
      <c r="D8595">
        <v>-17.6095568329999</v>
      </c>
      <c r="E8595" s="92" t="str">
        <f t="shared" si="46"/>
        <v/>
      </c>
      <c r="G8595" s="92" t="s">
        <v>7122</v>
      </c>
      <c r="I8595">
        <v>7</v>
      </c>
      <c r="J8595" t="s">
        <v>26</v>
      </c>
      <c r="K8595" s="57"/>
      <c r="S8595" s="57"/>
      <c r="X8595" s="57"/>
    </row>
    <row r="8596" spans="1:24" hidden="1" x14ac:dyDescent="0.35">
      <c r="A8596">
        <v>8592</v>
      </c>
      <c r="B8596">
        <v>8593</v>
      </c>
      <c r="C8596">
        <v>146.11525985500001</v>
      </c>
      <c r="D8596">
        <v>-17.609598157800001</v>
      </c>
      <c r="E8596" s="92" t="str">
        <f t="shared" si="46"/>
        <v/>
      </c>
      <c r="G8596" s="92"/>
      <c r="I8596">
        <v>7</v>
      </c>
      <c r="J8596" t="s">
        <v>26</v>
      </c>
      <c r="K8596" s="57"/>
      <c r="S8596" s="57"/>
      <c r="X8596" s="57"/>
    </row>
    <row r="8597" spans="1:24" hidden="1" x14ac:dyDescent="0.35">
      <c r="A8597">
        <v>8593</v>
      </c>
      <c r="B8597">
        <v>8594</v>
      </c>
      <c r="C8597">
        <v>146.115338530999</v>
      </c>
      <c r="D8597">
        <v>-17.6096394827</v>
      </c>
      <c r="E8597" s="92" t="str">
        <f t="shared" si="46"/>
        <v/>
      </c>
      <c r="G8597" s="92"/>
      <c r="I8597">
        <v>7</v>
      </c>
      <c r="J8597" t="s">
        <v>26</v>
      </c>
      <c r="K8597" s="57"/>
      <c r="S8597" s="57"/>
      <c r="X8597" s="57"/>
    </row>
    <row r="8598" spans="1:24" hidden="1" x14ac:dyDescent="0.35">
      <c r="A8598">
        <v>8594</v>
      </c>
      <c r="B8598">
        <v>8595</v>
      </c>
      <c r="C8598">
        <v>146.115419478999</v>
      </c>
      <c r="D8598">
        <v>-17.609675493000001</v>
      </c>
      <c r="E8598" s="92">
        <f t="shared" si="46"/>
        <v>50</v>
      </c>
      <c r="G8598" s="92" t="s">
        <v>7123</v>
      </c>
      <c r="I8598">
        <v>7</v>
      </c>
      <c r="J8598" t="s">
        <v>26</v>
      </c>
      <c r="K8598" s="57"/>
      <c r="S8598" s="57"/>
      <c r="X8598" s="57"/>
    </row>
    <row r="8599" spans="1:24" hidden="1" x14ac:dyDescent="0.35">
      <c r="A8599">
        <v>8595</v>
      </c>
      <c r="B8599">
        <v>8596</v>
      </c>
      <c r="C8599">
        <v>146.11550605100001</v>
      </c>
      <c r="D8599">
        <v>-17.609698347799899</v>
      </c>
      <c r="E8599" s="92" t="str">
        <f t="shared" si="46"/>
        <v/>
      </c>
      <c r="G8599" s="92" t="s">
        <v>7124</v>
      </c>
      <c r="I8599">
        <v>7</v>
      </c>
      <c r="J8599" t="s">
        <v>26</v>
      </c>
      <c r="K8599" s="57"/>
      <c r="S8599" s="57"/>
      <c r="X8599" s="57"/>
    </row>
    <row r="8600" spans="1:24" hidden="1" x14ac:dyDescent="0.35">
      <c r="A8600">
        <v>8596</v>
      </c>
      <c r="B8600">
        <v>8597</v>
      </c>
      <c r="C8600">
        <v>146.115592622999</v>
      </c>
      <c r="D8600">
        <v>-17.6097212025999</v>
      </c>
      <c r="E8600" s="92" t="str">
        <f t="shared" si="46"/>
        <v/>
      </c>
      <c r="G8600" s="92" t="s">
        <v>7125</v>
      </c>
      <c r="I8600">
        <v>7</v>
      </c>
      <c r="J8600" t="s">
        <v>26</v>
      </c>
      <c r="K8600" s="57"/>
      <c r="S8600" s="57"/>
      <c r="X8600" s="57"/>
    </row>
    <row r="8601" spans="1:24" s="75" customFormat="1" x14ac:dyDescent="0.35">
      <c r="A8601" s="75">
        <v>8597</v>
      </c>
      <c r="B8601" s="75">
        <v>8598</v>
      </c>
      <c r="C8601">
        <v>146.11568166800001</v>
      </c>
      <c r="D8601">
        <v>-17.6097176241</v>
      </c>
      <c r="E8601" s="92" t="str">
        <f t="shared" si="46"/>
        <v/>
      </c>
      <c r="F8601" s="93" t="str">
        <f t="shared" ref="F8601:F8664" si="47">HYPERLINK("D:\Data From Lucan\2024\Moresby\Frames_for_Analysis\" &amp; G8601,G8601)</f>
        <v>8598_20240611_0001_R_0967.jpg</v>
      </c>
      <c r="G8601" s="75" t="s">
        <v>7126</v>
      </c>
      <c r="I8601" s="75">
        <v>1</v>
      </c>
      <c r="K8601" s="97">
        <v>1</v>
      </c>
      <c r="L8601"/>
      <c r="M8601"/>
      <c r="N8601"/>
      <c r="O8601"/>
      <c r="P8601" s="57"/>
      <c r="Q8601" s="57"/>
      <c r="R8601" s="57"/>
      <c r="S8601" s="97">
        <v>0</v>
      </c>
      <c r="T8601" s="57"/>
      <c r="U8601" s="57"/>
      <c r="V8601" s="57"/>
      <c r="W8601" s="57"/>
      <c r="X8601" s="97">
        <v>0</v>
      </c>
    </row>
    <row r="8602" spans="1:24" s="75" customFormat="1" x14ac:dyDescent="0.35">
      <c r="A8602" s="75">
        <v>8598</v>
      </c>
      <c r="B8602" s="75">
        <v>8599</v>
      </c>
      <c r="C8602">
        <v>146.115771115999</v>
      </c>
      <c r="D8602">
        <v>-17.609709726799899</v>
      </c>
      <c r="E8602" s="92" t="str">
        <f t="shared" si="46"/>
        <v/>
      </c>
      <c r="F8602" s="93" t="str">
        <f t="shared" si="47"/>
        <v>8599_20240611_0001_R_0963.jpg</v>
      </c>
      <c r="G8602" s="75" t="s">
        <v>7127</v>
      </c>
      <c r="I8602" s="75">
        <v>1</v>
      </c>
      <c r="K8602" s="97">
        <v>1</v>
      </c>
      <c r="L8602"/>
      <c r="M8602"/>
      <c r="N8602"/>
      <c r="O8602"/>
      <c r="P8602" s="57"/>
      <c r="Q8602" s="57"/>
      <c r="R8602" s="57"/>
      <c r="S8602" s="97">
        <v>0</v>
      </c>
      <c r="T8602" s="57"/>
      <c r="U8602" s="57"/>
      <c r="V8602" s="57"/>
      <c r="W8602" s="57"/>
      <c r="X8602" s="97">
        <v>0</v>
      </c>
    </row>
    <row r="8603" spans="1:24" s="75" customFormat="1" x14ac:dyDescent="0.35">
      <c r="A8603" s="75">
        <v>8599</v>
      </c>
      <c r="B8603" s="75">
        <v>8600</v>
      </c>
      <c r="C8603">
        <v>146.115850042999</v>
      </c>
      <c r="D8603">
        <v>-17.609670552200001</v>
      </c>
      <c r="E8603" s="92">
        <f t="shared" si="46"/>
        <v>50</v>
      </c>
      <c r="F8603" s="93" t="str">
        <f t="shared" si="47"/>
        <v>8600_20240611_0002_R_0021.jpg</v>
      </c>
      <c r="G8603" s="75" t="s">
        <v>7128</v>
      </c>
      <c r="I8603" s="75">
        <v>1</v>
      </c>
      <c r="K8603" s="97">
        <v>1</v>
      </c>
      <c r="L8603"/>
      <c r="M8603"/>
      <c r="N8603"/>
      <c r="O8603"/>
      <c r="P8603" s="57"/>
      <c r="Q8603" s="57"/>
      <c r="R8603" s="57"/>
      <c r="S8603" s="97">
        <v>0</v>
      </c>
      <c r="T8603" s="57"/>
      <c r="U8603" s="57"/>
      <c r="V8603" s="57"/>
      <c r="W8603" s="57"/>
      <c r="X8603" s="97">
        <v>0</v>
      </c>
    </row>
    <row r="8604" spans="1:24" s="75" customFormat="1" x14ac:dyDescent="0.35">
      <c r="A8604" s="75">
        <v>8600</v>
      </c>
      <c r="B8604" s="75">
        <v>8601</v>
      </c>
      <c r="C8604">
        <v>146.115927631999</v>
      </c>
      <c r="D8604">
        <v>-17.6096274008999</v>
      </c>
      <c r="E8604" s="92" t="str">
        <f t="shared" si="46"/>
        <v/>
      </c>
      <c r="F8604" s="93" t="str">
        <f t="shared" si="47"/>
        <v>8601_20240611_0001_R_0950.jpg</v>
      </c>
      <c r="G8604" s="75" t="s">
        <v>7129</v>
      </c>
      <c r="I8604" s="75">
        <v>1</v>
      </c>
      <c r="K8604" s="97">
        <v>1</v>
      </c>
      <c r="L8604"/>
      <c r="M8604"/>
      <c r="N8604"/>
      <c r="O8604"/>
      <c r="P8604" s="57"/>
      <c r="Q8604" s="57"/>
      <c r="R8604" s="57"/>
      <c r="S8604" s="97">
        <v>0</v>
      </c>
      <c r="T8604" s="57"/>
      <c r="U8604" s="57"/>
      <c r="V8604" s="57"/>
      <c r="W8604" s="57"/>
      <c r="X8604" s="97">
        <v>0</v>
      </c>
    </row>
    <row r="8605" spans="1:24" s="75" customFormat="1" x14ac:dyDescent="0.35">
      <c r="A8605" s="75">
        <v>8601</v>
      </c>
      <c r="B8605" s="75">
        <v>8602</v>
      </c>
      <c r="C8605">
        <v>146.115990861</v>
      </c>
      <c r="D8605">
        <v>-17.6095678119</v>
      </c>
      <c r="E8605" s="92" t="str">
        <f t="shared" si="46"/>
        <v/>
      </c>
      <c r="F8605" s="93" t="str">
        <f t="shared" si="47"/>
        <v>8602_20240611_0001_R_0944.jpg</v>
      </c>
      <c r="G8605" s="75" t="s">
        <v>7130</v>
      </c>
      <c r="I8605" s="75">
        <v>1</v>
      </c>
      <c r="K8605" s="97">
        <v>1</v>
      </c>
      <c r="L8605"/>
      <c r="M8605"/>
      <c r="N8605"/>
      <c r="O8605"/>
      <c r="P8605" s="57"/>
      <c r="Q8605" s="57"/>
      <c r="R8605" s="57"/>
      <c r="S8605" s="97">
        <v>0</v>
      </c>
      <c r="T8605" s="57"/>
      <c r="U8605" s="57"/>
      <c r="V8605" s="57"/>
      <c r="W8605" s="57"/>
      <c r="X8605" s="97">
        <v>0</v>
      </c>
    </row>
    <row r="8606" spans="1:24" s="75" customFormat="1" x14ac:dyDescent="0.35">
      <c r="A8606" s="75">
        <v>8602</v>
      </c>
      <c r="B8606" s="75">
        <v>8603</v>
      </c>
      <c r="C8606">
        <v>146.116049433999</v>
      </c>
      <c r="D8606">
        <v>-17.6095028943</v>
      </c>
      <c r="E8606" s="92" t="str">
        <f t="shared" si="46"/>
        <v/>
      </c>
      <c r="F8606" s="93" t="str">
        <f t="shared" si="47"/>
        <v>8603_20240611_0001_R_0938.jpg</v>
      </c>
      <c r="G8606" s="75" t="s">
        <v>7131</v>
      </c>
      <c r="I8606" s="75">
        <v>1</v>
      </c>
      <c r="K8606" s="97">
        <v>1</v>
      </c>
      <c r="L8606"/>
      <c r="M8606"/>
      <c r="N8606"/>
      <c r="O8606"/>
      <c r="P8606" s="57"/>
      <c r="Q8606" s="57"/>
      <c r="R8606" s="57"/>
      <c r="S8606" s="97">
        <v>0</v>
      </c>
      <c r="T8606" s="57"/>
      <c r="U8606" s="57"/>
      <c r="V8606" s="57"/>
      <c r="W8606" s="57"/>
      <c r="X8606" s="97">
        <v>0</v>
      </c>
    </row>
    <row r="8607" spans="1:24" s="75" customFormat="1" x14ac:dyDescent="0.35">
      <c r="A8607" s="75">
        <v>8603</v>
      </c>
      <c r="B8607" s="75">
        <v>8604</v>
      </c>
      <c r="C8607">
        <v>146.11610118900001</v>
      </c>
      <c r="D8607">
        <v>-17.6094335451</v>
      </c>
      <c r="E8607" s="92" t="str">
        <f t="shared" si="46"/>
        <v/>
      </c>
      <c r="F8607" s="93" t="str">
        <f t="shared" si="47"/>
        <v>8604_20240611_0001_R_0933.jpg</v>
      </c>
      <c r="G8607" s="75" t="s">
        <v>7132</v>
      </c>
      <c r="I8607" s="75">
        <v>1</v>
      </c>
      <c r="K8607" s="97">
        <v>1</v>
      </c>
      <c r="L8607"/>
      <c r="M8607"/>
      <c r="N8607"/>
      <c r="O8607"/>
      <c r="P8607" s="57"/>
      <c r="Q8607" s="57"/>
      <c r="R8607" s="57"/>
      <c r="S8607" s="97">
        <v>0</v>
      </c>
      <c r="T8607" s="57"/>
      <c r="U8607" s="57"/>
      <c r="V8607" s="57"/>
      <c r="W8607" s="57"/>
      <c r="X8607" s="97">
        <v>0</v>
      </c>
    </row>
    <row r="8608" spans="1:24" s="75" customFormat="1" x14ac:dyDescent="0.35">
      <c r="A8608" s="75">
        <v>8604</v>
      </c>
      <c r="B8608" s="75">
        <v>8605</v>
      </c>
      <c r="C8608">
        <v>146.116143198</v>
      </c>
      <c r="D8608">
        <v>-17.6093578622</v>
      </c>
      <c r="E8608" s="92">
        <f t="shared" si="46"/>
        <v>50</v>
      </c>
      <c r="F8608" s="93" t="str">
        <f t="shared" si="47"/>
        <v>8605_20240611_0002_R_0028.jpg</v>
      </c>
      <c r="G8608" s="75" t="s">
        <v>7133</v>
      </c>
      <c r="I8608" s="75">
        <v>1</v>
      </c>
      <c r="K8608" s="97">
        <v>1</v>
      </c>
      <c r="L8608"/>
      <c r="M8608"/>
      <c r="N8608"/>
      <c r="O8608"/>
      <c r="P8608" s="57"/>
      <c r="Q8608" s="57"/>
      <c r="R8608" s="57"/>
      <c r="S8608" s="97">
        <v>0</v>
      </c>
      <c r="T8608" s="57"/>
      <c r="U8608" s="57"/>
      <c r="V8608" s="57"/>
      <c r="W8608" s="57"/>
      <c r="X8608" s="97">
        <v>0</v>
      </c>
    </row>
    <row r="8609" spans="1:24" s="75" customFormat="1" x14ac:dyDescent="0.35">
      <c r="A8609" s="75">
        <v>8605</v>
      </c>
      <c r="B8609" s="75">
        <v>8606</v>
      </c>
      <c r="C8609">
        <v>146.116185207</v>
      </c>
      <c r="D8609">
        <v>-17.609282179200001</v>
      </c>
      <c r="E8609" s="92" t="str">
        <f t="shared" si="46"/>
        <v/>
      </c>
      <c r="F8609" s="93" t="str">
        <f t="shared" si="47"/>
        <v>8606_20240611_0001_R_0922.jpg</v>
      </c>
      <c r="G8609" s="75" t="s">
        <v>7134</v>
      </c>
      <c r="I8609" s="75">
        <v>1</v>
      </c>
      <c r="K8609" s="97">
        <v>1</v>
      </c>
      <c r="L8609"/>
      <c r="M8609"/>
      <c r="N8609"/>
      <c r="O8609"/>
      <c r="P8609" s="57"/>
      <c r="Q8609" s="57"/>
      <c r="R8609" s="57"/>
      <c r="S8609" s="97">
        <v>0</v>
      </c>
      <c r="T8609" s="57"/>
      <c r="U8609" s="57"/>
      <c r="V8609" s="57"/>
      <c r="W8609" s="57"/>
      <c r="X8609" s="97">
        <v>0</v>
      </c>
    </row>
    <row r="8610" spans="1:24" s="75" customFormat="1" x14ac:dyDescent="0.35">
      <c r="A8610" s="75">
        <v>8606</v>
      </c>
      <c r="B8610" s="75">
        <v>8607</v>
      </c>
      <c r="C8610">
        <v>146.116227215999</v>
      </c>
      <c r="D8610">
        <v>-17.609206496199899</v>
      </c>
      <c r="E8610" s="92" t="str">
        <f t="shared" si="46"/>
        <v/>
      </c>
      <c r="F8610" s="93" t="str">
        <f t="shared" si="47"/>
        <v>8607_20240611_0001_R_0917.jpg</v>
      </c>
      <c r="G8610" s="75" t="s">
        <v>7135</v>
      </c>
      <c r="I8610" s="75">
        <v>1</v>
      </c>
      <c r="K8610" s="97">
        <v>1</v>
      </c>
      <c r="L8610"/>
      <c r="M8610"/>
      <c r="N8610"/>
      <c r="O8610"/>
      <c r="P8610" s="57"/>
      <c r="Q8610" s="57"/>
      <c r="R8610" s="57"/>
      <c r="S8610" s="97">
        <v>0</v>
      </c>
      <c r="T8610" s="57"/>
      <c r="U8610" s="57"/>
      <c r="V8610" s="57"/>
      <c r="W8610" s="57"/>
      <c r="X8610" s="97">
        <v>0</v>
      </c>
    </row>
    <row r="8611" spans="1:24" s="75" customFormat="1" x14ac:dyDescent="0.35">
      <c r="A8611" s="75">
        <v>8607</v>
      </c>
      <c r="B8611" s="75">
        <v>8608</v>
      </c>
      <c r="C8611">
        <v>146.116260912</v>
      </c>
      <c r="D8611">
        <v>-17.6091281006</v>
      </c>
      <c r="E8611" s="92" t="str">
        <f t="shared" si="46"/>
        <v/>
      </c>
      <c r="F8611" s="93" t="str">
        <f t="shared" si="47"/>
        <v>8608_20240611_0001_R_0913.jpg</v>
      </c>
      <c r="G8611" s="75" t="s">
        <v>7136</v>
      </c>
      <c r="I8611" s="75">
        <v>1</v>
      </c>
      <c r="K8611" s="97">
        <v>1</v>
      </c>
      <c r="L8611"/>
      <c r="M8611"/>
      <c r="N8611"/>
      <c r="O8611"/>
      <c r="P8611" s="57"/>
      <c r="Q8611" s="57"/>
      <c r="R8611" s="57"/>
      <c r="S8611" s="97">
        <v>0</v>
      </c>
      <c r="T8611" s="57"/>
      <c r="U8611" s="57"/>
      <c r="V8611" s="57"/>
      <c r="W8611" s="57"/>
      <c r="X8611" s="97">
        <v>0</v>
      </c>
    </row>
    <row r="8612" spans="1:24" s="75" customFormat="1" x14ac:dyDescent="0.35">
      <c r="A8612" s="75">
        <v>8608</v>
      </c>
      <c r="B8612" s="75">
        <v>8609</v>
      </c>
      <c r="C8612">
        <v>146.116276378999</v>
      </c>
      <c r="D8612">
        <v>-17.609043756999899</v>
      </c>
      <c r="E8612" s="92" t="str">
        <f t="shared" si="46"/>
        <v/>
      </c>
      <c r="F8612" s="93" t="str">
        <f t="shared" si="47"/>
        <v>8609_20240611_0001_R_0909.jpg</v>
      </c>
      <c r="G8612" s="75" t="s">
        <v>7137</v>
      </c>
      <c r="I8612" s="75">
        <v>1</v>
      </c>
      <c r="K8612" s="97">
        <v>1</v>
      </c>
      <c r="L8612"/>
      <c r="M8612"/>
      <c r="N8612"/>
      <c r="O8612"/>
      <c r="P8612" s="57"/>
      <c r="Q8612" s="57"/>
      <c r="R8612" s="57"/>
      <c r="S8612" s="97">
        <v>0</v>
      </c>
      <c r="T8612" s="57"/>
      <c r="U8612" s="57"/>
      <c r="V8612" s="57"/>
      <c r="W8612" s="57"/>
      <c r="X8612" s="97">
        <v>0</v>
      </c>
    </row>
    <row r="8613" spans="1:24" s="75" customFormat="1" x14ac:dyDescent="0.35">
      <c r="A8613" s="75">
        <v>8609</v>
      </c>
      <c r="B8613" s="75">
        <v>8610</v>
      </c>
      <c r="C8613">
        <v>146.116291845999</v>
      </c>
      <c r="D8613">
        <v>-17.608959413400001</v>
      </c>
      <c r="E8613" s="92">
        <f t="shared" si="46"/>
        <v>50</v>
      </c>
      <c r="F8613" s="93" t="str">
        <f t="shared" si="47"/>
        <v>8610_20240611_0001_R_0905.jpg</v>
      </c>
      <c r="G8613" s="75" t="s">
        <v>7138</v>
      </c>
      <c r="I8613" s="75">
        <v>1</v>
      </c>
      <c r="K8613" s="97">
        <v>1</v>
      </c>
      <c r="L8613"/>
      <c r="M8613"/>
      <c r="N8613"/>
      <c r="O8613"/>
      <c r="P8613" s="57"/>
      <c r="Q8613" s="57"/>
      <c r="R8613" s="57"/>
      <c r="S8613" s="97">
        <v>0</v>
      </c>
      <c r="T8613" s="57"/>
      <c r="U8613" s="57"/>
      <c r="V8613" s="57"/>
      <c r="W8613" s="57"/>
      <c r="X8613" s="97">
        <v>0</v>
      </c>
    </row>
    <row r="8614" spans="1:24" s="75" customFormat="1" x14ac:dyDescent="0.35">
      <c r="A8614" s="75">
        <v>8610</v>
      </c>
      <c r="B8614" s="75">
        <v>8611</v>
      </c>
      <c r="C8614">
        <v>146.116307312</v>
      </c>
      <c r="D8614">
        <v>-17.608875069700002</v>
      </c>
      <c r="E8614" s="92" t="str">
        <f t="shared" si="46"/>
        <v/>
      </c>
      <c r="F8614" s="93" t="str">
        <f t="shared" si="47"/>
        <v>8611_20240611_0001_R_0900.jpg</v>
      </c>
      <c r="G8614" s="75" t="s">
        <v>7139</v>
      </c>
      <c r="I8614" s="75">
        <v>1</v>
      </c>
      <c r="K8614" s="97">
        <v>1</v>
      </c>
      <c r="L8614"/>
      <c r="M8614"/>
      <c r="N8614"/>
      <c r="O8614"/>
      <c r="P8614" s="57"/>
      <c r="Q8614" s="57"/>
      <c r="R8614" s="57"/>
      <c r="S8614" s="97">
        <v>0</v>
      </c>
      <c r="T8614" s="57"/>
      <c r="U8614" s="57"/>
      <c r="V8614" s="57"/>
      <c r="W8614" s="57"/>
      <c r="X8614" s="97">
        <v>0</v>
      </c>
    </row>
    <row r="8615" spans="1:24" s="75" customFormat="1" x14ac:dyDescent="0.35">
      <c r="A8615" s="75">
        <v>8611</v>
      </c>
      <c r="B8615" s="75">
        <v>8612</v>
      </c>
      <c r="C8615">
        <v>146.116322779</v>
      </c>
      <c r="D8615">
        <v>-17.608790725999899</v>
      </c>
      <c r="E8615" s="92" t="str">
        <f t="shared" si="46"/>
        <v/>
      </c>
      <c r="F8615" s="93" t="str">
        <f t="shared" si="47"/>
        <v>8612_20240611_0001_R_0896.jpg</v>
      </c>
      <c r="G8615" s="75" t="s">
        <v>7140</v>
      </c>
      <c r="I8615" s="75">
        <v>1</v>
      </c>
      <c r="K8615" s="97">
        <v>1</v>
      </c>
      <c r="L8615"/>
      <c r="M8615"/>
      <c r="N8615"/>
      <c r="O8615"/>
      <c r="P8615" s="57"/>
      <c r="Q8615" s="57"/>
      <c r="R8615" s="57"/>
      <c r="S8615" s="97">
        <v>0</v>
      </c>
      <c r="T8615" s="57"/>
      <c r="U8615" s="57"/>
      <c r="V8615" s="57"/>
      <c r="W8615" s="57"/>
      <c r="X8615" s="97">
        <v>0</v>
      </c>
    </row>
    <row r="8616" spans="1:24" s="75" customFormat="1" x14ac:dyDescent="0.35">
      <c r="A8616" s="75">
        <v>8612</v>
      </c>
      <c r="B8616" s="75">
        <v>8613</v>
      </c>
      <c r="C8616">
        <v>146.11633576899899</v>
      </c>
      <c r="D8616">
        <v>-17.608706053500001</v>
      </c>
      <c r="E8616" s="92" t="str">
        <f t="shared" si="46"/>
        <v/>
      </c>
      <c r="F8616" s="93" t="str">
        <f t="shared" si="47"/>
        <v>8613_20240611_0001_R_0892.jpg</v>
      </c>
      <c r="G8616" s="75" t="s">
        <v>7141</v>
      </c>
      <c r="I8616" s="75">
        <v>1</v>
      </c>
      <c r="K8616" s="97">
        <v>1</v>
      </c>
      <c r="L8616"/>
      <c r="M8616"/>
      <c r="N8616"/>
      <c r="O8616"/>
      <c r="P8616" s="57"/>
      <c r="Q8616" s="57"/>
      <c r="R8616" s="57"/>
      <c r="S8616" s="97">
        <v>0</v>
      </c>
      <c r="T8616" s="57"/>
      <c r="U8616" s="57"/>
      <c r="V8616" s="57"/>
      <c r="W8616" s="57"/>
      <c r="X8616" s="97">
        <v>0</v>
      </c>
    </row>
    <row r="8617" spans="1:24" s="75" customFormat="1" x14ac:dyDescent="0.35">
      <c r="A8617" s="75">
        <v>8613</v>
      </c>
      <c r="B8617" s="75">
        <v>8614</v>
      </c>
      <c r="C8617">
        <v>146.116345069</v>
      </c>
      <c r="D8617">
        <v>-17.6086208910999</v>
      </c>
      <c r="E8617" s="92" t="str">
        <f t="shared" si="46"/>
        <v/>
      </c>
      <c r="F8617" s="93" t="str">
        <f t="shared" si="47"/>
        <v>8614_20240611_0001_R_0886.jpg</v>
      </c>
      <c r="G8617" s="75" t="s">
        <v>7142</v>
      </c>
      <c r="I8617" s="75">
        <v>1</v>
      </c>
      <c r="K8617" s="97">
        <v>1</v>
      </c>
      <c r="L8617"/>
      <c r="M8617"/>
      <c r="N8617"/>
      <c r="O8617"/>
      <c r="P8617" s="57"/>
      <c r="Q8617" s="57"/>
      <c r="R8617" s="57"/>
      <c r="S8617" s="97">
        <v>0</v>
      </c>
      <c r="T8617" s="57"/>
      <c r="U8617" s="57"/>
      <c r="V8617" s="57"/>
      <c r="W8617" s="57"/>
      <c r="X8617" s="97">
        <v>0</v>
      </c>
    </row>
    <row r="8618" spans="1:24" s="75" customFormat="1" x14ac:dyDescent="0.35">
      <c r="A8618" s="75">
        <v>8614</v>
      </c>
      <c r="B8618" s="75">
        <v>8615</v>
      </c>
      <c r="C8618">
        <v>146.116354368999</v>
      </c>
      <c r="D8618">
        <v>-17.6085357286</v>
      </c>
      <c r="E8618" s="92">
        <f t="shared" si="46"/>
        <v>50</v>
      </c>
      <c r="F8618" s="93" t="str">
        <f t="shared" si="47"/>
        <v>8615_20240611_0001_R_0880.jpg</v>
      </c>
      <c r="G8618" s="75" t="s">
        <v>7143</v>
      </c>
      <c r="I8618" s="75">
        <v>1</v>
      </c>
      <c r="K8618" s="97">
        <v>1</v>
      </c>
      <c r="L8618"/>
      <c r="M8618"/>
      <c r="N8618"/>
      <c r="O8618"/>
      <c r="P8618" s="57"/>
      <c r="Q8618" s="57"/>
      <c r="R8618" s="57"/>
      <c r="S8618" s="97">
        <v>0</v>
      </c>
      <c r="T8618" s="57"/>
      <c r="U8618" s="57"/>
      <c r="V8618" s="57"/>
      <c r="W8618" s="57"/>
      <c r="X8618" s="97">
        <v>0</v>
      </c>
    </row>
    <row r="8619" spans="1:24" s="75" customFormat="1" x14ac:dyDescent="0.35">
      <c r="A8619" s="75">
        <v>8615</v>
      </c>
      <c r="B8619" s="75">
        <v>8616</v>
      </c>
      <c r="C8619">
        <v>146.116360673</v>
      </c>
      <c r="D8619">
        <v>-17.608450508000001</v>
      </c>
      <c r="E8619" s="92" t="str">
        <f t="shared" si="46"/>
        <v/>
      </c>
      <c r="F8619" s="93" t="str">
        <f t="shared" si="47"/>
        <v>8616_20240611_0001_R_0876.jpg</v>
      </c>
      <c r="G8619" s="75" t="s">
        <v>7144</v>
      </c>
      <c r="I8619" s="75">
        <v>1</v>
      </c>
      <c r="K8619" s="97">
        <v>1</v>
      </c>
      <c r="L8619"/>
      <c r="M8619"/>
      <c r="N8619"/>
      <c r="O8619"/>
      <c r="P8619" s="57"/>
      <c r="Q8619" s="57"/>
      <c r="R8619" s="57"/>
      <c r="S8619" s="97">
        <v>0</v>
      </c>
      <c r="T8619" s="57"/>
      <c r="U8619" s="57"/>
      <c r="V8619" s="57"/>
      <c r="W8619" s="57"/>
      <c r="X8619" s="97">
        <v>0</v>
      </c>
    </row>
    <row r="8620" spans="1:24" s="75" customFormat="1" x14ac:dyDescent="0.35">
      <c r="A8620" s="75">
        <v>8616</v>
      </c>
      <c r="B8620" s="75">
        <v>8617</v>
      </c>
      <c r="C8620">
        <v>146.11635501500001</v>
      </c>
      <c r="D8620">
        <v>-17.6083650554</v>
      </c>
      <c r="E8620" s="92" t="str">
        <f t="shared" si="46"/>
        <v/>
      </c>
      <c r="F8620" s="93" t="str">
        <f t="shared" si="47"/>
        <v>8617_20240611_0001_R_0871.jpg</v>
      </c>
      <c r="G8620" s="75" t="s">
        <v>7145</v>
      </c>
      <c r="I8620" s="75">
        <v>1</v>
      </c>
      <c r="K8620" s="97">
        <v>1</v>
      </c>
      <c r="L8620"/>
      <c r="M8620"/>
      <c r="N8620"/>
      <c r="O8620"/>
      <c r="P8620" s="57"/>
      <c r="Q8620" s="57"/>
      <c r="R8620" s="57"/>
      <c r="S8620" s="97">
        <v>0</v>
      </c>
      <c r="T8620" s="57"/>
      <c r="U8620" s="57"/>
      <c r="V8620" s="57"/>
      <c r="W8620" s="57"/>
      <c r="X8620" s="97">
        <v>0</v>
      </c>
    </row>
    <row r="8621" spans="1:24" s="75" customFormat="1" x14ac:dyDescent="0.35">
      <c r="A8621" s="75">
        <v>8617</v>
      </c>
      <c r="B8621" s="75">
        <v>8618</v>
      </c>
      <c r="C8621">
        <v>146.116349356999</v>
      </c>
      <c r="D8621">
        <v>-17.6082796028</v>
      </c>
      <c r="E8621" s="92" t="str">
        <f t="shared" si="46"/>
        <v/>
      </c>
      <c r="F8621" s="93" t="str">
        <f t="shared" si="47"/>
        <v>8618_20240611_0001_R_0867.jpg</v>
      </c>
      <c r="G8621" s="75" t="s">
        <v>7146</v>
      </c>
      <c r="I8621" s="75">
        <v>1</v>
      </c>
      <c r="K8621" s="97">
        <v>1</v>
      </c>
      <c r="L8621"/>
      <c r="M8621"/>
      <c r="N8621"/>
      <c r="O8621"/>
      <c r="P8621" s="57"/>
      <c r="Q8621" s="57"/>
      <c r="R8621" s="57"/>
      <c r="S8621" s="97">
        <v>0</v>
      </c>
      <c r="T8621" s="57"/>
      <c r="U8621" s="57"/>
      <c r="V8621" s="57"/>
      <c r="W8621" s="57"/>
      <c r="X8621" s="97">
        <v>0</v>
      </c>
    </row>
    <row r="8622" spans="1:24" s="75" customFormat="1" x14ac:dyDescent="0.35">
      <c r="A8622" s="75">
        <v>8618</v>
      </c>
      <c r="B8622" s="75">
        <v>8619</v>
      </c>
      <c r="C8622">
        <v>146.11635124099899</v>
      </c>
      <c r="D8622">
        <v>-17.608194472400001</v>
      </c>
      <c r="E8622" s="92" t="str">
        <f t="shared" si="46"/>
        <v/>
      </c>
      <c r="F8622" s="93" t="str">
        <f t="shared" si="47"/>
        <v>8619_20240611_0001_R_0863.jpg</v>
      </c>
      <c r="G8622" s="75" t="s">
        <v>7147</v>
      </c>
      <c r="I8622" s="75">
        <v>1</v>
      </c>
      <c r="K8622" s="97">
        <v>1</v>
      </c>
      <c r="L8622"/>
      <c r="M8622"/>
      <c r="N8622"/>
      <c r="O8622"/>
      <c r="P8622" s="57"/>
      <c r="Q8622" s="57"/>
      <c r="R8622" s="57"/>
      <c r="S8622" s="97">
        <v>0</v>
      </c>
      <c r="T8622" s="57"/>
      <c r="U8622" s="57"/>
      <c r="V8622" s="57"/>
      <c r="W8622" s="57"/>
      <c r="X8622" s="97">
        <v>0</v>
      </c>
    </row>
    <row r="8623" spans="1:24" s="75" customFormat="1" x14ac:dyDescent="0.35">
      <c r="A8623" s="75">
        <v>8619</v>
      </c>
      <c r="B8623" s="75">
        <v>8620</v>
      </c>
      <c r="C8623">
        <v>146.116364898</v>
      </c>
      <c r="D8623">
        <v>-17.608109845000001</v>
      </c>
      <c r="E8623" s="92">
        <f t="shared" si="46"/>
        <v>50</v>
      </c>
      <c r="F8623" s="93" t="str">
        <f t="shared" si="47"/>
        <v>8620_20240611_0001_R_0857.jpg</v>
      </c>
      <c r="G8623" s="75" t="s">
        <v>7148</v>
      </c>
      <c r="I8623" s="75">
        <v>1</v>
      </c>
      <c r="K8623" s="97">
        <v>1</v>
      </c>
      <c r="L8623"/>
      <c r="M8623"/>
      <c r="N8623"/>
      <c r="O8623"/>
      <c r="P8623" s="57"/>
      <c r="Q8623" s="57"/>
      <c r="R8623" s="57"/>
      <c r="S8623" s="97">
        <v>0</v>
      </c>
      <c r="T8623" s="57"/>
      <c r="U8623" s="57"/>
      <c r="V8623" s="57"/>
      <c r="W8623" s="57"/>
      <c r="X8623" s="97">
        <v>0</v>
      </c>
    </row>
    <row r="8624" spans="1:24" s="75" customFormat="1" x14ac:dyDescent="0.35">
      <c r="A8624" s="75">
        <v>8620</v>
      </c>
      <c r="B8624" s="75">
        <v>8621</v>
      </c>
      <c r="C8624">
        <v>146.116378556</v>
      </c>
      <c r="D8624">
        <v>-17.608025217600002</v>
      </c>
      <c r="E8624" s="92" t="str">
        <f t="shared" si="46"/>
        <v/>
      </c>
      <c r="F8624" s="93" t="str">
        <f t="shared" si="47"/>
        <v>8621_20240611_0001_R_0854.jpg</v>
      </c>
      <c r="G8624" s="75" t="s">
        <v>7149</v>
      </c>
      <c r="I8624" s="75">
        <v>1</v>
      </c>
      <c r="K8624" s="97">
        <v>1</v>
      </c>
      <c r="L8624"/>
      <c r="M8624"/>
      <c r="N8624"/>
      <c r="O8624"/>
      <c r="P8624" s="57"/>
      <c r="Q8624" s="57"/>
      <c r="R8624" s="57"/>
      <c r="S8624" s="97">
        <v>0</v>
      </c>
      <c r="T8624" s="57"/>
      <c r="U8624" s="57"/>
      <c r="V8624" s="57"/>
      <c r="W8624" s="57"/>
      <c r="X8624" s="97">
        <v>0</v>
      </c>
    </row>
    <row r="8625" spans="1:24" s="75" customFormat="1" x14ac:dyDescent="0.35">
      <c r="A8625" s="75">
        <v>8621</v>
      </c>
      <c r="B8625" s="75">
        <v>8622</v>
      </c>
      <c r="C8625">
        <v>146.116409887999</v>
      </c>
      <c r="D8625">
        <v>-17.6079454107999</v>
      </c>
      <c r="E8625" s="92" t="str">
        <f t="shared" si="46"/>
        <v/>
      </c>
      <c r="F8625" s="93" t="str">
        <f t="shared" si="47"/>
        <v>8622_20240611_0001_R_0851.jpg</v>
      </c>
      <c r="G8625" s="75" t="s">
        <v>7150</v>
      </c>
      <c r="I8625" s="75">
        <v>1</v>
      </c>
      <c r="K8625" s="97">
        <v>1</v>
      </c>
      <c r="L8625"/>
      <c r="M8625"/>
      <c r="N8625"/>
      <c r="O8625"/>
      <c r="P8625" s="57"/>
      <c r="Q8625" s="57"/>
      <c r="R8625" s="57"/>
      <c r="S8625" s="97">
        <v>0</v>
      </c>
      <c r="T8625" s="57"/>
      <c r="U8625" s="57"/>
      <c r="V8625" s="57"/>
      <c r="W8625" s="57"/>
      <c r="X8625" s="97">
        <v>0</v>
      </c>
    </row>
    <row r="8626" spans="1:24" s="75" customFormat="1" x14ac:dyDescent="0.35">
      <c r="A8626" s="75">
        <v>8622</v>
      </c>
      <c r="B8626" s="75">
        <v>8623</v>
      </c>
      <c r="C8626">
        <v>146.11644526500001</v>
      </c>
      <c r="D8626">
        <v>-17.6078667071999</v>
      </c>
      <c r="E8626" s="92" t="str">
        <f t="shared" si="46"/>
        <v/>
      </c>
      <c r="F8626" s="93" t="str">
        <f t="shared" si="47"/>
        <v>8623_20240611_0001_R_0847.jpg</v>
      </c>
      <c r="G8626" s="75" t="s">
        <v>7151</v>
      </c>
      <c r="I8626" s="75">
        <v>1</v>
      </c>
      <c r="K8626" s="97">
        <v>1</v>
      </c>
      <c r="L8626"/>
      <c r="M8626"/>
      <c r="N8626"/>
      <c r="O8626"/>
      <c r="P8626" s="57"/>
      <c r="Q8626" s="57"/>
      <c r="R8626" s="57"/>
      <c r="S8626" s="97">
        <v>0</v>
      </c>
      <c r="T8626" s="57"/>
      <c r="U8626" s="57"/>
      <c r="V8626" s="57"/>
      <c r="W8626" s="57"/>
      <c r="X8626" s="97">
        <v>0</v>
      </c>
    </row>
    <row r="8627" spans="1:24" s="75" customFormat="1" x14ac:dyDescent="0.35">
      <c r="A8627" s="75">
        <v>8623</v>
      </c>
      <c r="B8627" s="75">
        <v>8624</v>
      </c>
      <c r="C8627">
        <v>146.116480641999</v>
      </c>
      <c r="D8627">
        <v>-17.607788003500001</v>
      </c>
      <c r="E8627" s="92" t="str">
        <f t="shared" si="46"/>
        <v/>
      </c>
      <c r="F8627" s="93" t="str">
        <f t="shared" si="47"/>
        <v>8624_20240611_0001_R_0841.jpg</v>
      </c>
      <c r="G8627" s="75" t="s">
        <v>7152</v>
      </c>
      <c r="I8627" s="75">
        <v>1</v>
      </c>
      <c r="K8627" s="97">
        <v>1</v>
      </c>
      <c r="L8627"/>
      <c r="M8627"/>
      <c r="N8627"/>
      <c r="O8627"/>
      <c r="P8627" s="57"/>
      <c r="Q8627" s="57"/>
      <c r="R8627" s="57"/>
      <c r="S8627" s="97">
        <v>0</v>
      </c>
      <c r="T8627" s="57"/>
      <c r="U8627" s="57"/>
      <c r="V8627" s="57"/>
      <c r="W8627" s="57"/>
      <c r="X8627" s="97">
        <v>0</v>
      </c>
    </row>
    <row r="8628" spans="1:24" s="75" customFormat="1" x14ac:dyDescent="0.35">
      <c r="A8628" s="75">
        <v>8624</v>
      </c>
      <c r="B8628" s="75">
        <v>8625</v>
      </c>
      <c r="C8628">
        <v>146.11652508700001</v>
      </c>
      <c r="D8628">
        <v>-17.607714107300001</v>
      </c>
      <c r="E8628" s="92">
        <f t="shared" si="46"/>
        <v>50</v>
      </c>
      <c r="F8628" s="93" t="str">
        <f t="shared" si="47"/>
        <v>8625_20240611_0001_R_0837.jpg</v>
      </c>
      <c r="G8628" s="75" t="s">
        <v>7153</v>
      </c>
      <c r="I8628" s="75">
        <v>1</v>
      </c>
      <c r="K8628" s="97">
        <v>1</v>
      </c>
      <c r="L8628"/>
      <c r="M8628"/>
      <c r="N8628"/>
      <c r="O8628"/>
      <c r="P8628" s="57"/>
      <c r="Q8628" s="57"/>
      <c r="R8628" s="57"/>
      <c r="S8628" s="97">
        <v>0</v>
      </c>
      <c r="T8628" s="57"/>
      <c r="U8628" s="57"/>
      <c r="V8628" s="57"/>
      <c r="W8628" s="57"/>
      <c r="X8628" s="97">
        <v>0</v>
      </c>
    </row>
    <row r="8629" spans="1:24" s="75" customFormat="1" x14ac:dyDescent="0.35">
      <c r="A8629" s="75">
        <v>8625</v>
      </c>
      <c r="B8629" s="75">
        <v>8626</v>
      </c>
      <c r="C8629">
        <v>146.116576584</v>
      </c>
      <c r="D8629">
        <v>-17.607643950700002</v>
      </c>
      <c r="E8629" s="92" t="str">
        <f t="shared" si="46"/>
        <v/>
      </c>
      <c r="F8629" s="93" t="str">
        <f t="shared" si="47"/>
        <v>8626_20240611_0001_R_0834.jpg</v>
      </c>
      <c r="G8629" s="75" t="s">
        <v>7154</v>
      </c>
      <c r="I8629" s="75">
        <v>1</v>
      </c>
      <c r="K8629" s="97">
        <v>1</v>
      </c>
      <c r="L8629"/>
      <c r="M8629"/>
      <c r="N8629"/>
      <c r="O8629"/>
      <c r="P8629" s="57"/>
      <c r="Q8629" s="57"/>
      <c r="R8629" s="57"/>
      <c r="S8629" s="97">
        <v>0</v>
      </c>
      <c r="T8629" s="57"/>
      <c r="U8629" s="57"/>
      <c r="V8629" s="57"/>
      <c r="W8629" s="57"/>
      <c r="X8629" s="97">
        <v>0</v>
      </c>
    </row>
    <row r="8630" spans="1:24" s="75" customFormat="1" x14ac:dyDescent="0.35">
      <c r="A8630" s="75">
        <v>8626</v>
      </c>
      <c r="B8630" s="75">
        <v>8627</v>
      </c>
      <c r="C8630">
        <v>146.116628114999</v>
      </c>
      <c r="D8630">
        <v>-17.607573818300001</v>
      </c>
      <c r="E8630" s="92" t="str">
        <f t="shared" si="46"/>
        <v/>
      </c>
      <c r="F8630" s="93" t="str">
        <f t="shared" si="47"/>
        <v>8627_20240611_0001_R_0828.jpg</v>
      </c>
      <c r="G8630" s="75" t="s">
        <v>7155</v>
      </c>
      <c r="I8630" s="75">
        <v>1</v>
      </c>
      <c r="K8630" s="97">
        <v>1</v>
      </c>
      <c r="L8630"/>
      <c r="M8630"/>
      <c r="N8630"/>
      <c r="O8630"/>
      <c r="P8630" s="57"/>
      <c r="Q8630" s="57"/>
      <c r="R8630" s="57"/>
      <c r="S8630" s="97">
        <v>0</v>
      </c>
      <c r="T8630" s="57"/>
      <c r="U8630" s="57"/>
      <c r="V8630" s="57"/>
      <c r="W8630" s="57"/>
      <c r="X8630" s="97">
        <v>0</v>
      </c>
    </row>
    <row r="8631" spans="1:24" s="75" customFormat="1" x14ac:dyDescent="0.35">
      <c r="A8631" s="75">
        <v>8627</v>
      </c>
      <c r="B8631" s="75">
        <v>8628</v>
      </c>
      <c r="C8631">
        <v>146.11668636900001</v>
      </c>
      <c r="D8631">
        <v>-17.607508639900001</v>
      </c>
      <c r="E8631" s="92" t="str">
        <f t="shared" si="46"/>
        <v/>
      </c>
      <c r="F8631" s="93" t="str">
        <f t="shared" si="47"/>
        <v>8628_20240611_0001_R_0816.jpg</v>
      </c>
      <c r="G8631" s="75" t="s">
        <v>7156</v>
      </c>
      <c r="I8631" s="75">
        <v>1</v>
      </c>
      <c r="K8631" s="97">
        <v>1</v>
      </c>
      <c r="L8631"/>
      <c r="M8631"/>
      <c r="N8631"/>
      <c r="O8631"/>
      <c r="P8631" s="57"/>
      <c r="Q8631" s="57"/>
      <c r="R8631" s="57"/>
      <c r="S8631" s="97">
        <v>0</v>
      </c>
      <c r="T8631" s="57"/>
      <c r="U8631" s="57"/>
      <c r="V8631" s="57"/>
      <c r="W8631" s="57"/>
      <c r="X8631" s="97">
        <v>0</v>
      </c>
    </row>
    <row r="8632" spans="1:24" s="75" customFormat="1" x14ac:dyDescent="0.35">
      <c r="A8632" s="75">
        <v>8628</v>
      </c>
      <c r="B8632" s="75">
        <v>8629</v>
      </c>
      <c r="C8632">
        <v>146.11674462400001</v>
      </c>
      <c r="D8632">
        <v>-17.607443461500001</v>
      </c>
      <c r="E8632" s="92" t="str">
        <f t="shared" si="46"/>
        <v/>
      </c>
      <c r="F8632" s="93" t="str">
        <f t="shared" si="47"/>
        <v>8629_20240611_0001_R_0814.jpg</v>
      </c>
      <c r="G8632" s="75" t="s">
        <v>7157</v>
      </c>
      <c r="I8632" s="75">
        <v>1</v>
      </c>
      <c r="K8632" s="97">
        <v>1</v>
      </c>
      <c r="L8632"/>
      <c r="M8632"/>
      <c r="N8632"/>
      <c r="O8632"/>
      <c r="P8632" s="57"/>
      <c r="Q8632" s="57"/>
      <c r="R8632" s="57"/>
      <c r="S8632" s="97">
        <v>0</v>
      </c>
      <c r="T8632" s="57"/>
      <c r="U8632" s="57"/>
      <c r="V8632" s="57"/>
      <c r="W8632" s="57"/>
      <c r="X8632" s="97">
        <v>0</v>
      </c>
    </row>
    <row r="8633" spans="1:24" s="75" customFormat="1" x14ac:dyDescent="0.35">
      <c r="A8633" s="75">
        <v>8629</v>
      </c>
      <c r="B8633" s="75">
        <v>8630</v>
      </c>
      <c r="C8633">
        <v>146.11680287900001</v>
      </c>
      <c r="D8633">
        <v>-17.607378283100001</v>
      </c>
      <c r="E8633" s="92">
        <f t="shared" si="46"/>
        <v>50</v>
      </c>
      <c r="F8633" s="93" t="str">
        <f t="shared" si="47"/>
        <v>8630_20240611_0001_R_0808.jpg</v>
      </c>
      <c r="G8633" s="75" t="s">
        <v>7158</v>
      </c>
      <c r="I8633" s="75">
        <v>1</v>
      </c>
      <c r="K8633" s="97">
        <v>1</v>
      </c>
      <c r="L8633"/>
      <c r="M8633"/>
      <c r="N8633"/>
      <c r="O8633"/>
      <c r="P8633" s="57"/>
      <c r="Q8633" s="57"/>
      <c r="R8633" s="57"/>
      <c r="S8633" s="97">
        <v>0</v>
      </c>
      <c r="T8633" s="57"/>
      <c r="U8633" s="57"/>
      <c r="V8633" s="57"/>
      <c r="W8633" s="57"/>
      <c r="X8633" s="97">
        <v>0</v>
      </c>
    </row>
    <row r="8634" spans="1:24" s="75" customFormat="1" x14ac:dyDescent="0.35">
      <c r="A8634" s="75">
        <v>8630</v>
      </c>
      <c r="B8634" s="75">
        <v>8631</v>
      </c>
      <c r="C8634">
        <v>146.116861134</v>
      </c>
      <c r="D8634">
        <v>-17.607313104700001</v>
      </c>
      <c r="E8634" s="92" t="str">
        <f t="shared" si="46"/>
        <v/>
      </c>
      <c r="F8634" s="93" t="str">
        <f t="shared" si="47"/>
        <v>8631_20240611_0001_R_0803.jpg</v>
      </c>
      <c r="G8634" s="75" t="s">
        <v>7159</v>
      </c>
      <c r="I8634" s="75">
        <v>1</v>
      </c>
      <c r="K8634" s="97">
        <v>1</v>
      </c>
      <c r="L8634"/>
      <c r="M8634"/>
      <c r="N8634"/>
      <c r="O8634"/>
      <c r="P8634" s="57"/>
      <c r="Q8634" s="57"/>
      <c r="R8634" s="57"/>
      <c r="S8634" s="97">
        <v>0</v>
      </c>
      <c r="T8634" s="57"/>
      <c r="U8634" s="57"/>
      <c r="V8634" s="57"/>
      <c r="W8634" s="57"/>
      <c r="X8634" s="97">
        <v>0</v>
      </c>
    </row>
    <row r="8635" spans="1:24" s="75" customFormat="1" x14ac:dyDescent="0.35">
      <c r="A8635" s="75">
        <v>8631</v>
      </c>
      <c r="B8635" s="75">
        <v>8632</v>
      </c>
      <c r="C8635">
        <v>146.11691789100001</v>
      </c>
      <c r="D8635">
        <v>-17.6072467549</v>
      </c>
      <c r="E8635" s="92" t="str">
        <f t="shared" si="46"/>
        <v/>
      </c>
      <c r="F8635" s="93" t="str">
        <f t="shared" si="47"/>
        <v>8632_20240611_0001_R_0800.jpg</v>
      </c>
      <c r="G8635" s="75" t="s">
        <v>7160</v>
      </c>
      <c r="I8635" s="75">
        <v>1</v>
      </c>
      <c r="K8635" s="97">
        <v>1</v>
      </c>
      <c r="L8635"/>
      <c r="M8635"/>
      <c r="N8635"/>
      <c r="O8635"/>
      <c r="P8635" s="57"/>
      <c r="Q8635" s="57"/>
      <c r="R8635" s="57"/>
      <c r="S8635" s="97">
        <v>0</v>
      </c>
      <c r="T8635" s="57"/>
      <c r="U8635" s="57"/>
      <c r="V8635" s="57"/>
      <c r="W8635" s="57"/>
      <c r="X8635" s="97">
        <v>0</v>
      </c>
    </row>
    <row r="8636" spans="1:24" s="75" customFormat="1" x14ac:dyDescent="0.35">
      <c r="A8636" s="75">
        <v>8632</v>
      </c>
      <c r="B8636" s="75">
        <v>8633</v>
      </c>
      <c r="C8636">
        <v>146.116973591999</v>
      </c>
      <c r="D8636">
        <v>-17.607179579299899</v>
      </c>
      <c r="E8636" s="92" t="str">
        <f t="shared" si="46"/>
        <v/>
      </c>
      <c r="F8636" s="93" t="str">
        <f t="shared" si="47"/>
        <v>8633_20240611_0001_R_0797.jpg</v>
      </c>
      <c r="G8636" s="75" t="s">
        <v>7161</v>
      </c>
      <c r="I8636" s="75">
        <v>1</v>
      </c>
      <c r="K8636" s="97">
        <v>1</v>
      </c>
      <c r="L8636"/>
      <c r="M8636"/>
      <c r="N8636"/>
      <c r="O8636"/>
      <c r="P8636" s="57"/>
      <c r="Q8636" s="57"/>
      <c r="R8636" s="57"/>
      <c r="S8636" s="97">
        <v>0</v>
      </c>
      <c r="T8636" s="57"/>
      <c r="U8636" s="57"/>
      <c r="V8636" s="57"/>
      <c r="W8636" s="57"/>
      <c r="X8636" s="97">
        <v>0</v>
      </c>
    </row>
    <row r="8637" spans="1:24" s="75" customFormat="1" x14ac:dyDescent="0.35">
      <c r="A8637" s="75">
        <v>8633</v>
      </c>
      <c r="B8637" s="75">
        <v>8634</v>
      </c>
      <c r="C8637">
        <v>146.117029293999</v>
      </c>
      <c r="D8637">
        <v>-17.607112403799899</v>
      </c>
      <c r="E8637" s="92" t="str">
        <f t="shared" si="46"/>
        <v/>
      </c>
      <c r="F8637" s="93" t="str">
        <f t="shared" si="47"/>
        <v>8634_20240611_0001_R_0794.jpg</v>
      </c>
      <c r="G8637" s="75" t="s">
        <v>7162</v>
      </c>
      <c r="I8637" s="75">
        <v>1</v>
      </c>
      <c r="K8637" s="97">
        <v>1</v>
      </c>
      <c r="L8637"/>
      <c r="M8637"/>
      <c r="N8637"/>
      <c r="O8637"/>
      <c r="P8637" s="57"/>
      <c r="Q8637" s="57"/>
      <c r="R8637" s="57"/>
      <c r="S8637" s="97">
        <v>0</v>
      </c>
      <c r="T8637" s="57"/>
      <c r="U8637" s="57"/>
      <c r="V8637" s="57"/>
      <c r="W8637" s="57"/>
      <c r="X8637" s="97">
        <v>0</v>
      </c>
    </row>
    <row r="8638" spans="1:24" s="75" customFormat="1" x14ac:dyDescent="0.35">
      <c r="A8638" s="75">
        <v>8634</v>
      </c>
      <c r="B8638" s="75">
        <v>8635</v>
      </c>
      <c r="C8638">
        <v>146.11708499599899</v>
      </c>
      <c r="D8638">
        <v>-17.607045228299899</v>
      </c>
      <c r="E8638" s="92">
        <f t="shared" si="46"/>
        <v>50</v>
      </c>
      <c r="F8638" s="93" t="str">
        <f t="shared" si="47"/>
        <v>8635_20240611_0001_R_0791.jpg</v>
      </c>
      <c r="G8638" s="75" t="s">
        <v>7163</v>
      </c>
      <c r="I8638" s="75">
        <v>1</v>
      </c>
      <c r="K8638" s="97">
        <v>1</v>
      </c>
      <c r="L8638"/>
      <c r="M8638"/>
      <c r="N8638"/>
      <c r="O8638"/>
      <c r="P8638" s="57"/>
      <c r="Q8638" s="57"/>
      <c r="R8638" s="57"/>
      <c r="S8638" s="97">
        <v>0</v>
      </c>
      <c r="T8638" s="57"/>
      <c r="U8638" s="57"/>
      <c r="V8638" s="57"/>
      <c r="W8638" s="57"/>
      <c r="X8638" s="97">
        <v>0</v>
      </c>
    </row>
    <row r="8639" spans="1:24" s="75" customFormat="1" x14ac:dyDescent="0.35">
      <c r="A8639" s="75">
        <v>8635</v>
      </c>
      <c r="B8639" s="75">
        <v>8636</v>
      </c>
      <c r="C8639">
        <v>146.117140696999</v>
      </c>
      <c r="D8639">
        <v>-17.606978052799899</v>
      </c>
      <c r="E8639" s="92" t="str">
        <f t="shared" si="46"/>
        <v/>
      </c>
      <c r="F8639" s="93" t="str">
        <f t="shared" si="47"/>
        <v>8636_20240611_0001_R_0789.jpg</v>
      </c>
      <c r="G8639" s="75" t="s">
        <v>7164</v>
      </c>
      <c r="I8639" s="75">
        <v>1</v>
      </c>
      <c r="K8639" s="97">
        <v>1</v>
      </c>
      <c r="L8639"/>
      <c r="M8639"/>
      <c r="N8639"/>
      <c r="O8639"/>
      <c r="P8639" s="57"/>
      <c r="Q8639" s="57"/>
      <c r="R8639" s="57"/>
      <c r="S8639" s="97">
        <v>0</v>
      </c>
      <c r="T8639" s="57"/>
      <c r="U8639" s="57"/>
      <c r="V8639" s="57"/>
      <c r="W8639" s="57"/>
      <c r="X8639" s="97">
        <v>0</v>
      </c>
    </row>
    <row r="8640" spans="1:24" s="75" customFormat="1" x14ac:dyDescent="0.35">
      <c r="A8640" s="75">
        <v>8636</v>
      </c>
      <c r="B8640" s="75">
        <v>8637</v>
      </c>
      <c r="C8640">
        <v>146.117196398999</v>
      </c>
      <c r="D8640">
        <v>-17.606910877299899</v>
      </c>
      <c r="E8640" s="92" t="str">
        <f t="shared" si="46"/>
        <v/>
      </c>
      <c r="F8640" s="93" t="str">
        <f t="shared" si="47"/>
        <v>8637_20240611_0001_R_0786.jpg</v>
      </c>
      <c r="G8640" s="75" t="s">
        <v>7165</v>
      </c>
      <c r="I8640" s="75">
        <v>1</v>
      </c>
      <c r="K8640" s="97">
        <v>1</v>
      </c>
      <c r="L8640"/>
      <c r="M8640"/>
      <c r="N8640"/>
      <c r="O8640"/>
      <c r="P8640" s="57"/>
      <c r="Q8640" s="57"/>
      <c r="R8640" s="57"/>
      <c r="S8640" s="97">
        <v>0</v>
      </c>
      <c r="T8640" s="57"/>
      <c r="U8640" s="57"/>
      <c r="V8640" s="57"/>
      <c r="W8640" s="57"/>
      <c r="X8640" s="97">
        <v>0</v>
      </c>
    </row>
    <row r="8641" spans="1:24" s="75" customFormat="1" x14ac:dyDescent="0.35">
      <c r="A8641" s="75">
        <v>8637</v>
      </c>
      <c r="B8641" s="75">
        <v>8638</v>
      </c>
      <c r="C8641">
        <v>146.117252100999</v>
      </c>
      <c r="D8641">
        <v>-17.606843701700001</v>
      </c>
      <c r="E8641" s="92" t="str">
        <f t="shared" si="46"/>
        <v/>
      </c>
      <c r="F8641" s="93" t="str">
        <f t="shared" si="47"/>
        <v>8638_20240611_0001_R_0783.jpg</v>
      </c>
      <c r="G8641" s="75" t="s">
        <v>7166</v>
      </c>
      <c r="I8641" s="75">
        <v>1</v>
      </c>
      <c r="K8641" s="97">
        <v>1</v>
      </c>
      <c r="L8641"/>
      <c r="M8641"/>
      <c r="N8641"/>
      <c r="O8641"/>
      <c r="P8641" s="57"/>
      <c r="Q8641" s="57"/>
      <c r="R8641" s="57"/>
      <c r="S8641" s="97">
        <v>0</v>
      </c>
      <c r="T8641" s="57"/>
      <c r="U8641" s="57"/>
      <c r="V8641" s="57"/>
      <c r="W8641" s="57"/>
      <c r="X8641" s="97">
        <v>0</v>
      </c>
    </row>
    <row r="8642" spans="1:24" s="75" customFormat="1" x14ac:dyDescent="0.35">
      <c r="A8642" s="75">
        <v>8638</v>
      </c>
      <c r="B8642" s="75">
        <v>8639</v>
      </c>
      <c r="C8642">
        <v>146.117307801999</v>
      </c>
      <c r="D8642">
        <v>-17.6067765260999</v>
      </c>
      <c r="E8642" s="92" t="str">
        <f t="shared" si="46"/>
        <v/>
      </c>
      <c r="F8642" s="93" t="str">
        <f t="shared" si="47"/>
        <v>8639_20240611_0001_R_0780.jpg</v>
      </c>
      <c r="G8642" s="75" t="s">
        <v>7167</v>
      </c>
      <c r="I8642" s="75">
        <v>1</v>
      </c>
      <c r="K8642" s="97">
        <v>1</v>
      </c>
      <c r="L8642"/>
      <c r="M8642"/>
      <c r="N8642"/>
      <c r="O8642"/>
      <c r="P8642" s="57"/>
      <c r="Q8642" s="57"/>
      <c r="R8642" s="57"/>
      <c r="S8642" s="97">
        <v>0</v>
      </c>
      <c r="T8642" s="57"/>
      <c r="U8642" s="57"/>
      <c r="V8642" s="57"/>
      <c r="W8642" s="57"/>
      <c r="X8642" s="97">
        <v>0</v>
      </c>
    </row>
    <row r="8643" spans="1:24" s="75" customFormat="1" x14ac:dyDescent="0.35">
      <c r="A8643" s="75">
        <v>8639</v>
      </c>
      <c r="B8643" s="75">
        <v>8640</v>
      </c>
      <c r="C8643">
        <v>146.117363503999</v>
      </c>
      <c r="D8643">
        <v>-17.606709350500001</v>
      </c>
      <c r="E8643" s="92">
        <f t="shared" si="46"/>
        <v>50</v>
      </c>
      <c r="F8643" s="93" t="str">
        <f t="shared" si="47"/>
        <v>8640_20240611_0001_R_0777.jpg</v>
      </c>
      <c r="G8643" s="75" t="s">
        <v>7168</v>
      </c>
      <c r="I8643" s="75">
        <v>1</v>
      </c>
      <c r="K8643" s="97">
        <v>1</v>
      </c>
      <c r="L8643"/>
      <c r="M8643"/>
      <c r="N8643"/>
      <c r="O8643"/>
      <c r="P8643" s="57"/>
      <c r="Q8643" s="57"/>
      <c r="R8643" s="57"/>
      <c r="S8643" s="97">
        <v>0</v>
      </c>
      <c r="T8643" s="57"/>
      <c r="U8643" s="57"/>
      <c r="V8643" s="57"/>
      <c r="W8643" s="57"/>
      <c r="X8643" s="97">
        <v>0</v>
      </c>
    </row>
    <row r="8644" spans="1:24" s="75" customFormat="1" x14ac:dyDescent="0.35">
      <c r="A8644" s="75">
        <v>8640</v>
      </c>
      <c r="B8644" s="75">
        <v>8641</v>
      </c>
      <c r="C8644">
        <v>146.117414056999</v>
      </c>
      <c r="D8644">
        <v>-17.6066388821</v>
      </c>
      <c r="E8644" s="92" t="str">
        <f t="shared" si="46"/>
        <v/>
      </c>
      <c r="F8644" s="93" t="str">
        <f t="shared" si="47"/>
        <v>8641_20240611_0001_R_0773.jpg</v>
      </c>
      <c r="G8644" s="75" t="s">
        <v>7169</v>
      </c>
      <c r="I8644" s="75">
        <v>1</v>
      </c>
      <c r="K8644" s="97">
        <v>1</v>
      </c>
      <c r="L8644"/>
      <c r="M8644"/>
      <c r="N8644"/>
      <c r="O8644"/>
      <c r="P8644" s="57"/>
      <c r="Q8644" s="57"/>
      <c r="R8644" s="57"/>
      <c r="S8644" s="97">
        <v>0</v>
      </c>
      <c r="T8644" s="57"/>
      <c r="U8644" s="57"/>
      <c r="V8644" s="57"/>
      <c r="W8644" s="57"/>
      <c r="X8644" s="97">
        <v>0</v>
      </c>
    </row>
    <row r="8645" spans="1:24" s="75" customFormat="1" x14ac:dyDescent="0.35">
      <c r="A8645" s="75">
        <v>8641</v>
      </c>
      <c r="B8645" s="75">
        <v>8642</v>
      </c>
      <c r="C8645">
        <v>146.117458153</v>
      </c>
      <c r="D8645">
        <v>-17.606564284600001</v>
      </c>
      <c r="E8645" s="92" t="str">
        <f t="shared" si="46"/>
        <v/>
      </c>
      <c r="F8645" s="93" t="str">
        <f t="shared" si="47"/>
        <v>8642_20240611_0001_R_0770.jpg</v>
      </c>
      <c r="G8645" s="75" t="s">
        <v>7170</v>
      </c>
      <c r="I8645" s="75">
        <v>1</v>
      </c>
      <c r="K8645" s="97">
        <v>1</v>
      </c>
      <c r="L8645"/>
      <c r="M8645"/>
      <c r="N8645"/>
      <c r="O8645"/>
      <c r="P8645" s="57"/>
      <c r="Q8645" s="57"/>
      <c r="R8645" s="57"/>
      <c r="S8645" s="97">
        <v>0</v>
      </c>
      <c r="T8645" s="57"/>
      <c r="U8645" s="57"/>
      <c r="V8645" s="57"/>
      <c r="W8645" s="57"/>
      <c r="X8645" s="97">
        <v>0</v>
      </c>
    </row>
    <row r="8646" spans="1:24" s="75" customFormat="1" x14ac:dyDescent="0.35">
      <c r="A8646" s="75">
        <v>8642</v>
      </c>
      <c r="B8646" s="75">
        <v>8643</v>
      </c>
      <c r="C8646">
        <v>146.11750225</v>
      </c>
      <c r="D8646">
        <v>-17.606489687100002</v>
      </c>
      <c r="E8646" s="92" t="str">
        <f t="shared" si="46"/>
        <v/>
      </c>
      <c r="F8646" s="93" t="str">
        <f t="shared" si="47"/>
        <v>8643_20240611_0001_R_0766.jpg</v>
      </c>
      <c r="G8646" s="75" t="s">
        <v>7171</v>
      </c>
      <c r="I8646" s="75">
        <v>1</v>
      </c>
      <c r="K8646" s="97">
        <v>1</v>
      </c>
      <c r="L8646"/>
      <c r="M8646"/>
      <c r="N8646"/>
      <c r="O8646"/>
      <c r="P8646" s="57"/>
      <c r="Q8646" s="57"/>
      <c r="R8646" s="57"/>
      <c r="S8646" s="97">
        <v>0</v>
      </c>
      <c r="T8646" s="57"/>
      <c r="U8646" s="57"/>
      <c r="V8646" s="57"/>
      <c r="W8646" s="57"/>
      <c r="X8646" s="97">
        <v>0</v>
      </c>
    </row>
    <row r="8647" spans="1:24" s="75" customFormat="1" x14ac:dyDescent="0.35">
      <c r="A8647" s="75">
        <v>8643</v>
      </c>
      <c r="B8647" s="75">
        <v>8644</v>
      </c>
      <c r="C8647">
        <v>146.11754634600001</v>
      </c>
      <c r="D8647">
        <v>-17.6064150895</v>
      </c>
      <c r="E8647" s="92" t="str">
        <f t="shared" si="46"/>
        <v/>
      </c>
      <c r="F8647" s="93" t="str">
        <f t="shared" si="47"/>
        <v>8644_20240611_0001_R_0762.jpg</v>
      </c>
      <c r="G8647" s="75" t="s">
        <v>7172</v>
      </c>
      <c r="I8647" s="75">
        <v>1</v>
      </c>
      <c r="K8647" s="97">
        <v>1</v>
      </c>
      <c r="L8647"/>
      <c r="M8647"/>
      <c r="N8647"/>
      <c r="O8647"/>
      <c r="P8647" s="57"/>
      <c r="Q8647" s="57"/>
      <c r="R8647" s="57"/>
      <c r="S8647" s="97">
        <v>0</v>
      </c>
      <c r="T8647" s="57"/>
      <c r="U8647" s="57"/>
      <c r="V8647" s="57"/>
      <c r="W8647" s="57"/>
      <c r="X8647" s="97">
        <v>0</v>
      </c>
    </row>
    <row r="8648" spans="1:24" s="75" customFormat="1" x14ac:dyDescent="0.35">
      <c r="A8648" s="75">
        <v>8644</v>
      </c>
      <c r="B8648" s="75">
        <v>8645</v>
      </c>
      <c r="C8648">
        <v>146.11759044300001</v>
      </c>
      <c r="D8648">
        <v>-17.6063404918999</v>
      </c>
      <c r="E8648" s="92">
        <f t="shared" si="46"/>
        <v>50</v>
      </c>
      <c r="F8648" s="93" t="str">
        <f t="shared" si="47"/>
        <v>8645_20240611_0001_R_0757.jpg</v>
      </c>
      <c r="G8648" s="75" t="s">
        <v>7173</v>
      </c>
      <c r="I8648" s="75">
        <v>1</v>
      </c>
      <c r="K8648" s="97">
        <v>1</v>
      </c>
      <c r="L8648"/>
      <c r="M8648"/>
      <c r="N8648"/>
      <c r="O8648"/>
      <c r="P8648" s="57"/>
      <c r="Q8648" s="57"/>
      <c r="R8648" s="57"/>
      <c r="S8648" s="97">
        <v>0</v>
      </c>
      <c r="T8648" s="57"/>
      <c r="U8648" s="57"/>
      <c r="V8648" s="57"/>
      <c r="W8648" s="57"/>
      <c r="X8648" s="97">
        <v>0</v>
      </c>
    </row>
    <row r="8649" spans="1:24" s="75" customFormat="1" x14ac:dyDescent="0.35">
      <c r="A8649" s="75">
        <v>8645</v>
      </c>
      <c r="B8649" s="75">
        <v>8646</v>
      </c>
      <c r="C8649">
        <v>146.117634538999</v>
      </c>
      <c r="D8649">
        <v>-17.606265894300002</v>
      </c>
      <c r="E8649" s="92" t="str">
        <f t="shared" si="46"/>
        <v/>
      </c>
      <c r="F8649" s="93" t="str">
        <f t="shared" si="47"/>
        <v>8646_20240611_0001_R_0752.jpg</v>
      </c>
      <c r="G8649" s="75" t="s">
        <v>7174</v>
      </c>
      <c r="I8649" s="75">
        <v>1</v>
      </c>
      <c r="K8649" s="97">
        <v>1</v>
      </c>
      <c r="L8649"/>
      <c r="M8649"/>
      <c r="N8649"/>
      <c r="O8649"/>
      <c r="P8649" s="57"/>
      <c r="Q8649" s="57"/>
      <c r="R8649" s="57"/>
      <c r="S8649" s="97">
        <v>0</v>
      </c>
      <c r="T8649" s="57"/>
      <c r="U8649" s="57"/>
      <c r="V8649" s="57"/>
      <c r="W8649" s="57"/>
      <c r="X8649" s="97">
        <v>0</v>
      </c>
    </row>
    <row r="8650" spans="1:24" s="75" customFormat="1" x14ac:dyDescent="0.35">
      <c r="A8650" s="75">
        <v>8646</v>
      </c>
      <c r="B8650" s="75">
        <v>8647</v>
      </c>
      <c r="C8650">
        <v>146.117678635999</v>
      </c>
      <c r="D8650">
        <v>-17.606191296599899</v>
      </c>
      <c r="E8650" s="92" t="str">
        <f t="shared" si="46"/>
        <v/>
      </c>
      <c r="F8650" s="93" t="str">
        <f t="shared" si="47"/>
        <v>8647_20240611_0001_R_0747.jpg</v>
      </c>
      <c r="G8650" s="75" t="s">
        <v>7175</v>
      </c>
      <c r="I8650" s="75">
        <v>1</v>
      </c>
      <c r="K8650" s="97">
        <v>1</v>
      </c>
      <c r="L8650"/>
      <c r="M8650"/>
      <c r="N8650"/>
      <c r="O8650"/>
      <c r="P8650" s="57"/>
      <c r="Q8650" s="57"/>
      <c r="R8650" s="57"/>
      <c r="S8650" s="97">
        <v>0</v>
      </c>
      <c r="T8650" s="57"/>
      <c r="U8650" s="57"/>
      <c r="V8650" s="57"/>
      <c r="W8650" s="57"/>
      <c r="X8650" s="97">
        <v>0</v>
      </c>
    </row>
    <row r="8651" spans="1:24" s="75" customFormat="1" x14ac:dyDescent="0.35">
      <c r="A8651" s="75">
        <v>8647</v>
      </c>
      <c r="B8651" s="75">
        <v>8648</v>
      </c>
      <c r="C8651">
        <v>146.117722732</v>
      </c>
      <c r="D8651">
        <v>-17.6061166988999</v>
      </c>
      <c r="E8651" s="92" t="str">
        <f t="shared" si="46"/>
        <v/>
      </c>
      <c r="F8651" s="93" t="str">
        <f t="shared" si="47"/>
        <v>8648_20240611_0001_R_0743.jpg</v>
      </c>
      <c r="G8651" s="75" t="s">
        <v>7176</v>
      </c>
      <c r="I8651" s="75">
        <v>1</v>
      </c>
      <c r="K8651" s="97">
        <v>1</v>
      </c>
      <c r="L8651"/>
      <c r="M8651"/>
      <c r="N8651"/>
      <c r="O8651"/>
      <c r="P8651" s="57"/>
      <c r="Q8651" s="57"/>
      <c r="R8651" s="57"/>
      <c r="S8651" s="97">
        <v>0</v>
      </c>
      <c r="T8651" s="57"/>
      <c r="U8651" s="57"/>
      <c r="V8651" s="57"/>
      <c r="W8651" s="57"/>
      <c r="X8651" s="97">
        <v>0</v>
      </c>
    </row>
    <row r="8652" spans="1:24" s="75" customFormat="1" x14ac:dyDescent="0.35">
      <c r="A8652" s="75">
        <v>8648</v>
      </c>
      <c r="B8652" s="75">
        <v>8649</v>
      </c>
      <c r="C8652">
        <v>146.11776545800001</v>
      </c>
      <c r="D8652">
        <v>-17.6060413883</v>
      </c>
      <c r="E8652" s="92" t="str">
        <f t="shared" si="46"/>
        <v/>
      </c>
      <c r="F8652" s="93" t="str">
        <f t="shared" si="47"/>
        <v>8649_20240611_0001_R_0739.jpg</v>
      </c>
      <c r="G8652" s="75" t="s">
        <v>7177</v>
      </c>
      <c r="I8652" s="75">
        <v>1</v>
      </c>
      <c r="K8652" s="97">
        <v>1</v>
      </c>
      <c r="L8652"/>
      <c r="M8652"/>
      <c r="N8652"/>
      <c r="O8652"/>
      <c r="P8652" s="57"/>
      <c r="Q8652" s="57"/>
      <c r="R8652" s="57"/>
      <c r="S8652" s="97">
        <v>0</v>
      </c>
      <c r="T8652" s="57"/>
      <c r="U8652" s="57"/>
      <c r="V8652" s="57"/>
      <c r="W8652" s="57"/>
      <c r="X8652" s="97">
        <v>0</v>
      </c>
    </row>
    <row r="8653" spans="1:24" s="75" customFormat="1" x14ac:dyDescent="0.35">
      <c r="A8653" s="75">
        <v>8649</v>
      </c>
      <c r="B8653" s="75">
        <v>8650</v>
      </c>
      <c r="C8653">
        <v>146.11780741000001</v>
      </c>
      <c r="D8653">
        <v>-17.605965675499899</v>
      </c>
      <c r="E8653" s="92">
        <f t="shared" si="46"/>
        <v>50</v>
      </c>
      <c r="F8653" s="93" t="str">
        <f t="shared" si="47"/>
        <v>8650_20240611_0001_R_0735.jpg</v>
      </c>
      <c r="G8653" s="75" t="s">
        <v>7178</v>
      </c>
      <c r="I8653" s="75">
        <v>1</v>
      </c>
      <c r="K8653" s="97">
        <v>1</v>
      </c>
      <c r="L8653"/>
      <c r="M8653"/>
      <c r="N8653"/>
      <c r="O8653"/>
      <c r="P8653" s="57"/>
      <c r="Q8653" s="57"/>
      <c r="R8653" s="57"/>
      <c r="S8653" s="97">
        <v>0</v>
      </c>
      <c r="T8653" s="57"/>
      <c r="U8653" s="57"/>
      <c r="V8653" s="57"/>
      <c r="W8653" s="57"/>
      <c r="X8653" s="97">
        <v>0</v>
      </c>
    </row>
    <row r="8654" spans="1:24" s="75" customFormat="1" x14ac:dyDescent="0.35">
      <c r="A8654" s="75">
        <v>8650</v>
      </c>
      <c r="B8654" s="75">
        <v>8651</v>
      </c>
      <c r="C8654">
        <v>146.117849363</v>
      </c>
      <c r="D8654">
        <v>-17.605889962700001</v>
      </c>
      <c r="E8654" s="92" t="str">
        <f t="shared" si="46"/>
        <v/>
      </c>
      <c r="F8654" s="93" t="str">
        <f t="shared" si="47"/>
        <v>8651_20240611_0001_R_0731.jpg</v>
      </c>
      <c r="G8654" s="75" t="s">
        <v>7179</v>
      </c>
      <c r="I8654" s="75">
        <v>1</v>
      </c>
      <c r="K8654" s="97">
        <v>1</v>
      </c>
      <c r="L8654"/>
      <c r="M8654"/>
      <c r="N8654"/>
      <c r="O8654"/>
      <c r="P8654" s="57"/>
      <c r="Q8654" s="57"/>
      <c r="R8654" s="57"/>
      <c r="S8654" s="97">
        <v>0</v>
      </c>
      <c r="T8654" s="57"/>
      <c r="U8654" s="57"/>
      <c r="V8654" s="57"/>
      <c r="W8654" s="57"/>
      <c r="X8654" s="97">
        <v>0</v>
      </c>
    </row>
    <row r="8655" spans="1:24" s="75" customFormat="1" x14ac:dyDescent="0.35">
      <c r="A8655" s="75">
        <v>8651</v>
      </c>
      <c r="B8655" s="75">
        <v>8652</v>
      </c>
      <c r="C8655">
        <v>146.117891315999</v>
      </c>
      <c r="D8655">
        <v>-17.6058142499</v>
      </c>
      <c r="E8655" s="92" t="str">
        <f t="shared" si="46"/>
        <v/>
      </c>
      <c r="F8655" s="93" t="str">
        <f t="shared" si="47"/>
        <v>8652_20240611_0001_R_0728.jpg</v>
      </c>
      <c r="G8655" s="75" t="s">
        <v>7180</v>
      </c>
      <c r="I8655" s="75">
        <v>1</v>
      </c>
      <c r="K8655" s="97">
        <v>1</v>
      </c>
      <c r="L8655"/>
      <c r="M8655"/>
      <c r="N8655"/>
      <c r="O8655"/>
      <c r="P8655" s="57"/>
      <c r="Q8655" s="57"/>
      <c r="R8655" s="57"/>
      <c r="S8655" s="97">
        <v>0</v>
      </c>
      <c r="T8655" s="57"/>
      <c r="U8655" s="57"/>
      <c r="V8655" s="57"/>
      <c r="W8655" s="57"/>
      <c r="X8655" s="97">
        <v>0</v>
      </c>
    </row>
    <row r="8656" spans="1:24" s="75" customFormat="1" x14ac:dyDescent="0.35">
      <c r="A8656" s="75">
        <v>8652</v>
      </c>
      <c r="B8656" s="75">
        <v>8653</v>
      </c>
      <c r="C8656">
        <v>146.117922776999</v>
      </c>
      <c r="D8656">
        <v>-17.605735106800001</v>
      </c>
      <c r="E8656" s="92" t="str">
        <f t="shared" ref="E8656:E8719" si="48">IF(MOD(B8656,5)=0, 50, "")</f>
        <v/>
      </c>
      <c r="F8656" s="93" t="str">
        <f t="shared" si="47"/>
        <v>8653_20240611_0001_R_0725.jpg</v>
      </c>
      <c r="G8656" s="75" t="s">
        <v>7181</v>
      </c>
      <c r="I8656" s="75">
        <v>1</v>
      </c>
      <c r="K8656" s="97">
        <v>1</v>
      </c>
      <c r="L8656"/>
      <c r="M8656"/>
      <c r="N8656"/>
      <c r="O8656"/>
      <c r="P8656" s="57"/>
      <c r="Q8656" s="57"/>
      <c r="R8656" s="57"/>
      <c r="S8656" s="97">
        <v>0</v>
      </c>
      <c r="T8656" s="57"/>
      <c r="U8656" s="57"/>
      <c r="V8656" s="57"/>
      <c r="W8656" s="57"/>
      <c r="X8656" s="97">
        <v>0</v>
      </c>
    </row>
    <row r="8657" spans="1:24" s="75" customFormat="1" x14ac:dyDescent="0.35">
      <c r="A8657" s="75">
        <v>8653</v>
      </c>
      <c r="B8657" s="75">
        <v>8654</v>
      </c>
      <c r="C8657">
        <v>146.11793841599899</v>
      </c>
      <c r="D8657">
        <v>-17.6056507905</v>
      </c>
      <c r="E8657" s="92" t="str">
        <f t="shared" si="48"/>
        <v/>
      </c>
      <c r="F8657" s="93" t="str">
        <f t="shared" si="47"/>
        <v>8654_20240611_0001_R_0722.jpg</v>
      </c>
      <c r="G8657" s="75" t="s">
        <v>7182</v>
      </c>
      <c r="I8657" s="75">
        <v>1</v>
      </c>
      <c r="K8657" s="97">
        <v>1</v>
      </c>
      <c r="L8657"/>
      <c r="M8657"/>
      <c r="N8657"/>
      <c r="O8657"/>
      <c r="P8657" s="57"/>
      <c r="Q8657" s="57"/>
      <c r="R8657" s="57"/>
      <c r="S8657" s="97">
        <v>0</v>
      </c>
      <c r="T8657" s="57"/>
      <c r="U8657" s="57"/>
      <c r="V8657" s="57"/>
      <c r="W8657" s="57"/>
      <c r="X8657" s="97">
        <v>0</v>
      </c>
    </row>
    <row r="8658" spans="1:24" s="75" customFormat="1" x14ac:dyDescent="0.35">
      <c r="A8658" s="75">
        <v>8654</v>
      </c>
      <c r="B8658" s="75">
        <v>8655</v>
      </c>
      <c r="C8658">
        <v>146.117954056</v>
      </c>
      <c r="D8658">
        <v>-17.6055664742</v>
      </c>
      <c r="E8658" s="92">
        <f t="shared" si="48"/>
        <v>50</v>
      </c>
      <c r="F8658" s="93" t="str">
        <f t="shared" si="47"/>
        <v>8655_20240611_0001_R_0717.jpg</v>
      </c>
      <c r="G8658" s="75" t="s">
        <v>7183</v>
      </c>
      <c r="I8658" s="75">
        <v>1</v>
      </c>
      <c r="K8658" s="97">
        <v>1</v>
      </c>
      <c r="L8658"/>
      <c r="M8658"/>
      <c r="N8658"/>
      <c r="O8658"/>
      <c r="P8658" s="57"/>
      <c r="Q8658" s="57"/>
      <c r="R8658" s="57"/>
      <c r="S8658" s="97">
        <v>0</v>
      </c>
      <c r="T8658" s="57"/>
      <c r="U8658" s="57"/>
      <c r="V8658" s="57"/>
      <c r="W8658" s="57"/>
      <c r="X8658" s="97">
        <v>0</v>
      </c>
    </row>
    <row r="8659" spans="1:24" s="75" customFormat="1" x14ac:dyDescent="0.35">
      <c r="A8659" s="75">
        <v>8655</v>
      </c>
      <c r="B8659" s="75">
        <v>8656</v>
      </c>
      <c r="C8659">
        <v>146.11796897400001</v>
      </c>
      <c r="D8659">
        <v>-17.605482112299899</v>
      </c>
      <c r="E8659" s="92" t="str">
        <f t="shared" si="48"/>
        <v/>
      </c>
      <c r="F8659" s="93" t="str">
        <f t="shared" si="47"/>
        <v>8656_20240611_0001_R_0714.jpg</v>
      </c>
      <c r="G8659" s="75" t="s">
        <v>7184</v>
      </c>
      <c r="I8659" s="75">
        <v>1</v>
      </c>
      <c r="K8659" s="97">
        <v>1</v>
      </c>
      <c r="L8659"/>
      <c r="M8659"/>
      <c r="N8659"/>
      <c r="O8659"/>
      <c r="P8659" s="57"/>
      <c r="Q8659" s="57"/>
      <c r="R8659" s="57"/>
      <c r="S8659" s="97">
        <v>0</v>
      </c>
      <c r="T8659" s="57"/>
      <c r="U8659" s="57"/>
      <c r="V8659" s="57"/>
      <c r="W8659" s="57"/>
      <c r="X8659" s="97">
        <v>0</v>
      </c>
    </row>
    <row r="8660" spans="1:24" s="75" customFormat="1" x14ac:dyDescent="0.35">
      <c r="A8660" s="75">
        <v>8656</v>
      </c>
      <c r="B8660" s="75">
        <v>8657</v>
      </c>
      <c r="C8660">
        <v>146.117965142</v>
      </c>
      <c r="D8660">
        <v>-17.605396566300001</v>
      </c>
      <c r="E8660" s="92" t="str">
        <f t="shared" si="48"/>
        <v/>
      </c>
      <c r="F8660" s="93" t="str">
        <f t="shared" si="47"/>
        <v>8657_20240611_0001_R_0710.jpg</v>
      </c>
      <c r="G8660" s="75" t="s">
        <v>7185</v>
      </c>
      <c r="I8660" s="75">
        <v>1</v>
      </c>
      <c r="K8660" s="97">
        <v>1</v>
      </c>
      <c r="L8660"/>
      <c r="M8660"/>
      <c r="N8660"/>
      <c r="O8660"/>
      <c r="P8660" s="57"/>
      <c r="Q8660" s="57"/>
      <c r="R8660" s="57"/>
      <c r="S8660" s="97">
        <v>0</v>
      </c>
      <c r="T8660" s="57"/>
      <c r="U8660" s="57"/>
      <c r="V8660" s="57"/>
      <c r="W8660" s="57"/>
      <c r="X8660" s="97">
        <v>0</v>
      </c>
    </row>
    <row r="8661" spans="1:24" s="75" customFormat="1" x14ac:dyDescent="0.35">
      <c r="A8661" s="75">
        <v>8657</v>
      </c>
      <c r="B8661" s="75">
        <v>8658</v>
      </c>
      <c r="C8661">
        <v>146.11796131099899</v>
      </c>
      <c r="D8661">
        <v>-17.6053110201</v>
      </c>
      <c r="E8661" s="92" t="str">
        <f t="shared" si="48"/>
        <v/>
      </c>
      <c r="F8661" s="93" t="str">
        <f t="shared" si="47"/>
        <v>8658_20240611_0001_R_0707.jpg</v>
      </c>
      <c r="G8661" s="75" t="s">
        <v>7186</v>
      </c>
      <c r="I8661" s="75">
        <v>1</v>
      </c>
      <c r="K8661" s="97">
        <v>1</v>
      </c>
      <c r="L8661"/>
      <c r="M8661"/>
      <c r="N8661"/>
      <c r="O8661"/>
      <c r="P8661" s="57"/>
      <c r="Q8661" s="57"/>
      <c r="R8661" s="57"/>
      <c r="S8661" s="97">
        <v>0</v>
      </c>
      <c r="T8661" s="57"/>
      <c r="U8661" s="57"/>
      <c r="V8661" s="57"/>
      <c r="W8661" s="57"/>
      <c r="X8661" s="97">
        <v>0</v>
      </c>
    </row>
    <row r="8662" spans="1:24" s="75" customFormat="1" x14ac:dyDescent="0.35">
      <c r="A8662" s="75">
        <v>8658</v>
      </c>
      <c r="B8662" s="75">
        <v>8659</v>
      </c>
      <c r="C8662">
        <v>146.11795747900001</v>
      </c>
      <c r="D8662">
        <v>-17.605225474000001</v>
      </c>
      <c r="E8662" s="92" t="str">
        <f t="shared" si="48"/>
        <v/>
      </c>
      <c r="F8662" s="93" t="str">
        <f t="shared" si="47"/>
        <v>8659_20240611_0001_R_0704.jpg</v>
      </c>
      <c r="G8662" s="75" t="s">
        <v>7187</v>
      </c>
      <c r="I8662" s="75">
        <v>1</v>
      </c>
      <c r="K8662" s="97">
        <v>1</v>
      </c>
      <c r="L8662"/>
      <c r="M8662"/>
      <c r="N8662"/>
      <c r="O8662"/>
      <c r="P8662" s="57"/>
      <c r="Q8662" s="57"/>
      <c r="R8662" s="57"/>
      <c r="S8662" s="97">
        <v>0</v>
      </c>
      <c r="T8662" s="57"/>
      <c r="U8662" s="57"/>
      <c r="V8662" s="57"/>
      <c r="W8662" s="57"/>
      <c r="X8662" s="97">
        <v>0</v>
      </c>
    </row>
    <row r="8663" spans="1:24" s="75" customFormat="1" x14ac:dyDescent="0.35">
      <c r="A8663" s="75">
        <v>8659</v>
      </c>
      <c r="B8663" s="75">
        <v>8660</v>
      </c>
      <c r="C8663">
        <v>146.11795372700001</v>
      </c>
      <c r="D8663">
        <v>-17.605139926300001</v>
      </c>
      <c r="E8663" s="92">
        <f t="shared" si="48"/>
        <v>50</v>
      </c>
      <c r="F8663" s="93" t="str">
        <f t="shared" si="47"/>
        <v>8660_20240611_0001_R_0700.jpg</v>
      </c>
      <c r="G8663" s="75" t="s">
        <v>7188</v>
      </c>
      <c r="I8663" s="75">
        <v>1</v>
      </c>
      <c r="K8663" s="97">
        <v>1</v>
      </c>
      <c r="L8663"/>
      <c r="M8663"/>
      <c r="N8663"/>
      <c r="O8663"/>
      <c r="P8663" s="57"/>
      <c r="Q8663" s="57"/>
      <c r="R8663" s="57"/>
      <c r="S8663" s="97">
        <v>0</v>
      </c>
      <c r="T8663" s="57"/>
      <c r="U8663" s="57"/>
      <c r="V8663" s="57"/>
      <c r="W8663" s="57"/>
      <c r="X8663" s="97">
        <v>0</v>
      </c>
    </row>
    <row r="8664" spans="1:24" s="75" customFormat="1" x14ac:dyDescent="0.35">
      <c r="A8664" s="75">
        <v>8660</v>
      </c>
      <c r="B8664" s="75">
        <v>8661</v>
      </c>
      <c r="C8664">
        <v>146.117954142999</v>
      </c>
      <c r="D8664">
        <v>-17.605054303100001</v>
      </c>
      <c r="E8664" s="92" t="str">
        <f t="shared" si="48"/>
        <v/>
      </c>
      <c r="F8664" s="93" t="str">
        <f t="shared" si="47"/>
        <v>8661_20240611_0001_R_0697.jpg</v>
      </c>
      <c r="G8664" s="75" t="s">
        <v>7189</v>
      </c>
      <c r="I8664" s="75">
        <v>1</v>
      </c>
      <c r="K8664" s="97">
        <v>1</v>
      </c>
      <c r="L8664"/>
      <c r="M8664"/>
      <c r="N8664"/>
      <c r="O8664"/>
      <c r="P8664" s="57"/>
      <c r="Q8664" s="57"/>
      <c r="R8664" s="57"/>
      <c r="S8664" s="97">
        <v>0</v>
      </c>
      <c r="T8664" s="57"/>
      <c r="U8664" s="57"/>
      <c r="V8664" s="57"/>
      <c r="W8664" s="57"/>
      <c r="X8664" s="97">
        <v>0</v>
      </c>
    </row>
    <row r="8665" spans="1:24" s="75" customFormat="1" x14ac:dyDescent="0.35">
      <c r="A8665" s="75">
        <v>8661</v>
      </c>
      <c r="B8665" s="75">
        <v>8662</v>
      </c>
      <c r="C8665">
        <v>146.117954558999</v>
      </c>
      <c r="D8665">
        <v>-17.604968679799899</v>
      </c>
      <c r="E8665" s="92" t="str">
        <f t="shared" si="48"/>
        <v/>
      </c>
      <c r="F8665" s="93" t="str">
        <f t="shared" ref="F8665:F8670" si="49">HYPERLINK("D:\Data From Lucan\2024\Moresby\Frames_for_Analysis\" &amp; G8665,G8665)</f>
        <v>8662_20240611_0001_R_0694.jpg</v>
      </c>
      <c r="G8665" s="75" t="s">
        <v>7190</v>
      </c>
      <c r="I8665" s="75">
        <v>1</v>
      </c>
      <c r="K8665" s="97">
        <v>1</v>
      </c>
      <c r="L8665"/>
      <c r="M8665"/>
      <c r="N8665"/>
      <c r="O8665"/>
      <c r="P8665" s="57"/>
      <c r="Q8665" s="57"/>
      <c r="R8665" s="57"/>
      <c r="S8665" s="97">
        <v>0</v>
      </c>
      <c r="T8665" s="57"/>
      <c r="U8665" s="57"/>
      <c r="V8665" s="57"/>
      <c r="W8665" s="57"/>
      <c r="X8665" s="97">
        <v>0</v>
      </c>
    </row>
    <row r="8666" spans="1:24" s="75" customFormat="1" x14ac:dyDescent="0.35">
      <c r="A8666" s="75">
        <v>8662</v>
      </c>
      <c r="B8666" s="75">
        <v>8663</v>
      </c>
      <c r="C8666">
        <v>146.117954975</v>
      </c>
      <c r="D8666">
        <v>-17.6048830565</v>
      </c>
      <c r="E8666" s="92" t="str">
        <f t="shared" si="48"/>
        <v/>
      </c>
      <c r="F8666" s="93" t="str">
        <f t="shared" si="49"/>
        <v>8663_20240611_0001_R_0691.jpg</v>
      </c>
      <c r="G8666" s="75" t="s">
        <v>7191</v>
      </c>
      <c r="I8666" s="75">
        <v>1</v>
      </c>
      <c r="K8666" s="97">
        <v>1</v>
      </c>
      <c r="L8666"/>
      <c r="M8666"/>
      <c r="N8666"/>
      <c r="O8666"/>
      <c r="P8666" s="57"/>
      <c r="Q8666" s="57"/>
      <c r="R8666" s="57"/>
      <c r="S8666" s="97">
        <v>0</v>
      </c>
      <c r="T8666" s="57"/>
      <c r="U8666" s="57"/>
      <c r="V8666" s="57"/>
      <c r="W8666" s="57"/>
      <c r="X8666" s="97">
        <v>0</v>
      </c>
    </row>
    <row r="8667" spans="1:24" s="75" customFormat="1" x14ac:dyDescent="0.35">
      <c r="A8667" s="75">
        <v>8663</v>
      </c>
      <c r="B8667" s="75">
        <v>8664</v>
      </c>
      <c r="C8667">
        <v>146.117955389999</v>
      </c>
      <c r="D8667">
        <v>-17.6047974331</v>
      </c>
      <c r="E8667" s="92" t="str">
        <f t="shared" si="48"/>
        <v/>
      </c>
      <c r="F8667" s="93" t="str">
        <f t="shared" si="49"/>
        <v>8664_20240611_0001_R_0687.jpg</v>
      </c>
      <c r="G8667" s="75" t="s">
        <v>7192</v>
      </c>
      <c r="I8667" s="75">
        <v>1</v>
      </c>
      <c r="K8667" s="97">
        <v>1</v>
      </c>
      <c r="L8667"/>
      <c r="M8667"/>
      <c r="N8667"/>
      <c r="O8667"/>
      <c r="P8667" s="57"/>
      <c r="Q8667" s="57"/>
      <c r="R8667" s="57"/>
      <c r="S8667" s="97">
        <v>0</v>
      </c>
      <c r="T8667" s="57"/>
      <c r="U8667" s="57"/>
      <c r="V8667" s="57"/>
      <c r="W8667" s="57"/>
      <c r="X8667" s="97">
        <v>0</v>
      </c>
    </row>
    <row r="8668" spans="1:24" s="75" customFormat="1" x14ac:dyDescent="0.35">
      <c r="A8668" s="75">
        <v>8664</v>
      </c>
      <c r="B8668" s="75">
        <v>8665</v>
      </c>
      <c r="C8668">
        <v>146.11795172999899</v>
      </c>
      <c r="D8668">
        <v>-17.604711996500001</v>
      </c>
      <c r="E8668" s="92">
        <f t="shared" si="48"/>
        <v>50</v>
      </c>
      <c r="F8668" s="93" t="str">
        <f t="shared" si="49"/>
        <v>8665_20240611_0001_R_0677.jpg</v>
      </c>
      <c r="G8668" s="75" t="s">
        <v>7193</v>
      </c>
      <c r="I8668" s="75">
        <v>1</v>
      </c>
      <c r="K8668" s="97">
        <v>1</v>
      </c>
      <c r="L8668"/>
      <c r="M8668"/>
      <c r="N8668"/>
      <c r="O8668"/>
      <c r="P8668" s="57"/>
      <c r="Q8668" s="57"/>
      <c r="R8668" s="57"/>
      <c r="S8668" s="97">
        <v>0</v>
      </c>
      <c r="T8668" s="57"/>
      <c r="U8668" s="57"/>
      <c r="V8668" s="57"/>
      <c r="W8668" s="57"/>
      <c r="X8668" s="97">
        <v>0</v>
      </c>
    </row>
    <row r="8669" spans="1:24" s="75" customFormat="1" x14ac:dyDescent="0.35">
      <c r="A8669" s="75">
        <v>8665</v>
      </c>
      <c r="B8669" s="75">
        <v>8666</v>
      </c>
      <c r="C8669">
        <v>146.11794269800001</v>
      </c>
      <c r="D8669">
        <v>-17.604626806100001</v>
      </c>
      <c r="E8669" s="92" t="str">
        <f t="shared" si="48"/>
        <v/>
      </c>
      <c r="F8669" s="93" t="str">
        <f t="shared" si="49"/>
        <v>8666_20240611_0001_R_0671.jpg</v>
      </c>
      <c r="G8669" s="75" t="s">
        <v>7194</v>
      </c>
      <c r="I8669" s="75">
        <v>1</v>
      </c>
      <c r="K8669" s="97">
        <v>1</v>
      </c>
      <c r="L8669"/>
      <c r="M8669"/>
      <c r="N8669"/>
      <c r="O8669"/>
      <c r="P8669" s="57"/>
      <c r="Q8669" s="57"/>
      <c r="R8669" s="57"/>
      <c r="S8669" s="97">
        <v>0</v>
      </c>
      <c r="T8669" s="57"/>
      <c r="U8669" s="57"/>
      <c r="V8669" s="57"/>
      <c r="W8669" s="57"/>
      <c r="X8669" s="97">
        <v>0</v>
      </c>
    </row>
    <row r="8670" spans="1:24" s="75" customFormat="1" x14ac:dyDescent="0.35">
      <c r="A8670" s="75">
        <v>8666</v>
      </c>
      <c r="B8670" s="75">
        <v>8667</v>
      </c>
      <c r="C8670">
        <v>146.117933665999</v>
      </c>
      <c r="D8670">
        <v>-17.604541615500001</v>
      </c>
      <c r="E8670" s="92" t="str">
        <f t="shared" si="48"/>
        <v/>
      </c>
      <c r="F8670" s="93" t="str">
        <f t="shared" si="49"/>
        <v>8667_20240611_0001_R_0667.jpg</v>
      </c>
      <c r="G8670" s="75" t="s">
        <v>7195</v>
      </c>
      <c r="I8670" s="75">
        <v>1</v>
      </c>
      <c r="K8670" s="97">
        <v>1</v>
      </c>
      <c r="L8670"/>
      <c r="M8670"/>
      <c r="N8670"/>
      <c r="O8670"/>
      <c r="P8670" s="57"/>
      <c r="Q8670" s="57"/>
      <c r="R8670" s="57"/>
      <c r="S8670" s="97">
        <v>0</v>
      </c>
      <c r="T8670" s="57"/>
      <c r="U8670" s="57"/>
      <c r="V8670" s="57"/>
      <c r="W8670" s="57"/>
      <c r="X8670" s="97">
        <v>0</v>
      </c>
    </row>
    <row r="8671" spans="1:24" hidden="1" x14ac:dyDescent="0.35">
      <c r="A8671">
        <v>8667</v>
      </c>
      <c r="B8671">
        <v>8668</v>
      </c>
      <c r="C8671">
        <v>146.11791800399899</v>
      </c>
      <c r="D8671">
        <v>-17.604457642</v>
      </c>
      <c r="E8671" s="92" t="str">
        <f t="shared" si="48"/>
        <v/>
      </c>
      <c r="G8671" s="92" t="s">
        <v>7196</v>
      </c>
      <c r="I8671">
        <v>6</v>
      </c>
      <c r="J8671" t="s">
        <v>26</v>
      </c>
      <c r="K8671" s="57"/>
      <c r="S8671" s="57"/>
      <c r="X8671" s="57"/>
    </row>
    <row r="8672" spans="1:24" hidden="1" x14ac:dyDescent="0.35">
      <c r="A8672">
        <v>8668</v>
      </c>
      <c r="B8672">
        <v>8669</v>
      </c>
      <c r="C8672">
        <v>146.117893197999</v>
      </c>
      <c r="D8672">
        <v>-17.604375347000001</v>
      </c>
      <c r="E8672" s="92" t="str">
        <f t="shared" si="48"/>
        <v/>
      </c>
      <c r="G8672" s="92" t="s">
        <v>7197</v>
      </c>
      <c r="I8672">
        <v>6</v>
      </c>
      <c r="J8672" t="s">
        <v>26</v>
      </c>
      <c r="K8672" s="57"/>
      <c r="S8672" s="57"/>
      <c r="X8672" s="57"/>
    </row>
    <row r="8673" spans="1:24" hidden="1" x14ac:dyDescent="0.35">
      <c r="A8673">
        <v>8669</v>
      </c>
      <c r="B8673">
        <v>8670</v>
      </c>
      <c r="C8673">
        <v>146.11786818300001</v>
      </c>
      <c r="D8673">
        <v>-17.6042931104</v>
      </c>
      <c r="E8673" s="92">
        <f t="shared" si="48"/>
        <v>50</v>
      </c>
      <c r="G8673" s="92" t="s">
        <v>7198</v>
      </c>
      <c r="I8673">
        <v>6</v>
      </c>
      <c r="J8673" t="s">
        <v>26</v>
      </c>
      <c r="K8673" s="57"/>
      <c r="S8673" s="57"/>
      <c r="X8673" s="57"/>
    </row>
    <row r="8674" spans="1:24" hidden="1" x14ac:dyDescent="0.35">
      <c r="A8674">
        <v>8670</v>
      </c>
      <c r="B8674">
        <v>8671</v>
      </c>
      <c r="C8674">
        <v>146.11784210299899</v>
      </c>
      <c r="D8674">
        <v>-17.604211173700001</v>
      </c>
      <c r="E8674" s="92" t="str">
        <f t="shared" si="48"/>
        <v/>
      </c>
      <c r="G8674" s="92" t="s">
        <v>7199</v>
      </c>
      <c r="I8674">
        <v>6</v>
      </c>
      <c r="J8674" t="s">
        <v>26</v>
      </c>
      <c r="K8674" s="57"/>
      <c r="S8674" s="57"/>
      <c r="X8674" s="57"/>
    </row>
    <row r="8675" spans="1:24" hidden="1" x14ac:dyDescent="0.35">
      <c r="A8675">
        <v>8671</v>
      </c>
      <c r="B8675">
        <v>8672</v>
      </c>
      <c r="C8675">
        <v>146.11780795799899</v>
      </c>
      <c r="D8675">
        <v>-17.604133657599899</v>
      </c>
      <c r="E8675" s="92" t="str">
        <f t="shared" si="48"/>
        <v/>
      </c>
      <c r="G8675" s="92" t="s">
        <v>7200</v>
      </c>
      <c r="I8675">
        <v>6</v>
      </c>
      <c r="J8675" t="s">
        <v>26</v>
      </c>
      <c r="K8675" s="57"/>
      <c r="S8675" s="57"/>
      <c r="X8675" s="57"/>
    </row>
    <row r="8676" spans="1:24" hidden="1" x14ac:dyDescent="0.35">
      <c r="A8676">
        <v>8672</v>
      </c>
      <c r="B8676">
        <v>8673</v>
      </c>
      <c r="C8676">
        <v>146.117746783</v>
      </c>
      <c r="D8676">
        <v>-17.604070956000001</v>
      </c>
      <c r="E8676" s="92" t="str">
        <f t="shared" si="48"/>
        <v/>
      </c>
      <c r="G8676" s="92" t="s">
        <v>7201</v>
      </c>
      <c r="I8676">
        <v>6</v>
      </c>
      <c r="J8676" t="s">
        <v>26</v>
      </c>
      <c r="K8676" s="57"/>
      <c r="S8676" s="57"/>
      <c r="X8676" s="57"/>
    </row>
    <row r="8677" spans="1:24" hidden="1" x14ac:dyDescent="0.35">
      <c r="A8677">
        <v>8673</v>
      </c>
      <c r="B8677">
        <v>8674</v>
      </c>
      <c r="C8677">
        <v>146.11767660800001</v>
      </c>
      <c r="D8677">
        <v>-17.6040183665</v>
      </c>
      <c r="E8677" s="92" t="str">
        <f t="shared" si="48"/>
        <v/>
      </c>
      <c r="G8677" s="92"/>
      <c r="I8677">
        <v>6</v>
      </c>
      <c r="J8677" t="s">
        <v>26</v>
      </c>
      <c r="K8677" s="57"/>
      <c r="S8677" s="57"/>
      <c r="X8677" s="57"/>
    </row>
    <row r="8678" spans="1:24" hidden="1" x14ac:dyDescent="0.35">
      <c r="A8678">
        <v>8674</v>
      </c>
      <c r="B8678">
        <v>8675</v>
      </c>
      <c r="C8678">
        <v>146.117601731999</v>
      </c>
      <c r="D8678">
        <v>-17.6039710585999</v>
      </c>
      <c r="E8678" s="92">
        <f t="shared" si="48"/>
        <v>50</v>
      </c>
      <c r="G8678" s="92" t="s">
        <v>7202</v>
      </c>
      <c r="I8678">
        <v>6</v>
      </c>
      <c r="J8678" t="s">
        <v>26</v>
      </c>
      <c r="K8678" s="57"/>
      <c r="S8678" s="57"/>
      <c r="X8678" s="57"/>
    </row>
    <row r="8679" spans="1:24" hidden="1" x14ac:dyDescent="0.35">
      <c r="A8679">
        <v>8675</v>
      </c>
      <c r="B8679">
        <v>8676</v>
      </c>
      <c r="C8679">
        <v>146.11752865400001</v>
      </c>
      <c r="D8679">
        <v>-17.6039212706999</v>
      </c>
      <c r="E8679" s="92" t="str">
        <f t="shared" si="48"/>
        <v/>
      </c>
      <c r="G8679" s="92"/>
      <c r="I8679">
        <v>6</v>
      </c>
      <c r="J8679" t="s">
        <v>26</v>
      </c>
      <c r="K8679" s="57"/>
      <c r="S8679" s="57"/>
      <c r="X8679" s="57"/>
    </row>
    <row r="8680" spans="1:24" hidden="1" x14ac:dyDescent="0.35">
      <c r="A8680">
        <v>8676</v>
      </c>
      <c r="B8680">
        <v>8677</v>
      </c>
      <c r="C8680">
        <v>146.117455113999</v>
      </c>
      <c r="D8680">
        <v>-17.6038724609</v>
      </c>
      <c r="E8680" s="92" t="str">
        <f t="shared" si="48"/>
        <v/>
      </c>
      <c r="G8680" s="92"/>
      <c r="I8680">
        <v>6</v>
      </c>
      <c r="J8680" t="s">
        <v>26</v>
      </c>
      <c r="K8680" s="57"/>
      <c r="S8680" s="57"/>
      <c r="X8680" s="57"/>
    </row>
    <row r="8681" spans="1:24" hidden="1" x14ac:dyDescent="0.35">
      <c r="A8681">
        <v>8677</v>
      </c>
      <c r="B8681">
        <v>8678</v>
      </c>
      <c r="C8681">
        <v>146.117369236999</v>
      </c>
      <c r="D8681">
        <v>-17.6038473348999</v>
      </c>
      <c r="E8681" s="92" t="str">
        <f t="shared" si="48"/>
        <v/>
      </c>
      <c r="G8681" s="92"/>
      <c r="I8681">
        <v>6</v>
      </c>
      <c r="J8681" t="s">
        <v>26</v>
      </c>
      <c r="K8681" s="57"/>
      <c r="S8681" s="57"/>
      <c r="X8681" s="57"/>
    </row>
    <row r="8682" spans="1:24" hidden="1" x14ac:dyDescent="0.35">
      <c r="A8682">
        <v>8678</v>
      </c>
      <c r="B8682">
        <v>8679</v>
      </c>
      <c r="C8682">
        <v>146.117281095999</v>
      </c>
      <c r="D8682">
        <v>-17.603831990300002</v>
      </c>
      <c r="E8682" s="92" t="str">
        <f t="shared" si="48"/>
        <v/>
      </c>
      <c r="G8682" s="92"/>
      <c r="I8682">
        <v>6</v>
      </c>
      <c r="J8682" t="s">
        <v>26</v>
      </c>
      <c r="K8682" s="57"/>
      <c r="S8682" s="57"/>
      <c r="X8682" s="57"/>
    </row>
    <row r="8683" spans="1:24" hidden="1" x14ac:dyDescent="0.35">
      <c r="A8683">
        <v>8679</v>
      </c>
      <c r="B8683">
        <v>8680</v>
      </c>
      <c r="C8683">
        <v>146.11719566599899</v>
      </c>
      <c r="D8683">
        <v>-17.6038056000999</v>
      </c>
      <c r="E8683" s="92">
        <f t="shared" si="48"/>
        <v>50</v>
      </c>
      <c r="G8683" s="92"/>
      <c r="I8683">
        <v>6</v>
      </c>
      <c r="J8683" t="s">
        <v>26</v>
      </c>
      <c r="K8683" s="57"/>
      <c r="S8683" s="57"/>
      <c r="X8683" s="57"/>
    </row>
    <row r="8684" spans="1:24" hidden="1" x14ac:dyDescent="0.35">
      <c r="A8684">
        <v>8680</v>
      </c>
      <c r="B8684">
        <v>8681</v>
      </c>
      <c r="C8684">
        <v>146.117110303999</v>
      </c>
      <c r="D8684">
        <v>-17.603778929200001</v>
      </c>
      <c r="E8684" s="92" t="str">
        <f t="shared" si="48"/>
        <v/>
      </c>
      <c r="G8684" s="92"/>
      <c r="I8684">
        <v>6</v>
      </c>
      <c r="J8684" t="s">
        <v>26</v>
      </c>
      <c r="K8684" s="57"/>
      <c r="S8684" s="57"/>
      <c r="X8684" s="57"/>
    </row>
    <row r="8685" spans="1:24" hidden="1" x14ac:dyDescent="0.35">
      <c r="A8685">
        <v>8681</v>
      </c>
      <c r="B8685">
        <v>8682</v>
      </c>
      <c r="C8685">
        <v>146.11702494100001</v>
      </c>
      <c r="D8685">
        <v>-17.6037522582</v>
      </c>
      <c r="E8685" s="92" t="str">
        <f t="shared" si="48"/>
        <v/>
      </c>
      <c r="G8685" s="92"/>
      <c r="I8685">
        <v>6</v>
      </c>
      <c r="J8685" t="s">
        <v>26</v>
      </c>
      <c r="K8685" s="57"/>
      <c r="S8685" s="57"/>
      <c r="X8685" s="57"/>
    </row>
    <row r="8686" spans="1:24" hidden="1" x14ac:dyDescent="0.35">
      <c r="A8686">
        <v>8682</v>
      </c>
      <c r="B8686">
        <v>8683</v>
      </c>
      <c r="C8686">
        <v>146.11693957899899</v>
      </c>
      <c r="D8686">
        <v>-17.603725587300001</v>
      </c>
      <c r="E8686" s="92" t="str">
        <f t="shared" si="48"/>
        <v/>
      </c>
      <c r="G8686" s="92"/>
      <c r="I8686">
        <v>6</v>
      </c>
      <c r="J8686" t="s">
        <v>26</v>
      </c>
      <c r="K8686" s="57"/>
      <c r="S8686" s="57"/>
      <c r="X8686" s="57"/>
    </row>
    <row r="8687" spans="1:24" hidden="1" x14ac:dyDescent="0.35">
      <c r="A8687">
        <v>8683</v>
      </c>
      <c r="B8687">
        <v>8684</v>
      </c>
      <c r="C8687">
        <v>146.11685421600001</v>
      </c>
      <c r="D8687">
        <v>-17.6036989163999</v>
      </c>
      <c r="E8687" s="92" t="str">
        <f t="shared" si="48"/>
        <v/>
      </c>
      <c r="G8687" s="92"/>
      <c r="I8687">
        <v>6</v>
      </c>
      <c r="J8687" t="s">
        <v>26</v>
      </c>
      <c r="K8687" s="57"/>
      <c r="S8687" s="57"/>
      <c r="X8687" s="57"/>
    </row>
    <row r="8688" spans="1:24" hidden="1" x14ac:dyDescent="0.35">
      <c r="A8688">
        <v>8684</v>
      </c>
      <c r="B8688">
        <v>8685</v>
      </c>
      <c r="C8688">
        <v>146.11676885399899</v>
      </c>
      <c r="D8688">
        <v>-17.603672245399899</v>
      </c>
      <c r="E8688" s="92">
        <f t="shared" si="48"/>
        <v>50</v>
      </c>
      <c r="G8688" s="92"/>
      <c r="I8688">
        <v>6</v>
      </c>
      <c r="J8688" t="s">
        <v>26</v>
      </c>
      <c r="K8688" s="57"/>
      <c r="S8688" s="57"/>
      <c r="X8688" s="57"/>
    </row>
    <row r="8689" spans="1:24" hidden="1" x14ac:dyDescent="0.35">
      <c r="A8689">
        <v>8685</v>
      </c>
      <c r="B8689">
        <v>8686</v>
      </c>
      <c r="C8689">
        <v>146.11670762200001</v>
      </c>
      <c r="D8689">
        <v>-17.6036116496999</v>
      </c>
      <c r="E8689" s="92" t="str">
        <f t="shared" si="48"/>
        <v/>
      </c>
      <c r="G8689" s="92"/>
      <c r="I8689">
        <v>6</v>
      </c>
      <c r="J8689" t="s">
        <v>26</v>
      </c>
      <c r="K8689" s="57"/>
      <c r="S8689" s="57"/>
      <c r="X8689" s="57"/>
    </row>
    <row r="8690" spans="1:24" hidden="1" x14ac:dyDescent="0.35">
      <c r="A8690">
        <v>8686</v>
      </c>
      <c r="B8690">
        <v>8687</v>
      </c>
      <c r="C8690">
        <v>146.11665002999899</v>
      </c>
      <c r="D8690">
        <v>-17.603545937100002</v>
      </c>
      <c r="E8690" s="92" t="str">
        <f t="shared" si="48"/>
        <v/>
      </c>
      <c r="G8690" s="92"/>
      <c r="I8690">
        <v>6</v>
      </c>
      <c r="J8690" t="s">
        <v>26</v>
      </c>
      <c r="K8690" s="57"/>
      <c r="S8690" s="57"/>
      <c r="X8690" s="57"/>
    </row>
    <row r="8691" spans="1:24" hidden="1" x14ac:dyDescent="0.35">
      <c r="A8691">
        <v>8687</v>
      </c>
      <c r="B8691">
        <v>8688</v>
      </c>
      <c r="C8691">
        <v>146.116591188999</v>
      </c>
      <c r="D8691">
        <v>-17.6034813986</v>
      </c>
      <c r="E8691" s="92" t="str">
        <f t="shared" si="48"/>
        <v/>
      </c>
      <c r="G8691" s="92" t="s">
        <v>7203</v>
      </c>
      <c r="I8691">
        <v>6</v>
      </c>
      <c r="J8691" t="s">
        <v>26</v>
      </c>
      <c r="K8691" s="57"/>
      <c r="S8691" s="57"/>
      <c r="X8691" s="57"/>
    </row>
    <row r="8692" spans="1:24" hidden="1" x14ac:dyDescent="0.35">
      <c r="A8692">
        <v>8688</v>
      </c>
      <c r="B8692">
        <v>8689</v>
      </c>
      <c r="C8692">
        <v>146.116523059999</v>
      </c>
      <c r="D8692">
        <v>-17.6034255896</v>
      </c>
      <c r="E8692" s="92" t="str">
        <f t="shared" si="48"/>
        <v/>
      </c>
      <c r="G8692" s="92"/>
      <c r="I8692">
        <v>6</v>
      </c>
      <c r="J8692" t="s">
        <v>26</v>
      </c>
      <c r="K8692" s="57"/>
      <c r="S8692" s="57"/>
      <c r="X8692" s="57"/>
    </row>
    <row r="8693" spans="1:24" hidden="1" x14ac:dyDescent="0.35">
      <c r="A8693">
        <v>8689</v>
      </c>
      <c r="B8693">
        <v>8690</v>
      </c>
      <c r="C8693">
        <v>146.11645493200001</v>
      </c>
      <c r="D8693">
        <v>-17.6033697805</v>
      </c>
      <c r="E8693" s="92">
        <f t="shared" si="48"/>
        <v>50</v>
      </c>
      <c r="G8693" s="92"/>
      <c r="I8693">
        <v>6</v>
      </c>
      <c r="J8693" t="s">
        <v>26</v>
      </c>
      <c r="K8693" s="57"/>
      <c r="S8693" s="57"/>
      <c r="X8693" s="57"/>
    </row>
    <row r="8694" spans="1:24" hidden="1" x14ac:dyDescent="0.35">
      <c r="A8694">
        <v>8690</v>
      </c>
      <c r="B8694">
        <v>8691</v>
      </c>
      <c r="C8694">
        <v>146.11638680300001</v>
      </c>
      <c r="D8694">
        <v>-17.603313971399899</v>
      </c>
      <c r="E8694" s="92" t="str">
        <f t="shared" si="48"/>
        <v/>
      </c>
      <c r="G8694" s="92"/>
      <c r="I8694">
        <v>6</v>
      </c>
      <c r="J8694" t="s">
        <v>26</v>
      </c>
      <c r="K8694" s="57"/>
      <c r="S8694" s="57"/>
      <c r="X8694" s="57"/>
    </row>
    <row r="8695" spans="1:24" hidden="1" x14ac:dyDescent="0.35">
      <c r="A8695">
        <v>8691</v>
      </c>
      <c r="B8695">
        <v>8692</v>
      </c>
      <c r="C8695">
        <v>146.11631867400001</v>
      </c>
      <c r="D8695">
        <v>-17.603258162300001</v>
      </c>
      <c r="E8695" s="92" t="str">
        <f t="shared" si="48"/>
        <v/>
      </c>
      <c r="G8695" s="92"/>
      <c r="I8695">
        <v>6</v>
      </c>
      <c r="J8695" t="s">
        <v>26</v>
      </c>
      <c r="K8695" s="57"/>
      <c r="S8695" s="57"/>
      <c r="X8695" s="57"/>
    </row>
    <row r="8696" spans="1:24" hidden="1" x14ac:dyDescent="0.35">
      <c r="A8696">
        <v>8692</v>
      </c>
      <c r="B8696">
        <v>8693</v>
      </c>
      <c r="C8696">
        <v>146.11627360099899</v>
      </c>
      <c r="D8696">
        <v>-17.603185454599899</v>
      </c>
      <c r="E8696" s="92" t="str">
        <f t="shared" si="48"/>
        <v/>
      </c>
      <c r="G8696" s="92" t="s">
        <v>7204</v>
      </c>
      <c r="I8696">
        <v>6</v>
      </c>
      <c r="J8696" t="s">
        <v>26</v>
      </c>
      <c r="K8696" s="57"/>
      <c r="S8696" s="57"/>
      <c r="X8696" s="57"/>
    </row>
    <row r="8697" spans="1:24" hidden="1" x14ac:dyDescent="0.35">
      <c r="A8697">
        <v>8693</v>
      </c>
      <c r="B8697">
        <v>8694</v>
      </c>
      <c r="C8697">
        <v>146.116234509999</v>
      </c>
      <c r="D8697">
        <v>-17.6031083618</v>
      </c>
      <c r="E8697" s="92" t="str">
        <f t="shared" si="48"/>
        <v/>
      </c>
      <c r="G8697" s="92"/>
      <c r="I8697">
        <v>6</v>
      </c>
      <c r="J8697" t="s">
        <v>26</v>
      </c>
      <c r="K8697" s="57"/>
      <c r="S8697" s="57"/>
      <c r="X8697" s="57"/>
    </row>
    <row r="8698" spans="1:24" hidden="1" x14ac:dyDescent="0.35">
      <c r="A8698">
        <v>8694</v>
      </c>
      <c r="B8698">
        <v>8695</v>
      </c>
      <c r="C8698">
        <v>146.11619541900001</v>
      </c>
      <c r="D8698">
        <v>-17.603031268900001</v>
      </c>
      <c r="E8698" s="92">
        <f t="shared" si="48"/>
        <v>50</v>
      </c>
      <c r="G8698" s="92" t="s">
        <v>7205</v>
      </c>
      <c r="I8698">
        <v>6</v>
      </c>
      <c r="J8698" t="s">
        <v>26</v>
      </c>
      <c r="K8698" s="57"/>
      <c r="S8698" s="57"/>
      <c r="X8698" s="57"/>
    </row>
    <row r="8699" spans="1:24" hidden="1" x14ac:dyDescent="0.35">
      <c r="A8699">
        <v>8695</v>
      </c>
      <c r="B8699">
        <v>8696</v>
      </c>
      <c r="C8699">
        <v>146.11615632799899</v>
      </c>
      <c r="D8699">
        <v>-17.6029541760999</v>
      </c>
      <c r="E8699" s="92" t="str">
        <f t="shared" si="48"/>
        <v/>
      </c>
      <c r="G8699" s="92"/>
      <c r="I8699">
        <v>6</v>
      </c>
      <c r="J8699" t="s">
        <v>26</v>
      </c>
      <c r="K8699" s="57"/>
      <c r="S8699" s="57"/>
      <c r="X8699" s="57"/>
    </row>
    <row r="8700" spans="1:24" hidden="1" x14ac:dyDescent="0.35">
      <c r="A8700">
        <v>8696</v>
      </c>
      <c r="B8700">
        <v>8697</v>
      </c>
      <c r="C8700">
        <v>146.116122168999</v>
      </c>
      <c r="D8700">
        <v>-17.6028753133</v>
      </c>
      <c r="E8700" s="92" t="str">
        <f t="shared" si="48"/>
        <v/>
      </c>
      <c r="G8700" s="92"/>
      <c r="I8700">
        <v>6</v>
      </c>
      <c r="J8700" t="s">
        <v>26</v>
      </c>
      <c r="K8700" s="57"/>
      <c r="S8700" s="57"/>
      <c r="X8700" s="57"/>
    </row>
    <row r="8701" spans="1:24" hidden="1" x14ac:dyDescent="0.35">
      <c r="A8701">
        <v>8697</v>
      </c>
      <c r="B8701">
        <v>8698</v>
      </c>
      <c r="C8701">
        <v>146.116098219999</v>
      </c>
      <c r="D8701">
        <v>-17.602792786999899</v>
      </c>
      <c r="E8701" s="92" t="str">
        <f t="shared" si="48"/>
        <v/>
      </c>
      <c r="G8701" s="92"/>
      <c r="I8701">
        <v>6</v>
      </c>
      <c r="J8701" t="s">
        <v>26</v>
      </c>
      <c r="K8701" s="57"/>
      <c r="S8701" s="57"/>
      <c r="X8701" s="57"/>
    </row>
    <row r="8702" spans="1:24" hidden="1" x14ac:dyDescent="0.35">
      <c r="A8702">
        <v>8698</v>
      </c>
      <c r="B8702">
        <v>8699</v>
      </c>
      <c r="C8702">
        <v>146.116074271999</v>
      </c>
      <c r="D8702">
        <v>-17.602710260599899</v>
      </c>
      <c r="E8702" s="92" t="str">
        <f t="shared" si="48"/>
        <v/>
      </c>
      <c r="G8702" s="92" t="s">
        <v>7206</v>
      </c>
      <c r="I8702">
        <v>6</v>
      </c>
      <c r="J8702" t="s">
        <v>26</v>
      </c>
      <c r="K8702" s="57"/>
      <c r="S8702" s="57"/>
      <c r="X8702" s="57"/>
    </row>
    <row r="8703" spans="1:24" hidden="1" x14ac:dyDescent="0.35">
      <c r="A8703">
        <v>8699</v>
      </c>
      <c r="B8703">
        <v>8700</v>
      </c>
      <c r="C8703">
        <v>146.116050322999</v>
      </c>
      <c r="D8703">
        <v>-17.602627734199899</v>
      </c>
      <c r="E8703" s="92">
        <f t="shared" si="48"/>
        <v>50</v>
      </c>
      <c r="G8703" s="92" t="s">
        <v>7207</v>
      </c>
      <c r="I8703">
        <v>6</v>
      </c>
      <c r="J8703" t="s">
        <v>26</v>
      </c>
      <c r="K8703" s="57"/>
      <c r="S8703" s="57"/>
      <c r="X8703" s="57"/>
    </row>
    <row r="8704" spans="1:24" hidden="1" x14ac:dyDescent="0.35">
      <c r="A8704">
        <v>8700</v>
      </c>
      <c r="B8704">
        <v>8701</v>
      </c>
      <c r="C8704">
        <v>146.11602042499899</v>
      </c>
      <c r="D8704">
        <v>-17.602547409100001</v>
      </c>
      <c r="E8704" s="92" t="str">
        <f t="shared" si="48"/>
        <v/>
      </c>
      <c r="G8704" s="92" t="s">
        <v>7208</v>
      </c>
      <c r="I8704">
        <v>6</v>
      </c>
      <c r="J8704" t="s">
        <v>26</v>
      </c>
      <c r="K8704" s="57"/>
      <c r="S8704" s="57"/>
      <c r="X8704" s="57"/>
    </row>
    <row r="8705" spans="1:24" hidden="1" x14ac:dyDescent="0.35">
      <c r="A8705">
        <v>8701</v>
      </c>
      <c r="B8705">
        <v>8702</v>
      </c>
      <c r="C8705">
        <v>146.115979686</v>
      </c>
      <c r="D8705">
        <v>-17.602471095199899</v>
      </c>
      <c r="E8705" s="92" t="str">
        <f t="shared" si="48"/>
        <v/>
      </c>
      <c r="G8705" s="92" t="s">
        <v>7209</v>
      </c>
      <c r="I8705">
        <v>6</v>
      </c>
      <c r="J8705" t="s">
        <v>26</v>
      </c>
      <c r="K8705" s="57"/>
      <c r="S8705" s="57"/>
      <c r="X8705" s="57"/>
    </row>
    <row r="8706" spans="1:24" hidden="1" x14ac:dyDescent="0.35">
      <c r="A8706">
        <v>8702</v>
      </c>
      <c r="B8706">
        <v>8703</v>
      </c>
      <c r="C8706">
        <v>146.11593894699899</v>
      </c>
      <c r="D8706">
        <v>-17.602394781200001</v>
      </c>
      <c r="E8706" s="92" t="str">
        <f t="shared" si="48"/>
        <v/>
      </c>
      <c r="G8706" s="92" t="s">
        <v>7210</v>
      </c>
      <c r="I8706">
        <v>6</v>
      </c>
      <c r="J8706" t="s">
        <v>26</v>
      </c>
      <c r="K8706" s="57"/>
      <c r="S8706" s="57"/>
      <c r="X8706" s="57"/>
    </row>
    <row r="8707" spans="1:24" hidden="1" x14ac:dyDescent="0.35">
      <c r="A8707">
        <v>8703</v>
      </c>
      <c r="B8707">
        <v>8704</v>
      </c>
      <c r="C8707">
        <v>146.115898208</v>
      </c>
      <c r="D8707">
        <v>-17.6023184672</v>
      </c>
      <c r="E8707" s="92" t="str">
        <f t="shared" si="48"/>
        <v/>
      </c>
      <c r="G8707" s="92" t="s">
        <v>7211</v>
      </c>
      <c r="I8707">
        <v>6</v>
      </c>
      <c r="J8707" t="s">
        <v>26</v>
      </c>
      <c r="K8707" s="57"/>
      <c r="S8707" s="57"/>
      <c r="X8707" s="57"/>
    </row>
    <row r="8708" spans="1:24" hidden="1" x14ac:dyDescent="0.35">
      <c r="A8708">
        <v>8704</v>
      </c>
      <c r="B8708">
        <v>8705</v>
      </c>
      <c r="C8708">
        <v>146.11585620400001</v>
      </c>
      <c r="D8708">
        <v>-17.6022428021999</v>
      </c>
      <c r="E8708" s="92">
        <f t="shared" si="48"/>
        <v>50</v>
      </c>
      <c r="G8708" s="92" t="s">
        <v>7212</v>
      </c>
      <c r="I8708">
        <v>6</v>
      </c>
      <c r="J8708" t="s">
        <v>26</v>
      </c>
      <c r="K8708" s="57"/>
      <c r="S8708" s="57"/>
      <c r="X8708" s="57"/>
    </row>
    <row r="8709" spans="1:24" hidden="1" x14ac:dyDescent="0.35">
      <c r="A8709">
        <v>8705</v>
      </c>
      <c r="B8709">
        <v>8706</v>
      </c>
      <c r="C8709">
        <v>146.115811764</v>
      </c>
      <c r="D8709">
        <v>-17.602168388500001</v>
      </c>
      <c r="E8709" s="92" t="str">
        <f t="shared" si="48"/>
        <v/>
      </c>
      <c r="G8709" s="92"/>
      <c r="I8709">
        <v>6</v>
      </c>
      <c r="J8709" t="s">
        <v>26</v>
      </c>
      <c r="K8709" s="57"/>
      <c r="S8709" s="57"/>
      <c r="X8709" s="57"/>
    </row>
    <row r="8710" spans="1:24" hidden="1" x14ac:dyDescent="0.35">
      <c r="A8710">
        <v>8706</v>
      </c>
      <c r="B8710">
        <v>8707</v>
      </c>
      <c r="C8710">
        <v>146.11576732399899</v>
      </c>
      <c r="D8710">
        <v>-17.602093974599899</v>
      </c>
      <c r="E8710" s="92" t="str">
        <f t="shared" si="48"/>
        <v/>
      </c>
      <c r="G8710" s="92" t="s">
        <v>7213</v>
      </c>
      <c r="I8710">
        <v>6</v>
      </c>
      <c r="J8710" t="s">
        <v>26</v>
      </c>
      <c r="K8710" s="57"/>
      <c r="S8710" s="57"/>
      <c r="X8710" s="57"/>
    </row>
    <row r="8711" spans="1:24" hidden="1" x14ac:dyDescent="0.35">
      <c r="A8711">
        <v>8707</v>
      </c>
      <c r="B8711">
        <v>8708</v>
      </c>
      <c r="C8711">
        <v>146.11572288400001</v>
      </c>
      <c r="D8711">
        <v>-17.602019560799899</v>
      </c>
      <c r="E8711" s="92" t="str">
        <f t="shared" si="48"/>
        <v/>
      </c>
      <c r="G8711" s="92" t="s">
        <v>7214</v>
      </c>
      <c r="I8711">
        <v>6</v>
      </c>
      <c r="J8711" t="s">
        <v>26</v>
      </c>
      <c r="K8711" s="57"/>
      <c r="S8711" s="57"/>
      <c r="X8711" s="57"/>
    </row>
    <row r="8712" spans="1:24" hidden="1" x14ac:dyDescent="0.35">
      <c r="A8712">
        <v>8708</v>
      </c>
      <c r="B8712">
        <v>8709</v>
      </c>
      <c r="C8712">
        <v>146.11567742099899</v>
      </c>
      <c r="D8712">
        <v>-17.601945760700001</v>
      </c>
      <c r="E8712" s="92" t="str">
        <f t="shared" si="48"/>
        <v/>
      </c>
      <c r="G8712" s="92" t="s">
        <v>7215</v>
      </c>
      <c r="I8712">
        <v>6</v>
      </c>
      <c r="J8712" t="s">
        <v>26</v>
      </c>
      <c r="K8712" s="57"/>
      <c r="S8712" s="57"/>
      <c r="X8712" s="57"/>
    </row>
    <row r="8713" spans="1:24" hidden="1" x14ac:dyDescent="0.35">
      <c r="A8713">
        <v>8709</v>
      </c>
      <c r="B8713">
        <v>8710</v>
      </c>
      <c r="C8713">
        <v>146.115626235999</v>
      </c>
      <c r="D8713">
        <v>-17.601875393899899</v>
      </c>
      <c r="E8713" s="92">
        <f t="shared" si="48"/>
        <v>50</v>
      </c>
      <c r="G8713" s="92" t="s">
        <v>7216</v>
      </c>
      <c r="I8713">
        <v>6</v>
      </c>
      <c r="J8713" t="s">
        <v>26</v>
      </c>
      <c r="K8713" s="57"/>
      <c r="S8713" s="57"/>
      <c r="X8713" s="57"/>
    </row>
    <row r="8714" spans="1:24" hidden="1" x14ac:dyDescent="0.35">
      <c r="A8714">
        <v>8710</v>
      </c>
      <c r="B8714">
        <v>8711</v>
      </c>
      <c r="C8714">
        <v>146.115575051999</v>
      </c>
      <c r="D8714">
        <v>-17.601805027200001</v>
      </c>
      <c r="E8714" s="92" t="str">
        <f t="shared" si="48"/>
        <v/>
      </c>
      <c r="G8714" s="92" t="s">
        <v>7217</v>
      </c>
      <c r="I8714">
        <v>6</v>
      </c>
      <c r="J8714" t="s">
        <v>26</v>
      </c>
      <c r="K8714" s="57"/>
      <c r="S8714" s="57"/>
      <c r="X8714" s="57"/>
    </row>
    <row r="8715" spans="1:24" hidden="1" x14ac:dyDescent="0.35">
      <c r="A8715">
        <v>8711</v>
      </c>
      <c r="B8715">
        <v>8712</v>
      </c>
      <c r="C8715">
        <v>146.11552386700001</v>
      </c>
      <c r="D8715">
        <v>-17.601734660399899</v>
      </c>
      <c r="E8715" s="92" t="str">
        <f t="shared" si="48"/>
        <v/>
      </c>
      <c r="G8715" s="92"/>
      <c r="I8715">
        <v>6</v>
      </c>
      <c r="J8715" t="s">
        <v>26</v>
      </c>
      <c r="K8715" s="57"/>
      <c r="S8715" s="57"/>
      <c r="X8715" s="57"/>
    </row>
    <row r="8716" spans="1:24" hidden="1" x14ac:dyDescent="0.35">
      <c r="A8716">
        <v>8712</v>
      </c>
      <c r="B8716">
        <v>8713</v>
      </c>
      <c r="C8716">
        <v>146.11545597200001</v>
      </c>
      <c r="D8716">
        <v>-17.601680308100001</v>
      </c>
      <c r="E8716" s="92" t="str">
        <f t="shared" si="48"/>
        <v/>
      </c>
      <c r="G8716" s="92" t="s">
        <v>7218</v>
      </c>
      <c r="I8716">
        <v>6</v>
      </c>
      <c r="J8716" t="s">
        <v>26</v>
      </c>
      <c r="K8716" s="57"/>
      <c r="S8716" s="57"/>
      <c r="X8716" s="57"/>
    </row>
    <row r="8717" spans="1:24" hidden="1" x14ac:dyDescent="0.35">
      <c r="A8717">
        <v>8713</v>
      </c>
      <c r="B8717">
        <v>8714</v>
      </c>
      <c r="C8717">
        <v>146.115381874999</v>
      </c>
      <c r="D8717">
        <v>-17.601631899200001</v>
      </c>
      <c r="E8717" s="92" t="str">
        <f t="shared" si="48"/>
        <v/>
      </c>
      <c r="G8717" s="92"/>
      <c r="I8717">
        <v>6</v>
      </c>
      <c r="J8717" t="s">
        <v>26</v>
      </c>
      <c r="K8717" s="57"/>
      <c r="S8717" s="57"/>
      <c r="X8717" s="57"/>
    </row>
    <row r="8718" spans="1:24" hidden="1" x14ac:dyDescent="0.35">
      <c r="A8718">
        <v>8714</v>
      </c>
      <c r="B8718">
        <v>8715</v>
      </c>
      <c r="C8718">
        <v>146.115307776999</v>
      </c>
      <c r="D8718">
        <v>-17.6015834901999</v>
      </c>
      <c r="E8718" s="92">
        <f t="shared" si="48"/>
        <v>50</v>
      </c>
      <c r="G8718" s="92"/>
      <c r="I8718">
        <v>6</v>
      </c>
      <c r="J8718" t="s">
        <v>26</v>
      </c>
      <c r="K8718" s="57"/>
      <c r="S8718" s="57"/>
      <c r="X8718" s="57"/>
    </row>
    <row r="8719" spans="1:24" hidden="1" x14ac:dyDescent="0.35">
      <c r="A8719">
        <v>8715</v>
      </c>
      <c r="B8719">
        <v>8716</v>
      </c>
      <c r="C8719">
        <v>146.115229599</v>
      </c>
      <c r="D8719">
        <v>-17.601542359700002</v>
      </c>
      <c r="E8719" s="92" t="str">
        <f t="shared" si="48"/>
        <v/>
      </c>
      <c r="G8719" s="92"/>
      <c r="I8719">
        <v>6</v>
      </c>
      <c r="J8719" t="s">
        <v>26</v>
      </c>
      <c r="K8719" s="57"/>
      <c r="S8719" s="57"/>
      <c r="X8719" s="57"/>
    </row>
    <row r="8720" spans="1:24" hidden="1" x14ac:dyDescent="0.35">
      <c r="A8720">
        <v>8716</v>
      </c>
      <c r="B8720">
        <v>8717</v>
      </c>
      <c r="C8720">
        <v>146.115146199999</v>
      </c>
      <c r="D8720">
        <v>-17.6015105426</v>
      </c>
      <c r="E8720" s="92" t="str">
        <f t="shared" ref="E8720:E8783" si="50">IF(MOD(B8720,5)=0, 50, "")</f>
        <v/>
      </c>
      <c r="G8720" s="92"/>
      <c r="I8720">
        <v>6</v>
      </c>
      <c r="J8720" t="s">
        <v>26</v>
      </c>
      <c r="K8720" s="57"/>
      <c r="S8720" s="57"/>
      <c r="X8720" s="57"/>
    </row>
    <row r="8721" spans="1:24" hidden="1" x14ac:dyDescent="0.35">
      <c r="A8721">
        <v>8717</v>
      </c>
      <c r="B8721">
        <v>8718</v>
      </c>
      <c r="C8721">
        <v>146.1150628</v>
      </c>
      <c r="D8721">
        <v>-17.601478725500002</v>
      </c>
      <c r="E8721" s="92" t="str">
        <f t="shared" si="50"/>
        <v/>
      </c>
      <c r="G8721" s="92"/>
      <c r="I8721">
        <v>6</v>
      </c>
      <c r="J8721" t="s">
        <v>26</v>
      </c>
      <c r="K8721" s="57"/>
      <c r="S8721" s="57"/>
      <c r="X8721" s="57"/>
    </row>
    <row r="8722" spans="1:24" hidden="1" x14ac:dyDescent="0.35">
      <c r="A8722">
        <v>8718</v>
      </c>
      <c r="B8722">
        <v>8719</v>
      </c>
      <c r="C8722">
        <v>146.11497940000001</v>
      </c>
      <c r="D8722">
        <v>-17.6014469084</v>
      </c>
      <c r="E8722" s="92" t="str">
        <f t="shared" si="50"/>
        <v/>
      </c>
      <c r="G8722" s="92"/>
      <c r="I8722">
        <v>6</v>
      </c>
      <c r="J8722" t="s">
        <v>26</v>
      </c>
      <c r="K8722" s="57"/>
      <c r="S8722" s="57"/>
      <c r="X8722" s="57"/>
    </row>
    <row r="8723" spans="1:24" hidden="1" x14ac:dyDescent="0.35">
      <c r="A8723">
        <v>8719</v>
      </c>
      <c r="B8723">
        <v>8720</v>
      </c>
      <c r="C8723">
        <v>146.11489600100001</v>
      </c>
      <c r="D8723">
        <v>-17.601415091300002</v>
      </c>
      <c r="E8723" s="92">
        <f t="shared" si="50"/>
        <v>50</v>
      </c>
      <c r="G8723" s="92"/>
      <c r="I8723">
        <v>6</v>
      </c>
      <c r="J8723" t="s">
        <v>26</v>
      </c>
      <c r="K8723" s="57"/>
      <c r="S8723" s="57"/>
      <c r="X8723" s="57"/>
    </row>
    <row r="8724" spans="1:24" hidden="1" x14ac:dyDescent="0.35">
      <c r="A8724">
        <v>8720</v>
      </c>
      <c r="B8724">
        <v>8721</v>
      </c>
      <c r="C8724">
        <v>146.11481264700001</v>
      </c>
      <c r="D8724">
        <v>-17.6013831681</v>
      </c>
      <c r="E8724" s="92" t="str">
        <f t="shared" si="50"/>
        <v/>
      </c>
      <c r="G8724" s="92"/>
      <c r="I8724">
        <v>6</v>
      </c>
      <c r="J8724" t="s">
        <v>26</v>
      </c>
      <c r="K8724" s="57"/>
      <c r="S8724" s="57"/>
      <c r="X8724" s="57"/>
    </row>
    <row r="8725" spans="1:24" hidden="1" x14ac:dyDescent="0.35">
      <c r="A8725">
        <v>8721</v>
      </c>
      <c r="B8725">
        <v>8722</v>
      </c>
      <c r="C8725">
        <v>146.11473001100001</v>
      </c>
      <c r="D8725">
        <v>-17.601349591200002</v>
      </c>
      <c r="E8725" s="92" t="str">
        <f t="shared" si="50"/>
        <v/>
      </c>
      <c r="G8725" s="92"/>
      <c r="I8725">
        <v>6</v>
      </c>
      <c r="J8725" t="s">
        <v>26</v>
      </c>
      <c r="K8725" s="57"/>
      <c r="S8725" s="57"/>
      <c r="X8725" s="57"/>
    </row>
    <row r="8726" spans="1:24" hidden="1" x14ac:dyDescent="0.35">
      <c r="A8726">
        <v>8722</v>
      </c>
      <c r="B8726">
        <v>8723</v>
      </c>
      <c r="C8726">
        <v>146.11464737399899</v>
      </c>
      <c r="D8726">
        <v>-17.601316014399899</v>
      </c>
      <c r="E8726" s="92" t="str">
        <f t="shared" si="50"/>
        <v/>
      </c>
      <c r="G8726" s="92"/>
      <c r="I8726">
        <v>6</v>
      </c>
      <c r="J8726" t="s">
        <v>26</v>
      </c>
      <c r="K8726" s="57"/>
      <c r="S8726" s="57"/>
      <c r="X8726" s="57"/>
    </row>
    <row r="8727" spans="1:24" hidden="1" x14ac:dyDescent="0.35">
      <c r="A8727">
        <v>8723</v>
      </c>
      <c r="B8727">
        <v>8724</v>
      </c>
      <c r="C8727">
        <v>146.114564736999</v>
      </c>
      <c r="D8727">
        <v>-17.6012824375</v>
      </c>
      <c r="E8727" s="92" t="str">
        <f t="shared" si="50"/>
        <v/>
      </c>
      <c r="G8727" s="92"/>
      <c r="I8727">
        <v>6</v>
      </c>
      <c r="J8727" t="s">
        <v>26</v>
      </c>
      <c r="K8727" s="57"/>
      <c r="S8727" s="57"/>
      <c r="X8727" s="57"/>
    </row>
    <row r="8728" spans="1:24" hidden="1" x14ac:dyDescent="0.35">
      <c r="A8728">
        <v>8724</v>
      </c>
      <c r="B8728">
        <v>8725</v>
      </c>
      <c r="C8728">
        <v>146.114483860999</v>
      </c>
      <c r="D8728">
        <v>-17.601245624800001</v>
      </c>
      <c r="E8728" s="92">
        <f t="shared" si="50"/>
        <v>50</v>
      </c>
      <c r="G8728" s="92"/>
      <c r="I8728">
        <v>6</v>
      </c>
      <c r="J8728" t="s">
        <v>26</v>
      </c>
      <c r="K8728" s="57"/>
      <c r="S8728" s="57"/>
      <c r="X8728" s="57"/>
    </row>
    <row r="8729" spans="1:24" hidden="1" x14ac:dyDescent="0.35">
      <c r="A8729">
        <v>8725</v>
      </c>
      <c r="B8729">
        <v>8726</v>
      </c>
      <c r="C8729">
        <v>146.11440747500001</v>
      </c>
      <c r="D8729">
        <v>-17.601200563500001</v>
      </c>
      <c r="E8729" s="92" t="str">
        <f t="shared" si="50"/>
        <v/>
      </c>
      <c r="G8729" s="92"/>
      <c r="I8729">
        <v>6</v>
      </c>
      <c r="J8729" t="s">
        <v>26</v>
      </c>
      <c r="K8729" s="57"/>
      <c r="S8729" s="57"/>
      <c r="X8729" s="57"/>
    </row>
    <row r="8730" spans="1:24" hidden="1" x14ac:dyDescent="0.35">
      <c r="A8730">
        <v>8726</v>
      </c>
      <c r="B8730">
        <v>8727</v>
      </c>
      <c r="C8730">
        <v>146.11433108899899</v>
      </c>
      <c r="D8730">
        <v>-17.601155502200001</v>
      </c>
      <c r="E8730" s="92" t="str">
        <f t="shared" si="50"/>
        <v/>
      </c>
      <c r="G8730" s="92"/>
      <c r="I8730">
        <v>6</v>
      </c>
      <c r="J8730" t="s">
        <v>26</v>
      </c>
      <c r="K8730" s="57"/>
      <c r="S8730" s="57"/>
      <c r="X8730" s="57"/>
    </row>
    <row r="8731" spans="1:24" hidden="1" x14ac:dyDescent="0.35">
      <c r="A8731">
        <v>8727</v>
      </c>
      <c r="B8731">
        <v>8728</v>
      </c>
      <c r="C8731">
        <v>146.114254703</v>
      </c>
      <c r="D8731">
        <v>-17.601110440900001</v>
      </c>
      <c r="E8731" s="92" t="str">
        <f t="shared" si="50"/>
        <v/>
      </c>
      <c r="G8731" s="92"/>
      <c r="I8731">
        <v>6</v>
      </c>
      <c r="J8731" t="s">
        <v>26</v>
      </c>
      <c r="K8731" s="57"/>
      <c r="S8731" s="57"/>
      <c r="X8731" s="57"/>
    </row>
    <row r="8732" spans="1:24" hidden="1" x14ac:dyDescent="0.35">
      <c r="A8732">
        <v>8728</v>
      </c>
      <c r="B8732">
        <v>8729</v>
      </c>
      <c r="C8732">
        <v>146.11417831700001</v>
      </c>
      <c r="D8732">
        <v>-17.6010653795</v>
      </c>
      <c r="E8732" s="92" t="str">
        <f t="shared" si="50"/>
        <v/>
      </c>
      <c r="G8732" s="92"/>
      <c r="I8732">
        <v>6</v>
      </c>
      <c r="J8732" t="s">
        <v>26</v>
      </c>
      <c r="K8732" s="57"/>
      <c r="S8732" s="57"/>
      <c r="X8732" s="57"/>
    </row>
    <row r="8733" spans="1:24" hidden="1" x14ac:dyDescent="0.35">
      <c r="A8733">
        <v>8729</v>
      </c>
      <c r="B8733">
        <v>8730</v>
      </c>
      <c r="C8733">
        <v>146.114101930999</v>
      </c>
      <c r="D8733">
        <v>-17.6010203182</v>
      </c>
      <c r="E8733" s="92">
        <f t="shared" si="50"/>
        <v>50</v>
      </c>
      <c r="G8733" s="92"/>
      <c r="I8733">
        <v>6</v>
      </c>
      <c r="J8733" t="s">
        <v>26</v>
      </c>
      <c r="K8733" s="57"/>
      <c r="S8733" s="57"/>
      <c r="X8733" s="57"/>
    </row>
    <row r="8734" spans="1:24" hidden="1" x14ac:dyDescent="0.35">
      <c r="A8734">
        <v>8730</v>
      </c>
      <c r="B8734">
        <v>8731</v>
      </c>
      <c r="C8734">
        <v>146.114025545</v>
      </c>
      <c r="D8734">
        <v>-17.600975256800002</v>
      </c>
      <c r="E8734" s="92" t="str">
        <f t="shared" si="50"/>
        <v/>
      </c>
      <c r="G8734" s="92"/>
      <c r="I8734">
        <v>6</v>
      </c>
      <c r="J8734" t="s">
        <v>26</v>
      </c>
      <c r="K8734" s="57"/>
      <c r="S8734" s="57"/>
      <c r="X8734" s="57"/>
    </row>
    <row r="8735" spans="1:24" hidden="1" x14ac:dyDescent="0.35">
      <c r="A8735">
        <v>8731</v>
      </c>
      <c r="B8735">
        <v>8732</v>
      </c>
      <c r="C8735">
        <v>146.11394915899899</v>
      </c>
      <c r="D8735">
        <v>-17.6009301954</v>
      </c>
      <c r="E8735" s="92" t="str">
        <f t="shared" si="50"/>
        <v/>
      </c>
      <c r="G8735" s="92"/>
      <c r="I8735">
        <v>6</v>
      </c>
      <c r="J8735" t="s">
        <v>26</v>
      </c>
      <c r="K8735" s="57"/>
      <c r="S8735" s="57"/>
      <c r="X8735" s="57"/>
    </row>
    <row r="8736" spans="1:24" hidden="1" x14ac:dyDescent="0.35">
      <c r="A8736">
        <v>8732</v>
      </c>
      <c r="B8736">
        <v>8733</v>
      </c>
      <c r="C8736">
        <v>146.113872772999</v>
      </c>
      <c r="D8736">
        <v>-17.6008851341</v>
      </c>
      <c r="E8736" s="92" t="str">
        <f t="shared" si="50"/>
        <v/>
      </c>
      <c r="G8736" s="92"/>
      <c r="I8736">
        <v>6</v>
      </c>
      <c r="J8736" t="s">
        <v>26</v>
      </c>
      <c r="K8736" s="57"/>
      <c r="S8736" s="57"/>
      <c r="X8736" s="57"/>
    </row>
    <row r="8737" spans="1:24" hidden="1" x14ac:dyDescent="0.35">
      <c r="A8737">
        <v>8733</v>
      </c>
      <c r="B8737">
        <v>8734</v>
      </c>
      <c r="C8737">
        <v>146.11379638700001</v>
      </c>
      <c r="D8737">
        <v>-17.600840072699899</v>
      </c>
      <c r="E8737" s="92" t="str">
        <f t="shared" si="50"/>
        <v/>
      </c>
      <c r="G8737" s="92"/>
      <c r="I8737">
        <v>6</v>
      </c>
      <c r="J8737" t="s">
        <v>26</v>
      </c>
      <c r="K8737" s="57"/>
      <c r="S8737" s="57"/>
      <c r="X8737" s="57"/>
    </row>
    <row r="8738" spans="1:24" hidden="1" x14ac:dyDescent="0.35">
      <c r="A8738">
        <v>8734</v>
      </c>
      <c r="B8738">
        <v>8735</v>
      </c>
      <c r="C8738">
        <v>146.113720000999</v>
      </c>
      <c r="D8738">
        <v>-17.600795011199899</v>
      </c>
      <c r="E8738" s="92">
        <f t="shared" si="50"/>
        <v>50</v>
      </c>
      <c r="G8738" s="92"/>
      <c r="I8738">
        <v>6</v>
      </c>
      <c r="J8738" t="s">
        <v>26</v>
      </c>
      <c r="K8738" s="57"/>
      <c r="S8738" s="57"/>
      <c r="X8738" s="57"/>
    </row>
    <row r="8739" spans="1:24" hidden="1" x14ac:dyDescent="0.35">
      <c r="A8739">
        <v>8735</v>
      </c>
      <c r="B8739">
        <v>8736</v>
      </c>
      <c r="C8739">
        <v>146.113643615</v>
      </c>
      <c r="D8739">
        <v>-17.600749949800001</v>
      </c>
      <c r="E8739" s="92" t="str">
        <f t="shared" si="50"/>
        <v/>
      </c>
      <c r="G8739" s="92"/>
      <c r="I8739">
        <v>6</v>
      </c>
      <c r="J8739" t="s">
        <v>26</v>
      </c>
      <c r="K8739" s="57"/>
      <c r="S8739" s="57"/>
      <c r="X8739" s="57"/>
    </row>
    <row r="8740" spans="1:24" hidden="1" x14ac:dyDescent="0.35">
      <c r="A8740">
        <v>8736</v>
      </c>
      <c r="B8740">
        <v>8737</v>
      </c>
      <c r="C8740">
        <v>146.113568243999</v>
      </c>
      <c r="D8740">
        <v>-17.600703428900001</v>
      </c>
      <c r="E8740" s="92" t="str">
        <f t="shared" si="50"/>
        <v/>
      </c>
      <c r="G8740" s="92"/>
      <c r="I8740">
        <v>6</v>
      </c>
      <c r="J8740" t="s">
        <v>26</v>
      </c>
      <c r="K8740" s="57"/>
      <c r="S8740" s="57"/>
      <c r="X8740" s="57"/>
    </row>
    <row r="8741" spans="1:24" hidden="1" x14ac:dyDescent="0.35">
      <c r="A8741">
        <v>8737</v>
      </c>
      <c r="B8741">
        <v>8738</v>
      </c>
      <c r="C8741">
        <v>146.113494967999</v>
      </c>
      <c r="D8741">
        <v>-17.600653897800001</v>
      </c>
      <c r="E8741" s="92" t="str">
        <f t="shared" si="50"/>
        <v/>
      </c>
      <c r="G8741" s="92"/>
      <c r="I8741">
        <v>6</v>
      </c>
      <c r="J8741" t="s">
        <v>26</v>
      </c>
      <c r="K8741" s="57"/>
      <c r="S8741" s="57"/>
      <c r="X8741" s="57"/>
    </row>
    <row r="8742" spans="1:24" hidden="1" x14ac:dyDescent="0.35">
      <c r="A8742">
        <v>8738</v>
      </c>
      <c r="B8742">
        <v>8739</v>
      </c>
      <c r="C8742">
        <v>146.11342169100001</v>
      </c>
      <c r="D8742">
        <v>-17.600604366799899</v>
      </c>
      <c r="E8742" s="92" t="str">
        <f t="shared" si="50"/>
        <v/>
      </c>
      <c r="G8742" s="92"/>
      <c r="I8742">
        <v>6</v>
      </c>
      <c r="J8742" t="s">
        <v>26</v>
      </c>
      <c r="K8742" s="57"/>
      <c r="S8742" s="57"/>
      <c r="X8742" s="57"/>
    </row>
    <row r="8743" spans="1:24" hidden="1" x14ac:dyDescent="0.35">
      <c r="A8743">
        <v>8739</v>
      </c>
      <c r="B8743">
        <v>8740</v>
      </c>
      <c r="C8743">
        <v>146.113348414</v>
      </c>
      <c r="D8743">
        <v>-17.600554835800001</v>
      </c>
      <c r="E8743" s="92">
        <f t="shared" si="50"/>
        <v>50</v>
      </c>
      <c r="G8743" s="92"/>
      <c r="I8743">
        <v>6</v>
      </c>
      <c r="J8743" t="s">
        <v>26</v>
      </c>
      <c r="K8743" s="57"/>
      <c r="S8743" s="57"/>
      <c r="X8743" s="57"/>
    </row>
    <row r="8744" spans="1:24" hidden="1" x14ac:dyDescent="0.35">
      <c r="A8744">
        <v>8740</v>
      </c>
      <c r="B8744">
        <v>8741</v>
      </c>
      <c r="C8744">
        <v>146.11327513699899</v>
      </c>
      <c r="D8744">
        <v>-17.6005053047</v>
      </c>
      <c r="E8744" s="92" t="str">
        <f t="shared" si="50"/>
        <v/>
      </c>
      <c r="G8744" s="92"/>
      <c r="I8744">
        <v>6</v>
      </c>
      <c r="J8744" t="s">
        <v>26</v>
      </c>
      <c r="K8744" s="57"/>
      <c r="S8744" s="57"/>
      <c r="X8744" s="57"/>
    </row>
    <row r="8745" spans="1:24" hidden="1" x14ac:dyDescent="0.35">
      <c r="A8745">
        <v>8741</v>
      </c>
      <c r="B8745">
        <v>8742</v>
      </c>
      <c r="C8745">
        <v>146.11320186</v>
      </c>
      <c r="D8745">
        <v>-17.6004557736</v>
      </c>
      <c r="E8745" s="92" t="str">
        <f t="shared" si="50"/>
        <v/>
      </c>
      <c r="G8745" s="92"/>
      <c r="I8745">
        <v>6</v>
      </c>
      <c r="J8745" t="s">
        <v>26</v>
      </c>
      <c r="K8745" s="57"/>
      <c r="S8745" s="57"/>
      <c r="X8745" s="57"/>
    </row>
    <row r="8746" spans="1:24" hidden="1" x14ac:dyDescent="0.35">
      <c r="A8746">
        <v>8742</v>
      </c>
      <c r="B8746">
        <v>8743</v>
      </c>
      <c r="C8746">
        <v>146.11312858400001</v>
      </c>
      <c r="D8746">
        <v>-17.6004062425</v>
      </c>
      <c r="E8746" s="92" t="str">
        <f t="shared" si="50"/>
        <v/>
      </c>
      <c r="G8746" s="92"/>
      <c r="I8746">
        <v>6</v>
      </c>
      <c r="J8746" t="s">
        <v>26</v>
      </c>
      <c r="K8746" s="57"/>
      <c r="S8746" s="57"/>
      <c r="X8746" s="57"/>
    </row>
    <row r="8747" spans="1:24" hidden="1" x14ac:dyDescent="0.35">
      <c r="A8747">
        <v>8743</v>
      </c>
      <c r="B8747">
        <v>8744</v>
      </c>
      <c r="C8747">
        <v>146.113055306999</v>
      </c>
      <c r="D8747">
        <v>-17.6003567114</v>
      </c>
      <c r="E8747" s="92" t="str">
        <f t="shared" si="50"/>
        <v/>
      </c>
      <c r="G8747" s="92"/>
      <c r="I8747">
        <v>6</v>
      </c>
      <c r="J8747" t="s">
        <v>26</v>
      </c>
      <c r="K8747" s="57"/>
      <c r="S8747" s="57"/>
      <c r="X8747" s="57"/>
    </row>
    <row r="8748" spans="1:24" hidden="1" x14ac:dyDescent="0.35">
      <c r="A8748">
        <v>8744</v>
      </c>
      <c r="B8748">
        <v>8745</v>
      </c>
      <c r="C8748">
        <v>146.11298203000001</v>
      </c>
      <c r="D8748">
        <v>-17.6003071803</v>
      </c>
      <c r="E8748" s="92">
        <f t="shared" si="50"/>
        <v>50</v>
      </c>
      <c r="G8748" s="92"/>
      <c r="I8748">
        <v>6</v>
      </c>
      <c r="J8748" t="s">
        <v>26</v>
      </c>
      <c r="K8748" s="57"/>
      <c r="S8748" s="57"/>
      <c r="X8748" s="57"/>
    </row>
    <row r="8749" spans="1:24" hidden="1" x14ac:dyDescent="0.35">
      <c r="A8749">
        <v>8745</v>
      </c>
      <c r="B8749">
        <v>8746</v>
      </c>
      <c r="C8749">
        <v>146.112908752999</v>
      </c>
      <c r="D8749">
        <v>-17.6002576492</v>
      </c>
      <c r="E8749" s="92" t="str">
        <f t="shared" si="50"/>
        <v/>
      </c>
      <c r="G8749" s="92"/>
      <c r="I8749">
        <v>6</v>
      </c>
      <c r="J8749" t="s">
        <v>26</v>
      </c>
      <c r="K8749" s="57"/>
      <c r="S8749" s="57"/>
      <c r="X8749" s="57"/>
    </row>
    <row r="8750" spans="1:24" hidden="1" x14ac:dyDescent="0.35">
      <c r="A8750">
        <v>8746</v>
      </c>
      <c r="B8750">
        <v>8747</v>
      </c>
      <c r="C8750">
        <v>146.11283547599899</v>
      </c>
      <c r="D8750">
        <v>-17.6002081180999</v>
      </c>
      <c r="E8750" s="92" t="str">
        <f t="shared" si="50"/>
        <v/>
      </c>
      <c r="G8750" s="92"/>
      <c r="I8750">
        <v>6</v>
      </c>
      <c r="J8750" t="s">
        <v>26</v>
      </c>
      <c r="K8750" s="57"/>
      <c r="S8750" s="57"/>
      <c r="X8750" s="57"/>
    </row>
    <row r="8751" spans="1:24" hidden="1" x14ac:dyDescent="0.35">
      <c r="A8751">
        <v>8747</v>
      </c>
      <c r="B8751">
        <v>8748</v>
      </c>
      <c r="C8751">
        <v>146.112765787</v>
      </c>
      <c r="D8751">
        <v>-17.600154296700001</v>
      </c>
      <c r="E8751" s="92" t="str">
        <f t="shared" si="50"/>
        <v/>
      </c>
      <c r="G8751" s="92"/>
      <c r="I8751">
        <v>6</v>
      </c>
      <c r="J8751" t="s">
        <v>26</v>
      </c>
      <c r="K8751" s="57"/>
      <c r="S8751" s="57"/>
      <c r="X8751" s="57"/>
    </row>
    <row r="8752" spans="1:24" hidden="1" x14ac:dyDescent="0.35">
      <c r="A8752">
        <v>8748</v>
      </c>
      <c r="B8752">
        <v>8749</v>
      </c>
      <c r="C8752">
        <v>146.11269878600001</v>
      </c>
      <c r="D8752">
        <v>-17.600097259799899</v>
      </c>
      <c r="E8752" s="92" t="str">
        <f t="shared" si="50"/>
        <v/>
      </c>
      <c r="G8752" s="92"/>
      <c r="I8752">
        <v>6</v>
      </c>
      <c r="J8752" t="s">
        <v>26</v>
      </c>
      <c r="K8752" s="57"/>
      <c r="S8752" s="57"/>
      <c r="X8752" s="57"/>
    </row>
    <row r="8753" spans="1:24" hidden="1" x14ac:dyDescent="0.35">
      <c r="A8753">
        <v>8749</v>
      </c>
      <c r="B8753">
        <v>8750</v>
      </c>
      <c r="C8753">
        <v>146.112631784999</v>
      </c>
      <c r="D8753">
        <v>-17.600040222899899</v>
      </c>
      <c r="E8753" s="92">
        <f t="shared" si="50"/>
        <v>50</v>
      </c>
      <c r="G8753" s="92"/>
      <c r="I8753">
        <v>6</v>
      </c>
      <c r="J8753" t="s">
        <v>26</v>
      </c>
      <c r="K8753" s="57"/>
      <c r="S8753" s="57"/>
      <c r="X8753" s="57"/>
    </row>
    <row r="8754" spans="1:24" hidden="1" x14ac:dyDescent="0.35">
      <c r="A8754">
        <v>8750</v>
      </c>
      <c r="B8754">
        <v>8751</v>
      </c>
      <c r="C8754">
        <v>146.112564784</v>
      </c>
      <c r="D8754">
        <v>-17.5999831859999</v>
      </c>
      <c r="E8754" s="92" t="str">
        <f t="shared" si="50"/>
        <v/>
      </c>
      <c r="G8754" s="92"/>
      <c r="I8754">
        <v>6</v>
      </c>
      <c r="J8754" t="s">
        <v>26</v>
      </c>
      <c r="K8754" s="57"/>
      <c r="S8754" s="57"/>
      <c r="X8754" s="57"/>
    </row>
    <row r="8755" spans="1:24" hidden="1" x14ac:dyDescent="0.35">
      <c r="A8755">
        <v>8751</v>
      </c>
      <c r="B8755">
        <v>8752</v>
      </c>
      <c r="C8755">
        <v>146.11249778300001</v>
      </c>
      <c r="D8755">
        <v>-17.599926149000002</v>
      </c>
      <c r="E8755" s="92" t="str">
        <f t="shared" si="50"/>
        <v/>
      </c>
      <c r="G8755" s="92"/>
      <c r="I8755">
        <v>6</v>
      </c>
      <c r="J8755" t="s">
        <v>26</v>
      </c>
      <c r="K8755" s="57"/>
      <c r="S8755" s="57"/>
      <c r="X8755" s="57"/>
    </row>
    <row r="8756" spans="1:24" hidden="1" x14ac:dyDescent="0.35">
      <c r="A8756">
        <v>8752</v>
      </c>
      <c r="B8756">
        <v>8753</v>
      </c>
      <c r="C8756">
        <v>146.112442622999</v>
      </c>
      <c r="D8756">
        <v>-17.599859387799899</v>
      </c>
      <c r="E8756" s="92" t="str">
        <f t="shared" si="50"/>
        <v/>
      </c>
      <c r="G8756" s="92"/>
      <c r="I8756">
        <v>6</v>
      </c>
      <c r="J8756" t="s">
        <v>26</v>
      </c>
      <c r="K8756" s="57"/>
      <c r="S8756" s="57"/>
      <c r="X8756" s="57"/>
    </row>
    <row r="8757" spans="1:24" hidden="1" x14ac:dyDescent="0.35">
      <c r="A8757">
        <v>8753</v>
      </c>
      <c r="B8757">
        <v>8754</v>
      </c>
      <c r="C8757">
        <v>146.112393354999</v>
      </c>
      <c r="D8757">
        <v>-17.5997877886</v>
      </c>
      <c r="E8757" s="92" t="str">
        <f t="shared" si="50"/>
        <v/>
      </c>
      <c r="G8757" s="92"/>
      <c r="I8757">
        <v>6</v>
      </c>
      <c r="J8757" t="s">
        <v>26</v>
      </c>
      <c r="K8757" s="57"/>
      <c r="S8757" s="57"/>
      <c r="X8757" s="57"/>
    </row>
    <row r="8758" spans="1:24" hidden="1" x14ac:dyDescent="0.35">
      <c r="A8758">
        <v>8754</v>
      </c>
      <c r="B8758">
        <v>8755</v>
      </c>
      <c r="C8758">
        <v>146.11234408600001</v>
      </c>
      <c r="D8758">
        <v>-17.5997161893</v>
      </c>
      <c r="E8758" s="92">
        <f t="shared" si="50"/>
        <v>50</v>
      </c>
      <c r="G8758" s="92"/>
      <c r="I8758">
        <v>6</v>
      </c>
      <c r="J8758" t="s">
        <v>26</v>
      </c>
      <c r="K8758" s="57"/>
      <c r="S8758" s="57"/>
      <c r="X8758" s="57"/>
    </row>
    <row r="8759" spans="1:24" hidden="1" x14ac:dyDescent="0.35">
      <c r="A8759">
        <v>8755</v>
      </c>
      <c r="B8759">
        <v>8756</v>
      </c>
      <c r="C8759">
        <v>146.112294816999</v>
      </c>
      <c r="D8759">
        <v>-17.59964459</v>
      </c>
      <c r="E8759" s="92" t="str">
        <f t="shared" si="50"/>
        <v/>
      </c>
      <c r="G8759" s="92"/>
      <c r="I8759">
        <v>6</v>
      </c>
      <c r="J8759" t="s">
        <v>26</v>
      </c>
      <c r="K8759" s="57"/>
      <c r="S8759" s="57"/>
      <c r="X8759" s="57"/>
    </row>
    <row r="8760" spans="1:24" hidden="1" x14ac:dyDescent="0.35">
      <c r="A8760">
        <v>8756</v>
      </c>
      <c r="B8760">
        <v>8757</v>
      </c>
      <c r="C8760">
        <v>146.112245548999</v>
      </c>
      <c r="D8760">
        <v>-17.5995729907</v>
      </c>
      <c r="E8760" s="92" t="str">
        <f t="shared" si="50"/>
        <v/>
      </c>
      <c r="G8760" s="92"/>
      <c r="I8760">
        <v>6</v>
      </c>
      <c r="J8760" t="s">
        <v>26</v>
      </c>
      <c r="K8760" s="57"/>
      <c r="S8760" s="57"/>
      <c r="X8760" s="57"/>
    </row>
    <row r="8761" spans="1:24" hidden="1" x14ac:dyDescent="0.35">
      <c r="A8761">
        <v>8757</v>
      </c>
      <c r="B8761">
        <v>8758</v>
      </c>
      <c r="C8761">
        <v>146.11219628000001</v>
      </c>
      <c r="D8761">
        <v>-17.599501391299899</v>
      </c>
      <c r="E8761" s="92" t="str">
        <f t="shared" si="50"/>
        <v/>
      </c>
      <c r="G8761" s="92"/>
      <c r="I8761">
        <v>6</v>
      </c>
      <c r="J8761" t="s">
        <v>26</v>
      </c>
      <c r="K8761" s="57"/>
      <c r="S8761" s="57"/>
      <c r="X8761" s="57"/>
    </row>
    <row r="8762" spans="1:24" hidden="1" x14ac:dyDescent="0.35">
      <c r="A8762">
        <v>8758</v>
      </c>
      <c r="B8762">
        <v>8759</v>
      </c>
      <c r="C8762">
        <v>146.112147010999</v>
      </c>
      <c r="D8762">
        <v>-17.5994297919</v>
      </c>
      <c r="E8762" s="92" t="str">
        <f t="shared" si="50"/>
        <v/>
      </c>
      <c r="G8762" s="92"/>
      <c r="I8762">
        <v>6</v>
      </c>
      <c r="J8762" t="s">
        <v>26</v>
      </c>
      <c r="K8762" s="57"/>
      <c r="S8762" s="57"/>
      <c r="X8762" s="57"/>
    </row>
    <row r="8763" spans="1:24" hidden="1" x14ac:dyDescent="0.35">
      <c r="A8763">
        <v>8759</v>
      </c>
      <c r="B8763">
        <v>8760</v>
      </c>
      <c r="C8763">
        <v>146.112092560999</v>
      </c>
      <c r="D8763">
        <v>-17.5993617602999</v>
      </c>
      <c r="E8763" s="92">
        <f t="shared" si="50"/>
        <v>50</v>
      </c>
      <c r="G8763" s="92"/>
      <c r="I8763">
        <v>6</v>
      </c>
      <c r="J8763" t="s">
        <v>26</v>
      </c>
      <c r="K8763" s="57"/>
      <c r="S8763" s="57"/>
      <c r="X8763" s="57"/>
    </row>
    <row r="8764" spans="1:24" hidden="1" x14ac:dyDescent="0.35">
      <c r="A8764">
        <v>8760</v>
      </c>
      <c r="B8764">
        <v>8761</v>
      </c>
      <c r="C8764">
        <v>146.112036727999</v>
      </c>
      <c r="D8764">
        <v>-17.599294681700002</v>
      </c>
      <c r="E8764" s="92" t="str">
        <f t="shared" si="50"/>
        <v/>
      </c>
      <c r="G8764" s="92"/>
      <c r="I8764">
        <v>6</v>
      </c>
      <c r="J8764" t="s">
        <v>26</v>
      </c>
      <c r="K8764" s="57"/>
      <c r="S8764" s="57"/>
      <c r="X8764" s="57"/>
    </row>
    <row r="8765" spans="1:24" hidden="1" x14ac:dyDescent="0.35">
      <c r="A8765">
        <v>8761</v>
      </c>
      <c r="B8765">
        <v>8762</v>
      </c>
      <c r="C8765">
        <v>146.111980893999</v>
      </c>
      <c r="D8765">
        <v>-17.599227603100001</v>
      </c>
      <c r="E8765" s="92" t="str">
        <f t="shared" si="50"/>
        <v/>
      </c>
      <c r="G8765" s="92"/>
      <c r="I8765">
        <v>6</v>
      </c>
      <c r="J8765" t="s">
        <v>26</v>
      </c>
      <c r="K8765" s="57"/>
      <c r="S8765" s="57"/>
      <c r="X8765" s="57"/>
    </row>
    <row r="8766" spans="1:24" hidden="1" x14ac:dyDescent="0.35">
      <c r="A8766">
        <v>8762</v>
      </c>
      <c r="B8766">
        <v>8763</v>
      </c>
      <c r="C8766">
        <v>146.11192506</v>
      </c>
      <c r="D8766">
        <v>-17.599160524399899</v>
      </c>
      <c r="E8766" s="92" t="str">
        <f t="shared" si="50"/>
        <v/>
      </c>
      <c r="G8766" s="92"/>
      <c r="I8766">
        <v>6</v>
      </c>
      <c r="J8766" t="s">
        <v>26</v>
      </c>
      <c r="K8766" s="57"/>
      <c r="S8766" s="57"/>
      <c r="X8766" s="57"/>
    </row>
    <row r="8767" spans="1:24" hidden="1" x14ac:dyDescent="0.35">
      <c r="A8767">
        <v>8763</v>
      </c>
      <c r="B8767">
        <v>8764</v>
      </c>
      <c r="C8767">
        <v>146.11186922600001</v>
      </c>
      <c r="D8767">
        <v>-17.5990934456999</v>
      </c>
      <c r="E8767" s="92" t="str">
        <f t="shared" si="50"/>
        <v/>
      </c>
      <c r="G8767" s="92"/>
      <c r="I8767">
        <v>6</v>
      </c>
      <c r="J8767" t="s">
        <v>26</v>
      </c>
      <c r="K8767" s="57"/>
      <c r="S8767" s="57"/>
      <c r="X8767" s="57"/>
    </row>
    <row r="8768" spans="1:24" hidden="1" x14ac:dyDescent="0.35">
      <c r="A8768">
        <v>8764</v>
      </c>
      <c r="B8768">
        <v>8765</v>
      </c>
      <c r="C8768">
        <v>146.11180943400001</v>
      </c>
      <c r="D8768">
        <v>-17.599029999300001</v>
      </c>
      <c r="E8768" s="92">
        <f t="shared" si="50"/>
        <v>50</v>
      </c>
      <c r="G8768" s="92"/>
      <c r="I8768">
        <v>6</v>
      </c>
      <c r="J8768" t="s">
        <v>26</v>
      </c>
      <c r="K8768" s="57"/>
      <c r="S8768" s="57"/>
      <c r="X8768" s="57"/>
    </row>
    <row r="8769" spans="1:24" hidden="1" x14ac:dyDescent="0.35">
      <c r="A8769">
        <v>8765</v>
      </c>
      <c r="B8769">
        <v>8766</v>
      </c>
      <c r="C8769">
        <v>146.111741225</v>
      </c>
      <c r="D8769">
        <v>-17.5989742788</v>
      </c>
      <c r="E8769" s="92" t="str">
        <f t="shared" si="50"/>
        <v/>
      </c>
      <c r="G8769" s="92"/>
      <c r="I8769">
        <v>6</v>
      </c>
      <c r="J8769" t="s">
        <v>26</v>
      </c>
      <c r="K8769" s="57"/>
      <c r="S8769" s="57"/>
      <c r="X8769" s="57"/>
    </row>
    <row r="8770" spans="1:24" hidden="1" x14ac:dyDescent="0.35">
      <c r="A8770">
        <v>8766</v>
      </c>
      <c r="B8770">
        <v>8767</v>
      </c>
      <c r="C8770">
        <v>146.11167301500001</v>
      </c>
      <c r="D8770">
        <v>-17.5989185582999</v>
      </c>
      <c r="E8770" s="92" t="str">
        <f t="shared" si="50"/>
        <v/>
      </c>
      <c r="G8770" s="92"/>
      <c r="I8770">
        <v>6</v>
      </c>
      <c r="J8770" t="s">
        <v>26</v>
      </c>
      <c r="K8770" s="57"/>
      <c r="S8770" s="57"/>
      <c r="X8770" s="57"/>
    </row>
    <row r="8771" spans="1:24" hidden="1" x14ac:dyDescent="0.35">
      <c r="A8771">
        <v>8767</v>
      </c>
      <c r="B8771">
        <v>8768</v>
      </c>
      <c r="C8771">
        <v>146.111593795999</v>
      </c>
      <c r="D8771">
        <v>-17.598881096900001</v>
      </c>
      <c r="E8771" s="92" t="str">
        <f t="shared" si="50"/>
        <v/>
      </c>
      <c r="G8771" s="92"/>
      <c r="I8771">
        <v>6</v>
      </c>
      <c r="J8771" t="s">
        <v>26</v>
      </c>
      <c r="K8771" s="57"/>
      <c r="S8771" s="57"/>
      <c r="X8771" s="57"/>
    </row>
    <row r="8772" spans="1:24" hidden="1" x14ac:dyDescent="0.35">
      <c r="A8772">
        <v>8768</v>
      </c>
      <c r="B8772">
        <v>8769</v>
      </c>
      <c r="C8772">
        <v>146.11150895</v>
      </c>
      <c r="D8772">
        <v>-17.5988529691999</v>
      </c>
      <c r="E8772" s="92" t="str">
        <f t="shared" si="50"/>
        <v/>
      </c>
      <c r="G8772" s="92"/>
      <c r="I8772">
        <v>6</v>
      </c>
      <c r="J8772" t="s">
        <v>26</v>
      </c>
      <c r="K8772" s="57"/>
      <c r="S8772" s="57"/>
      <c r="X8772" s="57"/>
    </row>
    <row r="8773" spans="1:24" hidden="1" x14ac:dyDescent="0.35">
      <c r="A8773">
        <v>8769</v>
      </c>
      <c r="B8773">
        <v>8770</v>
      </c>
      <c r="C8773">
        <v>146.111424102999</v>
      </c>
      <c r="D8773">
        <v>-17.5988248413999</v>
      </c>
      <c r="E8773" s="92">
        <f t="shared" si="50"/>
        <v>50</v>
      </c>
      <c r="G8773" s="92"/>
      <c r="I8773">
        <v>6</v>
      </c>
      <c r="J8773" t="s">
        <v>26</v>
      </c>
      <c r="K8773" s="57"/>
      <c r="S8773" s="57"/>
      <c r="X8773" s="57"/>
    </row>
    <row r="8774" spans="1:24" hidden="1" x14ac:dyDescent="0.35">
      <c r="A8774">
        <v>8770</v>
      </c>
      <c r="B8774">
        <v>8771</v>
      </c>
      <c r="C8774">
        <v>146.111336725999</v>
      </c>
      <c r="D8774">
        <v>-17.5988130635</v>
      </c>
      <c r="E8774" s="92" t="str">
        <f t="shared" si="50"/>
        <v/>
      </c>
      <c r="G8774" s="92"/>
      <c r="I8774">
        <v>6</v>
      </c>
      <c r="J8774" t="s">
        <v>26</v>
      </c>
      <c r="K8774" s="57"/>
      <c r="S8774" s="57"/>
      <c r="X8774" s="57"/>
    </row>
    <row r="8775" spans="1:24" hidden="1" x14ac:dyDescent="0.35">
      <c r="A8775">
        <v>8771</v>
      </c>
      <c r="B8775">
        <v>8772</v>
      </c>
      <c r="C8775">
        <v>146.111246972</v>
      </c>
      <c r="D8775">
        <v>-17.5988166319</v>
      </c>
      <c r="E8775" s="92" t="str">
        <f t="shared" si="50"/>
        <v/>
      </c>
      <c r="G8775" s="92"/>
      <c r="I8775">
        <v>6</v>
      </c>
      <c r="J8775" t="s">
        <v>26</v>
      </c>
      <c r="K8775" s="57"/>
      <c r="S8775" s="57"/>
      <c r="X8775" s="57"/>
    </row>
    <row r="8776" spans="1:24" hidden="1" x14ac:dyDescent="0.35">
      <c r="A8776">
        <v>8772</v>
      </c>
      <c r="B8776">
        <v>8773</v>
      </c>
      <c r="C8776">
        <v>146.11115721900001</v>
      </c>
      <c r="D8776">
        <v>-17.5988202003</v>
      </c>
      <c r="E8776" s="92" t="str">
        <f t="shared" si="50"/>
        <v/>
      </c>
      <c r="G8776" s="92"/>
      <c r="I8776">
        <v>6</v>
      </c>
      <c r="J8776" t="s">
        <v>26</v>
      </c>
      <c r="K8776" s="57"/>
      <c r="S8776" s="57"/>
      <c r="X8776" s="57"/>
    </row>
    <row r="8777" spans="1:24" hidden="1" x14ac:dyDescent="0.35">
      <c r="A8777">
        <v>8773</v>
      </c>
      <c r="B8777">
        <v>8774</v>
      </c>
      <c r="C8777">
        <v>146.111067464999</v>
      </c>
      <c r="D8777">
        <v>-17.598823768700001</v>
      </c>
      <c r="E8777" s="92" t="str">
        <f t="shared" si="50"/>
        <v/>
      </c>
      <c r="G8777" s="92"/>
      <c r="I8777">
        <v>6</v>
      </c>
      <c r="J8777" t="s">
        <v>26</v>
      </c>
      <c r="K8777" s="57"/>
      <c r="S8777" s="57"/>
      <c r="X8777" s="57"/>
    </row>
    <row r="8778" spans="1:24" hidden="1" x14ac:dyDescent="0.35">
      <c r="A8778">
        <v>8774</v>
      </c>
      <c r="B8778">
        <v>8775</v>
      </c>
      <c r="C8778">
        <v>146.11098111000001</v>
      </c>
      <c r="D8778">
        <v>-17.598840440099899</v>
      </c>
      <c r="E8778" s="92">
        <f t="shared" si="50"/>
        <v>50</v>
      </c>
      <c r="G8778" s="92"/>
      <c r="I8778">
        <v>6</v>
      </c>
      <c r="J8778" t="s">
        <v>26</v>
      </c>
      <c r="K8778" s="57"/>
      <c r="S8778" s="57"/>
      <c r="X8778" s="57"/>
    </row>
    <row r="8779" spans="1:24" hidden="1" x14ac:dyDescent="0.35">
      <c r="A8779">
        <v>8775</v>
      </c>
      <c r="B8779">
        <v>8776</v>
      </c>
      <c r="C8779">
        <v>146.110899947999</v>
      </c>
      <c r="D8779">
        <v>-17.598877141900001</v>
      </c>
      <c r="E8779" s="92" t="str">
        <f t="shared" si="50"/>
        <v/>
      </c>
      <c r="G8779" s="92"/>
      <c r="I8779">
        <v>6</v>
      </c>
      <c r="J8779" t="s">
        <v>26</v>
      </c>
      <c r="K8779" s="57"/>
      <c r="S8779" s="57"/>
      <c r="X8779" s="57"/>
    </row>
    <row r="8780" spans="1:24" hidden="1" x14ac:dyDescent="0.35">
      <c r="A8780">
        <v>8776</v>
      </c>
      <c r="B8780">
        <v>8777</v>
      </c>
      <c r="C8780">
        <v>146.110818786999</v>
      </c>
      <c r="D8780">
        <v>-17.5989138437</v>
      </c>
      <c r="E8780" s="92" t="str">
        <f t="shared" si="50"/>
        <v/>
      </c>
      <c r="G8780" s="92"/>
      <c r="I8780">
        <v>6</v>
      </c>
      <c r="J8780" t="s">
        <v>26</v>
      </c>
      <c r="K8780" s="57"/>
      <c r="S8780" s="57"/>
      <c r="X8780" s="57"/>
    </row>
    <row r="8781" spans="1:24" hidden="1" x14ac:dyDescent="0.35">
      <c r="A8781">
        <v>8777</v>
      </c>
      <c r="B8781">
        <v>8778</v>
      </c>
      <c r="C8781">
        <v>146.110737626</v>
      </c>
      <c r="D8781">
        <v>-17.5989505454999</v>
      </c>
      <c r="E8781" s="92" t="str">
        <f t="shared" si="50"/>
        <v/>
      </c>
      <c r="G8781" s="92"/>
      <c r="I8781">
        <v>6</v>
      </c>
      <c r="J8781" t="s">
        <v>26</v>
      </c>
      <c r="K8781" s="57"/>
      <c r="S8781" s="57"/>
      <c r="X8781" s="57"/>
    </row>
    <row r="8782" spans="1:24" hidden="1" x14ac:dyDescent="0.35">
      <c r="A8782">
        <v>8778</v>
      </c>
      <c r="B8782">
        <v>8779</v>
      </c>
      <c r="C8782">
        <v>146.11065646500001</v>
      </c>
      <c r="D8782">
        <v>-17.598987247299899</v>
      </c>
      <c r="E8782" s="92" t="str">
        <f t="shared" si="50"/>
        <v/>
      </c>
      <c r="G8782" s="92"/>
      <c r="I8782">
        <v>6</v>
      </c>
      <c r="J8782" t="s">
        <v>26</v>
      </c>
      <c r="K8782" s="57"/>
      <c r="S8782" s="57"/>
      <c r="X8782" s="57"/>
    </row>
    <row r="8783" spans="1:24" hidden="1" x14ac:dyDescent="0.35">
      <c r="A8783">
        <v>8779</v>
      </c>
      <c r="B8783">
        <v>8780</v>
      </c>
      <c r="C8783">
        <v>146.110575302999</v>
      </c>
      <c r="D8783">
        <v>-17.5990239489999</v>
      </c>
      <c r="E8783" s="92">
        <f t="shared" si="50"/>
        <v>50</v>
      </c>
      <c r="G8783" s="92"/>
      <c r="I8783">
        <v>6</v>
      </c>
      <c r="J8783" t="s">
        <v>26</v>
      </c>
      <c r="K8783" s="57"/>
      <c r="S8783" s="57"/>
      <c r="X8783" s="57"/>
    </row>
    <row r="8784" spans="1:24" hidden="1" x14ac:dyDescent="0.35">
      <c r="A8784">
        <v>8780</v>
      </c>
      <c r="B8784">
        <v>8781</v>
      </c>
      <c r="C8784">
        <v>146.110499685999</v>
      </c>
      <c r="D8784">
        <v>-17.599067245600001</v>
      </c>
      <c r="E8784" s="92" t="str">
        <f t="shared" ref="E8784:E8847" si="51">IF(MOD(B8784,5)=0, 50, "")</f>
        <v/>
      </c>
      <c r="G8784" s="92"/>
      <c r="I8784">
        <v>6</v>
      </c>
      <c r="J8784" t="s">
        <v>26</v>
      </c>
      <c r="K8784" s="57"/>
      <c r="S8784" s="57"/>
      <c r="X8784" s="57"/>
    </row>
    <row r="8785" spans="1:24" hidden="1" x14ac:dyDescent="0.35">
      <c r="A8785">
        <v>8781</v>
      </c>
      <c r="B8785">
        <v>8782</v>
      </c>
      <c r="C8785">
        <v>146.110444411</v>
      </c>
      <c r="D8785">
        <v>-17.599134744200001</v>
      </c>
      <c r="E8785" s="92" t="str">
        <f t="shared" si="51"/>
        <v/>
      </c>
      <c r="G8785" s="92"/>
      <c r="I8785">
        <v>6</v>
      </c>
      <c r="J8785" t="s">
        <v>26</v>
      </c>
      <c r="K8785" s="57"/>
      <c r="S8785" s="57"/>
      <c r="X8785" s="57"/>
    </row>
    <row r="8786" spans="1:24" hidden="1" x14ac:dyDescent="0.35">
      <c r="A8786">
        <v>8782</v>
      </c>
      <c r="B8786">
        <v>8783</v>
      </c>
      <c r="C8786">
        <v>146.110389136999</v>
      </c>
      <c r="D8786">
        <v>-17.599202242800001</v>
      </c>
      <c r="E8786" s="92" t="str">
        <f t="shared" si="51"/>
        <v/>
      </c>
      <c r="G8786" s="92"/>
      <c r="I8786">
        <v>6</v>
      </c>
      <c r="J8786" t="s">
        <v>26</v>
      </c>
      <c r="K8786" s="57"/>
      <c r="S8786" s="57"/>
      <c r="X8786" s="57"/>
    </row>
    <row r="8787" spans="1:24" hidden="1" x14ac:dyDescent="0.35">
      <c r="A8787">
        <v>8783</v>
      </c>
      <c r="B8787">
        <v>8784</v>
      </c>
      <c r="C8787">
        <v>146.110333862999</v>
      </c>
      <c r="D8787">
        <v>-17.599269741400001</v>
      </c>
      <c r="E8787" s="92" t="str">
        <f t="shared" si="51"/>
        <v/>
      </c>
      <c r="G8787" s="92"/>
      <c r="I8787">
        <v>6</v>
      </c>
      <c r="J8787" t="s">
        <v>26</v>
      </c>
      <c r="K8787" s="57"/>
      <c r="S8787" s="57"/>
      <c r="X8787" s="57"/>
    </row>
    <row r="8788" spans="1:24" hidden="1" x14ac:dyDescent="0.35">
      <c r="A8788">
        <v>8784</v>
      </c>
      <c r="B8788">
        <v>8785</v>
      </c>
      <c r="C8788">
        <v>146.11027858899899</v>
      </c>
      <c r="D8788">
        <v>-17.599337240000001</v>
      </c>
      <c r="E8788" s="92">
        <f t="shared" si="51"/>
        <v>50</v>
      </c>
      <c r="G8788" s="92"/>
      <c r="I8788">
        <v>6</v>
      </c>
      <c r="J8788" t="s">
        <v>26</v>
      </c>
      <c r="K8788" s="57"/>
      <c r="S8788" s="57"/>
      <c r="X8788" s="57"/>
    </row>
    <row r="8789" spans="1:24" hidden="1" x14ac:dyDescent="0.35">
      <c r="A8789">
        <v>8785</v>
      </c>
      <c r="B8789">
        <v>8786</v>
      </c>
      <c r="C8789">
        <v>146.11022394700001</v>
      </c>
      <c r="D8789">
        <v>-17.5994051791</v>
      </c>
      <c r="E8789" s="92" t="str">
        <f t="shared" si="51"/>
        <v/>
      </c>
      <c r="G8789" s="92"/>
      <c r="I8789">
        <v>6</v>
      </c>
      <c r="J8789" t="s">
        <v>26</v>
      </c>
      <c r="K8789" s="57"/>
      <c r="S8789" s="57"/>
      <c r="X8789" s="57"/>
    </row>
    <row r="8790" spans="1:24" hidden="1" x14ac:dyDescent="0.35">
      <c r="A8790">
        <v>8786</v>
      </c>
      <c r="B8790">
        <v>8787</v>
      </c>
      <c r="C8790">
        <v>146.110173148</v>
      </c>
      <c r="D8790">
        <v>-17.599475800499899</v>
      </c>
      <c r="E8790" s="92" t="str">
        <f t="shared" si="51"/>
        <v/>
      </c>
      <c r="G8790" s="92"/>
      <c r="I8790">
        <v>6</v>
      </c>
      <c r="J8790" t="s">
        <v>26</v>
      </c>
      <c r="K8790" s="57"/>
      <c r="S8790" s="57"/>
      <c r="X8790" s="57"/>
    </row>
    <row r="8791" spans="1:24" hidden="1" x14ac:dyDescent="0.35">
      <c r="A8791">
        <v>8787</v>
      </c>
      <c r="B8791">
        <v>8788</v>
      </c>
      <c r="C8791">
        <v>146.11012235000001</v>
      </c>
      <c r="D8791">
        <v>-17.599546421900001</v>
      </c>
      <c r="E8791" s="92" t="str">
        <f t="shared" si="51"/>
        <v/>
      </c>
      <c r="G8791" s="92"/>
      <c r="I8791">
        <v>6</v>
      </c>
      <c r="J8791" t="s">
        <v>26</v>
      </c>
      <c r="K8791" s="57"/>
      <c r="S8791" s="57"/>
      <c r="X8791" s="57"/>
    </row>
    <row r="8792" spans="1:24" hidden="1" x14ac:dyDescent="0.35">
      <c r="A8792">
        <v>8788</v>
      </c>
      <c r="B8792">
        <v>8789</v>
      </c>
      <c r="C8792">
        <v>146.110071551</v>
      </c>
      <c r="D8792">
        <v>-17.5996170433</v>
      </c>
      <c r="E8792" s="92" t="str">
        <f t="shared" si="51"/>
        <v/>
      </c>
      <c r="G8792" s="92"/>
      <c r="I8792">
        <v>6</v>
      </c>
      <c r="J8792" t="s">
        <v>26</v>
      </c>
      <c r="K8792" s="57"/>
      <c r="S8792" s="57"/>
      <c r="X8792" s="57"/>
    </row>
    <row r="8793" spans="1:24" hidden="1" x14ac:dyDescent="0.35">
      <c r="A8793">
        <v>8789</v>
      </c>
      <c r="B8793">
        <v>8790</v>
      </c>
      <c r="C8793">
        <v>146.11002075299899</v>
      </c>
      <c r="D8793">
        <v>-17.599687664600001</v>
      </c>
      <c r="E8793" s="92">
        <f t="shared" si="51"/>
        <v>50</v>
      </c>
      <c r="G8793" s="92"/>
      <c r="I8793">
        <v>6</v>
      </c>
      <c r="J8793" t="s">
        <v>26</v>
      </c>
      <c r="K8793" s="57"/>
      <c r="S8793" s="57"/>
      <c r="X8793" s="57"/>
    </row>
    <row r="8794" spans="1:24" hidden="1" x14ac:dyDescent="0.35">
      <c r="A8794">
        <v>8790</v>
      </c>
      <c r="B8794">
        <v>8791</v>
      </c>
      <c r="C8794">
        <v>146.10996995400001</v>
      </c>
      <c r="D8794">
        <v>-17.599758286</v>
      </c>
      <c r="E8794" s="92" t="str">
        <f t="shared" si="51"/>
        <v/>
      </c>
      <c r="G8794" s="92"/>
      <c r="I8794">
        <v>6</v>
      </c>
      <c r="J8794" t="s">
        <v>26</v>
      </c>
      <c r="K8794" s="57"/>
      <c r="S8794" s="57"/>
      <c r="X8794" s="57"/>
    </row>
    <row r="8795" spans="1:24" hidden="1" x14ac:dyDescent="0.35">
      <c r="A8795">
        <v>8791</v>
      </c>
      <c r="B8795">
        <v>8792</v>
      </c>
      <c r="C8795">
        <v>146.10991915599899</v>
      </c>
      <c r="D8795">
        <v>-17.5998289071999</v>
      </c>
      <c r="E8795" s="92" t="str">
        <f t="shared" si="51"/>
        <v/>
      </c>
      <c r="G8795" s="92"/>
      <c r="I8795">
        <v>6</v>
      </c>
      <c r="J8795" t="s">
        <v>26</v>
      </c>
      <c r="K8795" s="57"/>
      <c r="S8795" s="57"/>
      <c r="X8795" s="57"/>
    </row>
    <row r="8796" spans="1:24" hidden="1" x14ac:dyDescent="0.35">
      <c r="A8796">
        <v>8792</v>
      </c>
      <c r="B8796">
        <v>8793</v>
      </c>
      <c r="C8796">
        <v>146.109868403999</v>
      </c>
      <c r="D8796">
        <v>-17.599899558699899</v>
      </c>
      <c r="E8796" s="92" t="str">
        <f t="shared" si="51"/>
        <v/>
      </c>
      <c r="G8796" s="92"/>
      <c r="I8796">
        <v>6</v>
      </c>
      <c r="J8796" t="s">
        <v>26</v>
      </c>
      <c r="K8796" s="57"/>
      <c r="S8796" s="57"/>
      <c r="X8796" s="57"/>
    </row>
    <row r="8797" spans="1:24" hidden="1" x14ac:dyDescent="0.35">
      <c r="A8797">
        <v>8793</v>
      </c>
      <c r="B8797">
        <v>8794</v>
      </c>
      <c r="C8797">
        <v>146.109817660999</v>
      </c>
      <c r="D8797">
        <v>-17.599970216500001</v>
      </c>
      <c r="E8797" s="92" t="str">
        <f t="shared" si="51"/>
        <v/>
      </c>
      <c r="G8797" s="92"/>
      <c r="I8797">
        <v>6</v>
      </c>
      <c r="J8797" t="s">
        <v>26</v>
      </c>
      <c r="K8797" s="57"/>
      <c r="S8797" s="57"/>
      <c r="X8797" s="57"/>
    </row>
    <row r="8798" spans="1:24" hidden="1" x14ac:dyDescent="0.35">
      <c r="A8798">
        <v>8794</v>
      </c>
      <c r="B8798">
        <v>8795</v>
      </c>
      <c r="C8798">
        <v>146.10976691900001</v>
      </c>
      <c r="D8798">
        <v>-17.600040874200001</v>
      </c>
      <c r="E8798" s="92">
        <f t="shared" si="51"/>
        <v>50</v>
      </c>
      <c r="G8798" s="92"/>
      <c r="I8798">
        <v>6</v>
      </c>
      <c r="J8798" t="s">
        <v>26</v>
      </c>
      <c r="K8798" s="57"/>
      <c r="S8798" s="57"/>
      <c r="X8798" s="57"/>
    </row>
    <row r="8799" spans="1:24" hidden="1" x14ac:dyDescent="0.35">
      <c r="A8799">
        <v>8795</v>
      </c>
      <c r="B8799">
        <v>8796</v>
      </c>
      <c r="C8799">
        <v>146.10971617600001</v>
      </c>
      <c r="D8799">
        <v>-17.600111531900001</v>
      </c>
      <c r="E8799" s="92" t="str">
        <f t="shared" si="51"/>
        <v/>
      </c>
      <c r="G8799" s="92"/>
      <c r="I8799">
        <v>6</v>
      </c>
      <c r="J8799" t="s">
        <v>26</v>
      </c>
      <c r="K8799" s="57"/>
      <c r="S8799" s="57"/>
      <c r="X8799" s="57"/>
    </row>
    <row r="8800" spans="1:24" hidden="1" x14ac:dyDescent="0.35">
      <c r="A8800">
        <v>8796</v>
      </c>
      <c r="B8800">
        <v>8797</v>
      </c>
      <c r="C8800">
        <v>146.109665433999</v>
      </c>
      <c r="D8800">
        <v>-17.6001821895</v>
      </c>
      <c r="E8800" s="92" t="str">
        <f t="shared" si="51"/>
        <v/>
      </c>
      <c r="G8800" s="92"/>
      <c r="I8800">
        <v>6</v>
      </c>
      <c r="J8800" t="s">
        <v>26</v>
      </c>
      <c r="K8800" s="57"/>
      <c r="S8800" s="57"/>
      <c r="X8800" s="57"/>
    </row>
    <row r="8801" spans="1:24" hidden="1" x14ac:dyDescent="0.35">
      <c r="A8801">
        <v>8797</v>
      </c>
      <c r="B8801">
        <v>8798</v>
      </c>
      <c r="C8801">
        <v>146.109604536999</v>
      </c>
      <c r="D8801">
        <v>-17.6002447089</v>
      </c>
      <c r="E8801" s="92" t="str">
        <f t="shared" si="51"/>
        <v/>
      </c>
      <c r="G8801" s="92"/>
      <c r="I8801">
        <v>6</v>
      </c>
      <c r="J8801" t="s">
        <v>26</v>
      </c>
      <c r="K8801" s="57"/>
      <c r="S8801" s="57"/>
      <c r="X8801" s="57"/>
    </row>
    <row r="8802" spans="1:24" hidden="1" x14ac:dyDescent="0.35">
      <c r="A8802">
        <v>8798</v>
      </c>
      <c r="B8802">
        <v>8799</v>
      </c>
      <c r="C8802">
        <v>146.109540218999</v>
      </c>
      <c r="D8802">
        <v>-17.600304485999899</v>
      </c>
      <c r="E8802" s="92" t="str">
        <f t="shared" si="51"/>
        <v/>
      </c>
      <c r="G8802" s="92"/>
      <c r="I8802">
        <v>6</v>
      </c>
      <c r="J8802" t="s">
        <v>26</v>
      </c>
      <c r="K8802" s="57"/>
      <c r="S8802" s="57"/>
      <c r="X8802" s="57"/>
    </row>
    <row r="8803" spans="1:24" hidden="1" x14ac:dyDescent="0.35">
      <c r="A8803">
        <v>8799</v>
      </c>
      <c r="B8803">
        <v>8800</v>
      </c>
      <c r="C8803">
        <v>146.109475900999</v>
      </c>
      <c r="D8803">
        <v>-17.600364263100001</v>
      </c>
      <c r="E8803" s="92">
        <f t="shared" si="51"/>
        <v>50</v>
      </c>
      <c r="G8803" s="92"/>
      <c r="I8803">
        <v>6</v>
      </c>
      <c r="J8803" t="s">
        <v>26</v>
      </c>
      <c r="K8803" s="57"/>
      <c r="S8803" s="57"/>
      <c r="X8803" s="57"/>
    </row>
    <row r="8804" spans="1:24" hidden="1" x14ac:dyDescent="0.35">
      <c r="A8804">
        <v>8800</v>
      </c>
      <c r="B8804">
        <v>8801</v>
      </c>
      <c r="C8804">
        <v>146.109411582999</v>
      </c>
      <c r="D8804">
        <v>-17.6004240402</v>
      </c>
      <c r="E8804" s="92" t="str">
        <f t="shared" si="51"/>
        <v/>
      </c>
      <c r="G8804" s="92"/>
      <c r="I8804">
        <v>6</v>
      </c>
      <c r="J8804" t="s">
        <v>26</v>
      </c>
      <c r="K8804" s="57"/>
      <c r="S8804" s="57"/>
      <c r="X8804" s="57"/>
    </row>
    <row r="8805" spans="1:24" hidden="1" x14ac:dyDescent="0.35">
      <c r="A8805">
        <v>8801</v>
      </c>
      <c r="B8805">
        <v>8802</v>
      </c>
      <c r="C8805">
        <v>146.109343521</v>
      </c>
      <c r="D8805">
        <v>-17.600479791800002</v>
      </c>
      <c r="E8805" s="92" t="str">
        <f t="shared" si="51"/>
        <v/>
      </c>
      <c r="G8805" s="92"/>
      <c r="I8805">
        <v>6</v>
      </c>
      <c r="J8805" t="s">
        <v>26</v>
      </c>
      <c r="K8805" s="57"/>
      <c r="S8805" s="57"/>
      <c r="X8805" s="57"/>
    </row>
    <row r="8806" spans="1:24" hidden="1" x14ac:dyDescent="0.35">
      <c r="A8806">
        <v>8802</v>
      </c>
      <c r="B8806">
        <v>8803</v>
      </c>
      <c r="C8806">
        <v>146.109273540999</v>
      </c>
      <c r="D8806">
        <v>-17.600533479300001</v>
      </c>
      <c r="E8806" s="92" t="str">
        <f t="shared" si="51"/>
        <v/>
      </c>
      <c r="G8806" s="92"/>
      <c r="I8806">
        <v>6</v>
      </c>
      <c r="J8806" t="s">
        <v>26</v>
      </c>
      <c r="K8806" s="57"/>
      <c r="S8806" s="57"/>
      <c r="X8806" s="57"/>
    </row>
    <row r="8807" spans="1:24" hidden="1" x14ac:dyDescent="0.35">
      <c r="A8807">
        <v>8803</v>
      </c>
      <c r="B8807">
        <v>8804</v>
      </c>
      <c r="C8807">
        <v>146.109203559999</v>
      </c>
      <c r="D8807">
        <v>-17.600587166699899</v>
      </c>
      <c r="E8807" s="92" t="str">
        <f t="shared" si="51"/>
        <v/>
      </c>
      <c r="G8807" s="92"/>
      <c r="I8807">
        <v>6</v>
      </c>
      <c r="J8807" t="s">
        <v>26</v>
      </c>
      <c r="K8807" s="57"/>
      <c r="S8807" s="57"/>
      <c r="X8807" s="57"/>
    </row>
    <row r="8808" spans="1:24" hidden="1" x14ac:dyDescent="0.35">
      <c r="A8808">
        <v>8804</v>
      </c>
      <c r="B8808">
        <v>8805</v>
      </c>
      <c r="C8808">
        <v>146.109133579</v>
      </c>
      <c r="D8808">
        <v>-17.600640854200002</v>
      </c>
      <c r="E8808" s="92">
        <f t="shared" si="51"/>
        <v>50</v>
      </c>
      <c r="G8808" s="92"/>
      <c r="I8808">
        <v>6</v>
      </c>
      <c r="J8808" t="s">
        <v>26</v>
      </c>
      <c r="K8808" s="57"/>
      <c r="S8808" s="57"/>
      <c r="X8808" s="57"/>
    </row>
    <row r="8809" spans="1:24" hidden="1" x14ac:dyDescent="0.35">
      <c r="A8809">
        <v>8805</v>
      </c>
      <c r="B8809">
        <v>8806</v>
      </c>
      <c r="C8809">
        <v>146.109062233</v>
      </c>
      <c r="D8809">
        <v>-17.6006928201999</v>
      </c>
      <c r="E8809" s="92" t="str">
        <f t="shared" si="51"/>
        <v/>
      </c>
      <c r="G8809" s="92"/>
      <c r="I8809">
        <v>6</v>
      </c>
      <c r="J8809" t="s">
        <v>26</v>
      </c>
      <c r="K8809" s="57"/>
      <c r="S8809" s="57"/>
      <c r="X8809" s="57"/>
    </row>
    <row r="8810" spans="1:24" hidden="1" x14ac:dyDescent="0.35">
      <c r="A8810">
        <v>8806</v>
      </c>
      <c r="B8810">
        <v>8807</v>
      </c>
      <c r="C8810">
        <v>146.10898898600001</v>
      </c>
      <c r="D8810">
        <v>-17.6007423918999</v>
      </c>
      <c r="E8810" s="92" t="str">
        <f t="shared" si="51"/>
        <v/>
      </c>
      <c r="G8810" s="92"/>
      <c r="I8810">
        <v>6</v>
      </c>
      <c r="J8810" t="s">
        <v>26</v>
      </c>
      <c r="K8810" s="57"/>
      <c r="S8810" s="57"/>
      <c r="X8810" s="57"/>
    </row>
    <row r="8811" spans="1:24" hidden="1" x14ac:dyDescent="0.35">
      <c r="A8811">
        <v>8807</v>
      </c>
      <c r="B8811">
        <v>8808</v>
      </c>
      <c r="C8811">
        <v>146.10891573999899</v>
      </c>
      <c r="D8811">
        <v>-17.6007919635999</v>
      </c>
      <c r="E8811" s="92" t="str">
        <f t="shared" si="51"/>
        <v/>
      </c>
      <c r="G8811" s="92"/>
      <c r="I8811">
        <v>6</v>
      </c>
      <c r="J8811" t="s">
        <v>26</v>
      </c>
      <c r="K8811" s="57"/>
      <c r="S8811" s="57"/>
      <c r="X8811" s="57"/>
    </row>
    <row r="8812" spans="1:24" hidden="1" x14ac:dyDescent="0.35">
      <c r="A8812">
        <v>8808</v>
      </c>
      <c r="B8812">
        <v>8809</v>
      </c>
      <c r="C8812">
        <v>146.108842492999</v>
      </c>
      <c r="D8812">
        <v>-17.600841535200001</v>
      </c>
      <c r="E8812" s="92" t="str">
        <f t="shared" si="51"/>
        <v/>
      </c>
      <c r="G8812" s="92"/>
      <c r="I8812">
        <v>6</v>
      </c>
      <c r="J8812" t="s">
        <v>26</v>
      </c>
      <c r="K8812" s="57"/>
      <c r="S8812" s="57"/>
      <c r="X8812" s="57"/>
    </row>
    <row r="8813" spans="1:24" hidden="1" x14ac:dyDescent="0.35">
      <c r="A8813">
        <v>8809</v>
      </c>
      <c r="B8813">
        <v>8810</v>
      </c>
      <c r="C8813">
        <v>146.108769246999</v>
      </c>
      <c r="D8813">
        <v>-17.600891106900001</v>
      </c>
      <c r="E8813" s="92">
        <f t="shared" si="51"/>
        <v>50</v>
      </c>
      <c r="G8813" s="92"/>
      <c r="I8813">
        <v>6</v>
      </c>
      <c r="J8813" t="s">
        <v>26</v>
      </c>
      <c r="K8813" s="57"/>
      <c r="S8813" s="57"/>
      <c r="X8813" s="57"/>
    </row>
    <row r="8814" spans="1:24" hidden="1" x14ac:dyDescent="0.35">
      <c r="A8814">
        <v>8810</v>
      </c>
      <c r="B8814">
        <v>8811</v>
      </c>
      <c r="C8814">
        <v>146.10869600000001</v>
      </c>
      <c r="D8814">
        <v>-17.600940678499899</v>
      </c>
      <c r="E8814" s="92" t="str">
        <f t="shared" si="51"/>
        <v/>
      </c>
      <c r="G8814" s="92"/>
      <c r="I8814">
        <v>6</v>
      </c>
      <c r="J8814" t="s">
        <v>26</v>
      </c>
      <c r="K8814" s="57"/>
      <c r="S8814" s="57"/>
      <c r="X8814" s="57"/>
    </row>
    <row r="8815" spans="1:24" hidden="1" x14ac:dyDescent="0.35">
      <c r="A8815">
        <v>8811</v>
      </c>
      <c r="B8815">
        <v>8812</v>
      </c>
      <c r="C8815">
        <v>146.10862275400001</v>
      </c>
      <c r="D8815">
        <v>-17.600990250100001</v>
      </c>
      <c r="E8815" s="92" t="str">
        <f t="shared" si="51"/>
        <v/>
      </c>
      <c r="G8815" s="92"/>
      <c r="I8815">
        <v>6</v>
      </c>
      <c r="J8815" t="s">
        <v>26</v>
      </c>
      <c r="K8815" s="57"/>
      <c r="S8815" s="57"/>
      <c r="X8815" s="57"/>
    </row>
    <row r="8816" spans="1:24" hidden="1" x14ac:dyDescent="0.35">
      <c r="A8816">
        <v>8812</v>
      </c>
      <c r="B8816">
        <v>8813</v>
      </c>
      <c r="C8816">
        <v>146.108548708</v>
      </c>
      <c r="D8816">
        <v>-17.601038497200001</v>
      </c>
      <c r="E8816" s="92" t="str">
        <f t="shared" si="51"/>
        <v/>
      </c>
      <c r="G8816" s="92"/>
      <c r="I8816">
        <v>6</v>
      </c>
      <c r="J8816" t="s">
        <v>26</v>
      </c>
      <c r="K8816" s="57"/>
      <c r="S8816" s="57"/>
      <c r="X8816" s="57"/>
    </row>
    <row r="8817" spans="1:24" hidden="1" x14ac:dyDescent="0.35">
      <c r="A8817">
        <v>8813</v>
      </c>
      <c r="B8817">
        <v>8814</v>
      </c>
      <c r="C8817">
        <v>146.10846693299899</v>
      </c>
      <c r="D8817">
        <v>-17.601073940300001</v>
      </c>
      <c r="E8817" s="92" t="str">
        <f t="shared" si="51"/>
        <v/>
      </c>
      <c r="G8817" s="92"/>
      <c r="I8817">
        <v>6</v>
      </c>
      <c r="J8817" t="s">
        <v>26</v>
      </c>
      <c r="K8817" s="57"/>
      <c r="S8817" s="57"/>
      <c r="X8817" s="57"/>
    </row>
    <row r="8818" spans="1:24" hidden="1" x14ac:dyDescent="0.35">
      <c r="A8818">
        <v>8814</v>
      </c>
      <c r="B8818">
        <v>8815</v>
      </c>
      <c r="C8818">
        <v>146.108385158999</v>
      </c>
      <c r="D8818">
        <v>-17.6011093834999</v>
      </c>
      <c r="E8818" s="92">
        <f t="shared" si="51"/>
        <v>50</v>
      </c>
      <c r="G8818" s="92"/>
      <c r="I8818">
        <v>6</v>
      </c>
      <c r="J8818" t="s">
        <v>26</v>
      </c>
      <c r="K8818" s="57"/>
      <c r="S8818" s="57"/>
      <c r="X8818" s="57"/>
    </row>
    <row r="8819" spans="1:24" hidden="1" x14ac:dyDescent="0.35">
      <c r="A8819">
        <v>8815</v>
      </c>
      <c r="B8819">
        <v>8816</v>
      </c>
      <c r="C8819">
        <v>146.10830338400001</v>
      </c>
      <c r="D8819">
        <v>-17.601144826700001</v>
      </c>
      <c r="E8819" s="92" t="str">
        <f t="shared" si="51"/>
        <v/>
      </c>
      <c r="G8819" s="92"/>
      <c r="I8819">
        <v>6</v>
      </c>
      <c r="J8819" t="s">
        <v>26</v>
      </c>
      <c r="K8819" s="57"/>
      <c r="S8819" s="57"/>
      <c r="X8819" s="57"/>
    </row>
    <row r="8820" spans="1:24" hidden="1" x14ac:dyDescent="0.35">
      <c r="A8820">
        <v>8816</v>
      </c>
      <c r="B8820">
        <v>8817</v>
      </c>
      <c r="C8820">
        <v>146.10822160999899</v>
      </c>
      <c r="D8820">
        <v>-17.601180269899899</v>
      </c>
      <c r="E8820" s="92" t="str">
        <f t="shared" si="51"/>
        <v/>
      </c>
      <c r="G8820" s="92"/>
      <c r="I8820">
        <v>6</v>
      </c>
      <c r="J8820" t="s">
        <v>26</v>
      </c>
      <c r="K8820" s="57"/>
      <c r="S8820" s="57"/>
      <c r="X8820" s="57"/>
    </row>
    <row r="8821" spans="1:24" hidden="1" x14ac:dyDescent="0.35">
      <c r="A8821">
        <v>8817</v>
      </c>
      <c r="B8821">
        <v>8818</v>
      </c>
      <c r="C8821">
        <v>146.108133277999</v>
      </c>
      <c r="D8821">
        <v>-17.6011955689</v>
      </c>
      <c r="E8821" s="92" t="str">
        <f t="shared" si="51"/>
        <v/>
      </c>
      <c r="G8821" s="92"/>
      <c r="I8821">
        <v>6</v>
      </c>
      <c r="J8821" t="s">
        <v>26</v>
      </c>
      <c r="K8821" s="57"/>
      <c r="S8821" s="57"/>
      <c r="X8821" s="57"/>
    </row>
    <row r="8822" spans="1:24" hidden="1" x14ac:dyDescent="0.35">
      <c r="A8822">
        <v>8818</v>
      </c>
      <c r="B8822">
        <v>8819</v>
      </c>
      <c r="C8822">
        <v>146.108044817999</v>
      </c>
      <c r="D8822">
        <v>-17.601210474399899</v>
      </c>
      <c r="E8822" s="92" t="str">
        <f t="shared" si="51"/>
        <v/>
      </c>
      <c r="G8822" s="92"/>
      <c r="I8822">
        <v>6</v>
      </c>
      <c r="J8822" t="s">
        <v>26</v>
      </c>
      <c r="K8822" s="57"/>
      <c r="S8822" s="57"/>
      <c r="X8822" s="57"/>
    </row>
    <row r="8823" spans="1:24" hidden="1" x14ac:dyDescent="0.35">
      <c r="A8823">
        <v>8819</v>
      </c>
      <c r="B8823">
        <v>8820</v>
      </c>
      <c r="C8823">
        <v>146.107956357999</v>
      </c>
      <c r="D8823">
        <v>-17.601225379900001</v>
      </c>
      <c r="E8823" s="92">
        <f t="shared" si="51"/>
        <v>50</v>
      </c>
      <c r="G8823" s="92"/>
      <c r="I8823">
        <v>6</v>
      </c>
      <c r="J8823" t="s">
        <v>26</v>
      </c>
      <c r="K8823" s="57"/>
      <c r="S8823" s="57"/>
      <c r="X8823" s="57"/>
    </row>
    <row r="8824" spans="1:24" hidden="1" x14ac:dyDescent="0.35">
      <c r="A8824">
        <v>8820</v>
      </c>
      <c r="B8824">
        <v>8821</v>
      </c>
      <c r="C8824">
        <v>146.107867897999</v>
      </c>
      <c r="D8824">
        <v>-17.6012402853999</v>
      </c>
      <c r="E8824" s="92" t="str">
        <f t="shared" si="51"/>
        <v/>
      </c>
      <c r="G8824" s="92"/>
      <c r="I8824">
        <v>6</v>
      </c>
      <c r="J8824" t="s">
        <v>26</v>
      </c>
      <c r="K8824" s="57"/>
      <c r="S8824" s="57"/>
      <c r="X8824" s="57"/>
    </row>
    <row r="8825" spans="1:24" hidden="1" x14ac:dyDescent="0.35">
      <c r="A8825">
        <v>8821</v>
      </c>
      <c r="B8825">
        <v>8822</v>
      </c>
      <c r="C8825">
        <v>146.10777954700001</v>
      </c>
      <c r="D8825">
        <v>-17.601244286499899</v>
      </c>
      <c r="E8825" s="92" t="str">
        <f t="shared" si="51"/>
        <v/>
      </c>
      <c r="G8825" s="92"/>
      <c r="I8825">
        <v>6</v>
      </c>
      <c r="J8825" t="s">
        <v>26</v>
      </c>
      <c r="K8825" s="57"/>
      <c r="S8825" s="57"/>
      <c r="X8825" s="57"/>
    </row>
    <row r="8826" spans="1:24" hidden="1" x14ac:dyDescent="0.35">
      <c r="A8826">
        <v>8822</v>
      </c>
      <c r="B8826">
        <v>8823</v>
      </c>
      <c r="C8826">
        <v>146.107691402999</v>
      </c>
      <c r="D8826">
        <v>-17.6012277719</v>
      </c>
      <c r="E8826" s="92" t="str">
        <f t="shared" si="51"/>
        <v/>
      </c>
      <c r="G8826" s="92"/>
      <c r="I8826">
        <v>6</v>
      </c>
      <c r="J8826" t="s">
        <v>26</v>
      </c>
      <c r="K8826" s="57"/>
      <c r="S8826" s="57"/>
      <c r="X8826" s="57"/>
    </row>
    <row r="8827" spans="1:24" hidden="1" x14ac:dyDescent="0.35">
      <c r="A8827">
        <v>8823</v>
      </c>
      <c r="B8827">
        <v>8824</v>
      </c>
      <c r="C8827">
        <v>146.10760325800001</v>
      </c>
      <c r="D8827">
        <v>-17.601211257300001</v>
      </c>
      <c r="E8827" s="92" t="str">
        <f t="shared" si="51"/>
        <v/>
      </c>
      <c r="G8827" s="92"/>
      <c r="I8827">
        <v>6</v>
      </c>
      <c r="J8827" t="s">
        <v>26</v>
      </c>
      <c r="K8827" s="57"/>
      <c r="S8827" s="57"/>
      <c r="X8827" s="57"/>
    </row>
    <row r="8828" spans="1:24" hidden="1" x14ac:dyDescent="0.35">
      <c r="A8828">
        <v>8824</v>
      </c>
      <c r="B8828">
        <v>8825</v>
      </c>
      <c r="C8828">
        <v>146.10751511300001</v>
      </c>
      <c r="D8828">
        <v>-17.601194742699899</v>
      </c>
      <c r="E8828" s="92">
        <f t="shared" si="51"/>
        <v>50</v>
      </c>
      <c r="G8828" s="92"/>
      <c r="I8828">
        <v>6</v>
      </c>
      <c r="J8828" t="s">
        <v>26</v>
      </c>
      <c r="K8828" s="57"/>
      <c r="S8828" s="57"/>
      <c r="X8828" s="57"/>
    </row>
    <row r="8829" spans="1:24" hidden="1" x14ac:dyDescent="0.35">
      <c r="A8829">
        <v>8825</v>
      </c>
      <c r="B8829">
        <v>8826</v>
      </c>
      <c r="C8829">
        <v>146.107429636999</v>
      </c>
      <c r="D8829">
        <v>-17.6011712076</v>
      </c>
      <c r="E8829" s="92" t="str">
        <f t="shared" si="51"/>
        <v/>
      </c>
      <c r="G8829" s="92"/>
      <c r="I8829">
        <v>6</v>
      </c>
      <c r="J8829" t="s">
        <v>26</v>
      </c>
      <c r="K8829" s="57"/>
      <c r="S8829" s="57"/>
      <c r="X8829" s="57"/>
    </row>
    <row r="8830" spans="1:24" hidden="1" x14ac:dyDescent="0.35">
      <c r="A8830">
        <v>8826</v>
      </c>
      <c r="B8830">
        <v>8827</v>
      </c>
      <c r="C8830">
        <v>146.107350854999</v>
      </c>
      <c r="D8830">
        <v>-17.601130064500001</v>
      </c>
      <c r="E8830" s="92" t="str">
        <f t="shared" si="51"/>
        <v/>
      </c>
      <c r="G8830" s="92"/>
      <c r="I8830">
        <v>6</v>
      </c>
      <c r="J8830" t="s">
        <v>26</v>
      </c>
      <c r="K8830" s="57"/>
      <c r="S8830" s="57"/>
      <c r="X8830" s="57"/>
    </row>
    <row r="8831" spans="1:24" hidden="1" x14ac:dyDescent="0.35">
      <c r="A8831">
        <v>8827</v>
      </c>
      <c r="B8831">
        <v>8828</v>
      </c>
      <c r="C8831">
        <v>146.107272072999</v>
      </c>
      <c r="D8831">
        <v>-17.601088921300001</v>
      </c>
      <c r="E8831" s="92" t="str">
        <f t="shared" si="51"/>
        <v/>
      </c>
      <c r="G8831" s="92"/>
      <c r="I8831">
        <v>6</v>
      </c>
      <c r="J8831" t="s">
        <v>26</v>
      </c>
      <c r="K8831" s="57"/>
      <c r="S8831" s="57"/>
      <c r="X8831" s="57"/>
    </row>
    <row r="8832" spans="1:24" hidden="1" x14ac:dyDescent="0.35">
      <c r="A8832">
        <v>8828</v>
      </c>
      <c r="B8832">
        <v>8829</v>
      </c>
      <c r="C8832">
        <v>146.10719329099899</v>
      </c>
      <c r="D8832">
        <v>-17.6010477781</v>
      </c>
      <c r="E8832" s="92" t="str">
        <f t="shared" si="51"/>
        <v/>
      </c>
      <c r="G8832" s="92"/>
      <c r="I8832">
        <v>6</v>
      </c>
      <c r="J8832" t="s">
        <v>26</v>
      </c>
      <c r="K8832" s="57"/>
      <c r="S8832" s="57"/>
      <c r="X8832" s="57"/>
    </row>
    <row r="8833" spans="1:24" hidden="1" x14ac:dyDescent="0.35">
      <c r="A8833">
        <v>8829</v>
      </c>
      <c r="B8833">
        <v>8830</v>
      </c>
      <c r="C8833">
        <v>146.10711450900001</v>
      </c>
      <c r="D8833">
        <v>-17.601006635000001</v>
      </c>
      <c r="E8833" s="92">
        <f t="shared" si="51"/>
        <v>50</v>
      </c>
      <c r="G8833" s="92"/>
      <c r="I8833">
        <v>6</v>
      </c>
      <c r="J8833" t="s">
        <v>26</v>
      </c>
      <c r="K8833" s="57"/>
      <c r="S8833" s="57"/>
      <c r="X8833" s="57"/>
    </row>
    <row r="8834" spans="1:24" hidden="1" x14ac:dyDescent="0.35">
      <c r="A8834">
        <v>8830</v>
      </c>
      <c r="B8834">
        <v>8831</v>
      </c>
      <c r="C8834">
        <v>146.107035728</v>
      </c>
      <c r="D8834">
        <v>-17.6009654918</v>
      </c>
      <c r="E8834" s="92" t="str">
        <f t="shared" si="51"/>
        <v/>
      </c>
      <c r="G8834" s="92"/>
      <c r="I8834">
        <v>6</v>
      </c>
      <c r="J8834" t="s">
        <v>26</v>
      </c>
      <c r="K8834" s="57"/>
      <c r="S8834" s="57"/>
      <c r="X8834" s="57"/>
    </row>
    <row r="8835" spans="1:24" hidden="1" x14ac:dyDescent="0.35">
      <c r="A8835">
        <v>8831</v>
      </c>
      <c r="B8835">
        <v>8832</v>
      </c>
      <c r="C8835">
        <v>146.106956945999</v>
      </c>
      <c r="D8835">
        <v>-17.600924348500001</v>
      </c>
      <c r="E8835" s="92" t="str">
        <f t="shared" si="51"/>
        <v/>
      </c>
      <c r="G8835" s="92"/>
      <c r="I8835">
        <v>6</v>
      </c>
      <c r="J8835" t="s">
        <v>26</v>
      </c>
      <c r="K8835" s="57"/>
      <c r="S8835" s="57"/>
      <c r="X8835" s="57"/>
    </row>
    <row r="8836" spans="1:24" hidden="1" x14ac:dyDescent="0.35">
      <c r="A8836">
        <v>8832</v>
      </c>
      <c r="B8836">
        <v>8833</v>
      </c>
      <c r="C8836">
        <v>146.10687886100001</v>
      </c>
      <c r="D8836">
        <v>-17.600882022099899</v>
      </c>
      <c r="E8836" s="92" t="str">
        <f t="shared" si="51"/>
        <v/>
      </c>
      <c r="G8836" s="92"/>
      <c r="I8836">
        <v>6</v>
      </c>
      <c r="J8836" t="s">
        <v>26</v>
      </c>
      <c r="K8836" s="57"/>
      <c r="S8836" s="57"/>
      <c r="X8836" s="57"/>
    </row>
    <row r="8837" spans="1:24" hidden="1" x14ac:dyDescent="0.35">
      <c r="A8837">
        <v>8833</v>
      </c>
      <c r="B8837">
        <v>8834</v>
      </c>
      <c r="C8837">
        <v>146.106801034</v>
      </c>
      <c r="D8837">
        <v>-17.6008392608999</v>
      </c>
      <c r="E8837" s="92" t="str">
        <f t="shared" si="51"/>
        <v/>
      </c>
      <c r="G8837" s="92"/>
      <c r="I8837">
        <v>6</v>
      </c>
      <c r="J8837" t="s">
        <v>26</v>
      </c>
      <c r="K8837" s="57"/>
      <c r="S8837" s="57"/>
      <c r="X8837" s="57"/>
    </row>
    <row r="8838" spans="1:24" hidden="1" x14ac:dyDescent="0.35">
      <c r="A8838">
        <v>8834</v>
      </c>
      <c r="B8838">
        <v>8835</v>
      </c>
      <c r="C8838">
        <v>146.106723205999</v>
      </c>
      <c r="D8838">
        <v>-17.6007964996999</v>
      </c>
      <c r="E8838" s="92">
        <f t="shared" si="51"/>
        <v>50</v>
      </c>
      <c r="G8838" s="92"/>
      <c r="I8838">
        <v>6</v>
      </c>
      <c r="J8838" t="s">
        <v>26</v>
      </c>
      <c r="K8838" s="57"/>
      <c r="S8838" s="57"/>
      <c r="X8838" s="57"/>
    </row>
    <row r="8839" spans="1:24" hidden="1" x14ac:dyDescent="0.35">
      <c r="A8839">
        <v>8835</v>
      </c>
      <c r="B8839">
        <v>8836</v>
      </c>
      <c r="C8839">
        <v>146.106645377999</v>
      </c>
      <c r="D8839">
        <v>-17.600753738400002</v>
      </c>
      <c r="E8839" s="92" t="str">
        <f t="shared" si="51"/>
        <v/>
      </c>
      <c r="G8839" s="92"/>
      <c r="I8839">
        <v>6</v>
      </c>
      <c r="J8839" t="s">
        <v>26</v>
      </c>
      <c r="K8839" s="57"/>
      <c r="S8839" s="57"/>
      <c r="X8839" s="57"/>
    </row>
    <row r="8840" spans="1:24" hidden="1" x14ac:dyDescent="0.35">
      <c r="A8840">
        <v>8836</v>
      </c>
      <c r="B8840">
        <v>8837</v>
      </c>
      <c r="C8840">
        <v>146.106566082</v>
      </c>
      <c r="D8840">
        <v>-17.6007137140999</v>
      </c>
      <c r="E8840" s="92" t="str">
        <f t="shared" si="51"/>
        <v/>
      </c>
      <c r="G8840" s="92"/>
      <c r="I8840">
        <v>6</v>
      </c>
      <c r="J8840" t="s">
        <v>26</v>
      </c>
      <c r="K8840" s="57"/>
      <c r="S8840" s="57"/>
      <c r="X8840" s="57"/>
    </row>
    <row r="8841" spans="1:24" hidden="1" x14ac:dyDescent="0.35">
      <c r="A8841">
        <v>8837</v>
      </c>
      <c r="B8841">
        <v>8838</v>
      </c>
      <c r="C8841">
        <v>146.10648414900001</v>
      </c>
      <c r="D8841">
        <v>-17.600678604999899</v>
      </c>
      <c r="E8841" s="92" t="str">
        <f t="shared" si="51"/>
        <v/>
      </c>
      <c r="G8841" s="92"/>
      <c r="I8841">
        <v>6</v>
      </c>
      <c r="J8841" t="s">
        <v>26</v>
      </c>
      <c r="K8841" s="57"/>
      <c r="S8841" s="57"/>
      <c r="X8841" s="57"/>
    </row>
    <row r="8842" spans="1:24" hidden="1" x14ac:dyDescent="0.35">
      <c r="A8842">
        <v>8838</v>
      </c>
      <c r="B8842">
        <v>8839</v>
      </c>
      <c r="C8842">
        <v>146.106402215999</v>
      </c>
      <c r="D8842">
        <v>-17.600643495900002</v>
      </c>
      <c r="E8842" s="92" t="str">
        <f t="shared" si="51"/>
        <v/>
      </c>
      <c r="G8842" s="92"/>
      <c r="I8842">
        <v>6</v>
      </c>
      <c r="J8842" t="s">
        <v>26</v>
      </c>
      <c r="K8842" s="57"/>
      <c r="S8842" s="57"/>
      <c r="X8842" s="57"/>
    </row>
    <row r="8843" spans="1:24" hidden="1" x14ac:dyDescent="0.35">
      <c r="A8843">
        <v>8839</v>
      </c>
      <c r="B8843">
        <v>8840</v>
      </c>
      <c r="C8843">
        <v>146.106320283</v>
      </c>
      <c r="D8843">
        <v>-17.600608386800001</v>
      </c>
      <c r="E8843" s="92">
        <f t="shared" si="51"/>
        <v>50</v>
      </c>
      <c r="G8843" s="92"/>
      <c r="I8843">
        <v>6</v>
      </c>
      <c r="J8843" t="s">
        <v>26</v>
      </c>
      <c r="K8843" s="57"/>
      <c r="S8843" s="57"/>
      <c r="X8843" s="57"/>
    </row>
    <row r="8844" spans="1:24" hidden="1" x14ac:dyDescent="0.35">
      <c r="A8844">
        <v>8840</v>
      </c>
      <c r="B8844">
        <v>8841</v>
      </c>
      <c r="C8844">
        <v>146.10623835000001</v>
      </c>
      <c r="D8844">
        <v>-17.600573277599899</v>
      </c>
      <c r="E8844" s="92" t="str">
        <f t="shared" si="51"/>
        <v/>
      </c>
      <c r="G8844" s="92"/>
      <c r="I8844">
        <v>6</v>
      </c>
      <c r="J8844" t="s">
        <v>26</v>
      </c>
      <c r="K8844" s="57"/>
      <c r="S8844" s="57"/>
      <c r="X8844" s="57"/>
    </row>
    <row r="8845" spans="1:24" hidden="1" x14ac:dyDescent="0.35">
      <c r="A8845">
        <v>8841</v>
      </c>
      <c r="B8845">
        <v>8842</v>
      </c>
      <c r="C8845">
        <v>146.106163627999</v>
      </c>
      <c r="D8845">
        <v>-17.6005267783999</v>
      </c>
      <c r="E8845" s="92" t="str">
        <f t="shared" si="51"/>
        <v/>
      </c>
      <c r="G8845" s="92"/>
      <c r="I8845">
        <v>6</v>
      </c>
      <c r="J8845" t="s">
        <v>26</v>
      </c>
      <c r="K8845" s="57"/>
      <c r="S8845" s="57"/>
      <c r="X8845" s="57"/>
    </row>
    <row r="8846" spans="1:24" hidden="1" x14ac:dyDescent="0.35">
      <c r="A8846">
        <v>8842</v>
      </c>
      <c r="B8846">
        <v>8843</v>
      </c>
      <c r="C8846">
        <v>146.106092848</v>
      </c>
      <c r="D8846">
        <v>-17.6004740517999</v>
      </c>
      <c r="E8846" s="92" t="str">
        <f t="shared" si="51"/>
        <v/>
      </c>
      <c r="G8846" s="92"/>
      <c r="I8846">
        <v>6</v>
      </c>
      <c r="J8846" t="s">
        <v>26</v>
      </c>
      <c r="K8846" s="57"/>
      <c r="S8846" s="57"/>
      <c r="X8846" s="57"/>
    </row>
    <row r="8847" spans="1:24" hidden="1" x14ac:dyDescent="0.35">
      <c r="A8847">
        <v>8843</v>
      </c>
      <c r="B8847">
        <v>8844</v>
      </c>
      <c r="C8847">
        <v>146.10602206799899</v>
      </c>
      <c r="D8847">
        <v>-17.600421325100001</v>
      </c>
      <c r="E8847" s="92" t="str">
        <f t="shared" si="51"/>
        <v/>
      </c>
      <c r="G8847" s="92"/>
      <c r="I8847">
        <v>6</v>
      </c>
      <c r="J8847" t="s">
        <v>26</v>
      </c>
      <c r="K8847" s="57"/>
      <c r="S8847" s="57"/>
      <c r="X8847" s="57"/>
    </row>
    <row r="8848" spans="1:24" hidden="1" x14ac:dyDescent="0.35">
      <c r="A8848">
        <v>8844</v>
      </c>
      <c r="B8848">
        <v>8845</v>
      </c>
      <c r="C8848">
        <v>146.10596154999899</v>
      </c>
      <c r="D8848">
        <v>-17.600359359900001</v>
      </c>
      <c r="E8848" s="92">
        <f t="shared" ref="E8848:E8911" si="52">IF(MOD(B8848,5)=0, 50, "")</f>
        <v>50</v>
      </c>
      <c r="G8848" s="92"/>
      <c r="I8848">
        <v>6</v>
      </c>
      <c r="J8848" t="s">
        <v>26</v>
      </c>
      <c r="K8848" s="57"/>
      <c r="S8848" s="57"/>
      <c r="X8848" s="57"/>
    </row>
    <row r="8849" spans="1:24" hidden="1" x14ac:dyDescent="0.35">
      <c r="A8849">
        <v>8845</v>
      </c>
      <c r="B8849">
        <v>8846</v>
      </c>
      <c r="C8849">
        <v>146.10591037</v>
      </c>
      <c r="D8849">
        <v>-17.600288989900001</v>
      </c>
      <c r="E8849" s="92" t="str">
        <f t="shared" si="52"/>
        <v/>
      </c>
      <c r="G8849" s="92"/>
      <c r="I8849">
        <v>6</v>
      </c>
      <c r="J8849" t="s">
        <v>26</v>
      </c>
      <c r="K8849" s="57"/>
      <c r="S8849" s="57"/>
      <c r="X8849" s="57"/>
    </row>
    <row r="8850" spans="1:24" hidden="1" x14ac:dyDescent="0.35">
      <c r="A8850">
        <v>8846</v>
      </c>
      <c r="B8850">
        <v>8847</v>
      </c>
      <c r="C8850">
        <v>146.105859189</v>
      </c>
      <c r="D8850">
        <v>-17.600218619900001</v>
      </c>
      <c r="E8850" s="92" t="str">
        <f t="shared" si="52"/>
        <v/>
      </c>
      <c r="G8850" s="92"/>
      <c r="I8850">
        <v>6</v>
      </c>
      <c r="J8850" t="s">
        <v>26</v>
      </c>
      <c r="K8850" s="57"/>
      <c r="S8850" s="57"/>
      <c r="X8850" s="57"/>
    </row>
    <row r="8851" spans="1:24" hidden="1" x14ac:dyDescent="0.35">
      <c r="A8851">
        <v>8847</v>
      </c>
      <c r="B8851">
        <v>8848</v>
      </c>
      <c r="C8851">
        <v>146.105811109</v>
      </c>
      <c r="D8851">
        <v>-17.600146934800001</v>
      </c>
      <c r="E8851" s="92" t="str">
        <f t="shared" si="52"/>
        <v/>
      </c>
      <c r="G8851" s="92"/>
      <c r="I8851">
        <v>6</v>
      </c>
      <c r="J8851" t="s">
        <v>26</v>
      </c>
      <c r="K8851" s="57"/>
      <c r="S8851" s="57"/>
      <c r="X8851" s="57"/>
    </row>
    <row r="8852" spans="1:24" hidden="1" x14ac:dyDescent="0.35">
      <c r="A8852">
        <v>8848</v>
      </c>
      <c r="B8852">
        <v>8849</v>
      </c>
      <c r="C8852">
        <v>146.105790517</v>
      </c>
      <c r="D8852">
        <v>-17.6000635882999</v>
      </c>
      <c r="E8852" s="92" t="str">
        <f t="shared" si="52"/>
        <v/>
      </c>
      <c r="G8852" s="92"/>
      <c r="I8852">
        <v>6</v>
      </c>
      <c r="J8852" t="s">
        <v>26</v>
      </c>
      <c r="K8852" s="57"/>
      <c r="S8852" s="57"/>
      <c r="X8852" s="57"/>
    </row>
    <row r="8853" spans="1:24" hidden="1" x14ac:dyDescent="0.35">
      <c r="A8853">
        <v>8849</v>
      </c>
      <c r="B8853">
        <v>8850</v>
      </c>
      <c r="C8853">
        <v>146.105769925</v>
      </c>
      <c r="D8853">
        <v>-17.599980241800001</v>
      </c>
      <c r="E8853" s="92">
        <f t="shared" si="52"/>
        <v>50</v>
      </c>
      <c r="G8853" s="92"/>
      <c r="I8853">
        <v>6</v>
      </c>
      <c r="J8853" t="s">
        <v>26</v>
      </c>
      <c r="K8853" s="57"/>
      <c r="S8853" s="57"/>
      <c r="X8853" s="57"/>
    </row>
    <row r="8854" spans="1:24" hidden="1" x14ac:dyDescent="0.35">
      <c r="A8854">
        <v>8850</v>
      </c>
      <c r="B8854">
        <v>8851</v>
      </c>
      <c r="C8854">
        <v>146.10574933300001</v>
      </c>
      <c r="D8854">
        <v>-17.599896895200001</v>
      </c>
      <c r="E8854" s="92" t="str">
        <f t="shared" si="52"/>
        <v/>
      </c>
      <c r="G8854" s="92"/>
      <c r="I8854">
        <v>6</v>
      </c>
      <c r="J8854" t="s">
        <v>26</v>
      </c>
      <c r="K8854" s="57"/>
      <c r="S8854" s="57"/>
      <c r="X8854" s="57"/>
    </row>
    <row r="8855" spans="1:24" hidden="1" x14ac:dyDescent="0.35">
      <c r="A8855">
        <v>8851</v>
      </c>
      <c r="B8855">
        <v>8852</v>
      </c>
      <c r="C8855">
        <v>146.105729604</v>
      </c>
      <c r="D8855">
        <v>-17.599813461</v>
      </c>
      <c r="E8855" s="92" t="str">
        <f t="shared" si="52"/>
        <v/>
      </c>
      <c r="G8855" s="92"/>
      <c r="I8855">
        <v>6</v>
      </c>
      <c r="J8855" t="s">
        <v>26</v>
      </c>
      <c r="K8855" s="57"/>
      <c r="S8855" s="57"/>
      <c r="X8855" s="57"/>
    </row>
    <row r="8856" spans="1:24" hidden="1" x14ac:dyDescent="0.35">
      <c r="A8856">
        <v>8852</v>
      </c>
      <c r="B8856">
        <v>8853</v>
      </c>
      <c r="C8856">
        <v>146.105731337999</v>
      </c>
      <c r="D8856">
        <v>-17.5997278502999</v>
      </c>
      <c r="E8856" s="92" t="str">
        <f t="shared" si="52"/>
        <v/>
      </c>
      <c r="G8856" s="92"/>
      <c r="I8856">
        <v>6</v>
      </c>
      <c r="J8856" t="s">
        <v>26</v>
      </c>
      <c r="K8856" s="57"/>
      <c r="S8856" s="57"/>
      <c r="X8856" s="57"/>
    </row>
    <row r="8857" spans="1:24" hidden="1" x14ac:dyDescent="0.35">
      <c r="A8857">
        <v>8853</v>
      </c>
      <c r="B8857">
        <v>8854</v>
      </c>
      <c r="C8857">
        <v>146.105733071999</v>
      </c>
      <c r="D8857">
        <v>-17.5996422395</v>
      </c>
      <c r="E8857" s="92" t="str">
        <f t="shared" si="52"/>
        <v/>
      </c>
      <c r="G8857" s="92"/>
      <c r="I8857">
        <v>6</v>
      </c>
      <c r="J8857" t="s">
        <v>26</v>
      </c>
      <c r="K8857" s="57"/>
      <c r="S8857" s="57"/>
      <c r="X8857" s="57"/>
    </row>
    <row r="8858" spans="1:24" hidden="1" x14ac:dyDescent="0.35">
      <c r="A8858">
        <v>8854</v>
      </c>
      <c r="B8858">
        <v>8855</v>
      </c>
      <c r="C8858">
        <v>146.105734804999</v>
      </c>
      <c r="D8858">
        <v>-17.5995566287</v>
      </c>
      <c r="E8858" s="92">
        <f t="shared" si="52"/>
        <v>50</v>
      </c>
      <c r="G8858" s="92"/>
      <c r="I8858">
        <v>6</v>
      </c>
      <c r="J8858" t="s">
        <v>26</v>
      </c>
      <c r="K8858" s="57"/>
      <c r="S8858" s="57"/>
      <c r="X8858" s="57"/>
    </row>
    <row r="8859" spans="1:24" hidden="1" x14ac:dyDescent="0.35">
      <c r="A8859">
        <v>8855</v>
      </c>
      <c r="B8859">
        <v>8856</v>
      </c>
      <c r="C8859">
        <v>146.105736538999</v>
      </c>
      <c r="D8859">
        <v>-17.599471017900001</v>
      </c>
      <c r="E8859" s="92" t="str">
        <f t="shared" si="52"/>
        <v/>
      </c>
      <c r="G8859" s="92"/>
      <c r="I8859">
        <v>6</v>
      </c>
      <c r="J8859" t="s">
        <v>26</v>
      </c>
      <c r="K8859" s="57"/>
      <c r="S8859" s="57"/>
      <c r="X8859" s="57"/>
    </row>
    <row r="8860" spans="1:24" hidden="1" x14ac:dyDescent="0.35">
      <c r="A8860">
        <v>8856</v>
      </c>
      <c r="B8860">
        <v>8857</v>
      </c>
      <c r="C8860">
        <v>146.105748820999</v>
      </c>
      <c r="D8860">
        <v>-17.5993864464</v>
      </c>
      <c r="E8860" s="92" t="str">
        <f t="shared" si="52"/>
        <v/>
      </c>
      <c r="G8860" s="92"/>
      <c r="I8860">
        <v>6</v>
      </c>
      <c r="J8860" t="s">
        <v>26</v>
      </c>
      <c r="K8860" s="57"/>
      <c r="S8860" s="57"/>
      <c r="X8860" s="57"/>
    </row>
    <row r="8861" spans="1:24" hidden="1" x14ac:dyDescent="0.35">
      <c r="A8861">
        <v>8857</v>
      </c>
      <c r="B8861">
        <v>8858</v>
      </c>
      <c r="C8861">
        <v>146.105765496999</v>
      </c>
      <c r="D8861">
        <v>-17.599302307799899</v>
      </c>
      <c r="E8861" s="92" t="str">
        <f t="shared" si="52"/>
        <v/>
      </c>
      <c r="G8861" s="92"/>
      <c r="I8861">
        <v>6</v>
      </c>
      <c r="J8861" t="s">
        <v>26</v>
      </c>
      <c r="K8861" s="57"/>
      <c r="S8861" s="57"/>
      <c r="X8861" s="57"/>
    </row>
    <row r="8862" spans="1:24" hidden="1" x14ac:dyDescent="0.35">
      <c r="A8862">
        <v>8858</v>
      </c>
      <c r="B8862">
        <v>8859</v>
      </c>
      <c r="C8862">
        <v>146.105782172999</v>
      </c>
      <c r="D8862">
        <v>-17.5992181692</v>
      </c>
      <c r="E8862" s="92" t="str">
        <f t="shared" si="52"/>
        <v/>
      </c>
      <c r="G8862" s="92"/>
      <c r="I8862">
        <v>6</v>
      </c>
      <c r="J8862" t="s">
        <v>26</v>
      </c>
      <c r="K8862" s="57"/>
      <c r="S8862" s="57"/>
      <c r="X8862" s="57"/>
    </row>
    <row r="8863" spans="1:24" hidden="1" x14ac:dyDescent="0.35">
      <c r="A8863">
        <v>8859</v>
      </c>
      <c r="B8863">
        <v>8860</v>
      </c>
      <c r="C8863">
        <v>146.105803925</v>
      </c>
      <c r="D8863">
        <v>-17.599135692800001</v>
      </c>
      <c r="E8863" s="92">
        <f t="shared" si="52"/>
        <v>50</v>
      </c>
      <c r="G8863" s="92"/>
      <c r="I8863">
        <v>6</v>
      </c>
      <c r="J8863" t="s">
        <v>26</v>
      </c>
      <c r="K8863" s="57"/>
      <c r="S8863" s="57"/>
      <c r="X8863" s="57"/>
    </row>
    <row r="8864" spans="1:24" hidden="1" x14ac:dyDescent="0.35">
      <c r="A8864">
        <v>8860</v>
      </c>
      <c r="B8864">
        <v>8861</v>
      </c>
      <c r="C8864">
        <v>146.10584501899899</v>
      </c>
      <c r="D8864">
        <v>-17.599059550500002</v>
      </c>
      <c r="E8864" s="92" t="str">
        <f t="shared" si="52"/>
        <v/>
      </c>
      <c r="G8864" s="92"/>
      <c r="I8864">
        <v>6</v>
      </c>
      <c r="J8864" t="s">
        <v>26</v>
      </c>
      <c r="K8864" s="57"/>
      <c r="S8864" s="57"/>
      <c r="X8864" s="57"/>
    </row>
    <row r="8865" spans="1:24" hidden="1" x14ac:dyDescent="0.35">
      <c r="A8865">
        <v>8861</v>
      </c>
      <c r="B8865">
        <v>8862</v>
      </c>
      <c r="C8865">
        <v>146.105886112999</v>
      </c>
      <c r="D8865">
        <v>-17.598983408300001</v>
      </c>
      <c r="E8865" s="92" t="str">
        <f t="shared" si="52"/>
        <v/>
      </c>
      <c r="G8865" s="92"/>
      <c r="I8865">
        <v>6</v>
      </c>
      <c r="J8865" t="s">
        <v>26</v>
      </c>
      <c r="K8865" s="57"/>
      <c r="S8865" s="57"/>
      <c r="X8865" s="57"/>
    </row>
    <row r="8866" spans="1:24" hidden="1" x14ac:dyDescent="0.35">
      <c r="A8866">
        <v>8862</v>
      </c>
      <c r="B8866">
        <v>8863</v>
      </c>
      <c r="C8866">
        <v>146.105929852</v>
      </c>
      <c r="D8866">
        <v>-17.5989090238999</v>
      </c>
      <c r="E8866" s="92" t="str">
        <f t="shared" si="52"/>
        <v/>
      </c>
      <c r="G8866" s="92"/>
      <c r="I8866">
        <v>6</v>
      </c>
      <c r="J8866" t="s">
        <v>26</v>
      </c>
      <c r="K8866" s="57"/>
      <c r="S8866" s="57"/>
      <c r="X8866" s="57"/>
    </row>
    <row r="8867" spans="1:24" hidden="1" x14ac:dyDescent="0.35">
      <c r="A8867">
        <v>8863</v>
      </c>
      <c r="B8867">
        <v>8864</v>
      </c>
      <c r="C8867">
        <v>146.10599060000001</v>
      </c>
      <c r="D8867">
        <v>-17.598845944499899</v>
      </c>
      <c r="E8867" s="92" t="str">
        <f t="shared" si="52"/>
        <v/>
      </c>
      <c r="G8867" s="92"/>
      <c r="I8867">
        <v>6</v>
      </c>
      <c r="J8867" t="s">
        <v>26</v>
      </c>
      <c r="K8867" s="57"/>
      <c r="S8867" s="57"/>
      <c r="X8867" s="57"/>
    </row>
    <row r="8868" spans="1:24" hidden="1" x14ac:dyDescent="0.35">
      <c r="A8868">
        <v>8864</v>
      </c>
      <c r="B8868">
        <v>8865</v>
      </c>
      <c r="C8868">
        <v>146.10605134900001</v>
      </c>
      <c r="D8868">
        <v>-17.598782865</v>
      </c>
      <c r="E8868" s="92">
        <f t="shared" si="52"/>
        <v>50</v>
      </c>
      <c r="G8868" s="92"/>
      <c r="I8868">
        <v>6</v>
      </c>
      <c r="J8868" t="s">
        <v>26</v>
      </c>
      <c r="K8868" s="57"/>
      <c r="S8868" s="57"/>
      <c r="X8868" s="57"/>
    </row>
    <row r="8869" spans="1:24" hidden="1" x14ac:dyDescent="0.35">
      <c r="A8869">
        <v>8865</v>
      </c>
      <c r="B8869">
        <v>8866</v>
      </c>
      <c r="C8869">
        <v>146.106112096999</v>
      </c>
      <c r="D8869">
        <v>-17.5987197856</v>
      </c>
      <c r="E8869" s="92" t="str">
        <f t="shared" si="52"/>
        <v/>
      </c>
      <c r="G8869" s="92"/>
      <c r="I8869">
        <v>6</v>
      </c>
      <c r="J8869" t="s">
        <v>26</v>
      </c>
      <c r="K8869" s="57"/>
      <c r="S8869" s="57"/>
      <c r="X8869" s="57"/>
    </row>
    <row r="8870" spans="1:24" hidden="1" x14ac:dyDescent="0.35">
      <c r="A8870">
        <v>8866</v>
      </c>
      <c r="B8870">
        <v>8867</v>
      </c>
      <c r="C8870">
        <v>146.10617345399899</v>
      </c>
      <c r="D8870">
        <v>-17.5986573011999</v>
      </c>
      <c r="E8870" s="92" t="str">
        <f t="shared" si="52"/>
        <v/>
      </c>
      <c r="G8870" s="92"/>
      <c r="I8870">
        <v>6</v>
      </c>
      <c r="J8870" t="s">
        <v>26</v>
      </c>
      <c r="K8870" s="57"/>
      <c r="S8870" s="57"/>
      <c r="X8870" s="57"/>
    </row>
    <row r="8871" spans="1:24" hidden="1" x14ac:dyDescent="0.35">
      <c r="A8871">
        <v>8867</v>
      </c>
      <c r="B8871">
        <v>8868</v>
      </c>
      <c r="C8871">
        <v>146.10624115900001</v>
      </c>
      <c r="D8871">
        <v>-17.598601024699899</v>
      </c>
      <c r="E8871" s="92" t="str">
        <f t="shared" si="52"/>
        <v/>
      </c>
      <c r="G8871" s="92"/>
      <c r="I8871">
        <v>6</v>
      </c>
      <c r="J8871" t="s">
        <v>26</v>
      </c>
      <c r="K8871" s="57"/>
      <c r="S8871" s="57"/>
      <c r="X8871" s="57"/>
    </row>
    <row r="8872" spans="1:24" hidden="1" x14ac:dyDescent="0.35">
      <c r="A8872">
        <v>8868</v>
      </c>
      <c r="B8872">
        <v>8869</v>
      </c>
      <c r="C8872">
        <v>146.106308863999</v>
      </c>
      <c r="D8872">
        <v>-17.598544748199899</v>
      </c>
      <c r="E8872" s="92" t="str">
        <f t="shared" si="52"/>
        <v/>
      </c>
      <c r="G8872" s="92"/>
      <c r="I8872">
        <v>6</v>
      </c>
      <c r="J8872" t="s">
        <v>26</v>
      </c>
      <c r="K8872" s="57"/>
      <c r="S8872" s="57"/>
      <c r="X8872" s="57"/>
    </row>
    <row r="8873" spans="1:24" hidden="1" x14ac:dyDescent="0.35">
      <c r="A8873">
        <v>8869</v>
      </c>
      <c r="B8873">
        <v>8870</v>
      </c>
      <c r="C8873">
        <v>146.10637657000001</v>
      </c>
      <c r="D8873">
        <v>-17.598488471700001</v>
      </c>
      <c r="E8873" s="92">
        <f t="shared" si="52"/>
        <v>50</v>
      </c>
      <c r="G8873" s="92"/>
      <c r="I8873">
        <v>6</v>
      </c>
      <c r="J8873" t="s">
        <v>26</v>
      </c>
      <c r="K8873" s="57"/>
      <c r="S8873" s="57"/>
      <c r="X8873" s="57"/>
    </row>
    <row r="8874" spans="1:24" hidden="1" x14ac:dyDescent="0.35">
      <c r="A8874">
        <v>8870</v>
      </c>
      <c r="B8874">
        <v>8871</v>
      </c>
      <c r="C8874">
        <v>146.106444275</v>
      </c>
      <c r="D8874">
        <v>-17.5984321950999</v>
      </c>
      <c r="E8874" s="92" t="str">
        <f t="shared" si="52"/>
        <v/>
      </c>
      <c r="G8874" s="92"/>
      <c r="I8874">
        <v>6</v>
      </c>
      <c r="J8874" t="s">
        <v>26</v>
      </c>
      <c r="K8874" s="57"/>
      <c r="S8874" s="57"/>
      <c r="X8874" s="57"/>
    </row>
    <row r="8875" spans="1:24" hidden="1" x14ac:dyDescent="0.35">
      <c r="A8875">
        <v>8871</v>
      </c>
      <c r="B8875">
        <v>8872</v>
      </c>
      <c r="C8875">
        <v>146.106517010999</v>
      </c>
      <c r="D8875">
        <v>-17.5983833186</v>
      </c>
      <c r="E8875" s="92" t="str">
        <f t="shared" si="52"/>
        <v/>
      </c>
      <c r="G8875" s="92"/>
      <c r="I8875">
        <v>6</v>
      </c>
      <c r="J8875" t="s">
        <v>26</v>
      </c>
      <c r="K8875" s="57"/>
      <c r="S8875" s="57"/>
      <c r="X8875" s="57"/>
    </row>
    <row r="8876" spans="1:24" hidden="1" x14ac:dyDescent="0.35">
      <c r="A8876">
        <v>8872</v>
      </c>
      <c r="B8876">
        <v>8873</v>
      </c>
      <c r="C8876">
        <v>146.106598563999</v>
      </c>
      <c r="D8876">
        <v>-17.598347413900001</v>
      </c>
      <c r="E8876" s="92" t="str">
        <f t="shared" si="52"/>
        <v/>
      </c>
      <c r="G8876" s="92"/>
      <c r="I8876">
        <v>6</v>
      </c>
      <c r="J8876" t="s">
        <v>26</v>
      </c>
      <c r="K8876" s="57"/>
      <c r="S8876" s="57"/>
      <c r="X8876" s="57"/>
    </row>
    <row r="8877" spans="1:24" hidden="1" x14ac:dyDescent="0.35">
      <c r="A8877">
        <v>8873</v>
      </c>
      <c r="B8877">
        <v>8874</v>
      </c>
      <c r="C8877">
        <v>146.10668011600001</v>
      </c>
      <c r="D8877">
        <v>-17.5983115091</v>
      </c>
      <c r="E8877" s="92" t="str">
        <f t="shared" si="52"/>
        <v/>
      </c>
      <c r="G8877" s="92"/>
      <c r="I8877">
        <v>6</v>
      </c>
      <c r="J8877" t="s">
        <v>26</v>
      </c>
      <c r="K8877" s="57"/>
      <c r="S8877" s="57"/>
      <c r="X8877" s="57"/>
    </row>
    <row r="8878" spans="1:24" hidden="1" x14ac:dyDescent="0.35">
      <c r="A8878">
        <v>8874</v>
      </c>
      <c r="B8878">
        <v>8875</v>
      </c>
      <c r="C8878">
        <v>146.10676166900001</v>
      </c>
      <c r="D8878">
        <v>-17.5982756042999</v>
      </c>
      <c r="E8878" s="92">
        <f t="shared" si="52"/>
        <v>50</v>
      </c>
      <c r="G8878" s="92"/>
      <c r="I8878">
        <v>6</v>
      </c>
      <c r="J8878" t="s">
        <v>26</v>
      </c>
      <c r="K8878" s="57"/>
      <c r="S8878" s="57"/>
      <c r="X8878" s="57"/>
    </row>
    <row r="8879" spans="1:24" hidden="1" x14ac:dyDescent="0.35">
      <c r="A8879">
        <v>8875</v>
      </c>
      <c r="B8879">
        <v>8876</v>
      </c>
      <c r="C8879">
        <v>146.10684322200001</v>
      </c>
      <c r="D8879">
        <v>-17.598239699499899</v>
      </c>
      <c r="E8879" s="92" t="str">
        <f t="shared" si="52"/>
        <v/>
      </c>
      <c r="G8879" s="92"/>
      <c r="I8879">
        <v>6</v>
      </c>
      <c r="J8879" t="s">
        <v>26</v>
      </c>
      <c r="K8879" s="57"/>
      <c r="S8879" s="57"/>
      <c r="X8879" s="57"/>
    </row>
    <row r="8880" spans="1:24" hidden="1" x14ac:dyDescent="0.35">
      <c r="A8880">
        <v>8876</v>
      </c>
      <c r="B8880">
        <v>8877</v>
      </c>
      <c r="C8880">
        <v>146.10692722900001</v>
      </c>
      <c r="D8880">
        <v>-17.5982107186999</v>
      </c>
      <c r="E8880" s="92" t="str">
        <f t="shared" si="52"/>
        <v/>
      </c>
      <c r="G8880" s="92"/>
      <c r="I8880">
        <v>6</v>
      </c>
      <c r="J8880" t="s">
        <v>26</v>
      </c>
      <c r="K8880" s="57"/>
      <c r="S8880" s="57"/>
      <c r="X8880" s="57"/>
    </row>
    <row r="8881" spans="1:24" hidden="1" x14ac:dyDescent="0.35">
      <c r="A8881">
        <v>8877</v>
      </c>
      <c r="B8881">
        <v>8878</v>
      </c>
      <c r="C8881">
        <v>146.107014913999</v>
      </c>
      <c r="D8881">
        <v>-17.5981921138</v>
      </c>
      <c r="E8881" s="92" t="str">
        <f t="shared" si="52"/>
        <v/>
      </c>
      <c r="G8881" s="92"/>
      <c r="I8881">
        <v>6</v>
      </c>
      <c r="J8881" t="s">
        <v>26</v>
      </c>
      <c r="K8881" s="57"/>
      <c r="S8881" s="57"/>
      <c r="X8881" s="57"/>
    </row>
    <row r="8882" spans="1:24" hidden="1" x14ac:dyDescent="0.35">
      <c r="A8882">
        <v>8878</v>
      </c>
      <c r="B8882">
        <v>8879</v>
      </c>
      <c r="C8882">
        <v>146.107102599999</v>
      </c>
      <c r="D8882">
        <v>-17.5981735089</v>
      </c>
      <c r="E8882" s="92" t="str">
        <f t="shared" si="52"/>
        <v/>
      </c>
      <c r="G8882" s="92"/>
      <c r="I8882">
        <v>6</v>
      </c>
      <c r="J8882" t="s">
        <v>26</v>
      </c>
      <c r="K8882" s="57"/>
      <c r="S8882" s="57"/>
      <c r="X8882" s="57"/>
    </row>
    <row r="8883" spans="1:24" hidden="1" x14ac:dyDescent="0.35">
      <c r="A8883">
        <v>8879</v>
      </c>
      <c r="B8883">
        <v>8880</v>
      </c>
      <c r="C8883">
        <v>146.107190285</v>
      </c>
      <c r="D8883">
        <v>-17.598154904000001</v>
      </c>
      <c r="E8883" s="92">
        <f t="shared" si="52"/>
        <v>50</v>
      </c>
      <c r="G8883" s="92"/>
      <c r="I8883">
        <v>6</v>
      </c>
      <c r="J8883" t="s">
        <v>26</v>
      </c>
      <c r="K8883" s="57"/>
      <c r="S8883" s="57"/>
      <c r="X8883" s="57"/>
    </row>
    <row r="8884" spans="1:24" hidden="1" x14ac:dyDescent="0.35">
      <c r="A8884">
        <v>8880</v>
      </c>
      <c r="B8884">
        <v>8881</v>
      </c>
      <c r="C8884">
        <v>146.107277971</v>
      </c>
      <c r="D8884">
        <v>-17.598136299099899</v>
      </c>
      <c r="E8884" s="92" t="str">
        <f t="shared" si="52"/>
        <v/>
      </c>
      <c r="G8884" s="92"/>
      <c r="I8884">
        <v>6</v>
      </c>
      <c r="J8884" t="s">
        <v>26</v>
      </c>
      <c r="K8884" s="57"/>
      <c r="S8884" s="57"/>
      <c r="X8884" s="57"/>
    </row>
    <row r="8885" spans="1:24" hidden="1" x14ac:dyDescent="0.35">
      <c r="A8885">
        <v>8881</v>
      </c>
      <c r="B8885">
        <v>8882</v>
      </c>
      <c r="C8885">
        <v>146.10736565600001</v>
      </c>
      <c r="D8885">
        <v>-17.5981176943999</v>
      </c>
      <c r="E8885" s="92" t="str">
        <f t="shared" si="52"/>
        <v/>
      </c>
      <c r="G8885" s="92"/>
      <c r="I8885">
        <v>6</v>
      </c>
      <c r="J8885" t="s">
        <v>26</v>
      </c>
      <c r="K8885" s="57"/>
      <c r="S8885" s="57"/>
      <c r="X8885" s="57"/>
    </row>
    <row r="8886" spans="1:24" hidden="1" x14ac:dyDescent="0.35">
      <c r="A8886">
        <v>8882</v>
      </c>
      <c r="B8886">
        <v>8883</v>
      </c>
      <c r="C8886">
        <v>146.107451214999</v>
      </c>
      <c r="D8886">
        <v>-17.598091665599899</v>
      </c>
      <c r="E8886" s="92" t="str">
        <f t="shared" si="52"/>
        <v/>
      </c>
      <c r="G8886" s="92"/>
      <c r="I8886">
        <v>6</v>
      </c>
      <c r="J8886" t="s">
        <v>26</v>
      </c>
      <c r="K8886" s="57"/>
      <c r="S8886" s="57"/>
      <c r="X8886" s="57"/>
    </row>
    <row r="8887" spans="1:24" hidden="1" x14ac:dyDescent="0.35">
      <c r="A8887">
        <v>8883</v>
      </c>
      <c r="B8887">
        <v>8884</v>
      </c>
      <c r="C8887">
        <v>146.10753664999899</v>
      </c>
      <c r="D8887">
        <v>-17.5980652070999</v>
      </c>
      <c r="E8887" s="92" t="str">
        <f t="shared" si="52"/>
        <v/>
      </c>
      <c r="G8887" s="92"/>
      <c r="I8887">
        <v>6</v>
      </c>
      <c r="J8887" t="s">
        <v>26</v>
      </c>
      <c r="K8887" s="57"/>
      <c r="S8887" s="57"/>
      <c r="X8887" s="57"/>
    </row>
    <row r="8888" spans="1:24" hidden="1" x14ac:dyDescent="0.35">
      <c r="A8888">
        <v>8884</v>
      </c>
      <c r="B8888">
        <v>8885</v>
      </c>
      <c r="C8888">
        <v>146.107622085999</v>
      </c>
      <c r="D8888">
        <v>-17.598038748499899</v>
      </c>
      <c r="E8888" s="92">
        <f t="shared" si="52"/>
        <v>50</v>
      </c>
      <c r="G8888" s="92"/>
      <c r="I8888">
        <v>6</v>
      </c>
      <c r="J8888" t="s">
        <v>26</v>
      </c>
      <c r="K8888" s="57"/>
      <c r="S8888" s="57"/>
      <c r="X8888" s="57"/>
    </row>
    <row r="8889" spans="1:24" hidden="1" x14ac:dyDescent="0.35">
      <c r="A8889">
        <v>8885</v>
      </c>
      <c r="B8889">
        <v>8886</v>
      </c>
      <c r="C8889">
        <v>146.10770752100001</v>
      </c>
      <c r="D8889">
        <v>-17.59801229</v>
      </c>
      <c r="E8889" s="92" t="str">
        <f t="shared" si="52"/>
        <v/>
      </c>
      <c r="G8889" s="92"/>
      <c r="I8889">
        <v>6</v>
      </c>
      <c r="J8889" t="s">
        <v>26</v>
      </c>
      <c r="K8889" s="57"/>
      <c r="S8889" s="57"/>
      <c r="X8889" s="57"/>
    </row>
    <row r="8890" spans="1:24" hidden="1" x14ac:dyDescent="0.35">
      <c r="A8890">
        <v>8886</v>
      </c>
      <c r="B8890">
        <v>8887</v>
      </c>
      <c r="C8890">
        <v>146.10778738600001</v>
      </c>
      <c r="D8890">
        <v>-17.597974153300001</v>
      </c>
      <c r="E8890" s="92" t="str">
        <f t="shared" si="52"/>
        <v/>
      </c>
      <c r="G8890" s="92"/>
      <c r="I8890">
        <v>6</v>
      </c>
      <c r="J8890" t="s">
        <v>26</v>
      </c>
      <c r="K8890" s="57"/>
      <c r="S8890" s="57"/>
      <c r="X8890" s="57"/>
    </row>
    <row r="8891" spans="1:24" hidden="1" x14ac:dyDescent="0.35">
      <c r="A8891">
        <v>8887</v>
      </c>
      <c r="B8891">
        <v>8888</v>
      </c>
      <c r="C8891">
        <v>146.10786395900001</v>
      </c>
      <c r="D8891">
        <v>-17.5979293812</v>
      </c>
      <c r="E8891" s="92" t="str">
        <f t="shared" si="52"/>
        <v/>
      </c>
      <c r="G8891" s="92"/>
      <c r="I8891">
        <v>6</v>
      </c>
      <c r="J8891" t="s">
        <v>26</v>
      </c>
      <c r="K8891" s="57"/>
      <c r="S8891" s="57"/>
      <c r="X8891" s="57"/>
    </row>
    <row r="8892" spans="1:24" hidden="1" x14ac:dyDescent="0.35">
      <c r="A8892">
        <v>8888</v>
      </c>
      <c r="B8892">
        <v>8889</v>
      </c>
      <c r="C8892">
        <v>146.107940493</v>
      </c>
      <c r="D8892">
        <v>-17.597884570800002</v>
      </c>
      <c r="E8892" s="92" t="str">
        <f t="shared" si="52"/>
        <v/>
      </c>
      <c r="G8892" s="92"/>
      <c r="I8892">
        <v>6</v>
      </c>
      <c r="J8892" t="s">
        <v>26</v>
      </c>
      <c r="K8892" s="57"/>
      <c r="S8892" s="57"/>
      <c r="X8892" s="57"/>
    </row>
    <row r="8893" spans="1:24" hidden="1" x14ac:dyDescent="0.35">
      <c r="A8893">
        <v>8889</v>
      </c>
      <c r="B8893">
        <v>8890</v>
      </c>
      <c r="C8893">
        <v>146.107988446999</v>
      </c>
      <c r="D8893">
        <v>-17.597812164099899</v>
      </c>
      <c r="E8893" s="92">
        <f t="shared" si="52"/>
        <v>50</v>
      </c>
      <c r="G8893" s="92"/>
      <c r="I8893">
        <v>6</v>
      </c>
      <c r="J8893" t="s">
        <v>26</v>
      </c>
      <c r="K8893" s="57"/>
      <c r="S8893" s="57"/>
      <c r="X8893" s="57"/>
    </row>
    <row r="8894" spans="1:24" hidden="1" x14ac:dyDescent="0.35">
      <c r="A8894">
        <v>8890</v>
      </c>
      <c r="B8894">
        <v>8891</v>
      </c>
      <c r="C8894">
        <v>146.1080364</v>
      </c>
      <c r="D8894">
        <v>-17.597739757500001</v>
      </c>
      <c r="E8894" s="92" t="str">
        <f t="shared" si="52"/>
        <v/>
      </c>
      <c r="G8894" s="92"/>
      <c r="I8894">
        <v>6</v>
      </c>
      <c r="J8894" t="s">
        <v>26</v>
      </c>
      <c r="K8894" s="57"/>
      <c r="S8894" s="57"/>
      <c r="X8894" s="57"/>
    </row>
    <row r="8895" spans="1:24" hidden="1" x14ac:dyDescent="0.35">
      <c r="A8895">
        <v>8891</v>
      </c>
      <c r="B8895">
        <v>8892</v>
      </c>
      <c r="C8895">
        <v>146.108074533999</v>
      </c>
      <c r="D8895">
        <v>-17.597663362199899</v>
      </c>
      <c r="E8895" s="92" t="str">
        <f t="shared" si="52"/>
        <v/>
      </c>
      <c r="G8895" s="92"/>
      <c r="I8895">
        <v>6</v>
      </c>
      <c r="J8895" t="s">
        <v>26</v>
      </c>
      <c r="K8895" s="57"/>
      <c r="S8895" s="57"/>
      <c r="X8895" s="57"/>
    </row>
    <row r="8896" spans="1:24" hidden="1" x14ac:dyDescent="0.35">
      <c r="A8896">
        <v>8892</v>
      </c>
      <c r="B8896">
        <v>8893</v>
      </c>
      <c r="C8896">
        <v>146.108096106999</v>
      </c>
      <c r="D8896">
        <v>-17.5975802401999</v>
      </c>
      <c r="E8896" s="92" t="str">
        <f t="shared" si="52"/>
        <v/>
      </c>
      <c r="G8896" s="92"/>
      <c r="I8896">
        <v>6</v>
      </c>
      <c r="J8896" t="s">
        <v>26</v>
      </c>
      <c r="K8896" s="57"/>
      <c r="S8896" s="57"/>
      <c r="X8896" s="57"/>
    </row>
    <row r="8897" spans="1:24" hidden="1" x14ac:dyDescent="0.35">
      <c r="A8897">
        <v>8893</v>
      </c>
      <c r="B8897">
        <v>8894</v>
      </c>
      <c r="C8897">
        <v>146.108117679</v>
      </c>
      <c r="D8897">
        <v>-17.5974971182</v>
      </c>
      <c r="E8897" s="92" t="str">
        <f t="shared" si="52"/>
        <v/>
      </c>
      <c r="G8897" s="92"/>
      <c r="I8897">
        <v>6</v>
      </c>
      <c r="J8897" t="s">
        <v>26</v>
      </c>
      <c r="K8897" s="57"/>
      <c r="S8897" s="57"/>
      <c r="X8897" s="57"/>
    </row>
    <row r="8898" spans="1:24" hidden="1" x14ac:dyDescent="0.35">
      <c r="A8898">
        <v>8894</v>
      </c>
      <c r="B8898">
        <v>8895</v>
      </c>
      <c r="C8898">
        <v>146.108113758</v>
      </c>
      <c r="D8898">
        <v>-17.5974131796</v>
      </c>
      <c r="E8898" s="92">
        <f t="shared" si="52"/>
        <v>50</v>
      </c>
      <c r="G8898" s="92"/>
      <c r="I8898">
        <v>6</v>
      </c>
      <c r="J8898" t="s">
        <v>26</v>
      </c>
      <c r="K8898" s="57"/>
      <c r="S8898" s="57"/>
      <c r="X8898" s="57"/>
    </row>
    <row r="8899" spans="1:24" hidden="1" x14ac:dyDescent="0.35">
      <c r="A8899">
        <v>8895</v>
      </c>
      <c r="B8899">
        <v>8896</v>
      </c>
      <c r="C8899">
        <v>146.108098087</v>
      </c>
      <c r="D8899">
        <v>-17.597328864600001</v>
      </c>
      <c r="E8899" s="92" t="str">
        <f t="shared" si="52"/>
        <v/>
      </c>
      <c r="G8899" s="92"/>
      <c r="I8899">
        <v>6</v>
      </c>
      <c r="J8899" t="s">
        <v>26</v>
      </c>
      <c r="K8899" s="57"/>
      <c r="S8899" s="57"/>
      <c r="X8899" s="57"/>
    </row>
    <row r="8900" spans="1:24" hidden="1" x14ac:dyDescent="0.35">
      <c r="A8900">
        <v>8896</v>
      </c>
      <c r="B8900">
        <v>8897</v>
      </c>
      <c r="C8900">
        <v>146.108082416999</v>
      </c>
      <c r="D8900">
        <v>-17.597244549700001</v>
      </c>
      <c r="E8900" s="92" t="str">
        <f t="shared" si="52"/>
        <v/>
      </c>
      <c r="G8900" s="92"/>
      <c r="I8900">
        <v>6</v>
      </c>
      <c r="J8900" t="s">
        <v>26</v>
      </c>
      <c r="K8900" s="57"/>
      <c r="S8900" s="57"/>
      <c r="X8900" s="57"/>
    </row>
    <row r="8901" spans="1:24" hidden="1" x14ac:dyDescent="0.35">
      <c r="A8901">
        <v>8897</v>
      </c>
      <c r="B8901">
        <v>8898</v>
      </c>
      <c r="C8901">
        <v>146.10806674700001</v>
      </c>
      <c r="D8901">
        <v>-17.597160234699899</v>
      </c>
      <c r="E8901" s="92" t="str">
        <f t="shared" si="52"/>
        <v/>
      </c>
      <c r="G8901" s="92"/>
      <c r="I8901">
        <v>6</v>
      </c>
      <c r="J8901" t="s">
        <v>26</v>
      </c>
      <c r="K8901" s="57"/>
      <c r="S8901" s="57"/>
      <c r="X8901" s="57"/>
    </row>
    <row r="8902" spans="1:24" hidden="1" x14ac:dyDescent="0.35">
      <c r="A8902">
        <v>8898</v>
      </c>
      <c r="B8902">
        <v>8899</v>
      </c>
      <c r="C8902">
        <v>146.10805097599899</v>
      </c>
      <c r="D8902">
        <v>-17.5970759372</v>
      </c>
      <c r="E8902" s="92" t="str">
        <f t="shared" si="52"/>
        <v/>
      </c>
      <c r="G8902" s="92"/>
      <c r="I8902">
        <v>6</v>
      </c>
      <c r="J8902" t="s">
        <v>26</v>
      </c>
      <c r="K8902" s="57"/>
      <c r="S8902" s="57"/>
      <c r="X8902" s="57"/>
    </row>
    <row r="8903" spans="1:24" hidden="1" x14ac:dyDescent="0.35">
      <c r="A8903">
        <v>8899</v>
      </c>
      <c r="B8903">
        <v>8900</v>
      </c>
      <c r="C8903">
        <v>146.108034150999</v>
      </c>
      <c r="D8903">
        <v>-17.596991824500002</v>
      </c>
      <c r="E8903" s="92">
        <f t="shared" si="52"/>
        <v>50</v>
      </c>
      <c r="G8903" s="92"/>
      <c r="I8903">
        <v>6</v>
      </c>
      <c r="J8903" t="s">
        <v>26</v>
      </c>
      <c r="K8903" s="57"/>
      <c r="S8903" s="57"/>
      <c r="X8903" s="57"/>
    </row>
    <row r="8904" spans="1:24" hidden="1" x14ac:dyDescent="0.35">
      <c r="A8904">
        <v>8900</v>
      </c>
      <c r="B8904">
        <v>8901</v>
      </c>
      <c r="C8904">
        <v>146.10801732600001</v>
      </c>
      <c r="D8904">
        <v>-17.5969077118</v>
      </c>
      <c r="E8904" s="92" t="str">
        <f t="shared" si="52"/>
        <v/>
      </c>
      <c r="G8904" s="92"/>
      <c r="I8904">
        <v>6</v>
      </c>
      <c r="J8904" t="s">
        <v>26</v>
      </c>
      <c r="K8904" s="57"/>
      <c r="S8904" s="57"/>
      <c r="X8904" s="57"/>
    </row>
    <row r="8905" spans="1:24" hidden="1" x14ac:dyDescent="0.35">
      <c r="A8905">
        <v>8901</v>
      </c>
      <c r="B8905">
        <v>8902</v>
      </c>
      <c r="C8905">
        <v>146.1080005</v>
      </c>
      <c r="D8905">
        <v>-17.596823599099899</v>
      </c>
      <c r="E8905" s="92" t="str">
        <f t="shared" si="52"/>
        <v/>
      </c>
      <c r="G8905" s="92"/>
      <c r="I8905">
        <v>6</v>
      </c>
      <c r="J8905" t="s">
        <v>26</v>
      </c>
      <c r="K8905" s="57"/>
      <c r="S8905" s="57"/>
      <c r="X8905" s="57"/>
    </row>
    <row r="8906" spans="1:24" hidden="1" x14ac:dyDescent="0.35">
      <c r="A8906">
        <v>8902</v>
      </c>
      <c r="B8906">
        <v>8903</v>
      </c>
      <c r="C8906">
        <v>146.107983727</v>
      </c>
      <c r="D8906">
        <v>-17.596739477100002</v>
      </c>
      <c r="E8906" s="92" t="str">
        <f t="shared" si="52"/>
        <v/>
      </c>
      <c r="G8906" s="92"/>
      <c r="I8906">
        <v>6</v>
      </c>
      <c r="J8906" t="s">
        <v>26</v>
      </c>
      <c r="K8906" s="57"/>
      <c r="S8906" s="57"/>
      <c r="X8906" s="57"/>
    </row>
    <row r="8907" spans="1:24" hidden="1" x14ac:dyDescent="0.35">
      <c r="A8907">
        <v>8903</v>
      </c>
      <c r="B8907">
        <v>8904</v>
      </c>
      <c r="C8907">
        <v>146.10796730800001</v>
      </c>
      <c r="D8907">
        <v>-17.5966552912999</v>
      </c>
      <c r="E8907" s="92" t="str">
        <f t="shared" si="52"/>
        <v/>
      </c>
      <c r="G8907" s="92"/>
      <c r="I8907">
        <v>6</v>
      </c>
      <c r="J8907" t="s">
        <v>26</v>
      </c>
      <c r="K8907" s="57"/>
      <c r="S8907" s="57"/>
      <c r="X8907" s="57"/>
    </row>
    <row r="8908" spans="1:24" hidden="1" x14ac:dyDescent="0.35">
      <c r="A8908">
        <v>8904</v>
      </c>
      <c r="B8908">
        <v>8905</v>
      </c>
      <c r="C8908">
        <v>146.10795089000001</v>
      </c>
      <c r="D8908">
        <v>-17.596571105399899</v>
      </c>
      <c r="E8908" s="92">
        <f t="shared" si="52"/>
        <v>50</v>
      </c>
      <c r="G8908" s="92"/>
      <c r="I8908">
        <v>6</v>
      </c>
      <c r="J8908" t="s">
        <v>26</v>
      </c>
      <c r="K8908" s="57"/>
      <c r="S8908" s="57"/>
      <c r="X8908" s="57"/>
    </row>
    <row r="8909" spans="1:24" hidden="1" x14ac:dyDescent="0.35">
      <c r="A8909">
        <v>8905</v>
      </c>
      <c r="B8909">
        <v>8906</v>
      </c>
      <c r="C8909">
        <v>146.107934470999</v>
      </c>
      <c r="D8909">
        <v>-17.596486919499899</v>
      </c>
      <c r="E8909" s="92" t="str">
        <f t="shared" si="52"/>
        <v/>
      </c>
      <c r="G8909" s="92"/>
      <c r="I8909">
        <v>6</v>
      </c>
      <c r="J8909" t="s">
        <v>26</v>
      </c>
      <c r="K8909" s="57"/>
      <c r="S8909" s="57"/>
      <c r="X8909" s="57"/>
    </row>
    <row r="8910" spans="1:24" hidden="1" x14ac:dyDescent="0.35">
      <c r="A8910">
        <v>8906</v>
      </c>
      <c r="B8910">
        <v>8907</v>
      </c>
      <c r="C8910">
        <v>146.107918052999</v>
      </c>
      <c r="D8910">
        <v>-17.596402733600002</v>
      </c>
      <c r="E8910" s="92" t="str">
        <f t="shared" si="52"/>
        <v/>
      </c>
      <c r="G8910" s="92"/>
      <c r="I8910">
        <v>6</v>
      </c>
      <c r="J8910" t="s">
        <v>26</v>
      </c>
      <c r="K8910" s="57"/>
      <c r="S8910" s="57"/>
      <c r="X8910" s="57"/>
    </row>
    <row r="8911" spans="1:24" hidden="1" x14ac:dyDescent="0.35">
      <c r="A8911">
        <v>8907</v>
      </c>
      <c r="B8911">
        <v>8908</v>
      </c>
      <c r="C8911">
        <v>146.107901634999</v>
      </c>
      <c r="D8911">
        <v>-17.596318547700001</v>
      </c>
      <c r="E8911" s="92" t="str">
        <f t="shared" si="52"/>
        <v/>
      </c>
      <c r="G8911" s="92"/>
      <c r="I8911">
        <v>6</v>
      </c>
      <c r="J8911" t="s">
        <v>26</v>
      </c>
      <c r="K8911" s="57"/>
      <c r="S8911" s="57"/>
      <c r="X8911" s="57"/>
    </row>
    <row r="8912" spans="1:24" hidden="1" x14ac:dyDescent="0.35">
      <c r="A8912">
        <v>8908</v>
      </c>
      <c r="B8912">
        <v>8909</v>
      </c>
      <c r="C8912">
        <v>146.107885216</v>
      </c>
      <c r="D8912">
        <v>-17.596234361699899</v>
      </c>
      <c r="E8912" s="92" t="str">
        <f t="shared" ref="E8912:E8975" si="53">IF(MOD(B8912,5)=0, 50, "")</f>
        <v/>
      </c>
      <c r="G8912" s="92"/>
      <c r="I8912">
        <v>6</v>
      </c>
      <c r="J8912" t="s">
        <v>26</v>
      </c>
      <c r="K8912" s="57"/>
      <c r="S8912" s="57"/>
      <c r="X8912" s="57"/>
    </row>
    <row r="8913" spans="1:24" hidden="1" x14ac:dyDescent="0.35">
      <c r="A8913">
        <v>8909</v>
      </c>
      <c r="B8913">
        <v>8910</v>
      </c>
      <c r="C8913">
        <v>146.10787497800001</v>
      </c>
      <c r="D8913">
        <v>-17.5961493778</v>
      </c>
      <c r="E8913" s="92">
        <f t="shared" si="53"/>
        <v>50</v>
      </c>
      <c r="G8913" s="92"/>
      <c r="I8913">
        <v>6</v>
      </c>
      <c r="J8913" t="s">
        <v>26</v>
      </c>
      <c r="K8913" s="57"/>
      <c r="S8913" s="57"/>
      <c r="X8913" s="57"/>
    </row>
    <row r="8914" spans="1:24" hidden="1" x14ac:dyDescent="0.35">
      <c r="A8914">
        <v>8910</v>
      </c>
      <c r="B8914">
        <v>8911</v>
      </c>
      <c r="C8914">
        <v>146.10786731300001</v>
      </c>
      <c r="D8914">
        <v>-17.5960640616</v>
      </c>
      <c r="E8914" s="92" t="str">
        <f t="shared" si="53"/>
        <v/>
      </c>
      <c r="G8914" s="92"/>
      <c r="I8914">
        <v>6</v>
      </c>
      <c r="J8914" t="s">
        <v>26</v>
      </c>
      <c r="K8914" s="57"/>
      <c r="S8914" s="57"/>
      <c r="X8914" s="57"/>
    </row>
    <row r="8915" spans="1:24" hidden="1" x14ac:dyDescent="0.35">
      <c r="A8915">
        <v>8911</v>
      </c>
      <c r="B8915">
        <v>8912</v>
      </c>
      <c r="C8915">
        <v>146.10785964799899</v>
      </c>
      <c r="D8915">
        <v>-17.5959787454</v>
      </c>
      <c r="E8915" s="92" t="str">
        <f t="shared" si="53"/>
        <v/>
      </c>
      <c r="G8915" s="92"/>
      <c r="I8915">
        <v>6</v>
      </c>
      <c r="J8915" t="s">
        <v>26</v>
      </c>
      <c r="K8915" s="57"/>
      <c r="S8915" s="57"/>
      <c r="X8915" s="57"/>
    </row>
    <row r="8916" spans="1:24" hidden="1" x14ac:dyDescent="0.35">
      <c r="A8916">
        <v>8912</v>
      </c>
      <c r="B8916">
        <v>8913</v>
      </c>
      <c r="C8916">
        <v>146.10785198299899</v>
      </c>
      <c r="D8916">
        <v>-17.5958934292</v>
      </c>
      <c r="E8916" s="92" t="str">
        <f t="shared" si="53"/>
        <v/>
      </c>
      <c r="G8916" s="92"/>
      <c r="I8916">
        <v>6</v>
      </c>
      <c r="J8916" t="s">
        <v>26</v>
      </c>
      <c r="K8916" s="57"/>
      <c r="S8916" s="57"/>
      <c r="X8916" s="57"/>
    </row>
    <row r="8917" spans="1:24" hidden="1" x14ac:dyDescent="0.35">
      <c r="A8917">
        <v>8913</v>
      </c>
      <c r="B8917">
        <v>8914</v>
      </c>
      <c r="C8917">
        <v>146.107844317999</v>
      </c>
      <c r="D8917">
        <v>-17.595808113</v>
      </c>
      <c r="E8917" s="92" t="str">
        <f t="shared" si="53"/>
        <v/>
      </c>
      <c r="G8917" s="92"/>
      <c r="I8917">
        <v>6</v>
      </c>
      <c r="J8917" t="s">
        <v>26</v>
      </c>
      <c r="K8917" s="57"/>
      <c r="S8917" s="57"/>
      <c r="X8917" s="57"/>
    </row>
    <row r="8918" spans="1:24" hidden="1" x14ac:dyDescent="0.35">
      <c r="A8918">
        <v>8914</v>
      </c>
      <c r="B8918">
        <v>8915</v>
      </c>
      <c r="C8918">
        <v>146.10782143700001</v>
      </c>
      <c r="D8918">
        <v>-17.595725680800001</v>
      </c>
      <c r="E8918" s="92">
        <f t="shared" si="53"/>
        <v>50</v>
      </c>
      <c r="G8918" s="92"/>
      <c r="I8918">
        <v>6</v>
      </c>
      <c r="J8918" t="s">
        <v>26</v>
      </c>
      <c r="K8918" s="57"/>
      <c r="S8918" s="57"/>
      <c r="X8918" s="57"/>
    </row>
    <row r="8919" spans="1:24" hidden="1" x14ac:dyDescent="0.35">
      <c r="A8919">
        <v>8915</v>
      </c>
      <c r="B8919">
        <v>8916</v>
      </c>
      <c r="C8919">
        <v>146.10779427700001</v>
      </c>
      <c r="D8919">
        <v>-17.595644059800001</v>
      </c>
      <c r="E8919" s="92" t="str">
        <f t="shared" si="53"/>
        <v/>
      </c>
      <c r="G8919" s="92"/>
      <c r="I8919">
        <v>6</v>
      </c>
      <c r="J8919" t="s">
        <v>26</v>
      </c>
      <c r="K8919" s="57"/>
      <c r="S8919" s="57"/>
      <c r="X8919" s="57"/>
    </row>
    <row r="8920" spans="1:24" hidden="1" x14ac:dyDescent="0.35">
      <c r="A8920">
        <v>8916</v>
      </c>
      <c r="B8920">
        <v>8917</v>
      </c>
      <c r="C8920">
        <v>146.10776711700001</v>
      </c>
      <c r="D8920">
        <v>-17.5955624387</v>
      </c>
      <c r="E8920" s="92" t="str">
        <f t="shared" si="53"/>
        <v/>
      </c>
      <c r="G8920" s="92"/>
      <c r="I8920">
        <v>6</v>
      </c>
      <c r="J8920" t="s">
        <v>26</v>
      </c>
      <c r="K8920" s="57"/>
      <c r="S8920" s="57"/>
      <c r="X8920" s="57"/>
    </row>
    <row r="8921" spans="1:24" hidden="1" x14ac:dyDescent="0.35">
      <c r="A8921">
        <v>8917</v>
      </c>
      <c r="B8921">
        <v>8918</v>
      </c>
      <c r="C8921">
        <v>146.10773995599899</v>
      </c>
      <c r="D8921">
        <v>-17.5954808177</v>
      </c>
      <c r="E8921" s="92" t="str">
        <f t="shared" si="53"/>
        <v/>
      </c>
      <c r="G8921" s="92"/>
      <c r="I8921">
        <v>6</v>
      </c>
      <c r="J8921" t="s">
        <v>26</v>
      </c>
      <c r="K8921" s="57"/>
      <c r="S8921" s="57"/>
      <c r="X8921" s="57"/>
    </row>
    <row r="8922" spans="1:24" hidden="1" x14ac:dyDescent="0.35">
      <c r="A8922">
        <v>8918</v>
      </c>
      <c r="B8922">
        <v>8919</v>
      </c>
      <c r="C8922">
        <v>146.10771279599899</v>
      </c>
      <c r="D8922">
        <v>-17.595399196500001</v>
      </c>
      <c r="E8922" s="92" t="str">
        <f t="shared" si="53"/>
        <v/>
      </c>
      <c r="G8922" s="92"/>
      <c r="I8922">
        <v>6</v>
      </c>
      <c r="J8922" t="s">
        <v>26</v>
      </c>
      <c r="K8922" s="57"/>
      <c r="S8922" s="57"/>
      <c r="X8922" s="57"/>
    </row>
    <row r="8923" spans="1:24" hidden="1" x14ac:dyDescent="0.35">
      <c r="A8923">
        <v>8919</v>
      </c>
      <c r="B8923">
        <v>8920</v>
      </c>
      <c r="C8923">
        <v>146.10767667299899</v>
      </c>
      <c r="D8923">
        <v>-17.5953209081</v>
      </c>
      <c r="E8923" s="92">
        <f t="shared" si="53"/>
        <v>50</v>
      </c>
      <c r="G8923" s="92"/>
      <c r="I8923">
        <v>6</v>
      </c>
      <c r="J8923" t="s">
        <v>26</v>
      </c>
      <c r="K8923" s="57"/>
      <c r="S8923" s="57"/>
      <c r="X8923" s="57"/>
    </row>
    <row r="8924" spans="1:24" hidden="1" x14ac:dyDescent="0.35">
      <c r="A8924">
        <v>8920</v>
      </c>
      <c r="B8924">
        <v>8921</v>
      </c>
      <c r="C8924">
        <v>146.107638675999</v>
      </c>
      <c r="D8924">
        <v>-17.5952433165</v>
      </c>
      <c r="E8924" s="92" t="str">
        <f t="shared" si="53"/>
        <v/>
      </c>
      <c r="G8924" s="92"/>
      <c r="I8924">
        <v>6</v>
      </c>
      <c r="J8924" t="s">
        <v>26</v>
      </c>
      <c r="K8924" s="57"/>
      <c r="S8924" s="57"/>
      <c r="X8924" s="57"/>
    </row>
    <row r="8925" spans="1:24" hidden="1" x14ac:dyDescent="0.35">
      <c r="A8925">
        <v>8921</v>
      </c>
      <c r="B8925">
        <v>8922</v>
      </c>
      <c r="C8925">
        <v>146.107600679</v>
      </c>
      <c r="D8925">
        <v>-17.595165724800001</v>
      </c>
      <c r="E8925" s="92" t="str">
        <f t="shared" si="53"/>
        <v/>
      </c>
      <c r="G8925" s="92"/>
      <c r="I8925">
        <v>6</v>
      </c>
      <c r="J8925" t="s">
        <v>26</v>
      </c>
      <c r="K8925" s="57"/>
      <c r="S8925" s="57"/>
      <c r="X8925" s="57"/>
    </row>
    <row r="8926" spans="1:24" hidden="1" x14ac:dyDescent="0.35">
      <c r="A8926">
        <v>8922</v>
      </c>
      <c r="B8926">
        <v>8923</v>
      </c>
      <c r="C8926">
        <v>146.10756268200001</v>
      </c>
      <c r="D8926">
        <v>-17.595088133000001</v>
      </c>
      <c r="E8926" s="92" t="str">
        <f t="shared" si="53"/>
        <v/>
      </c>
      <c r="G8926" s="92"/>
      <c r="I8926">
        <v>6</v>
      </c>
      <c r="J8926" t="s">
        <v>26</v>
      </c>
      <c r="K8926" s="57"/>
      <c r="S8926" s="57"/>
      <c r="X8926" s="57"/>
    </row>
    <row r="8927" spans="1:24" hidden="1" x14ac:dyDescent="0.35">
      <c r="A8927">
        <v>8923</v>
      </c>
      <c r="B8927">
        <v>8924</v>
      </c>
      <c r="C8927">
        <v>146.10751524400001</v>
      </c>
      <c r="D8927">
        <v>-17.5950161069999</v>
      </c>
      <c r="E8927" s="92" t="str">
        <f t="shared" si="53"/>
        <v/>
      </c>
      <c r="G8927" s="92"/>
      <c r="I8927">
        <v>6</v>
      </c>
      <c r="J8927" t="s">
        <v>26</v>
      </c>
      <c r="K8927" s="57"/>
      <c r="S8927" s="57"/>
      <c r="X8927" s="57"/>
    </row>
    <row r="8928" spans="1:24" hidden="1" x14ac:dyDescent="0.35">
      <c r="A8928">
        <v>8924</v>
      </c>
      <c r="B8928">
        <v>8925</v>
      </c>
      <c r="C8928">
        <v>146.107459390999</v>
      </c>
      <c r="D8928">
        <v>-17.594949040900001</v>
      </c>
      <c r="E8928" s="92">
        <f t="shared" si="53"/>
        <v>50</v>
      </c>
      <c r="G8928" s="92"/>
      <c r="I8928">
        <v>6</v>
      </c>
      <c r="J8928" t="s">
        <v>26</v>
      </c>
      <c r="K8928" s="57"/>
      <c r="S8928" s="57"/>
      <c r="X8928" s="57"/>
    </row>
    <row r="8929" spans="1:24" hidden="1" x14ac:dyDescent="0.35">
      <c r="A8929">
        <v>8925</v>
      </c>
      <c r="B8929">
        <v>8926</v>
      </c>
      <c r="C8929">
        <v>146.10740353899899</v>
      </c>
      <c r="D8929">
        <v>-17.5948819748</v>
      </c>
      <c r="E8929" s="92" t="str">
        <f t="shared" si="53"/>
        <v/>
      </c>
      <c r="G8929" s="92"/>
      <c r="I8929">
        <v>6</v>
      </c>
      <c r="J8929" t="s">
        <v>26</v>
      </c>
      <c r="K8929" s="57"/>
      <c r="S8929" s="57"/>
      <c r="X8929" s="57"/>
    </row>
    <row r="8930" spans="1:24" hidden="1" x14ac:dyDescent="0.35">
      <c r="A8930">
        <v>8926</v>
      </c>
      <c r="B8930">
        <v>8927</v>
      </c>
      <c r="C8930">
        <v>146.10735967900001</v>
      </c>
      <c r="D8930">
        <v>-17.594807248999899</v>
      </c>
      <c r="E8930" s="92" t="str">
        <f t="shared" si="53"/>
        <v/>
      </c>
      <c r="G8930" s="92"/>
      <c r="I8930">
        <v>6</v>
      </c>
      <c r="J8930" t="s">
        <v>26</v>
      </c>
      <c r="K8930" s="57"/>
      <c r="S8930" s="57"/>
      <c r="X8930" s="57"/>
    </row>
    <row r="8931" spans="1:24" hidden="1" x14ac:dyDescent="0.35">
      <c r="A8931">
        <v>8927</v>
      </c>
      <c r="B8931">
        <v>8928</v>
      </c>
      <c r="C8931">
        <v>146.107315846999</v>
      </c>
      <c r="D8931">
        <v>-17.594732505</v>
      </c>
      <c r="E8931" s="92" t="str">
        <f t="shared" si="53"/>
        <v/>
      </c>
      <c r="G8931" s="92"/>
      <c r="I8931">
        <v>6</v>
      </c>
      <c r="J8931" t="s">
        <v>26</v>
      </c>
      <c r="K8931" s="57"/>
      <c r="S8931" s="57"/>
      <c r="X8931" s="57"/>
    </row>
    <row r="8932" spans="1:24" hidden="1" x14ac:dyDescent="0.35">
      <c r="A8932">
        <v>8928</v>
      </c>
      <c r="B8932">
        <v>8929</v>
      </c>
      <c r="C8932">
        <v>146.10727201500001</v>
      </c>
      <c r="D8932">
        <v>-17.594657761000001</v>
      </c>
      <c r="E8932" s="92" t="str">
        <f t="shared" si="53"/>
        <v/>
      </c>
      <c r="G8932" s="92"/>
      <c r="I8932">
        <v>6</v>
      </c>
      <c r="J8932" t="s">
        <v>26</v>
      </c>
      <c r="K8932" s="57"/>
      <c r="S8932" s="57"/>
      <c r="X8932" s="57"/>
    </row>
    <row r="8933" spans="1:24" hidden="1" x14ac:dyDescent="0.35">
      <c r="A8933">
        <v>8929</v>
      </c>
      <c r="B8933">
        <v>8930</v>
      </c>
      <c r="C8933">
        <v>146.10722331700001</v>
      </c>
      <c r="D8933">
        <v>-17.594586449200001</v>
      </c>
      <c r="E8933" s="92">
        <f t="shared" si="53"/>
        <v>50</v>
      </c>
      <c r="G8933" s="92"/>
      <c r="I8933">
        <v>6</v>
      </c>
      <c r="J8933" t="s">
        <v>26</v>
      </c>
      <c r="K8933" s="57"/>
      <c r="S8933" s="57"/>
      <c r="X8933" s="57"/>
    </row>
    <row r="8934" spans="1:24" hidden="1" x14ac:dyDescent="0.35">
      <c r="A8934">
        <v>8930</v>
      </c>
      <c r="B8934">
        <v>8931</v>
      </c>
      <c r="C8934">
        <v>146.107161149999</v>
      </c>
      <c r="D8934">
        <v>-17.5945246367999</v>
      </c>
      <c r="E8934" s="92" t="str">
        <f t="shared" si="53"/>
        <v/>
      </c>
      <c r="G8934" s="92"/>
      <c r="I8934">
        <v>6</v>
      </c>
      <c r="J8934" t="s">
        <v>26</v>
      </c>
      <c r="K8934" s="57"/>
      <c r="S8934" s="57"/>
      <c r="X8934" s="57"/>
    </row>
    <row r="8935" spans="1:24" hidden="1" x14ac:dyDescent="0.35">
      <c r="A8935">
        <v>8931</v>
      </c>
      <c r="B8935">
        <v>8932</v>
      </c>
      <c r="C8935">
        <v>146.107098984</v>
      </c>
      <c r="D8935">
        <v>-17.594462824299899</v>
      </c>
      <c r="E8935" s="92" t="str">
        <f t="shared" si="53"/>
        <v/>
      </c>
      <c r="G8935" s="92"/>
      <c r="I8935">
        <v>6</v>
      </c>
      <c r="J8935" t="s">
        <v>26</v>
      </c>
      <c r="K8935" s="57"/>
      <c r="S8935" s="57"/>
      <c r="X8935" s="57"/>
    </row>
    <row r="8936" spans="1:24" hidden="1" x14ac:dyDescent="0.35">
      <c r="A8936">
        <v>8932</v>
      </c>
      <c r="B8936">
        <v>8933</v>
      </c>
      <c r="C8936">
        <v>146.107036816999</v>
      </c>
      <c r="D8936">
        <v>-17.594401011799899</v>
      </c>
      <c r="E8936" s="92" t="str">
        <f t="shared" si="53"/>
        <v/>
      </c>
      <c r="G8936" s="92"/>
      <c r="I8936">
        <v>6</v>
      </c>
      <c r="J8936" t="s">
        <v>26</v>
      </c>
      <c r="K8936" s="57"/>
      <c r="S8936" s="57"/>
      <c r="X8936" s="57"/>
    </row>
    <row r="8937" spans="1:24" hidden="1" x14ac:dyDescent="0.35">
      <c r="A8937">
        <v>8933</v>
      </c>
      <c r="B8937">
        <v>8934</v>
      </c>
      <c r="C8937">
        <v>146.10695626200001</v>
      </c>
      <c r="D8937">
        <v>-17.5943645961</v>
      </c>
      <c r="E8937" s="92" t="str">
        <f t="shared" si="53"/>
        <v/>
      </c>
      <c r="G8937" s="92"/>
      <c r="I8937">
        <v>6</v>
      </c>
      <c r="J8937" t="s">
        <v>26</v>
      </c>
      <c r="K8937" s="57"/>
      <c r="S8937" s="57"/>
      <c r="X8937" s="57"/>
    </row>
    <row r="8938" spans="1:24" hidden="1" x14ac:dyDescent="0.35">
      <c r="A8938">
        <v>8934</v>
      </c>
      <c r="B8938">
        <v>8935</v>
      </c>
      <c r="C8938">
        <v>146.106873581</v>
      </c>
      <c r="D8938">
        <v>-17.594331116500001</v>
      </c>
      <c r="E8938" s="92">
        <f t="shared" si="53"/>
        <v>50</v>
      </c>
      <c r="G8938" s="92"/>
      <c r="I8938">
        <v>6</v>
      </c>
      <c r="J8938" t="s">
        <v>26</v>
      </c>
      <c r="K8938" s="57"/>
      <c r="S8938" s="57"/>
      <c r="X8938" s="57"/>
    </row>
    <row r="8939" spans="1:24" hidden="1" x14ac:dyDescent="0.35">
      <c r="A8939">
        <v>8935</v>
      </c>
      <c r="B8939">
        <v>8936</v>
      </c>
      <c r="C8939">
        <v>146.10678808200001</v>
      </c>
      <c r="D8939">
        <v>-17.594307967900001</v>
      </c>
      <c r="E8939" s="92" t="str">
        <f t="shared" si="53"/>
        <v/>
      </c>
      <c r="G8939" s="92"/>
      <c r="I8939">
        <v>6</v>
      </c>
      <c r="J8939" t="s">
        <v>26</v>
      </c>
      <c r="K8939" s="57"/>
      <c r="S8939" s="57"/>
      <c r="X8939" s="57"/>
    </row>
    <row r="8940" spans="1:24" hidden="1" x14ac:dyDescent="0.35">
      <c r="A8940">
        <v>8936</v>
      </c>
      <c r="B8940">
        <v>8937</v>
      </c>
      <c r="C8940">
        <v>146.106698765</v>
      </c>
      <c r="D8940">
        <v>-17.594298818999899</v>
      </c>
      <c r="E8940" s="92" t="str">
        <f t="shared" si="53"/>
        <v/>
      </c>
      <c r="G8940" s="92"/>
      <c r="I8940">
        <v>6</v>
      </c>
      <c r="J8940" t="s">
        <v>26</v>
      </c>
      <c r="K8940" s="57"/>
      <c r="S8940" s="57"/>
      <c r="X8940" s="57"/>
    </row>
    <row r="8941" spans="1:24" hidden="1" x14ac:dyDescent="0.35">
      <c r="A8941">
        <v>8937</v>
      </c>
      <c r="B8941">
        <v>8938</v>
      </c>
      <c r="C8941">
        <v>146.106609448</v>
      </c>
      <c r="D8941">
        <v>-17.5942896701</v>
      </c>
      <c r="E8941" s="92" t="str">
        <f t="shared" si="53"/>
        <v/>
      </c>
      <c r="G8941" s="92"/>
      <c r="I8941">
        <v>6</v>
      </c>
      <c r="J8941" t="s">
        <v>26</v>
      </c>
      <c r="K8941" s="57"/>
      <c r="S8941" s="57"/>
      <c r="X8941" s="57"/>
    </row>
    <row r="8942" spans="1:24" hidden="1" x14ac:dyDescent="0.35">
      <c r="A8942">
        <v>8938</v>
      </c>
      <c r="B8942">
        <v>8939</v>
      </c>
      <c r="C8942">
        <v>146.106521974999</v>
      </c>
      <c r="D8942">
        <v>-17.5942931274</v>
      </c>
      <c r="E8942" s="92" t="str">
        <f t="shared" si="53"/>
        <v/>
      </c>
      <c r="G8942" s="92"/>
      <c r="I8942">
        <v>6</v>
      </c>
      <c r="J8942" t="s">
        <v>26</v>
      </c>
      <c r="K8942" s="57"/>
      <c r="S8942" s="57"/>
      <c r="X8942" s="57"/>
    </row>
    <row r="8943" spans="1:24" hidden="1" x14ac:dyDescent="0.35">
      <c r="A8943">
        <v>8939</v>
      </c>
      <c r="B8943">
        <v>8940</v>
      </c>
      <c r="C8943">
        <v>146.10643869500001</v>
      </c>
      <c r="D8943">
        <v>-17.594325228700001</v>
      </c>
      <c r="E8943" s="92">
        <f t="shared" si="53"/>
        <v>50</v>
      </c>
      <c r="G8943" s="92"/>
      <c r="I8943">
        <v>6</v>
      </c>
      <c r="J8943" t="s">
        <v>26</v>
      </c>
      <c r="K8943" s="57"/>
      <c r="S8943" s="57"/>
      <c r="X8943" s="57"/>
    </row>
    <row r="8944" spans="1:24" hidden="1" x14ac:dyDescent="0.35">
      <c r="A8944">
        <v>8940</v>
      </c>
      <c r="B8944">
        <v>8941</v>
      </c>
      <c r="C8944">
        <v>146.106355414999</v>
      </c>
      <c r="D8944">
        <v>-17.594357330000001</v>
      </c>
      <c r="E8944" s="92" t="str">
        <f t="shared" si="53"/>
        <v/>
      </c>
      <c r="G8944" s="92"/>
      <c r="I8944">
        <v>6</v>
      </c>
      <c r="J8944" t="s">
        <v>26</v>
      </c>
      <c r="K8944" s="57"/>
      <c r="S8944" s="57"/>
      <c r="X8944" s="57"/>
    </row>
    <row r="8945" spans="1:24" hidden="1" x14ac:dyDescent="0.35">
      <c r="A8945">
        <v>8941</v>
      </c>
      <c r="B8945">
        <v>8942</v>
      </c>
      <c r="C8945">
        <v>146.10627213500001</v>
      </c>
      <c r="D8945">
        <v>-17.5943894314</v>
      </c>
      <c r="E8945" s="92" t="str">
        <f t="shared" si="53"/>
        <v/>
      </c>
      <c r="G8945" s="92"/>
      <c r="I8945">
        <v>6</v>
      </c>
      <c r="J8945" t="s">
        <v>26</v>
      </c>
      <c r="K8945" s="57"/>
      <c r="S8945" s="57"/>
      <c r="X8945" s="57"/>
    </row>
    <row r="8946" spans="1:24" hidden="1" x14ac:dyDescent="0.35">
      <c r="A8946">
        <v>8942</v>
      </c>
      <c r="B8946">
        <v>8943</v>
      </c>
      <c r="C8946">
        <v>146.10619037199899</v>
      </c>
      <c r="D8946">
        <v>-17.5944247850999</v>
      </c>
      <c r="E8946" s="92" t="str">
        <f t="shared" si="53"/>
        <v/>
      </c>
      <c r="G8946" s="92"/>
      <c r="I8946">
        <v>6</v>
      </c>
      <c r="J8946" t="s">
        <v>26</v>
      </c>
      <c r="K8946" s="57"/>
      <c r="S8946" s="57"/>
      <c r="X8946" s="57"/>
    </row>
    <row r="8947" spans="1:24" hidden="1" x14ac:dyDescent="0.35">
      <c r="A8947">
        <v>8943</v>
      </c>
      <c r="B8947">
        <v>8944</v>
      </c>
      <c r="C8947">
        <v>146.10610957700001</v>
      </c>
      <c r="D8947">
        <v>-17.594462215899899</v>
      </c>
      <c r="E8947" s="92" t="str">
        <f t="shared" si="53"/>
        <v/>
      </c>
      <c r="G8947" s="92"/>
      <c r="I8947">
        <v>6</v>
      </c>
      <c r="J8947" t="s">
        <v>26</v>
      </c>
      <c r="K8947" s="57"/>
      <c r="S8947" s="57"/>
      <c r="X8947" s="57"/>
    </row>
    <row r="8948" spans="1:24" hidden="1" x14ac:dyDescent="0.35">
      <c r="A8948">
        <v>8944</v>
      </c>
      <c r="B8948">
        <v>8945</v>
      </c>
      <c r="C8948">
        <v>146.106028782999</v>
      </c>
      <c r="D8948">
        <v>-17.594499646700001</v>
      </c>
      <c r="E8948" s="92">
        <f t="shared" si="53"/>
        <v>50</v>
      </c>
      <c r="G8948" s="92"/>
      <c r="I8948">
        <v>6</v>
      </c>
      <c r="J8948" t="s">
        <v>26</v>
      </c>
      <c r="K8948" s="57"/>
      <c r="S8948" s="57"/>
      <c r="X8948" s="57"/>
    </row>
    <row r="8949" spans="1:24" hidden="1" x14ac:dyDescent="0.35">
      <c r="A8949">
        <v>8945</v>
      </c>
      <c r="B8949">
        <v>8946</v>
      </c>
      <c r="C8949">
        <v>146.105944628</v>
      </c>
      <c r="D8949">
        <v>-17.594527135300002</v>
      </c>
      <c r="E8949" s="92" t="str">
        <f t="shared" si="53"/>
        <v/>
      </c>
      <c r="G8949" s="92"/>
      <c r="I8949">
        <v>6</v>
      </c>
      <c r="J8949" t="s">
        <v>26</v>
      </c>
      <c r="K8949" s="57"/>
      <c r="S8949" s="57"/>
      <c r="X8949" s="57"/>
    </row>
    <row r="8950" spans="1:24" hidden="1" x14ac:dyDescent="0.35">
      <c r="A8950">
        <v>8946</v>
      </c>
      <c r="B8950">
        <v>8947</v>
      </c>
      <c r="C8950">
        <v>146.105856106</v>
      </c>
      <c r="D8950">
        <v>-17.594541704600001</v>
      </c>
      <c r="E8950" s="92" t="str">
        <f t="shared" si="53"/>
        <v/>
      </c>
      <c r="G8950" s="92"/>
      <c r="I8950">
        <v>6</v>
      </c>
      <c r="J8950" t="s">
        <v>26</v>
      </c>
      <c r="K8950" s="57"/>
      <c r="S8950" s="57"/>
      <c r="X8950" s="57"/>
    </row>
    <row r="8951" spans="1:24" hidden="1" x14ac:dyDescent="0.35">
      <c r="A8951">
        <v>8947</v>
      </c>
      <c r="B8951">
        <v>8948</v>
      </c>
      <c r="C8951">
        <v>146.105767584999</v>
      </c>
      <c r="D8951">
        <v>-17.594556273999899</v>
      </c>
      <c r="E8951" s="92" t="str">
        <f t="shared" si="53"/>
        <v/>
      </c>
      <c r="G8951" s="92"/>
      <c r="I8951">
        <v>6</v>
      </c>
      <c r="J8951" t="s">
        <v>26</v>
      </c>
      <c r="K8951" s="57"/>
      <c r="S8951" s="57"/>
      <c r="X8951" s="57"/>
    </row>
    <row r="8952" spans="1:24" hidden="1" x14ac:dyDescent="0.35">
      <c r="A8952">
        <v>8948</v>
      </c>
      <c r="B8952">
        <v>8949</v>
      </c>
      <c r="C8952">
        <v>146.10567956200001</v>
      </c>
      <c r="D8952">
        <v>-17.5945727464999</v>
      </c>
      <c r="E8952" s="92" t="str">
        <f t="shared" si="53"/>
        <v/>
      </c>
      <c r="G8952" s="92"/>
      <c r="I8952">
        <v>6</v>
      </c>
      <c r="J8952" t="s">
        <v>26</v>
      </c>
      <c r="K8952" s="57"/>
      <c r="S8952" s="57"/>
      <c r="X8952" s="57"/>
    </row>
    <row r="8953" spans="1:24" hidden="1" x14ac:dyDescent="0.35">
      <c r="A8953">
        <v>8949</v>
      </c>
      <c r="B8953">
        <v>8950</v>
      </c>
      <c r="C8953">
        <v>146.105594257999</v>
      </c>
      <c r="D8953">
        <v>-17.5945995884999</v>
      </c>
      <c r="E8953" s="92">
        <f t="shared" si="53"/>
        <v>50</v>
      </c>
      <c r="G8953" s="92"/>
      <c r="I8953">
        <v>6</v>
      </c>
      <c r="J8953" t="s">
        <v>26</v>
      </c>
      <c r="K8953" s="57"/>
      <c r="S8953" s="57"/>
      <c r="X8953" s="57"/>
    </row>
    <row r="8954" spans="1:24" hidden="1" x14ac:dyDescent="0.35">
      <c r="A8954">
        <v>8950</v>
      </c>
      <c r="B8954">
        <v>8951</v>
      </c>
      <c r="C8954">
        <v>146.10550895399899</v>
      </c>
      <c r="D8954">
        <v>-17.594626430600002</v>
      </c>
      <c r="E8954" s="92" t="str">
        <f t="shared" si="53"/>
        <v/>
      </c>
      <c r="G8954" s="92"/>
      <c r="I8954">
        <v>6</v>
      </c>
      <c r="J8954" t="s">
        <v>26</v>
      </c>
      <c r="K8954" s="57"/>
      <c r="S8954" s="57"/>
      <c r="X8954" s="57"/>
    </row>
    <row r="8955" spans="1:24" hidden="1" x14ac:dyDescent="0.35">
      <c r="A8955">
        <v>8951</v>
      </c>
      <c r="B8955">
        <v>8952</v>
      </c>
      <c r="C8955">
        <v>146.10542365000001</v>
      </c>
      <c r="D8955">
        <v>-17.594653272599899</v>
      </c>
      <c r="E8955" s="92" t="str">
        <f t="shared" si="53"/>
        <v/>
      </c>
      <c r="G8955" s="92"/>
      <c r="I8955">
        <v>6</v>
      </c>
      <c r="J8955" t="s">
        <v>26</v>
      </c>
      <c r="K8955" s="57"/>
      <c r="S8955" s="57"/>
      <c r="X8955" s="57"/>
    </row>
    <row r="8956" spans="1:24" hidden="1" x14ac:dyDescent="0.35">
      <c r="A8956">
        <v>8952</v>
      </c>
      <c r="B8956">
        <v>8953</v>
      </c>
      <c r="C8956">
        <v>146.105340476999</v>
      </c>
      <c r="D8956">
        <v>-17.5946848484</v>
      </c>
      <c r="E8956" s="92" t="str">
        <f t="shared" si="53"/>
        <v/>
      </c>
      <c r="G8956" s="92"/>
      <c r="I8956">
        <v>6</v>
      </c>
      <c r="J8956" t="s">
        <v>26</v>
      </c>
      <c r="K8956" s="57"/>
      <c r="S8956" s="57"/>
      <c r="X8956" s="57"/>
    </row>
    <row r="8957" spans="1:24" hidden="1" x14ac:dyDescent="0.35">
      <c r="A8957">
        <v>8953</v>
      </c>
      <c r="B8957">
        <v>8954</v>
      </c>
      <c r="C8957">
        <v>146.10526128999899</v>
      </c>
      <c r="D8957">
        <v>-17.594725280399899</v>
      </c>
      <c r="E8957" s="92" t="str">
        <f t="shared" si="53"/>
        <v/>
      </c>
      <c r="G8957" s="92"/>
      <c r="I8957">
        <v>6</v>
      </c>
      <c r="J8957" t="s">
        <v>26</v>
      </c>
      <c r="K8957" s="57"/>
      <c r="S8957" s="57"/>
      <c r="X8957" s="57"/>
    </row>
    <row r="8958" spans="1:24" hidden="1" x14ac:dyDescent="0.35">
      <c r="A8958">
        <v>8954</v>
      </c>
      <c r="B8958">
        <v>8955</v>
      </c>
      <c r="C8958">
        <v>146.10519550500001</v>
      </c>
      <c r="D8958">
        <v>-17.594780009800001</v>
      </c>
      <c r="E8958" s="92">
        <f t="shared" si="53"/>
        <v>50</v>
      </c>
      <c r="G8958" s="92"/>
      <c r="I8958">
        <v>6</v>
      </c>
      <c r="J8958" t="s">
        <v>26</v>
      </c>
      <c r="K8958" s="57"/>
      <c r="S8958" s="57"/>
      <c r="X8958" s="57"/>
    </row>
    <row r="8959" spans="1:24" hidden="1" x14ac:dyDescent="0.35">
      <c r="A8959">
        <v>8955</v>
      </c>
      <c r="B8959">
        <v>8956</v>
      </c>
      <c r="C8959">
        <v>146.105152465999</v>
      </c>
      <c r="D8959">
        <v>-17.5948537246</v>
      </c>
      <c r="E8959" s="92" t="str">
        <f t="shared" si="53"/>
        <v/>
      </c>
      <c r="G8959" s="92"/>
      <c r="I8959">
        <v>6</v>
      </c>
      <c r="J8959" t="s">
        <v>26</v>
      </c>
      <c r="K8959" s="57"/>
      <c r="S8959" s="57"/>
      <c r="X8959" s="57"/>
    </row>
    <row r="8960" spans="1:24" hidden="1" x14ac:dyDescent="0.35">
      <c r="A8960">
        <v>8956</v>
      </c>
      <c r="B8960">
        <v>8957</v>
      </c>
      <c r="C8960">
        <v>146.105134536999</v>
      </c>
      <c r="D8960">
        <v>-17.594937630899899</v>
      </c>
      <c r="E8960" s="92" t="str">
        <f t="shared" si="53"/>
        <v/>
      </c>
      <c r="G8960" s="92"/>
      <c r="I8960">
        <v>6</v>
      </c>
      <c r="J8960" t="s">
        <v>26</v>
      </c>
      <c r="K8960" s="57"/>
      <c r="S8960" s="57"/>
      <c r="X8960" s="57"/>
    </row>
    <row r="8961" spans="1:24" hidden="1" x14ac:dyDescent="0.35">
      <c r="A8961">
        <v>8957</v>
      </c>
      <c r="B8961">
        <v>8958</v>
      </c>
      <c r="C8961">
        <v>146.10512987300001</v>
      </c>
      <c r="D8961">
        <v>-17.595023086200001</v>
      </c>
      <c r="E8961" s="92" t="str">
        <f t="shared" si="53"/>
        <v/>
      </c>
      <c r="G8961" s="92"/>
      <c r="I8961">
        <v>6</v>
      </c>
      <c r="J8961" t="s">
        <v>26</v>
      </c>
      <c r="K8961" s="57"/>
      <c r="S8961" s="57"/>
      <c r="X8961" s="57"/>
    </row>
    <row r="8962" spans="1:24" hidden="1" x14ac:dyDescent="0.35">
      <c r="A8962">
        <v>8958</v>
      </c>
      <c r="B8962">
        <v>8959</v>
      </c>
      <c r="C8962">
        <v>146.105137587</v>
      </c>
      <c r="D8962">
        <v>-17.5951065223</v>
      </c>
      <c r="E8962" s="92" t="str">
        <f t="shared" si="53"/>
        <v/>
      </c>
      <c r="G8962" s="92"/>
      <c r="I8962">
        <v>6</v>
      </c>
      <c r="J8962" t="s">
        <v>26</v>
      </c>
      <c r="K8962" s="57"/>
      <c r="S8962" s="57"/>
      <c r="X8962" s="57"/>
    </row>
    <row r="8963" spans="1:24" hidden="1" x14ac:dyDescent="0.35">
      <c r="A8963">
        <v>8959</v>
      </c>
      <c r="B8963">
        <v>8960</v>
      </c>
      <c r="C8963">
        <v>146.10517436200001</v>
      </c>
      <c r="D8963">
        <v>-17.595184647</v>
      </c>
      <c r="E8963" s="92">
        <f t="shared" si="53"/>
        <v>50</v>
      </c>
      <c r="G8963" s="92"/>
      <c r="I8963">
        <v>6</v>
      </c>
      <c r="J8963" t="s">
        <v>26</v>
      </c>
      <c r="K8963" s="57"/>
      <c r="S8963" s="57"/>
      <c r="X8963" s="57"/>
    </row>
    <row r="8964" spans="1:24" hidden="1" x14ac:dyDescent="0.35">
      <c r="A8964">
        <v>8960</v>
      </c>
      <c r="B8964">
        <v>8961</v>
      </c>
      <c r="C8964">
        <v>146.10521113799899</v>
      </c>
      <c r="D8964">
        <v>-17.5952627717</v>
      </c>
      <c r="E8964" s="92" t="str">
        <f t="shared" si="53"/>
        <v/>
      </c>
      <c r="G8964" s="92"/>
      <c r="I8964">
        <v>6</v>
      </c>
      <c r="J8964" t="s">
        <v>26</v>
      </c>
      <c r="K8964" s="57"/>
      <c r="S8964" s="57"/>
      <c r="X8964" s="57"/>
    </row>
    <row r="8965" spans="1:24" hidden="1" x14ac:dyDescent="0.35">
      <c r="A8965">
        <v>8961</v>
      </c>
      <c r="B8965">
        <v>8962</v>
      </c>
      <c r="C8965">
        <v>146.105257714</v>
      </c>
      <c r="D8965">
        <v>-17.595335839699899</v>
      </c>
      <c r="E8965" s="92" t="str">
        <f t="shared" si="53"/>
        <v/>
      </c>
      <c r="G8965" s="92"/>
      <c r="I8965">
        <v>6</v>
      </c>
      <c r="J8965" t="s">
        <v>26</v>
      </c>
      <c r="K8965" s="57"/>
      <c r="S8965" s="57"/>
      <c r="X8965" s="57"/>
    </row>
    <row r="8966" spans="1:24" hidden="1" x14ac:dyDescent="0.35">
      <c r="A8966">
        <v>8962</v>
      </c>
      <c r="B8966">
        <v>8963</v>
      </c>
      <c r="C8966">
        <v>146.105307664999</v>
      </c>
      <c r="D8966">
        <v>-17.595406782400001</v>
      </c>
      <c r="E8966" s="92" t="str">
        <f t="shared" si="53"/>
        <v/>
      </c>
      <c r="G8966" s="92"/>
      <c r="I8966">
        <v>6</v>
      </c>
      <c r="J8966" t="s">
        <v>26</v>
      </c>
      <c r="K8966" s="57"/>
      <c r="S8966" s="57"/>
      <c r="X8966" s="57"/>
    </row>
    <row r="8967" spans="1:24" hidden="1" x14ac:dyDescent="0.35">
      <c r="A8967">
        <v>8963</v>
      </c>
      <c r="B8967">
        <v>8964</v>
      </c>
      <c r="C8967">
        <v>146.10537235199899</v>
      </c>
      <c r="D8967">
        <v>-17.5954661982</v>
      </c>
      <c r="E8967" s="92" t="str">
        <f t="shared" si="53"/>
        <v/>
      </c>
      <c r="G8967" s="92"/>
      <c r="I8967">
        <v>6</v>
      </c>
      <c r="J8967" t="s">
        <v>26</v>
      </c>
      <c r="K8967" s="57"/>
      <c r="S8967" s="57"/>
      <c r="X8967" s="57"/>
    </row>
    <row r="8968" spans="1:24" hidden="1" x14ac:dyDescent="0.35">
      <c r="A8968">
        <v>8964</v>
      </c>
      <c r="B8968">
        <v>8965</v>
      </c>
      <c r="C8968">
        <v>146.10543703900001</v>
      </c>
      <c r="D8968">
        <v>-17.595525614</v>
      </c>
      <c r="E8968" s="92">
        <f t="shared" si="53"/>
        <v>50</v>
      </c>
      <c r="G8968" s="92"/>
      <c r="I8968">
        <v>6</v>
      </c>
      <c r="J8968" t="s">
        <v>26</v>
      </c>
      <c r="K8968" s="57"/>
      <c r="S8968" s="57"/>
      <c r="X8968" s="57"/>
    </row>
    <row r="8969" spans="1:24" hidden="1" x14ac:dyDescent="0.35">
      <c r="A8969">
        <v>8965</v>
      </c>
      <c r="B8969">
        <v>8966</v>
      </c>
      <c r="C8969">
        <v>146.105501726</v>
      </c>
      <c r="D8969">
        <v>-17.595585029799899</v>
      </c>
      <c r="E8969" s="92" t="str">
        <f t="shared" si="53"/>
        <v/>
      </c>
      <c r="G8969" s="92"/>
      <c r="I8969">
        <v>6</v>
      </c>
      <c r="J8969" t="s">
        <v>26</v>
      </c>
      <c r="K8969" s="57"/>
      <c r="S8969" s="57"/>
      <c r="X8969" s="57"/>
    </row>
    <row r="8970" spans="1:24" hidden="1" x14ac:dyDescent="0.35">
      <c r="A8970">
        <v>8966</v>
      </c>
      <c r="B8970">
        <v>8967</v>
      </c>
      <c r="C8970">
        <v>146.10556938299899</v>
      </c>
      <c r="D8970">
        <v>-17.595641283500001</v>
      </c>
      <c r="E8970" s="92" t="str">
        <f t="shared" si="53"/>
        <v/>
      </c>
      <c r="G8970" s="92"/>
      <c r="I8970">
        <v>6</v>
      </c>
      <c r="J8970" t="s">
        <v>26</v>
      </c>
      <c r="K8970" s="57"/>
      <c r="S8970" s="57"/>
      <c r="X8970" s="57"/>
    </row>
    <row r="8971" spans="1:24" hidden="1" x14ac:dyDescent="0.35">
      <c r="A8971">
        <v>8967</v>
      </c>
      <c r="B8971">
        <v>8968</v>
      </c>
      <c r="C8971">
        <v>146.105638467999</v>
      </c>
      <c r="D8971">
        <v>-17.5956960165</v>
      </c>
      <c r="E8971" s="92" t="str">
        <f t="shared" si="53"/>
        <v/>
      </c>
      <c r="G8971" s="92"/>
      <c r="I8971">
        <v>6</v>
      </c>
      <c r="J8971" t="s">
        <v>26</v>
      </c>
      <c r="K8971" s="57"/>
      <c r="S8971" s="57"/>
      <c r="X8971" s="57"/>
    </row>
    <row r="8972" spans="1:24" hidden="1" x14ac:dyDescent="0.35">
      <c r="A8972">
        <v>8968</v>
      </c>
      <c r="B8972">
        <v>8969</v>
      </c>
      <c r="C8972">
        <v>146.10570755200001</v>
      </c>
      <c r="D8972">
        <v>-17.595750749499899</v>
      </c>
      <c r="E8972" s="92" t="str">
        <f t="shared" si="53"/>
        <v/>
      </c>
      <c r="G8972" s="92"/>
      <c r="I8972">
        <v>6</v>
      </c>
      <c r="J8972" t="s">
        <v>26</v>
      </c>
      <c r="K8972" s="57"/>
      <c r="S8972" s="57"/>
      <c r="X8972" s="57"/>
    </row>
    <row r="8973" spans="1:24" hidden="1" x14ac:dyDescent="0.35">
      <c r="A8973">
        <v>8969</v>
      </c>
      <c r="B8973">
        <v>8970</v>
      </c>
      <c r="C8973">
        <v>146.10577348000001</v>
      </c>
      <c r="D8973">
        <v>-17.595808907399899</v>
      </c>
      <c r="E8973" s="92">
        <f t="shared" si="53"/>
        <v>50</v>
      </c>
      <c r="G8973" s="92"/>
      <c r="I8973">
        <v>6</v>
      </c>
      <c r="J8973" t="s">
        <v>26</v>
      </c>
      <c r="K8973" s="57"/>
      <c r="S8973" s="57"/>
      <c r="X8973" s="57"/>
    </row>
    <row r="8974" spans="1:24" hidden="1" x14ac:dyDescent="0.35">
      <c r="A8974">
        <v>8970</v>
      </c>
      <c r="B8974">
        <v>8971</v>
      </c>
      <c r="C8974">
        <v>146.10583930499899</v>
      </c>
      <c r="D8974">
        <v>-17.595867176199899</v>
      </c>
      <c r="E8974" s="92" t="str">
        <f t="shared" si="53"/>
        <v/>
      </c>
      <c r="G8974" s="92"/>
      <c r="I8974">
        <v>6</v>
      </c>
      <c r="J8974" t="s">
        <v>26</v>
      </c>
      <c r="K8974" s="57"/>
      <c r="S8974" s="57"/>
      <c r="X8974" s="57"/>
    </row>
    <row r="8975" spans="1:24" hidden="1" x14ac:dyDescent="0.35">
      <c r="A8975">
        <v>8971</v>
      </c>
      <c r="B8975">
        <v>8972</v>
      </c>
      <c r="C8975">
        <v>146.105905129999</v>
      </c>
      <c r="D8975">
        <v>-17.595925444999899</v>
      </c>
      <c r="E8975" s="92" t="str">
        <f t="shared" si="53"/>
        <v/>
      </c>
      <c r="G8975" s="92"/>
      <c r="I8975">
        <v>6</v>
      </c>
      <c r="J8975" t="s">
        <v>26</v>
      </c>
      <c r="K8975" s="57"/>
      <c r="S8975" s="57"/>
      <c r="X8975" s="57"/>
    </row>
    <row r="8976" spans="1:24" hidden="1" x14ac:dyDescent="0.35">
      <c r="A8976">
        <v>8972</v>
      </c>
      <c r="B8976">
        <v>8973</v>
      </c>
      <c r="C8976">
        <v>146.10597390000001</v>
      </c>
      <c r="D8976">
        <v>-17.595980529999899</v>
      </c>
      <c r="E8976" s="92" t="str">
        <f t="shared" ref="E8976:E9039" si="54">IF(MOD(B8976,5)=0, 50, "")</f>
        <v/>
      </c>
      <c r="G8976" s="92"/>
      <c r="I8976">
        <v>6</v>
      </c>
      <c r="J8976" t="s">
        <v>26</v>
      </c>
      <c r="K8976" s="57"/>
      <c r="S8976" s="57"/>
      <c r="X8976" s="57"/>
    </row>
    <row r="8977" spans="1:24" hidden="1" x14ac:dyDescent="0.35">
      <c r="A8977">
        <v>8973</v>
      </c>
      <c r="B8977">
        <v>8974</v>
      </c>
      <c r="C8977">
        <v>146.106042801</v>
      </c>
      <c r="D8977">
        <v>-17.596035472899899</v>
      </c>
      <c r="E8977" s="92" t="str">
        <f t="shared" si="54"/>
        <v/>
      </c>
      <c r="G8977" s="92"/>
      <c r="I8977">
        <v>6</v>
      </c>
      <c r="J8977" t="s">
        <v>26</v>
      </c>
      <c r="K8977" s="57"/>
      <c r="S8977" s="57"/>
      <c r="X8977" s="57"/>
    </row>
    <row r="8978" spans="1:24" hidden="1" x14ac:dyDescent="0.35">
      <c r="A8978">
        <v>8974</v>
      </c>
      <c r="B8978">
        <v>8975</v>
      </c>
      <c r="C8978">
        <v>146.106111701999</v>
      </c>
      <c r="D8978">
        <v>-17.5960904157999</v>
      </c>
      <c r="E8978" s="92">
        <f t="shared" si="54"/>
        <v>50</v>
      </c>
      <c r="G8978" s="92"/>
      <c r="I8978">
        <v>6</v>
      </c>
      <c r="J8978" t="s">
        <v>26</v>
      </c>
      <c r="K8978" s="57"/>
      <c r="S8978" s="57"/>
      <c r="X8978" s="57"/>
    </row>
    <row r="8979" spans="1:24" hidden="1" x14ac:dyDescent="0.35">
      <c r="A8979">
        <v>8975</v>
      </c>
      <c r="B8979">
        <v>8976</v>
      </c>
      <c r="C8979">
        <v>146.10618060300001</v>
      </c>
      <c r="D8979">
        <v>-17.5961453586999</v>
      </c>
      <c r="E8979" s="92" t="str">
        <f t="shared" si="54"/>
        <v/>
      </c>
      <c r="G8979" s="92"/>
      <c r="I8979">
        <v>6</v>
      </c>
      <c r="J8979" t="s">
        <v>26</v>
      </c>
      <c r="K8979" s="57"/>
      <c r="S8979" s="57"/>
      <c r="X8979" s="57"/>
    </row>
    <row r="8980" spans="1:24" hidden="1" x14ac:dyDescent="0.35">
      <c r="A8980">
        <v>8976</v>
      </c>
      <c r="B8980">
        <v>8977</v>
      </c>
      <c r="C8980">
        <v>146.10623847100001</v>
      </c>
      <c r="D8980">
        <v>-17.596210350500002</v>
      </c>
      <c r="E8980" s="92" t="str">
        <f t="shared" si="54"/>
        <v/>
      </c>
      <c r="G8980" s="92"/>
      <c r="I8980">
        <v>6</v>
      </c>
      <c r="J8980" t="s">
        <v>26</v>
      </c>
      <c r="K8980" s="57"/>
      <c r="S8980" s="57"/>
      <c r="X8980" s="57"/>
    </row>
    <row r="8981" spans="1:24" hidden="1" x14ac:dyDescent="0.35">
      <c r="A8981">
        <v>8977</v>
      </c>
      <c r="B8981">
        <v>8978</v>
      </c>
      <c r="C8981">
        <v>146.10629291800001</v>
      </c>
      <c r="D8981">
        <v>-17.596278458600001</v>
      </c>
      <c r="E8981" s="92" t="str">
        <f t="shared" si="54"/>
        <v/>
      </c>
      <c r="G8981" s="92"/>
      <c r="I8981">
        <v>6</v>
      </c>
      <c r="J8981" t="s">
        <v>26</v>
      </c>
      <c r="K8981" s="57"/>
      <c r="S8981" s="57"/>
      <c r="X8981" s="57"/>
    </row>
    <row r="8982" spans="1:24" hidden="1" x14ac:dyDescent="0.35">
      <c r="A8982">
        <v>8978</v>
      </c>
      <c r="B8982">
        <v>8979</v>
      </c>
      <c r="C8982">
        <v>146.106342253999</v>
      </c>
      <c r="D8982">
        <v>-17.596349416399899</v>
      </c>
      <c r="E8982" s="92" t="str">
        <f t="shared" si="54"/>
        <v/>
      </c>
      <c r="G8982" s="92"/>
      <c r="I8982">
        <v>6</v>
      </c>
      <c r="J8982" t="s">
        <v>26</v>
      </c>
      <c r="K8982" s="57"/>
      <c r="S8982" s="57"/>
      <c r="X8982" s="57"/>
    </row>
    <row r="8983" spans="1:24" hidden="1" x14ac:dyDescent="0.35">
      <c r="A8983">
        <v>8979</v>
      </c>
      <c r="B8983">
        <v>8980</v>
      </c>
      <c r="C8983">
        <v>146.106377860999</v>
      </c>
      <c r="D8983">
        <v>-17.596428030799899</v>
      </c>
      <c r="E8983" s="92">
        <f t="shared" si="54"/>
        <v>50</v>
      </c>
      <c r="G8983" s="92"/>
      <c r="I8983">
        <v>6</v>
      </c>
      <c r="J8983" t="s">
        <v>26</v>
      </c>
      <c r="K8983" s="57"/>
      <c r="S8983" s="57"/>
      <c r="X8983" s="57"/>
    </row>
    <row r="8984" spans="1:24" hidden="1" x14ac:dyDescent="0.35">
      <c r="A8984">
        <v>8980</v>
      </c>
      <c r="B8984">
        <v>8981</v>
      </c>
      <c r="C8984">
        <v>146.10639706500001</v>
      </c>
      <c r="D8984">
        <v>-17.5965103168</v>
      </c>
      <c r="E8984" s="92" t="str">
        <f t="shared" si="54"/>
        <v/>
      </c>
      <c r="G8984" s="92"/>
      <c r="I8984">
        <v>6</v>
      </c>
      <c r="J8984" t="s">
        <v>26</v>
      </c>
      <c r="K8984" s="57"/>
      <c r="S8984" s="57"/>
      <c r="X8984" s="57"/>
    </row>
    <row r="8985" spans="1:24" hidden="1" x14ac:dyDescent="0.35">
      <c r="A8985">
        <v>8981</v>
      </c>
      <c r="B8985">
        <v>8982</v>
      </c>
      <c r="C8985">
        <v>146.106390863999</v>
      </c>
      <c r="D8985">
        <v>-17.596594934900001</v>
      </c>
      <c r="E8985" s="92" t="str">
        <f t="shared" si="54"/>
        <v/>
      </c>
      <c r="G8985" s="92"/>
      <c r="I8985">
        <v>6</v>
      </c>
      <c r="J8985" t="s">
        <v>26</v>
      </c>
      <c r="K8985" s="57"/>
      <c r="S8985" s="57"/>
      <c r="X8985" s="57"/>
    </row>
    <row r="8986" spans="1:24" hidden="1" x14ac:dyDescent="0.35">
      <c r="A8986">
        <v>8982</v>
      </c>
      <c r="B8986">
        <v>8983</v>
      </c>
      <c r="C8986">
        <v>146.10636619900001</v>
      </c>
      <c r="D8986">
        <v>-17.596676882000001</v>
      </c>
      <c r="E8986" s="92" t="str">
        <f t="shared" si="54"/>
        <v/>
      </c>
      <c r="G8986" s="92"/>
      <c r="I8986">
        <v>6</v>
      </c>
      <c r="J8986" t="s">
        <v>26</v>
      </c>
      <c r="K8986" s="57"/>
      <c r="S8986" s="57"/>
      <c r="X8986" s="57"/>
    </row>
    <row r="8987" spans="1:24" hidden="1" x14ac:dyDescent="0.35">
      <c r="A8987">
        <v>8983</v>
      </c>
      <c r="B8987">
        <v>8984</v>
      </c>
      <c r="C8987">
        <v>146.106328574999</v>
      </c>
      <c r="D8987">
        <v>-17.596754638</v>
      </c>
      <c r="E8987" s="92" t="str">
        <f t="shared" si="54"/>
        <v/>
      </c>
      <c r="G8987" s="92"/>
      <c r="I8987">
        <v>6</v>
      </c>
      <c r="J8987" t="s">
        <v>26</v>
      </c>
      <c r="K8987" s="57"/>
      <c r="S8987" s="57"/>
      <c r="X8987" s="57"/>
    </row>
    <row r="8988" spans="1:24" hidden="1" x14ac:dyDescent="0.35">
      <c r="A8988">
        <v>8984</v>
      </c>
      <c r="B8988">
        <v>8985</v>
      </c>
      <c r="C8988">
        <v>146.106272464</v>
      </c>
      <c r="D8988">
        <v>-17.5968189397</v>
      </c>
      <c r="E8988" s="92">
        <f t="shared" si="54"/>
        <v>50</v>
      </c>
      <c r="G8988" s="92"/>
      <c r="I8988">
        <v>6</v>
      </c>
      <c r="J8988" t="s">
        <v>26</v>
      </c>
      <c r="K8988" s="57"/>
      <c r="S8988" s="57"/>
      <c r="X8988" s="57"/>
    </row>
    <row r="8989" spans="1:24" hidden="1" x14ac:dyDescent="0.35">
      <c r="A8989">
        <v>8985</v>
      </c>
      <c r="B8989">
        <v>8986</v>
      </c>
      <c r="C8989">
        <v>146.106203687</v>
      </c>
      <c r="D8989">
        <v>-17.5968740233</v>
      </c>
      <c r="E8989" s="92" t="str">
        <f t="shared" si="54"/>
        <v/>
      </c>
      <c r="G8989" s="92"/>
      <c r="I8989">
        <v>6</v>
      </c>
      <c r="J8989" t="s">
        <v>26</v>
      </c>
      <c r="K8989" s="57"/>
      <c r="S8989" s="57"/>
      <c r="X8989" s="57"/>
    </row>
    <row r="8990" spans="1:24" hidden="1" x14ac:dyDescent="0.35">
      <c r="A8990">
        <v>8986</v>
      </c>
      <c r="B8990">
        <v>8987</v>
      </c>
      <c r="C8990">
        <v>146.10613491000001</v>
      </c>
      <c r="D8990">
        <v>-17.596929107000001</v>
      </c>
      <c r="E8990" s="92" t="str">
        <f t="shared" si="54"/>
        <v/>
      </c>
      <c r="G8990" s="92"/>
      <c r="I8990">
        <v>6</v>
      </c>
      <c r="J8990" t="s">
        <v>26</v>
      </c>
      <c r="K8990" s="57"/>
      <c r="S8990" s="57"/>
      <c r="X8990" s="57"/>
    </row>
    <row r="8991" spans="1:24" hidden="1" x14ac:dyDescent="0.35">
      <c r="A8991">
        <v>8987</v>
      </c>
      <c r="B8991">
        <v>8988</v>
      </c>
      <c r="C8991">
        <v>146.10606613300001</v>
      </c>
      <c r="D8991">
        <v>-17.596984190600001</v>
      </c>
      <c r="E8991" s="92" t="str">
        <f t="shared" si="54"/>
        <v/>
      </c>
      <c r="G8991" s="92"/>
      <c r="I8991">
        <v>6</v>
      </c>
      <c r="J8991" t="s">
        <v>26</v>
      </c>
      <c r="K8991" s="57"/>
      <c r="S8991" s="57"/>
      <c r="X8991" s="57"/>
    </row>
    <row r="8992" spans="1:24" hidden="1" x14ac:dyDescent="0.35">
      <c r="A8992">
        <v>8988</v>
      </c>
      <c r="B8992">
        <v>8989</v>
      </c>
      <c r="C8992">
        <v>146.106000112</v>
      </c>
      <c r="D8992">
        <v>-17.5970420340999</v>
      </c>
      <c r="E8992" s="92" t="str">
        <f t="shared" si="54"/>
        <v/>
      </c>
      <c r="G8992" s="92"/>
      <c r="I8992">
        <v>6</v>
      </c>
      <c r="J8992" t="s">
        <v>26</v>
      </c>
      <c r="K8992" s="57"/>
      <c r="S8992" s="57"/>
      <c r="X8992" s="57"/>
    </row>
    <row r="8993" spans="1:24" hidden="1" x14ac:dyDescent="0.35">
      <c r="A8993">
        <v>8989</v>
      </c>
      <c r="B8993">
        <v>8990</v>
      </c>
      <c r="C8993">
        <v>146.105939019</v>
      </c>
      <c r="D8993">
        <v>-17.5971048108999</v>
      </c>
      <c r="E8993" s="92">
        <f t="shared" si="54"/>
        <v>50</v>
      </c>
      <c r="G8993" s="92"/>
      <c r="I8993">
        <v>6</v>
      </c>
      <c r="J8993" t="s">
        <v>26</v>
      </c>
      <c r="K8993" s="57"/>
      <c r="S8993" s="57"/>
      <c r="X8993" s="57"/>
    </row>
    <row r="8994" spans="1:24" hidden="1" x14ac:dyDescent="0.35">
      <c r="A8994">
        <v>8990</v>
      </c>
      <c r="B8994">
        <v>8991</v>
      </c>
      <c r="C8994">
        <v>146.10587792600001</v>
      </c>
      <c r="D8994">
        <v>-17.597167587800001</v>
      </c>
      <c r="E8994" s="92" t="str">
        <f t="shared" si="54"/>
        <v/>
      </c>
      <c r="G8994" s="92"/>
      <c r="I8994">
        <v>6</v>
      </c>
      <c r="J8994" t="s">
        <v>26</v>
      </c>
      <c r="K8994" s="57"/>
      <c r="S8994" s="57"/>
      <c r="X8994" s="57"/>
    </row>
    <row r="8995" spans="1:24" hidden="1" x14ac:dyDescent="0.35">
      <c r="A8995">
        <v>8991</v>
      </c>
      <c r="B8995">
        <v>8992</v>
      </c>
      <c r="C8995">
        <v>146.105816833999</v>
      </c>
      <c r="D8995">
        <v>-17.597230364600001</v>
      </c>
      <c r="E8995" s="92" t="str">
        <f t="shared" si="54"/>
        <v/>
      </c>
      <c r="G8995" s="92"/>
      <c r="I8995">
        <v>6</v>
      </c>
      <c r="J8995" t="s">
        <v>26</v>
      </c>
      <c r="K8995" s="57"/>
      <c r="S8995" s="57"/>
      <c r="X8995" s="57"/>
    </row>
    <row r="8996" spans="1:24" hidden="1" x14ac:dyDescent="0.35">
      <c r="A8996">
        <v>8992</v>
      </c>
      <c r="B8996">
        <v>8993</v>
      </c>
      <c r="C8996">
        <v>146.105755740999</v>
      </c>
      <c r="D8996">
        <v>-17.5972931413</v>
      </c>
      <c r="E8996" s="92" t="str">
        <f t="shared" si="54"/>
        <v/>
      </c>
      <c r="G8996" s="92"/>
      <c r="I8996">
        <v>6</v>
      </c>
      <c r="J8996" t="s">
        <v>26</v>
      </c>
      <c r="K8996" s="57"/>
      <c r="S8996" s="57"/>
      <c r="X8996" s="57"/>
    </row>
    <row r="8997" spans="1:24" hidden="1" x14ac:dyDescent="0.35">
      <c r="A8997">
        <v>8993</v>
      </c>
      <c r="B8997">
        <v>8994</v>
      </c>
      <c r="C8997">
        <v>146.105710681999</v>
      </c>
      <c r="D8997">
        <v>-17.597366529599899</v>
      </c>
      <c r="E8997" s="92" t="str">
        <f t="shared" si="54"/>
        <v/>
      </c>
      <c r="G8997" s="92"/>
      <c r="I8997">
        <v>6</v>
      </c>
      <c r="J8997" t="s">
        <v>26</v>
      </c>
      <c r="K8997" s="57"/>
      <c r="S8997" s="57"/>
      <c r="X8997" s="57"/>
    </row>
    <row r="8998" spans="1:24" hidden="1" x14ac:dyDescent="0.35">
      <c r="A8998">
        <v>8994</v>
      </c>
      <c r="B8998">
        <v>8995</v>
      </c>
      <c r="C8998">
        <v>146.105670325999</v>
      </c>
      <c r="D8998">
        <v>-17.5974430304999</v>
      </c>
      <c r="E8998" s="92">
        <f t="shared" si="54"/>
        <v>50</v>
      </c>
      <c r="G8998" s="92"/>
      <c r="I8998">
        <v>6</v>
      </c>
      <c r="J8998" t="s">
        <v>26</v>
      </c>
      <c r="K8998" s="57"/>
      <c r="S8998" s="57"/>
      <c r="X8998" s="57"/>
    </row>
    <row r="8999" spans="1:24" hidden="1" x14ac:dyDescent="0.35">
      <c r="A8999">
        <v>8995</v>
      </c>
      <c r="B8999">
        <v>8996</v>
      </c>
      <c r="C8999">
        <v>146.105629969999</v>
      </c>
      <c r="D8999">
        <v>-17.5975195314</v>
      </c>
      <c r="E8999" s="92" t="str">
        <f t="shared" si="54"/>
        <v/>
      </c>
      <c r="G8999" s="92"/>
      <c r="I8999">
        <v>6</v>
      </c>
      <c r="J8999" t="s">
        <v>26</v>
      </c>
      <c r="K8999" s="57"/>
      <c r="S8999" s="57"/>
      <c r="X8999" s="57"/>
    </row>
    <row r="9000" spans="1:24" hidden="1" x14ac:dyDescent="0.35">
      <c r="A9000">
        <v>8996</v>
      </c>
      <c r="B9000">
        <v>8997</v>
      </c>
      <c r="C9000">
        <v>146.105589613999</v>
      </c>
      <c r="D9000">
        <v>-17.597596032199899</v>
      </c>
      <c r="E9000" s="92" t="str">
        <f t="shared" si="54"/>
        <v/>
      </c>
      <c r="G9000" s="92"/>
      <c r="I9000">
        <v>6</v>
      </c>
      <c r="J9000" t="s">
        <v>26</v>
      </c>
      <c r="K9000" s="57"/>
      <c r="S9000" s="57"/>
      <c r="X9000" s="57"/>
    </row>
    <row r="9001" spans="1:24" hidden="1" x14ac:dyDescent="0.35">
      <c r="A9001">
        <v>8997</v>
      </c>
      <c r="B9001">
        <v>8998</v>
      </c>
      <c r="C9001">
        <v>146.105545653999</v>
      </c>
      <c r="D9001">
        <v>-17.5976705192999</v>
      </c>
      <c r="E9001" s="92" t="str">
        <f t="shared" si="54"/>
        <v/>
      </c>
      <c r="G9001" s="92"/>
      <c r="I9001">
        <v>6</v>
      </c>
      <c r="J9001" t="s">
        <v>26</v>
      </c>
      <c r="K9001" s="57"/>
      <c r="S9001" s="57"/>
      <c r="X9001" s="57"/>
    </row>
    <row r="9002" spans="1:24" hidden="1" x14ac:dyDescent="0.35">
      <c r="A9002">
        <v>8998</v>
      </c>
      <c r="B9002">
        <v>8999</v>
      </c>
      <c r="C9002">
        <v>146.105495353999</v>
      </c>
      <c r="D9002">
        <v>-17.5977414647</v>
      </c>
      <c r="E9002" s="92" t="str">
        <f t="shared" si="54"/>
        <v/>
      </c>
      <c r="G9002" s="92"/>
      <c r="I9002">
        <v>6</v>
      </c>
      <c r="J9002" t="s">
        <v>26</v>
      </c>
      <c r="K9002" s="57"/>
      <c r="S9002" s="57"/>
      <c r="X9002" s="57"/>
    </row>
    <row r="9003" spans="1:24" hidden="1" x14ac:dyDescent="0.35">
      <c r="A9003">
        <v>8999</v>
      </c>
      <c r="B9003">
        <v>9000</v>
      </c>
      <c r="C9003">
        <v>146.10544505300001</v>
      </c>
      <c r="D9003">
        <v>-17.597812410100001</v>
      </c>
      <c r="E9003" s="92">
        <f t="shared" si="54"/>
        <v>50</v>
      </c>
      <c r="G9003" s="92"/>
      <c r="I9003">
        <v>6</v>
      </c>
      <c r="J9003" t="s">
        <v>26</v>
      </c>
      <c r="K9003" s="57"/>
      <c r="S9003" s="57"/>
      <c r="X9003" s="57"/>
    </row>
    <row r="9004" spans="1:24" hidden="1" x14ac:dyDescent="0.35">
      <c r="A9004">
        <v>9000</v>
      </c>
      <c r="B9004">
        <v>9001</v>
      </c>
      <c r="C9004">
        <v>146.10539475300001</v>
      </c>
      <c r="D9004">
        <v>-17.597883355499899</v>
      </c>
      <c r="E9004" s="92" t="str">
        <f t="shared" si="54"/>
        <v/>
      </c>
      <c r="G9004" s="92"/>
      <c r="I9004">
        <v>6</v>
      </c>
      <c r="J9004" t="s">
        <v>26</v>
      </c>
      <c r="K9004" s="57"/>
      <c r="S9004" s="57"/>
      <c r="X9004" s="57"/>
    </row>
    <row r="9005" spans="1:24" hidden="1" x14ac:dyDescent="0.35">
      <c r="A9005">
        <v>9001</v>
      </c>
      <c r="B9005">
        <v>9002</v>
      </c>
      <c r="C9005">
        <v>146.10534445299899</v>
      </c>
      <c r="D9005">
        <v>-17.597954300800001</v>
      </c>
      <c r="E9005" s="92" t="str">
        <f t="shared" si="54"/>
        <v/>
      </c>
      <c r="G9005" s="92"/>
      <c r="I9005">
        <v>6</v>
      </c>
      <c r="J9005" t="s">
        <v>26</v>
      </c>
      <c r="K9005" s="57"/>
      <c r="S9005" s="57"/>
      <c r="X9005" s="57"/>
    </row>
    <row r="9006" spans="1:24" hidden="1" x14ac:dyDescent="0.35">
      <c r="A9006">
        <v>9002</v>
      </c>
      <c r="B9006">
        <v>9003</v>
      </c>
      <c r="C9006">
        <v>146.10529415299899</v>
      </c>
      <c r="D9006">
        <v>-17.598025246100001</v>
      </c>
      <c r="E9006" s="92" t="str">
        <f t="shared" si="54"/>
        <v/>
      </c>
      <c r="G9006" s="92"/>
      <c r="I9006">
        <v>6</v>
      </c>
      <c r="J9006" t="s">
        <v>26</v>
      </c>
      <c r="K9006" s="57"/>
      <c r="S9006" s="57"/>
      <c r="X9006" s="57"/>
    </row>
    <row r="9007" spans="1:24" hidden="1" x14ac:dyDescent="0.35">
      <c r="A9007">
        <v>9003</v>
      </c>
      <c r="B9007">
        <v>9004</v>
      </c>
      <c r="C9007">
        <v>146.105243852999</v>
      </c>
      <c r="D9007">
        <v>-17.5980961914</v>
      </c>
      <c r="E9007" s="92" t="str">
        <f t="shared" si="54"/>
        <v/>
      </c>
      <c r="G9007" s="92"/>
      <c r="I9007">
        <v>6</v>
      </c>
      <c r="J9007" t="s">
        <v>26</v>
      </c>
      <c r="K9007" s="57"/>
      <c r="S9007" s="57"/>
      <c r="X9007" s="57"/>
    </row>
    <row r="9008" spans="1:24" hidden="1" x14ac:dyDescent="0.35">
      <c r="A9008">
        <v>9004</v>
      </c>
      <c r="B9008">
        <v>9005</v>
      </c>
      <c r="C9008">
        <v>146.105193552999</v>
      </c>
      <c r="D9008">
        <v>-17.598167136600001</v>
      </c>
      <c r="E9008" s="92">
        <f t="shared" si="54"/>
        <v>50</v>
      </c>
      <c r="G9008" s="92"/>
      <c r="I9008">
        <v>6</v>
      </c>
      <c r="J9008" t="s">
        <v>26</v>
      </c>
      <c r="K9008" s="57"/>
      <c r="S9008" s="57"/>
      <c r="X9008" s="57"/>
    </row>
    <row r="9009" spans="1:24" hidden="1" x14ac:dyDescent="0.35">
      <c r="A9009">
        <v>9005</v>
      </c>
      <c r="B9009">
        <v>9006</v>
      </c>
      <c r="C9009">
        <v>146.105139815</v>
      </c>
      <c r="D9009">
        <v>-17.5982355591999</v>
      </c>
      <c r="E9009" s="92" t="str">
        <f t="shared" si="54"/>
        <v/>
      </c>
      <c r="G9009" s="92"/>
      <c r="I9009">
        <v>6</v>
      </c>
      <c r="J9009" t="s">
        <v>26</v>
      </c>
      <c r="K9009" s="57"/>
      <c r="S9009" s="57"/>
      <c r="X9009" s="57"/>
    </row>
    <row r="9010" spans="1:24" hidden="1" x14ac:dyDescent="0.35">
      <c r="A9010">
        <v>9006</v>
      </c>
      <c r="B9010">
        <v>9007</v>
      </c>
      <c r="C9010">
        <v>146.10508072299899</v>
      </c>
      <c r="D9010">
        <v>-17.5983000527999</v>
      </c>
      <c r="E9010" s="92" t="str">
        <f t="shared" si="54"/>
        <v/>
      </c>
      <c r="G9010" s="92"/>
      <c r="I9010">
        <v>6</v>
      </c>
      <c r="J9010" t="s">
        <v>26</v>
      </c>
      <c r="K9010" s="57"/>
      <c r="S9010" s="57"/>
      <c r="X9010" s="57"/>
    </row>
    <row r="9011" spans="1:24" hidden="1" x14ac:dyDescent="0.35">
      <c r="A9011">
        <v>9007</v>
      </c>
      <c r="B9011">
        <v>9008</v>
      </c>
      <c r="C9011">
        <v>146.10502163199899</v>
      </c>
      <c r="D9011">
        <v>-17.5983645463999</v>
      </c>
      <c r="E9011" s="92" t="str">
        <f t="shared" si="54"/>
        <v/>
      </c>
      <c r="G9011" s="92"/>
      <c r="I9011">
        <v>6</v>
      </c>
      <c r="J9011" t="s">
        <v>26</v>
      </c>
      <c r="K9011" s="57"/>
      <c r="S9011" s="57"/>
      <c r="X9011" s="57"/>
    </row>
    <row r="9012" spans="1:24" hidden="1" x14ac:dyDescent="0.35">
      <c r="A9012">
        <v>9008</v>
      </c>
      <c r="B9012">
        <v>9009</v>
      </c>
      <c r="C9012">
        <v>146.10496254</v>
      </c>
      <c r="D9012">
        <v>-17.5984290399999</v>
      </c>
      <c r="E9012" s="92" t="str">
        <f t="shared" si="54"/>
        <v/>
      </c>
      <c r="G9012" s="92"/>
      <c r="I9012">
        <v>6</v>
      </c>
      <c r="J9012" t="s">
        <v>26</v>
      </c>
      <c r="K9012" s="57"/>
      <c r="S9012" s="57"/>
      <c r="X9012" s="57"/>
    </row>
    <row r="9013" spans="1:24" hidden="1" x14ac:dyDescent="0.35">
      <c r="A9013">
        <v>9009</v>
      </c>
      <c r="B9013">
        <v>9010</v>
      </c>
      <c r="C9013">
        <v>146.10490344900001</v>
      </c>
      <c r="D9013">
        <v>-17.598493533500001</v>
      </c>
      <c r="E9013" s="92">
        <f t="shared" si="54"/>
        <v>50</v>
      </c>
      <c r="G9013" s="92"/>
      <c r="I9013">
        <v>6</v>
      </c>
      <c r="J9013" t="s">
        <v>26</v>
      </c>
      <c r="K9013" s="57"/>
      <c r="S9013" s="57"/>
      <c r="X9013" s="57"/>
    </row>
    <row r="9014" spans="1:24" hidden="1" x14ac:dyDescent="0.35">
      <c r="A9014">
        <v>9010</v>
      </c>
      <c r="B9014">
        <v>9011</v>
      </c>
      <c r="C9014">
        <v>146.10483333100001</v>
      </c>
      <c r="D9014">
        <v>-17.598546637399899</v>
      </c>
      <c r="E9014" s="92" t="str">
        <f t="shared" si="54"/>
        <v/>
      </c>
      <c r="G9014" s="92"/>
      <c r="I9014">
        <v>6</v>
      </c>
      <c r="J9014" t="s">
        <v>26</v>
      </c>
      <c r="K9014" s="57"/>
      <c r="S9014" s="57"/>
      <c r="X9014" s="57"/>
    </row>
    <row r="9015" spans="1:24" hidden="1" x14ac:dyDescent="0.35">
      <c r="A9015">
        <v>9011</v>
      </c>
      <c r="B9015">
        <v>9012</v>
      </c>
      <c r="C9015">
        <v>146.104761147999</v>
      </c>
      <c r="D9015">
        <v>-17.598597606999899</v>
      </c>
      <c r="E9015" s="92" t="str">
        <f t="shared" si="54"/>
        <v/>
      </c>
      <c r="G9015" s="92"/>
      <c r="I9015">
        <v>6</v>
      </c>
      <c r="J9015" t="s">
        <v>26</v>
      </c>
      <c r="K9015" s="57"/>
      <c r="S9015" s="57"/>
      <c r="X9015" s="57"/>
    </row>
    <row r="9016" spans="1:24" hidden="1" x14ac:dyDescent="0.35">
      <c r="A9016">
        <v>9012</v>
      </c>
      <c r="B9016">
        <v>9013</v>
      </c>
      <c r="C9016">
        <v>146.10468896500001</v>
      </c>
      <c r="D9016">
        <v>-17.598648576599899</v>
      </c>
      <c r="E9016" s="92" t="str">
        <f t="shared" si="54"/>
        <v/>
      </c>
      <c r="G9016" s="92"/>
      <c r="I9016">
        <v>6</v>
      </c>
      <c r="J9016" t="s">
        <v>26</v>
      </c>
      <c r="K9016" s="57"/>
      <c r="S9016" s="57"/>
      <c r="X9016" s="57"/>
    </row>
    <row r="9017" spans="1:24" hidden="1" x14ac:dyDescent="0.35">
      <c r="A9017">
        <v>9013</v>
      </c>
      <c r="B9017">
        <v>9014</v>
      </c>
      <c r="C9017">
        <v>146.104605380999</v>
      </c>
      <c r="D9017">
        <v>-17.5986764413</v>
      </c>
      <c r="E9017" s="92" t="str">
        <f t="shared" si="54"/>
        <v/>
      </c>
      <c r="G9017" s="92"/>
      <c r="I9017">
        <v>6</v>
      </c>
      <c r="J9017" t="s">
        <v>26</v>
      </c>
      <c r="K9017" s="57"/>
      <c r="S9017" s="57"/>
      <c r="X9017" s="57"/>
    </row>
    <row r="9018" spans="1:24" hidden="1" x14ac:dyDescent="0.35">
      <c r="A9018">
        <v>9014</v>
      </c>
      <c r="B9018">
        <v>9015</v>
      </c>
      <c r="C9018">
        <v>146.104518159999</v>
      </c>
      <c r="D9018">
        <v>-17.5986969339999</v>
      </c>
      <c r="E9018" s="92">
        <f t="shared" si="54"/>
        <v>50</v>
      </c>
      <c r="G9018" s="92"/>
      <c r="I9018">
        <v>6</v>
      </c>
      <c r="J9018" t="s">
        <v>26</v>
      </c>
      <c r="K9018" s="57"/>
      <c r="S9018" s="57"/>
      <c r="X9018" s="57"/>
    </row>
    <row r="9019" spans="1:24" hidden="1" x14ac:dyDescent="0.35">
      <c r="A9019">
        <v>9015</v>
      </c>
      <c r="B9019">
        <v>9016</v>
      </c>
      <c r="C9019">
        <v>146.104430938999</v>
      </c>
      <c r="D9019">
        <v>-17.598717426699899</v>
      </c>
      <c r="E9019" s="92" t="str">
        <f t="shared" si="54"/>
        <v/>
      </c>
      <c r="G9019" s="92"/>
      <c r="I9019">
        <v>6</v>
      </c>
      <c r="J9019" t="s">
        <v>26</v>
      </c>
      <c r="K9019" s="57"/>
      <c r="S9019" s="57"/>
      <c r="X9019" s="57"/>
    </row>
    <row r="9020" spans="1:24" hidden="1" x14ac:dyDescent="0.35">
      <c r="A9020">
        <v>9016</v>
      </c>
      <c r="B9020">
        <v>9017</v>
      </c>
      <c r="C9020">
        <v>146.10435006</v>
      </c>
      <c r="D9020">
        <v>-17.5986853942</v>
      </c>
      <c r="E9020" s="92" t="str">
        <f t="shared" si="54"/>
        <v/>
      </c>
      <c r="G9020" s="92"/>
      <c r="I9020">
        <v>6</v>
      </c>
      <c r="J9020" t="s">
        <v>26</v>
      </c>
      <c r="K9020" s="57"/>
      <c r="S9020" s="57"/>
      <c r="X9020" s="57"/>
    </row>
    <row r="9021" spans="1:24" hidden="1" x14ac:dyDescent="0.35">
      <c r="A9021">
        <v>9017</v>
      </c>
      <c r="B9021">
        <v>9018</v>
      </c>
      <c r="C9021">
        <v>146.10427000300001</v>
      </c>
      <c r="D9021">
        <v>-17.598646551000002</v>
      </c>
      <c r="E9021" s="92" t="str">
        <f t="shared" si="54"/>
        <v/>
      </c>
      <c r="G9021" s="92"/>
      <c r="I9021">
        <v>6</v>
      </c>
      <c r="J9021" t="s">
        <v>26</v>
      </c>
      <c r="K9021" s="57"/>
      <c r="S9021" s="57"/>
      <c r="X9021" s="57"/>
    </row>
    <row r="9022" spans="1:24" hidden="1" x14ac:dyDescent="0.35">
      <c r="A9022">
        <v>9018</v>
      </c>
      <c r="B9022">
        <v>9019</v>
      </c>
      <c r="C9022">
        <v>146.104189945999</v>
      </c>
      <c r="D9022">
        <v>-17.5986077077999</v>
      </c>
      <c r="E9022" s="92" t="str">
        <f t="shared" si="54"/>
        <v/>
      </c>
      <c r="G9022" s="92"/>
      <c r="I9022">
        <v>6</v>
      </c>
      <c r="J9022" t="s">
        <v>26</v>
      </c>
      <c r="K9022" s="57"/>
      <c r="S9022" s="57"/>
      <c r="X9022" s="57"/>
    </row>
    <row r="9023" spans="1:24" hidden="1" x14ac:dyDescent="0.35">
      <c r="A9023">
        <v>9019</v>
      </c>
      <c r="B9023">
        <v>9020</v>
      </c>
      <c r="C9023">
        <v>146.10411993400001</v>
      </c>
      <c r="D9023">
        <v>-17.5985555809999</v>
      </c>
      <c r="E9023" s="92">
        <f t="shared" si="54"/>
        <v>50</v>
      </c>
      <c r="G9023" s="92"/>
      <c r="I9023">
        <v>6</v>
      </c>
      <c r="J9023" t="s">
        <v>26</v>
      </c>
      <c r="K9023" s="57"/>
      <c r="S9023" s="57"/>
      <c r="X9023" s="57"/>
    </row>
    <row r="9024" spans="1:24" hidden="1" x14ac:dyDescent="0.35">
      <c r="A9024">
        <v>9020</v>
      </c>
      <c r="B9024">
        <v>9021</v>
      </c>
      <c r="C9024">
        <v>146.10405596199899</v>
      </c>
      <c r="D9024">
        <v>-17.5984954673999</v>
      </c>
      <c r="E9024" s="92" t="str">
        <f t="shared" si="54"/>
        <v/>
      </c>
      <c r="G9024" s="92"/>
      <c r="I9024">
        <v>6</v>
      </c>
      <c r="J9024" t="s">
        <v>26</v>
      </c>
      <c r="K9024" s="57"/>
      <c r="S9024" s="57"/>
      <c r="X9024" s="57"/>
    </row>
    <row r="9025" spans="1:24" hidden="1" x14ac:dyDescent="0.35">
      <c r="A9025">
        <v>9021</v>
      </c>
      <c r="B9025">
        <v>9022</v>
      </c>
      <c r="C9025">
        <v>146.10399198900001</v>
      </c>
      <c r="D9025">
        <v>-17.5984353537999</v>
      </c>
      <c r="E9025" s="92" t="str">
        <f t="shared" si="54"/>
        <v/>
      </c>
      <c r="G9025" s="92"/>
      <c r="I9025">
        <v>6</v>
      </c>
      <c r="J9025" t="s">
        <v>26</v>
      </c>
      <c r="K9025" s="57"/>
      <c r="S9025" s="57"/>
      <c r="X9025" s="57"/>
    </row>
    <row r="9026" spans="1:24" hidden="1" x14ac:dyDescent="0.35">
      <c r="A9026">
        <v>9022</v>
      </c>
      <c r="B9026">
        <v>9023</v>
      </c>
      <c r="C9026">
        <v>146.103943012</v>
      </c>
      <c r="D9026">
        <v>-17.598364937700001</v>
      </c>
      <c r="E9026" s="92" t="str">
        <f t="shared" si="54"/>
        <v/>
      </c>
      <c r="G9026" s="92"/>
      <c r="I9026">
        <v>6</v>
      </c>
      <c r="J9026" t="s">
        <v>26</v>
      </c>
      <c r="K9026" s="57"/>
      <c r="S9026" s="57"/>
      <c r="X9026" s="57"/>
    </row>
    <row r="9027" spans="1:24" hidden="1" x14ac:dyDescent="0.35">
      <c r="A9027">
        <v>9023</v>
      </c>
      <c r="B9027">
        <v>9024</v>
      </c>
      <c r="C9027">
        <v>146.103903414</v>
      </c>
      <c r="D9027">
        <v>-17.598288078500001</v>
      </c>
      <c r="E9027" s="92" t="str">
        <f t="shared" si="54"/>
        <v/>
      </c>
      <c r="G9027" s="92"/>
      <c r="I9027">
        <v>6</v>
      </c>
      <c r="J9027" t="s">
        <v>26</v>
      </c>
      <c r="K9027" s="57"/>
      <c r="S9027" s="57"/>
      <c r="X9027" s="57"/>
    </row>
    <row r="9028" spans="1:24" hidden="1" x14ac:dyDescent="0.35">
      <c r="A9028">
        <v>9024</v>
      </c>
      <c r="B9028">
        <v>9025</v>
      </c>
      <c r="C9028">
        <v>146.10386381500001</v>
      </c>
      <c r="D9028">
        <v>-17.5982112192</v>
      </c>
      <c r="E9028" s="92">
        <f t="shared" si="54"/>
        <v>50</v>
      </c>
      <c r="G9028" s="92"/>
      <c r="I9028">
        <v>6</v>
      </c>
      <c r="J9028" t="s">
        <v>26</v>
      </c>
      <c r="K9028" s="57"/>
      <c r="S9028" s="57"/>
      <c r="X9028" s="57"/>
    </row>
    <row r="9029" spans="1:24" hidden="1" x14ac:dyDescent="0.35">
      <c r="A9029">
        <v>9025</v>
      </c>
      <c r="B9029">
        <v>9026</v>
      </c>
      <c r="C9029">
        <v>146.10384271800001</v>
      </c>
      <c r="D9029">
        <v>-17.5981292011999</v>
      </c>
      <c r="E9029" s="92" t="str">
        <f t="shared" si="54"/>
        <v/>
      </c>
      <c r="G9029" s="92"/>
      <c r="I9029">
        <v>6</v>
      </c>
      <c r="J9029" t="s">
        <v>26</v>
      </c>
      <c r="K9029" s="57"/>
      <c r="S9029" s="57"/>
      <c r="X9029" s="57"/>
    </row>
    <row r="9030" spans="1:24" hidden="1" x14ac:dyDescent="0.35">
      <c r="A9030">
        <v>9026</v>
      </c>
      <c r="B9030">
        <v>9027</v>
      </c>
      <c r="C9030">
        <v>146.103832616999</v>
      </c>
      <c r="D9030">
        <v>-17.598044116699899</v>
      </c>
      <c r="E9030" s="92" t="str">
        <f t="shared" si="54"/>
        <v/>
      </c>
      <c r="G9030" s="92"/>
      <c r="I9030">
        <v>6</v>
      </c>
      <c r="J9030" t="s">
        <v>26</v>
      </c>
      <c r="K9030" s="57"/>
      <c r="S9030" s="57"/>
      <c r="X9030" s="57"/>
    </row>
    <row r="9031" spans="1:24" hidden="1" x14ac:dyDescent="0.35">
      <c r="A9031">
        <v>9027</v>
      </c>
      <c r="B9031">
        <v>9028</v>
      </c>
      <c r="C9031">
        <v>146.10382251600001</v>
      </c>
      <c r="D9031">
        <v>-17.597959032199899</v>
      </c>
      <c r="E9031" s="92" t="str">
        <f t="shared" si="54"/>
        <v/>
      </c>
      <c r="G9031" s="92"/>
      <c r="I9031">
        <v>6</v>
      </c>
      <c r="J9031" t="s">
        <v>26</v>
      </c>
      <c r="K9031" s="57"/>
      <c r="S9031" s="57"/>
      <c r="X9031" s="57"/>
    </row>
    <row r="9032" spans="1:24" hidden="1" x14ac:dyDescent="0.35">
      <c r="A9032">
        <v>9028</v>
      </c>
      <c r="B9032">
        <v>9029</v>
      </c>
      <c r="C9032">
        <v>146.103812414999</v>
      </c>
      <c r="D9032">
        <v>-17.597873947699899</v>
      </c>
      <c r="E9032" s="92" t="str">
        <f t="shared" si="54"/>
        <v/>
      </c>
      <c r="G9032" s="92"/>
      <c r="I9032">
        <v>6</v>
      </c>
      <c r="J9032" t="s">
        <v>26</v>
      </c>
      <c r="K9032" s="57"/>
      <c r="S9032" s="57"/>
      <c r="X9032" s="57"/>
    </row>
    <row r="9033" spans="1:24" hidden="1" x14ac:dyDescent="0.35">
      <c r="A9033">
        <v>9029</v>
      </c>
      <c r="B9033">
        <v>9030</v>
      </c>
      <c r="C9033">
        <v>146.10381957300001</v>
      </c>
      <c r="D9033">
        <v>-17.5977888898</v>
      </c>
      <c r="E9033" s="92">
        <f t="shared" si="54"/>
        <v>50</v>
      </c>
      <c r="G9033" s="92"/>
      <c r="I9033">
        <v>6</v>
      </c>
      <c r="J9033" t="s">
        <v>26</v>
      </c>
      <c r="K9033" s="57"/>
      <c r="S9033" s="57"/>
      <c r="X9033" s="57"/>
    </row>
    <row r="9034" spans="1:24" hidden="1" x14ac:dyDescent="0.35">
      <c r="A9034">
        <v>9030</v>
      </c>
      <c r="B9034">
        <v>9031</v>
      </c>
      <c r="C9034">
        <v>146.10382996300001</v>
      </c>
      <c r="D9034">
        <v>-17.597703836800001</v>
      </c>
      <c r="E9034" s="92" t="str">
        <f t="shared" si="54"/>
        <v/>
      </c>
      <c r="G9034" s="92"/>
      <c r="I9034">
        <v>6</v>
      </c>
      <c r="J9034" t="s">
        <v>26</v>
      </c>
      <c r="K9034" s="57"/>
      <c r="S9034" s="57"/>
      <c r="X9034" s="57"/>
    </row>
    <row r="9035" spans="1:24" hidden="1" x14ac:dyDescent="0.35">
      <c r="A9035">
        <v>9031</v>
      </c>
      <c r="B9035">
        <v>9032</v>
      </c>
      <c r="C9035">
        <v>146.10384035300001</v>
      </c>
      <c r="D9035">
        <v>-17.597618783800002</v>
      </c>
      <c r="E9035" s="92" t="str">
        <f t="shared" si="54"/>
        <v/>
      </c>
      <c r="G9035" s="92"/>
      <c r="I9035">
        <v>6</v>
      </c>
      <c r="J9035" t="s">
        <v>26</v>
      </c>
      <c r="K9035" s="57"/>
      <c r="S9035" s="57"/>
      <c r="X9035" s="57"/>
    </row>
    <row r="9036" spans="1:24" hidden="1" x14ac:dyDescent="0.35">
      <c r="A9036">
        <v>9032</v>
      </c>
      <c r="B9036">
        <v>9033</v>
      </c>
      <c r="C9036">
        <v>146.10385074300001</v>
      </c>
      <c r="D9036">
        <v>-17.597533730799899</v>
      </c>
      <c r="E9036" s="92" t="str">
        <f t="shared" si="54"/>
        <v/>
      </c>
      <c r="G9036" s="92"/>
      <c r="I9036">
        <v>6</v>
      </c>
      <c r="J9036" t="s">
        <v>26</v>
      </c>
      <c r="K9036" s="57"/>
      <c r="S9036" s="57"/>
      <c r="X9036" s="57"/>
    </row>
    <row r="9037" spans="1:24" hidden="1" x14ac:dyDescent="0.35">
      <c r="A9037">
        <v>9033</v>
      </c>
      <c r="B9037">
        <v>9034</v>
      </c>
      <c r="C9037">
        <v>146.10386113300001</v>
      </c>
      <c r="D9037">
        <v>-17.597448677700001</v>
      </c>
      <c r="E9037" s="92" t="str">
        <f t="shared" si="54"/>
        <v/>
      </c>
      <c r="G9037" s="92"/>
      <c r="I9037">
        <v>6</v>
      </c>
      <c r="J9037" t="s">
        <v>26</v>
      </c>
      <c r="K9037" s="57"/>
      <c r="S9037" s="57"/>
      <c r="X9037" s="57"/>
    </row>
    <row r="9038" spans="1:24" hidden="1" x14ac:dyDescent="0.35">
      <c r="A9038">
        <v>9034</v>
      </c>
      <c r="B9038">
        <v>9035</v>
      </c>
      <c r="C9038">
        <v>146.10386998800001</v>
      </c>
      <c r="D9038">
        <v>-17.5973635464</v>
      </c>
      <c r="E9038" s="92">
        <f t="shared" si="54"/>
        <v>50</v>
      </c>
      <c r="G9038" s="92"/>
      <c r="I9038">
        <v>6</v>
      </c>
      <c r="J9038" t="s">
        <v>26</v>
      </c>
      <c r="K9038" s="57"/>
      <c r="S9038" s="57"/>
      <c r="X9038" s="57"/>
    </row>
    <row r="9039" spans="1:24" hidden="1" x14ac:dyDescent="0.35">
      <c r="A9039">
        <v>9035</v>
      </c>
      <c r="B9039">
        <v>9036</v>
      </c>
      <c r="C9039">
        <v>146.103869169999</v>
      </c>
      <c r="D9039">
        <v>-17.597277922100002</v>
      </c>
      <c r="E9039" s="92" t="str">
        <f t="shared" si="54"/>
        <v/>
      </c>
      <c r="G9039" s="92"/>
      <c r="I9039">
        <v>6</v>
      </c>
      <c r="J9039" t="s">
        <v>26</v>
      </c>
      <c r="K9039" s="57"/>
      <c r="S9039" s="57"/>
      <c r="X9039" s="57"/>
    </row>
    <row r="9040" spans="1:24" hidden="1" x14ac:dyDescent="0.35">
      <c r="A9040">
        <v>9036</v>
      </c>
      <c r="B9040">
        <v>9037</v>
      </c>
      <c r="C9040">
        <v>146.10386835200001</v>
      </c>
      <c r="D9040">
        <v>-17.597192297700001</v>
      </c>
      <c r="E9040" s="92" t="str">
        <f t="shared" ref="E9040:E9103" si="55">IF(MOD(B9040,5)=0, 50, "")</f>
        <v/>
      </c>
      <c r="G9040" s="92"/>
      <c r="I9040">
        <v>6</v>
      </c>
      <c r="J9040" t="s">
        <v>26</v>
      </c>
      <c r="K9040" s="57"/>
      <c r="S9040" s="57"/>
      <c r="X9040" s="57"/>
    </row>
    <row r="9041" spans="1:24" hidden="1" x14ac:dyDescent="0.35">
      <c r="A9041">
        <v>9037</v>
      </c>
      <c r="B9041">
        <v>9038</v>
      </c>
      <c r="C9041">
        <v>146.10386753399899</v>
      </c>
      <c r="D9041">
        <v>-17.5971066733999</v>
      </c>
      <c r="E9041" s="92" t="str">
        <f t="shared" si="55"/>
        <v/>
      </c>
      <c r="G9041" s="92"/>
      <c r="I9041">
        <v>6</v>
      </c>
      <c r="J9041" t="s">
        <v>26</v>
      </c>
      <c r="K9041" s="57"/>
      <c r="S9041" s="57"/>
      <c r="X9041" s="57"/>
    </row>
    <row r="9042" spans="1:24" hidden="1" x14ac:dyDescent="0.35">
      <c r="A9042">
        <v>9038</v>
      </c>
      <c r="B9042">
        <v>9039</v>
      </c>
      <c r="C9042">
        <v>146.10386671500001</v>
      </c>
      <c r="D9042">
        <v>-17.597021048999899</v>
      </c>
      <c r="E9042" s="92" t="str">
        <f t="shared" si="55"/>
        <v/>
      </c>
      <c r="G9042" s="92"/>
      <c r="I9042">
        <v>6</v>
      </c>
      <c r="J9042" t="s">
        <v>26</v>
      </c>
      <c r="K9042" s="57"/>
      <c r="S9042" s="57"/>
      <c r="X9042" s="57"/>
    </row>
    <row r="9043" spans="1:24" hidden="1" x14ac:dyDescent="0.35">
      <c r="A9043">
        <v>9039</v>
      </c>
      <c r="B9043">
        <v>9040</v>
      </c>
      <c r="C9043">
        <v>146.10384969699899</v>
      </c>
      <c r="D9043">
        <v>-17.5969381799</v>
      </c>
      <c r="E9043" s="92">
        <f t="shared" si="55"/>
        <v>50</v>
      </c>
      <c r="G9043" s="92"/>
      <c r="I9043">
        <v>6</v>
      </c>
      <c r="J9043" t="s">
        <v>26</v>
      </c>
      <c r="K9043" s="57"/>
      <c r="S9043" s="57"/>
      <c r="X9043" s="57"/>
    </row>
    <row r="9044" spans="1:24" hidden="1" x14ac:dyDescent="0.35">
      <c r="A9044">
        <v>9040</v>
      </c>
      <c r="B9044">
        <v>9041</v>
      </c>
      <c r="C9044">
        <v>146.103819396999</v>
      </c>
      <c r="D9044">
        <v>-17.596857570000001</v>
      </c>
      <c r="E9044" s="92" t="str">
        <f t="shared" si="55"/>
        <v/>
      </c>
      <c r="G9044" s="92"/>
      <c r="I9044">
        <v>6</v>
      </c>
      <c r="J9044" t="s">
        <v>26</v>
      </c>
      <c r="K9044" s="57"/>
      <c r="S9044" s="57"/>
      <c r="X9044" s="57"/>
    </row>
    <row r="9045" spans="1:24" hidden="1" x14ac:dyDescent="0.35">
      <c r="A9045">
        <v>9041</v>
      </c>
      <c r="B9045">
        <v>9042</v>
      </c>
      <c r="C9045">
        <v>146.10378909600001</v>
      </c>
      <c r="D9045">
        <v>-17.596776960100001</v>
      </c>
      <c r="E9045" s="92" t="str">
        <f t="shared" si="55"/>
        <v/>
      </c>
      <c r="G9045" s="92"/>
      <c r="I9045">
        <v>6</v>
      </c>
      <c r="J9045" t="s">
        <v>26</v>
      </c>
      <c r="K9045" s="57"/>
      <c r="S9045" s="57"/>
      <c r="X9045" s="57"/>
    </row>
    <row r="9046" spans="1:24" hidden="1" x14ac:dyDescent="0.35">
      <c r="A9046">
        <v>9042</v>
      </c>
      <c r="B9046">
        <v>9043</v>
      </c>
      <c r="C9046">
        <v>146.10374419300001</v>
      </c>
      <c r="D9046">
        <v>-17.5967032858</v>
      </c>
      <c r="E9046" s="92" t="str">
        <f t="shared" si="55"/>
        <v/>
      </c>
      <c r="G9046" s="92"/>
      <c r="I9046">
        <v>6</v>
      </c>
      <c r="J9046" t="s">
        <v>26</v>
      </c>
      <c r="K9046" s="57"/>
      <c r="S9046" s="57"/>
      <c r="X9046" s="57"/>
    </row>
    <row r="9047" spans="1:24" hidden="1" x14ac:dyDescent="0.35">
      <c r="A9047">
        <v>9043</v>
      </c>
      <c r="B9047">
        <v>9044</v>
      </c>
      <c r="C9047">
        <v>146.10367176899899</v>
      </c>
      <c r="D9047">
        <v>-17.5966617192</v>
      </c>
      <c r="E9047" s="92" t="str">
        <f t="shared" si="55"/>
        <v/>
      </c>
      <c r="G9047" s="92"/>
      <c r="I9047">
        <v>6</v>
      </c>
      <c r="J9047" t="s">
        <v>26</v>
      </c>
      <c r="K9047" s="57"/>
      <c r="S9047" s="57"/>
      <c r="X9047" s="57"/>
    </row>
    <row r="9048" spans="1:24" hidden="1" x14ac:dyDescent="0.35">
      <c r="A9048">
        <v>9044</v>
      </c>
      <c r="B9048">
        <v>9045</v>
      </c>
      <c r="C9048">
        <v>146.10358487900001</v>
      </c>
      <c r="D9048">
        <v>-17.596657104399899</v>
      </c>
      <c r="E9048" s="92">
        <f t="shared" si="55"/>
        <v>50</v>
      </c>
      <c r="G9048" s="92"/>
      <c r="I9048">
        <v>6</v>
      </c>
      <c r="J9048" t="s">
        <v>26</v>
      </c>
      <c r="K9048" s="57"/>
      <c r="S9048" s="57"/>
      <c r="X9048" s="57"/>
    </row>
    <row r="9049" spans="1:24" hidden="1" x14ac:dyDescent="0.35">
      <c r="A9049">
        <v>9045</v>
      </c>
      <c r="B9049">
        <v>9046</v>
      </c>
      <c r="C9049">
        <v>146.103503133</v>
      </c>
      <c r="D9049">
        <v>-17.596687802600002</v>
      </c>
      <c r="E9049" s="92" t="str">
        <f t="shared" si="55"/>
        <v/>
      </c>
      <c r="G9049" s="92"/>
      <c r="I9049">
        <v>6</v>
      </c>
      <c r="J9049" t="s">
        <v>26</v>
      </c>
      <c r="K9049" s="57"/>
      <c r="S9049" s="57"/>
      <c r="X9049" s="57"/>
    </row>
    <row r="9050" spans="1:24" hidden="1" x14ac:dyDescent="0.35">
      <c r="A9050">
        <v>9046</v>
      </c>
      <c r="B9050">
        <v>9047</v>
      </c>
      <c r="C9050">
        <v>146.103435155</v>
      </c>
      <c r="D9050">
        <v>-17.596743179299899</v>
      </c>
      <c r="E9050" s="92" t="str">
        <f t="shared" si="55"/>
        <v/>
      </c>
      <c r="G9050" s="92"/>
      <c r="I9050">
        <v>6</v>
      </c>
      <c r="J9050" t="s">
        <v>26</v>
      </c>
      <c r="K9050" s="57"/>
      <c r="S9050" s="57"/>
      <c r="X9050" s="57"/>
    </row>
    <row r="9051" spans="1:24" hidden="1" x14ac:dyDescent="0.35">
      <c r="A9051">
        <v>9047</v>
      </c>
      <c r="B9051">
        <v>9048</v>
      </c>
      <c r="C9051">
        <v>146.10338468200001</v>
      </c>
      <c r="D9051">
        <v>-17.596814012900001</v>
      </c>
      <c r="E9051" s="92" t="str">
        <f t="shared" si="55"/>
        <v/>
      </c>
      <c r="G9051" s="92"/>
      <c r="I9051">
        <v>6</v>
      </c>
      <c r="J9051" t="s">
        <v>26</v>
      </c>
      <c r="K9051" s="57"/>
      <c r="S9051" s="57"/>
      <c r="X9051" s="57"/>
    </row>
    <row r="9052" spans="1:24" hidden="1" x14ac:dyDescent="0.35">
      <c r="A9052">
        <v>9048</v>
      </c>
      <c r="B9052">
        <v>9049</v>
      </c>
      <c r="C9052">
        <v>146.10333420800001</v>
      </c>
      <c r="D9052">
        <v>-17.596884846399899</v>
      </c>
      <c r="E9052" s="92" t="str">
        <f t="shared" si="55"/>
        <v/>
      </c>
      <c r="G9052" s="92"/>
      <c r="I9052">
        <v>6</v>
      </c>
      <c r="J9052" t="s">
        <v>26</v>
      </c>
      <c r="K9052" s="57"/>
      <c r="S9052" s="57"/>
      <c r="X9052" s="57"/>
    </row>
    <row r="9053" spans="1:24" hidden="1" x14ac:dyDescent="0.35">
      <c r="A9053">
        <v>9049</v>
      </c>
      <c r="B9053">
        <v>9050</v>
      </c>
      <c r="C9053">
        <v>146.10328317899899</v>
      </c>
      <c r="D9053">
        <v>-17.596955314999899</v>
      </c>
      <c r="E9053" s="92">
        <f t="shared" si="55"/>
        <v>50</v>
      </c>
      <c r="G9053" s="92"/>
      <c r="I9053">
        <v>6</v>
      </c>
      <c r="J9053" t="s">
        <v>26</v>
      </c>
      <c r="K9053" s="57"/>
      <c r="S9053" s="57"/>
      <c r="X9053" s="57"/>
    </row>
    <row r="9054" spans="1:24" hidden="1" x14ac:dyDescent="0.35">
      <c r="A9054">
        <v>9050</v>
      </c>
      <c r="B9054">
        <v>9051</v>
      </c>
      <c r="C9054">
        <v>146.10323160600001</v>
      </c>
      <c r="D9054">
        <v>-17.597025425199899</v>
      </c>
      <c r="E9054" s="92" t="str">
        <f t="shared" si="55"/>
        <v/>
      </c>
      <c r="G9054" s="92"/>
      <c r="I9054">
        <v>6</v>
      </c>
      <c r="J9054" t="s">
        <v>26</v>
      </c>
      <c r="K9054" s="57"/>
      <c r="S9054" s="57"/>
      <c r="X9054" s="57"/>
    </row>
    <row r="9055" spans="1:24" hidden="1" x14ac:dyDescent="0.35">
      <c r="A9055">
        <v>9051</v>
      </c>
      <c r="B9055">
        <v>9052</v>
      </c>
      <c r="C9055">
        <v>146.10318003200001</v>
      </c>
      <c r="D9055">
        <v>-17.597095535400001</v>
      </c>
      <c r="E9055" s="92" t="str">
        <f t="shared" si="55"/>
        <v/>
      </c>
      <c r="G9055" s="92"/>
      <c r="I9055">
        <v>6</v>
      </c>
      <c r="J9055" t="s">
        <v>26</v>
      </c>
      <c r="K9055" s="57"/>
      <c r="S9055" s="57"/>
      <c r="X9055" s="57"/>
    </row>
    <row r="9056" spans="1:24" hidden="1" x14ac:dyDescent="0.35">
      <c r="A9056">
        <v>9052</v>
      </c>
      <c r="B9056">
        <v>9053</v>
      </c>
      <c r="C9056">
        <v>146.103128459</v>
      </c>
      <c r="D9056">
        <v>-17.597165645499899</v>
      </c>
      <c r="E9056" s="92" t="str">
        <f t="shared" si="55"/>
        <v/>
      </c>
      <c r="G9056" s="92"/>
      <c r="I9056">
        <v>6</v>
      </c>
      <c r="J9056" t="s">
        <v>26</v>
      </c>
      <c r="K9056" s="57"/>
      <c r="S9056" s="57"/>
      <c r="X9056" s="57"/>
    </row>
    <row r="9057" spans="1:24" hidden="1" x14ac:dyDescent="0.35">
      <c r="A9057">
        <v>9053</v>
      </c>
      <c r="B9057">
        <v>9054</v>
      </c>
      <c r="C9057">
        <v>146.10307688500001</v>
      </c>
      <c r="D9057">
        <v>-17.5972357556</v>
      </c>
      <c r="E9057" s="92" t="str">
        <f t="shared" si="55"/>
        <v/>
      </c>
      <c r="G9057" s="92"/>
      <c r="I9057">
        <v>6</v>
      </c>
      <c r="J9057" t="s">
        <v>26</v>
      </c>
      <c r="K9057" s="57"/>
      <c r="S9057" s="57"/>
      <c r="X9057" s="57"/>
    </row>
    <row r="9058" spans="1:24" hidden="1" x14ac:dyDescent="0.35">
      <c r="A9058">
        <v>9054</v>
      </c>
      <c r="B9058">
        <v>9055</v>
      </c>
      <c r="C9058">
        <v>146.10302897700001</v>
      </c>
      <c r="D9058">
        <v>-17.597308116000001</v>
      </c>
      <c r="E9058" s="92">
        <f t="shared" si="55"/>
        <v>50</v>
      </c>
      <c r="G9058" s="92"/>
      <c r="I9058">
        <v>6</v>
      </c>
      <c r="J9058" t="s">
        <v>26</v>
      </c>
      <c r="K9058" s="57"/>
      <c r="S9058" s="57"/>
      <c r="X9058" s="57"/>
    </row>
    <row r="9059" spans="1:24" hidden="1" x14ac:dyDescent="0.35">
      <c r="A9059">
        <v>9055</v>
      </c>
      <c r="B9059">
        <v>9056</v>
      </c>
      <c r="C9059">
        <v>146.102983324999</v>
      </c>
      <c r="D9059">
        <v>-17.597381862300001</v>
      </c>
      <c r="E9059" s="92" t="str">
        <f t="shared" si="55"/>
        <v/>
      </c>
      <c r="G9059" s="92"/>
      <c r="I9059">
        <v>6</v>
      </c>
      <c r="J9059" t="s">
        <v>26</v>
      </c>
      <c r="K9059" s="57"/>
      <c r="S9059" s="57"/>
      <c r="X9059" s="57"/>
    </row>
    <row r="9060" spans="1:24" hidden="1" x14ac:dyDescent="0.35">
      <c r="A9060">
        <v>9056</v>
      </c>
      <c r="B9060">
        <v>9057</v>
      </c>
      <c r="C9060">
        <v>146.10293767300001</v>
      </c>
      <c r="D9060">
        <v>-17.597455608600001</v>
      </c>
      <c r="E9060" s="92" t="str">
        <f t="shared" si="55"/>
        <v/>
      </c>
      <c r="G9060" s="92"/>
      <c r="I9060">
        <v>6</v>
      </c>
      <c r="J9060" t="s">
        <v>26</v>
      </c>
      <c r="K9060" s="57"/>
      <c r="S9060" s="57"/>
      <c r="X9060" s="57"/>
    </row>
    <row r="9061" spans="1:24" hidden="1" x14ac:dyDescent="0.35">
      <c r="A9061">
        <v>9057</v>
      </c>
      <c r="B9061">
        <v>9058</v>
      </c>
      <c r="C9061">
        <v>146.102892021</v>
      </c>
      <c r="D9061">
        <v>-17.597529354799899</v>
      </c>
      <c r="E9061" s="92" t="str">
        <f t="shared" si="55"/>
        <v/>
      </c>
      <c r="G9061" s="92"/>
      <c r="I9061">
        <v>6</v>
      </c>
      <c r="J9061" t="s">
        <v>26</v>
      </c>
      <c r="K9061" s="57"/>
      <c r="S9061" s="57"/>
      <c r="X9061" s="57"/>
    </row>
    <row r="9062" spans="1:24" hidden="1" x14ac:dyDescent="0.35">
      <c r="A9062">
        <v>9058</v>
      </c>
      <c r="B9062">
        <v>9059</v>
      </c>
      <c r="C9062">
        <v>146.102846368999</v>
      </c>
      <c r="D9062">
        <v>-17.597603101099899</v>
      </c>
      <c r="E9062" s="92" t="str">
        <f t="shared" si="55"/>
        <v/>
      </c>
      <c r="G9062" s="92"/>
      <c r="I9062">
        <v>6</v>
      </c>
      <c r="J9062" t="s">
        <v>26</v>
      </c>
      <c r="K9062" s="57"/>
      <c r="S9062" s="57"/>
      <c r="X9062" s="57"/>
    </row>
    <row r="9063" spans="1:24" hidden="1" x14ac:dyDescent="0.35">
      <c r="A9063">
        <v>9059</v>
      </c>
      <c r="B9063">
        <v>9060</v>
      </c>
      <c r="C9063">
        <v>146.10280071700001</v>
      </c>
      <c r="D9063">
        <v>-17.597676847199899</v>
      </c>
      <c r="E9063" s="92">
        <f t="shared" si="55"/>
        <v>50</v>
      </c>
      <c r="G9063" s="92"/>
      <c r="I9063">
        <v>6</v>
      </c>
      <c r="J9063" t="s">
        <v>26</v>
      </c>
      <c r="K9063" s="57"/>
      <c r="S9063" s="57"/>
      <c r="X9063" s="57"/>
    </row>
    <row r="9064" spans="1:24" hidden="1" x14ac:dyDescent="0.35">
      <c r="A9064">
        <v>9060</v>
      </c>
      <c r="B9064">
        <v>9061</v>
      </c>
      <c r="C9064">
        <v>146.102755064999</v>
      </c>
      <c r="D9064">
        <v>-17.597750593400001</v>
      </c>
      <c r="E9064" s="92" t="str">
        <f t="shared" si="55"/>
        <v/>
      </c>
      <c r="G9064" s="92"/>
      <c r="I9064">
        <v>6</v>
      </c>
      <c r="J9064" t="s">
        <v>26</v>
      </c>
      <c r="K9064" s="57"/>
      <c r="S9064" s="57"/>
      <c r="X9064" s="57"/>
    </row>
    <row r="9065" spans="1:24" hidden="1" x14ac:dyDescent="0.35">
      <c r="A9065">
        <v>9061</v>
      </c>
      <c r="B9065">
        <v>9062</v>
      </c>
      <c r="C9065">
        <v>146.10270941300001</v>
      </c>
      <c r="D9065">
        <v>-17.597824339500001</v>
      </c>
      <c r="E9065" s="92" t="str">
        <f t="shared" si="55"/>
        <v/>
      </c>
      <c r="G9065" s="92"/>
      <c r="I9065">
        <v>6</v>
      </c>
      <c r="J9065" t="s">
        <v>26</v>
      </c>
      <c r="K9065" s="57"/>
      <c r="S9065" s="57"/>
      <c r="X9065" s="57"/>
    </row>
    <row r="9066" spans="1:24" hidden="1" x14ac:dyDescent="0.35">
      <c r="A9066">
        <v>9062</v>
      </c>
      <c r="B9066">
        <v>9063</v>
      </c>
      <c r="C9066">
        <v>146.102663761</v>
      </c>
      <c r="D9066">
        <v>-17.597898085600001</v>
      </c>
      <c r="E9066" s="92" t="str">
        <f t="shared" si="55"/>
        <v/>
      </c>
      <c r="G9066" s="92"/>
      <c r="I9066">
        <v>6</v>
      </c>
      <c r="J9066" t="s">
        <v>26</v>
      </c>
      <c r="K9066" s="57"/>
      <c r="S9066" s="57"/>
      <c r="X9066" s="57"/>
    </row>
    <row r="9067" spans="1:24" hidden="1" x14ac:dyDescent="0.35">
      <c r="A9067">
        <v>9063</v>
      </c>
      <c r="B9067">
        <v>9064</v>
      </c>
      <c r="C9067">
        <v>146.102614850999</v>
      </c>
      <c r="D9067">
        <v>-17.5979697024</v>
      </c>
      <c r="E9067" s="92" t="str">
        <f t="shared" si="55"/>
        <v/>
      </c>
      <c r="G9067" s="92"/>
      <c r="I9067">
        <v>6</v>
      </c>
      <c r="J9067" t="s">
        <v>26</v>
      </c>
      <c r="K9067" s="57"/>
      <c r="S9067" s="57"/>
      <c r="X9067" s="57"/>
    </row>
    <row r="9068" spans="1:24" hidden="1" x14ac:dyDescent="0.35">
      <c r="A9068">
        <v>9064</v>
      </c>
      <c r="B9068">
        <v>9065</v>
      </c>
      <c r="C9068">
        <v>146.102559149</v>
      </c>
      <c r="D9068">
        <v>-17.598036880900001</v>
      </c>
      <c r="E9068" s="92">
        <f t="shared" si="55"/>
        <v>50</v>
      </c>
      <c r="G9068" s="92"/>
      <c r="I9068">
        <v>6</v>
      </c>
      <c r="J9068" t="s">
        <v>26</v>
      </c>
      <c r="K9068" s="57"/>
      <c r="S9068" s="57"/>
      <c r="X9068" s="57"/>
    </row>
    <row r="9069" spans="1:24" hidden="1" x14ac:dyDescent="0.35">
      <c r="A9069">
        <v>9065</v>
      </c>
      <c r="B9069">
        <v>9066</v>
      </c>
      <c r="C9069">
        <v>146.102503447</v>
      </c>
      <c r="D9069">
        <v>-17.598104059400001</v>
      </c>
      <c r="E9069" s="92" t="str">
        <f t="shared" si="55"/>
        <v/>
      </c>
      <c r="G9069" s="92"/>
      <c r="I9069">
        <v>6</v>
      </c>
      <c r="J9069" t="s">
        <v>26</v>
      </c>
      <c r="K9069" s="57"/>
      <c r="S9069" s="57"/>
      <c r="X9069" s="57"/>
    </row>
    <row r="9070" spans="1:24" hidden="1" x14ac:dyDescent="0.35">
      <c r="A9070">
        <v>9066</v>
      </c>
      <c r="B9070">
        <v>9067</v>
      </c>
      <c r="C9070">
        <v>146.10244774399899</v>
      </c>
      <c r="D9070">
        <v>-17.5981712377999</v>
      </c>
      <c r="E9070" s="92" t="str">
        <f t="shared" si="55"/>
        <v/>
      </c>
      <c r="G9070" s="92"/>
      <c r="I9070">
        <v>6</v>
      </c>
      <c r="J9070" t="s">
        <v>26</v>
      </c>
      <c r="K9070" s="57"/>
      <c r="S9070" s="57"/>
      <c r="X9070" s="57"/>
    </row>
    <row r="9071" spans="1:24" hidden="1" x14ac:dyDescent="0.35">
      <c r="A9071">
        <v>9067</v>
      </c>
      <c r="B9071">
        <v>9068</v>
      </c>
      <c r="C9071">
        <v>146.102392041999</v>
      </c>
      <c r="D9071">
        <v>-17.5982384162999</v>
      </c>
      <c r="E9071" s="92" t="str">
        <f t="shared" si="55"/>
        <v/>
      </c>
      <c r="G9071" s="92"/>
      <c r="I9071">
        <v>6</v>
      </c>
      <c r="J9071" t="s">
        <v>26</v>
      </c>
      <c r="K9071" s="57"/>
      <c r="S9071" s="57"/>
      <c r="X9071" s="57"/>
    </row>
    <row r="9072" spans="1:24" hidden="1" x14ac:dyDescent="0.35">
      <c r="A9072">
        <v>9068</v>
      </c>
      <c r="B9072">
        <v>9069</v>
      </c>
      <c r="C9072">
        <v>146.102336339999</v>
      </c>
      <c r="D9072">
        <v>-17.598305594700001</v>
      </c>
      <c r="E9072" s="92" t="str">
        <f t="shared" si="55"/>
        <v/>
      </c>
      <c r="G9072" s="92"/>
      <c r="I9072">
        <v>6</v>
      </c>
      <c r="J9072" t="s">
        <v>26</v>
      </c>
      <c r="K9072" s="57"/>
      <c r="S9072" s="57"/>
      <c r="X9072" s="57"/>
    </row>
    <row r="9073" spans="1:24" hidden="1" x14ac:dyDescent="0.35">
      <c r="A9073">
        <v>9069</v>
      </c>
      <c r="B9073">
        <v>9070</v>
      </c>
      <c r="C9073">
        <v>146.102280637999</v>
      </c>
      <c r="D9073">
        <v>-17.598372773000001</v>
      </c>
      <c r="E9073" s="92">
        <f t="shared" si="55"/>
        <v>50</v>
      </c>
      <c r="G9073" s="92"/>
      <c r="I9073">
        <v>6</v>
      </c>
      <c r="J9073" t="s">
        <v>26</v>
      </c>
      <c r="K9073" s="57"/>
      <c r="S9073" s="57"/>
      <c r="X9073" s="57"/>
    </row>
    <row r="9074" spans="1:24" hidden="1" x14ac:dyDescent="0.35">
      <c r="A9074">
        <v>9070</v>
      </c>
      <c r="B9074">
        <v>9071</v>
      </c>
      <c r="C9074">
        <v>146.10220993600001</v>
      </c>
      <c r="D9074">
        <v>-17.598424881900002</v>
      </c>
      <c r="E9074" s="92" t="str">
        <f t="shared" si="55"/>
        <v/>
      </c>
      <c r="G9074" s="92"/>
      <c r="I9074">
        <v>6</v>
      </c>
      <c r="J9074" t="s">
        <v>26</v>
      </c>
      <c r="K9074" s="57"/>
      <c r="S9074" s="57"/>
      <c r="X9074" s="57"/>
    </row>
    <row r="9075" spans="1:24" hidden="1" x14ac:dyDescent="0.35">
      <c r="A9075">
        <v>9071</v>
      </c>
      <c r="B9075">
        <v>9072</v>
      </c>
      <c r="C9075">
        <v>146.10213662999899</v>
      </c>
      <c r="D9075">
        <v>-17.5984743747</v>
      </c>
      <c r="E9075" s="92" t="str">
        <f t="shared" si="55"/>
        <v/>
      </c>
      <c r="G9075" s="92"/>
      <c r="I9075">
        <v>6</v>
      </c>
      <c r="J9075" t="s">
        <v>26</v>
      </c>
      <c r="K9075" s="57"/>
      <c r="S9075" s="57"/>
      <c r="X9075" s="57"/>
    </row>
    <row r="9076" spans="1:24" hidden="1" x14ac:dyDescent="0.35">
      <c r="A9076">
        <v>9072</v>
      </c>
      <c r="B9076">
        <v>9073</v>
      </c>
      <c r="C9076">
        <v>146.10206332499899</v>
      </c>
      <c r="D9076">
        <v>-17.598523867400001</v>
      </c>
      <c r="E9076" s="92" t="str">
        <f t="shared" si="55"/>
        <v/>
      </c>
      <c r="G9076" s="92"/>
      <c r="I9076">
        <v>6</v>
      </c>
      <c r="J9076" t="s">
        <v>26</v>
      </c>
      <c r="K9076" s="57"/>
      <c r="S9076" s="57"/>
      <c r="X9076" s="57"/>
    </row>
    <row r="9077" spans="1:24" hidden="1" x14ac:dyDescent="0.35">
      <c r="A9077">
        <v>9073</v>
      </c>
      <c r="B9077">
        <v>9074</v>
      </c>
      <c r="C9077">
        <v>146.10198640799899</v>
      </c>
      <c r="D9077">
        <v>-17.598566975499899</v>
      </c>
      <c r="E9077" s="92" t="str">
        <f t="shared" si="55"/>
        <v/>
      </c>
      <c r="G9077" s="92"/>
      <c r="I9077">
        <v>6</v>
      </c>
      <c r="J9077" t="s">
        <v>26</v>
      </c>
      <c r="K9077" s="57"/>
      <c r="S9077" s="57"/>
      <c r="X9077" s="57"/>
    </row>
    <row r="9078" spans="1:24" hidden="1" x14ac:dyDescent="0.35">
      <c r="A9078">
        <v>9074</v>
      </c>
      <c r="B9078">
        <v>9075</v>
      </c>
      <c r="C9078">
        <v>146.10190274000001</v>
      </c>
      <c r="D9078">
        <v>-17.598598146600001</v>
      </c>
      <c r="E9078" s="92">
        <f t="shared" si="55"/>
        <v>50</v>
      </c>
      <c r="G9078" s="92"/>
      <c r="I9078">
        <v>6</v>
      </c>
      <c r="J9078" t="s">
        <v>26</v>
      </c>
      <c r="K9078" s="57"/>
      <c r="S9078" s="57"/>
      <c r="X9078" s="57"/>
    </row>
    <row r="9079" spans="1:24" hidden="1" x14ac:dyDescent="0.35">
      <c r="A9079">
        <v>9075</v>
      </c>
      <c r="B9079">
        <v>9076</v>
      </c>
      <c r="C9079">
        <v>146.10181856899899</v>
      </c>
      <c r="D9079">
        <v>-17.598627564200001</v>
      </c>
      <c r="E9079" s="92" t="str">
        <f t="shared" si="55"/>
        <v/>
      </c>
      <c r="G9079" s="92"/>
      <c r="I9079">
        <v>6</v>
      </c>
      <c r="J9079" t="s">
        <v>26</v>
      </c>
      <c r="K9079" s="57"/>
      <c r="S9079" s="57"/>
      <c r="X9079" s="57"/>
    </row>
    <row r="9080" spans="1:24" hidden="1" x14ac:dyDescent="0.35">
      <c r="A9080">
        <v>9076</v>
      </c>
      <c r="B9080">
        <v>9077</v>
      </c>
      <c r="C9080">
        <v>146.101732545999</v>
      </c>
      <c r="D9080">
        <v>-17.598652146500001</v>
      </c>
      <c r="E9080" s="92" t="str">
        <f t="shared" si="55"/>
        <v/>
      </c>
      <c r="G9080" s="92"/>
      <c r="I9080">
        <v>6</v>
      </c>
      <c r="J9080" t="s">
        <v>26</v>
      </c>
      <c r="K9080" s="57"/>
      <c r="S9080" s="57"/>
      <c r="X9080" s="57"/>
    </row>
    <row r="9081" spans="1:24" hidden="1" x14ac:dyDescent="0.35">
      <c r="A9081">
        <v>9077</v>
      </c>
      <c r="B9081">
        <v>9078</v>
      </c>
      <c r="C9081">
        <v>146.10164661600001</v>
      </c>
      <c r="D9081">
        <v>-17.598677105099899</v>
      </c>
      <c r="E9081" s="92" t="str">
        <f t="shared" si="55"/>
        <v/>
      </c>
      <c r="G9081" s="92"/>
      <c r="I9081">
        <v>6</v>
      </c>
      <c r="J9081" t="s">
        <v>26</v>
      </c>
      <c r="K9081" s="57"/>
      <c r="S9081" s="57"/>
      <c r="X9081" s="57"/>
    </row>
    <row r="9082" spans="1:24" hidden="1" x14ac:dyDescent="0.35">
      <c r="A9082">
        <v>9078</v>
      </c>
      <c r="B9082">
        <v>9079</v>
      </c>
      <c r="C9082">
        <v>146.10156068500001</v>
      </c>
      <c r="D9082">
        <v>-17.5987020636999</v>
      </c>
      <c r="E9082" s="92" t="str">
        <f t="shared" si="55"/>
        <v/>
      </c>
      <c r="G9082" s="92"/>
      <c r="I9082">
        <v>6</v>
      </c>
      <c r="J9082" t="s">
        <v>26</v>
      </c>
      <c r="K9082" s="57"/>
      <c r="S9082" s="57"/>
      <c r="X9082" s="57"/>
    </row>
    <row r="9083" spans="1:24" hidden="1" x14ac:dyDescent="0.35">
      <c r="A9083">
        <v>9079</v>
      </c>
      <c r="B9083">
        <v>9080</v>
      </c>
      <c r="C9083">
        <v>146.10147343700001</v>
      </c>
      <c r="D9083">
        <v>-17.598715605799899</v>
      </c>
      <c r="E9083" s="92">
        <f t="shared" si="55"/>
        <v>50</v>
      </c>
      <c r="G9083" s="92"/>
      <c r="I9083">
        <v>6</v>
      </c>
      <c r="J9083" t="s">
        <v>26</v>
      </c>
      <c r="K9083" s="57"/>
      <c r="S9083" s="57"/>
      <c r="X9083" s="57"/>
    </row>
    <row r="9084" spans="1:24" hidden="1" x14ac:dyDescent="0.35">
      <c r="A9084">
        <v>9080</v>
      </c>
      <c r="B9084">
        <v>9081</v>
      </c>
      <c r="C9084">
        <v>146.10138387000001</v>
      </c>
      <c r="D9084">
        <v>-17.598709038500001</v>
      </c>
      <c r="E9084" s="92" t="str">
        <f t="shared" si="55"/>
        <v/>
      </c>
      <c r="G9084" s="92"/>
      <c r="I9084">
        <v>6</v>
      </c>
      <c r="J9084" t="s">
        <v>26</v>
      </c>
      <c r="K9084" s="57"/>
      <c r="S9084" s="57"/>
      <c r="X9084" s="57"/>
    </row>
    <row r="9085" spans="1:24" hidden="1" x14ac:dyDescent="0.35">
      <c r="A9085">
        <v>9081</v>
      </c>
      <c r="B9085">
        <v>9082</v>
      </c>
      <c r="C9085">
        <v>146.101294303</v>
      </c>
      <c r="D9085">
        <v>-17.5987024711999</v>
      </c>
      <c r="E9085" s="92" t="str">
        <f t="shared" si="55"/>
        <v/>
      </c>
      <c r="G9085" s="92"/>
      <c r="I9085">
        <v>6</v>
      </c>
      <c r="J9085" t="s">
        <v>26</v>
      </c>
      <c r="K9085" s="57"/>
      <c r="S9085" s="57"/>
      <c r="X9085" s="57"/>
    </row>
    <row r="9086" spans="1:24" hidden="1" x14ac:dyDescent="0.35">
      <c r="A9086">
        <v>9082</v>
      </c>
      <c r="B9086">
        <v>9083</v>
      </c>
      <c r="C9086">
        <v>146.10120473699899</v>
      </c>
      <c r="D9086">
        <v>-17.598695903900001</v>
      </c>
      <c r="E9086" s="92" t="str">
        <f t="shared" si="55"/>
        <v/>
      </c>
      <c r="G9086" s="92"/>
      <c r="I9086">
        <v>6</v>
      </c>
      <c r="J9086" t="s">
        <v>26</v>
      </c>
      <c r="K9086" s="57"/>
      <c r="S9086" s="57"/>
      <c r="X9086" s="57"/>
    </row>
    <row r="9087" spans="1:24" hidden="1" x14ac:dyDescent="0.35">
      <c r="A9087">
        <v>9083</v>
      </c>
      <c r="B9087">
        <v>9084</v>
      </c>
      <c r="C9087">
        <v>146.10111517000001</v>
      </c>
      <c r="D9087">
        <v>-17.5986893366</v>
      </c>
      <c r="E9087" s="92" t="str">
        <f t="shared" si="55"/>
        <v/>
      </c>
      <c r="G9087" s="92"/>
      <c r="I9087">
        <v>6</v>
      </c>
      <c r="J9087" t="s">
        <v>26</v>
      </c>
      <c r="K9087" s="57"/>
      <c r="S9087" s="57"/>
      <c r="X9087" s="57"/>
    </row>
    <row r="9088" spans="1:24" hidden="1" x14ac:dyDescent="0.35">
      <c r="A9088">
        <v>9084</v>
      </c>
      <c r="B9088">
        <v>9085</v>
      </c>
      <c r="C9088">
        <v>146.101029721</v>
      </c>
      <c r="D9088">
        <v>-17.5986734281</v>
      </c>
      <c r="E9088" s="92">
        <f t="shared" si="55"/>
        <v>50</v>
      </c>
      <c r="G9088" s="92"/>
      <c r="I9088">
        <v>6</v>
      </c>
      <c r="J9088" t="s">
        <v>26</v>
      </c>
      <c r="K9088" s="57"/>
      <c r="S9088" s="57"/>
      <c r="X9088" s="57"/>
    </row>
    <row r="9089" spans="1:24" hidden="1" x14ac:dyDescent="0.35">
      <c r="A9089">
        <v>9085</v>
      </c>
      <c r="B9089">
        <v>9086</v>
      </c>
      <c r="C9089">
        <v>146.10096211600001</v>
      </c>
      <c r="D9089">
        <v>-17.598617042200001</v>
      </c>
      <c r="E9089" s="92" t="str">
        <f t="shared" si="55"/>
        <v/>
      </c>
      <c r="G9089" s="92"/>
      <c r="I9089">
        <v>6</v>
      </c>
      <c r="J9089" t="s">
        <v>26</v>
      </c>
      <c r="K9089" s="57"/>
      <c r="S9089" s="57"/>
      <c r="X9089" s="57"/>
    </row>
    <row r="9090" spans="1:24" hidden="1" x14ac:dyDescent="0.35">
      <c r="A9090">
        <v>9086</v>
      </c>
      <c r="B9090">
        <v>9087</v>
      </c>
      <c r="C9090">
        <v>146.10089450999899</v>
      </c>
      <c r="D9090">
        <v>-17.5985606562</v>
      </c>
      <c r="E9090" s="92" t="str">
        <f t="shared" si="55"/>
        <v/>
      </c>
      <c r="G9090" s="92"/>
      <c r="I9090">
        <v>6</v>
      </c>
      <c r="J9090" t="s">
        <v>26</v>
      </c>
      <c r="K9090" s="57"/>
      <c r="S9090" s="57"/>
      <c r="X9090" s="57"/>
    </row>
    <row r="9091" spans="1:24" hidden="1" x14ac:dyDescent="0.35">
      <c r="A9091">
        <v>9087</v>
      </c>
      <c r="B9091">
        <v>9088</v>
      </c>
      <c r="C9091">
        <v>146.100826904999</v>
      </c>
      <c r="D9091">
        <v>-17.598504270300001</v>
      </c>
      <c r="E9091" s="92" t="str">
        <f t="shared" si="55"/>
        <v/>
      </c>
      <c r="G9091" s="92"/>
      <c r="I9091">
        <v>6</v>
      </c>
      <c r="J9091" t="s">
        <v>26</v>
      </c>
      <c r="K9091" s="57"/>
      <c r="S9091" s="57"/>
      <c r="X9091" s="57"/>
    </row>
    <row r="9092" spans="1:24" hidden="1" x14ac:dyDescent="0.35">
      <c r="A9092">
        <v>9088</v>
      </c>
      <c r="B9092">
        <v>9089</v>
      </c>
      <c r="C9092">
        <v>146.100759299999</v>
      </c>
      <c r="D9092">
        <v>-17.598447884300001</v>
      </c>
      <c r="E9092" s="92" t="str">
        <f t="shared" si="55"/>
        <v/>
      </c>
      <c r="G9092" s="92"/>
      <c r="I9092">
        <v>6</v>
      </c>
      <c r="J9092" t="s">
        <v>26</v>
      </c>
      <c r="K9092" s="57"/>
      <c r="S9092" s="57"/>
      <c r="X9092" s="57"/>
    </row>
    <row r="9093" spans="1:24" hidden="1" x14ac:dyDescent="0.35">
      <c r="A9093">
        <v>9089</v>
      </c>
      <c r="B9093">
        <v>9090</v>
      </c>
      <c r="C9093">
        <v>146.100733276</v>
      </c>
      <c r="D9093">
        <v>-17.5983663648</v>
      </c>
      <c r="E9093" s="92">
        <f t="shared" si="55"/>
        <v>50</v>
      </c>
      <c r="G9093" s="92"/>
      <c r="I9093">
        <v>6</v>
      </c>
      <c r="J9093" t="s">
        <v>26</v>
      </c>
      <c r="K9093" s="57"/>
      <c r="S9093" s="57"/>
      <c r="X9093" s="57"/>
    </row>
    <row r="9094" spans="1:24" hidden="1" x14ac:dyDescent="0.35">
      <c r="A9094">
        <v>9090</v>
      </c>
      <c r="B9094">
        <v>9091</v>
      </c>
      <c r="C9094">
        <v>146.100708596999</v>
      </c>
      <c r="D9094">
        <v>-17.5982840321</v>
      </c>
      <c r="E9094" s="92" t="str">
        <f t="shared" si="55"/>
        <v/>
      </c>
      <c r="G9094" s="92"/>
      <c r="I9094">
        <v>6</v>
      </c>
      <c r="J9094" t="s">
        <v>26</v>
      </c>
      <c r="K9094" s="57"/>
      <c r="S9094" s="57"/>
      <c r="X9094" s="57"/>
    </row>
    <row r="9095" spans="1:24" hidden="1" x14ac:dyDescent="0.35">
      <c r="A9095">
        <v>9091</v>
      </c>
      <c r="B9095">
        <v>9092</v>
      </c>
      <c r="C9095">
        <v>146.10069007300001</v>
      </c>
      <c r="D9095">
        <v>-17.598202739600001</v>
      </c>
      <c r="E9095" s="92" t="str">
        <f t="shared" si="55"/>
        <v/>
      </c>
      <c r="G9095" s="92"/>
      <c r="I9095">
        <v>6</v>
      </c>
      <c r="J9095" t="s">
        <v>26</v>
      </c>
      <c r="K9095" s="57"/>
      <c r="S9095" s="57"/>
      <c r="X9095" s="57"/>
    </row>
    <row r="9096" spans="1:24" hidden="1" x14ac:dyDescent="0.35">
      <c r="A9096">
        <v>9092</v>
      </c>
      <c r="B9096">
        <v>9093</v>
      </c>
      <c r="C9096">
        <v>146.100742948</v>
      </c>
      <c r="D9096">
        <v>-17.598133516200001</v>
      </c>
      <c r="E9096" s="92" t="str">
        <f t="shared" si="55"/>
        <v/>
      </c>
      <c r="G9096" s="92"/>
      <c r="I9096">
        <v>6</v>
      </c>
      <c r="J9096" t="s">
        <v>26</v>
      </c>
      <c r="K9096" s="57"/>
      <c r="S9096" s="57"/>
      <c r="X9096" s="57"/>
    </row>
    <row r="9097" spans="1:24" hidden="1" x14ac:dyDescent="0.35">
      <c r="A9097">
        <v>9093</v>
      </c>
      <c r="B9097">
        <v>9094</v>
      </c>
      <c r="C9097">
        <v>146.100795822999</v>
      </c>
      <c r="D9097">
        <v>-17.598064292699899</v>
      </c>
      <c r="E9097" s="92" t="str">
        <f t="shared" si="55"/>
        <v/>
      </c>
      <c r="G9097" s="92"/>
      <c r="I9097">
        <v>6</v>
      </c>
      <c r="J9097" t="s">
        <v>26</v>
      </c>
      <c r="K9097" s="57"/>
      <c r="S9097" s="57"/>
      <c r="X9097" s="57"/>
    </row>
    <row r="9098" spans="1:24" hidden="1" x14ac:dyDescent="0.35">
      <c r="A9098">
        <v>9094</v>
      </c>
      <c r="B9098">
        <v>9095</v>
      </c>
      <c r="C9098">
        <v>146.100848697</v>
      </c>
      <c r="D9098">
        <v>-17.597995069300001</v>
      </c>
      <c r="E9098" s="92">
        <f t="shared" si="55"/>
        <v>50</v>
      </c>
      <c r="G9098" s="92"/>
      <c r="I9098">
        <v>6</v>
      </c>
      <c r="J9098" t="s">
        <v>26</v>
      </c>
      <c r="K9098" s="57"/>
      <c r="S9098" s="57"/>
      <c r="X9098" s="57"/>
    </row>
    <row r="9099" spans="1:24" hidden="1" x14ac:dyDescent="0.35">
      <c r="A9099">
        <v>9095</v>
      </c>
      <c r="B9099">
        <v>9096</v>
      </c>
      <c r="C9099">
        <v>146.10091068099899</v>
      </c>
      <c r="D9099">
        <v>-17.5979376445</v>
      </c>
      <c r="E9099" s="92" t="str">
        <f t="shared" si="55"/>
        <v/>
      </c>
      <c r="G9099" s="92"/>
      <c r="I9099">
        <v>6</v>
      </c>
      <c r="J9099" t="s">
        <v>26</v>
      </c>
      <c r="K9099" s="57"/>
      <c r="S9099" s="57"/>
      <c r="X9099" s="57"/>
    </row>
    <row r="9100" spans="1:24" hidden="1" x14ac:dyDescent="0.35">
      <c r="A9100">
        <v>9096</v>
      </c>
      <c r="B9100">
        <v>9097</v>
      </c>
      <c r="C9100">
        <v>146.100995740999</v>
      </c>
      <c r="D9100">
        <v>-17.597910107699899</v>
      </c>
      <c r="E9100" s="92" t="str">
        <f t="shared" si="55"/>
        <v/>
      </c>
      <c r="G9100" s="92"/>
      <c r="I9100">
        <v>6</v>
      </c>
      <c r="J9100" t="s">
        <v>26</v>
      </c>
      <c r="K9100" s="57"/>
      <c r="S9100" s="57"/>
      <c r="X9100" s="57"/>
    </row>
    <row r="9101" spans="1:24" hidden="1" x14ac:dyDescent="0.35">
      <c r="A9101">
        <v>9097</v>
      </c>
      <c r="B9101">
        <v>9098</v>
      </c>
      <c r="C9101">
        <v>146.101080800999</v>
      </c>
      <c r="D9101">
        <v>-17.597882571</v>
      </c>
      <c r="E9101" s="92" t="str">
        <f t="shared" si="55"/>
        <v/>
      </c>
      <c r="G9101" s="92"/>
      <c r="I9101">
        <v>6</v>
      </c>
      <c r="J9101" t="s">
        <v>26</v>
      </c>
      <c r="K9101" s="57"/>
      <c r="S9101" s="57"/>
      <c r="X9101" s="57"/>
    </row>
    <row r="9102" spans="1:24" hidden="1" x14ac:dyDescent="0.35">
      <c r="A9102">
        <v>9098</v>
      </c>
      <c r="B9102">
        <v>9099</v>
      </c>
      <c r="C9102">
        <v>146.101169435999</v>
      </c>
      <c r="D9102">
        <v>-17.597869148600001</v>
      </c>
      <c r="E9102" s="92" t="str">
        <f t="shared" si="55"/>
        <v/>
      </c>
      <c r="G9102" s="92"/>
      <c r="I9102">
        <v>6</v>
      </c>
      <c r="J9102" t="s">
        <v>26</v>
      </c>
      <c r="K9102" s="57"/>
      <c r="S9102" s="57"/>
      <c r="X9102" s="57"/>
    </row>
    <row r="9103" spans="1:24" hidden="1" x14ac:dyDescent="0.35">
      <c r="A9103">
        <v>9099</v>
      </c>
      <c r="B9103">
        <v>9100</v>
      </c>
      <c r="C9103">
        <v>146.10125830499899</v>
      </c>
      <c r="D9103">
        <v>-17.597856648400001</v>
      </c>
      <c r="E9103" s="92">
        <f t="shared" si="55"/>
        <v>50</v>
      </c>
      <c r="G9103" s="92"/>
      <c r="I9103">
        <v>6</v>
      </c>
      <c r="J9103" t="s">
        <v>26</v>
      </c>
      <c r="K9103" s="57"/>
      <c r="S9103" s="57"/>
      <c r="X9103" s="57"/>
    </row>
    <row r="9104" spans="1:24" hidden="1" x14ac:dyDescent="0.35">
      <c r="A9104">
        <v>9100</v>
      </c>
      <c r="B9104">
        <v>9101</v>
      </c>
      <c r="C9104">
        <v>146.10134706700001</v>
      </c>
      <c r="D9104">
        <v>-17.597843477800001</v>
      </c>
      <c r="E9104" s="92" t="str">
        <f t="shared" ref="E9104:E9167" si="56">IF(MOD(B9104,5)=0, 50, "")</f>
        <v/>
      </c>
      <c r="G9104" s="92"/>
      <c r="I9104">
        <v>6</v>
      </c>
      <c r="J9104" t="s">
        <v>26</v>
      </c>
      <c r="K9104" s="57"/>
      <c r="S9104" s="57"/>
      <c r="X9104" s="57"/>
    </row>
    <row r="9105" spans="1:24" hidden="1" x14ac:dyDescent="0.35">
      <c r="A9105">
        <v>9101</v>
      </c>
      <c r="B9105">
        <v>9102</v>
      </c>
      <c r="C9105">
        <v>146.101435807</v>
      </c>
      <c r="D9105">
        <v>-17.5978301649</v>
      </c>
      <c r="E9105" s="92" t="str">
        <f t="shared" si="56"/>
        <v/>
      </c>
      <c r="G9105" s="92"/>
      <c r="I9105">
        <v>6</v>
      </c>
      <c r="J9105" t="s">
        <v>26</v>
      </c>
      <c r="K9105" s="57"/>
      <c r="S9105" s="57"/>
      <c r="X9105" s="57"/>
    </row>
    <row r="9106" spans="1:24" hidden="1" x14ac:dyDescent="0.35">
      <c r="A9106">
        <v>9102</v>
      </c>
      <c r="B9106">
        <v>9103</v>
      </c>
      <c r="C9106">
        <v>146.10152033</v>
      </c>
      <c r="D9106">
        <v>-17.5978019794</v>
      </c>
      <c r="E9106" s="92" t="str">
        <f t="shared" si="56"/>
        <v/>
      </c>
      <c r="G9106" s="92"/>
      <c r="I9106">
        <v>6</v>
      </c>
      <c r="J9106" t="s">
        <v>26</v>
      </c>
      <c r="K9106" s="57"/>
      <c r="S9106" s="57"/>
      <c r="X9106" s="57"/>
    </row>
    <row r="9107" spans="1:24" hidden="1" x14ac:dyDescent="0.35">
      <c r="A9107">
        <v>9103</v>
      </c>
      <c r="B9107">
        <v>9104</v>
      </c>
      <c r="C9107">
        <v>146.10160402899899</v>
      </c>
      <c r="D9107">
        <v>-17.597770883300001</v>
      </c>
      <c r="E9107" s="92" t="str">
        <f t="shared" si="56"/>
        <v/>
      </c>
      <c r="G9107" s="92"/>
      <c r="I9107">
        <v>6</v>
      </c>
      <c r="J9107" t="s">
        <v>26</v>
      </c>
      <c r="K9107" s="57"/>
      <c r="S9107" s="57"/>
      <c r="X9107" s="57"/>
    </row>
    <row r="9108" spans="1:24" hidden="1" x14ac:dyDescent="0.35">
      <c r="A9108">
        <v>9104</v>
      </c>
      <c r="B9108">
        <v>9105</v>
      </c>
      <c r="C9108">
        <v>146.101680821999</v>
      </c>
      <c r="D9108">
        <v>-17.597726638000001</v>
      </c>
      <c r="E9108" s="92">
        <f t="shared" si="56"/>
        <v>50</v>
      </c>
      <c r="G9108" s="92"/>
      <c r="I9108">
        <v>6</v>
      </c>
      <c r="J9108" t="s">
        <v>26</v>
      </c>
      <c r="K9108" s="57"/>
      <c r="S9108" s="57"/>
      <c r="X9108" s="57"/>
    </row>
    <row r="9109" spans="1:24" hidden="1" x14ac:dyDescent="0.35">
      <c r="A9109">
        <v>9105</v>
      </c>
      <c r="B9109">
        <v>9106</v>
      </c>
      <c r="C9109">
        <v>146.10175421400001</v>
      </c>
      <c r="D9109">
        <v>-17.5976783638</v>
      </c>
      <c r="E9109" s="92" t="str">
        <f t="shared" si="56"/>
        <v/>
      </c>
      <c r="G9109" s="92"/>
      <c r="I9109">
        <v>6</v>
      </c>
      <c r="J9109" t="s">
        <v>26</v>
      </c>
      <c r="K9109" s="57"/>
      <c r="S9109" s="57"/>
      <c r="X9109" s="57"/>
    </row>
    <row r="9110" spans="1:24" hidden="1" x14ac:dyDescent="0.35">
      <c r="A9110">
        <v>9106</v>
      </c>
      <c r="B9110">
        <v>9107</v>
      </c>
      <c r="C9110">
        <v>146.10180702100001</v>
      </c>
      <c r="D9110">
        <v>-17.597609466000002</v>
      </c>
      <c r="E9110" s="92" t="str">
        <f t="shared" si="56"/>
        <v/>
      </c>
      <c r="G9110" s="92"/>
      <c r="I9110">
        <v>6</v>
      </c>
      <c r="J9110" t="s">
        <v>26</v>
      </c>
      <c r="K9110" s="57"/>
      <c r="S9110" s="57"/>
      <c r="X9110" s="57"/>
    </row>
    <row r="9111" spans="1:24" hidden="1" x14ac:dyDescent="0.35">
      <c r="A9111">
        <v>9107</v>
      </c>
      <c r="B9111">
        <v>9108</v>
      </c>
      <c r="C9111">
        <v>146.10183922600001</v>
      </c>
      <c r="D9111">
        <v>-17.597529530100001</v>
      </c>
      <c r="E9111" s="92" t="str">
        <f t="shared" si="56"/>
        <v/>
      </c>
      <c r="G9111" s="92"/>
      <c r="I9111">
        <v>6</v>
      </c>
      <c r="J9111" t="s">
        <v>26</v>
      </c>
      <c r="K9111" s="57"/>
      <c r="S9111" s="57"/>
      <c r="X9111" s="57"/>
    </row>
    <row r="9112" spans="1:24" hidden="1" x14ac:dyDescent="0.35">
      <c r="A9112">
        <v>9108</v>
      </c>
      <c r="B9112">
        <v>9109</v>
      </c>
      <c r="C9112">
        <v>146.10185658500001</v>
      </c>
      <c r="D9112">
        <v>-17.5974461640999</v>
      </c>
      <c r="E9112" s="92" t="str">
        <f t="shared" si="56"/>
        <v/>
      </c>
      <c r="G9112" s="92"/>
      <c r="I9112">
        <v>6</v>
      </c>
      <c r="J9112" t="s">
        <v>26</v>
      </c>
      <c r="K9112" s="57"/>
      <c r="S9112" s="57"/>
      <c r="X9112" s="57"/>
    </row>
    <row r="9113" spans="1:24" hidden="1" x14ac:dyDescent="0.35">
      <c r="A9113">
        <v>9109</v>
      </c>
      <c r="B9113">
        <v>9110</v>
      </c>
      <c r="C9113">
        <v>146.10184780399899</v>
      </c>
      <c r="D9113">
        <v>-17.5973639698</v>
      </c>
      <c r="E9113" s="92">
        <f t="shared" si="56"/>
        <v>50</v>
      </c>
      <c r="G9113" s="92"/>
      <c r="I9113">
        <v>6</v>
      </c>
      <c r="J9113" t="s">
        <v>26</v>
      </c>
      <c r="K9113" s="57"/>
      <c r="S9113" s="57"/>
      <c r="X9113" s="57"/>
    </row>
    <row r="9114" spans="1:24" hidden="1" x14ac:dyDescent="0.35">
      <c r="A9114">
        <v>9110</v>
      </c>
      <c r="B9114">
        <v>9111</v>
      </c>
      <c r="C9114">
        <v>146.101812813999</v>
      </c>
      <c r="D9114">
        <v>-17.597285104200001</v>
      </c>
      <c r="E9114" s="92" t="str">
        <f t="shared" si="56"/>
        <v/>
      </c>
      <c r="G9114" s="92"/>
      <c r="I9114">
        <v>6</v>
      </c>
      <c r="J9114" t="s">
        <v>26</v>
      </c>
      <c r="K9114" s="57"/>
      <c r="S9114" s="57"/>
      <c r="X9114" s="57"/>
    </row>
    <row r="9115" spans="1:24" hidden="1" x14ac:dyDescent="0.35">
      <c r="A9115">
        <v>9111</v>
      </c>
      <c r="B9115">
        <v>9112</v>
      </c>
      <c r="C9115">
        <v>146.101773291999</v>
      </c>
      <c r="D9115">
        <v>-17.5972091796</v>
      </c>
      <c r="E9115" s="92" t="str">
        <f t="shared" si="56"/>
        <v/>
      </c>
      <c r="G9115" s="92"/>
      <c r="I9115">
        <v>6</v>
      </c>
      <c r="J9115" t="s">
        <v>26</v>
      </c>
      <c r="K9115" s="57"/>
      <c r="S9115" s="57"/>
      <c r="X9115" s="57"/>
    </row>
    <row r="9116" spans="1:24" hidden="1" x14ac:dyDescent="0.35">
      <c r="A9116">
        <v>9112</v>
      </c>
      <c r="B9116">
        <v>9113</v>
      </c>
      <c r="C9116">
        <v>146.10170915500001</v>
      </c>
      <c r="D9116">
        <v>-17.5971492249999</v>
      </c>
      <c r="E9116" s="92" t="str">
        <f t="shared" si="56"/>
        <v/>
      </c>
      <c r="G9116" s="92"/>
      <c r="I9116">
        <v>6</v>
      </c>
      <c r="J9116" t="s">
        <v>26</v>
      </c>
      <c r="K9116" s="57"/>
      <c r="S9116" s="57"/>
      <c r="X9116" s="57"/>
    </row>
    <row r="9117" spans="1:24" hidden="1" x14ac:dyDescent="0.35">
      <c r="A9117">
        <v>9113</v>
      </c>
      <c r="B9117">
        <v>9114</v>
      </c>
      <c r="C9117">
        <v>146.101645017999</v>
      </c>
      <c r="D9117">
        <v>-17.597089270600001</v>
      </c>
      <c r="E9117" s="92" t="str">
        <f t="shared" si="56"/>
        <v/>
      </c>
      <c r="G9117" s="92"/>
      <c r="I9117">
        <v>6</v>
      </c>
      <c r="J9117" t="s">
        <v>26</v>
      </c>
      <c r="K9117" s="57"/>
      <c r="S9117" s="57"/>
      <c r="X9117" s="57"/>
    </row>
    <row r="9118" spans="1:24" hidden="1" x14ac:dyDescent="0.35">
      <c r="A9118">
        <v>9114</v>
      </c>
      <c r="B9118">
        <v>9115</v>
      </c>
      <c r="C9118">
        <v>146.101590348999</v>
      </c>
      <c r="D9118">
        <v>-17.597022003300001</v>
      </c>
      <c r="E9118" s="92">
        <f t="shared" si="56"/>
        <v>50</v>
      </c>
      <c r="G9118" s="92"/>
      <c r="I9118">
        <v>6</v>
      </c>
      <c r="J9118" t="s">
        <v>26</v>
      </c>
      <c r="K9118" s="57"/>
      <c r="S9118" s="57"/>
      <c r="X9118" s="57"/>
    </row>
    <row r="9119" spans="1:24" hidden="1" x14ac:dyDescent="0.35">
      <c r="A9119">
        <v>9115</v>
      </c>
      <c r="B9119">
        <v>9116</v>
      </c>
      <c r="C9119">
        <v>146.101542115999</v>
      </c>
      <c r="D9119">
        <v>-17.5969497653</v>
      </c>
      <c r="E9119" s="92" t="str">
        <f t="shared" si="56"/>
        <v/>
      </c>
      <c r="G9119" s="92"/>
      <c r="I9119">
        <v>6</v>
      </c>
      <c r="J9119" t="s">
        <v>26</v>
      </c>
      <c r="K9119" s="57"/>
      <c r="S9119" s="57"/>
      <c r="X9119" s="57"/>
    </row>
    <row r="9120" spans="1:24" hidden="1" x14ac:dyDescent="0.35">
      <c r="A9120">
        <v>9116</v>
      </c>
      <c r="B9120">
        <v>9117</v>
      </c>
      <c r="C9120">
        <v>146.10149422000001</v>
      </c>
      <c r="D9120">
        <v>-17.596877367200001</v>
      </c>
      <c r="E9120" s="92" t="str">
        <f t="shared" si="56"/>
        <v/>
      </c>
      <c r="G9120" s="92"/>
      <c r="I9120">
        <v>6</v>
      </c>
      <c r="J9120" t="s">
        <v>26</v>
      </c>
      <c r="K9120" s="57"/>
      <c r="S9120" s="57"/>
      <c r="X9120" s="57"/>
    </row>
    <row r="9121" spans="1:24" hidden="1" x14ac:dyDescent="0.35">
      <c r="A9121">
        <v>9117</v>
      </c>
      <c r="B9121">
        <v>9118</v>
      </c>
      <c r="C9121">
        <v>146.10146299600001</v>
      </c>
      <c r="D9121">
        <v>-17.5967970783</v>
      </c>
      <c r="E9121" s="92" t="str">
        <f t="shared" si="56"/>
        <v/>
      </c>
      <c r="G9121" s="92"/>
      <c r="I9121">
        <v>6</v>
      </c>
      <c r="J9121" t="s">
        <v>26</v>
      </c>
      <c r="K9121" s="57"/>
      <c r="S9121" s="57"/>
      <c r="X9121" s="57"/>
    </row>
    <row r="9122" spans="1:24" hidden="1" x14ac:dyDescent="0.35">
      <c r="A9122">
        <v>9118</v>
      </c>
      <c r="B9122">
        <v>9119</v>
      </c>
      <c r="C9122">
        <v>146.10143177200001</v>
      </c>
      <c r="D9122">
        <v>-17.5967167893</v>
      </c>
      <c r="E9122" s="92" t="str">
        <f t="shared" si="56"/>
        <v/>
      </c>
      <c r="G9122" s="92"/>
      <c r="I9122">
        <v>6</v>
      </c>
      <c r="J9122" t="s">
        <v>26</v>
      </c>
      <c r="K9122" s="57"/>
      <c r="S9122" s="57"/>
      <c r="X9122" s="57"/>
    </row>
    <row r="9123" spans="1:24" hidden="1" x14ac:dyDescent="0.35">
      <c r="A9123">
        <v>9119</v>
      </c>
      <c r="B9123">
        <v>9120</v>
      </c>
      <c r="C9123">
        <v>146.101410082</v>
      </c>
      <c r="D9123">
        <v>-17.596634221399899</v>
      </c>
      <c r="E9123" s="92">
        <f t="shared" si="56"/>
        <v>50</v>
      </c>
      <c r="G9123" s="92"/>
      <c r="I9123">
        <v>6</v>
      </c>
      <c r="J9123" t="s">
        <v>26</v>
      </c>
      <c r="K9123" s="57"/>
      <c r="S9123" s="57"/>
      <c r="X9123" s="57"/>
    </row>
    <row r="9124" spans="1:24" hidden="1" x14ac:dyDescent="0.35">
      <c r="A9124">
        <v>9120</v>
      </c>
      <c r="B9124">
        <v>9121</v>
      </c>
      <c r="C9124">
        <v>146.10139787400001</v>
      </c>
      <c r="D9124">
        <v>-17.596549387700001</v>
      </c>
      <c r="E9124" s="92" t="str">
        <f t="shared" si="56"/>
        <v/>
      </c>
      <c r="G9124" s="92"/>
      <c r="I9124">
        <v>6</v>
      </c>
      <c r="J9124" t="s">
        <v>26</v>
      </c>
      <c r="K9124" s="57"/>
      <c r="S9124" s="57"/>
      <c r="X9124" s="57"/>
    </row>
    <row r="9125" spans="1:24" hidden="1" x14ac:dyDescent="0.35">
      <c r="A9125">
        <v>9121</v>
      </c>
      <c r="B9125">
        <v>9122</v>
      </c>
      <c r="C9125">
        <v>146.10139089</v>
      </c>
      <c r="D9125">
        <v>-17.596464457500002</v>
      </c>
      <c r="E9125" s="92" t="str">
        <f t="shared" si="56"/>
        <v/>
      </c>
      <c r="G9125" s="92"/>
      <c r="I9125">
        <v>6</v>
      </c>
      <c r="J9125" t="s">
        <v>26</v>
      </c>
      <c r="K9125" s="57"/>
      <c r="S9125" s="57"/>
      <c r="X9125" s="57"/>
    </row>
    <row r="9126" spans="1:24" hidden="1" x14ac:dyDescent="0.35">
      <c r="A9126">
        <v>9122</v>
      </c>
      <c r="B9126">
        <v>9123</v>
      </c>
      <c r="C9126">
        <v>146.101399646</v>
      </c>
      <c r="D9126">
        <v>-17.596379237000001</v>
      </c>
      <c r="E9126" s="92" t="str">
        <f t="shared" si="56"/>
        <v/>
      </c>
      <c r="G9126" s="92"/>
      <c r="I9126">
        <v>6</v>
      </c>
      <c r="J9126" t="s">
        <v>26</v>
      </c>
      <c r="K9126" s="57"/>
      <c r="S9126" s="57"/>
      <c r="X9126" s="57"/>
    </row>
    <row r="9127" spans="1:24" hidden="1" x14ac:dyDescent="0.35">
      <c r="A9127">
        <v>9123</v>
      </c>
      <c r="B9127">
        <v>9124</v>
      </c>
      <c r="C9127">
        <v>146.10141185200001</v>
      </c>
      <c r="D9127">
        <v>-17.5962946655</v>
      </c>
      <c r="E9127" s="92" t="str">
        <f t="shared" si="56"/>
        <v/>
      </c>
      <c r="G9127" s="92"/>
      <c r="I9127">
        <v>6</v>
      </c>
      <c r="J9127" t="s">
        <v>26</v>
      </c>
      <c r="K9127" s="57"/>
      <c r="S9127" s="57"/>
      <c r="X9127" s="57"/>
    </row>
    <row r="9128" spans="1:24" hidden="1" x14ac:dyDescent="0.35">
      <c r="A9128">
        <v>9124</v>
      </c>
      <c r="B9128">
        <v>9125</v>
      </c>
      <c r="C9128">
        <v>146.101437715</v>
      </c>
      <c r="D9128">
        <v>-17.5962126623999</v>
      </c>
      <c r="E9128" s="92">
        <f t="shared" si="56"/>
        <v>50</v>
      </c>
      <c r="G9128" s="92"/>
      <c r="I9128">
        <v>6</v>
      </c>
      <c r="J9128" t="s">
        <v>26</v>
      </c>
      <c r="K9128" s="57"/>
      <c r="S9128" s="57"/>
      <c r="X9128" s="57"/>
    </row>
    <row r="9129" spans="1:24" hidden="1" x14ac:dyDescent="0.35">
      <c r="A9129">
        <v>9125</v>
      </c>
      <c r="B9129">
        <v>9126</v>
      </c>
      <c r="C9129">
        <v>146.101463577</v>
      </c>
      <c r="D9129">
        <v>-17.5961306596</v>
      </c>
      <c r="E9129" s="92" t="str">
        <f t="shared" si="56"/>
        <v/>
      </c>
      <c r="G9129" s="92"/>
      <c r="I9129">
        <v>6</v>
      </c>
      <c r="J9129" t="s">
        <v>26</v>
      </c>
      <c r="K9129" s="57"/>
      <c r="S9129" s="57"/>
      <c r="X9129" s="57"/>
    </row>
    <row r="9130" spans="1:24" hidden="1" x14ac:dyDescent="0.35">
      <c r="A9130">
        <v>9126</v>
      </c>
      <c r="B9130">
        <v>9127</v>
      </c>
      <c r="C9130">
        <v>146.101504696999</v>
      </c>
      <c r="D9130">
        <v>-17.596055103200001</v>
      </c>
      <c r="E9130" s="92" t="str">
        <f t="shared" si="56"/>
        <v/>
      </c>
      <c r="G9130" s="92"/>
      <c r="I9130">
        <v>6</v>
      </c>
      <c r="J9130" t="s">
        <v>26</v>
      </c>
      <c r="K9130" s="57"/>
      <c r="S9130" s="57"/>
      <c r="X9130" s="57"/>
    </row>
    <row r="9131" spans="1:24" hidden="1" x14ac:dyDescent="0.35">
      <c r="A9131">
        <v>9127</v>
      </c>
      <c r="B9131">
        <v>9128</v>
      </c>
      <c r="C9131">
        <v>146.10155107099899</v>
      </c>
      <c r="D9131">
        <v>-17.595981767200001</v>
      </c>
      <c r="E9131" s="92" t="str">
        <f t="shared" si="56"/>
        <v/>
      </c>
      <c r="G9131" s="92"/>
      <c r="I9131">
        <v>6</v>
      </c>
      <c r="J9131" t="s">
        <v>26</v>
      </c>
      <c r="K9131" s="57"/>
      <c r="S9131" s="57"/>
      <c r="X9131" s="57"/>
    </row>
    <row r="9132" spans="1:24" hidden="1" x14ac:dyDescent="0.35">
      <c r="A9132">
        <v>9128</v>
      </c>
      <c r="B9132">
        <v>9129</v>
      </c>
      <c r="C9132">
        <v>146.101591710999</v>
      </c>
      <c r="D9132">
        <v>-17.595906660400001</v>
      </c>
      <c r="E9132" s="92" t="str">
        <f t="shared" si="56"/>
        <v/>
      </c>
      <c r="G9132" s="92"/>
      <c r="I9132">
        <v>6</v>
      </c>
      <c r="J9132" t="s">
        <v>26</v>
      </c>
      <c r="K9132" s="57"/>
      <c r="S9132" s="57"/>
      <c r="X9132" s="57"/>
    </row>
    <row r="9133" spans="1:24" hidden="1" x14ac:dyDescent="0.35">
      <c r="A9133">
        <v>9129</v>
      </c>
      <c r="B9133">
        <v>9130</v>
      </c>
      <c r="C9133">
        <v>146.10159925299899</v>
      </c>
      <c r="D9133">
        <v>-17.5958213342</v>
      </c>
      <c r="E9133" s="92">
        <f t="shared" si="56"/>
        <v>50</v>
      </c>
      <c r="G9133" s="92"/>
      <c r="I9133">
        <v>6</v>
      </c>
      <c r="J9133" t="s">
        <v>26</v>
      </c>
      <c r="K9133" s="57"/>
      <c r="S9133" s="57"/>
      <c r="X9133" s="57"/>
    </row>
    <row r="9134" spans="1:24" hidden="1" x14ac:dyDescent="0.35">
      <c r="A9134">
        <v>9130</v>
      </c>
      <c r="B9134">
        <v>9131</v>
      </c>
      <c r="C9134">
        <v>146.101596387999</v>
      </c>
      <c r="D9134">
        <v>-17.595736221300001</v>
      </c>
      <c r="E9134" s="92" t="str">
        <f t="shared" si="56"/>
        <v/>
      </c>
      <c r="G9134" s="92"/>
      <c r="I9134">
        <v>6</v>
      </c>
      <c r="J9134" t="s">
        <v>26</v>
      </c>
      <c r="K9134" s="57"/>
      <c r="S9134" s="57"/>
      <c r="X9134" s="57"/>
    </row>
    <row r="9135" spans="1:24" hidden="1" x14ac:dyDescent="0.35">
      <c r="A9135">
        <v>9131</v>
      </c>
      <c r="B9135">
        <v>9132</v>
      </c>
      <c r="C9135">
        <v>146.101558659999</v>
      </c>
      <c r="D9135">
        <v>-17.595661975500001</v>
      </c>
      <c r="E9135" s="92" t="str">
        <f t="shared" si="56"/>
        <v/>
      </c>
      <c r="G9135" s="92"/>
      <c r="I9135">
        <v>6</v>
      </c>
      <c r="J9135" t="s">
        <v>26</v>
      </c>
      <c r="K9135" s="57"/>
      <c r="S9135" s="57"/>
      <c r="X9135" s="57"/>
    </row>
    <row r="9136" spans="1:24" hidden="1" x14ac:dyDescent="0.35">
      <c r="A9136">
        <v>9132</v>
      </c>
      <c r="B9136">
        <v>9133</v>
      </c>
      <c r="C9136">
        <v>146.10148699800001</v>
      </c>
      <c r="D9136">
        <v>-17.5956127241</v>
      </c>
      <c r="E9136" s="92" t="str">
        <f t="shared" si="56"/>
        <v/>
      </c>
      <c r="G9136" s="92"/>
      <c r="I9136">
        <v>6</v>
      </c>
      <c r="J9136" t="s">
        <v>26</v>
      </c>
      <c r="K9136" s="57"/>
      <c r="S9136" s="57"/>
      <c r="X9136" s="57"/>
    </row>
    <row r="9137" spans="1:24" hidden="1" x14ac:dyDescent="0.35">
      <c r="A9137">
        <v>9133</v>
      </c>
      <c r="B9137">
        <v>9134</v>
      </c>
      <c r="C9137">
        <v>146.101399968999</v>
      </c>
      <c r="D9137">
        <v>-17.595601987199899</v>
      </c>
      <c r="E9137" s="92" t="str">
        <f t="shared" si="56"/>
        <v/>
      </c>
      <c r="G9137" s="92"/>
      <c r="I9137">
        <v>6</v>
      </c>
      <c r="J9137" t="s">
        <v>26</v>
      </c>
      <c r="K9137" s="57"/>
      <c r="S9137" s="57"/>
      <c r="X9137" s="57"/>
    </row>
    <row r="9138" spans="1:24" hidden="1" x14ac:dyDescent="0.35">
      <c r="A9138">
        <v>9134</v>
      </c>
      <c r="B9138">
        <v>9135</v>
      </c>
      <c r="C9138">
        <v>146.10131142500001</v>
      </c>
      <c r="D9138">
        <v>-17.5956110274</v>
      </c>
      <c r="E9138" s="92">
        <f t="shared" si="56"/>
        <v>50</v>
      </c>
      <c r="G9138" s="92"/>
      <c r="I9138">
        <v>6</v>
      </c>
      <c r="J9138" t="s">
        <v>26</v>
      </c>
      <c r="K9138" s="57"/>
      <c r="S9138" s="57"/>
      <c r="X9138" s="57"/>
    </row>
    <row r="9139" spans="1:24" hidden="1" x14ac:dyDescent="0.35">
      <c r="A9139">
        <v>9135</v>
      </c>
      <c r="B9139">
        <v>9136</v>
      </c>
      <c r="C9139">
        <v>146.10122468399899</v>
      </c>
      <c r="D9139">
        <v>-17.5956332919</v>
      </c>
      <c r="E9139" s="92" t="str">
        <f t="shared" si="56"/>
        <v/>
      </c>
      <c r="G9139" s="92"/>
      <c r="I9139">
        <v>6</v>
      </c>
      <c r="J9139" t="s">
        <v>26</v>
      </c>
      <c r="K9139" s="57"/>
      <c r="S9139" s="57"/>
      <c r="X9139" s="57"/>
    </row>
    <row r="9140" spans="1:24" hidden="1" x14ac:dyDescent="0.35">
      <c r="A9140">
        <v>9136</v>
      </c>
      <c r="B9140">
        <v>9137</v>
      </c>
      <c r="C9140">
        <v>146.101137389999</v>
      </c>
      <c r="D9140">
        <v>-17.5956529834999</v>
      </c>
      <c r="E9140" s="92" t="str">
        <f t="shared" si="56"/>
        <v/>
      </c>
      <c r="G9140" s="92"/>
      <c r="I9140">
        <v>6</v>
      </c>
      <c r="J9140" t="s">
        <v>26</v>
      </c>
      <c r="K9140" s="57"/>
      <c r="S9140" s="57"/>
      <c r="X9140" s="57"/>
    </row>
    <row r="9141" spans="1:24" hidden="1" x14ac:dyDescent="0.35">
      <c r="A9141">
        <v>9137</v>
      </c>
      <c r="B9141">
        <v>9138</v>
      </c>
      <c r="C9141">
        <v>146.10104844099899</v>
      </c>
      <c r="D9141">
        <v>-17.5956649538</v>
      </c>
      <c r="E9141" s="92" t="str">
        <f t="shared" si="56"/>
        <v/>
      </c>
      <c r="G9141" s="92"/>
      <c r="I9141">
        <v>6</v>
      </c>
      <c r="J9141" t="s">
        <v>26</v>
      </c>
      <c r="K9141" s="57"/>
      <c r="S9141" s="57"/>
      <c r="X9141" s="57"/>
    </row>
    <row r="9142" spans="1:24" hidden="1" x14ac:dyDescent="0.35">
      <c r="A9142">
        <v>9138</v>
      </c>
      <c r="B9142">
        <v>9139</v>
      </c>
      <c r="C9142">
        <v>146.100959490999</v>
      </c>
      <c r="D9142">
        <v>-17.5956769241999</v>
      </c>
      <c r="E9142" s="92" t="str">
        <f t="shared" si="56"/>
        <v/>
      </c>
      <c r="G9142" s="92"/>
      <c r="I9142">
        <v>6</v>
      </c>
      <c r="J9142" t="s">
        <v>26</v>
      </c>
      <c r="K9142" s="57"/>
      <c r="S9142" s="57"/>
      <c r="X9142" s="57"/>
    </row>
    <row r="9143" spans="1:24" hidden="1" x14ac:dyDescent="0.35">
      <c r="A9143">
        <v>9139</v>
      </c>
      <c r="B9143">
        <v>9140</v>
      </c>
      <c r="C9143">
        <v>146.100870541999</v>
      </c>
      <c r="D9143">
        <v>-17.5956888945</v>
      </c>
      <c r="E9143" s="92">
        <f t="shared" si="56"/>
        <v>50</v>
      </c>
      <c r="G9143" s="92"/>
      <c r="I9143">
        <v>6</v>
      </c>
      <c r="J9143" t="s">
        <v>26</v>
      </c>
      <c r="K9143" s="57"/>
      <c r="S9143" s="57"/>
      <c r="X9143" s="57"/>
    </row>
    <row r="9144" spans="1:24" hidden="1" x14ac:dyDescent="0.35">
      <c r="A9144">
        <v>9140</v>
      </c>
      <c r="B9144">
        <v>9141</v>
      </c>
      <c r="C9144">
        <v>146.10078144600001</v>
      </c>
      <c r="D9144">
        <v>-17.595699660400001</v>
      </c>
      <c r="E9144" s="92" t="str">
        <f t="shared" si="56"/>
        <v/>
      </c>
      <c r="G9144" s="92"/>
      <c r="I9144">
        <v>6</v>
      </c>
      <c r="J9144" t="s">
        <v>26</v>
      </c>
      <c r="K9144" s="57"/>
      <c r="S9144" s="57"/>
      <c r="X9144" s="57"/>
    </row>
    <row r="9145" spans="1:24" hidden="1" x14ac:dyDescent="0.35">
      <c r="A9145">
        <v>9141</v>
      </c>
      <c r="B9145">
        <v>9142</v>
      </c>
      <c r="C9145">
        <v>146.100691979</v>
      </c>
      <c r="D9145">
        <v>-17.595707366500001</v>
      </c>
      <c r="E9145" s="92" t="str">
        <f t="shared" si="56"/>
        <v/>
      </c>
      <c r="G9145" s="92"/>
      <c r="I9145">
        <v>6</v>
      </c>
      <c r="J9145" t="s">
        <v>26</v>
      </c>
      <c r="K9145" s="57"/>
      <c r="S9145" s="57"/>
      <c r="X9145" s="57"/>
    </row>
    <row r="9146" spans="1:24" hidden="1" x14ac:dyDescent="0.35">
      <c r="A9146">
        <v>9142</v>
      </c>
      <c r="B9146">
        <v>9143</v>
      </c>
      <c r="C9146">
        <v>146.100602511999</v>
      </c>
      <c r="D9146">
        <v>-17.595715072600001</v>
      </c>
      <c r="E9146" s="92" t="str">
        <f t="shared" si="56"/>
        <v/>
      </c>
      <c r="G9146" s="92"/>
      <c r="I9146">
        <v>6</v>
      </c>
      <c r="J9146" t="s">
        <v>26</v>
      </c>
      <c r="K9146" s="57"/>
      <c r="S9146" s="57"/>
      <c r="X9146" s="57"/>
    </row>
    <row r="9147" spans="1:24" hidden="1" x14ac:dyDescent="0.35">
      <c r="A9147">
        <v>9143</v>
      </c>
      <c r="B9147">
        <v>9144</v>
      </c>
      <c r="C9147">
        <v>146.10051304500001</v>
      </c>
      <c r="D9147">
        <v>-17.5957227785999</v>
      </c>
      <c r="E9147" s="92" t="str">
        <f t="shared" si="56"/>
        <v/>
      </c>
      <c r="G9147" s="92"/>
      <c r="I9147">
        <v>6</v>
      </c>
      <c r="J9147" t="s">
        <v>26</v>
      </c>
      <c r="K9147" s="57"/>
      <c r="S9147" s="57"/>
      <c r="X9147" s="57"/>
    </row>
    <row r="9148" spans="1:24" hidden="1" x14ac:dyDescent="0.35">
      <c r="A9148">
        <v>9144</v>
      </c>
      <c r="B9148">
        <v>9145</v>
      </c>
      <c r="C9148">
        <v>146.100423578</v>
      </c>
      <c r="D9148">
        <v>-17.595730484699899</v>
      </c>
      <c r="E9148" s="92">
        <f t="shared" si="56"/>
        <v>50</v>
      </c>
      <c r="G9148" s="92"/>
      <c r="I9148">
        <v>6</v>
      </c>
      <c r="J9148" t="s">
        <v>26</v>
      </c>
      <c r="K9148" s="57"/>
      <c r="S9148" s="57"/>
      <c r="X9148" s="57"/>
    </row>
    <row r="9149" spans="1:24" hidden="1" x14ac:dyDescent="0.35">
      <c r="A9149">
        <v>9145</v>
      </c>
      <c r="B9149">
        <v>9146</v>
      </c>
      <c r="C9149">
        <v>146.10033392400001</v>
      </c>
      <c r="D9149">
        <v>-17.5957322808</v>
      </c>
      <c r="E9149" s="92" t="str">
        <f t="shared" si="56"/>
        <v/>
      </c>
      <c r="G9149" s="92"/>
      <c r="I9149">
        <v>6</v>
      </c>
      <c r="J9149" t="s">
        <v>26</v>
      </c>
      <c r="K9149" s="57"/>
      <c r="S9149" s="57"/>
      <c r="X9149" s="57"/>
    </row>
    <row r="9150" spans="1:24" hidden="1" x14ac:dyDescent="0.35">
      <c r="A9150">
        <v>9146</v>
      </c>
      <c r="B9150">
        <v>9147</v>
      </c>
      <c r="C9150">
        <v>146.10024413299899</v>
      </c>
      <c r="D9150">
        <v>-17.5957297186999</v>
      </c>
      <c r="E9150" s="92" t="str">
        <f t="shared" si="56"/>
        <v/>
      </c>
      <c r="G9150" s="92"/>
      <c r="I9150">
        <v>6</v>
      </c>
      <c r="J9150" t="s">
        <v>26</v>
      </c>
      <c r="K9150" s="57"/>
      <c r="S9150" s="57"/>
      <c r="X9150" s="57"/>
    </row>
    <row r="9151" spans="1:24" hidden="1" x14ac:dyDescent="0.35">
      <c r="A9151">
        <v>9147</v>
      </c>
      <c r="B9151">
        <v>9148</v>
      </c>
      <c r="C9151">
        <v>146.10015439700001</v>
      </c>
      <c r="D9151">
        <v>-17.595726640900001</v>
      </c>
      <c r="E9151" s="92" t="str">
        <f t="shared" si="56"/>
        <v/>
      </c>
      <c r="G9151" s="92"/>
      <c r="I9151">
        <v>6</v>
      </c>
      <c r="J9151" t="s">
        <v>26</v>
      </c>
      <c r="K9151" s="57"/>
      <c r="S9151" s="57"/>
      <c r="X9151" s="57"/>
    </row>
    <row r="9152" spans="1:24" hidden="1" x14ac:dyDescent="0.35">
      <c r="A9152">
        <v>9148</v>
      </c>
      <c r="B9152">
        <v>9149</v>
      </c>
      <c r="C9152">
        <v>146.100065927999</v>
      </c>
      <c r="D9152">
        <v>-17.595711784100001</v>
      </c>
      <c r="E9152" s="92" t="str">
        <f t="shared" si="56"/>
        <v/>
      </c>
      <c r="G9152" s="92"/>
      <c r="I9152">
        <v>6</v>
      </c>
      <c r="J9152" t="s">
        <v>26</v>
      </c>
      <c r="K9152" s="57"/>
      <c r="S9152" s="57"/>
      <c r="X9152" s="57"/>
    </row>
    <row r="9153" spans="1:24" hidden="1" x14ac:dyDescent="0.35">
      <c r="A9153">
        <v>9149</v>
      </c>
      <c r="B9153">
        <v>9150</v>
      </c>
      <c r="C9153">
        <v>146.099977459</v>
      </c>
      <c r="D9153">
        <v>-17.595696927300001</v>
      </c>
      <c r="E9153" s="92">
        <f t="shared" si="56"/>
        <v>50</v>
      </c>
      <c r="G9153" s="92"/>
      <c r="I9153">
        <v>6</v>
      </c>
      <c r="J9153" t="s">
        <v>26</v>
      </c>
      <c r="K9153" s="57"/>
      <c r="S9153" s="57"/>
      <c r="X9153" s="57"/>
    </row>
    <row r="9154" spans="1:24" hidden="1" x14ac:dyDescent="0.35">
      <c r="A9154">
        <v>9150</v>
      </c>
      <c r="B9154">
        <v>9151</v>
      </c>
      <c r="C9154">
        <v>146.09988916200001</v>
      </c>
      <c r="D9154">
        <v>-17.595681563700001</v>
      </c>
      <c r="E9154" s="92" t="str">
        <f t="shared" si="56"/>
        <v/>
      </c>
      <c r="G9154" s="92"/>
      <c r="I9154">
        <v>6</v>
      </c>
      <c r="J9154" t="s">
        <v>26</v>
      </c>
      <c r="K9154" s="57"/>
      <c r="S9154" s="57"/>
      <c r="X9154" s="57"/>
    </row>
    <row r="9155" spans="1:24" hidden="1" x14ac:dyDescent="0.35">
      <c r="A9155">
        <v>9151</v>
      </c>
      <c r="B9155">
        <v>9152</v>
      </c>
      <c r="C9155">
        <v>146.09980833500001</v>
      </c>
      <c r="D9155">
        <v>-17.5956441973</v>
      </c>
      <c r="E9155" s="92" t="str">
        <f t="shared" si="56"/>
        <v/>
      </c>
      <c r="G9155" s="92"/>
      <c r="I9155">
        <v>6</v>
      </c>
      <c r="J9155" t="s">
        <v>26</v>
      </c>
      <c r="K9155" s="57"/>
      <c r="S9155" s="57"/>
      <c r="X9155" s="57"/>
    </row>
    <row r="9156" spans="1:24" hidden="1" x14ac:dyDescent="0.35">
      <c r="A9156">
        <v>9152</v>
      </c>
      <c r="B9156">
        <v>9153</v>
      </c>
      <c r="C9156">
        <v>146.099726492</v>
      </c>
      <c r="D9156">
        <v>-17.595608960300002</v>
      </c>
      <c r="E9156" s="92" t="str">
        <f t="shared" si="56"/>
        <v/>
      </c>
      <c r="G9156" s="92"/>
      <c r="I9156">
        <v>6</v>
      </c>
      <c r="J9156" t="s">
        <v>26</v>
      </c>
      <c r="K9156" s="57"/>
      <c r="S9156" s="57"/>
      <c r="X9156" s="57"/>
    </row>
    <row r="9157" spans="1:24" hidden="1" x14ac:dyDescent="0.35">
      <c r="A9157">
        <v>9153</v>
      </c>
      <c r="B9157">
        <v>9154</v>
      </c>
      <c r="C9157">
        <v>146.09965993500001</v>
      </c>
      <c r="D9157">
        <v>-17.595553835699899</v>
      </c>
      <c r="E9157" s="92" t="str">
        <f t="shared" si="56"/>
        <v/>
      </c>
      <c r="G9157" s="92"/>
      <c r="I9157">
        <v>6</v>
      </c>
      <c r="J9157" t="s">
        <v>26</v>
      </c>
      <c r="K9157" s="57"/>
      <c r="S9157" s="57"/>
      <c r="X9157" s="57"/>
    </row>
    <row r="9158" spans="1:24" hidden="1" x14ac:dyDescent="0.35">
      <c r="A9158">
        <v>9154</v>
      </c>
      <c r="B9158">
        <v>9155</v>
      </c>
      <c r="C9158">
        <v>146.099623022999</v>
      </c>
      <c r="D9158">
        <v>-17.595478566899899</v>
      </c>
      <c r="E9158" s="92">
        <f t="shared" si="56"/>
        <v>50</v>
      </c>
      <c r="G9158" s="92"/>
      <c r="I9158">
        <v>6</v>
      </c>
      <c r="J9158" t="s">
        <v>26</v>
      </c>
      <c r="K9158" s="57"/>
      <c r="S9158" s="57"/>
      <c r="X9158" s="57"/>
    </row>
    <row r="9159" spans="1:24" hidden="1" x14ac:dyDescent="0.35">
      <c r="A9159">
        <v>9155</v>
      </c>
      <c r="B9159">
        <v>9156</v>
      </c>
      <c r="C9159">
        <v>146.09960934399899</v>
      </c>
      <c r="D9159">
        <v>-17.595394710400001</v>
      </c>
      <c r="E9159" s="92" t="str">
        <f t="shared" si="56"/>
        <v/>
      </c>
      <c r="G9159" s="92"/>
      <c r="I9159">
        <v>6</v>
      </c>
      <c r="J9159" t="s">
        <v>26</v>
      </c>
      <c r="K9159" s="57"/>
      <c r="S9159" s="57"/>
      <c r="X9159" s="57"/>
    </row>
    <row r="9160" spans="1:24" hidden="1" x14ac:dyDescent="0.35">
      <c r="A9160">
        <v>9156</v>
      </c>
      <c r="B9160">
        <v>9157</v>
      </c>
      <c r="C9160">
        <v>146.09961730000001</v>
      </c>
      <c r="D9160">
        <v>-17.595309992499899</v>
      </c>
      <c r="E9160" s="92" t="str">
        <f t="shared" si="56"/>
        <v/>
      </c>
      <c r="G9160" s="92"/>
      <c r="I9160">
        <v>6</v>
      </c>
      <c r="J9160" t="s">
        <v>26</v>
      </c>
      <c r="K9160" s="57"/>
      <c r="S9160" s="57"/>
      <c r="X9160" s="57"/>
    </row>
    <row r="9161" spans="1:24" hidden="1" x14ac:dyDescent="0.35">
      <c r="A9161">
        <v>9157</v>
      </c>
      <c r="B9161">
        <v>9158</v>
      </c>
      <c r="C9161">
        <v>146.09966025700001</v>
      </c>
      <c r="D9161">
        <v>-17.5952347887999</v>
      </c>
      <c r="E9161" s="92" t="str">
        <f t="shared" si="56"/>
        <v/>
      </c>
      <c r="G9161" s="92"/>
      <c r="I9161">
        <v>6</v>
      </c>
      <c r="J9161" t="s">
        <v>26</v>
      </c>
      <c r="K9161" s="57"/>
      <c r="S9161" s="57"/>
      <c r="X9161" s="57"/>
    </row>
    <row r="9162" spans="1:24" hidden="1" x14ac:dyDescent="0.35">
      <c r="A9162">
        <v>9158</v>
      </c>
      <c r="B9162">
        <v>9159</v>
      </c>
      <c r="C9162">
        <v>146.09971441900001</v>
      </c>
      <c r="D9162">
        <v>-17.595169616</v>
      </c>
      <c r="E9162" s="92" t="str">
        <f t="shared" si="56"/>
        <v/>
      </c>
      <c r="G9162" s="92"/>
      <c r="I9162">
        <v>6</v>
      </c>
      <c r="J9162" t="s">
        <v>26</v>
      </c>
      <c r="K9162" s="57"/>
      <c r="S9162" s="57"/>
      <c r="X9162" s="57"/>
    </row>
    <row r="9163" spans="1:24" hidden="1" x14ac:dyDescent="0.35">
      <c r="A9163">
        <v>9159</v>
      </c>
      <c r="B9163">
        <v>9160</v>
      </c>
      <c r="C9163">
        <v>146.099790466</v>
      </c>
      <c r="D9163">
        <v>-17.595124035600001</v>
      </c>
      <c r="E9163" s="92">
        <f t="shared" si="56"/>
        <v>50</v>
      </c>
      <c r="G9163" s="92"/>
      <c r="I9163">
        <v>6</v>
      </c>
      <c r="J9163" t="s">
        <v>26</v>
      </c>
      <c r="K9163" s="57"/>
      <c r="S9163" s="57"/>
      <c r="X9163" s="57"/>
    </row>
    <row r="9164" spans="1:24" hidden="1" x14ac:dyDescent="0.35">
      <c r="A9164">
        <v>9160</v>
      </c>
      <c r="B9164">
        <v>9161</v>
      </c>
      <c r="C9164">
        <v>146.09987287300001</v>
      </c>
      <c r="D9164">
        <v>-17.595090191200001</v>
      </c>
      <c r="E9164" s="92" t="str">
        <f t="shared" si="56"/>
        <v/>
      </c>
      <c r="G9164" s="92"/>
      <c r="I9164">
        <v>6</v>
      </c>
      <c r="J9164" t="s">
        <v>26</v>
      </c>
      <c r="K9164" s="57"/>
      <c r="S9164" s="57"/>
      <c r="X9164" s="57"/>
    </row>
    <row r="9165" spans="1:24" hidden="1" x14ac:dyDescent="0.35">
      <c r="A9165">
        <v>9161</v>
      </c>
      <c r="B9165">
        <v>9162</v>
      </c>
      <c r="C9165">
        <v>146.099955883999</v>
      </c>
      <c r="D9165">
        <v>-17.5950574624</v>
      </c>
      <c r="E9165" s="92" t="str">
        <f t="shared" si="56"/>
        <v/>
      </c>
      <c r="G9165" s="92"/>
      <c r="I9165">
        <v>6</v>
      </c>
      <c r="J9165" t="s">
        <v>26</v>
      </c>
      <c r="K9165" s="57"/>
      <c r="S9165" s="57"/>
      <c r="X9165" s="57"/>
    </row>
    <row r="9166" spans="1:24" hidden="1" x14ac:dyDescent="0.35">
      <c r="A9166">
        <v>9162</v>
      </c>
      <c r="B9166">
        <v>9163</v>
      </c>
      <c r="C9166">
        <v>146.10003959900001</v>
      </c>
      <c r="D9166">
        <v>-17.5950264784999</v>
      </c>
      <c r="E9166" s="92" t="str">
        <f t="shared" si="56"/>
        <v/>
      </c>
      <c r="G9166" s="92"/>
      <c r="I9166">
        <v>6</v>
      </c>
      <c r="J9166" t="s">
        <v>26</v>
      </c>
      <c r="K9166" s="57"/>
      <c r="S9166" s="57"/>
      <c r="X9166" s="57"/>
    </row>
    <row r="9167" spans="1:24" hidden="1" x14ac:dyDescent="0.35">
      <c r="A9167">
        <v>9163</v>
      </c>
      <c r="B9167">
        <v>9164</v>
      </c>
      <c r="C9167">
        <v>146.100124206</v>
      </c>
      <c r="D9167">
        <v>-17.594997701800001</v>
      </c>
      <c r="E9167" s="92" t="str">
        <f t="shared" si="56"/>
        <v/>
      </c>
      <c r="G9167" s="92"/>
      <c r="I9167">
        <v>6</v>
      </c>
      <c r="J9167" t="s">
        <v>26</v>
      </c>
      <c r="K9167" s="57"/>
      <c r="S9167" s="57"/>
      <c r="X9167" s="57"/>
    </row>
    <row r="9168" spans="1:24" hidden="1" x14ac:dyDescent="0.35">
      <c r="A9168">
        <v>9164</v>
      </c>
      <c r="B9168">
        <v>9165</v>
      </c>
      <c r="C9168">
        <v>146.100202496999</v>
      </c>
      <c r="D9168">
        <v>-17.594956450000002</v>
      </c>
      <c r="E9168" s="92">
        <f t="shared" ref="E9168:E9231" si="57">IF(MOD(B9168,5)=0, 50, "")</f>
        <v>50</v>
      </c>
      <c r="G9168" s="92"/>
      <c r="I9168">
        <v>6</v>
      </c>
      <c r="J9168" t="s">
        <v>26</v>
      </c>
      <c r="K9168" s="57"/>
      <c r="S9168" s="57"/>
      <c r="X9168" s="57"/>
    </row>
    <row r="9169" spans="1:24" hidden="1" x14ac:dyDescent="0.35">
      <c r="A9169">
        <v>9165</v>
      </c>
      <c r="B9169">
        <v>9166</v>
      </c>
      <c r="C9169">
        <v>146.100278768999</v>
      </c>
      <c r="D9169">
        <v>-17.594911213</v>
      </c>
      <c r="E9169" s="92" t="str">
        <f t="shared" si="57"/>
        <v/>
      </c>
      <c r="G9169" s="92"/>
      <c r="I9169">
        <v>6</v>
      </c>
      <c r="J9169" t="s">
        <v>26</v>
      </c>
      <c r="K9169" s="57"/>
      <c r="S9169" s="57"/>
      <c r="X9169" s="57"/>
    </row>
    <row r="9170" spans="1:24" hidden="1" x14ac:dyDescent="0.35">
      <c r="A9170">
        <v>9166</v>
      </c>
      <c r="B9170">
        <v>9167</v>
      </c>
      <c r="C9170">
        <v>146.10035504199899</v>
      </c>
      <c r="D9170">
        <v>-17.5948659760999</v>
      </c>
      <c r="E9170" s="92" t="str">
        <f t="shared" si="57"/>
        <v/>
      </c>
      <c r="G9170" s="92"/>
      <c r="I9170">
        <v>6</v>
      </c>
      <c r="J9170" t="s">
        <v>26</v>
      </c>
      <c r="K9170" s="57"/>
      <c r="S9170" s="57"/>
      <c r="X9170" s="57"/>
    </row>
    <row r="9171" spans="1:24" hidden="1" x14ac:dyDescent="0.35">
      <c r="A9171">
        <v>9167</v>
      </c>
      <c r="B9171">
        <v>9168</v>
      </c>
      <c r="C9171">
        <v>146.10039026600001</v>
      </c>
      <c r="D9171">
        <v>-17.5947922492999</v>
      </c>
      <c r="E9171" s="92" t="str">
        <f t="shared" si="57"/>
        <v/>
      </c>
      <c r="G9171" s="92"/>
      <c r="I9171">
        <v>6</v>
      </c>
      <c r="J9171" t="s">
        <v>26</v>
      </c>
      <c r="K9171" s="57"/>
      <c r="S9171" s="57"/>
      <c r="X9171" s="57"/>
    </row>
    <row r="9172" spans="1:24" hidden="1" x14ac:dyDescent="0.35">
      <c r="A9172">
        <v>9168</v>
      </c>
      <c r="B9172">
        <v>9169</v>
      </c>
      <c r="C9172">
        <v>146.100390688999</v>
      </c>
      <c r="D9172">
        <v>-17.594706621099899</v>
      </c>
      <c r="E9172" s="92" t="str">
        <f t="shared" si="57"/>
        <v/>
      </c>
      <c r="G9172" s="92"/>
      <c r="I9172">
        <v>6</v>
      </c>
      <c r="J9172" t="s">
        <v>26</v>
      </c>
      <c r="K9172" s="57"/>
      <c r="S9172" s="57"/>
      <c r="X9172" s="57"/>
    </row>
    <row r="9173" spans="1:24" hidden="1" x14ac:dyDescent="0.35">
      <c r="A9173">
        <v>9169</v>
      </c>
      <c r="B9173">
        <v>9170</v>
      </c>
      <c r="C9173">
        <v>146.100373187</v>
      </c>
      <c r="D9173">
        <v>-17.594623002199899</v>
      </c>
      <c r="E9173" s="92">
        <f t="shared" si="57"/>
        <v>50</v>
      </c>
      <c r="G9173" s="92"/>
      <c r="I9173">
        <v>6</v>
      </c>
      <c r="J9173" t="s">
        <v>26</v>
      </c>
      <c r="K9173" s="57"/>
      <c r="S9173" s="57"/>
      <c r="X9173" s="57"/>
    </row>
    <row r="9174" spans="1:24" hidden="1" x14ac:dyDescent="0.35">
      <c r="A9174">
        <v>9170</v>
      </c>
      <c r="B9174">
        <v>9171</v>
      </c>
      <c r="C9174">
        <v>146.100351068999</v>
      </c>
      <c r="D9174">
        <v>-17.594540022299899</v>
      </c>
      <c r="E9174" s="92" t="str">
        <f t="shared" si="57"/>
        <v/>
      </c>
      <c r="G9174" s="92"/>
      <c r="I9174">
        <v>6</v>
      </c>
      <c r="J9174" t="s">
        <v>26</v>
      </c>
      <c r="K9174" s="57"/>
      <c r="S9174" s="57"/>
      <c r="X9174" s="57"/>
    </row>
    <row r="9175" spans="1:24" hidden="1" x14ac:dyDescent="0.35">
      <c r="A9175">
        <v>9171</v>
      </c>
      <c r="B9175">
        <v>9172</v>
      </c>
      <c r="C9175">
        <v>146.100325967</v>
      </c>
      <c r="D9175">
        <v>-17.594457811600002</v>
      </c>
      <c r="E9175" s="92" t="str">
        <f t="shared" si="57"/>
        <v/>
      </c>
      <c r="G9175" s="92"/>
      <c r="I9175">
        <v>6</v>
      </c>
      <c r="J9175" t="s">
        <v>26</v>
      </c>
      <c r="K9175" s="57"/>
      <c r="S9175" s="57"/>
      <c r="X9175" s="57"/>
    </row>
    <row r="9176" spans="1:24" hidden="1" x14ac:dyDescent="0.35">
      <c r="A9176">
        <v>9172</v>
      </c>
      <c r="B9176">
        <v>9173</v>
      </c>
      <c r="C9176">
        <v>146.100302435</v>
      </c>
      <c r="D9176">
        <v>-17.5943752228</v>
      </c>
      <c r="E9176" s="92" t="str">
        <f t="shared" si="57"/>
        <v/>
      </c>
      <c r="G9176" s="92"/>
      <c r="I9176">
        <v>6</v>
      </c>
      <c r="J9176" t="s">
        <v>26</v>
      </c>
      <c r="K9176" s="57"/>
      <c r="S9176" s="57"/>
      <c r="X9176" s="57"/>
    </row>
    <row r="9177" spans="1:24" hidden="1" x14ac:dyDescent="0.35">
      <c r="A9177">
        <v>9173</v>
      </c>
      <c r="B9177">
        <v>9174</v>
      </c>
      <c r="C9177">
        <v>146.10028071100001</v>
      </c>
      <c r="D9177">
        <v>-17.5942921352</v>
      </c>
      <c r="E9177" s="92" t="str">
        <f t="shared" si="57"/>
        <v/>
      </c>
      <c r="G9177" s="92"/>
      <c r="I9177">
        <v>6</v>
      </c>
      <c r="J9177" t="s">
        <v>26</v>
      </c>
      <c r="K9177" s="57"/>
      <c r="S9177" s="57"/>
      <c r="X9177" s="57"/>
    </row>
    <row r="9178" spans="1:24" hidden="1" x14ac:dyDescent="0.35">
      <c r="A9178">
        <v>9174</v>
      </c>
      <c r="B9178">
        <v>9175</v>
      </c>
      <c r="C9178">
        <v>146.10025898699899</v>
      </c>
      <c r="D9178">
        <v>-17.5942090476</v>
      </c>
      <c r="E9178" s="92">
        <f t="shared" si="57"/>
        <v>50</v>
      </c>
      <c r="G9178" s="92"/>
      <c r="I9178">
        <v>6</v>
      </c>
      <c r="J9178" t="s">
        <v>26</v>
      </c>
      <c r="K9178" s="57"/>
      <c r="S9178" s="57"/>
      <c r="X9178" s="57"/>
    </row>
    <row r="9179" spans="1:24" hidden="1" x14ac:dyDescent="0.35">
      <c r="A9179">
        <v>9175</v>
      </c>
      <c r="B9179">
        <v>9176</v>
      </c>
      <c r="C9179">
        <v>146.100233226</v>
      </c>
      <c r="D9179">
        <v>-17.594127026199899</v>
      </c>
      <c r="E9179" s="92" t="str">
        <f t="shared" si="57"/>
        <v/>
      </c>
      <c r="G9179" s="92"/>
      <c r="I9179">
        <v>6</v>
      </c>
      <c r="J9179" t="s">
        <v>26</v>
      </c>
      <c r="K9179" s="57"/>
      <c r="S9179" s="57"/>
      <c r="X9179" s="57"/>
    </row>
    <row r="9180" spans="1:24" hidden="1" x14ac:dyDescent="0.35">
      <c r="A9180">
        <v>9176</v>
      </c>
      <c r="B9180">
        <v>9177</v>
      </c>
      <c r="C9180">
        <v>146.100206985</v>
      </c>
      <c r="D9180">
        <v>-17.5940451315</v>
      </c>
      <c r="E9180" s="92" t="str">
        <f t="shared" si="57"/>
        <v/>
      </c>
      <c r="G9180" s="92"/>
      <c r="I9180">
        <v>6</v>
      </c>
      <c r="J9180" t="s">
        <v>26</v>
      </c>
      <c r="K9180" s="57"/>
      <c r="S9180" s="57"/>
      <c r="X9180" s="57"/>
    </row>
    <row r="9181" spans="1:24" hidden="1" x14ac:dyDescent="0.35">
      <c r="A9181">
        <v>9177</v>
      </c>
      <c r="B9181">
        <v>9178</v>
      </c>
      <c r="C9181">
        <v>146.10014862099899</v>
      </c>
      <c r="D9181">
        <v>-17.593983402700001</v>
      </c>
      <c r="E9181" s="92" t="str">
        <f t="shared" si="57"/>
        <v/>
      </c>
      <c r="G9181" s="92"/>
      <c r="I9181">
        <v>6</v>
      </c>
      <c r="J9181" t="s">
        <v>26</v>
      </c>
      <c r="K9181" s="57"/>
      <c r="S9181" s="57"/>
      <c r="X9181" s="57"/>
    </row>
    <row r="9182" spans="1:24" hidden="1" x14ac:dyDescent="0.35">
      <c r="A9182">
        <v>9178</v>
      </c>
      <c r="B9182">
        <v>9179</v>
      </c>
      <c r="C9182">
        <v>146.100075046999</v>
      </c>
      <c r="D9182">
        <v>-17.5939373225</v>
      </c>
      <c r="E9182" s="92" t="str">
        <f t="shared" si="57"/>
        <v/>
      </c>
      <c r="G9182" s="92"/>
      <c r="I9182">
        <v>6</v>
      </c>
      <c r="J9182" t="s">
        <v>26</v>
      </c>
      <c r="K9182" s="57"/>
      <c r="S9182" s="57"/>
      <c r="X9182" s="57"/>
    </row>
    <row r="9183" spans="1:24" hidden="1" x14ac:dyDescent="0.35">
      <c r="A9183">
        <v>9179</v>
      </c>
      <c r="B9183">
        <v>9180</v>
      </c>
      <c r="C9183">
        <v>146.09998769200001</v>
      </c>
      <c r="D9183">
        <v>-17.5939241745</v>
      </c>
      <c r="E9183" s="92">
        <f t="shared" si="57"/>
        <v>50</v>
      </c>
      <c r="G9183" s="92"/>
      <c r="I9183">
        <v>6</v>
      </c>
      <c r="J9183" t="s">
        <v>26</v>
      </c>
      <c r="K9183" s="57"/>
      <c r="S9183" s="57"/>
      <c r="X9183" s="57"/>
    </row>
    <row r="9184" spans="1:24" hidden="1" x14ac:dyDescent="0.35">
      <c r="A9184">
        <v>9180</v>
      </c>
      <c r="B9184">
        <v>9181</v>
      </c>
      <c r="C9184">
        <v>146.09989959999899</v>
      </c>
      <c r="D9184">
        <v>-17.593940381900001</v>
      </c>
      <c r="E9184" s="92" t="str">
        <f t="shared" si="57"/>
        <v/>
      </c>
      <c r="G9184" s="92"/>
      <c r="I9184">
        <v>6</v>
      </c>
      <c r="J9184" t="s">
        <v>26</v>
      </c>
      <c r="K9184" s="57"/>
      <c r="S9184" s="57"/>
      <c r="X9184" s="57"/>
    </row>
    <row r="9185" spans="1:24" hidden="1" x14ac:dyDescent="0.35">
      <c r="A9185">
        <v>9181</v>
      </c>
      <c r="B9185">
        <v>9182</v>
      </c>
      <c r="C9185">
        <v>146.09981546</v>
      </c>
      <c r="D9185">
        <v>-17.5939696073</v>
      </c>
      <c r="E9185" s="92" t="str">
        <f t="shared" si="57"/>
        <v/>
      </c>
      <c r="G9185" s="92"/>
      <c r="I9185">
        <v>6</v>
      </c>
      <c r="J9185" t="s">
        <v>26</v>
      </c>
      <c r="K9185" s="57"/>
      <c r="S9185" s="57"/>
      <c r="X9185" s="57"/>
    </row>
    <row r="9186" spans="1:24" hidden="1" x14ac:dyDescent="0.35">
      <c r="A9186">
        <v>9182</v>
      </c>
      <c r="B9186">
        <v>9183</v>
      </c>
      <c r="C9186">
        <v>146.09973898300001</v>
      </c>
      <c r="D9186">
        <v>-17.594014530700001</v>
      </c>
      <c r="E9186" s="92" t="str">
        <f t="shared" si="57"/>
        <v/>
      </c>
      <c r="G9186" s="92"/>
      <c r="I9186">
        <v>6</v>
      </c>
      <c r="J9186" t="s">
        <v>26</v>
      </c>
      <c r="K9186" s="57"/>
      <c r="S9186" s="57"/>
      <c r="X9186" s="57"/>
    </row>
    <row r="9187" spans="1:24" hidden="1" x14ac:dyDescent="0.35">
      <c r="A9187">
        <v>9183</v>
      </c>
      <c r="B9187">
        <v>9184</v>
      </c>
      <c r="C9187">
        <v>146.09966271100001</v>
      </c>
      <c r="D9187">
        <v>-17.5940597680999</v>
      </c>
      <c r="E9187" s="92" t="str">
        <f t="shared" si="57"/>
        <v/>
      </c>
      <c r="G9187" s="92"/>
      <c r="I9187">
        <v>6</v>
      </c>
      <c r="J9187" t="s">
        <v>26</v>
      </c>
      <c r="K9187" s="57"/>
      <c r="S9187" s="57"/>
      <c r="X9187" s="57"/>
    </row>
    <row r="9188" spans="1:24" hidden="1" x14ac:dyDescent="0.35">
      <c r="A9188">
        <v>9184</v>
      </c>
      <c r="B9188">
        <v>9185</v>
      </c>
      <c r="C9188">
        <v>146.09958659700001</v>
      </c>
      <c r="D9188">
        <v>-17.594105246800002</v>
      </c>
      <c r="E9188" s="92">
        <f t="shared" si="57"/>
        <v>50</v>
      </c>
      <c r="G9188" s="92"/>
      <c r="I9188">
        <v>6</v>
      </c>
      <c r="J9188" t="s">
        <v>26</v>
      </c>
      <c r="K9188" s="57"/>
      <c r="S9188" s="57"/>
      <c r="X9188" s="57"/>
    </row>
    <row r="9189" spans="1:24" hidden="1" x14ac:dyDescent="0.35">
      <c r="A9189">
        <v>9185</v>
      </c>
      <c r="B9189">
        <v>9186</v>
      </c>
      <c r="C9189">
        <v>146.099529214999</v>
      </c>
      <c r="D9189">
        <v>-17.5941672183999</v>
      </c>
      <c r="E9189" s="92" t="str">
        <f t="shared" si="57"/>
        <v/>
      </c>
      <c r="G9189" s="92"/>
      <c r="I9189">
        <v>6</v>
      </c>
      <c r="J9189" t="s">
        <v>26</v>
      </c>
      <c r="K9189" s="57"/>
      <c r="S9189" s="57"/>
      <c r="X9189" s="57"/>
    </row>
    <row r="9190" spans="1:24" hidden="1" x14ac:dyDescent="0.35">
      <c r="A9190">
        <v>9186</v>
      </c>
      <c r="B9190">
        <v>9187</v>
      </c>
      <c r="C9190">
        <v>146.09948768500001</v>
      </c>
      <c r="D9190">
        <v>-17.5942431478</v>
      </c>
      <c r="E9190" s="92" t="str">
        <f t="shared" si="57"/>
        <v/>
      </c>
      <c r="G9190" s="92"/>
      <c r="I9190">
        <v>6</v>
      </c>
      <c r="J9190" t="s">
        <v>26</v>
      </c>
      <c r="K9190" s="57"/>
      <c r="S9190" s="57"/>
      <c r="X9190" s="57"/>
    </row>
    <row r="9191" spans="1:24" hidden="1" x14ac:dyDescent="0.35">
      <c r="A9191">
        <v>9187</v>
      </c>
      <c r="B9191">
        <v>9188</v>
      </c>
      <c r="C9191">
        <v>146.09944540800001</v>
      </c>
      <c r="D9191">
        <v>-17.5943186983</v>
      </c>
      <c r="E9191" s="92" t="str">
        <f t="shared" si="57"/>
        <v/>
      </c>
      <c r="G9191" s="92"/>
      <c r="I9191">
        <v>6</v>
      </c>
      <c r="J9191" t="s">
        <v>26</v>
      </c>
      <c r="K9191" s="57"/>
      <c r="S9191" s="57"/>
      <c r="X9191" s="57"/>
    </row>
    <row r="9192" spans="1:24" hidden="1" x14ac:dyDescent="0.35">
      <c r="A9192">
        <v>9188</v>
      </c>
      <c r="B9192">
        <v>9189</v>
      </c>
      <c r="C9192">
        <v>146.099402644999</v>
      </c>
      <c r="D9192">
        <v>-17.594394003000001</v>
      </c>
      <c r="E9192" s="92" t="str">
        <f t="shared" si="57"/>
        <v/>
      </c>
      <c r="G9192" s="92"/>
      <c r="I9192">
        <v>6</v>
      </c>
      <c r="J9192" t="s">
        <v>26</v>
      </c>
      <c r="K9192" s="57"/>
      <c r="S9192" s="57"/>
      <c r="X9192" s="57"/>
    </row>
    <row r="9193" spans="1:24" hidden="1" x14ac:dyDescent="0.35">
      <c r="A9193">
        <v>9189</v>
      </c>
      <c r="B9193">
        <v>9190</v>
      </c>
      <c r="C9193">
        <v>146.09934288599899</v>
      </c>
      <c r="D9193">
        <v>-17.5944566917</v>
      </c>
      <c r="E9193" s="92">
        <f t="shared" si="57"/>
        <v>50</v>
      </c>
      <c r="G9193" s="92"/>
      <c r="I9193">
        <v>6</v>
      </c>
      <c r="J9193" t="s">
        <v>26</v>
      </c>
      <c r="K9193" s="57"/>
      <c r="S9193" s="57"/>
      <c r="X9193" s="57"/>
    </row>
    <row r="9194" spans="1:24" hidden="1" x14ac:dyDescent="0.35">
      <c r="A9194">
        <v>9190</v>
      </c>
      <c r="B9194">
        <v>9191</v>
      </c>
      <c r="C9194">
        <v>146.09927677300001</v>
      </c>
      <c r="D9194">
        <v>-17.594514664599899</v>
      </c>
      <c r="E9194" s="92" t="str">
        <f t="shared" si="57"/>
        <v/>
      </c>
      <c r="G9194" s="92"/>
      <c r="I9194">
        <v>6</v>
      </c>
      <c r="J9194" t="s">
        <v>26</v>
      </c>
      <c r="K9194" s="57"/>
      <c r="S9194" s="57"/>
      <c r="X9194" s="57"/>
    </row>
    <row r="9195" spans="1:24" hidden="1" x14ac:dyDescent="0.35">
      <c r="A9195">
        <v>9191</v>
      </c>
      <c r="B9195">
        <v>9192</v>
      </c>
      <c r="C9195">
        <v>146.099208043</v>
      </c>
      <c r="D9195">
        <v>-17.594569653699899</v>
      </c>
      <c r="E9195" s="92" t="str">
        <f t="shared" si="57"/>
        <v/>
      </c>
      <c r="G9195" s="92"/>
      <c r="I9195">
        <v>6</v>
      </c>
      <c r="J9195" t="s">
        <v>26</v>
      </c>
      <c r="K9195" s="57"/>
      <c r="S9195" s="57"/>
      <c r="X9195" s="57"/>
    </row>
    <row r="9196" spans="1:24" hidden="1" x14ac:dyDescent="0.35">
      <c r="A9196">
        <v>9192</v>
      </c>
      <c r="B9196">
        <v>9193</v>
      </c>
      <c r="C9196">
        <v>146.09913648899899</v>
      </c>
      <c r="D9196">
        <v>-17.594621425100001</v>
      </c>
      <c r="E9196" s="92" t="str">
        <f t="shared" si="57"/>
        <v/>
      </c>
      <c r="G9196" s="92"/>
      <c r="I9196">
        <v>6</v>
      </c>
      <c r="J9196" t="s">
        <v>26</v>
      </c>
      <c r="K9196" s="57"/>
      <c r="S9196" s="57"/>
      <c r="X9196" s="57"/>
    </row>
    <row r="9197" spans="1:24" hidden="1" x14ac:dyDescent="0.35">
      <c r="A9197">
        <v>9193</v>
      </c>
      <c r="B9197">
        <v>9194</v>
      </c>
      <c r="C9197">
        <v>146.099071320999</v>
      </c>
      <c r="D9197">
        <v>-17.5946801857</v>
      </c>
      <c r="E9197" s="92" t="str">
        <f t="shared" si="57"/>
        <v/>
      </c>
      <c r="G9197" s="92"/>
      <c r="I9197">
        <v>6</v>
      </c>
      <c r="J9197" t="s">
        <v>26</v>
      </c>
      <c r="K9197" s="57"/>
      <c r="S9197" s="57"/>
      <c r="X9197" s="57"/>
    </row>
    <row r="9198" spans="1:24" hidden="1" x14ac:dyDescent="0.35">
      <c r="A9198">
        <v>9194</v>
      </c>
      <c r="B9198">
        <v>9195</v>
      </c>
      <c r="C9198">
        <v>146.09902004400001</v>
      </c>
      <c r="D9198">
        <v>-17.5947487534999</v>
      </c>
      <c r="E9198" s="92">
        <f t="shared" si="57"/>
        <v>50</v>
      </c>
      <c r="G9198" s="92"/>
      <c r="I9198">
        <v>6</v>
      </c>
      <c r="J9198" t="s">
        <v>26</v>
      </c>
      <c r="K9198" s="57"/>
      <c r="S9198" s="57"/>
      <c r="X9198" s="57"/>
    </row>
    <row r="9199" spans="1:24" hidden="1" x14ac:dyDescent="0.35">
      <c r="A9199">
        <v>9195</v>
      </c>
      <c r="B9199">
        <v>9196</v>
      </c>
      <c r="C9199">
        <v>146.09899078500001</v>
      </c>
      <c r="D9199">
        <v>-17.594828445200001</v>
      </c>
      <c r="E9199" s="92" t="str">
        <f t="shared" si="57"/>
        <v/>
      </c>
      <c r="G9199" s="92"/>
      <c r="I9199">
        <v>6</v>
      </c>
      <c r="J9199" t="s">
        <v>26</v>
      </c>
      <c r="K9199" s="57"/>
      <c r="S9199" s="57"/>
      <c r="X9199" s="57"/>
    </row>
    <row r="9200" spans="1:24" hidden="1" x14ac:dyDescent="0.35">
      <c r="A9200">
        <v>9196</v>
      </c>
      <c r="B9200">
        <v>9197</v>
      </c>
      <c r="C9200">
        <v>146.099002966999</v>
      </c>
      <c r="D9200">
        <v>-17.5949104367999</v>
      </c>
      <c r="E9200" s="92" t="str">
        <f t="shared" si="57"/>
        <v/>
      </c>
      <c r="G9200" s="92"/>
      <c r="I9200">
        <v>6</v>
      </c>
      <c r="J9200" t="s">
        <v>26</v>
      </c>
      <c r="K9200" s="57"/>
      <c r="S9200" s="57"/>
      <c r="X9200" s="57"/>
    </row>
    <row r="9201" spans="1:24" hidden="1" x14ac:dyDescent="0.35">
      <c r="A9201">
        <v>9197</v>
      </c>
      <c r="B9201">
        <v>9198</v>
      </c>
      <c r="C9201">
        <v>146.099053128999</v>
      </c>
      <c r="D9201">
        <v>-17.594981472200001</v>
      </c>
      <c r="E9201" s="92" t="str">
        <f t="shared" si="57"/>
        <v/>
      </c>
      <c r="G9201" s="92"/>
      <c r="I9201">
        <v>6</v>
      </c>
      <c r="J9201" t="s">
        <v>26</v>
      </c>
      <c r="K9201" s="57"/>
      <c r="S9201" s="57"/>
      <c r="X9201" s="57"/>
    </row>
    <row r="9202" spans="1:24" hidden="1" x14ac:dyDescent="0.35">
      <c r="A9202">
        <v>9198</v>
      </c>
      <c r="B9202">
        <v>9199</v>
      </c>
      <c r="C9202">
        <v>146.09910103799899</v>
      </c>
      <c r="D9202">
        <v>-17.5950538943999</v>
      </c>
      <c r="E9202" s="92" t="str">
        <f t="shared" si="57"/>
        <v/>
      </c>
      <c r="G9202" s="92"/>
      <c r="I9202">
        <v>6</v>
      </c>
      <c r="J9202" t="s">
        <v>26</v>
      </c>
      <c r="K9202" s="57"/>
      <c r="S9202" s="57"/>
      <c r="X9202" s="57"/>
    </row>
    <row r="9203" spans="1:24" hidden="1" x14ac:dyDescent="0.35">
      <c r="A9203">
        <v>9199</v>
      </c>
      <c r="B9203">
        <v>9200</v>
      </c>
      <c r="C9203">
        <v>146.09914833100001</v>
      </c>
      <c r="D9203">
        <v>-17.5951266956999</v>
      </c>
      <c r="E9203" s="92">
        <f t="shared" si="57"/>
        <v>50</v>
      </c>
      <c r="G9203" s="92"/>
      <c r="I9203">
        <v>6</v>
      </c>
      <c r="J9203" t="s">
        <v>26</v>
      </c>
      <c r="K9203" s="57"/>
      <c r="S9203" s="57"/>
      <c r="X9203" s="57"/>
    </row>
    <row r="9204" spans="1:24" hidden="1" x14ac:dyDescent="0.35">
      <c r="A9204">
        <v>9200</v>
      </c>
      <c r="B9204">
        <v>9201</v>
      </c>
      <c r="C9204">
        <v>146.099204907999</v>
      </c>
      <c r="D9204">
        <v>-17.595192911800002</v>
      </c>
      <c r="E9204" s="92" t="str">
        <f t="shared" si="57"/>
        <v/>
      </c>
      <c r="G9204" s="92"/>
      <c r="I9204">
        <v>6</v>
      </c>
      <c r="J9204" t="s">
        <v>26</v>
      </c>
      <c r="K9204" s="57"/>
      <c r="S9204" s="57"/>
      <c r="X9204" s="57"/>
    </row>
    <row r="9205" spans="1:24" hidden="1" x14ac:dyDescent="0.35">
      <c r="A9205">
        <v>9201</v>
      </c>
      <c r="B9205">
        <v>9202</v>
      </c>
      <c r="C9205">
        <v>146.09926447999899</v>
      </c>
      <c r="D9205">
        <v>-17.5952570036</v>
      </c>
      <c r="E9205" s="92" t="str">
        <f t="shared" si="57"/>
        <v/>
      </c>
      <c r="G9205" s="92"/>
      <c r="I9205">
        <v>6</v>
      </c>
      <c r="J9205" t="s">
        <v>26</v>
      </c>
      <c r="K9205" s="57"/>
      <c r="S9205" s="57"/>
      <c r="X9205" s="57"/>
    </row>
    <row r="9206" spans="1:24" hidden="1" x14ac:dyDescent="0.35">
      <c r="A9206">
        <v>9202</v>
      </c>
      <c r="B9206">
        <v>9203</v>
      </c>
      <c r="C9206">
        <v>146.09932383699899</v>
      </c>
      <c r="D9206">
        <v>-17.5953212742</v>
      </c>
      <c r="E9206" s="92" t="str">
        <f t="shared" si="57"/>
        <v/>
      </c>
      <c r="G9206" s="92"/>
      <c r="I9206">
        <v>6</v>
      </c>
      <c r="J9206" t="s">
        <v>26</v>
      </c>
      <c r="K9206" s="57"/>
      <c r="S9206" s="57"/>
      <c r="X9206" s="57"/>
    </row>
    <row r="9207" spans="1:24" hidden="1" x14ac:dyDescent="0.35">
      <c r="A9207">
        <v>9203</v>
      </c>
      <c r="B9207">
        <v>9204</v>
      </c>
      <c r="C9207">
        <v>146.09938228600001</v>
      </c>
      <c r="D9207">
        <v>-17.5953862988999</v>
      </c>
      <c r="E9207" s="92" t="str">
        <f t="shared" si="57"/>
        <v/>
      </c>
      <c r="G9207" s="92"/>
      <c r="I9207">
        <v>6</v>
      </c>
      <c r="J9207" t="s">
        <v>26</v>
      </c>
      <c r="K9207" s="57"/>
      <c r="S9207" s="57"/>
      <c r="X9207" s="57"/>
    </row>
    <row r="9208" spans="1:24" hidden="1" x14ac:dyDescent="0.35">
      <c r="A9208">
        <v>9204</v>
      </c>
      <c r="B9208">
        <v>9205</v>
      </c>
      <c r="C9208">
        <v>146.099440735</v>
      </c>
      <c r="D9208">
        <v>-17.595451323700001</v>
      </c>
      <c r="E9208" s="92">
        <f t="shared" si="57"/>
        <v>50</v>
      </c>
      <c r="G9208" s="92"/>
      <c r="I9208">
        <v>6</v>
      </c>
      <c r="J9208" t="s">
        <v>26</v>
      </c>
      <c r="K9208" s="57"/>
      <c r="S9208" s="57"/>
      <c r="X9208" s="57"/>
    </row>
    <row r="9209" spans="1:24" hidden="1" x14ac:dyDescent="0.35">
      <c r="A9209">
        <v>9205</v>
      </c>
      <c r="B9209">
        <v>9206</v>
      </c>
      <c r="C9209">
        <v>146.09949918300001</v>
      </c>
      <c r="D9209">
        <v>-17.595516348299899</v>
      </c>
      <c r="E9209" s="92" t="str">
        <f t="shared" si="57"/>
        <v/>
      </c>
      <c r="G9209" s="92"/>
      <c r="I9209">
        <v>6</v>
      </c>
      <c r="J9209" t="s">
        <v>26</v>
      </c>
      <c r="K9209" s="57"/>
      <c r="S9209" s="57"/>
      <c r="X9209" s="57"/>
    </row>
    <row r="9210" spans="1:24" hidden="1" x14ac:dyDescent="0.35">
      <c r="A9210">
        <v>9206</v>
      </c>
      <c r="B9210">
        <v>9207</v>
      </c>
      <c r="C9210">
        <v>146.099557632</v>
      </c>
      <c r="D9210">
        <v>-17.595581373000002</v>
      </c>
      <c r="E9210" s="92" t="str">
        <f t="shared" si="57"/>
        <v/>
      </c>
      <c r="G9210" s="92"/>
      <c r="I9210">
        <v>6</v>
      </c>
      <c r="J9210" t="s">
        <v>26</v>
      </c>
      <c r="K9210" s="57"/>
      <c r="S9210" s="57"/>
      <c r="X9210" s="57"/>
    </row>
    <row r="9211" spans="1:24" hidden="1" x14ac:dyDescent="0.35">
      <c r="A9211">
        <v>9207</v>
      </c>
      <c r="B9211">
        <v>9208</v>
      </c>
      <c r="C9211">
        <v>146.09961423300001</v>
      </c>
      <c r="D9211">
        <v>-17.595647844599899</v>
      </c>
      <c r="E9211" s="92" t="str">
        <f t="shared" si="57"/>
        <v/>
      </c>
      <c r="G9211" s="92"/>
      <c r="I9211">
        <v>6</v>
      </c>
      <c r="J9211" t="s">
        <v>26</v>
      </c>
      <c r="K9211" s="57"/>
      <c r="S9211" s="57"/>
      <c r="X9211" s="57"/>
    </row>
    <row r="9212" spans="1:24" hidden="1" x14ac:dyDescent="0.35">
      <c r="A9212">
        <v>9208</v>
      </c>
      <c r="B9212">
        <v>9209</v>
      </c>
      <c r="C9212">
        <v>146.099669806999</v>
      </c>
      <c r="D9212">
        <v>-17.595715120400001</v>
      </c>
      <c r="E9212" s="92" t="str">
        <f t="shared" si="57"/>
        <v/>
      </c>
      <c r="G9212" s="92"/>
      <c r="I9212">
        <v>6</v>
      </c>
      <c r="J9212" t="s">
        <v>26</v>
      </c>
      <c r="K9212" s="57"/>
      <c r="S9212" s="57"/>
      <c r="X9212" s="57"/>
    </row>
    <row r="9213" spans="1:24" hidden="1" x14ac:dyDescent="0.35">
      <c r="A9213">
        <v>9209</v>
      </c>
      <c r="B9213">
        <v>9210</v>
      </c>
      <c r="C9213">
        <v>146.09972538100001</v>
      </c>
      <c r="D9213">
        <v>-17.595782396299899</v>
      </c>
      <c r="E9213" s="92">
        <f t="shared" si="57"/>
        <v>50</v>
      </c>
      <c r="G9213" s="92"/>
      <c r="I9213">
        <v>6</v>
      </c>
      <c r="J9213" t="s">
        <v>26</v>
      </c>
      <c r="K9213" s="57"/>
      <c r="S9213" s="57"/>
      <c r="X9213" s="57"/>
    </row>
    <row r="9214" spans="1:24" hidden="1" x14ac:dyDescent="0.35">
      <c r="A9214">
        <v>9210</v>
      </c>
      <c r="B9214">
        <v>9211</v>
      </c>
      <c r="C9214">
        <v>146.09978095400001</v>
      </c>
      <c r="D9214">
        <v>-17.595849672100002</v>
      </c>
      <c r="E9214" s="92" t="str">
        <f t="shared" si="57"/>
        <v/>
      </c>
      <c r="G9214" s="92"/>
      <c r="I9214">
        <v>6</v>
      </c>
      <c r="J9214" t="s">
        <v>26</v>
      </c>
      <c r="K9214" s="57"/>
      <c r="S9214" s="57"/>
      <c r="X9214" s="57"/>
    </row>
    <row r="9215" spans="1:24" hidden="1" x14ac:dyDescent="0.35">
      <c r="A9215">
        <v>9211</v>
      </c>
      <c r="B9215">
        <v>9212</v>
      </c>
      <c r="C9215">
        <v>146.09983453500001</v>
      </c>
      <c r="D9215">
        <v>-17.595918371</v>
      </c>
      <c r="E9215" s="92" t="str">
        <f t="shared" si="57"/>
        <v/>
      </c>
      <c r="G9215" s="92"/>
      <c r="I9215">
        <v>6</v>
      </c>
      <c r="J9215" t="s">
        <v>26</v>
      </c>
      <c r="K9215" s="57"/>
      <c r="S9215" s="57"/>
      <c r="X9215" s="57"/>
    </row>
    <row r="9216" spans="1:24" hidden="1" x14ac:dyDescent="0.35">
      <c r="A9216">
        <v>9212</v>
      </c>
      <c r="B9216">
        <v>9213</v>
      </c>
      <c r="C9216">
        <v>146.09988662999899</v>
      </c>
      <c r="D9216">
        <v>-17.595988130599899</v>
      </c>
      <c r="E9216" s="92" t="str">
        <f t="shared" si="57"/>
        <v/>
      </c>
      <c r="G9216" s="92"/>
      <c r="I9216">
        <v>6</v>
      </c>
      <c r="J9216" t="s">
        <v>26</v>
      </c>
      <c r="K9216" s="57"/>
      <c r="S9216" s="57"/>
      <c r="X9216" s="57"/>
    </row>
    <row r="9217" spans="1:24" hidden="1" x14ac:dyDescent="0.35">
      <c r="A9217">
        <v>9213</v>
      </c>
      <c r="B9217">
        <v>9214</v>
      </c>
      <c r="C9217">
        <v>146.099938723999</v>
      </c>
      <c r="D9217">
        <v>-17.5960578900999</v>
      </c>
      <c r="E9217" s="92" t="str">
        <f t="shared" si="57"/>
        <v/>
      </c>
      <c r="G9217" s="92"/>
      <c r="I9217">
        <v>6</v>
      </c>
      <c r="J9217" t="s">
        <v>26</v>
      </c>
      <c r="K9217" s="57"/>
      <c r="S9217" s="57"/>
      <c r="X9217" s="57"/>
    </row>
    <row r="9218" spans="1:24" hidden="1" x14ac:dyDescent="0.35">
      <c r="A9218">
        <v>9214</v>
      </c>
      <c r="B9218">
        <v>9215</v>
      </c>
      <c r="C9218">
        <v>146.099990818999</v>
      </c>
      <c r="D9218">
        <v>-17.596127649700001</v>
      </c>
      <c r="E9218" s="92">
        <f t="shared" si="57"/>
        <v>50</v>
      </c>
      <c r="G9218" s="92"/>
      <c r="I9218">
        <v>6</v>
      </c>
      <c r="J9218" t="s">
        <v>26</v>
      </c>
      <c r="K9218" s="57"/>
      <c r="S9218" s="57"/>
      <c r="X9218" s="57"/>
    </row>
    <row r="9219" spans="1:24" hidden="1" x14ac:dyDescent="0.35">
      <c r="A9219">
        <v>9215</v>
      </c>
      <c r="B9219">
        <v>9216</v>
      </c>
      <c r="C9219">
        <v>146.100038197</v>
      </c>
      <c r="D9219">
        <v>-17.596200374599899</v>
      </c>
      <c r="E9219" s="92" t="str">
        <f t="shared" si="57"/>
        <v/>
      </c>
      <c r="G9219" s="92"/>
      <c r="I9219">
        <v>6</v>
      </c>
      <c r="J9219" t="s">
        <v>26</v>
      </c>
      <c r="K9219" s="57"/>
      <c r="S9219" s="57"/>
      <c r="X9219" s="57"/>
    </row>
    <row r="9220" spans="1:24" hidden="1" x14ac:dyDescent="0.35">
      <c r="A9220">
        <v>9216</v>
      </c>
      <c r="B9220">
        <v>9217</v>
      </c>
      <c r="C9220">
        <v>146.100084960999</v>
      </c>
      <c r="D9220">
        <v>-17.5962734850999</v>
      </c>
      <c r="E9220" s="92" t="str">
        <f t="shared" si="57"/>
        <v/>
      </c>
      <c r="G9220" s="92"/>
      <c r="I9220">
        <v>6</v>
      </c>
      <c r="J9220" t="s">
        <v>26</v>
      </c>
      <c r="K9220" s="57"/>
      <c r="S9220" s="57"/>
      <c r="X9220" s="57"/>
    </row>
    <row r="9221" spans="1:24" hidden="1" x14ac:dyDescent="0.35">
      <c r="A9221">
        <v>9217</v>
      </c>
      <c r="B9221">
        <v>9218</v>
      </c>
      <c r="C9221">
        <v>146.100131726</v>
      </c>
      <c r="D9221">
        <v>-17.5963465956</v>
      </c>
      <c r="E9221" s="92" t="str">
        <f t="shared" si="57"/>
        <v/>
      </c>
      <c r="G9221" s="92"/>
      <c r="I9221">
        <v>6</v>
      </c>
      <c r="J9221" t="s">
        <v>26</v>
      </c>
      <c r="K9221" s="57"/>
      <c r="S9221" s="57"/>
      <c r="X9221" s="57"/>
    </row>
    <row r="9222" spans="1:24" hidden="1" x14ac:dyDescent="0.35">
      <c r="A9222">
        <v>9218</v>
      </c>
      <c r="B9222">
        <v>9219</v>
      </c>
      <c r="C9222">
        <v>146.100176427999</v>
      </c>
      <c r="D9222">
        <v>-17.5964206752999</v>
      </c>
      <c r="E9222" s="92" t="str">
        <f t="shared" si="57"/>
        <v/>
      </c>
      <c r="G9222" s="92"/>
      <c r="I9222">
        <v>6</v>
      </c>
      <c r="J9222" t="s">
        <v>26</v>
      </c>
      <c r="K9222" s="57"/>
      <c r="S9222" s="57"/>
      <c r="X9222" s="57"/>
    </row>
    <row r="9223" spans="1:24" hidden="1" x14ac:dyDescent="0.35">
      <c r="A9223">
        <v>9219</v>
      </c>
      <c r="B9223">
        <v>9220</v>
      </c>
      <c r="C9223">
        <v>146.10020878399899</v>
      </c>
      <c r="D9223">
        <v>-17.596500556100001</v>
      </c>
      <c r="E9223" s="92">
        <f t="shared" si="57"/>
        <v>50</v>
      </c>
      <c r="G9223" s="92"/>
      <c r="I9223">
        <v>6</v>
      </c>
      <c r="J9223" t="s">
        <v>26</v>
      </c>
      <c r="K9223" s="57"/>
      <c r="S9223" s="57"/>
      <c r="X9223" s="57"/>
    </row>
    <row r="9224" spans="1:24" hidden="1" x14ac:dyDescent="0.35">
      <c r="A9224">
        <v>9220</v>
      </c>
      <c r="B9224">
        <v>9221</v>
      </c>
      <c r="C9224">
        <v>146.100241140999</v>
      </c>
      <c r="D9224">
        <v>-17.596580436899899</v>
      </c>
      <c r="E9224" s="92" t="str">
        <f t="shared" si="57"/>
        <v/>
      </c>
      <c r="G9224" s="92"/>
      <c r="I9224">
        <v>6</v>
      </c>
      <c r="J9224" t="s">
        <v>26</v>
      </c>
      <c r="K9224" s="57"/>
      <c r="S9224" s="57"/>
      <c r="X9224" s="57"/>
    </row>
    <row r="9225" spans="1:24" hidden="1" x14ac:dyDescent="0.35">
      <c r="A9225">
        <v>9221</v>
      </c>
      <c r="B9225">
        <v>9222</v>
      </c>
      <c r="C9225">
        <v>146.100248985999</v>
      </c>
      <c r="D9225">
        <v>-17.596665303399899</v>
      </c>
      <c r="E9225" s="92" t="str">
        <f t="shared" si="57"/>
        <v/>
      </c>
      <c r="G9225" s="92"/>
      <c r="I9225">
        <v>6</v>
      </c>
      <c r="J9225" t="s">
        <v>26</v>
      </c>
      <c r="K9225" s="57"/>
      <c r="S9225" s="57"/>
      <c r="X9225" s="57"/>
    </row>
    <row r="9226" spans="1:24" hidden="1" x14ac:dyDescent="0.35">
      <c r="A9226">
        <v>9222</v>
      </c>
      <c r="B9226">
        <v>9223</v>
      </c>
      <c r="C9226">
        <v>146.10025365600001</v>
      </c>
      <c r="D9226">
        <v>-17.5967508158</v>
      </c>
      <c r="E9226" s="92" t="str">
        <f t="shared" si="57"/>
        <v/>
      </c>
      <c r="G9226" s="92"/>
      <c r="I9226">
        <v>6</v>
      </c>
      <c r="J9226" t="s">
        <v>26</v>
      </c>
      <c r="K9226" s="57"/>
      <c r="S9226" s="57"/>
      <c r="X9226" s="57"/>
    </row>
    <row r="9227" spans="1:24" hidden="1" x14ac:dyDescent="0.35">
      <c r="A9227">
        <v>9223</v>
      </c>
      <c r="B9227">
        <v>9224</v>
      </c>
      <c r="C9227">
        <v>146.100239017999</v>
      </c>
      <c r="D9227">
        <v>-17.596834207800001</v>
      </c>
      <c r="E9227" s="92" t="str">
        <f t="shared" si="57"/>
        <v/>
      </c>
      <c r="G9227" s="92"/>
      <c r="I9227">
        <v>6</v>
      </c>
      <c r="J9227" t="s">
        <v>26</v>
      </c>
      <c r="K9227" s="57"/>
      <c r="S9227" s="57"/>
      <c r="X9227" s="57"/>
    </row>
    <row r="9228" spans="1:24" hidden="1" x14ac:dyDescent="0.35">
      <c r="A9228">
        <v>9224</v>
      </c>
      <c r="B9228">
        <v>9225</v>
      </c>
      <c r="C9228">
        <v>146.10021407100001</v>
      </c>
      <c r="D9228">
        <v>-17.5969164676</v>
      </c>
      <c r="E9228" s="92">
        <f t="shared" si="57"/>
        <v>50</v>
      </c>
      <c r="G9228" s="92"/>
      <c r="I9228">
        <v>6</v>
      </c>
      <c r="J9228" t="s">
        <v>26</v>
      </c>
      <c r="K9228" s="57"/>
      <c r="S9228" s="57"/>
      <c r="X9228" s="57"/>
    </row>
    <row r="9229" spans="1:24" hidden="1" x14ac:dyDescent="0.35">
      <c r="A9229">
        <v>9225</v>
      </c>
      <c r="B9229">
        <v>9226</v>
      </c>
      <c r="C9229">
        <v>146.100183681</v>
      </c>
      <c r="D9229">
        <v>-17.5969969999</v>
      </c>
      <c r="E9229" s="92" t="str">
        <f t="shared" si="57"/>
        <v/>
      </c>
      <c r="G9229" s="92"/>
      <c r="I9229">
        <v>6</v>
      </c>
      <c r="J9229" t="s">
        <v>26</v>
      </c>
      <c r="K9229" s="57"/>
      <c r="S9229" s="57"/>
      <c r="X9229" s="57"/>
    </row>
    <row r="9230" spans="1:24" hidden="1" x14ac:dyDescent="0.35">
      <c r="A9230">
        <v>9226</v>
      </c>
      <c r="B9230">
        <v>9227</v>
      </c>
      <c r="C9230">
        <v>146.10015191100001</v>
      </c>
      <c r="D9230">
        <v>-17.597077093700001</v>
      </c>
      <c r="E9230" s="92" t="str">
        <f t="shared" si="57"/>
        <v/>
      </c>
      <c r="G9230" s="92"/>
      <c r="I9230">
        <v>6</v>
      </c>
      <c r="J9230" t="s">
        <v>26</v>
      </c>
      <c r="K9230" s="57"/>
      <c r="S9230" s="57"/>
      <c r="X9230" s="57"/>
    </row>
    <row r="9231" spans="1:24" hidden="1" x14ac:dyDescent="0.35">
      <c r="A9231">
        <v>9227</v>
      </c>
      <c r="B9231">
        <v>9228</v>
      </c>
      <c r="C9231">
        <v>146.100112077999</v>
      </c>
      <c r="D9231">
        <v>-17.5971535567</v>
      </c>
      <c r="E9231" s="92" t="str">
        <f t="shared" si="57"/>
        <v/>
      </c>
      <c r="G9231" s="92"/>
      <c r="I9231">
        <v>6</v>
      </c>
      <c r="J9231" t="s">
        <v>26</v>
      </c>
      <c r="K9231" s="57"/>
      <c r="S9231" s="57"/>
      <c r="X9231" s="57"/>
    </row>
    <row r="9232" spans="1:24" hidden="1" x14ac:dyDescent="0.35">
      <c r="A9232">
        <v>9228</v>
      </c>
      <c r="B9232">
        <v>9229</v>
      </c>
      <c r="C9232">
        <v>146.100065177</v>
      </c>
      <c r="D9232">
        <v>-17.5972260230999</v>
      </c>
      <c r="E9232" s="92" t="str">
        <f t="shared" ref="E9232:E9295" si="58">IF(MOD(B9232,5)=0, 50, "")</f>
        <v/>
      </c>
      <c r="G9232" s="92"/>
      <c r="I9232">
        <v>6</v>
      </c>
      <c r="J9232" t="s">
        <v>26</v>
      </c>
      <c r="K9232" s="57"/>
      <c r="S9232" s="57"/>
      <c r="X9232" s="57"/>
    </row>
    <row r="9233" spans="1:24" hidden="1" x14ac:dyDescent="0.35">
      <c r="A9233">
        <v>9229</v>
      </c>
      <c r="B9233">
        <v>9230</v>
      </c>
      <c r="C9233">
        <v>146.099994441999</v>
      </c>
      <c r="D9233">
        <v>-17.597278805799899</v>
      </c>
      <c r="E9233" s="92">
        <f t="shared" si="58"/>
        <v>50</v>
      </c>
      <c r="G9233" s="92"/>
      <c r="I9233">
        <v>6</v>
      </c>
      <c r="J9233" t="s">
        <v>26</v>
      </c>
      <c r="K9233" s="57"/>
      <c r="S9233" s="57"/>
      <c r="X9233" s="57"/>
    </row>
    <row r="9234" spans="1:24" hidden="1" x14ac:dyDescent="0.35">
      <c r="A9234">
        <v>9230</v>
      </c>
      <c r="B9234">
        <v>9231</v>
      </c>
      <c r="C9234">
        <v>146.099907712</v>
      </c>
      <c r="D9234">
        <v>-17.597299693699899</v>
      </c>
      <c r="E9234" s="92" t="str">
        <f t="shared" si="58"/>
        <v/>
      </c>
      <c r="G9234" s="92"/>
      <c r="I9234">
        <v>6</v>
      </c>
      <c r="J9234" t="s">
        <v>26</v>
      </c>
      <c r="K9234" s="57"/>
      <c r="S9234" s="57"/>
      <c r="X9234" s="57"/>
    </row>
    <row r="9235" spans="1:24" hidden="1" x14ac:dyDescent="0.35">
      <c r="A9235">
        <v>9231</v>
      </c>
      <c r="B9235">
        <v>9232</v>
      </c>
      <c r="C9235">
        <v>146.099819961999</v>
      </c>
      <c r="D9235">
        <v>-17.597287278500001</v>
      </c>
      <c r="E9235" s="92" t="str">
        <f t="shared" si="58"/>
        <v/>
      </c>
      <c r="G9235" s="92"/>
      <c r="I9235">
        <v>6</v>
      </c>
      <c r="J9235" t="s">
        <v>26</v>
      </c>
      <c r="K9235" s="57"/>
      <c r="S9235" s="57"/>
      <c r="X9235" s="57"/>
    </row>
    <row r="9236" spans="1:24" hidden="1" x14ac:dyDescent="0.35">
      <c r="A9236">
        <v>9232</v>
      </c>
      <c r="B9236">
        <v>9233</v>
      </c>
      <c r="C9236">
        <v>146.099741179999</v>
      </c>
      <c r="D9236">
        <v>-17.597249691799899</v>
      </c>
      <c r="E9236" s="92" t="str">
        <f t="shared" si="58"/>
        <v/>
      </c>
      <c r="G9236" s="92"/>
      <c r="I9236">
        <v>6</v>
      </c>
      <c r="J9236" t="s">
        <v>26</v>
      </c>
      <c r="K9236" s="57"/>
      <c r="S9236" s="57"/>
      <c r="X9236" s="57"/>
    </row>
    <row r="9237" spans="1:24" hidden="1" x14ac:dyDescent="0.35">
      <c r="A9237">
        <v>9233</v>
      </c>
      <c r="B9237">
        <v>9234</v>
      </c>
      <c r="C9237">
        <v>146.09966961800001</v>
      </c>
      <c r="D9237">
        <v>-17.5971985525</v>
      </c>
      <c r="E9237" s="92" t="str">
        <f t="shared" si="58"/>
        <v/>
      </c>
      <c r="G9237" s="92"/>
      <c r="I9237">
        <v>6</v>
      </c>
      <c r="J9237" t="s">
        <v>26</v>
      </c>
      <c r="K9237" s="57"/>
      <c r="S9237" s="57"/>
      <c r="X9237" s="57"/>
    </row>
    <row r="9238" spans="1:24" hidden="1" x14ac:dyDescent="0.35">
      <c r="A9238">
        <v>9234</v>
      </c>
      <c r="B9238">
        <v>9235</v>
      </c>
      <c r="C9238">
        <v>146.09962035500001</v>
      </c>
      <c r="D9238">
        <v>-17.597126948900002</v>
      </c>
      <c r="E9238" s="92">
        <f t="shared" si="58"/>
        <v>50</v>
      </c>
      <c r="G9238" s="92"/>
      <c r="I9238">
        <v>6</v>
      </c>
      <c r="J9238" t="s">
        <v>26</v>
      </c>
      <c r="K9238" s="57"/>
      <c r="S9238" s="57"/>
      <c r="X9238" s="57"/>
    </row>
    <row r="9239" spans="1:24" hidden="1" x14ac:dyDescent="0.35">
      <c r="A9239">
        <v>9235</v>
      </c>
      <c r="B9239">
        <v>9236</v>
      </c>
      <c r="C9239">
        <v>146.09958136500001</v>
      </c>
      <c r="D9239">
        <v>-17.597050160799899</v>
      </c>
      <c r="E9239" s="92" t="str">
        <f t="shared" si="58"/>
        <v/>
      </c>
      <c r="G9239" s="92"/>
      <c r="I9239">
        <v>6</v>
      </c>
      <c r="J9239" t="s">
        <v>26</v>
      </c>
      <c r="K9239" s="57"/>
      <c r="S9239" s="57"/>
      <c r="X9239" s="57"/>
    </row>
    <row r="9240" spans="1:24" hidden="1" x14ac:dyDescent="0.35">
      <c r="A9240">
        <v>9236</v>
      </c>
      <c r="B9240">
        <v>9237</v>
      </c>
      <c r="C9240">
        <v>146.09954693700001</v>
      </c>
      <c r="D9240">
        <v>-17.5969710711</v>
      </c>
      <c r="E9240" s="92" t="str">
        <f t="shared" si="58"/>
        <v/>
      </c>
      <c r="G9240" s="92"/>
      <c r="I9240">
        <v>6</v>
      </c>
      <c r="J9240" t="s">
        <v>26</v>
      </c>
      <c r="K9240" s="57"/>
      <c r="S9240" s="57"/>
      <c r="X9240" s="57"/>
    </row>
    <row r="9241" spans="1:24" hidden="1" x14ac:dyDescent="0.35">
      <c r="A9241">
        <v>9237</v>
      </c>
      <c r="B9241">
        <v>9238</v>
      </c>
      <c r="C9241">
        <v>146.099534097999</v>
      </c>
      <c r="D9241">
        <v>-17.5968866334</v>
      </c>
      <c r="E9241" s="92" t="str">
        <f t="shared" si="58"/>
        <v/>
      </c>
      <c r="G9241" s="92"/>
      <c r="I9241">
        <v>6</v>
      </c>
      <c r="J9241" t="s">
        <v>26</v>
      </c>
      <c r="K9241" s="57"/>
      <c r="S9241" s="57"/>
      <c r="X9241" s="57"/>
    </row>
    <row r="9242" spans="1:24" hidden="1" x14ac:dyDescent="0.35">
      <c r="A9242">
        <v>9238</v>
      </c>
      <c r="B9242">
        <v>9239</v>
      </c>
      <c r="C9242">
        <v>146.09952377299899</v>
      </c>
      <c r="D9242">
        <v>-17.5968015728</v>
      </c>
      <c r="E9242" s="92" t="str">
        <f t="shared" si="58"/>
        <v/>
      </c>
      <c r="G9242" s="92"/>
      <c r="I9242">
        <v>6</v>
      </c>
      <c r="J9242" t="s">
        <v>26</v>
      </c>
      <c r="K9242" s="57"/>
      <c r="S9242" s="57"/>
      <c r="X9242" s="57"/>
    </row>
    <row r="9243" spans="1:24" hidden="1" x14ac:dyDescent="0.35">
      <c r="A9243">
        <v>9239</v>
      </c>
      <c r="B9243">
        <v>9240</v>
      </c>
      <c r="C9243">
        <v>146.09951413799899</v>
      </c>
      <c r="D9243">
        <v>-17.596716439400002</v>
      </c>
      <c r="E9243" s="92">
        <f t="shared" si="58"/>
        <v>50</v>
      </c>
      <c r="G9243" s="92"/>
      <c r="I9243">
        <v>6</v>
      </c>
      <c r="J9243" t="s">
        <v>26</v>
      </c>
      <c r="K9243" s="57"/>
      <c r="S9243" s="57"/>
      <c r="X9243" s="57"/>
    </row>
    <row r="9244" spans="1:24" hidden="1" x14ac:dyDescent="0.35">
      <c r="A9244">
        <v>9240</v>
      </c>
      <c r="B9244">
        <v>9241</v>
      </c>
      <c r="C9244">
        <v>146.09950470000001</v>
      </c>
      <c r="D9244">
        <v>-17.596631285200001</v>
      </c>
      <c r="E9244" s="92" t="str">
        <f t="shared" si="58"/>
        <v/>
      </c>
      <c r="G9244" s="92"/>
      <c r="I9244">
        <v>6</v>
      </c>
      <c r="J9244" t="s">
        <v>26</v>
      </c>
      <c r="K9244" s="57"/>
      <c r="S9244" s="57"/>
      <c r="X9244" s="57"/>
    </row>
    <row r="9245" spans="1:24" hidden="1" x14ac:dyDescent="0.35">
      <c r="A9245">
        <v>9241</v>
      </c>
      <c r="B9245">
        <v>9242</v>
      </c>
      <c r="C9245">
        <v>146.09948970299899</v>
      </c>
      <c r="D9245">
        <v>-17.596547051600002</v>
      </c>
      <c r="E9245" s="92" t="str">
        <f t="shared" si="58"/>
        <v/>
      </c>
      <c r="G9245" s="92"/>
      <c r="I9245">
        <v>6</v>
      </c>
      <c r="J9245" t="s">
        <v>26</v>
      </c>
      <c r="K9245" s="57"/>
      <c r="S9245" s="57"/>
      <c r="X9245" s="57"/>
    </row>
    <row r="9246" spans="1:24" hidden="1" x14ac:dyDescent="0.35">
      <c r="A9246">
        <v>9242</v>
      </c>
      <c r="B9246">
        <v>9243</v>
      </c>
      <c r="C9246">
        <v>146.099468451999</v>
      </c>
      <c r="D9246">
        <v>-17.596463853700001</v>
      </c>
      <c r="E9246" s="92" t="str">
        <f t="shared" si="58"/>
        <v/>
      </c>
      <c r="G9246" s="92"/>
      <c r="I9246">
        <v>6</v>
      </c>
      <c r="J9246" t="s">
        <v>26</v>
      </c>
      <c r="K9246" s="57"/>
      <c r="S9246" s="57"/>
      <c r="X9246" s="57"/>
    </row>
    <row r="9247" spans="1:24" hidden="1" x14ac:dyDescent="0.35">
      <c r="A9247">
        <v>9243</v>
      </c>
      <c r="B9247">
        <v>9244</v>
      </c>
      <c r="C9247">
        <v>146.099434486999</v>
      </c>
      <c r="D9247">
        <v>-17.596385198299899</v>
      </c>
      <c r="E9247" s="92" t="str">
        <f t="shared" si="58"/>
        <v/>
      </c>
      <c r="G9247" s="92"/>
      <c r="I9247">
        <v>6</v>
      </c>
      <c r="J9247" t="s">
        <v>26</v>
      </c>
      <c r="K9247" s="57"/>
      <c r="S9247" s="57"/>
      <c r="X9247" s="57"/>
    </row>
    <row r="9248" spans="1:24" hidden="1" x14ac:dyDescent="0.35">
      <c r="A9248">
        <v>9244</v>
      </c>
      <c r="B9248">
        <v>9245</v>
      </c>
      <c r="C9248">
        <v>146.09939313500001</v>
      </c>
      <c r="D9248">
        <v>-17.596309182100001</v>
      </c>
      <c r="E9248" s="92">
        <f t="shared" si="58"/>
        <v>50</v>
      </c>
      <c r="G9248" s="92"/>
      <c r="I9248">
        <v>6</v>
      </c>
      <c r="J9248" t="s">
        <v>26</v>
      </c>
      <c r="K9248" s="57"/>
      <c r="S9248" s="57"/>
      <c r="X9248" s="57"/>
    </row>
    <row r="9249" spans="1:24" hidden="1" x14ac:dyDescent="0.35">
      <c r="A9249">
        <v>9245</v>
      </c>
      <c r="B9249">
        <v>9246</v>
      </c>
      <c r="C9249">
        <v>146.09935220099899</v>
      </c>
      <c r="D9249">
        <v>-17.596232988699899</v>
      </c>
      <c r="E9249" s="92" t="str">
        <f t="shared" si="58"/>
        <v/>
      </c>
      <c r="G9249" s="92"/>
      <c r="I9249">
        <v>6</v>
      </c>
      <c r="J9249" t="s">
        <v>26</v>
      </c>
      <c r="K9249" s="57"/>
      <c r="S9249" s="57"/>
      <c r="X9249" s="57"/>
    </row>
    <row r="9250" spans="1:24" hidden="1" x14ac:dyDescent="0.35">
      <c r="A9250">
        <v>9246</v>
      </c>
      <c r="B9250">
        <v>9247</v>
      </c>
      <c r="C9250">
        <v>146.09932068699899</v>
      </c>
      <c r="D9250">
        <v>-17.596152802100001</v>
      </c>
      <c r="E9250" s="92" t="str">
        <f t="shared" si="58"/>
        <v/>
      </c>
      <c r="G9250" s="92"/>
      <c r="I9250">
        <v>6</v>
      </c>
      <c r="J9250" t="s">
        <v>26</v>
      </c>
      <c r="K9250" s="57"/>
      <c r="S9250" s="57"/>
      <c r="X9250" s="57"/>
    </row>
    <row r="9251" spans="1:24" hidden="1" x14ac:dyDescent="0.35">
      <c r="A9251">
        <v>9247</v>
      </c>
      <c r="B9251">
        <v>9248</v>
      </c>
      <c r="C9251">
        <v>146.09928917400001</v>
      </c>
      <c r="D9251">
        <v>-17.596072615400001</v>
      </c>
      <c r="E9251" s="92" t="str">
        <f t="shared" si="58"/>
        <v/>
      </c>
      <c r="G9251" s="92"/>
      <c r="I9251">
        <v>6</v>
      </c>
      <c r="J9251" t="s">
        <v>26</v>
      </c>
      <c r="K9251" s="57"/>
      <c r="S9251" s="57"/>
      <c r="X9251" s="57"/>
    </row>
    <row r="9252" spans="1:24" hidden="1" x14ac:dyDescent="0.35">
      <c r="A9252">
        <v>9248</v>
      </c>
      <c r="B9252">
        <v>9249</v>
      </c>
      <c r="C9252">
        <v>146.099253043999</v>
      </c>
      <c r="D9252">
        <v>-17.595994273199899</v>
      </c>
      <c r="E9252" s="92" t="str">
        <f t="shared" si="58"/>
        <v/>
      </c>
      <c r="G9252" s="92"/>
      <c r="I9252">
        <v>6</v>
      </c>
      <c r="J9252" t="s">
        <v>26</v>
      </c>
      <c r="K9252" s="57"/>
      <c r="S9252" s="57"/>
      <c r="X9252" s="57"/>
    </row>
    <row r="9253" spans="1:24" hidden="1" x14ac:dyDescent="0.35">
      <c r="A9253">
        <v>9249</v>
      </c>
      <c r="B9253">
        <v>9250</v>
      </c>
      <c r="C9253">
        <v>146.09920103300001</v>
      </c>
      <c r="D9253">
        <v>-17.595928096600002</v>
      </c>
      <c r="E9253" s="92">
        <f t="shared" si="58"/>
        <v>50</v>
      </c>
      <c r="G9253" s="92"/>
      <c r="I9253">
        <v>6</v>
      </c>
      <c r="J9253" t="s">
        <v>26</v>
      </c>
      <c r="K9253" s="57"/>
      <c r="S9253" s="57"/>
      <c r="X9253" s="57"/>
    </row>
    <row r="9254" spans="1:24" hidden="1" x14ac:dyDescent="0.35">
      <c r="A9254">
        <v>9250</v>
      </c>
      <c r="B9254">
        <v>9251</v>
      </c>
      <c r="C9254">
        <v>146.09912302199899</v>
      </c>
      <c r="D9254">
        <v>-17.5958895736999</v>
      </c>
      <c r="E9254" s="92" t="str">
        <f t="shared" si="58"/>
        <v/>
      </c>
      <c r="G9254" s="92"/>
      <c r="I9254">
        <v>6</v>
      </c>
      <c r="J9254" t="s">
        <v>26</v>
      </c>
      <c r="K9254" s="57"/>
      <c r="S9254" s="57"/>
      <c r="X9254" s="57"/>
    </row>
    <row r="9255" spans="1:24" hidden="1" x14ac:dyDescent="0.35">
      <c r="A9255">
        <v>9251</v>
      </c>
      <c r="B9255">
        <v>9252</v>
      </c>
      <c r="C9255">
        <v>146.09903368600001</v>
      </c>
      <c r="D9255">
        <v>-17.595880595600001</v>
      </c>
      <c r="E9255" s="92" t="str">
        <f t="shared" si="58"/>
        <v/>
      </c>
      <c r="G9255" s="92"/>
      <c r="I9255">
        <v>6</v>
      </c>
      <c r="J9255" t="s">
        <v>26</v>
      </c>
      <c r="K9255" s="57"/>
      <c r="S9255" s="57"/>
      <c r="X9255" s="57"/>
    </row>
    <row r="9256" spans="1:24" hidden="1" x14ac:dyDescent="0.35">
      <c r="A9256">
        <v>9252</v>
      </c>
      <c r="B9256">
        <v>9253</v>
      </c>
      <c r="C9256">
        <v>146.098960656</v>
      </c>
      <c r="D9256">
        <v>-17.595929366699899</v>
      </c>
      <c r="E9256" s="92" t="str">
        <f t="shared" si="58"/>
        <v/>
      </c>
      <c r="G9256" s="92"/>
      <c r="I9256">
        <v>6</v>
      </c>
      <c r="J9256" t="s">
        <v>26</v>
      </c>
      <c r="K9256" s="57"/>
      <c r="S9256" s="57"/>
      <c r="X9256" s="57"/>
    </row>
    <row r="9257" spans="1:24" hidden="1" x14ac:dyDescent="0.35">
      <c r="A9257">
        <v>9253</v>
      </c>
      <c r="B9257">
        <v>9254</v>
      </c>
      <c r="C9257">
        <v>146.098904075999</v>
      </c>
      <c r="D9257">
        <v>-17.595994955999899</v>
      </c>
      <c r="E9257" s="92" t="str">
        <f t="shared" si="58"/>
        <v/>
      </c>
      <c r="G9257" s="92"/>
      <c r="I9257">
        <v>6</v>
      </c>
      <c r="J9257" t="s">
        <v>26</v>
      </c>
      <c r="K9257" s="57"/>
      <c r="S9257" s="57"/>
      <c r="X9257" s="57"/>
    </row>
    <row r="9258" spans="1:24" hidden="1" x14ac:dyDescent="0.35">
      <c r="A9258">
        <v>9254</v>
      </c>
      <c r="B9258">
        <v>9255</v>
      </c>
      <c r="C9258">
        <v>146.098853778999</v>
      </c>
      <c r="D9258">
        <v>-17.596065697099899</v>
      </c>
      <c r="E9258" s="92">
        <f t="shared" si="58"/>
        <v>50</v>
      </c>
      <c r="G9258" s="92"/>
      <c r="I9258">
        <v>6</v>
      </c>
      <c r="J9258" t="s">
        <v>26</v>
      </c>
      <c r="K9258" s="57"/>
      <c r="S9258" s="57"/>
      <c r="X9258" s="57"/>
    </row>
    <row r="9259" spans="1:24" hidden="1" x14ac:dyDescent="0.35">
      <c r="A9259">
        <v>9255</v>
      </c>
      <c r="B9259">
        <v>9256</v>
      </c>
      <c r="C9259">
        <v>146.098815129999</v>
      </c>
      <c r="D9259">
        <v>-17.5961429950999</v>
      </c>
      <c r="E9259" s="92" t="str">
        <f t="shared" si="58"/>
        <v/>
      </c>
      <c r="G9259" s="92"/>
      <c r="I9259">
        <v>6</v>
      </c>
      <c r="J9259" t="s">
        <v>26</v>
      </c>
      <c r="K9259" s="57"/>
      <c r="S9259" s="57"/>
      <c r="X9259" s="57"/>
    </row>
    <row r="9260" spans="1:24" hidden="1" x14ac:dyDescent="0.35">
      <c r="A9260">
        <v>9256</v>
      </c>
      <c r="B9260">
        <v>9257</v>
      </c>
      <c r="C9260">
        <v>146.09876494100001</v>
      </c>
      <c r="D9260">
        <v>-17.5962137448</v>
      </c>
      <c r="E9260" s="92" t="str">
        <f t="shared" si="58"/>
        <v/>
      </c>
      <c r="G9260" s="92"/>
      <c r="I9260">
        <v>6</v>
      </c>
      <c r="J9260" t="s">
        <v>26</v>
      </c>
      <c r="K9260" s="57"/>
      <c r="S9260" s="57"/>
      <c r="X9260" s="57"/>
    </row>
    <row r="9261" spans="1:24" hidden="1" x14ac:dyDescent="0.35">
      <c r="A9261">
        <v>9257</v>
      </c>
      <c r="B9261">
        <v>9258</v>
      </c>
      <c r="C9261">
        <v>146.09871207800001</v>
      </c>
      <c r="D9261">
        <v>-17.596282977400001</v>
      </c>
      <c r="E9261" s="92" t="str">
        <f t="shared" si="58"/>
        <v/>
      </c>
      <c r="G9261" s="92"/>
      <c r="I9261">
        <v>6</v>
      </c>
      <c r="J9261" t="s">
        <v>26</v>
      </c>
      <c r="K9261" s="57"/>
      <c r="S9261" s="57"/>
      <c r="X9261" s="57"/>
    </row>
    <row r="9262" spans="1:24" hidden="1" x14ac:dyDescent="0.35">
      <c r="A9262">
        <v>9258</v>
      </c>
      <c r="B9262">
        <v>9259</v>
      </c>
      <c r="C9262">
        <v>146.09865921599899</v>
      </c>
      <c r="D9262">
        <v>-17.596352210100001</v>
      </c>
      <c r="E9262" s="92" t="str">
        <f t="shared" si="58"/>
        <v/>
      </c>
      <c r="G9262" s="92"/>
      <c r="I9262">
        <v>6</v>
      </c>
      <c r="J9262" t="s">
        <v>26</v>
      </c>
      <c r="K9262" s="57"/>
      <c r="S9262" s="57"/>
      <c r="X9262" s="57"/>
    </row>
    <row r="9263" spans="1:24" hidden="1" x14ac:dyDescent="0.35">
      <c r="A9263">
        <v>9259</v>
      </c>
      <c r="B9263">
        <v>9260</v>
      </c>
      <c r="C9263">
        <v>146.098598479999</v>
      </c>
      <c r="D9263">
        <v>-17.596414915800001</v>
      </c>
      <c r="E9263" s="92">
        <f t="shared" si="58"/>
        <v>50</v>
      </c>
      <c r="G9263" s="92"/>
      <c r="I9263">
        <v>6</v>
      </c>
      <c r="J9263" t="s">
        <v>26</v>
      </c>
      <c r="K9263" s="57"/>
      <c r="S9263" s="57"/>
      <c r="X9263" s="57"/>
    </row>
    <row r="9264" spans="1:24" hidden="1" x14ac:dyDescent="0.35">
      <c r="A9264">
        <v>9260</v>
      </c>
      <c r="B9264">
        <v>9261</v>
      </c>
      <c r="C9264">
        <v>146.09853388400001</v>
      </c>
      <c r="D9264">
        <v>-17.596474420700002</v>
      </c>
      <c r="E9264" s="92" t="str">
        <f t="shared" si="58"/>
        <v/>
      </c>
      <c r="G9264" s="92"/>
      <c r="I9264">
        <v>6</v>
      </c>
      <c r="J9264" t="s">
        <v>26</v>
      </c>
      <c r="K9264" s="57"/>
      <c r="S9264" s="57"/>
      <c r="X9264" s="57"/>
    </row>
    <row r="9265" spans="1:24" hidden="1" x14ac:dyDescent="0.35">
      <c r="A9265">
        <v>9261</v>
      </c>
      <c r="B9265">
        <v>9262</v>
      </c>
      <c r="C9265">
        <v>146.098469287</v>
      </c>
      <c r="D9265">
        <v>-17.5965339255999</v>
      </c>
      <c r="E9265" s="92" t="str">
        <f t="shared" si="58"/>
        <v/>
      </c>
      <c r="G9265" s="92"/>
      <c r="I9265">
        <v>6</v>
      </c>
      <c r="J9265" t="s">
        <v>26</v>
      </c>
      <c r="K9265" s="57"/>
      <c r="S9265" s="57"/>
      <c r="X9265" s="57"/>
    </row>
    <row r="9266" spans="1:24" hidden="1" x14ac:dyDescent="0.35">
      <c r="A9266">
        <v>9262</v>
      </c>
      <c r="B9266">
        <v>9263</v>
      </c>
      <c r="C9266">
        <v>146.098403332999</v>
      </c>
      <c r="D9266">
        <v>-17.5965920517</v>
      </c>
      <c r="E9266" s="92" t="str">
        <f t="shared" si="58"/>
        <v/>
      </c>
      <c r="G9266" s="92"/>
      <c r="I9266">
        <v>6</v>
      </c>
      <c r="J9266" t="s">
        <v>26</v>
      </c>
      <c r="K9266" s="57"/>
      <c r="S9266" s="57"/>
      <c r="X9266" s="57"/>
    </row>
    <row r="9267" spans="1:24" hidden="1" x14ac:dyDescent="0.35">
      <c r="A9267">
        <v>9263</v>
      </c>
      <c r="B9267">
        <v>9264</v>
      </c>
      <c r="C9267">
        <v>146.09833693100001</v>
      </c>
      <c r="D9267">
        <v>-17.596649722399899</v>
      </c>
      <c r="E9267" s="92" t="str">
        <f t="shared" si="58"/>
        <v/>
      </c>
      <c r="G9267" s="92"/>
      <c r="I9267">
        <v>6</v>
      </c>
      <c r="J9267" t="s">
        <v>26</v>
      </c>
      <c r="K9267" s="57"/>
      <c r="S9267" s="57"/>
      <c r="X9267" s="57"/>
    </row>
    <row r="9268" spans="1:24" hidden="1" x14ac:dyDescent="0.35">
      <c r="A9268">
        <v>9264</v>
      </c>
      <c r="B9268">
        <v>9265</v>
      </c>
      <c r="C9268">
        <v>146.098270528999</v>
      </c>
      <c r="D9268">
        <v>-17.5967073929999</v>
      </c>
      <c r="E9268" s="92">
        <f t="shared" si="58"/>
        <v>50</v>
      </c>
      <c r="G9268" s="92"/>
      <c r="I9268">
        <v>6</v>
      </c>
      <c r="J9268" t="s">
        <v>26</v>
      </c>
      <c r="K9268" s="57"/>
      <c r="S9268" s="57"/>
      <c r="X9268" s="57"/>
    </row>
    <row r="9269" spans="1:24" hidden="1" x14ac:dyDescent="0.35">
      <c r="A9269">
        <v>9265</v>
      </c>
      <c r="B9269">
        <v>9266</v>
      </c>
      <c r="C9269">
        <v>146.098192732</v>
      </c>
      <c r="D9269">
        <v>-17.596748579300002</v>
      </c>
      <c r="E9269" s="92" t="str">
        <f t="shared" si="58"/>
        <v/>
      </c>
      <c r="G9269" s="92"/>
      <c r="I9269">
        <v>6</v>
      </c>
      <c r="J9269" t="s">
        <v>26</v>
      </c>
      <c r="K9269" s="57"/>
      <c r="S9269" s="57"/>
      <c r="X9269" s="57"/>
    </row>
    <row r="9270" spans="1:24" hidden="1" x14ac:dyDescent="0.35">
      <c r="A9270">
        <v>9266</v>
      </c>
      <c r="B9270">
        <v>9267</v>
      </c>
      <c r="C9270">
        <v>146.098110939999</v>
      </c>
      <c r="D9270">
        <v>-17.596783987999899</v>
      </c>
      <c r="E9270" s="92" t="str">
        <f t="shared" si="58"/>
        <v/>
      </c>
      <c r="G9270" s="92"/>
      <c r="I9270">
        <v>6</v>
      </c>
      <c r="J9270" t="s">
        <v>26</v>
      </c>
      <c r="K9270" s="57"/>
      <c r="S9270" s="57"/>
      <c r="X9270" s="57"/>
    </row>
    <row r="9271" spans="1:24" hidden="1" x14ac:dyDescent="0.35">
      <c r="A9271">
        <v>9267</v>
      </c>
      <c r="B9271">
        <v>9268</v>
      </c>
      <c r="C9271">
        <v>146.09802936400001</v>
      </c>
      <c r="D9271">
        <v>-17.5968198363</v>
      </c>
      <c r="E9271" s="92" t="str">
        <f t="shared" si="58"/>
        <v/>
      </c>
      <c r="G9271" s="92"/>
      <c r="I9271">
        <v>6</v>
      </c>
      <c r="J9271" t="s">
        <v>26</v>
      </c>
      <c r="K9271" s="57"/>
      <c r="S9271" s="57"/>
      <c r="X9271" s="57"/>
    </row>
    <row r="9272" spans="1:24" hidden="1" x14ac:dyDescent="0.35">
      <c r="A9272">
        <v>9268</v>
      </c>
      <c r="B9272">
        <v>9269</v>
      </c>
      <c r="C9272">
        <v>146.097948285</v>
      </c>
      <c r="D9272">
        <v>-17.5968567046</v>
      </c>
      <c r="E9272" s="92" t="str">
        <f t="shared" si="58"/>
        <v/>
      </c>
      <c r="G9272" s="92"/>
      <c r="I9272">
        <v>6</v>
      </c>
      <c r="J9272" t="s">
        <v>26</v>
      </c>
      <c r="K9272" s="57"/>
      <c r="S9272" s="57"/>
      <c r="X9272" s="57"/>
    </row>
    <row r="9273" spans="1:24" hidden="1" x14ac:dyDescent="0.35">
      <c r="A9273">
        <v>9269</v>
      </c>
      <c r="B9273">
        <v>9270</v>
      </c>
      <c r="C9273">
        <v>146.097866054999</v>
      </c>
      <c r="D9273">
        <v>-17.596891087300001</v>
      </c>
      <c r="E9273" s="92">
        <f t="shared" si="58"/>
        <v>50</v>
      </c>
      <c r="G9273" s="92"/>
      <c r="I9273">
        <v>6</v>
      </c>
      <c r="J9273" t="s">
        <v>26</v>
      </c>
      <c r="K9273" s="57"/>
      <c r="S9273" s="57"/>
      <c r="X9273" s="57"/>
    </row>
    <row r="9274" spans="1:24" hidden="1" x14ac:dyDescent="0.35">
      <c r="A9274">
        <v>9270</v>
      </c>
      <c r="B9274">
        <v>9271</v>
      </c>
      <c r="C9274">
        <v>146.097782856999</v>
      </c>
      <c r="D9274">
        <v>-17.596923379700002</v>
      </c>
      <c r="E9274" s="92" t="str">
        <f t="shared" si="58"/>
        <v/>
      </c>
      <c r="G9274" s="92"/>
      <c r="I9274">
        <v>6</v>
      </c>
      <c r="J9274" t="s">
        <v>26</v>
      </c>
      <c r="K9274" s="57"/>
      <c r="S9274" s="57"/>
      <c r="X9274" s="57"/>
    </row>
    <row r="9275" spans="1:24" hidden="1" x14ac:dyDescent="0.35">
      <c r="A9275">
        <v>9271</v>
      </c>
      <c r="B9275">
        <v>9272</v>
      </c>
      <c r="C9275">
        <v>146.09769965800001</v>
      </c>
      <c r="D9275">
        <v>-17.596955672099899</v>
      </c>
      <c r="E9275" s="92" t="str">
        <f t="shared" si="58"/>
        <v/>
      </c>
      <c r="G9275" s="92"/>
      <c r="I9275">
        <v>6</v>
      </c>
      <c r="J9275" t="s">
        <v>26</v>
      </c>
      <c r="K9275" s="57"/>
      <c r="S9275" s="57"/>
      <c r="X9275" s="57"/>
    </row>
    <row r="9276" spans="1:24" hidden="1" x14ac:dyDescent="0.35">
      <c r="A9276">
        <v>9272</v>
      </c>
      <c r="B9276">
        <v>9273</v>
      </c>
      <c r="C9276">
        <v>146.09761248199899</v>
      </c>
      <c r="D9276">
        <v>-17.5969438895</v>
      </c>
      <c r="E9276" s="92" t="str">
        <f t="shared" si="58"/>
        <v/>
      </c>
      <c r="G9276" s="92"/>
      <c r="I9276">
        <v>6</v>
      </c>
      <c r="J9276" t="s">
        <v>26</v>
      </c>
      <c r="K9276" s="57"/>
      <c r="S9276" s="57"/>
      <c r="X9276" s="57"/>
    </row>
    <row r="9277" spans="1:24" hidden="1" x14ac:dyDescent="0.35">
      <c r="A9277">
        <v>9273</v>
      </c>
      <c r="B9277">
        <v>9274</v>
      </c>
      <c r="C9277">
        <v>146.097524719999</v>
      </c>
      <c r="D9277">
        <v>-17.596925615899899</v>
      </c>
      <c r="E9277" s="92" t="str">
        <f t="shared" si="58"/>
        <v/>
      </c>
      <c r="G9277" s="92"/>
      <c r="I9277">
        <v>6</v>
      </c>
      <c r="J9277" t="s">
        <v>26</v>
      </c>
      <c r="K9277" s="57"/>
      <c r="S9277" s="57"/>
      <c r="X9277" s="57"/>
    </row>
    <row r="9278" spans="1:24" hidden="1" x14ac:dyDescent="0.35">
      <c r="A9278">
        <v>9274</v>
      </c>
      <c r="B9278">
        <v>9275</v>
      </c>
      <c r="C9278">
        <v>146.097440489999</v>
      </c>
      <c r="D9278">
        <v>-17.5968966255999</v>
      </c>
      <c r="E9278" s="92">
        <f t="shared" si="58"/>
        <v>50</v>
      </c>
      <c r="G9278" s="92"/>
      <c r="I9278">
        <v>6</v>
      </c>
      <c r="J9278" t="s">
        <v>26</v>
      </c>
      <c r="K9278" s="57"/>
      <c r="S9278" s="57"/>
      <c r="X9278" s="57"/>
    </row>
    <row r="9279" spans="1:24" hidden="1" x14ac:dyDescent="0.35">
      <c r="A9279">
        <v>9275</v>
      </c>
      <c r="B9279">
        <v>9276</v>
      </c>
      <c r="C9279">
        <v>146.097357533999</v>
      </c>
      <c r="D9279">
        <v>-17.596863770500001</v>
      </c>
      <c r="E9279" s="92" t="str">
        <f t="shared" si="58"/>
        <v/>
      </c>
      <c r="G9279" s="92"/>
      <c r="I9279">
        <v>6</v>
      </c>
      <c r="J9279" t="s">
        <v>26</v>
      </c>
      <c r="K9279" s="57"/>
      <c r="S9279" s="57"/>
      <c r="X9279" s="57"/>
    </row>
    <row r="9280" spans="1:24" hidden="1" x14ac:dyDescent="0.35">
      <c r="A9280">
        <v>9276</v>
      </c>
      <c r="B9280">
        <v>9277</v>
      </c>
      <c r="C9280">
        <v>146.097289848999</v>
      </c>
      <c r="D9280">
        <v>-17.596808294300001</v>
      </c>
      <c r="E9280" s="92" t="str">
        <f t="shared" si="58"/>
        <v/>
      </c>
      <c r="G9280" s="92"/>
      <c r="I9280">
        <v>6</v>
      </c>
      <c r="J9280" t="s">
        <v>26</v>
      </c>
      <c r="K9280" s="57"/>
      <c r="S9280" s="57"/>
      <c r="X9280" s="57"/>
    </row>
    <row r="9281" spans="1:24" hidden="1" x14ac:dyDescent="0.35">
      <c r="A9281">
        <v>9277</v>
      </c>
      <c r="B9281">
        <v>9278</v>
      </c>
      <c r="C9281">
        <v>146.09726311099899</v>
      </c>
      <c r="D9281">
        <v>-17.5967285045</v>
      </c>
      <c r="E9281" s="92" t="str">
        <f t="shared" si="58"/>
        <v/>
      </c>
      <c r="G9281" s="92"/>
      <c r="I9281">
        <v>6</v>
      </c>
      <c r="J9281" t="s">
        <v>26</v>
      </c>
      <c r="K9281" s="57"/>
      <c r="S9281" s="57"/>
      <c r="X9281" s="57"/>
    </row>
    <row r="9282" spans="1:24" hidden="1" x14ac:dyDescent="0.35">
      <c r="A9282">
        <v>9278</v>
      </c>
      <c r="B9282">
        <v>9279</v>
      </c>
      <c r="C9282">
        <v>146.09728430800001</v>
      </c>
      <c r="D9282">
        <v>-17.596648630200001</v>
      </c>
      <c r="E9282" s="92" t="str">
        <f t="shared" si="58"/>
        <v/>
      </c>
      <c r="G9282" s="92"/>
      <c r="I9282">
        <v>6</v>
      </c>
      <c r="J9282" t="s">
        <v>26</v>
      </c>
      <c r="K9282" s="57"/>
      <c r="S9282" s="57"/>
      <c r="X9282" s="57"/>
    </row>
    <row r="9283" spans="1:24" hidden="1" x14ac:dyDescent="0.35">
      <c r="A9283">
        <v>9279</v>
      </c>
      <c r="B9283">
        <v>9280</v>
      </c>
      <c r="C9283">
        <v>146.097332047999</v>
      </c>
      <c r="D9283">
        <v>-17.5965803407999</v>
      </c>
      <c r="E9283" s="92">
        <f t="shared" si="58"/>
        <v>50</v>
      </c>
      <c r="G9283" s="92"/>
      <c r="I9283">
        <v>6</v>
      </c>
      <c r="J9283" t="s">
        <v>26</v>
      </c>
      <c r="K9283" s="57"/>
      <c r="S9283" s="57"/>
      <c r="X9283" s="57"/>
    </row>
    <row r="9284" spans="1:24" hidden="1" x14ac:dyDescent="0.35">
      <c r="A9284">
        <v>9280</v>
      </c>
      <c r="B9284">
        <v>9281</v>
      </c>
      <c r="C9284">
        <v>146.09740995499899</v>
      </c>
      <c r="D9284">
        <v>-17.596537709</v>
      </c>
      <c r="E9284" s="92" t="str">
        <f t="shared" si="58"/>
        <v/>
      </c>
      <c r="G9284" s="92"/>
      <c r="I9284">
        <v>6</v>
      </c>
      <c r="J9284" t="s">
        <v>26</v>
      </c>
      <c r="K9284" s="57"/>
      <c r="S9284" s="57"/>
      <c r="X9284" s="57"/>
    </row>
    <row r="9285" spans="1:24" hidden="1" x14ac:dyDescent="0.35">
      <c r="A9285">
        <v>9281</v>
      </c>
      <c r="B9285">
        <v>9282</v>
      </c>
      <c r="C9285">
        <v>146.097487330999</v>
      </c>
      <c r="D9285">
        <v>-17.596494227200001</v>
      </c>
      <c r="E9285" s="92" t="str">
        <f t="shared" si="58"/>
        <v/>
      </c>
      <c r="G9285" s="92"/>
      <c r="I9285">
        <v>6</v>
      </c>
      <c r="J9285" t="s">
        <v>26</v>
      </c>
      <c r="K9285" s="57"/>
      <c r="S9285" s="57"/>
      <c r="X9285" s="57"/>
    </row>
    <row r="9286" spans="1:24" hidden="1" x14ac:dyDescent="0.35">
      <c r="A9286">
        <v>9282</v>
      </c>
      <c r="B9286">
        <v>9283</v>
      </c>
      <c r="C9286">
        <v>146.097563855999</v>
      </c>
      <c r="D9286">
        <v>-17.596449378700001</v>
      </c>
      <c r="E9286" s="92" t="str">
        <f t="shared" si="58"/>
        <v/>
      </c>
      <c r="G9286" s="92"/>
      <c r="I9286">
        <v>6</v>
      </c>
      <c r="J9286" t="s">
        <v>26</v>
      </c>
      <c r="K9286" s="57"/>
      <c r="S9286" s="57"/>
      <c r="X9286" s="57"/>
    </row>
    <row r="9287" spans="1:24" hidden="1" x14ac:dyDescent="0.35">
      <c r="A9287">
        <v>9283</v>
      </c>
      <c r="B9287">
        <v>9284</v>
      </c>
      <c r="C9287">
        <v>146.09764038</v>
      </c>
      <c r="D9287">
        <v>-17.5964045300999</v>
      </c>
      <c r="E9287" s="92" t="str">
        <f t="shared" si="58"/>
        <v/>
      </c>
      <c r="G9287" s="92"/>
      <c r="I9287">
        <v>6</v>
      </c>
      <c r="J9287" t="s">
        <v>26</v>
      </c>
      <c r="K9287" s="57"/>
      <c r="S9287" s="57"/>
      <c r="X9287" s="57"/>
    </row>
    <row r="9288" spans="1:24" hidden="1" x14ac:dyDescent="0.35">
      <c r="A9288">
        <v>9284</v>
      </c>
      <c r="B9288">
        <v>9285</v>
      </c>
      <c r="C9288">
        <v>146.097720229</v>
      </c>
      <c r="D9288">
        <v>-17.5963653968</v>
      </c>
      <c r="E9288" s="92">
        <f t="shared" si="58"/>
        <v>50</v>
      </c>
      <c r="G9288" s="92"/>
      <c r="I9288">
        <v>6</v>
      </c>
      <c r="J9288" t="s">
        <v>26</v>
      </c>
      <c r="K9288" s="57"/>
      <c r="S9288" s="57"/>
      <c r="X9288" s="57"/>
    </row>
    <row r="9289" spans="1:24" hidden="1" x14ac:dyDescent="0.35">
      <c r="A9289">
        <v>9285</v>
      </c>
      <c r="B9289">
        <v>9286</v>
      </c>
      <c r="C9289">
        <v>146.097800669999</v>
      </c>
      <c r="D9289">
        <v>-17.596327281499899</v>
      </c>
      <c r="E9289" s="92" t="str">
        <f t="shared" si="58"/>
        <v/>
      </c>
      <c r="G9289" s="92"/>
      <c r="I9289">
        <v>6</v>
      </c>
      <c r="J9289" t="s">
        <v>26</v>
      </c>
      <c r="K9289" s="57"/>
      <c r="S9289" s="57"/>
      <c r="X9289" s="57"/>
    </row>
    <row r="9290" spans="1:24" hidden="1" x14ac:dyDescent="0.35">
      <c r="A9290">
        <v>9286</v>
      </c>
      <c r="B9290">
        <v>9287</v>
      </c>
      <c r="C9290">
        <v>146.09787960400001</v>
      </c>
      <c r="D9290">
        <v>-17.596286887600002</v>
      </c>
      <c r="E9290" s="92" t="str">
        <f t="shared" si="58"/>
        <v/>
      </c>
      <c r="G9290" s="92"/>
      <c r="I9290">
        <v>6</v>
      </c>
      <c r="J9290" t="s">
        <v>26</v>
      </c>
      <c r="K9290" s="57"/>
      <c r="S9290" s="57"/>
      <c r="X9290" s="57"/>
    </row>
    <row r="9291" spans="1:24" hidden="1" x14ac:dyDescent="0.35">
      <c r="A9291">
        <v>9287</v>
      </c>
      <c r="B9291">
        <v>9288</v>
      </c>
      <c r="C9291">
        <v>146.09795034000001</v>
      </c>
      <c r="D9291">
        <v>-17.596234105600001</v>
      </c>
      <c r="E9291" s="92" t="str">
        <f t="shared" si="58"/>
        <v/>
      </c>
      <c r="G9291" s="92"/>
      <c r="I9291">
        <v>6</v>
      </c>
      <c r="J9291" t="s">
        <v>26</v>
      </c>
      <c r="K9291" s="57"/>
      <c r="S9291" s="57"/>
      <c r="X9291" s="57"/>
    </row>
    <row r="9292" spans="1:24" hidden="1" x14ac:dyDescent="0.35">
      <c r="A9292">
        <v>9288</v>
      </c>
      <c r="B9292">
        <v>9289</v>
      </c>
      <c r="C9292">
        <v>146.09802107600001</v>
      </c>
      <c r="D9292">
        <v>-17.596181323700002</v>
      </c>
      <c r="E9292" s="92" t="str">
        <f t="shared" si="58"/>
        <v/>
      </c>
      <c r="G9292" s="92"/>
      <c r="I9292">
        <v>6</v>
      </c>
      <c r="J9292" t="s">
        <v>26</v>
      </c>
      <c r="K9292" s="57"/>
      <c r="S9292" s="57"/>
      <c r="X9292" s="57"/>
    </row>
    <row r="9293" spans="1:24" hidden="1" x14ac:dyDescent="0.35">
      <c r="A9293">
        <v>9289</v>
      </c>
      <c r="B9293">
        <v>9290</v>
      </c>
      <c r="C9293">
        <v>146.098061663999</v>
      </c>
      <c r="D9293">
        <v>-17.5961059627999</v>
      </c>
      <c r="E9293" s="92">
        <f t="shared" si="58"/>
        <v>50</v>
      </c>
      <c r="G9293" s="92"/>
      <c r="I9293">
        <v>6</v>
      </c>
      <c r="J9293" t="s">
        <v>26</v>
      </c>
      <c r="K9293" s="57"/>
      <c r="S9293" s="57"/>
      <c r="X9293" s="57"/>
    </row>
    <row r="9294" spans="1:24" hidden="1" x14ac:dyDescent="0.35">
      <c r="A9294">
        <v>9290</v>
      </c>
      <c r="B9294">
        <v>9291</v>
      </c>
      <c r="C9294">
        <v>146.09810129799899</v>
      </c>
      <c r="D9294">
        <v>-17.596029167800001</v>
      </c>
      <c r="E9294" s="92" t="str">
        <f t="shared" si="58"/>
        <v/>
      </c>
      <c r="G9294" s="92"/>
      <c r="I9294">
        <v>6</v>
      </c>
      <c r="J9294" t="s">
        <v>26</v>
      </c>
      <c r="K9294" s="57"/>
      <c r="S9294" s="57"/>
      <c r="X9294" s="57"/>
    </row>
    <row r="9295" spans="1:24" hidden="1" x14ac:dyDescent="0.35">
      <c r="A9295">
        <v>9291</v>
      </c>
      <c r="B9295">
        <v>9292</v>
      </c>
      <c r="C9295">
        <v>146.09813743800001</v>
      </c>
      <c r="D9295">
        <v>-17.5959514155</v>
      </c>
      <c r="E9295" s="92" t="str">
        <f t="shared" si="58"/>
        <v/>
      </c>
      <c r="G9295" s="92"/>
      <c r="I9295">
        <v>6</v>
      </c>
      <c r="J9295" t="s">
        <v>26</v>
      </c>
      <c r="K9295" s="57"/>
      <c r="S9295" s="57"/>
      <c r="X9295" s="57"/>
    </row>
    <row r="9296" spans="1:24" hidden="1" x14ac:dyDescent="0.35">
      <c r="A9296">
        <v>9292</v>
      </c>
      <c r="B9296">
        <v>9293</v>
      </c>
      <c r="C9296">
        <v>146.098157646</v>
      </c>
      <c r="D9296">
        <v>-17.5958679817</v>
      </c>
      <c r="E9296" s="92" t="str">
        <f t="shared" ref="E9296:E9359" si="59">IF(MOD(B9296,5)=0, 50, "")</f>
        <v/>
      </c>
      <c r="G9296" s="92"/>
      <c r="I9296">
        <v>6</v>
      </c>
      <c r="J9296" t="s">
        <v>26</v>
      </c>
      <c r="K9296" s="57"/>
      <c r="S9296" s="57"/>
      <c r="X9296" s="57"/>
    </row>
    <row r="9297" spans="1:24" hidden="1" x14ac:dyDescent="0.35">
      <c r="A9297">
        <v>9293</v>
      </c>
      <c r="B9297">
        <v>9294</v>
      </c>
      <c r="C9297">
        <v>146.09816125699899</v>
      </c>
      <c r="D9297">
        <v>-17.5957827075</v>
      </c>
      <c r="E9297" s="92" t="str">
        <f t="shared" si="59"/>
        <v/>
      </c>
      <c r="G9297" s="92"/>
      <c r="I9297">
        <v>6</v>
      </c>
      <c r="J9297" t="s">
        <v>26</v>
      </c>
      <c r="K9297" s="57"/>
      <c r="S9297" s="57"/>
      <c r="X9297" s="57"/>
    </row>
    <row r="9298" spans="1:24" hidden="1" x14ac:dyDescent="0.35">
      <c r="A9298">
        <v>9294</v>
      </c>
      <c r="B9298">
        <v>9295</v>
      </c>
      <c r="C9298">
        <v>146.098161680999</v>
      </c>
      <c r="D9298">
        <v>-17.5956970798999</v>
      </c>
      <c r="E9298" s="92">
        <f t="shared" si="59"/>
        <v>50</v>
      </c>
      <c r="G9298" s="92"/>
      <c r="I9298">
        <v>6</v>
      </c>
      <c r="J9298" t="s">
        <v>26</v>
      </c>
      <c r="K9298" s="57"/>
      <c r="S9298" s="57"/>
      <c r="X9298" s="57"/>
    </row>
    <row r="9299" spans="1:24" hidden="1" x14ac:dyDescent="0.35">
      <c r="A9299">
        <v>9295</v>
      </c>
      <c r="B9299">
        <v>9296</v>
      </c>
      <c r="C9299">
        <v>146.09816210599899</v>
      </c>
      <c r="D9299">
        <v>-17.5956114522</v>
      </c>
      <c r="E9299" s="92" t="str">
        <f t="shared" si="59"/>
        <v/>
      </c>
      <c r="G9299" s="92"/>
      <c r="I9299">
        <v>6</v>
      </c>
      <c r="J9299" t="s">
        <v>26</v>
      </c>
      <c r="K9299" s="57"/>
      <c r="S9299" s="57"/>
      <c r="X9299" s="57"/>
    </row>
    <row r="9300" spans="1:24" hidden="1" x14ac:dyDescent="0.35">
      <c r="A9300">
        <v>9296</v>
      </c>
      <c r="B9300">
        <v>9297</v>
      </c>
      <c r="C9300">
        <v>146.09816253100001</v>
      </c>
      <c r="D9300">
        <v>-17.595525824500001</v>
      </c>
      <c r="E9300" s="92" t="str">
        <f t="shared" si="59"/>
        <v/>
      </c>
      <c r="G9300" s="92"/>
      <c r="I9300">
        <v>6</v>
      </c>
      <c r="J9300" t="s">
        <v>26</v>
      </c>
      <c r="K9300" s="57"/>
      <c r="S9300" s="57"/>
      <c r="X9300" s="57"/>
    </row>
    <row r="9301" spans="1:24" hidden="1" x14ac:dyDescent="0.35">
      <c r="A9301">
        <v>9297</v>
      </c>
      <c r="B9301">
        <v>9298</v>
      </c>
      <c r="C9301">
        <v>146.09816364400001</v>
      </c>
      <c r="D9301">
        <v>-17.5954402077999</v>
      </c>
      <c r="E9301" s="92" t="str">
        <f t="shared" si="59"/>
        <v/>
      </c>
      <c r="G9301" s="92"/>
      <c r="I9301">
        <v>6</v>
      </c>
      <c r="J9301" t="s">
        <v>26</v>
      </c>
      <c r="K9301" s="57"/>
      <c r="S9301" s="57"/>
      <c r="X9301" s="57"/>
    </row>
    <row r="9302" spans="1:24" hidden="1" x14ac:dyDescent="0.35">
      <c r="A9302">
        <v>9298</v>
      </c>
      <c r="B9302">
        <v>9299</v>
      </c>
      <c r="C9302">
        <v>146.098166335</v>
      </c>
      <c r="D9302">
        <v>-17.5953546175</v>
      </c>
      <c r="E9302" s="92" t="str">
        <f t="shared" si="59"/>
        <v/>
      </c>
      <c r="G9302" s="92"/>
      <c r="I9302">
        <v>6</v>
      </c>
      <c r="J9302" t="s">
        <v>26</v>
      </c>
      <c r="K9302" s="57"/>
      <c r="S9302" s="57"/>
      <c r="X9302" s="57"/>
    </row>
    <row r="9303" spans="1:24" hidden="1" x14ac:dyDescent="0.35">
      <c r="A9303">
        <v>9299</v>
      </c>
      <c r="B9303">
        <v>9300</v>
      </c>
      <c r="C9303">
        <v>146.09816911799899</v>
      </c>
      <c r="D9303">
        <v>-17.595269029800001</v>
      </c>
      <c r="E9303" s="92">
        <f t="shared" si="59"/>
        <v>50</v>
      </c>
      <c r="G9303" s="92"/>
      <c r="I9303">
        <v>6</v>
      </c>
      <c r="J9303" t="s">
        <v>26</v>
      </c>
      <c r="K9303" s="57"/>
      <c r="S9303" s="57"/>
      <c r="X9303" s="57"/>
    </row>
    <row r="9304" spans="1:24" hidden="1" x14ac:dyDescent="0.35">
      <c r="A9304">
        <v>9300</v>
      </c>
      <c r="B9304">
        <v>9301</v>
      </c>
      <c r="C9304">
        <v>146.098171901</v>
      </c>
      <c r="D9304">
        <v>-17.595183442100002</v>
      </c>
      <c r="E9304" s="92" t="str">
        <f t="shared" si="59"/>
        <v/>
      </c>
      <c r="G9304" s="92"/>
      <c r="I9304">
        <v>6</v>
      </c>
      <c r="J9304" t="s">
        <v>26</v>
      </c>
      <c r="K9304" s="57"/>
      <c r="S9304" s="57"/>
      <c r="X9304" s="57"/>
    </row>
    <row r="9305" spans="1:24" hidden="1" x14ac:dyDescent="0.35">
      <c r="A9305">
        <v>9301</v>
      </c>
      <c r="B9305">
        <v>9302</v>
      </c>
      <c r="C9305">
        <v>146.09817468400001</v>
      </c>
      <c r="D9305">
        <v>-17.595097854300001</v>
      </c>
      <c r="E9305" s="92" t="str">
        <f t="shared" si="59"/>
        <v/>
      </c>
      <c r="G9305" s="92"/>
      <c r="I9305">
        <v>6</v>
      </c>
      <c r="J9305" t="s">
        <v>26</v>
      </c>
      <c r="K9305" s="57"/>
      <c r="S9305" s="57"/>
      <c r="X9305" s="57"/>
    </row>
    <row r="9306" spans="1:24" hidden="1" x14ac:dyDescent="0.35">
      <c r="A9306">
        <v>9302</v>
      </c>
      <c r="B9306">
        <v>9303</v>
      </c>
      <c r="C9306">
        <v>146.098176456</v>
      </c>
      <c r="D9306">
        <v>-17.595012243100001</v>
      </c>
      <c r="E9306" s="92" t="str">
        <f t="shared" si="59"/>
        <v/>
      </c>
      <c r="G9306" s="92"/>
      <c r="I9306">
        <v>6</v>
      </c>
      <c r="J9306" t="s">
        <v>26</v>
      </c>
      <c r="K9306" s="57"/>
      <c r="S9306" s="57"/>
      <c r="X9306" s="57"/>
    </row>
    <row r="9307" spans="1:24" hidden="1" x14ac:dyDescent="0.35">
      <c r="A9307">
        <v>9303</v>
      </c>
      <c r="B9307">
        <v>9304</v>
      </c>
      <c r="C9307">
        <v>146.098176881999</v>
      </c>
      <c r="D9307">
        <v>-17.5949266151</v>
      </c>
      <c r="E9307" s="92" t="str">
        <f t="shared" si="59"/>
        <v/>
      </c>
      <c r="G9307" s="92"/>
      <c r="I9307">
        <v>6</v>
      </c>
      <c r="J9307" t="s">
        <v>26</v>
      </c>
      <c r="K9307" s="57"/>
      <c r="S9307" s="57"/>
      <c r="X9307" s="57"/>
    </row>
    <row r="9308" spans="1:24" hidden="1" x14ac:dyDescent="0.35">
      <c r="A9308">
        <v>9304</v>
      </c>
      <c r="B9308">
        <v>9305</v>
      </c>
      <c r="C9308">
        <v>146.09816676700001</v>
      </c>
      <c r="D9308">
        <v>-17.5948435261</v>
      </c>
      <c r="E9308" s="92">
        <f t="shared" si="59"/>
        <v>50</v>
      </c>
      <c r="G9308" s="92"/>
      <c r="I9308">
        <v>6</v>
      </c>
      <c r="J9308" t="s">
        <v>26</v>
      </c>
      <c r="K9308" s="57"/>
      <c r="S9308" s="57"/>
      <c r="X9308" s="57"/>
    </row>
    <row r="9309" spans="1:24" hidden="1" x14ac:dyDescent="0.35">
      <c r="A9309">
        <v>9305</v>
      </c>
      <c r="B9309">
        <v>9306</v>
      </c>
      <c r="C9309">
        <v>146.098123716999</v>
      </c>
      <c r="D9309">
        <v>-17.594768370200001</v>
      </c>
      <c r="E9309" s="92" t="str">
        <f t="shared" si="59"/>
        <v/>
      </c>
      <c r="G9309" s="92"/>
      <c r="I9309">
        <v>6</v>
      </c>
      <c r="J9309" t="s">
        <v>26</v>
      </c>
      <c r="K9309" s="57"/>
      <c r="S9309" s="57"/>
      <c r="X9309" s="57"/>
    </row>
    <row r="9310" spans="1:24" hidden="1" x14ac:dyDescent="0.35">
      <c r="A9310">
        <v>9306</v>
      </c>
      <c r="B9310">
        <v>9307</v>
      </c>
      <c r="C9310">
        <v>146.098078407</v>
      </c>
      <c r="D9310">
        <v>-17.5946945445999</v>
      </c>
      <c r="E9310" s="92" t="str">
        <f t="shared" si="59"/>
        <v/>
      </c>
      <c r="G9310" s="92"/>
      <c r="I9310">
        <v>6</v>
      </c>
      <c r="J9310" t="s">
        <v>26</v>
      </c>
      <c r="K9310" s="57"/>
      <c r="S9310" s="57"/>
      <c r="X9310" s="57"/>
    </row>
    <row r="9311" spans="1:24" hidden="1" x14ac:dyDescent="0.35">
      <c r="A9311">
        <v>9307</v>
      </c>
      <c r="B9311">
        <v>9308</v>
      </c>
      <c r="C9311">
        <v>146.09802721099899</v>
      </c>
      <c r="D9311">
        <v>-17.594624182499899</v>
      </c>
      <c r="E9311" s="92" t="str">
        <f t="shared" si="59"/>
        <v/>
      </c>
      <c r="G9311" s="92"/>
      <c r="I9311">
        <v>6</v>
      </c>
      <c r="J9311" t="s">
        <v>26</v>
      </c>
      <c r="K9311" s="57"/>
      <c r="S9311" s="57"/>
      <c r="X9311" s="57"/>
    </row>
    <row r="9312" spans="1:24" hidden="1" x14ac:dyDescent="0.35">
      <c r="A9312">
        <v>9308</v>
      </c>
      <c r="B9312">
        <v>9309</v>
      </c>
      <c r="C9312">
        <v>146.097976015</v>
      </c>
      <c r="D9312">
        <v>-17.5945538203</v>
      </c>
      <c r="E9312" s="92" t="str">
        <f t="shared" si="59"/>
        <v/>
      </c>
      <c r="G9312" s="92"/>
      <c r="I9312">
        <v>6</v>
      </c>
      <c r="J9312" t="s">
        <v>26</v>
      </c>
      <c r="K9312" s="57"/>
      <c r="S9312" s="57"/>
      <c r="X9312" s="57"/>
    </row>
    <row r="9313" spans="1:24" hidden="1" x14ac:dyDescent="0.35">
      <c r="A9313">
        <v>9309</v>
      </c>
      <c r="B9313">
        <v>9310</v>
      </c>
      <c r="C9313">
        <v>146.09792481900001</v>
      </c>
      <c r="D9313">
        <v>-17.5944834581999</v>
      </c>
      <c r="E9313" s="92">
        <f t="shared" si="59"/>
        <v>50</v>
      </c>
      <c r="G9313" s="92"/>
      <c r="I9313">
        <v>6</v>
      </c>
      <c r="J9313" t="s">
        <v>26</v>
      </c>
      <c r="K9313" s="57"/>
      <c r="S9313" s="57"/>
      <c r="X9313" s="57"/>
    </row>
    <row r="9314" spans="1:24" hidden="1" x14ac:dyDescent="0.35">
      <c r="A9314">
        <v>9310</v>
      </c>
      <c r="B9314">
        <v>9311</v>
      </c>
      <c r="C9314">
        <v>146.09787362399899</v>
      </c>
      <c r="D9314">
        <v>-17.594413096</v>
      </c>
      <c r="E9314" s="92" t="str">
        <f t="shared" si="59"/>
        <v/>
      </c>
      <c r="G9314" s="92"/>
      <c r="I9314">
        <v>6</v>
      </c>
      <c r="J9314" t="s">
        <v>26</v>
      </c>
      <c r="K9314" s="57"/>
      <c r="S9314" s="57"/>
      <c r="X9314" s="57"/>
    </row>
    <row r="9315" spans="1:24" hidden="1" x14ac:dyDescent="0.35">
      <c r="A9315">
        <v>9311</v>
      </c>
      <c r="B9315">
        <v>9312</v>
      </c>
      <c r="C9315">
        <v>146.09782779899899</v>
      </c>
      <c r="D9315">
        <v>-17.594339658900001</v>
      </c>
      <c r="E9315" s="92" t="str">
        <f t="shared" si="59"/>
        <v/>
      </c>
      <c r="G9315" s="92"/>
      <c r="I9315">
        <v>6</v>
      </c>
      <c r="J9315" t="s">
        <v>26</v>
      </c>
      <c r="K9315" s="57"/>
      <c r="S9315" s="57"/>
      <c r="X9315" s="57"/>
    </row>
    <row r="9316" spans="1:24" hidden="1" x14ac:dyDescent="0.35">
      <c r="A9316">
        <v>9312</v>
      </c>
      <c r="B9316">
        <v>9313</v>
      </c>
      <c r="C9316">
        <v>146.09778669400001</v>
      </c>
      <c r="D9316">
        <v>-17.5942635199</v>
      </c>
      <c r="E9316" s="92" t="str">
        <f t="shared" si="59"/>
        <v/>
      </c>
      <c r="G9316" s="92"/>
      <c r="I9316">
        <v>6</v>
      </c>
      <c r="J9316" t="s">
        <v>26</v>
      </c>
      <c r="K9316" s="57"/>
      <c r="S9316" s="57"/>
      <c r="X9316" s="57"/>
    </row>
    <row r="9317" spans="1:24" hidden="1" x14ac:dyDescent="0.35">
      <c r="A9317">
        <v>9313</v>
      </c>
      <c r="B9317">
        <v>9314</v>
      </c>
      <c r="C9317">
        <v>146.09774558999899</v>
      </c>
      <c r="D9317">
        <v>-17.594187380800001</v>
      </c>
      <c r="E9317" s="92" t="str">
        <f t="shared" si="59"/>
        <v/>
      </c>
      <c r="G9317" s="92"/>
      <c r="I9317">
        <v>6</v>
      </c>
      <c r="J9317" t="s">
        <v>26</v>
      </c>
      <c r="K9317" s="57"/>
      <c r="S9317" s="57"/>
      <c r="X9317" s="57"/>
    </row>
    <row r="9318" spans="1:24" hidden="1" x14ac:dyDescent="0.35">
      <c r="A9318">
        <v>9314</v>
      </c>
      <c r="B9318">
        <v>9315</v>
      </c>
      <c r="C9318">
        <v>146.097721075999</v>
      </c>
      <c r="D9318">
        <v>-17.5941065672999</v>
      </c>
      <c r="E9318" s="92">
        <f t="shared" si="59"/>
        <v>50</v>
      </c>
      <c r="G9318" s="92"/>
      <c r="I9318">
        <v>6</v>
      </c>
      <c r="J9318" t="s">
        <v>26</v>
      </c>
      <c r="K9318" s="57"/>
      <c r="S9318" s="57"/>
      <c r="X9318" s="57"/>
    </row>
    <row r="9319" spans="1:24" hidden="1" x14ac:dyDescent="0.35">
      <c r="A9319">
        <v>9315</v>
      </c>
      <c r="B9319">
        <v>9316</v>
      </c>
      <c r="C9319">
        <v>146.09771215200001</v>
      </c>
      <c r="D9319">
        <v>-17.594021361500001</v>
      </c>
      <c r="E9319" s="92" t="str">
        <f t="shared" si="59"/>
        <v/>
      </c>
      <c r="G9319" s="92"/>
      <c r="I9319">
        <v>6</v>
      </c>
      <c r="J9319" t="s">
        <v>26</v>
      </c>
      <c r="K9319" s="57"/>
      <c r="S9319" s="57"/>
      <c r="X9319" s="57"/>
    </row>
    <row r="9320" spans="1:24" hidden="1" x14ac:dyDescent="0.35">
      <c r="A9320">
        <v>9316</v>
      </c>
      <c r="B9320">
        <v>9317</v>
      </c>
      <c r="C9320">
        <v>146.097705582</v>
      </c>
      <c r="D9320">
        <v>-17.593936295799899</v>
      </c>
      <c r="E9320" s="92" t="str">
        <f t="shared" si="59"/>
        <v/>
      </c>
      <c r="G9320" s="92"/>
      <c r="I9320">
        <v>6</v>
      </c>
      <c r="J9320" t="s">
        <v>26</v>
      </c>
      <c r="K9320" s="57"/>
      <c r="S9320" s="57"/>
      <c r="X9320" s="57"/>
    </row>
    <row r="9321" spans="1:24" hidden="1" x14ac:dyDescent="0.35">
      <c r="A9321">
        <v>9317</v>
      </c>
      <c r="B9321">
        <v>9318</v>
      </c>
      <c r="C9321">
        <v>146.097725558999</v>
      </c>
      <c r="D9321">
        <v>-17.593852810600001</v>
      </c>
      <c r="E9321" s="92" t="str">
        <f t="shared" si="59"/>
        <v/>
      </c>
      <c r="G9321" s="92"/>
      <c r="I9321">
        <v>6</v>
      </c>
      <c r="J9321" t="s">
        <v>26</v>
      </c>
      <c r="K9321" s="57"/>
      <c r="S9321" s="57"/>
      <c r="X9321" s="57"/>
    </row>
    <row r="9322" spans="1:24" hidden="1" x14ac:dyDescent="0.35">
      <c r="A9322">
        <v>9318</v>
      </c>
      <c r="B9322">
        <v>9319</v>
      </c>
      <c r="C9322">
        <v>146.097745535999</v>
      </c>
      <c r="D9322">
        <v>-17.5937693252</v>
      </c>
      <c r="E9322" s="92" t="str">
        <f t="shared" si="59"/>
        <v/>
      </c>
      <c r="G9322" s="92"/>
      <c r="I9322">
        <v>6</v>
      </c>
      <c r="J9322" t="s">
        <v>26</v>
      </c>
      <c r="K9322" s="57"/>
      <c r="S9322" s="57"/>
      <c r="X9322" s="57"/>
    </row>
    <row r="9323" spans="1:24" hidden="1" x14ac:dyDescent="0.35">
      <c r="A9323">
        <v>9319</v>
      </c>
      <c r="B9323">
        <v>9320</v>
      </c>
      <c r="C9323">
        <v>146.09776551300001</v>
      </c>
      <c r="D9323">
        <v>-17.593685839900001</v>
      </c>
      <c r="E9323" s="92">
        <f t="shared" si="59"/>
        <v>50</v>
      </c>
      <c r="G9323" s="92"/>
      <c r="I9323">
        <v>6</v>
      </c>
      <c r="J9323" t="s">
        <v>26</v>
      </c>
      <c r="K9323" s="57"/>
      <c r="S9323" s="57"/>
      <c r="X9323" s="57"/>
    </row>
    <row r="9324" spans="1:24" hidden="1" x14ac:dyDescent="0.35">
      <c r="A9324">
        <v>9320</v>
      </c>
      <c r="B9324">
        <v>9321</v>
      </c>
      <c r="C9324">
        <v>146.097775525999</v>
      </c>
      <c r="D9324">
        <v>-17.593600815999899</v>
      </c>
      <c r="E9324" s="92" t="str">
        <f t="shared" si="59"/>
        <v/>
      </c>
      <c r="G9324" s="92"/>
      <c r="I9324">
        <v>6</v>
      </c>
      <c r="J9324" t="s">
        <v>26</v>
      </c>
      <c r="K9324" s="57"/>
      <c r="S9324" s="57"/>
      <c r="X9324" s="57"/>
    </row>
    <row r="9325" spans="1:24" hidden="1" x14ac:dyDescent="0.35">
      <c r="A9325">
        <v>9321</v>
      </c>
      <c r="B9325">
        <v>9322</v>
      </c>
      <c r="C9325">
        <v>146.097784219999</v>
      </c>
      <c r="D9325">
        <v>-17.593515588300001</v>
      </c>
      <c r="E9325" s="92" t="str">
        <f t="shared" si="59"/>
        <v/>
      </c>
      <c r="G9325" s="92"/>
      <c r="I9325">
        <v>6</v>
      </c>
      <c r="J9325" t="s">
        <v>26</v>
      </c>
      <c r="K9325" s="57"/>
      <c r="S9325" s="57"/>
      <c r="X9325" s="57"/>
    </row>
    <row r="9326" spans="1:24" hidden="1" x14ac:dyDescent="0.35">
      <c r="A9326">
        <v>9322</v>
      </c>
      <c r="B9326">
        <v>9323</v>
      </c>
      <c r="C9326">
        <v>146.09779091799899</v>
      </c>
      <c r="D9326">
        <v>-17.5934303364999</v>
      </c>
      <c r="E9326" s="92" t="str">
        <f t="shared" si="59"/>
        <v/>
      </c>
      <c r="G9326" s="92"/>
      <c r="I9326">
        <v>6</v>
      </c>
      <c r="J9326" t="s">
        <v>26</v>
      </c>
      <c r="K9326" s="57"/>
      <c r="S9326" s="57"/>
      <c r="X9326" s="57"/>
    </row>
    <row r="9327" spans="1:24" hidden="1" x14ac:dyDescent="0.35">
      <c r="A9327">
        <v>9323</v>
      </c>
      <c r="B9327">
        <v>9324</v>
      </c>
      <c r="C9327">
        <v>146.09778449300001</v>
      </c>
      <c r="D9327">
        <v>-17.593344926099899</v>
      </c>
      <c r="E9327" s="92" t="str">
        <f t="shared" si="59"/>
        <v/>
      </c>
      <c r="G9327" s="92"/>
      <c r="I9327">
        <v>6</v>
      </c>
      <c r="J9327" t="s">
        <v>26</v>
      </c>
      <c r="K9327" s="57"/>
      <c r="S9327" s="57"/>
      <c r="X9327" s="57"/>
    </row>
    <row r="9328" spans="1:24" hidden="1" x14ac:dyDescent="0.35">
      <c r="A9328">
        <v>9324</v>
      </c>
      <c r="B9328">
        <v>9325</v>
      </c>
      <c r="C9328">
        <v>146.09776311900001</v>
      </c>
      <c r="D9328">
        <v>-17.593263234399899</v>
      </c>
      <c r="E9328" s="92">
        <f t="shared" si="59"/>
        <v>50</v>
      </c>
      <c r="G9328" s="92"/>
      <c r="I9328">
        <v>6</v>
      </c>
      <c r="J9328" t="s">
        <v>26</v>
      </c>
      <c r="K9328" s="57"/>
      <c r="S9328" s="57"/>
      <c r="X9328" s="57"/>
    </row>
    <row r="9329" spans="1:24" hidden="1" x14ac:dyDescent="0.35">
      <c r="A9329">
        <v>9325</v>
      </c>
      <c r="B9329">
        <v>9326</v>
      </c>
      <c r="C9329">
        <v>146.09772493899899</v>
      </c>
      <c r="D9329">
        <v>-17.5931857237</v>
      </c>
      <c r="E9329" s="92" t="str">
        <f t="shared" si="59"/>
        <v/>
      </c>
      <c r="G9329" s="92"/>
      <c r="I9329">
        <v>6</v>
      </c>
      <c r="J9329" t="s">
        <v>26</v>
      </c>
      <c r="K9329" s="57"/>
      <c r="S9329" s="57"/>
      <c r="X9329" s="57"/>
    </row>
    <row r="9330" spans="1:24" hidden="1" x14ac:dyDescent="0.35">
      <c r="A9330">
        <v>9326</v>
      </c>
      <c r="B9330">
        <v>9327</v>
      </c>
      <c r="C9330">
        <v>146.097656064999</v>
      </c>
      <c r="D9330">
        <v>-17.593133214200002</v>
      </c>
      <c r="E9330" s="92" t="str">
        <f t="shared" si="59"/>
        <v/>
      </c>
      <c r="G9330" s="92"/>
      <c r="I9330">
        <v>6</v>
      </c>
      <c r="J9330" t="s">
        <v>26</v>
      </c>
      <c r="K9330" s="57"/>
      <c r="S9330" s="57"/>
      <c r="X9330" s="57"/>
    </row>
    <row r="9331" spans="1:24" hidden="1" x14ac:dyDescent="0.35">
      <c r="A9331">
        <v>9327</v>
      </c>
      <c r="B9331">
        <v>9328</v>
      </c>
      <c r="C9331">
        <v>146.097578080999</v>
      </c>
      <c r="D9331">
        <v>-17.593094193100001</v>
      </c>
      <c r="E9331" s="92" t="str">
        <f t="shared" si="59"/>
        <v/>
      </c>
      <c r="G9331" s="92"/>
      <c r="I9331">
        <v>6</v>
      </c>
      <c r="J9331" t="s">
        <v>26</v>
      </c>
      <c r="K9331" s="57"/>
      <c r="S9331" s="57"/>
      <c r="X9331" s="57"/>
    </row>
    <row r="9332" spans="1:24" hidden="1" x14ac:dyDescent="0.35">
      <c r="A9332">
        <v>9328</v>
      </c>
      <c r="B9332">
        <v>9329</v>
      </c>
      <c r="C9332">
        <v>146.097489069999</v>
      </c>
      <c r="D9332">
        <v>-17.593082645700001</v>
      </c>
      <c r="E9332" s="92" t="str">
        <f t="shared" si="59"/>
        <v/>
      </c>
      <c r="G9332" s="92"/>
      <c r="I9332">
        <v>6</v>
      </c>
      <c r="J9332" t="s">
        <v>26</v>
      </c>
      <c r="K9332" s="57"/>
      <c r="S9332" s="57"/>
      <c r="X9332" s="57"/>
    </row>
    <row r="9333" spans="1:24" hidden="1" x14ac:dyDescent="0.35">
      <c r="A9333">
        <v>9329</v>
      </c>
      <c r="B9333">
        <v>9330</v>
      </c>
      <c r="C9333">
        <v>146.097402942999</v>
      </c>
      <c r="D9333">
        <v>-17.593100972999899</v>
      </c>
      <c r="E9333" s="92">
        <f t="shared" si="59"/>
        <v>50</v>
      </c>
      <c r="G9333" s="92"/>
      <c r="I9333">
        <v>6</v>
      </c>
      <c r="J9333" t="s">
        <v>26</v>
      </c>
      <c r="K9333" s="57"/>
      <c r="S9333" s="57"/>
      <c r="X9333" s="57"/>
    </row>
    <row r="9334" spans="1:24" hidden="1" x14ac:dyDescent="0.35">
      <c r="A9334">
        <v>9330</v>
      </c>
      <c r="B9334">
        <v>9331</v>
      </c>
      <c r="C9334">
        <v>146.097321569999</v>
      </c>
      <c r="D9334">
        <v>-17.5931355230999</v>
      </c>
      <c r="E9334" s="92" t="str">
        <f t="shared" si="59"/>
        <v/>
      </c>
      <c r="G9334" s="92"/>
      <c r="I9334">
        <v>6</v>
      </c>
      <c r="J9334" t="s">
        <v>26</v>
      </c>
      <c r="K9334" s="57"/>
      <c r="S9334" s="57"/>
      <c r="X9334" s="57"/>
    </row>
    <row r="9335" spans="1:24" hidden="1" x14ac:dyDescent="0.35">
      <c r="A9335">
        <v>9331</v>
      </c>
      <c r="B9335">
        <v>9332</v>
      </c>
      <c r="C9335">
        <v>146.09724672900001</v>
      </c>
      <c r="D9335">
        <v>-17.5931828830999</v>
      </c>
      <c r="E9335" s="92" t="str">
        <f t="shared" si="59"/>
        <v/>
      </c>
      <c r="G9335" s="92"/>
      <c r="I9335">
        <v>6</v>
      </c>
      <c r="J9335" t="s">
        <v>26</v>
      </c>
      <c r="K9335" s="57"/>
      <c r="S9335" s="57"/>
      <c r="X9335" s="57"/>
    </row>
    <row r="9336" spans="1:24" hidden="1" x14ac:dyDescent="0.35">
      <c r="A9336">
        <v>9332</v>
      </c>
      <c r="B9336">
        <v>9333</v>
      </c>
      <c r="C9336">
        <v>146.097182661999</v>
      </c>
      <c r="D9336">
        <v>-17.593242296</v>
      </c>
      <c r="E9336" s="92" t="str">
        <f t="shared" si="59"/>
        <v/>
      </c>
      <c r="G9336" s="92"/>
      <c r="I9336">
        <v>6</v>
      </c>
      <c r="J9336" t="s">
        <v>26</v>
      </c>
      <c r="K9336" s="57"/>
      <c r="S9336" s="57"/>
      <c r="X9336" s="57"/>
    </row>
    <row r="9337" spans="1:24" hidden="1" x14ac:dyDescent="0.35">
      <c r="A9337">
        <v>9333</v>
      </c>
      <c r="B9337">
        <v>9334</v>
      </c>
      <c r="C9337">
        <v>146.097121727</v>
      </c>
      <c r="D9337">
        <v>-17.593305214000001</v>
      </c>
      <c r="E9337" s="92" t="str">
        <f t="shared" si="59"/>
        <v/>
      </c>
      <c r="G9337" s="92"/>
      <c r="I9337">
        <v>6</v>
      </c>
      <c r="J9337" t="s">
        <v>26</v>
      </c>
      <c r="K9337" s="57"/>
      <c r="S9337" s="57"/>
      <c r="X9337" s="57"/>
    </row>
    <row r="9338" spans="1:24" hidden="1" x14ac:dyDescent="0.35">
      <c r="A9338">
        <v>9334</v>
      </c>
      <c r="B9338">
        <v>9335</v>
      </c>
      <c r="C9338">
        <v>146.09707045100001</v>
      </c>
      <c r="D9338">
        <v>-17.593374941</v>
      </c>
      <c r="E9338" s="92">
        <f t="shared" si="59"/>
        <v>50</v>
      </c>
      <c r="G9338" s="92"/>
      <c r="I9338">
        <v>6</v>
      </c>
      <c r="J9338" t="s">
        <v>26</v>
      </c>
      <c r="K9338" s="57"/>
      <c r="S9338" s="57"/>
      <c r="X9338" s="57"/>
    </row>
    <row r="9339" spans="1:24" hidden="1" x14ac:dyDescent="0.35">
      <c r="A9339">
        <v>9335</v>
      </c>
      <c r="B9339">
        <v>9336</v>
      </c>
      <c r="C9339">
        <v>146.09702518</v>
      </c>
      <c r="D9339">
        <v>-17.5934489023</v>
      </c>
      <c r="E9339" s="92" t="str">
        <f t="shared" si="59"/>
        <v/>
      </c>
      <c r="G9339" s="92"/>
      <c r="I9339">
        <v>6</v>
      </c>
      <c r="J9339" t="s">
        <v>26</v>
      </c>
      <c r="K9339" s="57"/>
      <c r="S9339" s="57"/>
      <c r="X9339" s="57"/>
    </row>
    <row r="9340" spans="1:24" hidden="1" x14ac:dyDescent="0.35">
      <c r="A9340">
        <v>9336</v>
      </c>
      <c r="B9340">
        <v>9337</v>
      </c>
      <c r="C9340">
        <v>146.09698571499899</v>
      </c>
      <c r="D9340">
        <v>-17.5935253524</v>
      </c>
      <c r="E9340" s="92" t="str">
        <f t="shared" si="59"/>
        <v/>
      </c>
      <c r="G9340" s="92"/>
      <c r="I9340">
        <v>6</v>
      </c>
      <c r="J9340" t="s">
        <v>26</v>
      </c>
      <c r="K9340" s="57"/>
      <c r="S9340" s="57"/>
      <c r="X9340" s="57"/>
    </row>
    <row r="9341" spans="1:24" hidden="1" x14ac:dyDescent="0.35">
      <c r="A9341">
        <v>9337</v>
      </c>
      <c r="B9341">
        <v>9338</v>
      </c>
      <c r="C9341">
        <v>146.096957696999</v>
      </c>
      <c r="D9341">
        <v>-17.593606710500001</v>
      </c>
      <c r="E9341" s="92" t="str">
        <f t="shared" si="59"/>
        <v/>
      </c>
      <c r="G9341" s="92"/>
      <c r="I9341">
        <v>6</v>
      </c>
      <c r="J9341" t="s">
        <v>26</v>
      </c>
      <c r="K9341" s="57"/>
      <c r="S9341" s="57"/>
      <c r="X9341" s="57"/>
    </row>
    <row r="9342" spans="1:24" hidden="1" x14ac:dyDescent="0.35">
      <c r="A9342">
        <v>9338</v>
      </c>
      <c r="B9342">
        <v>9339</v>
      </c>
      <c r="C9342">
        <v>146.09692967800001</v>
      </c>
      <c r="D9342">
        <v>-17.593688068500001</v>
      </c>
      <c r="E9342" s="92" t="str">
        <f t="shared" si="59"/>
        <v/>
      </c>
      <c r="G9342" s="92"/>
      <c r="I9342">
        <v>6</v>
      </c>
      <c r="J9342" t="s">
        <v>26</v>
      </c>
      <c r="K9342" s="57"/>
      <c r="S9342" s="57"/>
      <c r="X9342" s="57"/>
    </row>
    <row r="9343" spans="1:24" hidden="1" x14ac:dyDescent="0.35">
      <c r="A9343">
        <v>9339</v>
      </c>
      <c r="B9343">
        <v>9340</v>
      </c>
      <c r="C9343">
        <v>146.096903682</v>
      </c>
      <c r="D9343">
        <v>-17.5937700210999</v>
      </c>
      <c r="E9343" s="92">
        <f t="shared" si="59"/>
        <v>50</v>
      </c>
      <c r="G9343" s="92"/>
      <c r="I9343">
        <v>6</v>
      </c>
      <c r="J9343" t="s">
        <v>26</v>
      </c>
      <c r="K9343" s="57"/>
      <c r="S9343" s="57"/>
      <c r="X9343" s="57"/>
    </row>
    <row r="9344" spans="1:24" hidden="1" x14ac:dyDescent="0.35">
      <c r="A9344">
        <v>9340</v>
      </c>
      <c r="B9344">
        <v>9341</v>
      </c>
      <c r="C9344">
        <v>146.09687873300001</v>
      </c>
      <c r="D9344">
        <v>-17.593852281899899</v>
      </c>
      <c r="E9344" s="92" t="str">
        <f t="shared" si="59"/>
        <v/>
      </c>
      <c r="G9344" s="92"/>
      <c r="I9344">
        <v>6</v>
      </c>
      <c r="J9344" t="s">
        <v>26</v>
      </c>
      <c r="K9344" s="57"/>
      <c r="S9344" s="57"/>
      <c r="X9344" s="57"/>
    </row>
    <row r="9345" spans="1:24" hidden="1" x14ac:dyDescent="0.35">
      <c r="A9345">
        <v>9341</v>
      </c>
      <c r="B9345">
        <v>9342</v>
      </c>
      <c r="C9345">
        <v>146.096836550999</v>
      </c>
      <c r="D9345">
        <v>-17.593927364900001</v>
      </c>
      <c r="E9345" s="92" t="str">
        <f t="shared" si="59"/>
        <v/>
      </c>
      <c r="G9345" s="92"/>
      <c r="I9345">
        <v>6</v>
      </c>
      <c r="J9345" t="s">
        <v>26</v>
      </c>
      <c r="K9345" s="57"/>
      <c r="S9345" s="57"/>
      <c r="X9345" s="57"/>
    </row>
    <row r="9346" spans="1:24" hidden="1" x14ac:dyDescent="0.35">
      <c r="A9346">
        <v>9342</v>
      </c>
      <c r="B9346">
        <v>9343</v>
      </c>
      <c r="C9346">
        <v>146.096772751</v>
      </c>
      <c r="D9346">
        <v>-17.593936509700001</v>
      </c>
      <c r="E9346" s="92" t="str">
        <f t="shared" si="59"/>
        <v/>
      </c>
      <c r="G9346" s="92"/>
      <c r="I9346">
        <v>6</v>
      </c>
      <c r="J9346" t="s">
        <v>26</v>
      </c>
      <c r="K9346" s="57"/>
      <c r="S9346" s="57"/>
      <c r="X9346" s="57"/>
    </row>
    <row r="9347" spans="1:24" hidden="1" x14ac:dyDescent="0.35">
      <c r="A9347">
        <v>9343</v>
      </c>
      <c r="B9347">
        <v>9344</v>
      </c>
      <c r="C9347">
        <v>146.096765852</v>
      </c>
      <c r="D9347">
        <v>-17.5938524851999</v>
      </c>
      <c r="E9347" s="92" t="str">
        <f t="shared" si="59"/>
        <v/>
      </c>
      <c r="G9347" s="92"/>
      <c r="I9347">
        <v>6</v>
      </c>
      <c r="J9347" t="s">
        <v>26</v>
      </c>
      <c r="K9347" s="57"/>
      <c r="S9347" s="57"/>
      <c r="X9347" s="57"/>
    </row>
    <row r="9348" spans="1:24" hidden="1" x14ac:dyDescent="0.35">
      <c r="A9348">
        <v>9344</v>
      </c>
      <c r="B9348">
        <v>9345</v>
      </c>
      <c r="C9348">
        <v>146.096785697999</v>
      </c>
      <c r="D9348">
        <v>-17.593769736799899</v>
      </c>
      <c r="E9348" s="92">
        <f t="shared" si="59"/>
        <v>50</v>
      </c>
      <c r="G9348" s="92"/>
      <c r="I9348">
        <v>6</v>
      </c>
      <c r="J9348" t="s">
        <v>26</v>
      </c>
      <c r="K9348" s="57"/>
      <c r="S9348" s="57"/>
      <c r="X9348" s="57"/>
    </row>
    <row r="9349" spans="1:24" hidden="1" x14ac:dyDescent="0.35">
      <c r="A9349">
        <v>9345</v>
      </c>
      <c r="B9349">
        <v>9346</v>
      </c>
      <c r="C9349">
        <v>146.096812583999</v>
      </c>
      <c r="D9349">
        <v>-17.593688032300001</v>
      </c>
      <c r="E9349" s="92" t="str">
        <f t="shared" si="59"/>
        <v/>
      </c>
      <c r="G9349" s="92"/>
      <c r="I9349">
        <v>6</v>
      </c>
      <c r="J9349" t="s">
        <v>26</v>
      </c>
      <c r="K9349" s="57"/>
      <c r="S9349" s="57"/>
      <c r="X9349" s="57"/>
    </row>
    <row r="9350" spans="1:24" hidden="1" x14ac:dyDescent="0.35">
      <c r="A9350">
        <v>9346</v>
      </c>
      <c r="B9350">
        <v>9347</v>
      </c>
      <c r="C9350">
        <v>146.096834473</v>
      </c>
      <c r="D9350">
        <v>-17.5936050203</v>
      </c>
      <c r="E9350" s="92" t="str">
        <f t="shared" si="59"/>
        <v/>
      </c>
      <c r="G9350" s="92"/>
      <c r="I9350">
        <v>6</v>
      </c>
      <c r="J9350" t="s">
        <v>26</v>
      </c>
      <c r="K9350" s="57"/>
      <c r="S9350" s="57"/>
      <c r="X9350" s="57"/>
    </row>
    <row r="9351" spans="1:24" hidden="1" x14ac:dyDescent="0.35">
      <c r="A9351">
        <v>9347</v>
      </c>
      <c r="B9351">
        <v>9348</v>
      </c>
      <c r="C9351">
        <v>146.096855116999</v>
      </c>
      <c r="D9351">
        <v>-17.593521682599899</v>
      </c>
      <c r="E9351" s="92" t="str">
        <f t="shared" si="59"/>
        <v/>
      </c>
      <c r="G9351" s="92"/>
      <c r="I9351">
        <v>6</v>
      </c>
      <c r="J9351" t="s">
        <v>26</v>
      </c>
      <c r="K9351" s="57"/>
      <c r="S9351" s="57"/>
      <c r="X9351" s="57"/>
    </row>
    <row r="9352" spans="1:24" hidden="1" x14ac:dyDescent="0.35">
      <c r="A9352">
        <v>9348</v>
      </c>
      <c r="B9352">
        <v>9349</v>
      </c>
      <c r="C9352">
        <v>146.096875761999</v>
      </c>
      <c r="D9352">
        <v>-17.593438344900001</v>
      </c>
      <c r="E9352" s="92" t="str">
        <f t="shared" si="59"/>
        <v/>
      </c>
      <c r="G9352" s="92"/>
      <c r="I9352">
        <v>6</v>
      </c>
      <c r="J9352" t="s">
        <v>26</v>
      </c>
      <c r="K9352" s="57"/>
      <c r="S9352" s="57"/>
      <c r="X9352" s="57"/>
    </row>
    <row r="9353" spans="1:24" hidden="1" x14ac:dyDescent="0.35">
      <c r="A9353">
        <v>9349</v>
      </c>
      <c r="B9353">
        <v>9350</v>
      </c>
      <c r="C9353">
        <v>146.096919302</v>
      </c>
      <c r="D9353">
        <v>-17.593363486400001</v>
      </c>
      <c r="E9353" s="92">
        <f t="shared" si="59"/>
        <v>50</v>
      </c>
      <c r="G9353" s="92"/>
      <c r="I9353">
        <v>6</v>
      </c>
      <c r="J9353" t="s">
        <v>26</v>
      </c>
      <c r="K9353" s="57"/>
      <c r="S9353" s="57"/>
      <c r="X9353" s="57"/>
    </row>
    <row r="9354" spans="1:24" hidden="1" x14ac:dyDescent="0.35">
      <c r="A9354">
        <v>9350</v>
      </c>
      <c r="B9354">
        <v>9351</v>
      </c>
      <c r="C9354">
        <v>146.096963098</v>
      </c>
      <c r="D9354">
        <v>-17.593288722600001</v>
      </c>
      <c r="E9354" s="92" t="str">
        <f t="shared" si="59"/>
        <v/>
      </c>
      <c r="G9354" s="92"/>
      <c r="I9354">
        <v>6</v>
      </c>
      <c r="J9354" t="s">
        <v>26</v>
      </c>
      <c r="K9354" s="57"/>
      <c r="S9354" s="57"/>
      <c r="X9354" s="57"/>
    </row>
    <row r="9355" spans="1:24" hidden="1" x14ac:dyDescent="0.35">
      <c r="A9355">
        <v>9351</v>
      </c>
      <c r="B9355">
        <v>9352</v>
      </c>
      <c r="C9355">
        <v>146.09700689300001</v>
      </c>
      <c r="D9355">
        <v>-17.5932139588</v>
      </c>
      <c r="E9355" s="92" t="str">
        <f t="shared" si="59"/>
        <v/>
      </c>
      <c r="G9355" s="92"/>
      <c r="I9355">
        <v>6</v>
      </c>
      <c r="J9355" t="s">
        <v>26</v>
      </c>
      <c r="K9355" s="57"/>
      <c r="S9355" s="57"/>
      <c r="X9355" s="57"/>
    </row>
    <row r="9356" spans="1:24" hidden="1" x14ac:dyDescent="0.35">
      <c r="A9356">
        <v>9352</v>
      </c>
      <c r="B9356">
        <v>9353</v>
      </c>
      <c r="C9356">
        <v>146.09706706</v>
      </c>
      <c r="D9356">
        <v>-17.593151638999899</v>
      </c>
      <c r="E9356" s="92" t="str">
        <f t="shared" si="59"/>
        <v/>
      </c>
      <c r="G9356" s="92"/>
      <c r="I9356">
        <v>6</v>
      </c>
      <c r="J9356" t="s">
        <v>26</v>
      </c>
      <c r="K9356" s="57"/>
      <c r="S9356" s="57"/>
      <c r="X9356" s="57"/>
    </row>
    <row r="9357" spans="1:24" hidden="1" x14ac:dyDescent="0.35">
      <c r="A9357">
        <v>9353</v>
      </c>
      <c r="B9357">
        <v>9354</v>
      </c>
      <c r="C9357">
        <v>146.097133778</v>
      </c>
      <c r="D9357">
        <v>-17.593094299099899</v>
      </c>
      <c r="E9357" s="92" t="str">
        <f t="shared" si="59"/>
        <v/>
      </c>
      <c r="G9357" s="92"/>
      <c r="I9357">
        <v>6</v>
      </c>
      <c r="J9357" t="s">
        <v>26</v>
      </c>
      <c r="K9357" s="57"/>
      <c r="S9357" s="57"/>
      <c r="X9357" s="57"/>
    </row>
    <row r="9358" spans="1:24" hidden="1" x14ac:dyDescent="0.35">
      <c r="A9358">
        <v>9354</v>
      </c>
      <c r="B9358">
        <v>9355</v>
      </c>
      <c r="C9358">
        <v>146.09721392200001</v>
      </c>
      <c r="D9358">
        <v>-17.593056258400001</v>
      </c>
      <c r="E9358" s="92">
        <f t="shared" si="59"/>
        <v>50</v>
      </c>
      <c r="G9358" s="92"/>
      <c r="I9358">
        <v>6</v>
      </c>
      <c r="J9358" t="s">
        <v>26</v>
      </c>
      <c r="K9358" s="57"/>
      <c r="S9358" s="57"/>
      <c r="X9358" s="57"/>
    </row>
    <row r="9359" spans="1:24" hidden="1" x14ac:dyDescent="0.35">
      <c r="A9359">
        <v>9355</v>
      </c>
      <c r="B9359">
        <v>9356</v>
      </c>
      <c r="C9359">
        <v>146.09729529500001</v>
      </c>
      <c r="D9359">
        <v>-17.5930199851</v>
      </c>
      <c r="E9359" s="92" t="str">
        <f t="shared" si="59"/>
        <v/>
      </c>
      <c r="G9359" s="92"/>
      <c r="I9359">
        <v>6</v>
      </c>
      <c r="J9359" t="s">
        <v>26</v>
      </c>
      <c r="K9359" s="57"/>
      <c r="S9359" s="57"/>
      <c r="X9359" s="57"/>
    </row>
    <row r="9360" spans="1:24" hidden="1" x14ac:dyDescent="0.35">
      <c r="A9360">
        <v>9356</v>
      </c>
      <c r="B9360">
        <v>9357</v>
      </c>
      <c r="C9360">
        <v>146.097380627999</v>
      </c>
      <c r="D9360">
        <v>-17.5929961281999</v>
      </c>
      <c r="E9360" s="92" t="str">
        <f t="shared" ref="E9360:E9423" si="60">IF(MOD(B9360,5)=0, 50, "")</f>
        <v/>
      </c>
      <c r="G9360" s="92"/>
      <c r="I9360">
        <v>6</v>
      </c>
      <c r="J9360" t="s">
        <v>26</v>
      </c>
      <c r="K9360" s="57"/>
      <c r="S9360" s="57"/>
      <c r="X9360" s="57"/>
    </row>
    <row r="9361" spans="1:24" hidden="1" x14ac:dyDescent="0.35">
      <c r="A9361">
        <v>9357</v>
      </c>
      <c r="B9361">
        <v>9358</v>
      </c>
      <c r="C9361">
        <v>146.09746941399899</v>
      </c>
      <c r="D9361">
        <v>-17.5929830989</v>
      </c>
      <c r="E9361" s="92" t="str">
        <f t="shared" si="60"/>
        <v/>
      </c>
      <c r="G9361" s="92"/>
      <c r="I9361">
        <v>6</v>
      </c>
      <c r="J9361" t="s">
        <v>26</v>
      </c>
      <c r="K9361" s="57"/>
      <c r="S9361" s="57"/>
      <c r="X9361" s="57"/>
    </row>
    <row r="9362" spans="1:24" hidden="1" x14ac:dyDescent="0.35">
      <c r="A9362">
        <v>9358</v>
      </c>
      <c r="B9362">
        <v>9359</v>
      </c>
      <c r="C9362">
        <v>146.09755808899899</v>
      </c>
      <c r="D9362">
        <v>-17.592973174400001</v>
      </c>
      <c r="E9362" s="92" t="str">
        <f t="shared" si="60"/>
        <v/>
      </c>
      <c r="G9362" s="92"/>
      <c r="I9362">
        <v>6</v>
      </c>
      <c r="J9362" t="s">
        <v>26</v>
      </c>
      <c r="K9362" s="57"/>
      <c r="S9362" s="57"/>
      <c r="X9362" s="57"/>
    </row>
    <row r="9363" spans="1:24" hidden="1" x14ac:dyDescent="0.35">
      <c r="A9363">
        <v>9359</v>
      </c>
      <c r="B9363">
        <v>9360</v>
      </c>
      <c r="C9363">
        <v>146.097645752999</v>
      </c>
      <c r="D9363">
        <v>-17.592991871100001</v>
      </c>
      <c r="E9363" s="92">
        <f t="shared" si="60"/>
        <v>50</v>
      </c>
      <c r="G9363" s="92"/>
      <c r="I9363">
        <v>6</v>
      </c>
      <c r="J9363" t="s">
        <v>26</v>
      </c>
      <c r="K9363" s="57"/>
      <c r="S9363" s="57"/>
      <c r="X9363" s="57"/>
    </row>
    <row r="9364" spans="1:24" hidden="1" x14ac:dyDescent="0.35">
      <c r="A9364">
        <v>9360</v>
      </c>
      <c r="B9364">
        <v>9361</v>
      </c>
      <c r="C9364">
        <v>146.09772170900001</v>
      </c>
      <c r="D9364">
        <v>-17.593032931500002</v>
      </c>
      <c r="E9364" s="92" t="str">
        <f t="shared" si="60"/>
        <v/>
      </c>
      <c r="G9364" s="92"/>
      <c r="I9364">
        <v>6</v>
      </c>
      <c r="J9364" t="s">
        <v>26</v>
      </c>
      <c r="K9364" s="57"/>
      <c r="S9364" s="57"/>
      <c r="X9364" s="57"/>
    </row>
    <row r="9365" spans="1:24" hidden="1" x14ac:dyDescent="0.35">
      <c r="A9365">
        <v>9361</v>
      </c>
      <c r="B9365">
        <v>9362</v>
      </c>
      <c r="C9365">
        <v>146.097790086</v>
      </c>
      <c r="D9365">
        <v>-17.5930884668999</v>
      </c>
      <c r="E9365" s="92" t="str">
        <f t="shared" si="60"/>
        <v/>
      </c>
      <c r="G9365" s="92"/>
      <c r="I9365">
        <v>6</v>
      </c>
      <c r="J9365" t="s">
        <v>26</v>
      </c>
      <c r="K9365" s="57"/>
      <c r="S9365" s="57"/>
      <c r="X9365" s="57"/>
    </row>
    <row r="9366" spans="1:24" hidden="1" x14ac:dyDescent="0.35">
      <c r="A9366">
        <v>9362</v>
      </c>
      <c r="B9366">
        <v>9363</v>
      </c>
      <c r="C9366">
        <v>146.097857177999</v>
      </c>
      <c r="D9366">
        <v>-17.593144901700001</v>
      </c>
      <c r="E9366" s="92" t="str">
        <f t="shared" si="60"/>
        <v/>
      </c>
      <c r="G9366" s="92"/>
      <c r="I9366">
        <v>6</v>
      </c>
      <c r="J9366" t="s">
        <v>26</v>
      </c>
      <c r="K9366" s="57"/>
      <c r="S9366" s="57"/>
      <c r="X9366" s="57"/>
    </row>
    <row r="9367" spans="1:24" hidden="1" x14ac:dyDescent="0.35">
      <c r="A9367">
        <v>9363</v>
      </c>
      <c r="B9367">
        <v>9364</v>
      </c>
      <c r="C9367">
        <v>146.097892258999</v>
      </c>
      <c r="D9367">
        <v>-17.5932237321</v>
      </c>
      <c r="E9367" s="92" t="str">
        <f t="shared" si="60"/>
        <v/>
      </c>
      <c r="G9367" s="92"/>
      <c r="I9367">
        <v>6</v>
      </c>
      <c r="J9367" t="s">
        <v>26</v>
      </c>
      <c r="K9367" s="57"/>
      <c r="S9367" s="57"/>
      <c r="X9367" s="57"/>
    </row>
    <row r="9368" spans="1:24" hidden="1" x14ac:dyDescent="0.35">
      <c r="A9368">
        <v>9364</v>
      </c>
      <c r="B9368">
        <v>9365</v>
      </c>
      <c r="C9368">
        <v>146.097927338999</v>
      </c>
      <c r="D9368">
        <v>-17.593302562400002</v>
      </c>
      <c r="E9368" s="92">
        <f t="shared" si="60"/>
        <v>50</v>
      </c>
      <c r="G9368" s="92"/>
      <c r="I9368">
        <v>6</v>
      </c>
      <c r="J9368" t="s">
        <v>26</v>
      </c>
      <c r="K9368" s="57"/>
      <c r="S9368" s="57"/>
      <c r="X9368" s="57"/>
    </row>
    <row r="9369" spans="1:24" hidden="1" x14ac:dyDescent="0.35">
      <c r="A9369">
        <v>9365</v>
      </c>
      <c r="B9369">
        <v>9366</v>
      </c>
      <c r="C9369">
        <v>146.097944310999</v>
      </c>
      <c r="D9369">
        <v>-17.593384582199899</v>
      </c>
      <c r="E9369" s="92" t="str">
        <f t="shared" si="60"/>
        <v/>
      </c>
      <c r="G9369" s="92"/>
      <c r="I9369">
        <v>6</v>
      </c>
      <c r="J9369" t="s">
        <v>26</v>
      </c>
      <c r="K9369" s="57"/>
      <c r="S9369" s="57"/>
      <c r="X9369" s="57"/>
    </row>
    <row r="9370" spans="1:24" hidden="1" x14ac:dyDescent="0.35">
      <c r="A9370">
        <v>9366</v>
      </c>
      <c r="B9370">
        <v>9367</v>
      </c>
      <c r="C9370">
        <v>146.097941096</v>
      </c>
      <c r="D9370">
        <v>-17.593470157100001</v>
      </c>
      <c r="E9370" s="92" t="str">
        <f t="shared" si="60"/>
        <v/>
      </c>
      <c r="G9370" s="92"/>
      <c r="I9370">
        <v>6</v>
      </c>
      <c r="J9370" t="s">
        <v>26</v>
      </c>
      <c r="K9370" s="57"/>
      <c r="S9370" s="57"/>
      <c r="X9370" s="57"/>
    </row>
    <row r="9371" spans="1:24" hidden="1" x14ac:dyDescent="0.35">
      <c r="A9371">
        <v>9367</v>
      </c>
      <c r="B9371">
        <v>9368</v>
      </c>
      <c r="C9371">
        <v>146.097926438999</v>
      </c>
      <c r="D9371">
        <v>-17.593553679900001</v>
      </c>
      <c r="E9371" s="92" t="str">
        <f t="shared" si="60"/>
        <v/>
      </c>
      <c r="G9371" s="92"/>
      <c r="I9371">
        <v>6</v>
      </c>
      <c r="J9371" t="s">
        <v>26</v>
      </c>
      <c r="K9371" s="57"/>
      <c r="S9371" s="57"/>
      <c r="X9371" s="57"/>
    </row>
    <row r="9372" spans="1:24" hidden="1" x14ac:dyDescent="0.35">
      <c r="A9372">
        <v>9368</v>
      </c>
      <c r="B9372">
        <v>9369</v>
      </c>
      <c r="C9372">
        <v>146.09789681199899</v>
      </c>
      <c r="D9372">
        <v>-17.5936345185</v>
      </c>
      <c r="E9372" s="92" t="str">
        <f t="shared" si="60"/>
        <v/>
      </c>
      <c r="G9372" s="92"/>
      <c r="I9372">
        <v>6</v>
      </c>
      <c r="J9372" t="s">
        <v>26</v>
      </c>
      <c r="K9372" s="57"/>
      <c r="S9372" s="57"/>
      <c r="X9372" s="57"/>
    </row>
    <row r="9373" spans="1:24" hidden="1" x14ac:dyDescent="0.35">
      <c r="A9373">
        <v>9369</v>
      </c>
      <c r="B9373">
        <v>9370</v>
      </c>
      <c r="C9373">
        <v>146.097869196</v>
      </c>
      <c r="D9373">
        <v>-17.5937159896</v>
      </c>
      <c r="E9373" s="92">
        <f t="shared" si="60"/>
        <v>50</v>
      </c>
      <c r="G9373" s="92"/>
      <c r="I9373">
        <v>6</v>
      </c>
      <c r="J9373" t="s">
        <v>26</v>
      </c>
      <c r="K9373" s="57"/>
      <c r="S9373" s="57"/>
      <c r="X9373" s="57"/>
    </row>
    <row r="9374" spans="1:24" hidden="1" x14ac:dyDescent="0.35">
      <c r="A9374">
        <v>9370</v>
      </c>
      <c r="B9374">
        <v>9371</v>
      </c>
      <c r="C9374">
        <v>146.097842517999</v>
      </c>
      <c r="D9374">
        <v>-17.593797756099899</v>
      </c>
      <c r="E9374" s="92" t="str">
        <f t="shared" si="60"/>
        <v/>
      </c>
      <c r="G9374" s="92"/>
      <c r="I9374">
        <v>6</v>
      </c>
      <c r="J9374" t="s">
        <v>26</v>
      </c>
      <c r="K9374" s="57"/>
      <c r="S9374" s="57"/>
      <c r="X9374" s="57"/>
    </row>
    <row r="9375" spans="1:24" hidden="1" x14ac:dyDescent="0.35">
      <c r="A9375">
        <v>9371</v>
      </c>
      <c r="B9375">
        <v>9372</v>
      </c>
      <c r="C9375">
        <v>146.09783400800001</v>
      </c>
      <c r="D9375">
        <v>-17.5938829032999</v>
      </c>
      <c r="E9375" s="92" t="str">
        <f t="shared" si="60"/>
        <v/>
      </c>
      <c r="G9375" s="92"/>
      <c r="I9375">
        <v>6</v>
      </c>
      <c r="J9375" t="s">
        <v>26</v>
      </c>
      <c r="K9375" s="57"/>
      <c r="S9375" s="57"/>
      <c r="X9375" s="57"/>
    </row>
    <row r="9376" spans="1:24" hidden="1" x14ac:dyDescent="0.35">
      <c r="A9376">
        <v>9372</v>
      </c>
      <c r="B9376">
        <v>9373</v>
      </c>
      <c r="C9376">
        <v>146.09782896799899</v>
      </c>
      <c r="D9376">
        <v>-17.593968336300001</v>
      </c>
      <c r="E9376" s="92" t="str">
        <f t="shared" si="60"/>
        <v/>
      </c>
      <c r="G9376" s="92"/>
      <c r="I9376">
        <v>6</v>
      </c>
      <c r="J9376" t="s">
        <v>26</v>
      </c>
      <c r="K9376" s="57"/>
      <c r="S9376" s="57"/>
      <c r="X9376" s="57"/>
    </row>
    <row r="9377" spans="1:24" hidden="1" x14ac:dyDescent="0.35">
      <c r="A9377">
        <v>9373</v>
      </c>
      <c r="B9377">
        <v>9374</v>
      </c>
      <c r="C9377">
        <v>146.097828542999</v>
      </c>
      <c r="D9377">
        <v>-17.594053964800001</v>
      </c>
      <c r="E9377" s="92" t="str">
        <f t="shared" si="60"/>
        <v/>
      </c>
      <c r="G9377" s="92"/>
      <c r="I9377">
        <v>6</v>
      </c>
      <c r="J9377" t="s">
        <v>26</v>
      </c>
      <c r="K9377" s="57"/>
      <c r="S9377" s="57"/>
      <c r="X9377" s="57"/>
    </row>
    <row r="9378" spans="1:24" hidden="1" x14ac:dyDescent="0.35">
      <c r="A9378">
        <v>9374</v>
      </c>
      <c r="B9378">
        <v>9375</v>
      </c>
      <c r="C9378">
        <v>146.09783997700001</v>
      </c>
      <c r="D9378">
        <v>-17.5941381427</v>
      </c>
      <c r="E9378" s="92">
        <f t="shared" si="60"/>
        <v>50</v>
      </c>
      <c r="G9378" s="92"/>
      <c r="I9378">
        <v>6</v>
      </c>
      <c r="J9378" t="s">
        <v>26</v>
      </c>
      <c r="K9378" s="57"/>
      <c r="S9378" s="57"/>
      <c r="X9378" s="57"/>
    </row>
    <row r="9379" spans="1:24" hidden="1" x14ac:dyDescent="0.35">
      <c r="A9379">
        <v>9375</v>
      </c>
      <c r="B9379">
        <v>9376</v>
      </c>
      <c r="C9379">
        <v>146.09786417999899</v>
      </c>
      <c r="D9379">
        <v>-17.5942204605999</v>
      </c>
      <c r="E9379" s="92" t="str">
        <f t="shared" si="60"/>
        <v/>
      </c>
      <c r="G9379" s="92"/>
      <c r="I9379">
        <v>6</v>
      </c>
      <c r="J9379" t="s">
        <v>26</v>
      </c>
      <c r="K9379" s="57"/>
      <c r="S9379" s="57"/>
      <c r="X9379" s="57"/>
    </row>
    <row r="9380" spans="1:24" hidden="1" x14ac:dyDescent="0.35">
      <c r="A9380">
        <v>9376</v>
      </c>
      <c r="B9380">
        <v>9377</v>
      </c>
      <c r="C9380">
        <v>146.097908614</v>
      </c>
      <c r="D9380">
        <v>-17.594294881100002</v>
      </c>
      <c r="E9380" s="92" t="str">
        <f t="shared" si="60"/>
        <v/>
      </c>
      <c r="G9380" s="92"/>
      <c r="I9380">
        <v>6</v>
      </c>
      <c r="J9380" t="s">
        <v>26</v>
      </c>
      <c r="K9380" s="57"/>
      <c r="S9380" s="57"/>
      <c r="X9380" s="57"/>
    </row>
    <row r="9381" spans="1:24" hidden="1" x14ac:dyDescent="0.35">
      <c r="A9381">
        <v>9377</v>
      </c>
      <c r="B9381">
        <v>9378</v>
      </c>
      <c r="C9381">
        <v>146.097962477999</v>
      </c>
      <c r="D9381">
        <v>-17.594362943299899</v>
      </c>
      <c r="E9381" s="92" t="str">
        <f t="shared" si="60"/>
        <v/>
      </c>
      <c r="G9381" s="92"/>
      <c r="I9381">
        <v>6</v>
      </c>
      <c r="J9381" t="s">
        <v>26</v>
      </c>
      <c r="K9381" s="57"/>
      <c r="S9381" s="57"/>
      <c r="X9381" s="57"/>
    </row>
    <row r="9382" spans="1:24" hidden="1" x14ac:dyDescent="0.35">
      <c r="A9382">
        <v>9378</v>
      </c>
      <c r="B9382">
        <v>9379</v>
      </c>
      <c r="C9382">
        <v>146.098021297</v>
      </c>
      <c r="D9382">
        <v>-17.5944276645</v>
      </c>
      <c r="E9382" s="92" t="str">
        <f t="shared" si="60"/>
        <v/>
      </c>
      <c r="G9382" s="92"/>
      <c r="I9382">
        <v>6</v>
      </c>
      <c r="J9382" t="s">
        <v>26</v>
      </c>
      <c r="K9382" s="57"/>
      <c r="S9382" s="57"/>
      <c r="X9382" s="57"/>
    </row>
    <row r="9383" spans="1:24" hidden="1" x14ac:dyDescent="0.35">
      <c r="A9383">
        <v>9379</v>
      </c>
      <c r="B9383">
        <v>9380</v>
      </c>
      <c r="C9383">
        <v>146.098081570999</v>
      </c>
      <c r="D9383">
        <v>-17.5944911333</v>
      </c>
      <c r="E9383" s="92">
        <f t="shared" si="60"/>
        <v>50</v>
      </c>
      <c r="G9383" s="92"/>
      <c r="I9383">
        <v>6</v>
      </c>
      <c r="J9383" t="s">
        <v>26</v>
      </c>
      <c r="K9383" s="57"/>
      <c r="S9383" s="57"/>
      <c r="X9383" s="57"/>
    </row>
    <row r="9384" spans="1:24" hidden="1" x14ac:dyDescent="0.35">
      <c r="A9384">
        <v>9380</v>
      </c>
      <c r="B9384">
        <v>9381</v>
      </c>
      <c r="C9384">
        <v>146.098143088999</v>
      </c>
      <c r="D9384">
        <v>-17.594553533300001</v>
      </c>
      <c r="E9384" s="92" t="str">
        <f t="shared" si="60"/>
        <v/>
      </c>
      <c r="G9384" s="92"/>
      <c r="I9384">
        <v>6</v>
      </c>
      <c r="J9384" t="s">
        <v>26</v>
      </c>
      <c r="K9384" s="57"/>
      <c r="S9384" s="57"/>
      <c r="X9384" s="57"/>
    </row>
    <row r="9385" spans="1:24" hidden="1" x14ac:dyDescent="0.35">
      <c r="A9385">
        <v>9381</v>
      </c>
      <c r="B9385">
        <v>9382</v>
      </c>
      <c r="C9385">
        <v>146.09818806300001</v>
      </c>
      <c r="D9385">
        <v>-17.594626106900002</v>
      </c>
      <c r="E9385" s="92" t="str">
        <f t="shared" si="60"/>
        <v/>
      </c>
      <c r="G9385" s="92"/>
      <c r="I9385">
        <v>6</v>
      </c>
      <c r="J9385" t="s">
        <v>26</v>
      </c>
      <c r="K9385" s="57"/>
      <c r="S9385" s="57"/>
      <c r="X9385" s="57"/>
    </row>
    <row r="9386" spans="1:24" hidden="1" x14ac:dyDescent="0.35">
      <c r="A9386">
        <v>9382</v>
      </c>
      <c r="B9386">
        <v>9383</v>
      </c>
      <c r="C9386">
        <v>146.09821992299899</v>
      </c>
      <c r="D9386">
        <v>-17.594706079800002</v>
      </c>
      <c r="E9386" s="92" t="str">
        <f t="shared" si="60"/>
        <v/>
      </c>
      <c r="G9386" s="92"/>
      <c r="I9386">
        <v>6</v>
      </c>
      <c r="J9386" t="s">
        <v>26</v>
      </c>
      <c r="K9386" s="57"/>
      <c r="S9386" s="57"/>
      <c r="X9386" s="57"/>
    </row>
    <row r="9387" spans="1:24" hidden="1" x14ac:dyDescent="0.35">
      <c r="A9387">
        <v>9383</v>
      </c>
      <c r="B9387">
        <v>9384</v>
      </c>
      <c r="C9387">
        <v>146.09824599500001</v>
      </c>
      <c r="D9387">
        <v>-17.594788022900001</v>
      </c>
      <c r="E9387" s="92" t="str">
        <f t="shared" si="60"/>
        <v/>
      </c>
      <c r="G9387" s="92"/>
      <c r="I9387">
        <v>6</v>
      </c>
      <c r="J9387" t="s">
        <v>26</v>
      </c>
      <c r="K9387" s="57"/>
      <c r="S9387" s="57"/>
      <c r="X9387" s="57"/>
    </row>
    <row r="9388" spans="1:24" hidden="1" x14ac:dyDescent="0.35">
      <c r="A9388">
        <v>9384</v>
      </c>
      <c r="B9388">
        <v>9385</v>
      </c>
      <c r="C9388">
        <v>146.09826247999899</v>
      </c>
      <c r="D9388">
        <v>-17.5948712992999</v>
      </c>
      <c r="E9388" s="92">
        <f t="shared" si="60"/>
        <v>50</v>
      </c>
      <c r="G9388" s="92"/>
      <c r="I9388">
        <v>6</v>
      </c>
      <c r="J9388" t="s">
        <v>26</v>
      </c>
      <c r="K9388" s="57"/>
      <c r="S9388" s="57"/>
      <c r="X9388" s="57"/>
    </row>
    <row r="9389" spans="1:24" hidden="1" x14ac:dyDescent="0.35">
      <c r="A9389">
        <v>9385</v>
      </c>
      <c r="B9389">
        <v>9386</v>
      </c>
      <c r="C9389">
        <v>146.098262054999</v>
      </c>
      <c r="D9389">
        <v>-17.5949569273</v>
      </c>
      <c r="E9389" s="92" t="str">
        <f t="shared" si="60"/>
        <v/>
      </c>
      <c r="G9389" s="92"/>
      <c r="I9389">
        <v>6</v>
      </c>
      <c r="J9389" t="s">
        <v>26</v>
      </c>
      <c r="K9389" s="57"/>
      <c r="S9389" s="57"/>
      <c r="X9389" s="57"/>
    </row>
    <row r="9390" spans="1:24" hidden="1" x14ac:dyDescent="0.35">
      <c r="A9390">
        <v>9386</v>
      </c>
      <c r="B9390">
        <v>9387</v>
      </c>
      <c r="C9390">
        <v>146.09826631600001</v>
      </c>
      <c r="D9390">
        <v>-17.595042424900001</v>
      </c>
      <c r="E9390" s="92" t="str">
        <f t="shared" si="60"/>
        <v/>
      </c>
      <c r="G9390" s="92"/>
      <c r="I9390">
        <v>6</v>
      </c>
      <c r="J9390" t="s">
        <v>26</v>
      </c>
      <c r="K9390" s="57"/>
      <c r="S9390" s="57"/>
      <c r="X9390" s="57"/>
    </row>
    <row r="9391" spans="1:24" hidden="1" x14ac:dyDescent="0.35">
      <c r="A9391">
        <v>9387</v>
      </c>
      <c r="B9391">
        <v>9388</v>
      </c>
      <c r="C9391">
        <v>146.09827198299899</v>
      </c>
      <c r="D9391">
        <v>-17.5951278832</v>
      </c>
      <c r="E9391" s="92" t="str">
        <f t="shared" si="60"/>
        <v/>
      </c>
      <c r="G9391" s="92"/>
      <c r="I9391">
        <v>6</v>
      </c>
      <c r="J9391" t="s">
        <v>26</v>
      </c>
      <c r="K9391" s="57"/>
      <c r="S9391" s="57"/>
      <c r="X9391" s="57"/>
    </row>
    <row r="9392" spans="1:24" hidden="1" x14ac:dyDescent="0.35">
      <c r="A9392">
        <v>9388</v>
      </c>
      <c r="B9392">
        <v>9389</v>
      </c>
      <c r="C9392">
        <v>146.09827765</v>
      </c>
      <c r="D9392">
        <v>-17.5952133414999</v>
      </c>
      <c r="E9392" s="92" t="str">
        <f t="shared" si="60"/>
        <v/>
      </c>
      <c r="G9392" s="92"/>
      <c r="I9392">
        <v>6</v>
      </c>
      <c r="J9392" t="s">
        <v>26</v>
      </c>
      <c r="K9392" s="57"/>
      <c r="S9392" s="57"/>
      <c r="X9392" s="57"/>
    </row>
    <row r="9393" spans="1:24" hidden="1" x14ac:dyDescent="0.35">
      <c r="A9393">
        <v>9389</v>
      </c>
      <c r="B9393">
        <v>9390</v>
      </c>
      <c r="C9393">
        <v>146.09828331700001</v>
      </c>
      <c r="D9393">
        <v>-17.595298799799899</v>
      </c>
      <c r="E9393" s="92">
        <f t="shared" si="60"/>
        <v>50</v>
      </c>
      <c r="G9393" s="92"/>
      <c r="I9393">
        <v>6</v>
      </c>
      <c r="J9393" t="s">
        <v>26</v>
      </c>
      <c r="K9393" s="57"/>
      <c r="S9393" s="57"/>
      <c r="X9393" s="57"/>
    </row>
    <row r="9394" spans="1:24" hidden="1" x14ac:dyDescent="0.35">
      <c r="A9394">
        <v>9390</v>
      </c>
      <c r="B9394">
        <v>9391</v>
      </c>
      <c r="C9394">
        <v>146.09828898500001</v>
      </c>
      <c r="D9394">
        <v>-17.5953842579999</v>
      </c>
      <c r="E9394" s="92" t="str">
        <f t="shared" si="60"/>
        <v/>
      </c>
      <c r="G9394" s="92"/>
      <c r="I9394">
        <v>6</v>
      </c>
      <c r="J9394" t="s">
        <v>26</v>
      </c>
      <c r="K9394" s="57"/>
      <c r="S9394" s="57"/>
      <c r="X9394" s="57"/>
    </row>
    <row r="9395" spans="1:24" hidden="1" x14ac:dyDescent="0.35">
      <c r="A9395">
        <v>9391</v>
      </c>
      <c r="B9395">
        <v>9392</v>
      </c>
      <c r="C9395">
        <v>146.098294651999</v>
      </c>
      <c r="D9395">
        <v>-17.595469716099899</v>
      </c>
      <c r="E9395" s="92" t="str">
        <f t="shared" si="60"/>
        <v/>
      </c>
      <c r="G9395" s="92"/>
      <c r="I9395">
        <v>6</v>
      </c>
      <c r="J9395" t="s">
        <v>26</v>
      </c>
      <c r="K9395" s="57"/>
      <c r="S9395" s="57"/>
      <c r="X9395" s="57"/>
    </row>
    <row r="9396" spans="1:24" hidden="1" x14ac:dyDescent="0.35">
      <c r="A9396">
        <v>9392</v>
      </c>
      <c r="B9396">
        <v>9393</v>
      </c>
      <c r="C9396">
        <v>146.098300319</v>
      </c>
      <c r="D9396">
        <v>-17.5955551742999</v>
      </c>
      <c r="E9396" s="92" t="str">
        <f t="shared" si="60"/>
        <v/>
      </c>
      <c r="G9396" s="92"/>
      <c r="I9396">
        <v>6</v>
      </c>
      <c r="J9396" t="s">
        <v>26</v>
      </c>
      <c r="K9396" s="57"/>
      <c r="S9396" s="57"/>
      <c r="X9396" s="57"/>
    </row>
    <row r="9397" spans="1:24" hidden="1" x14ac:dyDescent="0.35">
      <c r="A9397">
        <v>9393</v>
      </c>
      <c r="B9397">
        <v>9394</v>
      </c>
      <c r="C9397">
        <v>146.09830213000001</v>
      </c>
      <c r="D9397">
        <v>-17.5956405993999</v>
      </c>
      <c r="E9397" s="92" t="str">
        <f t="shared" si="60"/>
        <v/>
      </c>
      <c r="G9397" s="92"/>
      <c r="I9397">
        <v>6</v>
      </c>
      <c r="J9397" t="s">
        <v>26</v>
      </c>
      <c r="K9397" s="57"/>
      <c r="S9397" s="57"/>
      <c r="X9397" s="57"/>
    </row>
    <row r="9398" spans="1:24" hidden="1" x14ac:dyDescent="0.35">
      <c r="A9398">
        <v>9394</v>
      </c>
      <c r="B9398">
        <v>9395</v>
      </c>
      <c r="C9398">
        <v>146.09829485700001</v>
      </c>
      <c r="D9398">
        <v>-17.595725946999899</v>
      </c>
      <c r="E9398" s="92">
        <f t="shared" si="60"/>
        <v>50</v>
      </c>
      <c r="G9398" s="92"/>
      <c r="I9398">
        <v>6</v>
      </c>
      <c r="J9398" t="s">
        <v>26</v>
      </c>
      <c r="K9398" s="57"/>
      <c r="S9398" s="57"/>
      <c r="X9398" s="57"/>
    </row>
    <row r="9399" spans="1:24" hidden="1" x14ac:dyDescent="0.35">
      <c r="A9399">
        <v>9395</v>
      </c>
      <c r="B9399">
        <v>9396</v>
      </c>
      <c r="C9399">
        <v>146.09828758500001</v>
      </c>
      <c r="D9399">
        <v>-17.595811294600001</v>
      </c>
      <c r="E9399" s="92" t="str">
        <f t="shared" si="60"/>
        <v/>
      </c>
      <c r="G9399" s="92"/>
      <c r="I9399">
        <v>6</v>
      </c>
      <c r="J9399" t="s">
        <v>26</v>
      </c>
      <c r="K9399" s="57"/>
      <c r="S9399" s="57"/>
      <c r="X9399" s="57"/>
    </row>
    <row r="9400" spans="1:24" hidden="1" x14ac:dyDescent="0.35">
      <c r="A9400">
        <v>9396</v>
      </c>
      <c r="B9400">
        <v>9397</v>
      </c>
      <c r="C9400">
        <v>146.098280313</v>
      </c>
      <c r="D9400">
        <v>-17.595896642100001</v>
      </c>
      <c r="E9400" s="92" t="str">
        <f t="shared" si="60"/>
        <v/>
      </c>
      <c r="G9400" s="92"/>
      <c r="I9400">
        <v>6</v>
      </c>
      <c r="J9400" t="s">
        <v>26</v>
      </c>
      <c r="K9400" s="57"/>
      <c r="S9400" s="57"/>
      <c r="X9400" s="57"/>
    </row>
    <row r="9401" spans="1:24" hidden="1" x14ac:dyDescent="0.35">
      <c r="A9401">
        <v>9397</v>
      </c>
      <c r="B9401">
        <v>9398</v>
      </c>
      <c r="C9401">
        <v>146.098269227999</v>
      </c>
      <c r="D9401">
        <v>-17.595981130399899</v>
      </c>
      <c r="E9401" s="92" t="str">
        <f t="shared" si="60"/>
        <v/>
      </c>
      <c r="G9401" s="92"/>
      <c r="I9401">
        <v>6</v>
      </c>
      <c r="J9401" t="s">
        <v>26</v>
      </c>
      <c r="K9401" s="57"/>
      <c r="S9401" s="57"/>
      <c r="X9401" s="57"/>
    </row>
    <row r="9402" spans="1:24" hidden="1" x14ac:dyDescent="0.35">
      <c r="A9402">
        <v>9398</v>
      </c>
      <c r="B9402">
        <v>9399</v>
      </c>
      <c r="C9402">
        <v>146.09823564499899</v>
      </c>
      <c r="D9402">
        <v>-17.596060550299899</v>
      </c>
      <c r="E9402" s="92" t="str">
        <f t="shared" si="60"/>
        <v/>
      </c>
      <c r="G9402" s="92"/>
      <c r="I9402">
        <v>6</v>
      </c>
      <c r="J9402" t="s">
        <v>26</v>
      </c>
      <c r="K9402" s="57"/>
      <c r="S9402" s="57"/>
      <c r="X9402" s="57"/>
    </row>
    <row r="9403" spans="1:24" hidden="1" x14ac:dyDescent="0.35">
      <c r="A9403">
        <v>9399</v>
      </c>
      <c r="B9403">
        <v>9400</v>
      </c>
      <c r="C9403">
        <v>146.098202063</v>
      </c>
      <c r="D9403">
        <v>-17.5961399701999</v>
      </c>
      <c r="E9403" s="92">
        <f t="shared" si="60"/>
        <v>50</v>
      </c>
      <c r="G9403" s="92"/>
      <c r="I9403">
        <v>6</v>
      </c>
      <c r="J9403" t="s">
        <v>26</v>
      </c>
      <c r="K9403" s="57"/>
      <c r="S9403" s="57"/>
      <c r="X9403" s="57"/>
    </row>
    <row r="9404" spans="1:24" hidden="1" x14ac:dyDescent="0.35">
      <c r="A9404">
        <v>9400</v>
      </c>
      <c r="B9404">
        <v>9401</v>
      </c>
      <c r="C9404">
        <v>146.09815483899899</v>
      </c>
      <c r="D9404">
        <v>-17.5962101784</v>
      </c>
      <c r="E9404" s="92" t="str">
        <f t="shared" si="60"/>
        <v/>
      </c>
      <c r="G9404" s="92"/>
      <c r="I9404">
        <v>6</v>
      </c>
      <c r="J9404" t="s">
        <v>26</v>
      </c>
      <c r="K9404" s="57"/>
      <c r="S9404" s="57"/>
      <c r="X9404" s="57"/>
    </row>
    <row r="9405" spans="1:24" hidden="1" x14ac:dyDescent="0.35">
      <c r="A9405">
        <v>9401</v>
      </c>
      <c r="B9405">
        <v>9402</v>
      </c>
      <c r="C9405">
        <v>146.09808737700001</v>
      </c>
      <c r="D9405">
        <v>-17.596266721100001</v>
      </c>
      <c r="E9405" s="92" t="str">
        <f t="shared" si="60"/>
        <v/>
      </c>
      <c r="G9405" s="92"/>
      <c r="I9405">
        <v>6</v>
      </c>
      <c r="J9405" t="s">
        <v>26</v>
      </c>
      <c r="K9405" s="57"/>
      <c r="S9405" s="57"/>
      <c r="X9405" s="57"/>
    </row>
    <row r="9406" spans="1:24" hidden="1" x14ac:dyDescent="0.35">
      <c r="A9406">
        <v>9402</v>
      </c>
      <c r="B9406">
        <v>9403</v>
      </c>
      <c r="C9406">
        <v>146.09801142800001</v>
      </c>
      <c r="D9406">
        <v>-17.596312373100002</v>
      </c>
      <c r="E9406" s="92" t="str">
        <f t="shared" si="60"/>
        <v/>
      </c>
      <c r="G9406" s="92"/>
      <c r="I9406">
        <v>6</v>
      </c>
      <c r="J9406" t="s">
        <v>26</v>
      </c>
      <c r="K9406" s="57"/>
      <c r="S9406" s="57"/>
      <c r="X9406" s="57"/>
    </row>
    <row r="9407" spans="1:24" hidden="1" x14ac:dyDescent="0.35">
      <c r="A9407">
        <v>9403</v>
      </c>
      <c r="B9407">
        <v>9404</v>
      </c>
      <c r="C9407">
        <v>146.097935075999</v>
      </c>
      <c r="D9407">
        <v>-17.5963574859</v>
      </c>
      <c r="E9407" s="92" t="str">
        <f t="shared" si="60"/>
        <v/>
      </c>
      <c r="G9407" s="92"/>
      <c r="I9407">
        <v>6</v>
      </c>
      <c r="J9407" t="s">
        <v>26</v>
      </c>
      <c r="K9407" s="57"/>
      <c r="S9407" s="57"/>
      <c r="X9407" s="57"/>
    </row>
    <row r="9408" spans="1:24" hidden="1" x14ac:dyDescent="0.35">
      <c r="A9408">
        <v>9404</v>
      </c>
      <c r="B9408">
        <v>9405</v>
      </c>
      <c r="C9408">
        <v>146.097858328</v>
      </c>
      <c r="D9408">
        <v>-17.596401986299899</v>
      </c>
      <c r="E9408" s="92">
        <f t="shared" si="60"/>
        <v>50</v>
      </c>
      <c r="G9408" s="92"/>
      <c r="I9408">
        <v>6</v>
      </c>
      <c r="J9408" t="s">
        <v>26</v>
      </c>
      <c r="K9408" s="57"/>
      <c r="S9408" s="57"/>
      <c r="X9408" s="57"/>
    </row>
    <row r="9409" spans="1:24" hidden="1" x14ac:dyDescent="0.35">
      <c r="A9409">
        <v>9405</v>
      </c>
      <c r="B9409">
        <v>9406</v>
      </c>
      <c r="C9409">
        <v>146.09778158</v>
      </c>
      <c r="D9409">
        <v>-17.5964464869</v>
      </c>
      <c r="E9409" s="92" t="str">
        <f t="shared" si="60"/>
        <v/>
      </c>
      <c r="G9409" s="92"/>
      <c r="I9409">
        <v>6</v>
      </c>
      <c r="J9409" t="s">
        <v>26</v>
      </c>
      <c r="K9409" s="57"/>
      <c r="S9409" s="57"/>
      <c r="X9409" s="57"/>
    </row>
    <row r="9410" spans="1:24" hidden="1" x14ac:dyDescent="0.35">
      <c r="A9410">
        <v>9406</v>
      </c>
      <c r="B9410">
        <v>9407</v>
      </c>
      <c r="C9410">
        <v>146.09770633700001</v>
      </c>
      <c r="D9410">
        <v>-17.5964931878</v>
      </c>
      <c r="E9410" s="92" t="str">
        <f t="shared" si="60"/>
        <v/>
      </c>
      <c r="G9410" s="92"/>
      <c r="I9410">
        <v>6</v>
      </c>
      <c r="J9410" t="s">
        <v>26</v>
      </c>
      <c r="K9410" s="57"/>
      <c r="S9410" s="57"/>
      <c r="X9410" s="57"/>
    </row>
    <row r="9411" spans="1:24" hidden="1" x14ac:dyDescent="0.35">
      <c r="A9411">
        <v>9407</v>
      </c>
      <c r="B9411">
        <v>9408</v>
      </c>
      <c r="C9411">
        <v>146.097632645999</v>
      </c>
      <c r="D9411">
        <v>-17.5965421585</v>
      </c>
      <c r="E9411" s="92" t="str">
        <f t="shared" si="60"/>
        <v/>
      </c>
      <c r="G9411" s="92"/>
      <c r="I9411">
        <v>6</v>
      </c>
      <c r="J9411" t="s">
        <v>26</v>
      </c>
      <c r="K9411" s="57"/>
      <c r="S9411" s="57"/>
      <c r="X9411" s="57"/>
    </row>
    <row r="9412" spans="1:24" hidden="1" x14ac:dyDescent="0.35">
      <c r="A9412">
        <v>9408</v>
      </c>
      <c r="B9412">
        <v>9409</v>
      </c>
      <c r="C9412">
        <v>146.097572858999</v>
      </c>
      <c r="D9412">
        <v>-17.596605882199899</v>
      </c>
      <c r="E9412" s="92" t="str">
        <f t="shared" si="60"/>
        <v/>
      </c>
      <c r="G9412" s="92"/>
      <c r="I9412">
        <v>6</v>
      </c>
      <c r="J9412" t="s">
        <v>26</v>
      </c>
      <c r="K9412" s="57"/>
      <c r="S9412" s="57"/>
      <c r="X9412" s="57"/>
    </row>
    <row r="9413" spans="1:24" hidden="1" x14ac:dyDescent="0.35">
      <c r="A9413">
        <v>9409</v>
      </c>
      <c r="B9413">
        <v>9410</v>
      </c>
      <c r="C9413">
        <v>146.09753121099899</v>
      </c>
      <c r="D9413">
        <v>-17.596680593399899</v>
      </c>
      <c r="E9413" s="92">
        <f t="shared" si="60"/>
        <v>50</v>
      </c>
      <c r="G9413" s="92"/>
      <c r="I9413">
        <v>6</v>
      </c>
      <c r="J9413" t="s">
        <v>26</v>
      </c>
      <c r="K9413" s="57"/>
      <c r="S9413" s="57"/>
      <c r="X9413" s="57"/>
    </row>
    <row r="9414" spans="1:24" hidden="1" x14ac:dyDescent="0.35">
      <c r="A9414">
        <v>9410</v>
      </c>
      <c r="B9414">
        <v>9411</v>
      </c>
      <c r="C9414">
        <v>146.097529747999</v>
      </c>
      <c r="D9414">
        <v>-17.596763226099899</v>
      </c>
      <c r="E9414" s="92" t="str">
        <f t="shared" si="60"/>
        <v/>
      </c>
      <c r="G9414" s="92"/>
      <c r="I9414">
        <v>6</v>
      </c>
      <c r="J9414" t="s">
        <v>26</v>
      </c>
      <c r="K9414" s="57"/>
      <c r="S9414" s="57"/>
      <c r="X9414" s="57"/>
    </row>
    <row r="9415" spans="1:24" hidden="1" x14ac:dyDescent="0.35">
      <c r="A9415">
        <v>9411</v>
      </c>
      <c r="B9415">
        <v>9412</v>
      </c>
      <c r="C9415">
        <v>146.09757998200001</v>
      </c>
      <c r="D9415">
        <v>-17.596830606400001</v>
      </c>
      <c r="E9415" s="92" t="str">
        <f t="shared" si="60"/>
        <v/>
      </c>
      <c r="G9415" s="92"/>
      <c r="I9415">
        <v>6</v>
      </c>
      <c r="J9415" t="s">
        <v>26</v>
      </c>
      <c r="K9415" s="57"/>
      <c r="S9415" s="57"/>
      <c r="X9415" s="57"/>
    </row>
    <row r="9416" spans="1:24" hidden="1" x14ac:dyDescent="0.35">
      <c r="A9416">
        <v>9412</v>
      </c>
      <c r="B9416">
        <v>9413</v>
      </c>
      <c r="C9416">
        <v>146.09766728700001</v>
      </c>
      <c r="D9416">
        <v>-17.5968504507</v>
      </c>
      <c r="E9416" s="92" t="str">
        <f t="shared" si="60"/>
        <v/>
      </c>
      <c r="G9416" s="92"/>
      <c r="I9416">
        <v>6</v>
      </c>
      <c r="J9416" t="s">
        <v>26</v>
      </c>
      <c r="K9416" s="57"/>
      <c r="S9416" s="57"/>
      <c r="X9416" s="57"/>
    </row>
    <row r="9417" spans="1:24" hidden="1" x14ac:dyDescent="0.35">
      <c r="A9417">
        <v>9413</v>
      </c>
      <c r="B9417">
        <v>9414</v>
      </c>
      <c r="C9417">
        <v>146.09775286300001</v>
      </c>
      <c r="D9417">
        <v>-17.596824407100002</v>
      </c>
      <c r="E9417" s="92" t="str">
        <f t="shared" si="60"/>
        <v/>
      </c>
      <c r="G9417" s="92"/>
      <c r="I9417">
        <v>6</v>
      </c>
      <c r="J9417" t="s">
        <v>26</v>
      </c>
      <c r="K9417" s="57"/>
      <c r="S9417" s="57"/>
      <c r="X9417" s="57"/>
    </row>
    <row r="9418" spans="1:24" hidden="1" x14ac:dyDescent="0.35">
      <c r="A9418">
        <v>9414</v>
      </c>
      <c r="B9418">
        <v>9415</v>
      </c>
      <c r="C9418">
        <v>146.09783843899899</v>
      </c>
      <c r="D9418">
        <v>-17.596798363400001</v>
      </c>
      <c r="E9418" s="92">
        <f t="shared" si="60"/>
        <v>50</v>
      </c>
      <c r="G9418" s="92"/>
      <c r="I9418">
        <v>6</v>
      </c>
      <c r="J9418" t="s">
        <v>26</v>
      </c>
      <c r="K9418" s="57"/>
      <c r="S9418" s="57"/>
      <c r="X9418" s="57"/>
    </row>
    <row r="9419" spans="1:24" hidden="1" x14ac:dyDescent="0.35">
      <c r="A9419">
        <v>9415</v>
      </c>
      <c r="B9419">
        <v>9416</v>
      </c>
      <c r="C9419">
        <v>146.097908498999</v>
      </c>
      <c r="D9419">
        <v>-17.596745313</v>
      </c>
      <c r="E9419" s="92" t="str">
        <f t="shared" si="60"/>
        <v/>
      </c>
      <c r="G9419" s="92"/>
      <c r="I9419">
        <v>6</v>
      </c>
      <c r="J9419" t="s">
        <v>26</v>
      </c>
      <c r="K9419" s="57"/>
      <c r="S9419" s="57"/>
      <c r="X9419" s="57"/>
    </row>
    <row r="9420" spans="1:24" hidden="1" x14ac:dyDescent="0.35">
      <c r="A9420">
        <v>9416</v>
      </c>
      <c r="B9420">
        <v>9417</v>
      </c>
      <c r="C9420">
        <v>146.097983244999</v>
      </c>
      <c r="D9420">
        <v>-17.596699110500001</v>
      </c>
      <c r="E9420" s="92" t="str">
        <f t="shared" si="60"/>
        <v/>
      </c>
      <c r="G9420" s="92"/>
      <c r="I9420">
        <v>6</v>
      </c>
      <c r="J9420" t="s">
        <v>26</v>
      </c>
      <c r="K9420" s="57"/>
      <c r="S9420" s="57"/>
      <c r="X9420" s="57"/>
    </row>
    <row r="9421" spans="1:24" hidden="1" x14ac:dyDescent="0.35">
      <c r="A9421">
        <v>9417</v>
      </c>
      <c r="B9421">
        <v>9418</v>
      </c>
      <c r="C9421">
        <v>146.098064741</v>
      </c>
      <c r="D9421">
        <v>-17.5966630886</v>
      </c>
      <c r="E9421" s="92" t="str">
        <f t="shared" si="60"/>
        <v/>
      </c>
      <c r="G9421" s="92"/>
      <c r="I9421">
        <v>6</v>
      </c>
      <c r="J9421" t="s">
        <v>26</v>
      </c>
      <c r="K9421" s="57"/>
      <c r="S9421" s="57"/>
      <c r="X9421" s="57"/>
    </row>
    <row r="9422" spans="1:24" hidden="1" x14ac:dyDescent="0.35">
      <c r="A9422">
        <v>9418</v>
      </c>
      <c r="B9422">
        <v>9419</v>
      </c>
      <c r="C9422">
        <v>146.098145630999</v>
      </c>
      <c r="D9422">
        <v>-17.5966258869</v>
      </c>
      <c r="E9422" s="92" t="str">
        <f t="shared" si="60"/>
        <v/>
      </c>
      <c r="G9422" s="92"/>
      <c r="I9422">
        <v>6</v>
      </c>
      <c r="J9422" t="s">
        <v>26</v>
      </c>
      <c r="K9422" s="57"/>
      <c r="S9422" s="57"/>
      <c r="X9422" s="57"/>
    </row>
    <row r="9423" spans="1:24" hidden="1" x14ac:dyDescent="0.35">
      <c r="A9423">
        <v>9419</v>
      </c>
      <c r="B9423">
        <v>9420</v>
      </c>
      <c r="C9423">
        <v>146.09822542500001</v>
      </c>
      <c r="D9423">
        <v>-17.5965865551</v>
      </c>
      <c r="E9423" s="92">
        <f t="shared" si="60"/>
        <v>50</v>
      </c>
      <c r="G9423" s="92"/>
      <c r="I9423">
        <v>6</v>
      </c>
      <c r="J9423" t="s">
        <v>26</v>
      </c>
      <c r="K9423" s="57"/>
      <c r="S9423" s="57"/>
      <c r="X9423" s="57"/>
    </row>
    <row r="9424" spans="1:24" hidden="1" x14ac:dyDescent="0.35">
      <c r="A9424">
        <v>9420</v>
      </c>
      <c r="B9424">
        <v>9421</v>
      </c>
      <c r="C9424">
        <v>146.098300851999</v>
      </c>
      <c r="D9424">
        <v>-17.5965405526</v>
      </c>
      <c r="E9424" s="92" t="str">
        <f t="shared" ref="E9424:E9487" si="61">IF(MOD(B9424,5)=0, 50, "")</f>
        <v/>
      </c>
      <c r="G9424" s="92"/>
      <c r="I9424">
        <v>6</v>
      </c>
      <c r="J9424" t="s">
        <v>26</v>
      </c>
      <c r="K9424" s="57"/>
      <c r="S9424" s="57"/>
      <c r="X9424" s="57"/>
    </row>
    <row r="9425" spans="1:24" hidden="1" x14ac:dyDescent="0.35">
      <c r="A9425">
        <v>9421</v>
      </c>
      <c r="B9425">
        <v>9422</v>
      </c>
      <c r="C9425">
        <v>146.09837298400001</v>
      </c>
      <c r="D9425">
        <v>-17.5964895161</v>
      </c>
      <c r="E9425" s="92" t="str">
        <f t="shared" si="61"/>
        <v/>
      </c>
      <c r="G9425" s="92"/>
      <c r="I9425">
        <v>6</v>
      </c>
      <c r="J9425" t="s">
        <v>26</v>
      </c>
      <c r="K9425" s="57"/>
      <c r="S9425" s="57"/>
      <c r="X9425" s="57"/>
    </row>
    <row r="9426" spans="1:24" hidden="1" x14ac:dyDescent="0.35">
      <c r="A9426">
        <v>9422</v>
      </c>
      <c r="B9426">
        <v>9423</v>
      </c>
      <c r="C9426">
        <v>146.09843841700001</v>
      </c>
      <c r="D9426">
        <v>-17.596430863199899</v>
      </c>
      <c r="E9426" s="92" t="str">
        <f t="shared" si="61"/>
        <v/>
      </c>
      <c r="G9426" s="92"/>
      <c r="I9426">
        <v>6</v>
      </c>
      <c r="J9426" t="s">
        <v>26</v>
      </c>
      <c r="K9426" s="57"/>
      <c r="S9426" s="57"/>
      <c r="X9426" s="57"/>
    </row>
    <row r="9427" spans="1:24" hidden="1" x14ac:dyDescent="0.35">
      <c r="A9427">
        <v>9423</v>
      </c>
      <c r="B9427">
        <v>9424</v>
      </c>
      <c r="C9427">
        <v>146.09849494400001</v>
      </c>
      <c r="D9427">
        <v>-17.5963651982999</v>
      </c>
      <c r="E9427" s="92" t="str">
        <f t="shared" si="61"/>
        <v/>
      </c>
      <c r="G9427" s="92"/>
      <c r="I9427">
        <v>6</v>
      </c>
      <c r="J9427" t="s">
        <v>26</v>
      </c>
      <c r="K9427" s="57"/>
      <c r="S9427" s="57"/>
      <c r="X9427" s="57"/>
    </row>
    <row r="9428" spans="1:24" hidden="1" x14ac:dyDescent="0.35">
      <c r="A9428">
        <v>9424</v>
      </c>
      <c r="B9428">
        <v>9425</v>
      </c>
      <c r="C9428">
        <v>146.09854270700001</v>
      </c>
      <c r="D9428">
        <v>-17.596292676400001</v>
      </c>
      <c r="E9428" s="92">
        <f t="shared" si="61"/>
        <v>50</v>
      </c>
      <c r="G9428" s="92"/>
      <c r="I9428">
        <v>6</v>
      </c>
      <c r="J9428" t="s">
        <v>26</v>
      </c>
      <c r="K9428" s="57"/>
      <c r="S9428" s="57"/>
      <c r="X9428" s="57"/>
    </row>
    <row r="9429" spans="1:24" hidden="1" x14ac:dyDescent="0.35">
      <c r="A9429">
        <v>9425</v>
      </c>
      <c r="B9429">
        <v>9426</v>
      </c>
      <c r="C9429">
        <v>146.09858167900001</v>
      </c>
      <c r="D9429">
        <v>-17.5962157742999</v>
      </c>
      <c r="E9429" s="92" t="str">
        <f t="shared" si="61"/>
        <v/>
      </c>
      <c r="G9429" s="92"/>
      <c r="I9429">
        <v>6</v>
      </c>
      <c r="J9429" t="s">
        <v>26</v>
      </c>
      <c r="K9429" s="57"/>
      <c r="S9429" s="57"/>
      <c r="X9429" s="57"/>
    </row>
    <row r="9430" spans="1:24" hidden="1" x14ac:dyDescent="0.35">
      <c r="A9430">
        <v>9426</v>
      </c>
      <c r="B9430">
        <v>9427</v>
      </c>
      <c r="C9430">
        <v>146.09861689300001</v>
      </c>
      <c r="D9430">
        <v>-17.596136999100001</v>
      </c>
      <c r="E9430" s="92" t="str">
        <f t="shared" si="61"/>
        <v/>
      </c>
      <c r="G9430" s="92"/>
      <c r="I9430">
        <v>6</v>
      </c>
      <c r="J9430" t="s">
        <v>26</v>
      </c>
      <c r="K9430" s="57"/>
      <c r="S9430" s="57"/>
      <c r="X9430" s="57"/>
    </row>
    <row r="9431" spans="1:24" hidden="1" x14ac:dyDescent="0.35">
      <c r="A9431">
        <v>9427</v>
      </c>
      <c r="B9431">
        <v>9428</v>
      </c>
      <c r="C9431">
        <v>146.098663278999</v>
      </c>
      <c r="D9431">
        <v>-17.596063774600001</v>
      </c>
      <c r="E9431" s="92" t="str">
        <f t="shared" si="61"/>
        <v/>
      </c>
      <c r="G9431" s="92"/>
      <c r="I9431">
        <v>6</v>
      </c>
      <c r="J9431" t="s">
        <v>26</v>
      </c>
      <c r="K9431" s="57"/>
      <c r="S9431" s="57"/>
      <c r="X9431" s="57"/>
    </row>
    <row r="9432" spans="1:24" hidden="1" x14ac:dyDescent="0.35">
      <c r="A9432">
        <v>9428</v>
      </c>
      <c r="B9432">
        <v>9429</v>
      </c>
      <c r="C9432">
        <v>146.09871085699899</v>
      </c>
      <c r="D9432">
        <v>-17.5959911423999</v>
      </c>
      <c r="E9432" s="92" t="str">
        <f t="shared" si="61"/>
        <v/>
      </c>
      <c r="G9432" s="92"/>
      <c r="I9432">
        <v>6</v>
      </c>
      <c r="J9432" t="s">
        <v>26</v>
      </c>
      <c r="K9432" s="57"/>
      <c r="S9432" s="57"/>
      <c r="X9432" s="57"/>
    </row>
    <row r="9433" spans="1:24" hidden="1" x14ac:dyDescent="0.35">
      <c r="A9433">
        <v>9429</v>
      </c>
      <c r="B9433">
        <v>9430</v>
      </c>
      <c r="C9433">
        <v>146.098758975999</v>
      </c>
      <c r="D9433">
        <v>-17.595918852200001</v>
      </c>
      <c r="E9433" s="92">
        <f t="shared" si="61"/>
        <v>50</v>
      </c>
      <c r="G9433" s="92"/>
      <c r="I9433">
        <v>6</v>
      </c>
      <c r="J9433" t="s">
        <v>26</v>
      </c>
      <c r="K9433" s="57"/>
      <c r="S9433" s="57"/>
      <c r="X9433" s="57"/>
    </row>
    <row r="9434" spans="1:24" hidden="1" x14ac:dyDescent="0.35">
      <c r="A9434">
        <v>9430</v>
      </c>
      <c r="B9434">
        <v>9431</v>
      </c>
      <c r="C9434">
        <v>146.09881063</v>
      </c>
      <c r="D9434">
        <v>-17.5958487951</v>
      </c>
      <c r="E9434" s="92" t="str">
        <f t="shared" si="61"/>
        <v/>
      </c>
      <c r="G9434" s="92"/>
      <c r="I9434">
        <v>6</v>
      </c>
      <c r="J9434" t="s">
        <v>26</v>
      </c>
      <c r="K9434" s="57"/>
      <c r="S9434" s="57"/>
      <c r="X9434" s="57"/>
    </row>
    <row r="9435" spans="1:24" hidden="1" x14ac:dyDescent="0.35">
      <c r="A9435">
        <v>9431</v>
      </c>
      <c r="B9435">
        <v>9432</v>
      </c>
      <c r="C9435">
        <v>146.09886228299899</v>
      </c>
      <c r="D9435">
        <v>-17.595778738300002</v>
      </c>
      <c r="E9435" s="92" t="str">
        <f t="shared" si="61"/>
        <v/>
      </c>
      <c r="G9435" s="92"/>
      <c r="I9435">
        <v>6</v>
      </c>
      <c r="J9435" t="s">
        <v>26</v>
      </c>
      <c r="K9435" s="57"/>
      <c r="S9435" s="57"/>
      <c r="X9435" s="57"/>
    </row>
    <row r="9436" spans="1:24" hidden="1" x14ac:dyDescent="0.35">
      <c r="A9436">
        <v>9432</v>
      </c>
      <c r="B9436">
        <v>9433</v>
      </c>
      <c r="C9436">
        <v>146.098935514999</v>
      </c>
      <c r="D9436">
        <v>-17.595731514899899</v>
      </c>
      <c r="E9436" s="92" t="str">
        <f t="shared" si="61"/>
        <v/>
      </c>
      <c r="G9436" s="92"/>
      <c r="I9436">
        <v>6</v>
      </c>
      <c r="J9436" t="s">
        <v>26</v>
      </c>
      <c r="K9436" s="57"/>
      <c r="S9436" s="57"/>
      <c r="X9436" s="57"/>
    </row>
    <row r="9437" spans="1:24" hidden="1" x14ac:dyDescent="0.35">
      <c r="A9437">
        <v>9433</v>
      </c>
      <c r="B9437">
        <v>9434</v>
      </c>
      <c r="C9437">
        <v>146.099013987999</v>
      </c>
      <c r="D9437">
        <v>-17.5956898375</v>
      </c>
      <c r="E9437" s="92" t="str">
        <f t="shared" si="61"/>
        <v/>
      </c>
      <c r="G9437" s="92"/>
      <c r="I9437">
        <v>6</v>
      </c>
      <c r="J9437" t="s">
        <v>26</v>
      </c>
      <c r="K9437" s="57"/>
      <c r="S9437" s="57"/>
      <c r="X9437" s="57"/>
    </row>
    <row r="9438" spans="1:24" hidden="1" x14ac:dyDescent="0.35">
      <c r="A9438">
        <v>9434</v>
      </c>
      <c r="B9438">
        <v>9435</v>
      </c>
      <c r="C9438">
        <v>146.09910281699899</v>
      </c>
      <c r="D9438">
        <v>-17.595679642099899</v>
      </c>
      <c r="E9438" s="92">
        <f t="shared" si="61"/>
        <v>50</v>
      </c>
      <c r="G9438" s="92"/>
      <c r="I9438">
        <v>6</v>
      </c>
      <c r="J9438" t="s">
        <v>26</v>
      </c>
      <c r="K9438" s="57"/>
      <c r="S9438" s="57"/>
      <c r="X9438" s="57"/>
    </row>
    <row r="9439" spans="1:24" hidden="1" x14ac:dyDescent="0.35">
      <c r="A9439">
        <v>9435</v>
      </c>
      <c r="B9439">
        <v>9436</v>
      </c>
      <c r="C9439">
        <v>146.09918746400001</v>
      </c>
      <c r="D9439">
        <v>-17.5957083113999</v>
      </c>
      <c r="E9439" s="92" t="str">
        <f t="shared" si="61"/>
        <v/>
      </c>
      <c r="G9439" s="92"/>
      <c r="I9439">
        <v>6</v>
      </c>
      <c r="J9439" t="s">
        <v>26</v>
      </c>
      <c r="K9439" s="57"/>
      <c r="S9439" s="57"/>
      <c r="X9439" s="57"/>
    </row>
    <row r="9440" spans="1:24" hidden="1" x14ac:dyDescent="0.35">
      <c r="A9440">
        <v>9436</v>
      </c>
      <c r="B9440">
        <v>9437</v>
      </c>
      <c r="C9440">
        <v>146.099253820999</v>
      </c>
      <c r="D9440">
        <v>-17.595758515499899</v>
      </c>
      <c r="E9440" s="92" t="str">
        <f t="shared" si="61"/>
        <v/>
      </c>
      <c r="G9440" s="92"/>
      <c r="I9440">
        <v>6</v>
      </c>
      <c r="J9440" t="s">
        <v>26</v>
      </c>
      <c r="K9440" s="57"/>
      <c r="S9440" s="57"/>
      <c r="X9440" s="57"/>
    </row>
    <row r="9441" spans="1:24" hidden="1" x14ac:dyDescent="0.35">
      <c r="A9441">
        <v>9437</v>
      </c>
      <c r="B9441">
        <v>9438</v>
      </c>
      <c r="C9441">
        <v>146.09930086099899</v>
      </c>
      <c r="D9441">
        <v>-17.595831465700002</v>
      </c>
      <c r="E9441" s="92" t="str">
        <f t="shared" si="61"/>
        <v/>
      </c>
      <c r="G9441" s="92"/>
      <c r="I9441">
        <v>6</v>
      </c>
      <c r="J9441" t="s">
        <v>26</v>
      </c>
      <c r="K9441" s="57"/>
      <c r="S9441" s="57"/>
      <c r="X9441" s="57"/>
    </row>
    <row r="9442" spans="1:24" hidden="1" x14ac:dyDescent="0.35">
      <c r="A9442">
        <v>9438</v>
      </c>
      <c r="B9442">
        <v>9439</v>
      </c>
      <c r="C9442">
        <v>146.099341613999</v>
      </c>
      <c r="D9442">
        <v>-17.595907637</v>
      </c>
      <c r="E9442" s="92" t="str">
        <f t="shared" si="61"/>
        <v/>
      </c>
      <c r="G9442" s="92"/>
      <c r="I9442">
        <v>6</v>
      </c>
      <c r="J9442" t="s">
        <v>26</v>
      </c>
      <c r="K9442" s="57"/>
      <c r="S9442" s="57"/>
      <c r="X9442" s="57"/>
    </row>
    <row r="9443" spans="1:24" hidden="1" x14ac:dyDescent="0.35">
      <c r="A9443">
        <v>9439</v>
      </c>
      <c r="B9443">
        <v>9440</v>
      </c>
      <c r="C9443">
        <v>146.09937949299899</v>
      </c>
      <c r="D9443">
        <v>-17.5959852806999</v>
      </c>
      <c r="E9443" s="92">
        <f t="shared" si="61"/>
        <v>50</v>
      </c>
      <c r="G9443" s="92"/>
      <c r="I9443">
        <v>6</v>
      </c>
      <c r="J9443" t="s">
        <v>26</v>
      </c>
      <c r="K9443" s="57"/>
      <c r="S9443" s="57"/>
      <c r="X9443" s="57"/>
    </row>
    <row r="9444" spans="1:24" hidden="1" x14ac:dyDescent="0.35">
      <c r="A9444">
        <v>9440</v>
      </c>
      <c r="B9444">
        <v>9441</v>
      </c>
      <c r="C9444">
        <v>146.099417415999</v>
      </c>
      <c r="D9444">
        <v>-17.596062903499899</v>
      </c>
      <c r="E9444" s="92" t="str">
        <f t="shared" si="61"/>
        <v/>
      </c>
      <c r="G9444" s="92"/>
      <c r="I9444">
        <v>6</v>
      </c>
      <c r="J9444" t="s">
        <v>26</v>
      </c>
      <c r="K9444" s="57"/>
      <c r="S9444" s="57"/>
      <c r="X9444" s="57"/>
    </row>
    <row r="9445" spans="1:24" hidden="1" x14ac:dyDescent="0.35">
      <c r="A9445">
        <v>9441</v>
      </c>
      <c r="B9445">
        <v>9442</v>
      </c>
      <c r="C9445">
        <v>146.09945952199899</v>
      </c>
      <c r="D9445">
        <v>-17.5961385431</v>
      </c>
      <c r="E9445" s="92" t="str">
        <f t="shared" si="61"/>
        <v/>
      </c>
      <c r="G9445" s="92"/>
      <c r="I9445">
        <v>6</v>
      </c>
      <c r="J9445" t="s">
        <v>26</v>
      </c>
      <c r="K9445" s="57"/>
      <c r="S9445" s="57"/>
      <c r="X9445" s="57"/>
    </row>
    <row r="9446" spans="1:24" hidden="1" x14ac:dyDescent="0.35">
      <c r="A9446">
        <v>9442</v>
      </c>
      <c r="B9446">
        <v>9443</v>
      </c>
      <c r="C9446">
        <v>146.09950162800001</v>
      </c>
      <c r="D9446">
        <v>-17.596214182400001</v>
      </c>
      <c r="E9446" s="92" t="str">
        <f t="shared" si="61"/>
        <v/>
      </c>
      <c r="G9446" s="92"/>
      <c r="I9446">
        <v>6</v>
      </c>
      <c r="J9446" t="s">
        <v>26</v>
      </c>
      <c r="K9446" s="57"/>
      <c r="S9446" s="57"/>
      <c r="X9446" s="57"/>
    </row>
    <row r="9447" spans="1:24" hidden="1" x14ac:dyDescent="0.35">
      <c r="A9447">
        <v>9443</v>
      </c>
      <c r="B9447">
        <v>9444</v>
      </c>
      <c r="C9447">
        <v>146.099543734999</v>
      </c>
      <c r="D9447">
        <v>-17.596289821500001</v>
      </c>
      <c r="E9447" s="92" t="str">
        <f t="shared" si="61"/>
        <v/>
      </c>
      <c r="G9447" s="92"/>
      <c r="I9447">
        <v>6</v>
      </c>
      <c r="J9447" t="s">
        <v>26</v>
      </c>
      <c r="K9447" s="57"/>
      <c r="S9447" s="57"/>
      <c r="X9447" s="57"/>
    </row>
    <row r="9448" spans="1:24" hidden="1" x14ac:dyDescent="0.35">
      <c r="A9448">
        <v>9444</v>
      </c>
      <c r="B9448">
        <v>9445</v>
      </c>
      <c r="C9448">
        <v>146.09957974700001</v>
      </c>
      <c r="D9448">
        <v>-17.5963678805999</v>
      </c>
      <c r="E9448" s="92">
        <f t="shared" si="61"/>
        <v>50</v>
      </c>
      <c r="G9448" s="92"/>
      <c r="I9448">
        <v>6</v>
      </c>
      <c r="J9448" t="s">
        <v>26</v>
      </c>
      <c r="K9448" s="57"/>
      <c r="S9448" s="57"/>
      <c r="X9448" s="57"/>
    </row>
    <row r="9449" spans="1:24" hidden="1" x14ac:dyDescent="0.35">
      <c r="A9449">
        <v>9445</v>
      </c>
      <c r="B9449">
        <v>9446</v>
      </c>
      <c r="C9449">
        <v>146.09960642799899</v>
      </c>
      <c r="D9449">
        <v>-17.5964496446</v>
      </c>
      <c r="E9449" s="92" t="str">
        <f t="shared" si="61"/>
        <v/>
      </c>
      <c r="G9449" s="92"/>
      <c r="I9449">
        <v>6</v>
      </c>
      <c r="J9449" t="s">
        <v>26</v>
      </c>
      <c r="K9449" s="57"/>
      <c r="S9449" s="57"/>
      <c r="X9449" s="57"/>
    </row>
    <row r="9450" spans="1:24" hidden="1" x14ac:dyDescent="0.35">
      <c r="A9450">
        <v>9446</v>
      </c>
      <c r="B9450">
        <v>9447</v>
      </c>
      <c r="C9450">
        <v>146.09963311000001</v>
      </c>
      <c r="D9450">
        <v>-17.596531408699899</v>
      </c>
      <c r="E9450" s="92" t="str">
        <f t="shared" si="61"/>
        <v/>
      </c>
      <c r="G9450" s="92"/>
      <c r="I9450">
        <v>6</v>
      </c>
      <c r="J9450" t="s">
        <v>26</v>
      </c>
      <c r="K9450" s="57"/>
      <c r="S9450" s="57"/>
      <c r="X9450" s="57"/>
    </row>
    <row r="9451" spans="1:24" hidden="1" x14ac:dyDescent="0.35">
      <c r="A9451">
        <v>9447</v>
      </c>
      <c r="B9451">
        <v>9448</v>
      </c>
      <c r="C9451">
        <v>146.099659978999</v>
      </c>
      <c r="D9451">
        <v>-17.5966131164</v>
      </c>
      <c r="E9451" s="92" t="str">
        <f t="shared" si="61"/>
        <v/>
      </c>
      <c r="G9451" s="92"/>
      <c r="I9451">
        <v>6</v>
      </c>
      <c r="J9451" t="s">
        <v>26</v>
      </c>
      <c r="K9451" s="57"/>
      <c r="S9451" s="57"/>
      <c r="X9451" s="57"/>
    </row>
    <row r="9452" spans="1:24" hidden="1" x14ac:dyDescent="0.35">
      <c r="A9452">
        <v>9448</v>
      </c>
      <c r="B9452">
        <v>9449</v>
      </c>
      <c r="C9452">
        <v>146.099687074</v>
      </c>
      <c r="D9452">
        <v>-17.596694756800002</v>
      </c>
      <c r="E9452" s="92" t="str">
        <f t="shared" si="61"/>
        <v/>
      </c>
      <c r="G9452" s="92"/>
      <c r="I9452">
        <v>6</v>
      </c>
      <c r="J9452" t="s">
        <v>26</v>
      </c>
      <c r="K9452" s="57"/>
      <c r="S9452" s="57"/>
      <c r="X9452" s="57"/>
    </row>
    <row r="9453" spans="1:24" hidden="1" x14ac:dyDescent="0.35">
      <c r="A9453">
        <v>9449</v>
      </c>
      <c r="B9453">
        <v>9450</v>
      </c>
      <c r="C9453">
        <v>146.099711299999</v>
      </c>
      <c r="D9453">
        <v>-17.5967769951999</v>
      </c>
      <c r="E9453" s="92">
        <f t="shared" si="61"/>
        <v>50</v>
      </c>
      <c r="G9453" s="92"/>
      <c r="I9453">
        <v>6</v>
      </c>
      <c r="J9453" t="s">
        <v>26</v>
      </c>
      <c r="K9453" s="57"/>
      <c r="S9453" s="57"/>
      <c r="X9453" s="57"/>
    </row>
    <row r="9454" spans="1:24" hidden="1" x14ac:dyDescent="0.35">
      <c r="A9454">
        <v>9450</v>
      </c>
      <c r="B9454">
        <v>9451</v>
      </c>
      <c r="C9454">
        <v>146.099722428999</v>
      </c>
      <c r="D9454">
        <v>-17.596861963599899</v>
      </c>
      <c r="E9454" s="92" t="str">
        <f t="shared" si="61"/>
        <v/>
      </c>
      <c r="G9454" s="92"/>
      <c r="I9454">
        <v>6</v>
      </c>
      <c r="J9454" t="s">
        <v>26</v>
      </c>
      <c r="K9454" s="57"/>
      <c r="S9454" s="57"/>
      <c r="X9454" s="57"/>
    </row>
    <row r="9455" spans="1:24" hidden="1" x14ac:dyDescent="0.35">
      <c r="A9455">
        <v>9451</v>
      </c>
      <c r="B9455">
        <v>9452</v>
      </c>
      <c r="C9455">
        <v>146.09974798600001</v>
      </c>
      <c r="D9455">
        <v>-17.596943532800001</v>
      </c>
      <c r="E9455" s="92" t="str">
        <f t="shared" si="61"/>
        <v/>
      </c>
      <c r="G9455" s="92"/>
      <c r="I9455">
        <v>6</v>
      </c>
      <c r="J9455" t="s">
        <v>26</v>
      </c>
      <c r="K9455" s="57"/>
      <c r="S9455" s="57"/>
      <c r="X9455" s="57"/>
    </row>
    <row r="9456" spans="1:24" hidden="1" x14ac:dyDescent="0.35">
      <c r="A9456">
        <v>9452</v>
      </c>
      <c r="B9456">
        <v>9453</v>
      </c>
      <c r="C9456">
        <v>146.099779665</v>
      </c>
      <c r="D9456">
        <v>-17.597023659600001</v>
      </c>
      <c r="E9456" s="92" t="str">
        <f t="shared" si="61"/>
        <v/>
      </c>
      <c r="G9456" s="92"/>
      <c r="I9456">
        <v>6</v>
      </c>
      <c r="J9456" t="s">
        <v>26</v>
      </c>
      <c r="K9456" s="57"/>
      <c r="S9456" s="57"/>
      <c r="X9456" s="57"/>
    </row>
    <row r="9457" spans="1:24" hidden="1" x14ac:dyDescent="0.35">
      <c r="A9457">
        <v>9453</v>
      </c>
      <c r="B9457">
        <v>9454</v>
      </c>
      <c r="C9457">
        <v>146.099822781</v>
      </c>
      <c r="D9457">
        <v>-17.597098706299899</v>
      </c>
      <c r="E9457" s="92" t="str">
        <f t="shared" si="61"/>
        <v/>
      </c>
      <c r="G9457" s="92"/>
      <c r="I9457">
        <v>6</v>
      </c>
      <c r="J9457" t="s">
        <v>26</v>
      </c>
      <c r="K9457" s="57"/>
      <c r="S9457" s="57"/>
      <c r="X9457" s="57"/>
    </row>
    <row r="9458" spans="1:24" hidden="1" x14ac:dyDescent="0.35">
      <c r="A9458">
        <v>9454</v>
      </c>
      <c r="B9458">
        <v>9455</v>
      </c>
      <c r="C9458">
        <v>146.09989624599899</v>
      </c>
      <c r="D9458">
        <v>-17.597144452999899</v>
      </c>
      <c r="E9458" s="92">
        <f t="shared" si="61"/>
        <v>50</v>
      </c>
      <c r="G9458" s="92"/>
      <c r="I9458">
        <v>6</v>
      </c>
      <c r="J9458" t="s">
        <v>26</v>
      </c>
      <c r="K9458" s="57"/>
      <c r="S9458" s="57"/>
      <c r="X9458" s="57"/>
    </row>
    <row r="9459" spans="1:24" hidden="1" x14ac:dyDescent="0.35">
      <c r="A9459">
        <v>9455</v>
      </c>
      <c r="B9459">
        <v>9456</v>
      </c>
      <c r="C9459">
        <v>146.09997787500001</v>
      </c>
      <c r="D9459">
        <v>-17.5971216242</v>
      </c>
      <c r="E9459" s="92" t="str">
        <f t="shared" si="61"/>
        <v/>
      </c>
      <c r="G9459" s="92"/>
      <c r="I9459">
        <v>6</v>
      </c>
      <c r="J9459" t="s">
        <v>26</v>
      </c>
      <c r="K9459" s="57"/>
      <c r="S9459" s="57"/>
      <c r="X9459" s="57"/>
    </row>
    <row r="9460" spans="1:24" hidden="1" x14ac:dyDescent="0.35">
      <c r="A9460">
        <v>9456</v>
      </c>
      <c r="B9460">
        <v>9457</v>
      </c>
      <c r="C9460">
        <v>146.100038124999</v>
      </c>
      <c r="D9460">
        <v>-17.597060427799899</v>
      </c>
      <c r="E9460" s="92" t="str">
        <f t="shared" si="61"/>
        <v/>
      </c>
      <c r="G9460" s="92"/>
      <c r="I9460">
        <v>6</v>
      </c>
      <c r="J9460" t="s">
        <v>26</v>
      </c>
      <c r="K9460" s="57"/>
      <c r="S9460" s="57"/>
      <c r="X9460" s="57"/>
    </row>
    <row r="9461" spans="1:24" hidden="1" x14ac:dyDescent="0.35">
      <c r="A9461">
        <v>9457</v>
      </c>
      <c r="B9461">
        <v>9458</v>
      </c>
      <c r="C9461">
        <v>146.10008093900001</v>
      </c>
      <c r="D9461">
        <v>-17.596985221200001</v>
      </c>
      <c r="E9461" s="92" t="str">
        <f t="shared" si="61"/>
        <v/>
      </c>
      <c r="G9461" s="92"/>
      <c r="I9461">
        <v>6</v>
      </c>
      <c r="J9461" t="s">
        <v>26</v>
      </c>
      <c r="K9461" s="57"/>
      <c r="S9461" s="57"/>
      <c r="X9461" s="57"/>
    </row>
    <row r="9462" spans="1:24" hidden="1" x14ac:dyDescent="0.35">
      <c r="A9462">
        <v>9458</v>
      </c>
      <c r="B9462">
        <v>9459</v>
      </c>
      <c r="C9462">
        <v>146.10011407600001</v>
      </c>
      <c r="D9462">
        <v>-17.5969056319</v>
      </c>
      <c r="E9462" s="92" t="str">
        <f t="shared" si="61"/>
        <v/>
      </c>
      <c r="G9462" s="92"/>
      <c r="I9462">
        <v>6</v>
      </c>
      <c r="J9462" t="s">
        <v>26</v>
      </c>
      <c r="K9462" s="57"/>
      <c r="S9462" s="57"/>
      <c r="X9462" s="57"/>
    </row>
    <row r="9463" spans="1:24" hidden="1" x14ac:dyDescent="0.35">
      <c r="A9463">
        <v>9459</v>
      </c>
      <c r="B9463">
        <v>9460</v>
      </c>
      <c r="C9463">
        <v>146.10014184400001</v>
      </c>
      <c r="D9463">
        <v>-17.5968249826999</v>
      </c>
      <c r="E9463" s="92">
        <f t="shared" si="61"/>
        <v>50</v>
      </c>
      <c r="G9463" s="92"/>
      <c r="I9463">
        <v>6</v>
      </c>
      <c r="J9463" t="s">
        <v>26</v>
      </c>
      <c r="K9463" s="57"/>
      <c r="S9463" s="57"/>
      <c r="X9463" s="57"/>
    </row>
    <row r="9464" spans="1:24" hidden="1" x14ac:dyDescent="0.35">
      <c r="A9464">
        <v>9460</v>
      </c>
      <c r="B9464">
        <v>9461</v>
      </c>
      <c r="C9464">
        <v>146.100144591999</v>
      </c>
      <c r="D9464">
        <v>-17.596739394699899</v>
      </c>
      <c r="E9464" s="92" t="str">
        <f t="shared" si="61"/>
        <v/>
      </c>
      <c r="G9464" s="92"/>
      <c r="I9464">
        <v>6</v>
      </c>
      <c r="J9464" t="s">
        <v>26</v>
      </c>
      <c r="K9464" s="57"/>
      <c r="S9464" s="57"/>
      <c r="X9464" s="57"/>
    </row>
    <row r="9465" spans="1:24" hidden="1" x14ac:dyDescent="0.35">
      <c r="A9465">
        <v>9461</v>
      </c>
      <c r="B9465">
        <v>9462</v>
      </c>
      <c r="C9465">
        <v>146.100147394999</v>
      </c>
      <c r="D9465">
        <v>-17.5966538081999</v>
      </c>
      <c r="E9465" s="92" t="str">
        <f t="shared" si="61"/>
        <v/>
      </c>
      <c r="G9465" s="92"/>
      <c r="I9465">
        <v>6</v>
      </c>
      <c r="J9465" t="s">
        <v>26</v>
      </c>
      <c r="K9465" s="57"/>
      <c r="S9465" s="57"/>
      <c r="X9465" s="57"/>
    </row>
    <row r="9466" spans="1:24" hidden="1" x14ac:dyDescent="0.35">
      <c r="A9466">
        <v>9462</v>
      </c>
      <c r="B9466">
        <v>9463</v>
      </c>
      <c r="C9466">
        <v>146.10011757800001</v>
      </c>
      <c r="D9466">
        <v>-17.596574431400001</v>
      </c>
      <c r="E9466" s="92" t="str">
        <f t="shared" si="61"/>
        <v/>
      </c>
      <c r="G9466" s="92"/>
      <c r="I9466">
        <v>6</v>
      </c>
      <c r="J9466" t="s">
        <v>26</v>
      </c>
      <c r="K9466" s="57"/>
      <c r="S9466" s="57"/>
      <c r="X9466" s="57"/>
    </row>
    <row r="9467" spans="1:24" hidden="1" x14ac:dyDescent="0.35">
      <c r="A9467">
        <v>9463</v>
      </c>
      <c r="B9467">
        <v>9464</v>
      </c>
      <c r="C9467">
        <v>146.10008050900001</v>
      </c>
      <c r="D9467">
        <v>-17.596496433399899</v>
      </c>
      <c r="E9467" s="92" t="str">
        <f t="shared" si="61"/>
        <v/>
      </c>
      <c r="G9467" s="92"/>
      <c r="I9467">
        <v>6</v>
      </c>
      <c r="J9467" t="s">
        <v>26</v>
      </c>
      <c r="K9467" s="57"/>
      <c r="S9467" s="57"/>
      <c r="X9467" s="57"/>
    </row>
    <row r="9468" spans="1:24" hidden="1" x14ac:dyDescent="0.35">
      <c r="A9468">
        <v>9464</v>
      </c>
      <c r="B9468">
        <v>9465</v>
      </c>
      <c r="C9468">
        <v>146.10004672100001</v>
      </c>
      <c r="D9468">
        <v>-17.596417093500001</v>
      </c>
      <c r="E9468" s="92">
        <f t="shared" si="61"/>
        <v>50</v>
      </c>
      <c r="G9468" s="92"/>
      <c r="I9468">
        <v>6</v>
      </c>
      <c r="J9468" t="s">
        <v>26</v>
      </c>
      <c r="K9468" s="57"/>
      <c r="S9468" s="57"/>
      <c r="X9468" s="57"/>
    </row>
    <row r="9469" spans="1:24" hidden="1" x14ac:dyDescent="0.35">
      <c r="A9469">
        <v>9465</v>
      </c>
      <c r="B9469">
        <v>9466</v>
      </c>
      <c r="C9469">
        <v>146.100012945</v>
      </c>
      <c r="D9469">
        <v>-17.596337748100002</v>
      </c>
      <c r="E9469" s="92" t="str">
        <f t="shared" si="61"/>
        <v/>
      </c>
      <c r="G9469" s="92"/>
      <c r="I9469">
        <v>6</v>
      </c>
      <c r="J9469" t="s">
        <v>26</v>
      </c>
      <c r="K9469" s="57"/>
      <c r="S9469" s="57"/>
      <c r="X9469" s="57"/>
    </row>
    <row r="9470" spans="1:24" hidden="1" x14ac:dyDescent="0.35">
      <c r="A9470">
        <v>9466</v>
      </c>
      <c r="B9470">
        <v>9467</v>
      </c>
      <c r="C9470">
        <v>146.099952139999</v>
      </c>
      <c r="D9470">
        <v>-17.5962747314999</v>
      </c>
      <c r="E9470" s="92" t="str">
        <f t="shared" si="61"/>
        <v/>
      </c>
      <c r="G9470" s="92"/>
      <c r="I9470">
        <v>6</v>
      </c>
      <c r="J9470" t="s">
        <v>26</v>
      </c>
      <c r="K9470" s="57"/>
      <c r="S9470" s="57"/>
      <c r="X9470" s="57"/>
    </row>
    <row r="9471" spans="1:24" hidden="1" x14ac:dyDescent="0.35">
      <c r="A9471">
        <v>9467</v>
      </c>
      <c r="B9471">
        <v>9468</v>
      </c>
      <c r="C9471">
        <v>146.099891283999</v>
      </c>
      <c r="D9471">
        <v>-17.5962117461</v>
      </c>
      <c r="E9471" s="92" t="str">
        <f t="shared" si="61"/>
        <v/>
      </c>
      <c r="G9471" s="92"/>
      <c r="I9471">
        <v>6</v>
      </c>
      <c r="J9471" t="s">
        <v>26</v>
      </c>
      <c r="K9471" s="57"/>
      <c r="S9471" s="57"/>
      <c r="X9471" s="57"/>
    </row>
    <row r="9472" spans="1:24" hidden="1" x14ac:dyDescent="0.35">
      <c r="A9472">
        <v>9468</v>
      </c>
      <c r="B9472">
        <v>9469</v>
      </c>
      <c r="C9472">
        <v>146.099836216</v>
      </c>
      <c r="D9472">
        <v>-17.596144878200001</v>
      </c>
      <c r="E9472" s="92" t="str">
        <f t="shared" si="61"/>
        <v/>
      </c>
      <c r="G9472" s="92"/>
      <c r="I9472">
        <v>6</v>
      </c>
      <c r="J9472" t="s">
        <v>26</v>
      </c>
      <c r="K9472" s="57"/>
      <c r="S9472" s="57"/>
      <c r="X9472" s="57"/>
    </row>
    <row r="9473" spans="1:24" hidden="1" x14ac:dyDescent="0.35">
      <c r="A9473">
        <v>9469</v>
      </c>
      <c r="B9473">
        <v>9470</v>
      </c>
      <c r="C9473">
        <v>146.099794572999</v>
      </c>
      <c r="D9473">
        <v>-17.5960690062</v>
      </c>
      <c r="E9473" s="92">
        <f t="shared" si="61"/>
        <v>50</v>
      </c>
      <c r="G9473" s="92"/>
      <c r="I9473">
        <v>6</v>
      </c>
      <c r="J9473" t="s">
        <v>26</v>
      </c>
      <c r="K9473" s="57"/>
      <c r="S9473" s="57"/>
      <c r="X9473" s="57"/>
    </row>
    <row r="9474" spans="1:24" hidden="1" x14ac:dyDescent="0.35">
      <c r="A9474">
        <v>9470</v>
      </c>
      <c r="B9474">
        <v>9471</v>
      </c>
      <c r="C9474">
        <v>146.099752929999</v>
      </c>
      <c r="D9474">
        <v>-17.5959931342</v>
      </c>
      <c r="E9474" s="92" t="str">
        <f t="shared" si="61"/>
        <v/>
      </c>
      <c r="G9474" s="92"/>
      <c r="I9474">
        <v>6</v>
      </c>
      <c r="J9474" t="s">
        <v>26</v>
      </c>
      <c r="K9474" s="57"/>
      <c r="S9474" s="57"/>
      <c r="X9474" s="57"/>
    </row>
    <row r="9475" spans="1:24" hidden="1" x14ac:dyDescent="0.35">
      <c r="A9475">
        <v>9471</v>
      </c>
      <c r="B9475">
        <v>9472</v>
      </c>
      <c r="C9475">
        <v>146.099711286999</v>
      </c>
      <c r="D9475">
        <v>-17.595917262099899</v>
      </c>
      <c r="E9475" s="92" t="str">
        <f t="shared" si="61"/>
        <v/>
      </c>
      <c r="G9475" s="92"/>
      <c r="I9475">
        <v>6</v>
      </c>
      <c r="J9475" t="s">
        <v>26</v>
      </c>
      <c r="K9475" s="57"/>
      <c r="S9475" s="57"/>
      <c r="X9475" s="57"/>
    </row>
    <row r="9476" spans="1:24" hidden="1" x14ac:dyDescent="0.35">
      <c r="A9476">
        <v>9472</v>
      </c>
      <c r="B9476">
        <v>9473</v>
      </c>
      <c r="C9476">
        <v>146.09966964399899</v>
      </c>
      <c r="D9476">
        <v>-17.59584139</v>
      </c>
      <c r="E9476" s="92" t="str">
        <f t="shared" si="61"/>
        <v/>
      </c>
      <c r="G9476" s="92"/>
      <c r="I9476">
        <v>6</v>
      </c>
      <c r="J9476" t="s">
        <v>26</v>
      </c>
      <c r="K9476" s="57"/>
      <c r="S9476" s="57"/>
      <c r="X9476" s="57"/>
    </row>
    <row r="9477" spans="1:24" hidden="1" x14ac:dyDescent="0.35">
      <c r="A9477">
        <v>9473</v>
      </c>
      <c r="B9477">
        <v>9474</v>
      </c>
      <c r="C9477">
        <v>146.099627999999</v>
      </c>
      <c r="D9477">
        <v>-17.595765517899899</v>
      </c>
      <c r="E9477" s="92" t="str">
        <f t="shared" si="61"/>
        <v/>
      </c>
      <c r="G9477" s="92"/>
      <c r="I9477">
        <v>6</v>
      </c>
      <c r="J9477" t="s">
        <v>26</v>
      </c>
      <c r="K9477" s="57"/>
      <c r="S9477" s="57"/>
      <c r="X9477" s="57"/>
    </row>
    <row r="9478" spans="1:24" hidden="1" x14ac:dyDescent="0.35">
      <c r="A9478">
        <v>9474</v>
      </c>
      <c r="B9478">
        <v>9475</v>
      </c>
      <c r="C9478">
        <v>146.099571518</v>
      </c>
      <c r="D9478">
        <v>-17.595699686700002</v>
      </c>
      <c r="E9478" s="92">
        <f t="shared" si="61"/>
        <v>50</v>
      </c>
      <c r="G9478" s="92"/>
      <c r="I9478">
        <v>6</v>
      </c>
      <c r="J9478" t="s">
        <v>26</v>
      </c>
      <c r="K9478" s="57"/>
      <c r="S9478" s="57"/>
      <c r="X9478" s="57"/>
    </row>
    <row r="9479" spans="1:24" hidden="1" x14ac:dyDescent="0.35">
      <c r="A9479">
        <v>9475</v>
      </c>
      <c r="B9479">
        <v>9476</v>
      </c>
      <c r="C9479">
        <v>146.099510113999</v>
      </c>
      <c r="D9479">
        <v>-17.5956371854999</v>
      </c>
      <c r="E9479" s="92" t="str">
        <f t="shared" si="61"/>
        <v/>
      </c>
      <c r="G9479" s="92"/>
      <c r="I9479">
        <v>6</v>
      </c>
      <c r="J9479" t="s">
        <v>26</v>
      </c>
      <c r="K9479" s="57"/>
      <c r="S9479" s="57"/>
      <c r="X9479" s="57"/>
    </row>
    <row r="9480" spans="1:24" hidden="1" x14ac:dyDescent="0.35">
      <c r="A9480">
        <v>9476</v>
      </c>
      <c r="B9480">
        <v>9477</v>
      </c>
      <c r="C9480">
        <v>146.09944871100001</v>
      </c>
      <c r="D9480">
        <v>-17.595574684199899</v>
      </c>
      <c r="E9480" s="92" t="str">
        <f t="shared" si="61"/>
        <v/>
      </c>
      <c r="G9480" s="92"/>
      <c r="I9480">
        <v>6</v>
      </c>
      <c r="J9480" t="s">
        <v>26</v>
      </c>
      <c r="K9480" s="57"/>
      <c r="S9480" s="57"/>
      <c r="X9480" s="57"/>
    </row>
    <row r="9481" spans="1:24" hidden="1" x14ac:dyDescent="0.35">
      <c r="A9481">
        <v>9477</v>
      </c>
      <c r="B9481">
        <v>9478</v>
      </c>
      <c r="C9481">
        <v>146.09938664000001</v>
      </c>
      <c r="D9481">
        <v>-17.5955128194</v>
      </c>
      <c r="E9481" s="92" t="str">
        <f t="shared" si="61"/>
        <v/>
      </c>
      <c r="G9481" s="92"/>
      <c r="I9481">
        <v>6</v>
      </c>
      <c r="J9481" t="s">
        <v>26</v>
      </c>
      <c r="K9481" s="57"/>
      <c r="S9481" s="57"/>
      <c r="X9481" s="57"/>
    </row>
    <row r="9482" spans="1:24" hidden="1" x14ac:dyDescent="0.35">
      <c r="A9482">
        <v>9478</v>
      </c>
      <c r="B9482">
        <v>9479</v>
      </c>
      <c r="C9482">
        <v>146.099320970999</v>
      </c>
      <c r="D9482">
        <v>-17.595454391000001</v>
      </c>
      <c r="E9482" s="92" t="str">
        <f t="shared" si="61"/>
        <v/>
      </c>
      <c r="G9482" s="92"/>
      <c r="I9482">
        <v>6</v>
      </c>
      <c r="J9482" t="s">
        <v>26</v>
      </c>
      <c r="K9482" s="57"/>
      <c r="S9482" s="57"/>
      <c r="X9482" s="57"/>
    </row>
    <row r="9483" spans="1:24" hidden="1" x14ac:dyDescent="0.35">
      <c r="A9483">
        <v>9479</v>
      </c>
      <c r="B9483">
        <v>9480</v>
      </c>
      <c r="C9483">
        <v>146.099255300999</v>
      </c>
      <c r="D9483">
        <v>-17.595395962600001</v>
      </c>
      <c r="E9483" s="92">
        <f t="shared" si="61"/>
        <v>50</v>
      </c>
      <c r="G9483" s="92"/>
      <c r="I9483">
        <v>6</v>
      </c>
      <c r="J9483" t="s">
        <v>26</v>
      </c>
      <c r="K9483" s="57"/>
      <c r="S9483" s="57"/>
      <c r="X9483" s="57"/>
    </row>
    <row r="9484" spans="1:24" hidden="1" x14ac:dyDescent="0.35">
      <c r="A9484">
        <v>9480</v>
      </c>
      <c r="B9484">
        <v>9481</v>
      </c>
      <c r="C9484">
        <v>146.099189631999</v>
      </c>
      <c r="D9484">
        <v>-17.595337534199899</v>
      </c>
      <c r="E9484" s="92" t="str">
        <f t="shared" si="61"/>
        <v/>
      </c>
      <c r="G9484" s="92"/>
      <c r="I9484">
        <v>6</v>
      </c>
      <c r="J9484" t="s">
        <v>26</v>
      </c>
      <c r="K9484" s="57"/>
      <c r="S9484" s="57"/>
      <c r="X9484" s="57"/>
    </row>
    <row r="9485" spans="1:24" hidden="1" x14ac:dyDescent="0.35">
      <c r="A9485">
        <v>9481</v>
      </c>
      <c r="B9485">
        <v>9482</v>
      </c>
      <c r="C9485">
        <v>146.09912314600001</v>
      </c>
      <c r="D9485">
        <v>-17.595279951199899</v>
      </c>
      <c r="E9485" s="92" t="str">
        <f t="shared" si="61"/>
        <v/>
      </c>
      <c r="G9485" s="92"/>
      <c r="I9485">
        <v>6</v>
      </c>
      <c r="J9485" t="s">
        <v>26</v>
      </c>
      <c r="K9485" s="57"/>
      <c r="S9485" s="57"/>
      <c r="X9485" s="57"/>
    </row>
    <row r="9486" spans="1:24" hidden="1" x14ac:dyDescent="0.35">
      <c r="A9486">
        <v>9482</v>
      </c>
      <c r="B9486">
        <v>9483</v>
      </c>
      <c r="C9486">
        <v>146.099056630999</v>
      </c>
      <c r="D9486">
        <v>-17.595222398499899</v>
      </c>
      <c r="E9486" s="92" t="str">
        <f t="shared" si="61"/>
        <v/>
      </c>
      <c r="G9486" s="92"/>
      <c r="I9486">
        <v>6</v>
      </c>
      <c r="J9486" t="s">
        <v>26</v>
      </c>
      <c r="K9486" s="57"/>
      <c r="S9486" s="57"/>
      <c r="X9486" s="57"/>
    </row>
    <row r="9487" spans="1:24" hidden="1" x14ac:dyDescent="0.35">
      <c r="A9487">
        <v>9483</v>
      </c>
      <c r="B9487">
        <v>9484</v>
      </c>
      <c r="C9487">
        <v>146.09899011600001</v>
      </c>
      <c r="D9487">
        <v>-17.5951648457999</v>
      </c>
      <c r="E9487" s="92" t="str">
        <f t="shared" si="61"/>
        <v/>
      </c>
      <c r="G9487" s="92"/>
      <c r="I9487">
        <v>6</v>
      </c>
      <c r="J9487" t="s">
        <v>26</v>
      </c>
      <c r="K9487" s="57"/>
      <c r="S9487" s="57"/>
      <c r="X9487" s="57"/>
    </row>
    <row r="9488" spans="1:24" hidden="1" x14ac:dyDescent="0.35">
      <c r="A9488">
        <v>9484</v>
      </c>
      <c r="B9488">
        <v>9485</v>
      </c>
      <c r="C9488">
        <v>146.09892360000001</v>
      </c>
      <c r="D9488">
        <v>-17.595107293000002</v>
      </c>
      <c r="E9488" s="92">
        <f t="shared" ref="E9488:E9551" si="62">IF(MOD(B9488,5)=0, 50, "")</f>
        <v>50</v>
      </c>
      <c r="G9488" s="92"/>
      <c r="I9488">
        <v>6</v>
      </c>
      <c r="J9488" t="s">
        <v>26</v>
      </c>
      <c r="K9488" s="57"/>
      <c r="S9488" s="57"/>
      <c r="X9488" s="57"/>
    </row>
    <row r="9489" spans="1:24" hidden="1" x14ac:dyDescent="0.35">
      <c r="A9489">
        <v>9485</v>
      </c>
      <c r="B9489">
        <v>9486</v>
      </c>
      <c r="C9489">
        <v>146.09887168</v>
      </c>
      <c r="D9489">
        <v>-17.5950375090999</v>
      </c>
      <c r="E9489" s="92" t="str">
        <f t="shared" si="62"/>
        <v/>
      </c>
      <c r="G9489" s="92"/>
      <c r="I9489">
        <v>6</v>
      </c>
      <c r="J9489" t="s">
        <v>26</v>
      </c>
      <c r="K9489" s="57"/>
      <c r="S9489" s="57"/>
      <c r="X9489" s="57"/>
    </row>
    <row r="9490" spans="1:24" hidden="1" x14ac:dyDescent="0.35">
      <c r="A9490">
        <v>9486</v>
      </c>
      <c r="B9490">
        <v>9487</v>
      </c>
      <c r="C9490">
        <v>146.09882312400001</v>
      </c>
      <c r="D9490">
        <v>-17.594966051</v>
      </c>
      <c r="E9490" s="92" t="str">
        <f t="shared" si="62"/>
        <v/>
      </c>
      <c r="G9490" s="92"/>
      <c r="I9490">
        <v>6</v>
      </c>
      <c r="J9490" t="s">
        <v>26</v>
      </c>
      <c r="K9490" s="57"/>
      <c r="S9490" s="57"/>
      <c r="X9490" s="57"/>
    </row>
    <row r="9491" spans="1:24" hidden="1" x14ac:dyDescent="0.35">
      <c r="A9491">
        <v>9487</v>
      </c>
      <c r="B9491">
        <v>9488</v>
      </c>
      <c r="C9491">
        <v>146.098801874999</v>
      </c>
      <c r="D9491">
        <v>-17.594882852200001</v>
      </c>
      <c r="E9491" s="92" t="str">
        <f t="shared" si="62"/>
        <v/>
      </c>
      <c r="G9491" s="92"/>
      <c r="I9491">
        <v>6</v>
      </c>
      <c r="J9491" t="s">
        <v>26</v>
      </c>
      <c r="K9491" s="57"/>
      <c r="S9491" s="57"/>
      <c r="X9491" s="57"/>
    </row>
    <row r="9492" spans="1:24" hidden="1" x14ac:dyDescent="0.35">
      <c r="A9492">
        <v>9488</v>
      </c>
      <c r="B9492">
        <v>9489</v>
      </c>
      <c r="C9492">
        <v>146.09879184600001</v>
      </c>
      <c r="D9492">
        <v>-17.5947983957</v>
      </c>
      <c r="E9492" s="92" t="str">
        <f t="shared" si="62"/>
        <v/>
      </c>
      <c r="G9492" s="92"/>
      <c r="I9492">
        <v>6</v>
      </c>
      <c r="J9492" t="s">
        <v>26</v>
      </c>
      <c r="K9492" s="57"/>
      <c r="S9492" s="57"/>
      <c r="X9492" s="57"/>
    </row>
    <row r="9493" spans="1:24" hidden="1" x14ac:dyDescent="0.35">
      <c r="A9493">
        <v>9489</v>
      </c>
      <c r="B9493">
        <v>9490</v>
      </c>
      <c r="C9493">
        <v>146.09880708700001</v>
      </c>
      <c r="D9493">
        <v>-17.594716154099899</v>
      </c>
      <c r="E9493" s="92">
        <f t="shared" si="62"/>
        <v>50</v>
      </c>
      <c r="G9493" s="92"/>
      <c r="I9493">
        <v>6</v>
      </c>
      <c r="J9493" t="s">
        <v>26</v>
      </c>
      <c r="K9493" s="57"/>
      <c r="S9493" s="57"/>
      <c r="X9493" s="57"/>
    </row>
    <row r="9494" spans="1:24" hidden="1" x14ac:dyDescent="0.35">
      <c r="A9494">
        <v>9490</v>
      </c>
      <c r="B9494">
        <v>9491</v>
      </c>
      <c r="C9494">
        <v>146.09884744600001</v>
      </c>
      <c r="D9494">
        <v>-17.594639653800002</v>
      </c>
      <c r="E9494" s="92" t="str">
        <f t="shared" si="62"/>
        <v/>
      </c>
      <c r="G9494" s="92"/>
      <c r="I9494">
        <v>6</v>
      </c>
      <c r="J9494" t="s">
        <v>26</v>
      </c>
      <c r="K9494" s="57"/>
      <c r="S9494" s="57"/>
      <c r="X9494" s="57"/>
    </row>
    <row r="9495" spans="1:24" hidden="1" x14ac:dyDescent="0.35">
      <c r="A9495">
        <v>9491</v>
      </c>
      <c r="B9495">
        <v>9492</v>
      </c>
      <c r="C9495">
        <v>146.098908416</v>
      </c>
      <c r="D9495">
        <v>-17.5945779354</v>
      </c>
      <c r="E9495" s="92" t="str">
        <f t="shared" si="62"/>
        <v/>
      </c>
      <c r="G9495" s="92"/>
      <c r="I9495">
        <v>6</v>
      </c>
      <c r="J9495" t="s">
        <v>26</v>
      </c>
      <c r="K9495" s="57"/>
      <c r="S9495" s="57"/>
      <c r="X9495" s="57"/>
    </row>
    <row r="9496" spans="1:24" hidden="1" x14ac:dyDescent="0.35">
      <c r="A9496">
        <v>9492</v>
      </c>
      <c r="B9496">
        <v>9493</v>
      </c>
      <c r="C9496">
        <v>146.098981632</v>
      </c>
      <c r="D9496">
        <v>-17.594529291699899</v>
      </c>
      <c r="E9496" s="92" t="str">
        <f t="shared" si="62"/>
        <v/>
      </c>
      <c r="G9496" s="92"/>
      <c r="I9496">
        <v>6</v>
      </c>
      <c r="J9496" t="s">
        <v>26</v>
      </c>
      <c r="K9496" s="57"/>
      <c r="S9496" s="57"/>
      <c r="X9496" s="57"/>
    </row>
    <row r="9497" spans="1:24" hidden="1" x14ac:dyDescent="0.35">
      <c r="A9497">
        <v>9493</v>
      </c>
      <c r="B9497">
        <v>9494</v>
      </c>
      <c r="C9497">
        <v>146.09905985200001</v>
      </c>
      <c r="D9497">
        <v>-17.5944871837</v>
      </c>
      <c r="E9497" s="92" t="str">
        <f t="shared" si="62"/>
        <v/>
      </c>
      <c r="G9497" s="92"/>
      <c r="I9497">
        <v>6</v>
      </c>
      <c r="J9497" t="s">
        <v>26</v>
      </c>
      <c r="K9497" s="57"/>
      <c r="S9497" s="57"/>
      <c r="X9497" s="57"/>
    </row>
    <row r="9498" spans="1:24" hidden="1" x14ac:dyDescent="0.35">
      <c r="A9498">
        <v>9494</v>
      </c>
      <c r="B9498">
        <v>9495</v>
      </c>
      <c r="C9498">
        <v>146.09913807199899</v>
      </c>
      <c r="D9498">
        <v>-17.594445077</v>
      </c>
      <c r="E9498" s="92">
        <f t="shared" si="62"/>
        <v>50</v>
      </c>
      <c r="G9498" s="92"/>
      <c r="I9498">
        <v>6</v>
      </c>
      <c r="J9498" t="s">
        <v>26</v>
      </c>
      <c r="K9498" s="57"/>
      <c r="S9498" s="57"/>
      <c r="X9498" s="57"/>
    </row>
    <row r="9499" spans="1:24" hidden="1" x14ac:dyDescent="0.35">
      <c r="A9499">
        <v>9495</v>
      </c>
      <c r="B9499">
        <v>9496</v>
      </c>
      <c r="C9499">
        <v>146.099203232999</v>
      </c>
      <c r="D9499">
        <v>-17.594386557299899</v>
      </c>
      <c r="E9499" s="92" t="str">
        <f t="shared" si="62"/>
        <v/>
      </c>
      <c r="G9499" s="92"/>
      <c r="I9499">
        <v>6</v>
      </c>
      <c r="J9499" t="s">
        <v>26</v>
      </c>
      <c r="K9499" s="57"/>
      <c r="S9499" s="57"/>
      <c r="X9499" s="57"/>
    </row>
    <row r="9500" spans="1:24" hidden="1" x14ac:dyDescent="0.35">
      <c r="A9500">
        <v>9496</v>
      </c>
      <c r="B9500">
        <v>9497</v>
      </c>
      <c r="C9500">
        <v>146.09926686200001</v>
      </c>
      <c r="D9500">
        <v>-17.5943261112999</v>
      </c>
      <c r="E9500" s="92" t="str">
        <f t="shared" si="62"/>
        <v/>
      </c>
      <c r="G9500" s="92"/>
      <c r="I9500">
        <v>6</v>
      </c>
      <c r="J9500" t="s">
        <v>26</v>
      </c>
      <c r="K9500" s="57"/>
      <c r="S9500" s="57"/>
      <c r="X9500" s="57"/>
    </row>
    <row r="9501" spans="1:24" hidden="1" x14ac:dyDescent="0.35">
      <c r="A9501">
        <v>9497</v>
      </c>
      <c r="B9501">
        <v>9498</v>
      </c>
      <c r="C9501">
        <v>146.099328931</v>
      </c>
      <c r="D9501">
        <v>-17.594264449600001</v>
      </c>
      <c r="E9501" s="92" t="str">
        <f t="shared" si="62"/>
        <v/>
      </c>
      <c r="G9501" s="92"/>
      <c r="I9501">
        <v>6</v>
      </c>
      <c r="J9501" t="s">
        <v>26</v>
      </c>
      <c r="K9501" s="57"/>
      <c r="S9501" s="57"/>
      <c r="X9501" s="57"/>
    </row>
    <row r="9502" spans="1:24" hidden="1" x14ac:dyDescent="0.35">
      <c r="A9502">
        <v>9498</v>
      </c>
      <c r="B9502">
        <v>9499</v>
      </c>
      <c r="C9502">
        <v>146.099378449</v>
      </c>
      <c r="D9502">
        <v>-17.5941930048999</v>
      </c>
      <c r="E9502" s="92" t="str">
        <f t="shared" si="62"/>
        <v/>
      </c>
      <c r="G9502" s="92"/>
      <c r="I9502">
        <v>6</v>
      </c>
      <c r="J9502" t="s">
        <v>26</v>
      </c>
      <c r="K9502" s="57"/>
      <c r="S9502" s="57"/>
      <c r="X9502" s="57"/>
    </row>
    <row r="9503" spans="1:24" hidden="1" x14ac:dyDescent="0.35">
      <c r="A9503">
        <v>9499</v>
      </c>
      <c r="B9503">
        <v>9500</v>
      </c>
      <c r="C9503">
        <v>146.099427966999</v>
      </c>
      <c r="D9503">
        <v>-17.5941215601</v>
      </c>
      <c r="E9503" s="92">
        <f t="shared" si="62"/>
        <v>50</v>
      </c>
      <c r="G9503" s="92"/>
      <c r="I9503">
        <v>6</v>
      </c>
      <c r="J9503" t="s">
        <v>26</v>
      </c>
      <c r="K9503" s="57"/>
      <c r="S9503" s="57"/>
      <c r="X9503" s="57"/>
    </row>
    <row r="9504" spans="1:24" hidden="1" x14ac:dyDescent="0.35">
      <c r="A9504">
        <v>9500</v>
      </c>
      <c r="B9504">
        <v>9501</v>
      </c>
      <c r="C9504">
        <v>146.099478102999</v>
      </c>
      <c r="D9504">
        <v>-17.5940505204</v>
      </c>
      <c r="E9504" s="92" t="str">
        <f t="shared" si="62"/>
        <v/>
      </c>
      <c r="G9504" s="92"/>
      <c r="I9504">
        <v>6</v>
      </c>
      <c r="J9504" t="s">
        <v>26</v>
      </c>
      <c r="K9504" s="57"/>
      <c r="S9504" s="57"/>
      <c r="X9504" s="57"/>
    </row>
    <row r="9505" spans="1:24" hidden="1" x14ac:dyDescent="0.35">
      <c r="A9505">
        <v>9501</v>
      </c>
      <c r="B9505">
        <v>9502</v>
      </c>
      <c r="C9505">
        <v>146.09953045200001</v>
      </c>
      <c r="D9505">
        <v>-17.593980933400001</v>
      </c>
      <c r="E9505" s="92" t="str">
        <f t="shared" si="62"/>
        <v/>
      </c>
      <c r="G9505" s="92"/>
      <c r="I9505">
        <v>6</v>
      </c>
      <c r="J9505" t="s">
        <v>26</v>
      </c>
      <c r="K9505" s="57"/>
      <c r="S9505" s="57"/>
      <c r="X9505" s="57"/>
    </row>
    <row r="9506" spans="1:24" hidden="1" x14ac:dyDescent="0.35">
      <c r="A9506">
        <v>9502</v>
      </c>
      <c r="B9506">
        <v>9503</v>
      </c>
      <c r="C9506">
        <v>146.099583542</v>
      </c>
      <c r="D9506">
        <v>-17.5939121052999</v>
      </c>
      <c r="E9506" s="92" t="str">
        <f t="shared" si="62"/>
        <v/>
      </c>
      <c r="G9506" s="92"/>
      <c r="I9506">
        <v>6</v>
      </c>
      <c r="J9506" t="s">
        <v>26</v>
      </c>
      <c r="K9506" s="57"/>
      <c r="S9506" s="57"/>
      <c r="X9506" s="57"/>
    </row>
    <row r="9507" spans="1:24" hidden="1" x14ac:dyDescent="0.35">
      <c r="A9507">
        <v>9503</v>
      </c>
      <c r="B9507">
        <v>9504</v>
      </c>
      <c r="C9507">
        <v>146.099660142999</v>
      </c>
      <c r="D9507">
        <v>-17.5938673749</v>
      </c>
      <c r="E9507" s="92" t="str">
        <f t="shared" si="62"/>
        <v/>
      </c>
      <c r="G9507" s="92"/>
      <c r="I9507">
        <v>6</v>
      </c>
      <c r="J9507" t="s">
        <v>26</v>
      </c>
      <c r="K9507" s="57"/>
      <c r="S9507" s="57"/>
      <c r="X9507" s="57"/>
    </row>
    <row r="9508" spans="1:24" hidden="1" x14ac:dyDescent="0.35">
      <c r="A9508">
        <v>9504</v>
      </c>
      <c r="B9508">
        <v>9505</v>
      </c>
      <c r="C9508">
        <v>146.09973776300001</v>
      </c>
      <c r="D9508">
        <v>-17.593825003300001</v>
      </c>
      <c r="E9508" s="92">
        <f t="shared" si="62"/>
        <v>50</v>
      </c>
      <c r="G9508" s="92"/>
      <c r="I9508">
        <v>6</v>
      </c>
      <c r="J9508" t="s">
        <v>26</v>
      </c>
      <c r="K9508" s="57"/>
      <c r="S9508" s="57"/>
      <c r="X9508" s="57"/>
    </row>
    <row r="9509" spans="1:24" hidden="1" x14ac:dyDescent="0.35">
      <c r="A9509">
        <v>9505</v>
      </c>
      <c r="B9509">
        <v>9506</v>
      </c>
      <c r="C9509">
        <v>146.09982518499899</v>
      </c>
      <c r="D9509">
        <v>-17.593805302100002</v>
      </c>
      <c r="E9509" s="92" t="str">
        <f t="shared" si="62"/>
        <v/>
      </c>
      <c r="G9509" s="92"/>
      <c r="I9509">
        <v>6</v>
      </c>
      <c r="J9509" t="s">
        <v>26</v>
      </c>
      <c r="K9509" s="57"/>
      <c r="S9509" s="57"/>
      <c r="X9509" s="57"/>
    </row>
    <row r="9510" spans="1:24" hidden="1" x14ac:dyDescent="0.35">
      <c r="A9510">
        <v>9506</v>
      </c>
      <c r="B9510">
        <v>9507</v>
      </c>
      <c r="C9510">
        <v>146.099913633</v>
      </c>
      <c r="D9510">
        <v>-17.593797469999899</v>
      </c>
      <c r="E9510" s="92" t="str">
        <f t="shared" si="62"/>
        <v/>
      </c>
      <c r="G9510" s="92"/>
      <c r="I9510">
        <v>6</v>
      </c>
      <c r="J9510" t="s">
        <v>26</v>
      </c>
      <c r="K9510" s="57"/>
      <c r="S9510" s="57"/>
      <c r="X9510" s="57"/>
    </row>
    <row r="9511" spans="1:24" hidden="1" x14ac:dyDescent="0.35">
      <c r="A9511">
        <v>9507</v>
      </c>
      <c r="B9511">
        <v>9508</v>
      </c>
      <c r="C9511">
        <v>146.100003259999</v>
      </c>
      <c r="D9511">
        <v>-17.5938032528999</v>
      </c>
      <c r="E9511" s="92" t="str">
        <f t="shared" si="62"/>
        <v/>
      </c>
      <c r="G9511" s="92"/>
      <c r="I9511">
        <v>6</v>
      </c>
      <c r="J9511" t="s">
        <v>26</v>
      </c>
      <c r="K9511" s="57"/>
      <c r="S9511" s="57"/>
      <c r="X9511" s="57"/>
    </row>
    <row r="9512" spans="1:24" hidden="1" x14ac:dyDescent="0.35">
      <c r="A9512">
        <v>9508</v>
      </c>
      <c r="B9512">
        <v>9509</v>
      </c>
      <c r="C9512">
        <v>146.100091117999</v>
      </c>
      <c r="D9512">
        <v>-17.593817872300001</v>
      </c>
      <c r="E9512" s="92" t="str">
        <f t="shared" si="62"/>
        <v/>
      </c>
      <c r="G9512" s="92"/>
      <c r="I9512">
        <v>6</v>
      </c>
      <c r="J9512" t="s">
        <v>26</v>
      </c>
      <c r="K9512" s="57"/>
      <c r="S9512" s="57"/>
      <c r="X9512" s="57"/>
    </row>
    <row r="9513" spans="1:24" hidden="1" x14ac:dyDescent="0.35">
      <c r="A9513">
        <v>9509</v>
      </c>
      <c r="B9513">
        <v>9510</v>
      </c>
      <c r="C9513">
        <v>146.100176683999</v>
      </c>
      <c r="D9513">
        <v>-17.593843945500002</v>
      </c>
      <c r="E9513" s="92">
        <f t="shared" si="62"/>
        <v>50</v>
      </c>
      <c r="G9513" s="92"/>
      <c r="I9513">
        <v>6</v>
      </c>
      <c r="J9513" t="s">
        <v>26</v>
      </c>
      <c r="K9513" s="57"/>
      <c r="S9513" s="57"/>
      <c r="X9513" s="57"/>
    </row>
    <row r="9514" spans="1:24" hidden="1" x14ac:dyDescent="0.35">
      <c r="A9514">
        <v>9510</v>
      </c>
      <c r="B9514">
        <v>9511</v>
      </c>
      <c r="C9514">
        <v>146.10025386000001</v>
      </c>
      <c r="D9514">
        <v>-17.593882104399899</v>
      </c>
      <c r="E9514" s="92" t="str">
        <f t="shared" si="62"/>
        <v/>
      </c>
      <c r="G9514" s="92"/>
      <c r="I9514">
        <v>6</v>
      </c>
      <c r="J9514" t="s">
        <v>26</v>
      </c>
      <c r="K9514" s="57"/>
      <c r="S9514" s="57"/>
      <c r="X9514" s="57"/>
    </row>
    <row r="9515" spans="1:24" hidden="1" x14ac:dyDescent="0.35">
      <c r="A9515">
        <v>9511</v>
      </c>
      <c r="B9515">
        <v>9512</v>
      </c>
      <c r="C9515">
        <v>146.10031248799899</v>
      </c>
      <c r="D9515">
        <v>-17.5939469831</v>
      </c>
      <c r="E9515" s="92" t="str">
        <f t="shared" si="62"/>
        <v/>
      </c>
      <c r="G9515" s="92"/>
      <c r="I9515">
        <v>6</v>
      </c>
      <c r="J9515" t="s">
        <v>26</v>
      </c>
      <c r="K9515" s="57"/>
      <c r="S9515" s="57"/>
      <c r="X9515" s="57"/>
    </row>
    <row r="9516" spans="1:24" hidden="1" x14ac:dyDescent="0.35">
      <c r="A9516">
        <v>9512</v>
      </c>
      <c r="B9516">
        <v>9513</v>
      </c>
      <c r="C9516">
        <v>146.100367718999</v>
      </c>
      <c r="D9516">
        <v>-17.5940142171</v>
      </c>
      <c r="E9516" s="92" t="str">
        <f t="shared" si="62"/>
        <v/>
      </c>
      <c r="G9516" s="92"/>
      <c r="I9516">
        <v>6</v>
      </c>
      <c r="J9516" t="s">
        <v>26</v>
      </c>
      <c r="K9516" s="57"/>
      <c r="S9516" s="57"/>
      <c r="X9516" s="57"/>
    </row>
    <row r="9517" spans="1:24" hidden="1" x14ac:dyDescent="0.35">
      <c r="A9517">
        <v>9513</v>
      </c>
      <c r="B9517">
        <v>9514</v>
      </c>
      <c r="C9517">
        <v>146.100414430999</v>
      </c>
      <c r="D9517">
        <v>-17.594087359100001</v>
      </c>
      <c r="E9517" s="92" t="str">
        <f t="shared" si="62"/>
        <v/>
      </c>
      <c r="G9517" s="92"/>
      <c r="I9517">
        <v>6</v>
      </c>
      <c r="J9517" t="s">
        <v>26</v>
      </c>
      <c r="K9517" s="57"/>
      <c r="S9517" s="57"/>
      <c r="X9517" s="57"/>
    </row>
    <row r="9518" spans="1:24" hidden="1" x14ac:dyDescent="0.35">
      <c r="A9518">
        <v>9514</v>
      </c>
      <c r="B9518">
        <v>9515</v>
      </c>
      <c r="C9518">
        <v>146.100461142999</v>
      </c>
      <c r="D9518">
        <v>-17.594160501000001</v>
      </c>
      <c r="E9518" s="92">
        <f t="shared" si="62"/>
        <v>50</v>
      </c>
      <c r="G9518" s="92"/>
      <c r="I9518">
        <v>6</v>
      </c>
      <c r="J9518" t="s">
        <v>26</v>
      </c>
      <c r="K9518" s="57"/>
      <c r="S9518" s="57"/>
      <c r="X9518" s="57"/>
    </row>
    <row r="9519" spans="1:24" hidden="1" x14ac:dyDescent="0.35">
      <c r="A9519">
        <v>9515</v>
      </c>
      <c r="B9519">
        <v>9516</v>
      </c>
      <c r="C9519">
        <v>146.100506959</v>
      </c>
      <c r="D9519">
        <v>-17.5942341175999</v>
      </c>
      <c r="E9519" s="92" t="str">
        <f t="shared" si="62"/>
        <v/>
      </c>
      <c r="G9519" s="92"/>
      <c r="I9519">
        <v>6</v>
      </c>
      <c r="J9519" t="s">
        <v>26</v>
      </c>
      <c r="K9519" s="57"/>
      <c r="S9519" s="57"/>
      <c r="X9519" s="57"/>
    </row>
    <row r="9520" spans="1:24" hidden="1" x14ac:dyDescent="0.35">
      <c r="A9520">
        <v>9516</v>
      </c>
      <c r="B9520">
        <v>9517</v>
      </c>
      <c r="C9520">
        <v>146.100547417</v>
      </c>
      <c r="D9520">
        <v>-17.594310570400001</v>
      </c>
      <c r="E9520" s="92" t="str">
        <f t="shared" si="62"/>
        <v/>
      </c>
      <c r="G9520" s="92"/>
      <c r="I9520">
        <v>6</v>
      </c>
      <c r="J9520" t="s">
        <v>26</v>
      </c>
      <c r="K9520" s="57"/>
      <c r="S9520" s="57"/>
      <c r="X9520" s="57"/>
    </row>
    <row r="9521" spans="1:24" hidden="1" x14ac:dyDescent="0.35">
      <c r="A9521">
        <v>9517</v>
      </c>
      <c r="B9521">
        <v>9518</v>
      </c>
      <c r="C9521">
        <v>146.100587875999</v>
      </c>
      <c r="D9521">
        <v>-17.594387023100001</v>
      </c>
      <c r="E9521" s="92" t="str">
        <f t="shared" si="62"/>
        <v/>
      </c>
      <c r="G9521" s="92"/>
      <c r="I9521">
        <v>6</v>
      </c>
      <c r="J9521" t="s">
        <v>26</v>
      </c>
      <c r="K9521" s="57"/>
      <c r="S9521" s="57"/>
      <c r="X9521" s="57"/>
    </row>
    <row r="9522" spans="1:24" hidden="1" x14ac:dyDescent="0.35">
      <c r="A9522">
        <v>9518</v>
      </c>
      <c r="B9522">
        <v>9519</v>
      </c>
      <c r="C9522">
        <v>146.100617016999</v>
      </c>
      <c r="D9522">
        <v>-17.594467203099899</v>
      </c>
      <c r="E9522" s="92" t="str">
        <f t="shared" si="62"/>
        <v/>
      </c>
      <c r="G9522" s="92"/>
      <c r="I9522">
        <v>6</v>
      </c>
      <c r="J9522" t="s">
        <v>26</v>
      </c>
      <c r="K9522" s="57"/>
      <c r="S9522" s="57"/>
      <c r="X9522" s="57"/>
    </row>
    <row r="9523" spans="1:24" hidden="1" x14ac:dyDescent="0.35">
      <c r="A9523">
        <v>9519</v>
      </c>
      <c r="B9523">
        <v>9520</v>
      </c>
      <c r="C9523">
        <v>146.10063469599899</v>
      </c>
      <c r="D9523">
        <v>-17.5945511577</v>
      </c>
      <c r="E9523" s="92">
        <f t="shared" si="62"/>
        <v>50</v>
      </c>
      <c r="G9523" s="92"/>
      <c r="I9523">
        <v>6</v>
      </c>
      <c r="J9523" t="s">
        <v>26</v>
      </c>
      <c r="K9523" s="57"/>
      <c r="S9523" s="57"/>
      <c r="X9523" s="57"/>
    </row>
    <row r="9524" spans="1:24" hidden="1" x14ac:dyDescent="0.35">
      <c r="A9524">
        <v>9520</v>
      </c>
      <c r="B9524">
        <v>9521</v>
      </c>
      <c r="C9524">
        <v>146.10063507300001</v>
      </c>
      <c r="D9524">
        <v>-17.594635765700001</v>
      </c>
      <c r="E9524" s="92" t="str">
        <f t="shared" si="62"/>
        <v/>
      </c>
      <c r="G9524" s="92"/>
      <c r="I9524">
        <v>6</v>
      </c>
      <c r="J9524" t="s">
        <v>26</v>
      </c>
      <c r="K9524" s="57"/>
      <c r="S9524" s="57"/>
      <c r="X9524" s="57"/>
    </row>
    <row r="9525" spans="1:24" hidden="1" x14ac:dyDescent="0.35">
      <c r="A9525">
        <v>9521</v>
      </c>
      <c r="B9525">
        <v>9522</v>
      </c>
      <c r="C9525">
        <v>146.10062441700001</v>
      </c>
      <c r="D9525">
        <v>-17.594720790099899</v>
      </c>
      <c r="E9525" s="92" t="str">
        <f t="shared" si="62"/>
        <v/>
      </c>
      <c r="G9525" s="92"/>
      <c r="I9525">
        <v>6</v>
      </c>
      <c r="J9525" t="s">
        <v>26</v>
      </c>
      <c r="K9525" s="57"/>
      <c r="S9525" s="57"/>
      <c r="X9525" s="57"/>
    </row>
    <row r="9526" spans="1:24" hidden="1" x14ac:dyDescent="0.35">
      <c r="A9526">
        <v>9522</v>
      </c>
      <c r="B9526">
        <v>9523</v>
      </c>
      <c r="C9526">
        <v>146.100596781999</v>
      </c>
      <c r="D9526">
        <v>-17.594802165200001</v>
      </c>
      <c r="E9526" s="92" t="str">
        <f t="shared" si="62"/>
        <v/>
      </c>
      <c r="G9526" s="92"/>
      <c r="I9526">
        <v>6</v>
      </c>
      <c r="J9526" t="s">
        <v>26</v>
      </c>
      <c r="K9526" s="57"/>
      <c r="S9526" s="57"/>
      <c r="X9526" s="57"/>
    </row>
    <row r="9527" spans="1:24" hidden="1" x14ac:dyDescent="0.35">
      <c r="A9527">
        <v>9523</v>
      </c>
      <c r="B9527">
        <v>9524</v>
      </c>
      <c r="C9527">
        <v>146.10055720700001</v>
      </c>
      <c r="D9527">
        <v>-17.594878273700001</v>
      </c>
      <c r="E9527" s="92" t="str">
        <f t="shared" si="62"/>
        <v/>
      </c>
      <c r="G9527" s="92"/>
      <c r="I9527">
        <v>6</v>
      </c>
      <c r="J9527" t="s">
        <v>26</v>
      </c>
      <c r="K9527" s="57"/>
      <c r="S9527" s="57"/>
      <c r="X9527" s="57"/>
    </row>
    <row r="9528" spans="1:24" hidden="1" x14ac:dyDescent="0.35">
      <c r="A9528">
        <v>9524</v>
      </c>
      <c r="B9528">
        <v>9525</v>
      </c>
      <c r="C9528">
        <v>146.100507821999</v>
      </c>
      <c r="D9528">
        <v>-17.594949752800002</v>
      </c>
      <c r="E9528" s="92">
        <f t="shared" si="62"/>
        <v>50</v>
      </c>
      <c r="G9528" s="92"/>
      <c r="I9528">
        <v>6</v>
      </c>
      <c r="J9528" t="s">
        <v>26</v>
      </c>
      <c r="K9528" s="57"/>
      <c r="S9528" s="57"/>
      <c r="X9528" s="57"/>
    </row>
    <row r="9529" spans="1:24" hidden="1" x14ac:dyDescent="0.35">
      <c r="A9529">
        <v>9525</v>
      </c>
      <c r="B9529">
        <v>9526</v>
      </c>
      <c r="C9529">
        <v>146.100442302</v>
      </c>
      <c r="D9529">
        <v>-17.595008334100001</v>
      </c>
      <c r="E9529" s="92" t="str">
        <f t="shared" si="62"/>
        <v/>
      </c>
      <c r="G9529" s="92"/>
      <c r="I9529">
        <v>6</v>
      </c>
      <c r="J9529" t="s">
        <v>26</v>
      </c>
      <c r="K9529" s="57"/>
      <c r="S9529" s="57"/>
      <c r="X9529" s="57"/>
    </row>
    <row r="9530" spans="1:24" hidden="1" x14ac:dyDescent="0.35">
      <c r="A9530">
        <v>9526</v>
      </c>
      <c r="B9530">
        <v>9527</v>
      </c>
      <c r="C9530">
        <v>146.100369102999</v>
      </c>
      <c r="D9530">
        <v>-17.595056535000001</v>
      </c>
      <c r="E9530" s="92" t="str">
        <f t="shared" si="62"/>
        <v/>
      </c>
      <c r="G9530" s="92"/>
      <c r="I9530">
        <v>6</v>
      </c>
      <c r="J9530" t="s">
        <v>26</v>
      </c>
      <c r="K9530" s="57"/>
      <c r="S9530" s="57"/>
      <c r="X9530" s="57"/>
    </row>
    <row r="9531" spans="1:24" hidden="1" x14ac:dyDescent="0.35">
      <c r="A9531">
        <v>9527</v>
      </c>
      <c r="B9531">
        <v>9528</v>
      </c>
      <c r="C9531">
        <v>146.100289218999</v>
      </c>
      <c r="D9531">
        <v>-17.5950957023</v>
      </c>
      <c r="E9531" s="92" t="str">
        <f t="shared" si="62"/>
        <v/>
      </c>
      <c r="G9531" s="92"/>
      <c r="I9531">
        <v>6</v>
      </c>
      <c r="J9531" t="s">
        <v>26</v>
      </c>
      <c r="K9531" s="57"/>
      <c r="S9531" s="57"/>
      <c r="X9531" s="57"/>
    </row>
    <row r="9532" spans="1:24" hidden="1" x14ac:dyDescent="0.35">
      <c r="A9532">
        <v>9528</v>
      </c>
      <c r="B9532">
        <v>9529</v>
      </c>
      <c r="C9532">
        <v>146.10021007200001</v>
      </c>
      <c r="D9532">
        <v>-17.5951361738</v>
      </c>
      <c r="E9532" s="92" t="str">
        <f t="shared" si="62"/>
        <v/>
      </c>
      <c r="G9532" s="92"/>
      <c r="I9532">
        <v>6</v>
      </c>
      <c r="J9532" t="s">
        <v>26</v>
      </c>
      <c r="K9532" s="57"/>
      <c r="S9532" s="57"/>
      <c r="X9532" s="57"/>
    </row>
    <row r="9533" spans="1:24" hidden="1" x14ac:dyDescent="0.35">
      <c r="A9533">
        <v>9529</v>
      </c>
      <c r="B9533">
        <v>9530</v>
      </c>
      <c r="C9533">
        <v>146.100131774</v>
      </c>
      <c r="D9533">
        <v>-17.595178148500001</v>
      </c>
      <c r="E9533" s="92">
        <f t="shared" si="62"/>
        <v>50</v>
      </c>
      <c r="G9533" s="92"/>
      <c r="I9533">
        <v>6</v>
      </c>
      <c r="J9533" t="s">
        <v>26</v>
      </c>
      <c r="K9533" s="57"/>
      <c r="S9533" s="57"/>
      <c r="X9533" s="57"/>
    </row>
    <row r="9534" spans="1:24" hidden="1" x14ac:dyDescent="0.35">
      <c r="A9534">
        <v>9530</v>
      </c>
      <c r="B9534">
        <v>9531</v>
      </c>
      <c r="C9534">
        <v>146.100048818</v>
      </c>
      <c r="D9534">
        <v>-17.595210548800001</v>
      </c>
      <c r="E9534" s="92" t="str">
        <f t="shared" si="62"/>
        <v/>
      </c>
      <c r="G9534" s="92"/>
      <c r="I9534">
        <v>6</v>
      </c>
      <c r="J9534" t="s">
        <v>26</v>
      </c>
      <c r="K9534" s="57"/>
      <c r="S9534" s="57"/>
      <c r="X9534" s="57"/>
    </row>
    <row r="9535" spans="1:24" hidden="1" x14ac:dyDescent="0.35">
      <c r="A9535">
        <v>9531</v>
      </c>
      <c r="B9535">
        <v>9532</v>
      </c>
      <c r="C9535">
        <v>146.099965134999</v>
      </c>
      <c r="D9535">
        <v>-17.595241553200001</v>
      </c>
      <c r="E9535" s="92" t="str">
        <f t="shared" si="62"/>
        <v/>
      </c>
      <c r="G9535" s="92"/>
      <c r="I9535">
        <v>6</v>
      </c>
      <c r="J9535" t="s">
        <v>26</v>
      </c>
      <c r="K9535" s="57"/>
      <c r="S9535" s="57"/>
      <c r="X9535" s="57"/>
    </row>
    <row r="9536" spans="1:24" hidden="1" x14ac:dyDescent="0.35">
      <c r="A9536">
        <v>9532</v>
      </c>
      <c r="B9536">
        <v>9533</v>
      </c>
      <c r="C9536">
        <v>146.099884056999</v>
      </c>
      <c r="D9536">
        <v>-17.595278423900002</v>
      </c>
      <c r="E9536" s="92" t="str">
        <f t="shared" si="62"/>
        <v/>
      </c>
      <c r="G9536" s="92"/>
      <c r="I9536">
        <v>6</v>
      </c>
      <c r="J9536" t="s">
        <v>26</v>
      </c>
      <c r="K9536" s="57"/>
      <c r="S9536" s="57"/>
      <c r="X9536" s="57"/>
    </row>
    <row r="9537" spans="1:24" hidden="1" x14ac:dyDescent="0.35">
      <c r="A9537">
        <v>9533</v>
      </c>
      <c r="B9537">
        <v>9534</v>
      </c>
      <c r="C9537">
        <v>146.099825834</v>
      </c>
      <c r="D9537">
        <v>-17.595333776299899</v>
      </c>
      <c r="E9537" s="92" t="str">
        <f t="shared" si="62"/>
        <v/>
      </c>
      <c r="G9537" s="92"/>
      <c r="I9537">
        <v>6</v>
      </c>
      <c r="J9537" t="s">
        <v>26</v>
      </c>
      <c r="K9537" s="57"/>
      <c r="S9537" s="57"/>
      <c r="X9537" s="57"/>
    </row>
    <row r="9538" spans="1:24" hidden="1" x14ac:dyDescent="0.35">
      <c r="A9538">
        <v>9534</v>
      </c>
      <c r="B9538">
        <v>9535</v>
      </c>
      <c r="C9538">
        <v>146.099816355</v>
      </c>
      <c r="D9538">
        <v>-17.5954178918</v>
      </c>
      <c r="E9538" s="92">
        <f t="shared" si="62"/>
        <v>50</v>
      </c>
      <c r="G9538" s="92"/>
      <c r="I9538">
        <v>6</v>
      </c>
      <c r="J9538" t="s">
        <v>26</v>
      </c>
      <c r="K9538" s="57"/>
      <c r="S9538" s="57"/>
      <c r="X9538" s="57"/>
    </row>
    <row r="9539" spans="1:24" hidden="1" x14ac:dyDescent="0.35">
      <c r="A9539">
        <v>9535</v>
      </c>
      <c r="B9539">
        <v>9536</v>
      </c>
      <c r="C9539">
        <v>146.09985656200001</v>
      </c>
      <c r="D9539">
        <v>-17.595490118400001</v>
      </c>
      <c r="E9539" s="92" t="str">
        <f t="shared" si="62"/>
        <v/>
      </c>
      <c r="G9539" s="92"/>
      <c r="I9539">
        <v>6</v>
      </c>
      <c r="J9539" t="s">
        <v>26</v>
      </c>
      <c r="K9539" s="57"/>
      <c r="S9539" s="57"/>
      <c r="X9539" s="57"/>
    </row>
    <row r="9540" spans="1:24" hidden="1" x14ac:dyDescent="0.35">
      <c r="A9540">
        <v>9536</v>
      </c>
      <c r="B9540">
        <v>9537</v>
      </c>
      <c r="C9540">
        <v>146.099927444</v>
      </c>
      <c r="D9540">
        <v>-17.595539047100001</v>
      </c>
      <c r="E9540" s="92" t="str">
        <f t="shared" si="62"/>
        <v/>
      </c>
      <c r="G9540" s="92"/>
      <c r="I9540">
        <v>6</v>
      </c>
      <c r="J9540" t="s">
        <v>26</v>
      </c>
      <c r="K9540" s="57"/>
      <c r="S9540" s="57"/>
      <c r="X9540" s="57"/>
    </row>
    <row r="9541" spans="1:24" hidden="1" x14ac:dyDescent="0.35">
      <c r="A9541">
        <v>9537</v>
      </c>
      <c r="B9541">
        <v>9538</v>
      </c>
      <c r="C9541">
        <v>146.10001282100001</v>
      </c>
      <c r="D9541">
        <v>-17.595565678300002</v>
      </c>
      <c r="E9541" s="92" t="str">
        <f t="shared" si="62"/>
        <v/>
      </c>
      <c r="G9541" s="92"/>
      <c r="I9541">
        <v>6</v>
      </c>
      <c r="J9541" t="s">
        <v>26</v>
      </c>
      <c r="K9541" s="57"/>
      <c r="S9541" s="57"/>
      <c r="X9541" s="57"/>
    </row>
    <row r="9542" spans="1:24" hidden="1" x14ac:dyDescent="0.35">
      <c r="A9542">
        <v>9538</v>
      </c>
      <c r="B9542">
        <v>9539</v>
      </c>
      <c r="C9542">
        <v>146.100100136999</v>
      </c>
      <c r="D9542">
        <v>-17.5955851792</v>
      </c>
      <c r="E9542" s="92" t="str">
        <f t="shared" si="62"/>
        <v/>
      </c>
      <c r="G9542" s="92"/>
      <c r="I9542">
        <v>6</v>
      </c>
      <c r="J9542" t="s">
        <v>26</v>
      </c>
      <c r="K9542" s="57"/>
      <c r="S9542" s="57"/>
      <c r="X9542" s="57"/>
    </row>
    <row r="9543" spans="1:24" hidden="1" x14ac:dyDescent="0.35">
      <c r="A9543">
        <v>9539</v>
      </c>
      <c r="B9543">
        <v>9540</v>
      </c>
      <c r="C9543">
        <v>146.100188330999</v>
      </c>
      <c r="D9543">
        <v>-17.595601454099899</v>
      </c>
      <c r="E9543" s="92">
        <f t="shared" si="62"/>
        <v>50</v>
      </c>
      <c r="G9543" s="92"/>
      <c r="I9543">
        <v>6</v>
      </c>
      <c r="J9543" t="s">
        <v>26</v>
      </c>
      <c r="K9543" s="57"/>
      <c r="S9543" s="57"/>
      <c r="X9543" s="57"/>
    </row>
    <row r="9544" spans="1:24" hidden="1" x14ac:dyDescent="0.35">
      <c r="A9544">
        <v>9540</v>
      </c>
      <c r="B9544">
        <v>9541</v>
      </c>
      <c r="C9544">
        <v>146.100277519</v>
      </c>
      <c r="D9544">
        <v>-17.5956093305</v>
      </c>
      <c r="E9544" s="92" t="str">
        <f t="shared" si="62"/>
        <v/>
      </c>
      <c r="G9544" s="92"/>
      <c r="I9544">
        <v>6</v>
      </c>
      <c r="J9544" t="s">
        <v>26</v>
      </c>
      <c r="K9544" s="57"/>
      <c r="S9544" s="57"/>
      <c r="X9544" s="57"/>
    </row>
    <row r="9545" spans="1:24" hidden="1" x14ac:dyDescent="0.35">
      <c r="A9545">
        <v>9541</v>
      </c>
      <c r="B9545">
        <v>9542</v>
      </c>
      <c r="C9545">
        <v>146.10036730100001</v>
      </c>
      <c r="D9545">
        <v>-17.5956121999</v>
      </c>
      <c r="E9545" s="92" t="str">
        <f t="shared" si="62"/>
        <v/>
      </c>
      <c r="G9545" s="92"/>
      <c r="I9545">
        <v>6</v>
      </c>
      <c r="J9545" t="s">
        <v>26</v>
      </c>
      <c r="K9545" s="57"/>
      <c r="S9545" s="57"/>
      <c r="X9545" s="57"/>
    </row>
    <row r="9546" spans="1:24" hidden="1" x14ac:dyDescent="0.35">
      <c r="A9546">
        <v>9542</v>
      </c>
      <c r="B9546">
        <v>9543</v>
      </c>
      <c r="C9546">
        <v>146.10045699099899</v>
      </c>
      <c r="D9546">
        <v>-17.595611170600002</v>
      </c>
      <c r="E9546" s="92" t="str">
        <f t="shared" si="62"/>
        <v/>
      </c>
      <c r="G9546" s="92"/>
      <c r="I9546">
        <v>6</v>
      </c>
      <c r="J9546" t="s">
        <v>26</v>
      </c>
      <c r="K9546" s="57"/>
      <c r="S9546" s="57"/>
      <c r="X9546" s="57"/>
    </row>
    <row r="9547" spans="1:24" hidden="1" x14ac:dyDescent="0.35">
      <c r="A9547">
        <v>9543</v>
      </c>
      <c r="B9547">
        <v>9544</v>
      </c>
      <c r="C9547">
        <v>146.10054655100001</v>
      </c>
      <c r="D9547">
        <v>-17.595604516200002</v>
      </c>
      <c r="E9547" s="92" t="str">
        <f t="shared" si="62"/>
        <v/>
      </c>
      <c r="G9547" s="92"/>
      <c r="I9547">
        <v>6</v>
      </c>
      <c r="J9547" t="s">
        <v>26</v>
      </c>
      <c r="K9547" s="57"/>
      <c r="S9547" s="57"/>
      <c r="X9547" s="57"/>
    </row>
    <row r="9548" spans="1:24" hidden="1" x14ac:dyDescent="0.35">
      <c r="A9548">
        <v>9544</v>
      </c>
      <c r="B9548">
        <v>9545</v>
      </c>
      <c r="C9548">
        <v>146.100636054999</v>
      </c>
      <c r="D9548">
        <v>-17.5955973083</v>
      </c>
      <c r="E9548" s="92">
        <f t="shared" si="62"/>
        <v>50</v>
      </c>
      <c r="G9548" s="92"/>
      <c r="I9548">
        <v>6</v>
      </c>
      <c r="J9548" t="s">
        <v>26</v>
      </c>
      <c r="K9548" s="57"/>
      <c r="S9548" s="57"/>
      <c r="X9548" s="57"/>
    </row>
    <row r="9549" spans="1:24" hidden="1" x14ac:dyDescent="0.35">
      <c r="A9549">
        <v>9545</v>
      </c>
      <c r="B9549">
        <v>9546</v>
      </c>
      <c r="C9549">
        <v>146.10072531200001</v>
      </c>
      <c r="D9549">
        <v>-17.595587637600001</v>
      </c>
      <c r="E9549" s="92" t="str">
        <f t="shared" si="62"/>
        <v/>
      </c>
      <c r="G9549" s="92"/>
      <c r="I9549">
        <v>6</v>
      </c>
      <c r="J9549" t="s">
        <v>26</v>
      </c>
      <c r="K9549" s="57"/>
      <c r="S9549" s="57"/>
      <c r="X9549" s="57"/>
    </row>
    <row r="9550" spans="1:24" hidden="1" x14ac:dyDescent="0.35">
      <c r="A9550">
        <v>9546</v>
      </c>
      <c r="B9550">
        <v>9547</v>
      </c>
      <c r="C9550">
        <v>146.100814568999</v>
      </c>
      <c r="D9550">
        <v>-17.595577966800001</v>
      </c>
      <c r="E9550" s="92" t="str">
        <f t="shared" si="62"/>
        <v/>
      </c>
      <c r="G9550" s="92"/>
      <c r="I9550">
        <v>6</v>
      </c>
      <c r="J9550" t="s">
        <v>26</v>
      </c>
      <c r="K9550" s="57"/>
      <c r="S9550" s="57"/>
      <c r="X9550" s="57"/>
    </row>
    <row r="9551" spans="1:24" hidden="1" x14ac:dyDescent="0.35">
      <c r="A9551">
        <v>9547</v>
      </c>
      <c r="B9551">
        <v>9548</v>
      </c>
      <c r="C9551">
        <v>146.100894307999</v>
      </c>
      <c r="D9551">
        <v>-17.595539110000001</v>
      </c>
      <c r="E9551" s="92" t="str">
        <f t="shared" si="62"/>
        <v/>
      </c>
      <c r="G9551" s="92"/>
      <c r="I9551">
        <v>6</v>
      </c>
      <c r="J9551" t="s">
        <v>26</v>
      </c>
      <c r="K9551" s="57"/>
      <c r="S9551" s="57"/>
      <c r="X9551" s="57"/>
    </row>
    <row r="9552" spans="1:24" hidden="1" x14ac:dyDescent="0.35">
      <c r="A9552">
        <v>9548</v>
      </c>
      <c r="B9552">
        <v>9549</v>
      </c>
      <c r="C9552">
        <v>146.10097358600001</v>
      </c>
      <c r="D9552">
        <v>-17.5954988419</v>
      </c>
      <c r="E9552" s="92" t="str">
        <f t="shared" ref="E9552:E9615" si="63">IF(MOD(B9552,5)=0, 50, "")</f>
        <v/>
      </c>
      <c r="G9552" s="92"/>
      <c r="I9552">
        <v>6</v>
      </c>
      <c r="J9552" t="s">
        <v>26</v>
      </c>
      <c r="K9552" s="57"/>
      <c r="S9552" s="57"/>
      <c r="X9552" s="57"/>
    </row>
    <row r="9553" spans="1:24" hidden="1" x14ac:dyDescent="0.35">
      <c r="A9553">
        <v>9549</v>
      </c>
      <c r="B9553">
        <v>9550</v>
      </c>
      <c r="C9553">
        <v>146.10105682700001</v>
      </c>
      <c r="D9553">
        <v>-17.5954667287</v>
      </c>
      <c r="E9553" s="92">
        <f t="shared" si="63"/>
        <v>50</v>
      </c>
      <c r="G9553" s="92"/>
      <c r="I9553">
        <v>6</v>
      </c>
      <c r="J9553" t="s">
        <v>26</v>
      </c>
      <c r="K9553" s="57"/>
      <c r="S9553" s="57"/>
      <c r="X9553" s="57"/>
    </row>
    <row r="9554" spans="1:24" hidden="1" x14ac:dyDescent="0.35">
      <c r="A9554">
        <v>9550</v>
      </c>
      <c r="B9554">
        <v>9551</v>
      </c>
      <c r="C9554">
        <v>146.101140321999</v>
      </c>
      <c r="D9554">
        <v>-17.595435137700001</v>
      </c>
      <c r="E9554" s="92" t="str">
        <f t="shared" si="63"/>
        <v/>
      </c>
      <c r="G9554" s="92"/>
      <c r="I9554">
        <v>6</v>
      </c>
      <c r="J9554" t="s">
        <v>26</v>
      </c>
      <c r="K9554" s="57"/>
      <c r="S9554" s="57"/>
      <c r="X9554" s="57"/>
    </row>
    <row r="9555" spans="1:24" hidden="1" x14ac:dyDescent="0.35">
      <c r="A9555">
        <v>9551</v>
      </c>
      <c r="B9555">
        <v>9552</v>
      </c>
      <c r="C9555">
        <v>146.101226050999</v>
      </c>
      <c r="D9555">
        <v>-17.5954103882999</v>
      </c>
      <c r="E9555" s="92" t="str">
        <f t="shared" si="63"/>
        <v/>
      </c>
      <c r="G9555" s="92"/>
      <c r="I9555">
        <v>6</v>
      </c>
      <c r="J9555" t="s">
        <v>26</v>
      </c>
      <c r="K9555" s="57"/>
      <c r="S9555" s="57"/>
      <c r="X9555" s="57"/>
    </row>
    <row r="9556" spans="1:24" hidden="1" x14ac:dyDescent="0.35">
      <c r="A9556">
        <v>9552</v>
      </c>
      <c r="B9556">
        <v>9553</v>
      </c>
      <c r="C9556">
        <v>146.101313602</v>
      </c>
      <c r="D9556">
        <v>-17.595391216700001</v>
      </c>
      <c r="E9556" s="92" t="str">
        <f t="shared" si="63"/>
        <v/>
      </c>
      <c r="G9556" s="92"/>
      <c r="I9556">
        <v>6</v>
      </c>
      <c r="J9556" t="s">
        <v>26</v>
      </c>
      <c r="K9556" s="57"/>
      <c r="S9556" s="57"/>
      <c r="X9556" s="57"/>
    </row>
    <row r="9557" spans="1:24" hidden="1" x14ac:dyDescent="0.35">
      <c r="A9557">
        <v>9553</v>
      </c>
      <c r="B9557">
        <v>9554</v>
      </c>
      <c r="C9557">
        <v>146.10140231899899</v>
      </c>
      <c r="D9557">
        <v>-17.5953791079999</v>
      </c>
      <c r="E9557" s="92" t="str">
        <f t="shared" si="63"/>
        <v/>
      </c>
      <c r="G9557" s="92"/>
      <c r="I9557">
        <v>6</v>
      </c>
      <c r="J9557" t="s">
        <v>26</v>
      </c>
      <c r="K9557" s="57"/>
      <c r="S9557" s="57"/>
      <c r="X9557" s="57"/>
    </row>
    <row r="9558" spans="1:24" hidden="1" x14ac:dyDescent="0.35">
      <c r="A9558">
        <v>9554</v>
      </c>
      <c r="B9558">
        <v>9555</v>
      </c>
      <c r="C9558">
        <v>146.101491882999</v>
      </c>
      <c r="D9558">
        <v>-17.595373281099899</v>
      </c>
      <c r="E9558" s="92">
        <f t="shared" si="63"/>
        <v>50</v>
      </c>
      <c r="G9558" s="92"/>
      <c r="I9558">
        <v>6</v>
      </c>
      <c r="J9558" t="s">
        <v>26</v>
      </c>
      <c r="K9558" s="57"/>
      <c r="S9558" s="57"/>
      <c r="X9558" s="57"/>
    </row>
    <row r="9559" spans="1:24" hidden="1" x14ac:dyDescent="0.35">
      <c r="A9559">
        <v>9555</v>
      </c>
      <c r="B9559">
        <v>9556</v>
      </c>
      <c r="C9559">
        <v>146.101581713</v>
      </c>
      <c r="D9559">
        <v>-17.595373689100001</v>
      </c>
      <c r="E9559" s="92" t="str">
        <f t="shared" si="63"/>
        <v/>
      </c>
      <c r="G9559" s="92"/>
      <c r="I9559">
        <v>6</v>
      </c>
      <c r="J9559" t="s">
        <v>26</v>
      </c>
      <c r="K9559" s="57"/>
      <c r="S9559" s="57"/>
      <c r="X9559" s="57"/>
    </row>
    <row r="9560" spans="1:24" hidden="1" x14ac:dyDescent="0.35">
      <c r="A9560">
        <v>9556</v>
      </c>
      <c r="B9560">
        <v>9557</v>
      </c>
      <c r="C9560">
        <v>146.101653706999</v>
      </c>
      <c r="D9560">
        <v>-17.5954191874999</v>
      </c>
      <c r="E9560" s="92" t="str">
        <f t="shared" si="63"/>
        <v/>
      </c>
      <c r="G9560" s="92"/>
      <c r="I9560">
        <v>6</v>
      </c>
      <c r="J9560" t="s">
        <v>26</v>
      </c>
      <c r="K9560" s="57"/>
      <c r="S9560" s="57"/>
      <c r="X9560" s="57"/>
    </row>
    <row r="9561" spans="1:24" hidden="1" x14ac:dyDescent="0.35">
      <c r="A9561">
        <v>9557</v>
      </c>
      <c r="B9561">
        <v>9558</v>
      </c>
      <c r="C9561">
        <v>146.10170849100001</v>
      </c>
      <c r="D9561">
        <v>-17.5954859349999</v>
      </c>
      <c r="E9561" s="92" t="str">
        <f t="shared" si="63"/>
        <v/>
      </c>
      <c r="G9561" s="92"/>
      <c r="I9561">
        <v>6</v>
      </c>
      <c r="J9561" t="s">
        <v>26</v>
      </c>
      <c r="K9561" s="57"/>
      <c r="S9561" s="57"/>
      <c r="X9561" s="57"/>
    </row>
    <row r="9562" spans="1:24" hidden="1" x14ac:dyDescent="0.35">
      <c r="A9562">
        <v>9558</v>
      </c>
      <c r="B9562">
        <v>9559</v>
      </c>
      <c r="C9562">
        <v>146.101753645999</v>
      </c>
      <c r="D9562">
        <v>-17.595559808200001</v>
      </c>
      <c r="E9562" s="92" t="str">
        <f t="shared" si="63"/>
        <v/>
      </c>
      <c r="G9562" s="92"/>
      <c r="I9562">
        <v>6</v>
      </c>
      <c r="J9562" t="s">
        <v>26</v>
      </c>
      <c r="K9562" s="57"/>
      <c r="S9562" s="57"/>
      <c r="X9562" s="57"/>
    </row>
    <row r="9563" spans="1:24" hidden="1" x14ac:dyDescent="0.35">
      <c r="A9563">
        <v>9559</v>
      </c>
      <c r="B9563">
        <v>9560</v>
      </c>
      <c r="C9563">
        <v>146.10179024499899</v>
      </c>
      <c r="D9563">
        <v>-17.595638008000002</v>
      </c>
      <c r="E9563" s="92">
        <f t="shared" si="63"/>
        <v>50</v>
      </c>
      <c r="G9563" s="92"/>
      <c r="I9563">
        <v>6</v>
      </c>
      <c r="J9563" t="s">
        <v>26</v>
      </c>
      <c r="K9563" s="57"/>
      <c r="S9563" s="57"/>
      <c r="X9563" s="57"/>
    </row>
    <row r="9564" spans="1:24" hidden="1" x14ac:dyDescent="0.35">
      <c r="A9564">
        <v>9560</v>
      </c>
      <c r="B9564">
        <v>9561</v>
      </c>
      <c r="C9564">
        <v>146.101813781</v>
      </c>
      <c r="D9564">
        <v>-17.595720135600001</v>
      </c>
      <c r="E9564" s="92" t="str">
        <f t="shared" si="63"/>
        <v/>
      </c>
      <c r="G9564" s="92"/>
      <c r="I9564">
        <v>6</v>
      </c>
      <c r="J9564" t="s">
        <v>26</v>
      </c>
      <c r="K9564" s="57"/>
      <c r="S9564" s="57"/>
      <c r="X9564" s="57"/>
    </row>
    <row r="9565" spans="1:24" hidden="1" x14ac:dyDescent="0.35">
      <c r="A9565">
        <v>9561</v>
      </c>
      <c r="B9565">
        <v>9562</v>
      </c>
      <c r="C9565">
        <v>146.10181487200001</v>
      </c>
      <c r="D9565">
        <v>-17.5958034125</v>
      </c>
      <c r="E9565" s="92" t="str">
        <f t="shared" si="63"/>
        <v/>
      </c>
      <c r="G9565" s="92"/>
      <c r="I9565">
        <v>6</v>
      </c>
      <c r="J9565" t="s">
        <v>26</v>
      </c>
      <c r="K9565" s="57"/>
      <c r="S9565" s="57"/>
      <c r="X9565" s="57"/>
    </row>
    <row r="9566" spans="1:24" hidden="1" x14ac:dyDescent="0.35">
      <c r="A9566">
        <v>9562</v>
      </c>
      <c r="B9566">
        <v>9563</v>
      </c>
      <c r="C9566">
        <v>146.10178834600001</v>
      </c>
      <c r="D9566">
        <v>-17.595885192400001</v>
      </c>
      <c r="E9566" s="92" t="str">
        <f t="shared" si="63"/>
        <v/>
      </c>
      <c r="G9566" s="92"/>
      <c r="I9566">
        <v>6</v>
      </c>
      <c r="J9566" t="s">
        <v>26</v>
      </c>
      <c r="K9566" s="57"/>
      <c r="S9566" s="57"/>
      <c r="X9566" s="57"/>
    </row>
    <row r="9567" spans="1:24" hidden="1" x14ac:dyDescent="0.35">
      <c r="A9567">
        <v>9563</v>
      </c>
      <c r="B9567">
        <v>9564</v>
      </c>
      <c r="C9567">
        <v>146.10175128200001</v>
      </c>
      <c r="D9567">
        <v>-17.595963192700001</v>
      </c>
      <c r="E9567" s="92" t="str">
        <f t="shared" si="63"/>
        <v/>
      </c>
      <c r="G9567" s="92"/>
      <c r="I9567">
        <v>6</v>
      </c>
      <c r="J9567" t="s">
        <v>26</v>
      </c>
      <c r="K9567" s="57"/>
      <c r="S9567" s="57"/>
      <c r="X9567" s="57"/>
    </row>
    <row r="9568" spans="1:24" hidden="1" x14ac:dyDescent="0.35">
      <c r="A9568">
        <v>9564</v>
      </c>
      <c r="B9568">
        <v>9565</v>
      </c>
      <c r="C9568">
        <v>146.10171476900001</v>
      </c>
      <c r="D9568">
        <v>-17.5960414275999</v>
      </c>
      <c r="E9568" s="92">
        <f t="shared" si="63"/>
        <v>50</v>
      </c>
      <c r="G9568" s="92"/>
      <c r="I9568">
        <v>6</v>
      </c>
      <c r="J9568" t="s">
        <v>26</v>
      </c>
      <c r="K9568" s="57"/>
      <c r="S9568" s="57"/>
      <c r="X9568" s="57"/>
    </row>
    <row r="9569" spans="1:24" hidden="1" x14ac:dyDescent="0.35">
      <c r="A9569">
        <v>9565</v>
      </c>
      <c r="B9569">
        <v>9566</v>
      </c>
      <c r="C9569">
        <v>146.101678558999</v>
      </c>
      <c r="D9569">
        <v>-17.596119791500001</v>
      </c>
      <c r="E9569" s="92" t="str">
        <f t="shared" si="63"/>
        <v/>
      </c>
      <c r="G9569" s="92"/>
      <c r="I9569">
        <v>6</v>
      </c>
      <c r="J9569" t="s">
        <v>26</v>
      </c>
      <c r="K9569" s="57"/>
      <c r="S9569" s="57"/>
      <c r="X9569" s="57"/>
    </row>
    <row r="9570" spans="1:24" hidden="1" x14ac:dyDescent="0.35">
      <c r="A9570">
        <v>9566</v>
      </c>
      <c r="B9570">
        <v>9567</v>
      </c>
      <c r="C9570">
        <v>146.10164131900001</v>
      </c>
      <c r="D9570">
        <v>-17.596197705200002</v>
      </c>
      <c r="E9570" s="92" t="str">
        <f t="shared" si="63"/>
        <v/>
      </c>
      <c r="G9570" s="92"/>
      <c r="I9570">
        <v>6</v>
      </c>
      <c r="J9570" t="s">
        <v>26</v>
      </c>
      <c r="K9570" s="57"/>
      <c r="S9570" s="57"/>
      <c r="X9570" s="57"/>
    </row>
    <row r="9571" spans="1:24" hidden="1" x14ac:dyDescent="0.35">
      <c r="A9571">
        <v>9567</v>
      </c>
      <c r="B9571">
        <v>9568</v>
      </c>
      <c r="C9571">
        <v>146.101603514999</v>
      </c>
      <c r="D9571">
        <v>-17.596275329400001</v>
      </c>
      <c r="E9571" s="92" t="str">
        <f t="shared" si="63"/>
        <v/>
      </c>
      <c r="G9571" s="92"/>
      <c r="I9571">
        <v>6</v>
      </c>
      <c r="J9571" t="s">
        <v>26</v>
      </c>
      <c r="K9571" s="57"/>
      <c r="S9571" s="57"/>
      <c r="X9571" s="57"/>
    </row>
    <row r="9572" spans="1:24" hidden="1" x14ac:dyDescent="0.35">
      <c r="A9572">
        <v>9568</v>
      </c>
      <c r="B9572">
        <v>9569</v>
      </c>
      <c r="C9572">
        <v>146.10157486200001</v>
      </c>
      <c r="D9572">
        <v>-17.5963564848999</v>
      </c>
      <c r="E9572" s="92" t="str">
        <f t="shared" si="63"/>
        <v/>
      </c>
      <c r="G9572" s="92"/>
      <c r="I9572">
        <v>6</v>
      </c>
      <c r="J9572" t="s">
        <v>26</v>
      </c>
      <c r="K9572" s="57"/>
      <c r="S9572" s="57"/>
      <c r="X9572" s="57"/>
    </row>
    <row r="9573" spans="1:24" hidden="1" x14ac:dyDescent="0.35">
      <c r="A9573">
        <v>9569</v>
      </c>
      <c r="B9573">
        <v>9570</v>
      </c>
      <c r="C9573">
        <v>146.101556955999</v>
      </c>
      <c r="D9573">
        <v>-17.596440300800001</v>
      </c>
      <c r="E9573" s="92">
        <f t="shared" si="63"/>
        <v>50</v>
      </c>
      <c r="G9573" s="92"/>
      <c r="I9573">
        <v>6</v>
      </c>
      <c r="J9573" t="s">
        <v>26</v>
      </c>
      <c r="K9573" s="57"/>
      <c r="S9573" s="57"/>
      <c r="X9573" s="57"/>
    </row>
    <row r="9574" spans="1:24" hidden="1" x14ac:dyDescent="0.35">
      <c r="A9574">
        <v>9570</v>
      </c>
      <c r="B9574">
        <v>9571</v>
      </c>
      <c r="C9574">
        <v>146.10155442600001</v>
      </c>
      <c r="D9574">
        <v>-17.5965246505999</v>
      </c>
      <c r="E9574" s="92" t="str">
        <f t="shared" si="63"/>
        <v/>
      </c>
      <c r="G9574" s="92"/>
      <c r="I9574">
        <v>6</v>
      </c>
      <c r="J9574" t="s">
        <v>26</v>
      </c>
      <c r="K9574" s="57"/>
      <c r="S9574" s="57"/>
      <c r="X9574" s="57"/>
    </row>
    <row r="9575" spans="1:24" hidden="1" x14ac:dyDescent="0.35">
      <c r="A9575">
        <v>9571</v>
      </c>
      <c r="B9575">
        <v>9572</v>
      </c>
      <c r="C9575">
        <v>146.101568689999</v>
      </c>
      <c r="D9575">
        <v>-17.596609192500001</v>
      </c>
      <c r="E9575" s="92" t="str">
        <f t="shared" si="63"/>
        <v/>
      </c>
      <c r="G9575" s="92"/>
      <c r="I9575">
        <v>6</v>
      </c>
      <c r="J9575" t="s">
        <v>26</v>
      </c>
      <c r="K9575" s="57"/>
      <c r="S9575" s="57"/>
      <c r="X9575" s="57"/>
    </row>
    <row r="9576" spans="1:24" hidden="1" x14ac:dyDescent="0.35">
      <c r="A9576">
        <v>9572</v>
      </c>
      <c r="B9576">
        <v>9573</v>
      </c>
      <c r="C9576">
        <v>146.10158704400001</v>
      </c>
      <c r="D9576">
        <v>-17.596692306800001</v>
      </c>
      <c r="E9576" s="92" t="str">
        <f t="shared" si="63"/>
        <v/>
      </c>
      <c r="G9576" s="92"/>
      <c r="I9576">
        <v>6</v>
      </c>
      <c r="J9576" t="s">
        <v>26</v>
      </c>
      <c r="K9576" s="57"/>
      <c r="S9576" s="57"/>
      <c r="X9576" s="57"/>
    </row>
    <row r="9577" spans="1:24" hidden="1" x14ac:dyDescent="0.35">
      <c r="A9577">
        <v>9573</v>
      </c>
      <c r="B9577">
        <v>9574</v>
      </c>
      <c r="C9577">
        <v>146.10163341500001</v>
      </c>
      <c r="D9577">
        <v>-17.596765644800001</v>
      </c>
      <c r="E9577" s="92" t="str">
        <f t="shared" si="63"/>
        <v/>
      </c>
      <c r="G9577" s="92"/>
      <c r="I9577">
        <v>6</v>
      </c>
      <c r="J9577" t="s">
        <v>26</v>
      </c>
      <c r="K9577" s="57"/>
      <c r="S9577" s="57"/>
      <c r="X9577" s="57"/>
    </row>
    <row r="9578" spans="1:24" hidden="1" x14ac:dyDescent="0.35">
      <c r="A9578">
        <v>9574</v>
      </c>
      <c r="B9578">
        <v>9575</v>
      </c>
      <c r="C9578">
        <v>146.10167978499899</v>
      </c>
      <c r="D9578">
        <v>-17.5968389827</v>
      </c>
      <c r="E9578" s="92">
        <f t="shared" si="63"/>
        <v>50</v>
      </c>
      <c r="G9578" s="92"/>
      <c r="I9578">
        <v>6</v>
      </c>
      <c r="J9578" t="s">
        <v>26</v>
      </c>
      <c r="K9578" s="57"/>
      <c r="S9578" s="57"/>
      <c r="X9578" s="57"/>
    </row>
    <row r="9579" spans="1:24" hidden="1" x14ac:dyDescent="0.35">
      <c r="A9579">
        <v>9575</v>
      </c>
      <c r="B9579">
        <v>9576</v>
      </c>
      <c r="C9579">
        <v>146.10173588000001</v>
      </c>
      <c r="D9579">
        <v>-17.596905642100001</v>
      </c>
      <c r="E9579" s="92" t="str">
        <f t="shared" si="63"/>
        <v/>
      </c>
      <c r="G9579" s="92"/>
      <c r="I9579">
        <v>6</v>
      </c>
      <c r="J9579" t="s">
        <v>26</v>
      </c>
      <c r="K9579" s="57"/>
      <c r="S9579" s="57"/>
      <c r="X9579" s="57"/>
    </row>
    <row r="9580" spans="1:24" hidden="1" x14ac:dyDescent="0.35">
      <c r="A9580">
        <v>9576</v>
      </c>
      <c r="B9580">
        <v>9577</v>
      </c>
      <c r="C9580">
        <v>146.10179418600001</v>
      </c>
      <c r="D9580">
        <v>-17.596970783</v>
      </c>
      <c r="E9580" s="92" t="str">
        <f t="shared" si="63"/>
        <v/>
      </c>
      <c r="G9580" s="92"/>
      <c r="I9580">
        <v>6</v>
      </c>
      <c r="J9580" t="s">
        <v>26</v>
      </c>
      <c r="K9580" s="57"/>
      <c r="S9580" s="57"/>
      <c r="X9580" s="57"/>
    </row>
    <row r="9581" spans="1:24" hidden="1" x14ac:dyDescent="0.35">
      <c r="A9581">
        <v>9577</v>
      </c>
      <c r="B9581">
        <v>9578</v>
      </c>
      <c r="C9581">
        <v>146.101848243999</v>
      </c>
      <c r="D9581">
        <v>-17.597038738999899</v>
      </c>
      <c r="E9581" s="92" t="str">
        <f t="shared" si="63"/>
        <v/>
      </c>
      <c r="G9581" s="92"/>
      <c r="I9581">
        <v>6</v>
      </c>
      <c r="J9581" t="s">
        <v>26</v>
      </c>
      <c r="K9581" s="57"/>
      <c r="S9581" s="57"/>
      <c r="X9581" s="57"/>
    </row>
    <row r="9582" spans="1:24" hidden="1" x14ac:dyDescent="0.35">
      <c r="A9582">
        <v>9578</v>
      </c>
      <c r="B9582">
        <v>9579</v>
      </c>
      <c r="C9582">
        <v>146.10189201099899</v>
      </c>
      <c r="D9582">
        <v>-17.597113516499899</v>
      </c>
      <c r="E9582" s="92" t="str">
        <f t="shared" si="63"/>
        <v/>
      </c>
      <c r="G9582" s="92"/>
      <c r="I9582">
        <v>6</v>
      </c>
      <c r="J9582" t="s">
        <v>26</v>
      </c>
      <c r="K9582" s="57"/>
      <c r="S9582" s="57"/>
      <c r="X9582" s="57"/>
    </row>
    <row r="9583" spans="1:24" hidden="1" x14ac:dyDescent="0.35">
      <c r="A9583">
        <v>9579</v>
      </c>
      <c r="B9583">
        <v>9580</v>
      </c>
      <c r="C9583">
        <v>146.10193577800001</v>
      </c>
      <c r="D9583">
        <v>-17.597188293999899</v>
      </c>
      <c r="E9583" s="92">
        <f t="shared" si="63"/>
        <v>50</v>
      </c>
      <c r="G9583" s="92"/>
      <c r="I9583">
        <v>6</v>
      </c>
      <c r="J9583" t="s">
        <v>26</v>
      </c>
      <c r="K9583" s="57"/>
      <c r="S9583" s="57"/>
      <c r="X9583" s="57"/>
    </row>
    <row r="9584" spans="1:24" hidden="1" x14ac:dyDescent="0.35">
      <c r="A9584">
        <v>9580</v>
      </c>
      <c r="B9584">
        <v>9581</v>
      </c>
      <c r="C9584">
        <v>146.101968435999</v>
      </c>
      <c r="D9584">
        <v>-17.5972674773999</v>
      </c>
      <c r="E9584" s="92" t="str">
        <f t="shared" si="63"/>
        <v/>
      </c>
      <c r="G9584" s="92"/>
      <c r="I9584">
        <v>6</v>
      </c>
      <c r="J9584" t="s">
        <v>26</v>
      </c>
      <c r="K9584" s="57"/>
      <c r="S9584" s="57"/>
      <c r="X9584" s="57"/>
    </row>
    <row r="9585" spans="1:24" hidden="1" x14ac:dyDescent="0.35">
      <c r="A9585">
        <v>9581</v>
      </c>
      <c r="B9585">
        <v>9582</v>
      </c>
      <c r="C9585">
        <v>146.101993233999</v>
      </c>
      <c r="D9585">
        <v>-17.5973497779</v>
      </c>
      <c r="E9585" s="92" t="str">
        <f t="shared" si="63"/>
        <v/>
      </c>
      <c r="G9585" s="92"/>
      <c r="I9585">
        <v>6</v>
      </c>
      <c r="J9585" t="s">
        <v>26</v>
      </c>
      <c r="K9585" s="57"/>
      <c r="S9585" s="57"/>
      <c r="X9585" s="57"/>
    </row>
    <row r="9586" spans="1:24" hidden="1" x14ac:dyDescent="0.35">
      <c r="A9586">
        <v>9582</v>
      </c>
      <c r="B9586">
        <v>9583</v>
      </c>
      <c r="C9586">
        <v>146.102005039999</v>
      </c>
      <c r="D9586">
        <v>-17.597432792300001</v>
      </c>
      <c r="E9586" s="92" t="str">
        <f t="shared" si="63"/>
        <v/>
      </c>
      <c r="G9586" s="92"/>
      <c r="I9586">
        <v>6</v>
      </c>
      <c r="J9586" t="s">
        <v>26</v>
      </c>
      <c r="K9586" s="57"/>
      <c r="S9586" s="57"/>
      <c r="X9586" s="57"/>
    </row>
    <row r="9587" spans="1:24" hidden="1" x14ac:dyDescent="0.35">
      <c r="A9587">
        <v>9583</v>
      </c>
      <c r="B9587">
        <v>9584</v>
      </c>
      <c r="C9587">
        <v>146.101990327999</v>
      </c>
      <c r="D9587">
        <v>-17.597517263899899</v>
      </c>
      <c r="E9587" s="92" t="str">
        <f t="shared" si="63"/>
        <v/>
      </c>
      <c r="G9587" s="92"/>
      <c r="I9587">
        <v>6</v>
      </c>
      <c r="J9587" t="s">
        <v>26</v>
      </c>
      <c r="K9587" s="57"/>
      <c r="S9587" s="57"/>
      <c r="X9587" s="57"/>
    </row>
    <row r="9588" spans="1:24" hidden="1" x14ac:dyDescent="0.35">
      <c r="A9588">
        <v>9584</v>
      </c>
      <c r="B9588">
        <v>9585</v>
      </c>
      <c r="C9588">
        <v>146.101975616</v>
      </c>
      <c r="D9588">
        <v>-17.5976017355</v>
      </c>
      <c r="E9588" s="92">
        <f t="shared" si="63"/>
        <v>50</v>
      </c>
      <c r="G9588" s="92"/>
      <c r="I9588">
        <v>6</v>
      </c>
      <c r="J9588" t="s">
        <v>26</v>
      </c>
      <c r="K9588" s="57"/>
      <c r="S9588" s="57"/>
      <c r="X9588" s="57"/>
    </row>
    <row r="9589" spans="1:24" hidden="1" x14ac:dyDescent="0.35">
      <c r="A9589">
        <v>9585</v>
      </c>
      <c r="B9589">
        <v>9586</v>
      </c>
      <c r="C9589">
        <v>146.10195169900001</v>
      </c>
      <c r="D9589">
        <v>-17.597684241900001</v>
      </c>
      <c r="E9589" s="92" t="str">
        <f t="shared" si="63"/>
        <v/>
      </c>
      <c r="G9589" s="92"/>
      <c r="I9589">
        <v>6</v>
      </c>
      <c r="J9589" t="s">
        <v>26</v>
      </c>
      <c r="K9589" s="57"/>
      <c r="S9589" s="57"/>
      <c r="X9589" s="57"/>
    </row>
    <row r="9590" spans="1:24" hidden="1" x14ac:dyDescent="0.35">
      <c r="A9590">
        <v>9586</v>
      </c>
      <c r="B9590">
        <v>9587</v>
      </c>
      <c r="C9590">
        <v>146.10191703999899</v>
      </c>
      <c r="D9590">
        <v>-17.5977613029</v>
      </c>
      <c r="E9590" s="92" t="str">
        <f t="shared" si="63"/>
        <v/>
      </c>
      <c r="G9590" s="92"/>
      <c r="I9590">
        <v>6</v>
      </c>
      <c r="J9590" t="s">
        <v>26</v>
      </c>
      <c r="K9590" s="57"/>
      <c r="S9590" s="57"/>
      <c r="X9590" s="57"/>
    </row>
    <row r="9591" spans="1:24" hidden="1" x14ac:dyDescent="0.35">
      <c r="A9591">
        <v>9587</v>
      </c>
      <c r="B9591">
        <v>9588</v>
      </c>
      <c r="C9591">
        <v>146.101857244</v>
      </c>
      <c r="D9591">
        <v>-17.597825204100001</v>
      </c>
      <c r="E9591" s="92" t="str">
        <f t="shared" si="63"/>
        <v/>
      </c>
      <c r="G9591" s="92"/>
      <c r="I9591">
        <v>6</v>
      </c>
      <c r="J9591" t="s">
        <v>26</v>
      </c>
      <c r="K9591" s="57"/>
      <c r="S9591" s="57"/>
      <c r="X9591" s="57"/>
    </row>
    <row r="9592" spans="1:24" hidden="1" x14ac:dyDescent="0.35">
      <c r="A9592">
        <v>9588</v>
      </c>
      <c r="B9592">
        <v>9589</v>
      </c>
      <c r="C9592">
        <v>146.101786395999</v>
      </c>
      <c r="D9592">
        <v>-17.597877065900001</v>
      </c>
      <c r="E9592" s="92" t="str">
        <f t="shared" si="63"/>
        <v/>
      </c>
      <c r="G9592" s="92"/>
      <c r="I9592">
        <v>6</v>
      </c>
      <c r="J9592" t="s">
        <v>26</v>
      </c>
      <c r="K9592" s="57"/>
      <c r="S9592" s="57"/>
      <c r="X9592" s="57"/>
    </row>
    <row r="9593" spans="1:24" hidden="1" x14ac:dyDescent="0.35">
      <c r="A9593">
        <v>9589</v>
      </c>
      <c r="B9593">
        <v>9590</v>
      </c>
      <c r="C9593">
        <v>146.101712015999</v>
      </c>
      <c r="D9593">
        <v>-17.5979250804</v>
      </c>
      <c r="E9593" s="92">
        <f t="shared" si="63"/>
        <v>50</v>
      </c>
      <c r="G9593" s="92"/>
      <c r="I9593">
        <v>6</v>
      </c>
      <c r="J9593" t="s">
        <v>26</v>
      </c>
      <c r="K9593" s="57"/>
      <c r="S9593" s="57"/>
      <c r="X9593" s="57"/>
    </row>
    <row r="9594" spans="1:24" hidden="1" x14ac:dyDescent="0.35">
      <c r="A9594">
        <v>9590</v>
      </c>
      <c r="B9594">
        <v>9591</v>
      </c>
      <c r="C9594">
        <v>146.10162789699899</v>
      </c>
      <c r="D9594">
        <v>-17.597953611200001</v>
      </c>
      <c r="E9594" s="92" t="str">
        <f t="shared" si="63"/>
        <v/>
      </c>
      <c r="G9594" s="92"/>
      <c r="I9594">
        <v>6</v>
      </c>
      <c r="J9594" t="s">
        <v>26</v>
      </c>
      <c r="K9594" s="57"/>
      <c r="S9594" s="57"/>
      <c r="X9594" s="57"/>
    </row>
    <row r="9595" spans="1:24" hidden="1" x14ac:dyDescent="0.35">
      <c r="A9595">
        <v>9591</v>
      </c>
      <c r="B9595">
        <v>9592</v>
      </c>
      <c r="C9595">
        <v>146.10154191999899</v>
      </c>
      <c r="D9595">
        <v>-17.5979784252999</v>
      </c>
      <c r="E9595" s="92" t="str">
        <f t="shared" si="63"/>
        <v/>
      </c>
      <c r="G9595" s="92"/>
      <c r="I9595">
        <v>6</v>
      </c>
      <c r="J9595" t="s">
        <v>26</v>
      </c>
      <c r="K9595" s="57"/>
      <c r="S9595" s="57"/>
      <c r="X9595" s="57"/>
    </row>
    <row r="9596" spans="1:24" hidden="1" x14ac:dyDescent="0.35">
      <c r="A9596">
        <v>9592</v>
      </c>
      <c r="B9596">
        <v>9593</v>
      </c>
      <c r="C9596">
        <v>146.101455942999</v>
      </c>
      <c r="D9596">
        <v>-17.598003239499899</v>
      </c>
      <c r="E9596" s="92" t="str">
        <f t="shared" si="63"/>
        <v/>
      </c>
      <c r="G9596" s="92"/>
      <c r="I9596">
        <v>6</v>
      </c>
      <c r="J9596" t="s">
        <v>26</v>
      </c>
      <c r="K9596" s="57"/>
      <c r="S9596" s="57"/>
      <c r="X9596" s="57"/>
    </row>
    <row r="9597" spans="1:24" hidden="1" x14ac:dyDescent="0.35">
      <c r="A9597">
        <v>9593</v>
      </c>
      <c r="B9597">
        <v>9594</v>
      </c>
      <c r="C9597">
        <v>146.101369906</v>
      </c>
      <c r="D9597">
        <v>-17.598027863900001</v>
      </c>
      <c r="E9597" s="92" t="str">
        <f t="shared" si="63"/>
        <v/>
      </c>
      <c r="G9597" s="92"/>
      <c r="I9597">
        <v>6</v>
      </c>
      <c r="J9597" t="s">
        <v>26</v>
      </c>
      <c r="K9597" s="57"/>
      <c r="S9597" s="57"/>
      <c r="X9597" s="57"/>
    </row>
    <row r="9598" spans="1:24" hidden="1" x14ac:dyDescent="0.35">
      <c r="A9598">
        <v>9594</v>
      </c>
      <c r="B9598">
        <v>9595</v>
      </c>
      <c r="C9598">
        <v>146.10128382900001</v>
      </c>
      <c r="D9598">
        <v>-17.598052358299899</v>
      </c>
      <c r="E9598" s="92">
        <f t="shared" si="63"/>
        <v>50</v>
      </c>
      <c r="G9598" s="92"/>
      <c r="I9598">
        <v>6</v>
      </c>
      <c r="J9598" t="s">
        <v>26</v>
      </c>
      <c r="K9598" s="57"/>
      <c r="S9598" s="57"/>
      <c r="X9598" s="57"/>
    </row>
    <row r="9599" spans="1:24" hidden="1" x14ac:dyDescent="0.35">
      <c r="A9599">
        <v>9595</v>
      </c>
      <c r="B9599">
        <v>9596</v>
      </c>
      <c r="C9599">
        <v>146.101197751</v>
      </c>
      <c r="D9599">
        <v>-17.598076853199899</v>
      </c>
      <c r="E9599" s="92" t="str">
        <f t="shared" si="63"/>
        <v/>
      </c>
      <c r="G9599" s="92"/>
      <c r="I9599">
        <v>6</v>
      </c>
      <c r="J9599" t="s">
        <v>26</v>
      </c>
      <c r="K9599" s="57"/>
      <c r="S9599" s="57"/>
      <c r="X9599" s="57"/>
    </row>
    <row r="9600" spans="1:24" hidden="1" x14ac:dyDescent="0.35">
      <c r="A9600">
        <v>9596</v>
      </c>
      <c r="B9600">
        <v>9597</v>
      </c>
      <c r="C9600">
        <v>146.101113002999</v>
      </c>
      <c r="D9600">
        <v>-17.5981037916</v>
      </c>
      <c r="E9600" s="92" t="str">
        <f t="shared" si="63"/>
        <v/>
      </c>
      <c r="G9600" s="92"/>
      <c r="I9600">
        <v>6</v>
      </c>
      <c r="J9600" t="s">
        <v>26</v>
      </c>
      <c r="K9600" s="57"/>
      <c r="S9600" s="57"/>
      <c r="X9600" s="57"/>
    </row>
    <row r="9601" spans="1:24" hidden="1" x14ac:dyDescent="0.35">
      <c r="A9601">
        <v>9597</v>
      </c>
      <c r="B9601">
        <v>9598</v>
      </c>
      <c r="C9601">
        <v>146.10104239699899</v>
      </c>
      <c r="D9601">
        <v>-17.5981567306</v>
      </c>
      <c r="E9601" s="92" t="str">
        <f t="shared" si="63"/>
        <v/>
      </c>
      <c r="G9601" s="92"/>
      <c r="I9601">
        <v>6</v>
      </c>
      <c r="J9601" t="s">
        <v>26</v>
      </c>
      <c r="K9601" s="57"/>
      <c r="S9601" s="57"/>
      <c r="X9601" s="57"/>
    </row>
    <row r="9602" spans="1:24" hidden="1" x14ac:dyDescent="0.35">
      <c r="A9602">
        <v>9598</v>
      </c>
      <c r="B9602">
        <v>9599</v>
      </c>
      <c r="C9602">
        <v>146.101067817999</v>
      </c>
      <c r="D9602">
        <v>-17.5982295652</v>
      </c>
      <c r="E9602" s="92" t="str">
        <f t="shared" si="63"/>
        <v/>
      </c>
      <c r="G9602" s="92"/>
      <c r="I9602">
        <v>6</v>
      </c>
      <c r="J9602" t="s">
        <v>26</v>
      </c>
      <c r="K9602" s="57"/>
      <c r="S9602" s="57"/>
      <c r="X9602" s="57"/>
    </row>
    <row r="9603" spans="1:24" hidden="1" x14ac:dyDescent="0.35">
      <c r="A9603">
        <v>9599</v>
      </c>
      <c r="B9603">
        <v>9600</v>
      </c>
      <c r="C9603">
        <v>146.101108998999</v>
      </c>
      <c r="D9603">
        <v>-17.598305665000002</v>
      </c>
      <c r="E9603" s="92">
        <f t="shared" si="63"/>
        <v>50</v>
      </c>
      <c r="G9603" s="92"/>
      <c r="I9603">
        <v>6</v>
      </c>
      <c r="J9603" t="s">
        <v>26</v>
      </c>
      <c r="K9603" s="57"/>
      <c r="S9603" s="57"/>
      <c r="X9603" s="57"/>
    </row>
    <row r="9604" spans="1:24" hidden="1" x14ac:dyDescent="0.35">
      <c r="A9604">
        <v>9600</v>
      </c>
      <c r="B9604">
        <v>9601</v>
      </c>
      <c r="C9604">
        <v>146.10115018100001</v>
      </c>
      <c r="D9604">
        <v>-17.5983817647999</v>
      </c>
      <c r="E9604" s="92" t="str">
        <f t="shared" si="63"/>
        <v/>
      </c>
      <c r="G9604" s="92"/>
      <c r="I9604">
        <v>6</v>
      </c>
      <c r="J9604" t="s">
        <v>26</v>
      </c>
      <c r="K9604" s="57"/>
      <c r="S9604" s="57"/>
      <c r="X9604" s="57"/>
    </row>
    <row r="9605" spans="1:24" hidden="1" x14ac:dyDescent="0.35">
      <c r="A9605">
        <v>9601</v>
      </c>
      <c r="B9605">
        <v>9602</v>
      </c>
      <c r="C9605">
        <v>146.101198823999</v>
      </c>
      <c r="D9605">
        <v>-17.598447214699899</v>
      </c>
      <c r="E9605" s="92" t="str">
        <f t="shared" si="63"/>
        <v/>
      </c>
      <c r="G9605" s="92"/>
      <c r="I9605">
        <v>6</v>
      </c>
      <c r="J9605" t="s">
        <v>26</v>
      </c>
      <c r="K9605" s="57"/>
      <c r="S9605" s="57"/>
      <c r="X9605" s="57"/>
    </row>
    <row r="9606" spans="1:24" hidden="1" x14ac:dyDescent="0.35">
      <c r="A9606">
        <v>9602</v>
      </c>
      <c r="B9606">
        <v>9603</v>
      </c>
      <c r="C9606">
        <v>146.101288345</v>
      </c>
      <c r="D9606">
        <v>-17.598454325700001</v>
      </c>
      <c r="E9606" s="92" t="str">
        <f t="shared" si="63"/>
        <v/>
      </c>
      <c r="G9606" s="92"/>
      <c r="I9606">
        <v>6</v>
      </c>
      <c r="J9606" t="s">
        <v>26</v>
      </c>
      <c r="K9606" s="57"/>
      <c r="S9606" s="57"/>
      <c r="X9606" s="57"/>
    </row>
    <row r="9607" spans="1:24" hidden="1" x14ac:dyDescent="0.35">
      <c r="A9607">
        <v>9603</v>
      </c>
      <c r="B9607">
        <v>9604</v>
      </c>
      <c r="C9607">
        <v>146.101377866999</v>
      </c>
      <c r="D9607">
        <v>-17.598461436600001</v>
      </c>
      <c r="E9607" s="92" t="str">
        <f t="shared" si="63"/>
        <v/>
      </c>
      <c r="G9607" s="92"/>
      <c r="I9607">
        <v>6</v>
      </c>
      <c r="J9607" t="s">
        <v>26</v>
      </c>
      <c r="K9607" s="57"/>
      <c r="S9607" s="57"/>
      <c r="X9607" s="57"/>
    </row>
    <row r="9608" spans="1:24" hidden="1" x14ac:dyDescent="0.35">
      <c r="A9608">
        <v>9604</v>
      </c>
      <c r="B9608">
        <v>9605</v>
      </c>
      <c r="C9608">
        <v>146.101467388</v>
      </c>
      <c r="D9608">
        <v>-17.5984685476</v>
      </c>
      <c r="E9608" s="92">
        <f t="shared" si="63"/>
        <v>50</v>
      </c>
      <c r="G9608" s="92"/>
      <c r="I9608">
        <v>6</v>
      </c>
      <c r="J9608" t="s">
        <v>26</v>
      </c>
      <c r="K9608" s="57"/>
      <c r="S9608" s="57"/>
      <c r="X9608" s="57"/>
    </row>
    <row r="9609" spans="1:24" hidden="1" x14ac:dyDescent="0.35">
      <c r="A9609">
        <v>9605</v>
      </c>
      <c r="B9609">
        <v>9606</v>
      </c>
      <c r="C9609">
        <v>146.10155690900001</v>
      </c>
      <c r="D9609">
        <v>-17.5984756585</v>
      </c>
      <c r="E9609" s="92" t="str">
        <f t="shared" si="63"/>
        <v/>
      </c>
      <c r="G9609" s="92"/>
      <c r="I9609">
        <v>6</v>
      </c>
      <c r="J9609" t="s">
        <v>26</v>
      </c>
      <c r="K9609" s="57"/>
      <c r="S9609" s="57"/>
      <c r="X9609" s="57"/>
    </row>
    <row r="9610" spans="1:24" hidden="1" x14ac:dyDescent="0.35">
      <c r="A9610">
        <v>9606</v>
      </c>
      <c r="B9610">
        <v>9607</v>
      </c>
      <c r="C9610">
        <v>146.10164599199899</v>
      </c>
      <c r="D9610">
        <v>-17.598474292399899</v>
      </c>
      <c r="E9610" s="92" t="str">
        <f t="shared" si="63"/>
        <v/>
      </c>
      <c r="G9610" s="92"/>
      <c r="I9610">
        <v>6</v>
      </c>
      <c r="J9610" t="s">
        <v>26</v>
      </c>
      <c r="K9610" s="57"/>
      <c r="S9610" s="57"/>
      <c r="X9610" s="57"/>
    </row>
    <row r="9611" spans="1:24" hidden="1" x14ac:dyDescent="0.35">
      <c r="A9611">
        <v>9607</v>
      </c>
      <c r="B9611">
        <v>9608</v>
      </c>
      <c r="C9611">
        <v>146.101734343999</v>
      </c>
      <c r="D9611">
        <v>-17.5984588188999</v>
      </c>
      <c r="E9611" s="92" t="str">
        <f t="shared" si="63"/>
        <v/>
      </c>
      <c r="G9611" s="92"/>
      <c r="I9611">
        <v>6</v>
      </c>
      <c r="J9611" t="s">
        <v>26</v>
      </c>
      <c r="K9611" s="57"/>
      <c r="S9611" s="57"/>
      <c r="X9611" s="57"/>
    </row>
    <row r="9612" spans="1:24" hidden="1" x14ac:dyDescent="0.35">
      <c r="A9612">
        <v>9608</v>
      </c>
      <c r="B9612">
        <v>9609</v>
      </c>
      <c r="C9612">
        <v>146.10182269699899</v>
      </c>
      <c r="D9612">
        <v>-17.598443345500002</v>
      </c>
      <c r="E9612" s="92" t="str">
        <f t="shared" si="63"/>
        <v/>
      </c>
      <c r="G9612" s="92"/>
      <c r="I9612">
        <v>6</v>
      </c>
      <c r="J9612" t="s">
        <v>26</v>
      </c>
      <c r="K9612" s="57"/>
      <c r="S9612" s="57"/>
      <c r="X9612" s="57"/>
    </row>
    <row r="9613" spans="1:24" hidden="1" x14ac:dyDescent="0.35">
      <c r="A9613">
        <v>9609</v>
      </c>
      <c r="B9613">
        <v>9610</v>
      </c>
      <c r="C9613">
        <v>146.101911048999</v>
      </c>
      <c r="D9613">
        <v>-17.598427871999899</v>
      </c>
      <c r="E9613" s="92">
        <f t="shared" si="63"/>
        <v>50</v>
      </c>
      <c r="G9613" s="92"/>
      <c r="I9613">
        <v>6</v>
      </c>
      <c r="J9613" t="s">
        <v>26</v>
      </c>
      <c r="K9613" s="57"/>
      <c r="S9613" s="57"/>
      <c r="X9613" s="57"/>
    </row>
    <row r="9614" spans="1:24" hidden="1" x14ac:dyDescent="0.35">
      <c r="A9614">
        <v>9610</v>
      </c>
      <c r="B9614">
        <v>9611</v>
      </c>
      <c r="C9614">
        <v>146.10199764500001</v>
      </c>
      <c r="D9614">
        <v>-17.5984067957999</v>
      </c>
      <c r="E9614" s="92" t="str">
        <f t="shared" si="63"/>
        <v/>
      </c>
      <c r="G9614" s="92"/>
      <c r="I9614">
        <v>6</v>
      </c>
      <c r="J9614" t="s">
        <v>26</v>
      </c>
      <c r="K9614" s="57"/>
      <c r="S9614" s="57"/>
      <c r="X9614" s="57"/>
    </row>
    <row r="9615" spans="1:24" hidden="1" x14ac:dyDescent="0.35">
      <c r="A9615">
        <v>9611</v>
      </c>
      <c r="B9615">
        <v>9612</v>
      </c>
      <c r="C9615">
        <v>146.10207877400001</v>
      </c>
      <c r="D9615">
        <v>-17.5983711849</v>
      </c>
      <c r="E9615" s="92" t="str">
        <f t="shared" si="63"/>
        <v/>
      </c>
      <c r="G9615" s="92"/>
      <c r="I9615">
        <v>6</v>
      </c>
      <c r="J9615" t="s">
        <v>26</v>
      </c>
      <c r="K9615" s="57"/>
      <c r="S9615" s="57"/>
      <c r="X9615" s="57"/>
    </row>
    <row r="9616" spans="1:24" hidden="1" x14ac:dyDescent="0.35">
      <c r="A9616">
        <v>9612</v>
      </c>
      <c r="B9616">
        <v>9613</v>
      </c>
      <c r="C9616">
        <v>146.102142401999</v>
      </c>
      <c r="D9616">
        <v>-17.598310739399899</v>
      </c>
      <c r="E9616" s="92" t="str">
        <f t="shared" ref="E9616:E9679" si="64">IF(MOD(B9616,5)=0, 50, "")</f>
        <v/>
      </c>
      <c r="G9616" s="92"/>
      <c r="I9616">
        <v>6</v>
      </c>
      <c r="J9616" t="s">
        <v>26</v>
      </c>
      <c r="K9616" s="57"/>
      <c r="S9616" s="57"/>
      <c r="X9616" s="57"/>
    </row>
    <row r="9617" spans="1:24" hidden="1" x14ac:dyDescent="0.35">
      <c r="A9617">
        <v>9613</v>
      </c>
      <c r="B9617">
        <v>9614</v>
      </c>
      <c r="C9617">
        <v>146.102206029</v>
      </c>
      <c r="D9617">
        <v>-17.598250293900001</v>
      </c>
      <c r="E9617" s="92" t="str">
        <f t="shared" si="64"/>
        <v/>
      </c>
      <c r="G9617" s="92"/>
      <c r="I9617">
        <v>6</v>
      </c>
      <c r="J9617" t="s">
        <v>26</v>
      </c>
      <c r="K9617" s="57"/>
      <c r="S9617" s="57"/>
      <c r="X9617" s="57"/>
    </row>
    <row r="9618" spans="1:24" hidden="1" x14ac:dyDescent="0.35">
      <c r="A9618">
        <v>9614</v>
      </c>
      <c r="B9618">
        <v>9615</v>
      </c>
      <c r="C9618">
        <v>146.10225982700001</v>
      </c>
      <c r="D9618">
        <v>-17.598182080800001</v>
      </c>
      <c r="E9618" s="92">
        <f t="shared" si="64"/>
        <v>50</v>
      </c>
      <c r="G9618" s="92"/>
      <c r="I9618">
        <v>6</v>
      </c>
      <c r="J9618" t="s">
        <v>26</v>
      </c>
      <c r="K9618" s="57"/>
      <c r="S9618" s="57"/>
      <c r="X9618" s="57"/>
    </row>
    <row r="9619" spans="1:24" hidden="1" x14ac:dyDescent="0.35">
      <c r="A9619">
        <v>9615</v>
      </c>
      <c r="B9619">
        <v>9616</v>
      </c>
      <c r="C9619">
        <v>146.10231035000001</v>
      </c>
      <c r="D9619">
        <v>-17.5981112792999</v>
      </c>
      <c r="E9619" s="92" t="str">
        <f t="shared" si="64"/>
        <v/>
      </c>
      <c r="G9619" s="92"/>
      <c r="I9619">
        <v>6</v>
      </c>
      <c r="J9619" t="s">
        <v>26</v>
      </c>
      <c r="K9619" s="57"/>
      <c r="S9619" s="57"/>
      <c r="X9619" s="57"/>
    </row>
    <row r="9620" spans="1:24" hidden="1" x14ac:dyDescent="0.35">
      <c r="A9620">
        <v>9616</v>
      </c>
      <c r="B9620">
        <v>9617</v>
      </c>
      <c r="C9620">
        <v>146.102360486999</v>
      </c>
      <c r="D9620">
        <v>-17.598040231599899</v>
      </c>
      <c r="E9620" s="92" t="str">
        <f t="shared" si="64"/>
        <v/>
      </c>
      <c r="G9620" s="92"/>
      <c r="I9620">
        <v>6</v>
      </c>
      <c r="J9620" t="s">
        <v>26</v>
      </c>
      <c r="K9620" s="57"/>
      <c r="S9620" s="57"/>
      <c r="X9620" s="57"/>
    </row>
    <row r="9621" spans="1:24" hidden="1" x14ac:dyDescent="0.35">
      <c r="A9621">
        <v>9617</v>
      </c>
      <c r="B9621">
        <v>9618</v>
      </c>
      <c r="C9621">
        <v>146.102409964999</v>
      </c>
      <c r="D9621">
        <v>-17.5979687632999</v>
      </c>
      <c r="E9621" s="92" t="str">
        <f t="shared" si="64"/>
        <v/>
      </c>
      <c r="G9621" s="92"/>
      <c r="I9621">
        <v>6</v>
      </c>
      <c r="J9621" t="s">
        <v>26</v>
      </c>
      <c r="K9621" s="57"/>
      <c r="S9621" s="57"/>
      <c r="X9621" s="57"/>
    </row>
    <row r="9622" spans="1:24" hidden="1" x14ac:dyDescent="0.35">
      <c r="A9622">
        <v>9618</v>
      </c>
      <c r="B9622">
        <v>9619</v>
      </c>
      <c r="C9622">
        <v>146.102459444</v>
      </c>
      <c r="D9622">
        <v>-17.597897294900001</v>
      </c>
      <c r="E9622" s="92" t="str">
        <f t="shared" si="64"/>
        <v/>
      </c>
      <c r="G9622" s="92"/>
      <c r="I9622">
        <v>6</v>
      </c>
      <c r="J9622" t="s">
        <v>26</v>
      </c>
      <c r="K9622" s="57"/>
      <c r="S9622" s="57"/>
      <c r="X9622" s="57"/>
    </row>
    <row r="9623" spans="1:24" hidden="1" x14ac:dyDescent="0.35">
      <c r="A9623">
        <v>9619</v>
      </c>
      <c r="B9623">
        <v>9620</v>
      </c>
      <c r="C9623">
        <v>146.10250995499899</v>
      </c>
      <c r="D9623">
        <v>-17.597826490100001</v>
      </c>
      <c r="E9623" s="92">
        <f t="shared" si="64"/>
        <v>50</v>
      </c>
      <c r="G9623" s="92"/>
      <c r="I9623">
        <v>6</v>
      </c>
      <c r="J9623" t="s">
        <v>26</v>
      </c>
      <c r="K9623" s="57"/>
      <c r="S9623" s="57"/>
      <c r="X9623" s="57"/>
    </row>
    <row r="9624" spans="1:24" hidden="1" x14ac:dyDescent="0.35">
      <c r="A9624">
        <v>9620</v>
      </c>
      <c r="B9624">
        <v>9621</v>
      </c>
      <c r="C9624">
        <v>146.10256089699899</v>
      </c>
      <c r="D9624">
        <v>-17.597755961600001</v>
      </c>
      <c r="E9624" s="92" t="str">
        <f t="shared" si="64"/>
        <v/>
      </c>
      <c r="G9624" s="92"/>
      <c r="I9624">
        <v>6</v>
      </c>
      <c r="J9624" t="s">
        <v>26</v>
      </c>
      <c r="K9624" s="57"/>
      <c r="S9624" s="57"/>
      <c r="X9624" s="57"/>
    </row>
    <row r="9625" spans="1:24" hidden="1" x14ac:dyDescent="0.35">
      <c r="A9625">
        <v>9621</v>
      </c>
      <c r="B9625">
        <v>9622</v>
      </c>
      <c r="C9625">
        <v>146.10261180800001</v>
      </c>
      <c r="D9625">
        <v>-17.597685414800001</v>
      </c>
      <c r="E9625" s="92" t="str">
        <f t="shared" si="64"/>
        <v/>
      </c>
      <c r="G9625" s="92"/>
      <c r="I9625">
        <v>6</v>
      </c>
      <c r="J9625" t="s">
        <v>26</v>
      </c>
      <c r="K9625" s="57"/>
      <c r="S9625" s="57"/>
      <c r="X9625" s="57"/>
    </row>
    <row r="9626" spans="1:24" hidden="1" x14ac:dyDescent="0.35">
      <c r="A9626">
        <v>9622</v>
      </c>
      <c r="B9626">
        <v>9623</v>
      </c>
      <c r="C9626">
        <v>146.102658867999</v>
      </c>
      <c r="D9626">
        <v>-17.5976124769</v>
      </c>
      <c r="E9626" s="92" t="str">
        <f t="shared" si="64"/>
        <v/>
      </c>
      <c r="G9626" s="92"/>
      <c r="I9626">
        <v>6</v>
      </c>
      <c r="J9626" t="s">
        <v>26</v>
      </c>
      <c r="K9626" s="57"/>
      <c r="S9626" s="57"/>
      <c r="X9626" s="57"/>
    </row>
    <row r="9627" spans="1:24" hidden="1" x14ac:dyDescent="0.35">
      <c r="A9627">
        <v>9623</v>
      </c>
      <c r="B9627">
        <v>9624</v>
      </c>
      <c r="C9627">
        <v>146.10270592699899</v>
      </c>
      <c r="D9627">
        <v>-17.597539539</v>
      </c>
      <c r="E9627" s="92" t="str">
        <f t="shared" si="64"/>
        <v/>
      </c>
      <c r="G9627" s="92"/>
      <c r="I9627">
        <v>6</v>
      </c>
      <c r="J9627" t="s">
        <v>26</v>
      </c>
      <c r="K9627" s="57"/>
      <c r="S9627" s="57"/>
      <c r="X9627" s="57"/>
    </row>
    <row r="9628" spans="1:24" hidden="1" x14ac:dyDescent="0.35">
      <c r="A9628">
        <v>9624</v>
      </c>
      <c r="B9628">
        <v>9625</v>
      </c>
      <c r="C9628">
        <v>146.102752987</v>
      </c>
      <c r="D9628">
        <v>-17.597466601099899</v>
      </c>
      <c r="E9628" s="92">
        <f t="shared" si="64"/>
        <v>50</v>
      </c>
      <c r="G9628" s="92"/>
      <c r="I9628">
        <v>6</v>
      </c>
      <c r="J9628" t="s">
        <v>26</v>
      </c>
      <c r="K9628" s="57"/>
      <c r="S9628" s="57"/>
      <c r="X9628" s="57"/>
    </row>
    <row r="9629" spans="1:24" hidden="1" x14ac:dyDescent="0.35">
      <c r="A9629">
        <v>9625</v>
      </c>
      <c r="B9629">
        <v>9626</v>
      </c>
      <c r="C9629">
        <v>146.102799976</v>
      </c>
      <c r="D9629">
        <v>-17.5973936223</v>
      </c>
      <c r="E9629" s="92" t="str">
        <f t="shared" si="64"/>
        <v/>
      </c>
      <c r="G9629" s="92"/>
      <c r="I9629">
        <v>6</v>
      </c>
      <c r="J9629" t="s">
        <v>26</v>
      </c>
      <c r="K9629" s="57"/>
      <c r="S9629" s="57"/>
      <c r="X9629" s="57"/>
    </row>
    <row r="9630" spans="1:24" hidden="1" x14ac:dyDescent="0.35">
      <c r="A9630">
        <v>9626</v>
      </c>
      <c r="B9630">
        <v>9627</v>
      </c>
      <c r="C9630">
        <v>146.102846838</v>
      </c>
      <c r="D9630">
        <v>-17.597320568800001</v>
      </c>
      <c r="E9630" s="92" t="str">
        <f t="shared" si="64"/>
        <v/>
      </c>
      <c r="G9630" s="92"/>
      <c r="I9630">
        <v>6</v>
      </c>
      <c r="J9630" t="s">
        <v>26</v>
      </c>
      <c r="K9630" s="57"/>
      <c r="S9630" s="57"/>
      <c r="X9630" s="57"/>
    </row>
    <row r="9631" spans="1:24" hidden="1" x14ac:dyDescent="0.35">
      <c r="A9631">
        <v>9627</v>
      </c>
      <c r="B9631">
        <v>9628</v>
      </c>
      <c r="C9631">
        <v>146.10289370000001</v>
      </c>
      <c r="D9631">
        <v>-17.597247515300001</v>
      </c>
      <c r="E9631" s="92" t="str">
        <f t="shared" si="64"/>
        <v/>
      </c>
      <c r="G9631" s="92"/>
      <c r="I9631">
        <v>6</v>
      </c>
      <c r="J9631" t="s">
        <v>26</v>
      </c>
      <c r="K9631" s="57"/>
      <c r="S9631" s="57"/>
      <c r="X9631" s="57"/>
    </row>
    <row r="9632" spans="1:24" hidden="1" x14ac:dyDescent="0.35">
      <c r="A9632">
        <v>9628</v>
      </c>
      <c r="B9632">
        <v>9629</v>
      </c>
      <c r="C9632">
        <v>146.10294056199899</v>
      </c>
      <c r="D9632">
        <v>-17.597174461800002</v>
      </c>
      <c r="E9632" s="92" t="str">
        <f t="shared" si="64"/>
        <v/>
      </c>
      <c r="G9632" s="92"/>
      <c r="I9632">
        <v>6</v>
      </c>
      <c r="J9632" t="s">
        <v>26</v>
      </c>
      <c r="K9632" s="57"/>
      <c r="S9632" s="57"/>
      <c r="X9632" s="57"/>
    </row>
    <row r="9633" spans="1:24" hidden="1" x14ac:dyDescent="0.35">
      <c r="A9633">
        <v>9629</v>
      </c>
      <c r="B9633">
        <v>9630</v>
      </c>
      <c r="C9633">
        <v>146.102987423999</v>
      </c>
      <c r="D9633">
        <v>-17.5971014082</v>
      </c>
      <c r="E9633" s="92">
        <f t="shared" si="64"/>
        <v>50</v>
      </c>
      <c r="G9633" s="92"/>
      <c r="I9633">
        <v>6</v>
      </c>
      <c r="J9633" t="s">
        <v>26</v>
      </c>
      <c r="K9633" s="57"/>
      <c r="S9633" s="57"/>
      <c r="X9633" s="57"/>
    </row>
    <row r="9634" spans="1:24" hidden="1" x14ac:dyDescent="0.35">
      <c r="A9634">
        <v>9630</v>
      </c>
      <c r="B9634">
        <v>9631</v>
      </c>
      <c r="C9634">
        <v>146.10303074500001</v>
      </c>
      <c r="D9634">
        <v>-17.5970267354</v>
      </c>
      <c r="E9634" s="92" t="str">
        <f t="shared" si="64"/>
        <v/>
      </c>
      <c r="G9634" s="92"/>
      <c r="I9634">
        <v>6</v>
      </c>
      <c r="J9634" t="s">
        <v>26</v>
      </c>
      <c r="K9634" s="57"/>
      <c r="S9634" s="57"/>
      <c r="X9634" s="57"/>
    </row>
    <row r="9635" spans="1:24" hidden="1" x14ac:dyDescent="0.35">
      <c r="A9635">
        <v>9631</v>
      </c>
      <c r="B9635">
        <v>9632</v>
      </c>
      <c r="C9635">
        <v>146.103061193</v>
      </c>
      <c r="D9635">
        <v>-17.596946176300001</v>
      </c>
      <c r="E9635" s="92" t="str">
        <f t="shared" si="64"/>
        <v/>
      </c>
      <c r="G9635" s="92"/>
      <c r="I9635">
        <v>6</v>
      </c>
      <c r="J9635" t="s">
        <v>26</v>
      </c>
      <c r="K9635" s="57"/>
      <c r="S9635" s="57"/>
      <c r="X9635" s="57"/>
    </row>
    <row r="9636" spans="1:24" hidden="1" x14ac:dyDescent="0.35">
      <c r="A9636">
        <v>9632</v>
      </c>
      <c r="B9636">
        <v>9633</v>
      </c>
      <c r="C9636">
        <v>146.10309164200001</v>
      </c>
      <c r="D9636">
        <v>-17.596865617199899</v>
      </c>
      <c r="E9636" s="92" t="str">
        <f t="shared" si="64"/>
        <v/>
      </c>
      <c r="G9636" s="92"/>
      <c r="I9636">
        <v>6</v>
      </c>
      <c r="J9636" t="s">
        <v>26</v>
      </c>
      <c r="K9636" s="57"/>
      <c r="S9636" s="57"/>
      <c r="X9636" s="57"/>
    </row>
    <row r="9637" spans="1:24" hidden="1" x14ac:dyDescent="0.35">
      <c r="A9637">
        <v>9633</v>
      </c>
      <c r="B9637">
        <v>9634</v>
      </c>
      <c r="C9637">
        <v>146.103123414999</v>
      </c>
      <c r="D9637">
        <v>-17.596785542900001</v>
      </c>
      <c r="E9637" s="92" t="str">
        <f t="shared" si="64"/>
        <v/>
      </c>
      <c r="G9637" s="92"/>
      <c r="I9637">
        <v>6</v>
      </c>
      <c r="J9637" t="s">
        <v>26</v>
      </c>
      <c r="K9637" s="57"/>
      <c r="S9637" s="57"/>
      <c r="X9637" s="57"/>
    </row>
    <row r="9638" spans="1:24" hidden="1" x14ac:dyDescent="0.35">
      <c r="A9638">
        <v>9634</v>
      </c>
      <c r="B9638">
        <v>9635</v>
      </c>
      <c r="C9638">
        <v>146.10315738099899</v>
      </c>
      <c r="D9638">
        <v>-17.5967062717</v>
      </c>
      <c r="E9638" s="92">
        <f t="shared" si="64"/>
        <v>50</v>
      </c>
      <c r="G9638" s="92"/>
      <c r="I9638">
        <v>6</v>
      </c>
      <c r="J9638" t="s">
        <v>26</v>
      </c>
      <c r="K9638" s="57"/>
      <c r="S9638" s="57"/>
      <c r="X9638" s="57"/>
    </row>
    <row r="9639" spans="1:24" hidden="1" x14ac:dyDescent="0.35">
      <c r="A9639">
        <v>9635</v>
      </c>
      <c r="B9639">
        <v>9636</v>
      </c>
      <c r="C9639">
        <v>146.10319134700001</v>
      </c>
      <c r="D9639">
        <v>-17.596627000400002</v>
      </c>
      <c r="E9639" s="92" t="str">
        <f t="shared" si="64"/>
        <v/>
      </c>
      <c r="G9639" s="92"/>
      <c r="I9639">
        <v>6</v>
      </c>
      <c r="J9639" t="s">
        <v>26</v>
      </c>
      <c r="K9639" s="57"/>
      <c r="S9639" s="57"/>
      <c r="X9639" s="57"/>
    </row>
    <row r="9640" spans="1:24" hidden="1" x14ac:dyDescent="0.35">
      <c r="A9640">
        <v>9636</v>
      </c>
      <c r="B9640">
        <v>9637</v>
      </c>
      <c r="C9640">
        <v>146.10324032400001</v>
      </c>
      <c r="D9640">
        <v>-17.5965555856999</v>
      </c>
      <c r="E9640" s="92" t="str">
        <f t="shared" si="64"/>
        <v/>
      </c>
      <c r="G9640" s="92"/>
      <c r="I9640">
        <v>6</v>
      </c>
      <c r="J9640" t="s">
        <v>26</v>
      </c>
      <c r="K9640" s="57"/>
      <c r="S9640" s="57"/>
      <c r="X9640" s="57"/>
    </row>
    <row r="9641" spans="1:24" hidden="1" x14ac:dyDescent="0.35">
      <c r="A9641">
        <v>9637</v>
      </c>
      <c r="B9641">
        <v>9638</v>
      </c>
      <c r="C9641">
        <v>146.10330479999899</v>
      </c>
      <c r="D9641">
        <v>-17.5964984493</v>
      </c>
      <c r="E9641" s="92" t="str">
        <f t="shared" si="64"/>
        <v/>
      </c>
      <c r="G9641" s="92"/>
      <c r="I9641">
        <v>6</v>
      </c>
      <c r="J9641" t="s">
        <v>26</v>
      </c>
      <c r="K9641" s="57"/>
      <c r="S9641" s="57"/>
      <c r="X9641" s="57"/>
    </row>
    <row r="9642" spans="1:24" hidden="1" x14ac:dyDescent="0.35">
      <c r="A9642">
        <v>9638</v>
      </c>
      <c r="B9642">
        <v>9639</v>
      </c>
      <c r="C9642">
        <v>146.103381218999</v>
      </c>
      <c r="D9642">
        <v>-17.596453437600001</v>
      </c>
      <c r="E9642" s="92" t="str">
        <f t="shared" si="64"/>
        <v/>
      </c>
      <c r="G9642" s="92"/>
      <c r="I9642">
        <v>6</v>
      </c>
      <c r="J9642" t="s">
        <v>26</v>
      </c>
      <c r="K9642" s="57"/>
      <c r="S9642" s="57"/>
      <c r="X9642" s="57"/>
    </row>
    <row r="9643" spans="1:24" hidden="1" x14ac:dyDescent="0.35">
      <c r="A9643">
        <v>9639</v>
      </c>
      <c r="B9643">
        <v>9640</v>
      </c>
      <c r="C9643">
        <v>146.10346176600001</v>
      </c>
      <c r="D9643">
        <v>-17.5964185982</v>
      </c>
      <c r="E9643" s="92">
        <f t="shared" si="64"/>
        <v>50</v>
      </c>
      <c r="G9643" s="92"/>
      <c r="I9643">
        <v>6</v>
      </c>
      <c r="J9643" t="s">
        <v>26</v>
      </c>
      <c r="K9643" s="57"/>
      <c r="S9643" s="57"/>
      <c r="X9643" s="57"/>
    </row>
    <row r="9644" spans="1:24" hidden="1" x14ac:dyDescent="0.35">
      <c r="A9644">
        <v>9640</v>
      </c>
      <c r="B9644">
        <v>9641</v>
      </c>
      <c r="C9644">
        <v>146.103550071</v>
      </c>
      <c r="D9644">
        <v>-17.596402882</v>
      </c>
      <c r="E9644" s="92" t="str">
        <f t="shared" si="64"/>
        <v/>
      </c>
      <c r="G9644" s="92"/>
      <c r="I9644">
        <v>6</v>
      </c>
      <c r="J9644" t="s">
        <v>26</v>
      </c>
      <c r="K9644" s="57"/>
      <c r="S9644" s="57"/>
      <c r="X9644" s="57"/>
    </row>
    <row r="9645" spans="1:24" hidden="1" x14ac:dyDescent="0.35">
      <c r="A9645">
        <v>9641</v>
      </c>
      <c r="B9645">
        <v>9642</v>
      </c>
      <c r="C9645">
        <v>146.103635378999</v>
      </c>
      <c r="D9645">
        <v>-17.5964294861</v>
      </c>
      <c r="E9645" s="92" t="str">
        <f t="shared" si="64"/>
        <v/>
      </c>
      <c r="G9645" s="92"/>
      <c r="I9645">
        <v>6</v>
      </c>
      <c r="J9645" t="s">
        <v>26</v>
      </c>
      <c r="K9645" s="57"/>
      <c r="S9645" s="57"/>
      <c r="X9645" s="57"/>
    </row>
    <row r="9646" spans="1:24" hidden="1" x14ac:dyDescent="0.35">
      <c r="A9646">
        <v>9642</v>
      </c>
      <c r="B9646">
        <v>9643</v>
      </c>
      <c r="C9646">
        <v>146.10372066599899</v>
      </c>
      <c r="D9646">
        <v>-17.5964563765999</v>
      </c>
      <c r="E9646" s="92" t="str">
        <f t="shared" si="64"/>
        <v/>
      </c>
      <c r="G9646" s="92"/>
      <c r="I9646">
        <v>6</v>
      </c>
      <c r="J9646" t="s">
        <v>26</v>
      </c>
      <c r="K9646" s="57"/>
      <c r="S9646" s="57"/>
      <c r="X9646" s="57"/>
    </row>
    <row r="9647" spans="1:24" hidden="1" x14ac:dyDescent="0.35">
      <c r="A9647">
        <v>9643</v>
      </c>
      <c r="B9647">
        <v>9644</v>
      </c>
      <c r="C9647">
        <v>146.10379853699899</v>
      </c>
      <c r="D9647">
        <v>-17.5964979021999</v>
      </c>
      <c r="E9647" s="92" t="str">
        <f t="shared" si="64"/>
        <v/>
      </c>
      <c r="G9647" s="92"/>
      <c r="I9647">
        <v>6</v>
      </c>
      <c r="J9647" t="s">
        <v>26</v>
      </c>
      <c r="K9647" s="57"/>
      <c r="S9647" s="57"/>
      <c r="X9647" s="57"/>
    </row>
    <row r="9648" spans="1:24" hidden="1" x14ac:dyDescent="0.35">
      <c r="A9648">
        <v>9644</v>
      </c>
      <c r="B9648">
        <v>9645</v>
      </c>
      <c r="C9648">
        <v>146.103873652999</v>
      </c>
      <c r="D9648">
        <v>-17.596544863799899</v>
      </c>
      <c r="E9648" s="92">
        <f t="shared" si="64"/>
        <v>50</v>
      </c>
      <c r="G9648" s="92"/>
      <c r="I9648">
        <v>6</v>
      </c>
      <c r="J9648" t="s">
        <v>26</v>
      </c>
      <c r="K9648" s="57"/>
      <c r="S9648" s="57"/>
      <c r="X9648" s="57"/>
    </row>
    <row r="9649" spans="1:24" hidden="1" x14ac:dyDescent="0.35">
      <c r="A9649">
        <v>9645</v>
      </c>
      <c r="B9649">
        <v>9646</v>
      </c>
      <c r="C9649">
        <v>146.103937309999</v>
      </c>
      <c r="D9649">
        <v>-17.596602242300001</v>
      </c>
      <c r="E9649" s="92" t="str">
        <f t="shared" si="64"/>
        <v/>
      </c>
      <c r="G9649" s="92"/>
      <c r="I9649">
        <v>6</v>
      </c>
      <c r="J9649" t="s">
        <v>26</v>
      </c>
      <c r="K9649" s="57"/>
      <c r="S9649" s="57"/>
      <c r="X9649" s="57"/>
    </row>
    <row r="9650" spans="1:24" hidden="1" x14ac:dyDescent="0.35">
      <c r="A9650">
        <v>9646</v>
      </c>
      <c r="B9650">
        <v>9647</v>
      </c>
      <c r="C9650">
        <v>146.10398295600001</v>
      </c>
      <c r="D9650">
        <v>-17.596675992000002</v>
      </c>
      <c r="E9650" s="92" t="str">
        <f t="shared" si="64"/>
        <v/>
      </c>
      <c r="G9650" s="92"/>
      <c r="I9650">
        <v>6</v>
      </c>
      <c r="J9650" t="s">
        <v>26</v>
      </c>
      <c r="K9650" s="57"/>
      <c r="S9650" s="57"/>
      <c r="X9650" s="57"/>
    </row>
    <row r="9651" spans="1:24" hidden="1" x14ac:dyDescent="0.35">
      <c r="A9651">
        <v>9647</v>
      </c>
      <c r="B9651">
        <v>9648</v>
      </c>
      <c r="C9651">
        <v>146.104023210999</v>
      </c>
      <c r="D9651">
        <v>-17.5967515438</v>
      </c>
      <c r="E9651" s="92" t="str">
        <f t="shared" si="64"/>
        <v/>
      </c>
      <c r="G9651" s="92"/>
      <c r="I9651">
        <v>6</v>
      </c>
      <c r="J9651" t="s">
        <v>26</v>
      </c>
      <c r="K9651" s="57"/>
      <c r="S9651" s="57"/>
      <c r="X9651" s="57"/>
    </row>
    <row r="9652" spans="1:24" hidden="1" x14ac:dyDescent="0.35">
      <c r="A9652">
        <v>9648</v>
      </c>
      <c r="B9652">
        <v>9649</v>
      </c>
      <c r="C9652">
        <v>146.10403587900001</v>
      </c>
      <c r="D9652">
        <v>-17.5968363160999</v>
      </c>
      <c r="E9652" s="92" t="str">
        <f t="shared" si="64"/>
        <v/>
      </c>
      <c r="G9652" s="92"/>
      <c r="I9652">
        <v>6</v>
      </c>
      <c r="J9652" t="s">
        <v>26</v>
      </c>
      <c r="K9652" s="57"/>
      <c r="S9652" s="57"/>
      <c r="X9652" s="57"/>
    </row>
    <row r="9653" spans="1:24" hidden="1" x14ac:dyDescent="0.35">
      <c r="A9653">
        <v>9649</v>
      </c>
      <c r="B9653">
        <v>9650</v>
      </c>
      <c r="C9653">
        <v>146.10404398399899</v>
      </c>
      <c r="D9653">
        <v>-17.5969214435999</v>
      </c>
      <c r="E9653" s="92">
        <f t="shared" si="64"/>
        <v>50</v>
      </c>
      <c r="G9653" s="92"/>
      <c r="I9653">
        <v>6</v>
      </c>
      <c r="J9653" t="s">
        <v>26</v>
      </c>
      <c r="K9653" s="57"/>
      <c r="S9653" s="57"/>
      <c r="X9653" s="57"/>
    </row>
    <row r="9654" spans="1:24" hidden="1" x14ac:dyDescent="0.35">
      <c r="A9654">
        <v>9650</v>
      </c>
      <c r="B9654">
        <v>9651</v>
      </c>
      <c r="C9654">
        <v>146.104045909999</v>
      </c>
      <c r="D9654">
        <v>-17.5970070519</v>
      </c>
      <c r="E9654" s="92" t="str">
        <f t="shared" si="64"/>
        <v/>
      </c>
      <c r="G9654" s="92"/>
      <c r="I9654">
        <v>6</v>
      </c>
      <c r="J9654" t="s">
        <v>26</v>
      </c>
      <c r="K9654" s="57"/>
      <c r="S9654" s="57"/>
      <c r="X9654" s="57"/>
    </row>
    <row r="9655" spans="1:24" hidden="1" x14ac:dyDescent="0.35">
      <c r="A9655">
        <v>9651</v>
      </c>
      <c r="B9655">
        <v>9652</v>
      </c>
      <c r="C9655">
        <v>146.104047828999</v>
      </c>
      <c r="D9655">
        <v>-17.5970926603</v>
      </c>
      <c r="E9655" s="92" t="str">
        <f t="shared" si="64"/>
        <v/>
      </c>
      <c r="G9655" s="92"/>
      <c r="I9655">
        <v>6</v>
      </c>
      <c r="J9655" t="s">
        <v>26</v>
      </c>
      <c r="K9655" s="57"/>
      <c r="S9655" s="57"/>
      <c r="X9655" s="57"/>
    </row>
    <row r="9656" spans="1:24" hidden="1" x14ac:dyDescent="0.35">
      <c r="A9656">
        <v>9652</v>
      </c>
      <c r="B9656">
        <v>9653</v>
      </c>
      <c r="C9656">
        <v>146.10404740800001</v>
      </c>
      <c r="D9656">
        <v>-17.597178287199899</v>
      </c>
      <c r="E9656" s="92" t="str">
        <f t="shared" si="64"/>
        <v/>
      </c>
      <c r="G9656" s="92"/>
      <c r="I9656">
        <v>6</v>
      </c>
      <c r="J9656" t="s">
        <v>26</v>
      </c>
      <c r="K9656" s="57"/>
      <c r="S9656" s="57"/>
      <c r="X9656" s="57"/>
    </row>
    <row r="9657" spans="1:24" hidden="1" x14ac:dyDescent="0.35">
      <c r="A9657">
        <v>9653</v>
      </c>
      <c r="B9657">
        <v>9654</v>
      </c>
      <c r="C9657">
        <v>146.10404698599899</v>
      </c>
      <c r="D9657">
        <v>-17.5972639141999</v>
      </c>
      <c r="E9657" s="92" t="str">
        <f t="shared" si="64"/>
        <v/>
      </c>
      <c r="G9657" s="92"/>
      <c r="I9657">
        <v>6</v>
      </c>
      <c r="J9657" t="s">
        <v>26</v>
      </c>
      <c r="K9657" s="57"/>
      <c r="S9657" s="57"/>
      <c r="X9657" s="57"/>
    </row>
    <row r="9658" spans="1:24" hidden="1" x14ac:dyDescent="0.35">
      <c r="A9658">
        <v>9654</v>
      </c>
      <c r="B9658">
        <v>9655</v>
      </c>
      <c r="C9658">
        <v>146.104046565</v>
      </c>
      <c r="D9658">
        <v>-17.597349541100002</v>
      </c>
      <c r="E9658" s="92">
        <f t="shared" si="64"/>
        <v>50</v>
      </c>
      <c r="G9658" s="92"/>
      <c r="I9658">
        <v>6</v>
      </c>
      <c r="J9658" t="s">
        <v>26</v>
      </c>
      <c r="K9658" s="57"/>
      <c r="S9658" s="57"/>
      <c r="X9658" s="57"/>
    </row>
    <row r="9659" spans="1:24" hidden="1" x14ac:dyDescent="0.35">
      <c r="A9659">
        <v>9655</v>
      </c>
      <c r="B9659">
        <v>9656</v>
      </c>
      <c r="C9659">
        <v>146.10404614300001</v>
      </c>
      <c r="D9659">
        <v>-17.597435168000001</v>
      </c>
      <c r="E9659" s="92" t="str">
        <f t="shared" si="64"/>
        <v/>
      </c>
      <c r="G9659" s="92"/>
      <c r="I9659">
        <v>6</v>
      </c>
      <c r="J9659" t="s">
        <v>26</v>
      </c>
      <c r="K9659" s="57"/>
      <c r="S9659" s="57"/>
      <c r="X9659" s="57"/>
    </row>
    <row r="9660" spans="1:24" hidden="1" x14ac:dyDescent="0.35">
      <c r="A9660">
        <v>9656</v>
      </c>
      <c r="B9660">
        <v>9657</v>
      </c>
      <c r="C9660">
        <v>146.10404571999899</v>
      </c>
      <c r="D9660">
        <v>-17.597520794800001</v>
      </c>
      <c r="E9660" s="92" t="str">
        <f t="shared" si="64"/>
        <v/>
      </c>
      <c r="G9660" s="92"/>
      <c r="I9660">
        <v>6</v>
      </c>
      <c r="J9660" t="s">
        <v>26</v>
      </c>
      <c r="K9660" s="57"/>
      <c r="S9660" s="57"/>
      <c r="X9660" s="57"/>
    </row>
    <row r="9661" spans="1:24" hidden="1" x14ac:dyDescent="0.35">
      <c r="A9661">
        <v>9657</v>
      </c>
      <c r="B9661">
        <v>9658</v>
      </c>
      <c r="C9661">
        <v>146.10404529799899</v>
      </c>
      <c r="D9661">
        <v>-17.597606421599899</v>
      </c>
      <c r="E9661" s="92" t="str">
        <f t="shared" si="64"/>
        <v/>
      </c>
      <c r="G9661" s="92"/>
      <c r="I9661">
        <v>6</v>
      </c>
      <c r="J9661" t="s">
        <v>26</v>
      </c>
      <c r="K9661" s="57"/>
      <c r="S9661" s="57"/>
      <c r="X9661" s="57"/>
    </row>
    <row r="9662" spans="1:24" hidden="1" x14ac:dyDescent="0.35">
      <c r="A9662">
        <v>9658</v>
      </c>
      <c r="B9662">
        <v>9659</v>
      </c>
      <c r="C9662">
        <v>146.10404487599899</v>
      </c>
      <c r="D9662">
        <v>-17.597692048300001</v>
      </c>
      <c r="E9662" s="92" t="str">
        <f t="shared" si="64"/>
        <v/>
      </c>
      <c r="G9662" s="92"/>
      <c r="I9662">
        <v>6</v>
      </c>
      <c r="J9662" t="s">
        <v>26</v>
      </c>
      <c r="K9662" s="57"/>
      <c r="S9662" s="57"/>
      <c r="X9662" s="57"/>
    </row>
    <row r="9663" spans="1:24" hidden="1" x14ac:dyDescent="0.35">
      <c r="A9663">
        <v>9659</v>
      </c>
      <c r="B9663">
        <v>9660</v>
      </c>
      <c r="C9663">
        <v>146.104044453</v>
      </c>
      <c r="D9663">
        <v>-17.597777675</v>
      </c>
      <c r="E9663" s="92">
        <f t="shared" si="64"/>
        <v>50</v>
      </c>
      <c r="G9663" s="92"/>
      <c r="I9663">
        <v>6</v>
      </c>
      <c r="J9663" t="s">
        <v>26</v>
      </c>
      <c r="K9663" s="57"/>
      <c r="S9663" s="57"/>
      <c r="X9663" s="57"/>
    </row>
    <row r="9664" spans="1:24" hidden="1" x14ac:dyDescent="0.35">
      <c r="A9664">
        <v>9660</v>
      </c>
      <c r="B9664">
        <v>9661</v>
      </c>
      <c r="C9664">
        <v>146.104044031</v>
      </c>
      <c r="D9664">
        <v>-17.597863301699899</v>
      </c>
      <c r="E9664" s="92" t="str">
        <f t="shared" si="64"/>
        <v/>
      </c>
      <c r="G9664" s="92"/>
      <c r="I9664">
        <v>6</v>
      </c>
      <c r="J9664" t="s">
        <v>26</v>
      </c>
      <c r="K9664" s="57"/>
      <c r="S9664" s="57"/>
      <c r="X9664" s="57"/>
    </row>
    <row r="9665" spans="1:24" hidden="1" x14ac:dyDescent="0.35">
      <c r="A9665">
        <v>9661</v>
      </c>
      <c r="B9665">
        <v>9662</v>
      </c>
      <c r="C9665">
        <v>146.104043609</v>
      </c>
      <c r="D9665">
        <v>-17.5979489282999</v>
      </c>
      <c r="E9665" s="92" t="str">
        <f t="shared" si="64"/>
        <v/>
      </c>
      <c r="G9665" s="92"/>
      <c r="I9665">
        <v>6</v>
      </c>
      <c r="J9665" t="s">
        <v>26</v>
      </c>
      <c r="K9665" s="57"/>
      <c r="S9665" s="57"/>
      <c r="X9665" s="57"/>
    </row>
    <row r="9666" spans="1:24" hidden="1" x14ac:dyDescent="0.35">
      <c r="A9666">
        <v>9662</v>
      </c>
      <c r="B9666">
        <v>9663</v>
      </c>
      <c r="C9666">
        <v>146.10404318600001</v>
      </c>
      <c r="D9666">
        <v>-17.5980345549</v>
      </c>
      <c r="E9666" s="92" t="str">
        <f t="shared" si="64"/>
        <v/>
      </c>
      <c r="G9666" s="92"/>
      <c r="I9666">
        <v>6</v>
      </c>
      <c r="J9666" t="s">
        <v>26</v>
      </c>
      <c r="K9666" s="57"/>
      <c r="S9666" s="57"/>
      <c r="X9666" s="57"/>
    </row>
    <row r="9667" spans="1:24" hidden="1" x14ac:dyDescent="0.35">
      <c r="A9667">
        <v>9663</v>
      </c>
      <c r="B9667">
        <v>9664</v>
      </c>
      <c r="C9667">
        <v>146.104062303999</v>
      </c>
      <c r="D9667">
        <v>-17.598118180899899</v>
      </c>
      <c r="E9667" s="92" t="str">
        <f t="shared" si="64"/>
        <v/>
      </c>
      <c r="G9667" s="92"/>
      <c r="I9667">
        <v>6</v>
      </c>
      <c r="J9667" t="s">
        <v>26</v>
      </c>
      <c r="K9667" s="57"/>
      <c r="S9667" s="57"/>
      <c r="X9667" s="57"/>
    </row>
    <row r="9668" spans="1:24" hidden="1" x14ac:dyDescent="0.35">
      <c r="A9668">
        <v>9664</v>
      </c>
      <c r="B9668">
        <v>9665</v>
      </c>
      <c r="C9668">
        <v>146.10408179300001</v>
      </c>
      <c r="D9668">
        <v>-17.598201768900001</v>
      </c>
      <c r="E9668" s="92">
        <f t="shared" si="64"/>
        <v>50</v>
      </c>
      <c r="G9668" s="92"/>
      <c r="I9668">
        <v>6</v>
      </c>
      <c r="J9668" t="s">
        <v>26</v>
      </c>
      <c r="K9668" s="57"/>
      <c r="S9668" s="57"/>
      <c r="X9668" s="57"/>
    </row>
    <row r="9669" spans="1:24" hidden="1" x14ac:dyDescent="0.35">
      <c r="A9669">
        <v>9665</v>
      </c>
      <c r="B9669">
        <v>9666</v>
      </c>
      <c r="C9669">
        <v>146.104118306999</v>
      </c>
      <c r="D9669">
        <v>-17.5982791512</v>
      </c>
      <c r="E9669" s="92" t="str">
        <f t="shared" si="64"/>
        <v/>
      </c>
      <c r="G9669" s="92"/>
      <c r="I9669">
        <v>6</v>
      </c>
      <c r="J9669" t="s">
        <v>26</v>
      </c>
      <c r="K9669" s="57"/>
      <c r="S9669" s="57"/>
      <c r="X9669" s="57"/>
    </row>
    <row r="9670" spans="1:24" hidden="1" x14ac:dyDescent="0.35">
      <c r="A9670">
        <v>9666</v>
      </c>
      <c r="B9670">
        <v>9667</v>
      </c>
      <c r="C9670">
        <v>146.10416230300001</v>
      </c>
      <c r="D9670">
        <v>-17.5983538063</v>
      </c>
      <c r="E9670" s="92" t="str">
        <f t="shared" si="64"/>
        <v/>
      </c>
      <c r="G9670" s="92"/>
      <c r="I9670">
        <v>6</v>
      </c>
      <c r="J9670" t="s">
        <v>26</v>
      </c>
      <c r="K9670" s="57"/>
      <c r="S9670" s="57"/>
      <c r="X9670" s="57"/>
    </row>
    <row r="9671" spans="1:24" hidden="1" x14ac:dyDescent="0.35">
      <c r="A9671">
        <v>9667</v>
      </c>
      <c r="B9671">
        <v>9668</v>
      </c>
      <c r="C9671">
        <v>146.10422054200001</v>
      </c>
      <c r="D9671">
        <v>-17.598417711100002</v>
      </c>
      <c r="E9671" s="92" t="str">
        <f t="shared" si="64"/>
        <v/>
      </c>
      <c r="G9671" s="92"/>
      <c r="I9671">
        <v>6</v>
      </c>
      <c r="J9671" t="s">
        <v>26</v>
      </c>
      <c r="K9671" s="57"/>
      <c r="S9671" s="57"/>
      <c r="X9671" s="57"/>
    </row>
    <row r="9672" spans="1:24" hidden="1" x14ac:dyDescent="0.35">
      <c r="A9672">
        <v>9668</v>
      </c>
      <c r="B9672">
        <v>9669</v>
      </c>
      <c r="C9672">
        <v>146.10428668500001</v>
      </c>
      <c r="D9672">
        <v>-17.5984756512999</v>
      </c>
      <c r="E9672" s="92" t="str">
        <f t="shared" si="64"/>
        <v/>
      </c>
      <c r="G9672" s="92"/>
      <c r="I9672">
        <v>6</v>
      </c>
      <c r="J9672" t="s">
        <v>26</v>
      </c>
      <c r="K9672" s="57"/>
      <c r="S9672" s="57"/>
      <c r="X9672" s="57"/>
    </row>
    <row r="9673" spans="1:24" hidden="1" x14ac:dyDescent="0.35">
      <c r="A9673">
        <v>9669</v>
      </c>
      <c r="B9673">
        <v>9670</v>
      </c>
      <c r="C9673">
        <v>146.10436878799899</v>
      </c>
      <c r="D9673">
        <v>-17.5985079678</v>
      </c>
      <c r="E9673" s="92">
        <f t="shared" si="64"/>
        <v>50</v>
      </c>
      <c r="G9673" s="92"/>
      <c r="I9673">
        <v>6</v>
      </c>
      <c r="J9673" t="s">
        <v>26</v>
      </c>
      <c r="K9673" s="57"/>
      <c r="S9673" s="57"/>
      <c r="X9673" s="57"/>
    </row>
    <row r="9674" spans="1:24" hidden="1" x14ac:dyDescent="0.35">
      <c r="A9674">
        <v>9670</v>
      </c>
      <c r="B9674">
        <v>9671</v>
      </c>
      <c r="C9674">
        <v>146.104456792999</v>
      </c>
      <c r="D9674">
        <v>-17.5985144114</v>
      </c>
      <c r="E9674" s="92" t="str">
        <f t="shared" si="64"/>
        <v/>
      </c>
      <c r="G9674" s="92"/>
      <c r="I9674">
        <v>6</v>
      </c>
      <c r="J9674" t="s">
        <v>26</v>
      </c>
      <c r="K9674" s="57"/>
      <c r="S9674" s="57"/>
      <c r="X9674" s="57"/>
    </row>
    <row r="9675" spans="1:24" hidden="1" x14ac:dyDescent="0.35">
      <c r="A9675">
        <v>9671</v>
      </c>
      <c r="B9675">
        <v>9672</v>
      </c>
      <c r="C9675">
        <v>146.104544142999</v>
      </c>
      <c r="D9675">
        <v>-17.59849638</v>
      </c>
      <c r="E9675" s="92" t="str">
        <f t="shared" si="64"/>
        <v/>
      </c>
      <c r="G9675" s="92"/>
      <c r="I9675">
        <v>6</v>
      </c>
      <c r="J9675" t="s">
        <v>26</v>
      </c>
      <c r="K9675" s="57"/>
      <c r="S9675" s="57"/>
      <c r="X9675" s="57"/>
    </row>
    <row r="9676" spans="1:24" hidden="1" x14ac:dyDescent="0.35">
      <c r="A9676">
        <v>9672</v>
      </c>
      <c r="B9676">
        <v>9673</v>
      </c>
      <c r="C9676">
        <v>146.104629033999</v>
      </c>
      <c r="D9676">
        <v>-17.598469858200001</v>
      </c>
      <c r="E9676" s="92" t="str">
        <f t="shared" si="64"/>
        <v/>
      </c>
      <c r="G9676" s="92"/>
      <c r="I9676">
        <v>6</v>
      </c>
      <c r="J9676" t="s">
        <v>26</v>
      </c>
      <c r="K9676" s="57"/>
      <c r="S9676" s="57"/>
      <c r="X9676" s="57"/>
    </row>
    <row r="9677" spans="1:24" hidden="1" x14ac:dyDescent="0.35">
      <c r="A9677">
        <v>9673</v>
      </c>
      <c r="B9677">
        <v>9674</v>
      </c>
      <c r="C9677">
        <v>146.10470203200001</v>
      </c>
      <c r="D9677">
        <v>-17.598419953800001</v>
      </c>
      <c r="E9677" s="92" t="str">
        <f t="shared" si="64"/>
        <v/>
      </c>
      <c r="G9677" s="92"/>
      <c r="I9677">
        <v>6</v>
      </c>
      <c r="J9677" t="s">
        <v>26</v>
      </c>
      <c r="K9677" s="57"/>
      <c r="S9677" s="57"/>
      <c r="X9677" s="57"/>
    </row>
    <row r="9678" spans="1:24" hidden="1" x14ac:dyDescent="0.35">
      <c r="A9678">
        <v>9674</v>
      </c>
      <c r="B9678">
        <v>9675</v>
      </c>
      <c r="C9678">
        <v>146.104772384</v>
      </c>
      <c r="D9678">
        <v>-17.5983674105</v>
      </c>
      <c r="E9678" s="92">
        <f t="shared" si="64"/>
        <v>50</v>
      </c>
      <c r="G9678" s="92"/>
      <c r="I9678">
        <v>6</v>
      </c>
      <c r="J9678" t="s">
        <v>26</v>
      </c>
      <c r="K9678" s="57"/>
      <c r="S9678" s="57"/>
      <c r="X9678" s="57"/>
    </row>
    <row r="9679" spans="1:24" hidden="1" x14ac:dyDescent="0.35">
      <c r="A9679">
        <v>9675</v>
      </c>
      <c r="B9679">
        <v>9676</v>
      </c>
      <c r="C9679">
        <v>146.10482800700001</v>
      </c>
      <c r="D9679">
        <v>-17.5983001725</v>
      </c>
      <c r="E9679" s="92" t="str">
        <f t="shared" si="64"/>
        <v/>
      </c>
      <c r="G9679" s="92"/>
      <c r="I9679">
        <v>6</v>
      </c>
      <c r="J9679" t="s">
        <v>26</v>
      </c>
      <c r="K9679" s="57"/>
      <c r="S9679" s="57"/>
      <c r="X9679" s="57"/>
    </row>
    <row r="9680" spans="1:24" hidden="1" x14ac:dyDescent="0.35">
      <c r="A9680">
        <v>9676</v>
      </c>
      <c r="B9680">
        <v>9677</v>
      </c>
      <c r="C9680">
        <v>146.10488362999899</v>
      </c>
      <c r="D9680">
        <v>-17.5982329345</v>
      </c>
      <c r="E9680" s="92" t="str">
        <f t="shared" ref="E9680:E9743" si="65">IF(MOD(B9680,5)=0, 50, "")</f>
        <v/>
      </c>
      <c r="G9680" s="92"/>
      <c r="I9680">
        <v>6</v>
      </c>
      <c r="J9680" t="s">
        <v>26</v>
      </c>
      <c r="K9680" s="57"/>
      <c r="S9680" s="57"/>
      <c r="X9680" s="57"/>
    </row>
    <row r="9681" spans="1:24" hidden="1" x14ac:dyDescent="0.35">
      <c r="A9681">
        <v>9677</v>
      </c>
      <c r="B9681">
        <v>9678</v>
      </c>
      <c r="C9681">
        <v>146.104935885</v>
      </c>
      <c r="D9681">
        <v>-17.598163298900001</v>
      </c>
      <c r="E9681" s="92" t="str">
        <f t="shared" si="65"/>
        <v/>
      </c>
      <c r="G9681" s="92"/>
      <c r="I9681">
        <v>6</v>
      </c>
      <c r="J9681" t="s">
        <v>26</v>
      </c>
      <c r="K9681" s="57"/>
      <c r="S9681" s="57"/>
      <c r="X9681" s="57"/>
    </row>
    <row r="9682" spans="1:24" hidden="1" x14ac:dyDescent="0.35">
      <c r="A9682">
        <v>9678</v>
      </c>
      <c r="B9682">
        <v>9679</v>
      </c>
      <c r="C9682">
        <v>146.10498771799899</v>
      </c>
      <c r="D9682">
        <v>-17.5980933638</v>
      </c>
      <c r="E9682" s="92" t="str">
        <f t="shared" si="65"/>
        <v/>
      </c>
      <c r="G9682" s="92"/>
      <c r="I9682">
        <v>6</v>
      </c>
      <c r="J9682" t="s">
        <v>26</v>
      </c>
      <c r="K9682" s="57"/>
      <c r="S9682" s="57"/>
      <c r="X9682" s="57"/>
    </row>
    <row r="9683" spans="1:24" hidden="1" x14ac:dyDescent="0.35">
      <c r="A9683">
        <v>9679</v>
      </c>
      <c r="B9683">
        <v>9680</v>
      </c>
      <c r="C9683">
        <v>146.10503755400001</v>
      </c>
      <c r="D9683">
        <v>-17.598022130899899</v>
      </c>
      <c r="E9683" s="92">
        <f t="shared" si="65"/>
        <v>50</v>
      </c>
      <c r="G9683" s="92"/>
      <c r="I9683">
        <v>6</v>
      </c>
      <c r="J9683" t="s">
        <v>26</v>
      </c>
      <c r="K9683" s="57"/>
      <c r="S9683" s="57"/>
      <c r="X9683" s="57"/>
    </row>
    <row r="9684" spans="1:24" hidden="1" x14ac:dyDescent="0.35">
      <c r="A9684">
        <v>9680</v>
      </c>
      <c r="B9684">
        <v>9681</v>
      </c>
      <c r="C9684">
        <v>146.105086857</v>
      </c>
      <c r="D9684">
        <v>-17.597950552699899</v>
      </c>
      <c r="E9684" s="92" t="str">
        <f t="shared" si="65"/>
        <v/>
      </c>
      <c r="G9684" s="92"/>
      <c r="I9684">
        <v>6</v>
      </c>
      <c r="J9684" t="s">
        <v>26</v>
      </c>
      <c r="K9684" s="57"/>
      <c r="S9684" s="57"/>
      <c r="X9684" s="57"/>
    </row>
    <row r="9685" spans="1:24" hidden="1" x14ac:dyDescent="0.35">
      <c r="A9685">
        <v>9681</v>
      </c>
      <c r="B9685">
        <v>9682</v>
      </c>
      <c r="C9685">
        <v>146.105135563999</v>
      </c>
      <c r="D9685">
        <v>-17.597878604999899</v>
      </c>
      <c r="E9685" s="92" t="str">
        <f t="shared" si="65"/>
        <v/>
      </c>
      <c r="G9685" s="92"/>
      <c r="I9685">
        <v>6</v>
      </c>
      <c r="J9685" t="s">
        <v>26</v>
      </c>
      <c r="K9685" s="57"/>
      <c r="S9685" s="57"/>
      <c r="X9685" s="57"/>
    </row>
    <row r="9686" spans="1:24" hidden="1" x14ac:dyDescent="0.35">
      <c r="A9686">
        <v>9682</v>
      </c>
      <c r="B9686">
        <v>9683</v>
      </c>
      <c r="C9686">
        <v>146.105184135</v>
      </c>
      <c r="D9686">
        <v>-17.597806573100002</v>
      </c>
      <c r="E9686" s="92" t="str">
        <f t="shared" si="65"/>
        <v/>
      </c>
      <c r="G9686" s="92"/>
      <c r="I9686">
        <v>6</v>
      </c>
      <c r="J9686" t="s">
        <v>26</v>
      </c>
      <c r="K9686" s="57"/>
      <c r="S9686" s="57"/>
      <c r="X9686" s="57"/>
    </row>
    <row r="9687" spans="1:24" hidden="1" x14ac:dyDescent="0.35">
      <c r="A9687">
        <v>9683</v>
      </c>
      <c r="B9687">
        <v>9684</v>
      </c>
      <c r="C9687">
        <v>146.10523270600001</v>
      </c>
      <c r="D9687">
        <v>-17.597734541200001</v>
      </c>
      <c r="E9687" s="92" t="str">
        <f t="shared" si="65"/>
        <v/>
      </c>
      <c r="G9687" s="92"/>
      <c r="I9687">
        <v>6</v>
      </c>
      <c r="J9687" t="s">
        <v>26</v>
      </c>
      <c r="K9687" s="57"/>
      <c r="S9687" s="57"/>
      <c r="X9687" s="57"/>
    </row>
    <row r="9688" spans="1:24" hidden="1" x14ac:dyDescent="0.35">
      <c r="A9688">
        <v>9684</v>
      </c>
      <c r="B9688">
        <v>9685</v>
      </c>
      <c r="C9688">
        <v>146.105281275999</v>
      </c>
      <c r="D9688">
        <v>-17.5976625091999</v>
      </c>
      <c r="E9688" s="92">
        <f t="shared" si="65"/>
        <v>50</v>
      </c>
      <c r="G9688" s="92"/>
      <c r="I9688">
        <v>6</v>
      </c>
      <c r="J9688" t="s">
        <v>26</v>
      </c>
      <c r="K9688" s="57"/>
      <c r="S9688" s="57"/>
      <c r="X9688" s="57"/>
    </row>
    <row r="9689" spans="1:24" hidden="1" x14ac:dyDescent="0.35">
      <c r="A9689">
        <v>9685</v>
      </c>
      <c r="B9689">
        <v>9686</v>
      </c>
      <c r="C9689">
        <v>146.10532984700001</v>
      </c>
      <c r="D9689">
        <v>-17.597590477200001</v>
      </c>
      <c r="E9689" s="92" t="str">
        <f t="shared" si="65"/>
        <v/>
      </c>
      <c r="G9689" s="92"/>
      <c r="I9689">
        <v>6</v>
      </c>
      <c r="J9689" t="s">
        <v>26</v>
      </c>
      <c r="K9689" s="57"/>
      <c r="S9689" s="57"/>
      <c r="X9689" s="57"/>
    </row>
    <row r="9690" spans="1:24" hidden="1" x14ac:dyDescent="0.35">
      <c r="A9690">
        <v>9686</v>
      </c>
      <c r="B9690">
        <v>9687</v>
      </c>
      <c r="C9690">
        <v>146.105377489999</v>
      </c>
      <c r="D9690">
        <v>-17.5975179245</v>
      </c>
      <c r="E9690" s="92" t="str">
        <f t="shared" si="65"/>
        <v/>
      </c>
      <c r="G9690" s="92"/>
      <c r="I9690">
        <v>6</v>
      </c>
      <c r="J9690" t="s">
        <v>26</v>
      </c>
      <c r="K9690" s="57"/>
      <c r="S9690" s="57"/>
      <c r="X9690" s="57"/>
    </row>
    <row r="9691" spans="1:24" hidden="1" x14ac:dyDescent="0.35">
      <c r="A9691">
        <v>9687</v>
      </c>
      <c r="B9691">
        <v>9688</v>
      </c>
      <c r="C9691">
        <v>146.105419936</v>
      </c>
      <c r="D9691">
        <v>-17.5974424586</v>
      </c>
      <c r="E9691" s="92" t="str">
        <f t="shared" si="65"/>
        <v/>
      </c>
      <c r="G9691" s="92"/>
      <c r="I9691">
        <v>6</v>
      </c>
      <c r="J9691" t="s">
        <v>26</v>
      </c>
      <c r="K9691" s="57"/>
      <c r="S9691" s="57"/>
      <c r="X9691" s="57"/>
    </row>
    <row r="9692" spans="1:24" hidden="1" x14ac:dyDescent="0.35">
      <c r="A9692">
        <v>9688</v>
      </c>
      <c r="B9692">
        <v>9689</v>
      </c>
      <c r="C9692">
        <v>146.10546238200001</v>
      </c>
      <c r="D9692">
        <v>-17.597366992600001</v>
      </c>
      <c r="E9692" s="92" t="str">
        <f t="shared" si="65"/>
        <v/>
      </c>
      <c r="G9692" s="92"/>
      <c r="I9692">
        <v>6</v>
      </c>
      <c r="J9692" t="s">
        <v>26</v>
      </c>
      <c r="K9692" s="57"/>
      <c r="S9692" s="57"/>
      <c r="X9692" s="57"/>
    </row>
    <row r="9693" spans="1:24" hidden="1" x14ac:dyDescent="0.35">
      <c r="A9693">
        <v>9689</v>
      </c>
      <c r="B9693">
        <v>9690</v>
      </c>
      <c r="C9693">
        <v>146.105504827999</v>
      </c>
      <c r="D9693">
        <v>-17.597291526500001</v>
      </c>
      <c r="E9693" s="92">
        <f t="shared" si="65"/>
        <v>50</v>
      </c>
      <c r="G9693" s="92"/>
      <c r="I9693">
        <v>6</v>
      </c>
      <c r="J9693" t="s">
        <v>26</v>
      </c>
      <c r="K9693" s="57"/>
      <c r="S9693" s="57"/>
      <c r="X9693" s="57"/>
    </row>
    <row r="9694" spans="1:24" hidden="1" x14ac:dyDescent="0.35">
      <c r="A9694">
        <v>9690</v>
      </c>
      <c r="B9694">
        <v>9691</v>
      </c>
      <c r="C9694">
        <v>146.105543095999</v>
      </c>
      <c r="D9694">
        <v>-17.597214069900001</v>
      </c>
      <c r="E9694" s="92" t="str">
        <f t="shared" si="65"/>
        <v/>
      </c>
      <c r="G9694" s="92"/>
      <c r="I9694">
        <v>6</v>
      </c>
      <c r="J9694" t="s">
        <v>26</v>
      </c>
      <c r="K9694" s="57"/>
      <c r="S9694" s="57"/>
      <c r="X9694" s="57"/>
    </row>
    <row r="9695" spans="1:24" hidden="1" x14ac:dyDescent="0.35">
      <c r="A9695">
        <v>9691</v>
      </c>
      <c r="B9695">
        <v>9692</v>
      </c>
      <c r="C9695">
        <v>146.105582636999</v>
      </c>
      <c r="D9695">
        <v>-17.597137445200001</v>
      </c>
      <c r="E9695" s="92" t="str">
        <f t="shared" si="65"/>
        <v/>
      </c>
      <c r="G9695" s="92"/>
      <c r="I9695">
        <v>6</v>
      </c>
      <c r="J9695" t="s">
        <v>26</v>
      </c>
      <c r="K9695" s="57"/>
      <c r="S9695" s="57"/>
      <c r="X9695" s="57"/>
    </row>
    <row r="9696" spans="1:24" hidden="1" x14ac:dyDescent="0.35">
      <c r="A9696">
        <v>9692</v>
      </c>
      <c r="B9696">
        <v>9693</v>
      </c>
      <c r="C9696">
        <v>146.10564061900001</v>
      </c>
      <c r="D9696">
        <v>-17.597072042099899</v>
      </c>
      <c r="E9696" s="92" t="str">
        <f t="shared" si="65"/>
        <v/>
      </c>
      <c r="G9696" s="92"/>
      <c r="I9696">
        <v>6</v>
      </c>
      <c r="J9696" t="s">
        <v>26</v>
      </c>
      <c r="K9696" s="57"/>
      <c r="S9696" s="57"/>
      <c r="X9696" s="57"/>
    </row>
    <row r="9697" spans="1:24" hidden="1" x14ac:dyDescent="0.35">
      <c r="A9697">
        <v>9693</v>
      </c>
      <c r="B9697">
        <v>9694</v>
      </c>
      <c r="C9697">
        <v>146.10570145700001</v>
      </c>
      <c r="D9697">
        <v>-17.597009146800001</v>
      </c>
      <c r="E9697" s="92" t="str">
        <f t="shared" si="65"/>
        <v/>
      </c>
      <c r="G9697" s="92"/>
      <c r="I9697">
        <v>6</v>
      </c>
      <c r="J9697" t="s">
        <v>26</v>
      </c>
      <c r="K9697" s="57"/>
      <c r="S9697" s="57"/>
      <c r="X9697" s="57"/>
    </row>
    <row r="9698" spans="1:24" hidden="1" x14ac:dyDescent="0.35">
      <c r="A9698">
        <v>9694</v>
      </c>
      <c r="B9698">
        <v>9695</v>
      </c>
      <c r="C9698">
        <v>146.10576585499899</v>
      </c>
      <c r="D9698">
        <v>-17.596949600999899</v>
      </c>
      <c r="E9698" s="92">
        <f t="shared" si="65"/>
        <v>50</v>
      </c>
      <c r="G9698" s="92"/>
      <c r="I9698">
        <v>6</v>
      </c>
      <c r="J9698" t="s">
        <v>26</v>
      </c>
      <c r="K9698" s="57"/>
      <c r="S9698" s="57"/>
      <c r="X9698" s="57"/>
    </row>
    <row r="9699" spans="1:24" hidden="1" x14ac:dyDescent="0.35">
      <c r="A9699">
        <v>9695</v>
      </c>
      <c r="B9699">
        <v>9696</v>
      </c>
      <c r="C9699">
        <v>146.10583791299899</v>
      </c>
      <c r="D9699">
        <v>-17.596899151100001</v>
      </c>
      <c r="E9699" s="92" t="str">
        <f t="shared" si="65"/>
        <v/>
      </c>
      <c r="G9699" s="92"/>
      <c r="I9699">
        <v>6</v>
      </c>
      <c r="J9699" t="s">
        <v>26</v>
      </c>
      <c r="K9699" s="57"/>
      <c r="S9699" s="57"/>
      <c r="X9699" s="57"/>
    </row>
    <row r="9700" spans="1:24" hidden="1" x14ac:dyDescent="0.35">
      <c r="A9700">
        <v>9696</v>
      </c>
      <c r="B9700">
        <v>9697</v>
      </c>
      <c r="C9700">
        <v>146.10589830000001</v>
      </c>
      <c r="D9700">
        <v>-17.5968357570999</v>
      </c>
      <c r="E9700" s="92" t="str">
        <f t="shared" si="65"/>
        <v/>
      </c>
      <c r="G9700" s="92"/>
      <c r="I9700">
        <v>6</v>
      </c>
      <c r="J9700" t="s">
        <v>26</v>
      </c>
      <c r="K9700" s="57"/>
      <c r="S9700" s="57"/>
      <c r="X9700" s="57"/>
    </row>
    <row r="9701" spans="1:24" hidden="1" x14ac:dyDescent="0.35">
      <c r="A9701">
        <v>9697</v>
      </c>
      <c r="B9701">
        <v>9698</v>
      </c>
      <c r="C9701">
        <v>146.10595851100001</v>
      </c>
      <c r="D9701">
        <v>-17.5967722114999</v>
      </c>
      <c r="E9701" s="92" t="str">
        <f t="shared" si="65"/>
        <v/>
      </c>
      <c r="G9701" s="92"/>
      <c r="I9701">
        <v>6</v>
      </c>
      <c r="J9701" t="s">
        <v>26</v>
      </c>
      <c r="K9701" s="57"/>
      <c r="S9701" s="57"/>
      <c r="X9701" s="57"/>
    </row>
    <row r="9702" spans="1:24" hidden="1" x14ac:dyDescent="0.35">
      <c r="A9702">
        <v>9698</v>
      </c>
      <c r="B9702">
        <v>9699</v>
      </c>
      <c r="C9702">
        <v>146.10601777900001</v>
      </c>
      <c r="D9702">
        <v>-17.596707864900001</v>
      </c>
      <c r="E9702" s="92" t="str">
        <f t="shared" si="65"/>
        <v/>
      </c>
      <c r="G9702" s="92"/>
      <c r="I9702">
        <v>6</v>
      </c>
      <c r="J9702" t="s">
        <v>26</v>
      </c>
      <c r="K9702" s="57"/>
      <c r="S9702" s="57"/>
      <c r="X9702" s="57"/>
    </row>
    <row r="9703" spans="1:24" hidden="1" x14ac:dyDescent="0.35">
      <c r="A9703">
        <v>9699</v>
      </c>
      <c r="B9703">
        <v>9700</v>
      </c>
      <c r="C9703">
        <v>146.10606256099899</v>
      </c>
      <c r="D9703">
        <v>-17.596635979799899</v>
      </c>
      <c r="E9703" s="92">
        <f t="shared" si="65"/>
        <v>50</v>
      </c>
      <c r="G9703" s="92"/>
      <c r="I9703">
        <v>6</v>
      </c>
      <c r="J9703" t="s">
        <v>26</v>
      </c>
      <c r="K9703" s="57"/>
      <c r="S9703" s="57"/>
      <c r="X9703" s="57"/>
    </row>
    <row r="9704" spans="1:24" hidden="1" x14ac:dyDescent="0.35">
      <c r="A9704">
        <v>9700</v>
      </c>
      <c r="B9704">
        <v>9701</v>
      </c>
      <c r="C9704">
        <v>146.106087293</v>
      </c>
      <c r="D9704">
        <v>-17.5965536607</v>
      </c>
      <c r="E9704" s="92" t="str">
        <f t="shared" si="65"/>
        <v/>
      </c>
      <c r="G9704" s="92"/>
      <c r="I9704">
        <v>6</v>
      </c>
      <c r="J9704" t="s">
        <v>26</v>
      </c>
      <c r="K9704" s="57"/>
      <c r="S9704" s="57"/>
      <c r="X9704" s="57"/>
    </row>
    <row r="9705" spans="1:24" hidden="1" x14ac:dyDescent="0.35">
      <c r="A9705">
        <v>9701</v>
      </c>
      <c r="B9705">
        <v>9702</v>
      </c>
      <c r="C9705">
        <v>146.106079128999</v>
      </c>
      <c r="D9705">
        <v>-17.596471333499899</v>
      </c>
      <c r="E9705" s="92" t="str">
        <f t="shared" si="65"/>
        <v/>
      </c>
      <c r="G9705" s="92"/>
      <c r="I9705">
        <v>6</v>
      </c>
      <c r="J9705" t="s">
        <v>26</v>
      </c>
      <c r="K9705" s="57"/>
      <c r="S9705" s="57"/>
      <c r="X9705" s="57"/>
    </row>
    <row r="9706" spans="1:24" hidden="1" x14ac:dyDescent="0.35">
      <c r="A9706">
        <v>9702</v>
      </c>
      <c r="B9706">
        <v>9703</v>
      </c>
      <c r="C9706">
        <v>146.10604822600001</v>
      </c>
      <c r="D9706">
        <v>-17.5963915194999</v>
      </c>
      <c r="E9706" s="92" t="str">
        <f t="shared" si="65"/>
        <v/>
      </c>
      <c r="G9706" s="92"/>
      <c r="I9706">
        <v>6</v>
      </c>
      <c r="J9706" t="s">
        <v>26</v>
      </c>
      <c r="K9706" s="57"/>
      <c r="S9706" s="57"/>
      <c r="X9706" s="57"/>
    </row>
    <row r="9707" spans="1:24" hidden="1" x14ac:dyDescent="0.35">
      <c r="A9707">
        <v>9703</v>
      </c>
      <c r="B9707">
        <v>9704</v>
      </c>
      <c r="C9707">
        <v>146.10600319100001</v>
      </c>
      <c r="D9707">
        <v>-17.5963174291999</v>
      </c>
      <c r="E9707" s="92" t="str">
        <f t="shared" si="65"/>
        <v/>
      </c>
      <c r="G9707" s="92"/>
      <c r="I9707">
        <v>6</v>
      </c>
      <c r="J9707" t="s">
        <v>26</v>
      </c>
      <c r="K9707" s="57"/>
      <c r="S9707" s="57"/>
      <c r="X9707" s="57"/>
    </row>
    <row r="9708" spans="1:24" hidden="1" x14ac:dyDescent="0.35">
      <c r="A9708">
        <v>9704</v>
      </c>
      <c r="B9708">
        <v>9705</v>
      </c>
      <c r="C9708">
        <v>146.105951715999</v>
      </c>
      <c r="D9708">
        <v>-17.596248812599899</v>
      </c>
      <c r="E9708" s="92">
        <f t="shared" si="65"/>
        <v>50</v>
      </c>
      <c r="G9708" s="92"/>
      <c r="I9708">
        <v>6</v>
      </c>
      <c r="J9708" t="s">
        <v>26</v>
      </c>
      <c r="K9708" s="57"/>
      <c r="S9708" s="57"/>
      <c r="X9708" s="57"/>
    </row>
    <row r="9709" spans="1:24" hidden="1" x14ac:dyDescent="0.35">
      <c r="A9709">
        <v>9705</v>
      </c>
      <c r="B9709">
        <v>9706</v>
      </c>
      <c r="C9709">
        <v>146.10587963500001</v>
      </c>
      <c r="D9709">
        <v>-17.5961977105</v>
      </c>
      <c r="E9709" s="92" t="str">
        <f t="shared" si="65"/>
        <v/>
      </c>
      <c r="G9709" s="92"/>
      <c r="I9709">
        <v>6</v>
      </c>
      <c r="J9709" t="s">
        <v>26</v>
      </c>
      <c r="K9709" s="57"/>
      <c r="S9709" s="57"/>
      <c r="X9709" s="57"/>
    </row>
    <row r="9710" spans="1:24" hidden="1" x14ac:dyDescent="0.35">
      <c r="A9710">
        <v>9706</v>
      </c>
      <c r="B9710">
        <v>9707</v>
      </c>
      <c r="C9710">
        <v>146.105807553999</v>
      </c>
      <c r="D9710">
        <v>-17.5961466085</v>
      </c>
      <c r="E9710" s="92" t="str">
        <f t="shared" si="65"/>
        <v/>
      </c>
      <c r="G9710" s="92"/>
      <c r="I9710">
        <v>6</v>
      </c>
      <c r="J9710" t="s">
        <v>26</v>
      </c>
      <c r="K9710" s="57"/>
      <c r="S9710" s="57"/>
      <c r="X9710" s="57"/>
    </row>
    <row r="9711" spans="1:24" hidden="1" x14ac:dyDescent="0.35">
      <c r="A9711">
        <v>9707</v>
      </c>
      <c r="B9711">
        <v>9708</v>
      </c>
      <c r="C9711">
        <v>146.105735473999</v>
      </c>
      <c r="D9711">
        <v>-17.596095506400001</v>
      </c>
      <c r="E9711" s="92" t="str">
        <f t="shared" si="65"/>
        <v/>
      </c>
      <c r="G9711" s="92"/>
      <c r="I9711">
        <v>6</v>
      </c>
      <c r="J9711" t="s">
        <v>26</v>
      </c>
      <c r="K9711" s="57"/>
      <c r="S9711" s="57"/>
      <c r="X9711" s="57"/>
    </row>
    <row r="9712" spans="1:24" hidden="1" x14ac:dyDescent="0.35">
      <c r="A9712">
        <v>9708</v>
      </c>
      <c r="B9712">
        <v>9709</v>
      </c>
      <c r="C9712">
        <v>146.105663899999</v>
      </c>
      <c r="D9712">
        <v>-17.596043768800001</v>
      </c>
      <c r="E9712" s="92" t="str">
        <f t="shared" si="65"/>
        <v/>
      </c>
      <c r="G9712" s="92"/>
      <c r="I9712">
        <v>6</v>
      </c>
      <c r="J9712" t="s">
        <v>26</v>
      </c>
      <c r="K9712" s="57"/>
      <c r="S9712" s="57"/>
      <c r="X9712" s="57"/>
    </row>
    <row r="9713" spans="1:24" hidden="1" x14ac:dyDescent="0.35">
      <c r="A9713">
        <v>9709</v>
      </c>
      <c r="B9713">
        <v>9710</v>
      </c>
      <c r="C9713">
        <v>146.105593016</v>
      </c>
      <c r="D9713">
        <v>-17.5959911678999</v>
      </c>
      <c r="E9713" s="92">
        <f t="shared" si="65"/>
        <v>50</v>
      </c>
      <c r="G9713" s="92"/>
      <c r="I9713">
        <v>6</v>
      </c>
      <c r="J9713" t="s">
        <v>26</v>
      </c>
      <c r="K9713" s="57"/>
      <c r="S9713" s="57"/>
      <c r="X9713" s="57"/>
    </row>
    <row r="9714" spans="1:24" hidden="1" x14ac:dyDescent="0.35">
      <c r="A9714">
        <v>9710</v>
      </c>
      <c r="B9714">
        <v>9711</v>
      </c>
      <c r="C9714">
        <v>146.105522132</v>
      </c>
      <c r="D9714">
        <v>-17.5959385668999</v>
      </c>
      <c r="E9714" s="92" t="str">
        <f t="shared" si="65"/>
        <v/>
      </c>
      <c r="G9714" s="92"/>
      <c r="I9714">
        <v>6</v>
      </c>
      <c r="J9714" t="s">
        <v>26</v>
      </c>
      <c r="K9714" s="57"/>
      <c r="S9714" s="57"/>
      <c r="X9714" s="57"/>
    </row>
    <row r="9715" spans="1:24" hidden="1" x14ac:dyDescent="0.35">
      <c r="A9715">
        <v>9711</v>
      </c>
      <c r="B9715">
        <v>9712</v>
      </c>
      <c r="C9715">
        <v>146.105452407999</v>
      </c>
      <c r="D9715">
        <v>-17.5958846286</v>
      </c>
      <c r="E9715" s="92" t="str">
        <f t="shared" si="65"/>
        <v/>
      </c>
      <c r="G9715" s="92"/>
      <c r="I9715">
        <v>6</v>
      </c>
      <c r="J9715" t="s">
        <v>26</v>
      </c>
      <c r="K9715" s="57"/>
      <c r="S9715" s="57"/>
      <c r="X9715" s="57"/>
    </row>
    <row r="9716" spans="1:24" hidden="1" x14ac:dyDescent="0.35">
      <c r="A9716">
        <v>9712</v>
      </c>
      <c r="B9716">
        <v>9713</v>
      </c>
      <c r="C9716">
        <v>146.105384877999</v>
      </c>
      <c r="D9716">
        <v>-17.5958281598</v>
      </c>
      <c r="E9716" s="92" t="str">
        <f t="shared" si="65"/>
        <v/>
      </c>
      <c r="G9716" s="92"/>
      <c r="I9716">
        <v>6</v>
      </c>
      <c r="J9716" t="s">
        <v>26</v>
      </c>
      <c r="K9716" s="57"/>
      <c r="S9716" s="57"/>
      <c r="X9716" s="57"/>
    </row>
    <row r="9717" spans="1:24" hidden="1" x14ac:dyDescent="0.35">
      <c r="A9717">
        <v>9713</v>
      </c>
      <c r="B9717">
        <v>9714</v>
      </c>
      <c r="C9717">
        <v>146.105317348</v>
      </c>
      <c r="D9717">
        <v>-17.5957716909999</v>
      </c>
      <c r="E9717" s="92" t="str">
        <f t="shared" si="65"/>
        <v/>
      </c>
      <c r="G9717" s="92"/>
      <c r="I9717">
        <v>6</v>
      </c>
      <c r="J9717" t="s">
        <v>26</v>
      </c>
      <c r="K9717" s="57"/>
      <c r="S9717" s="57"/>
      <c r="X9717" s="57"/>
    </row>
    <row r="9718" spans="1:24" hidden="1" x14ac:dyDescent="0.35">
      <c r="A9718">
        <v>9714</v>
      </c>
      <c r="B9718">
        <v>9715</v>
      </c>
      <c r="C9718">
        <v>146.10525596900001</v>
      </c>
      <c r="D9718">
        <v>-17.595709558100001</v>
      </c>
      <c r="E9718" s="92">
        <f t="shared" si="65"/>
        <v>50</v>
      </c>
      <c r="G9718" s="92"/>
      <c r="I9718">
        <v>6</v>
      </c>
      <c r="J9718" t="s">
        <v>26</v>
      </c>
      <c r="K9718" s="57"/>
      <c r="S9718" s="57"/>
      <c r="X9718" s="57"/>
    </row>
    <row r="9719" spans="1:24" hidden="1" x14ac:dyDescent="0.35">
      <c r="A9719">
        <v>9715</v>
      </c>
      <c r="B9719">
        <v>9716</v>
      </c>
      <c r="C9719">
        <v>146.105199091</v>
      </c>
      <c r="D9719">
        <v>-17.595643280400001</v>
      </c>
      <c r="E9719" s="92" t="str">
        <f t="shared" si="65"/>
        <v/>
      </c>
      <c r="G9719" s="92"/>
      <c r="I9719">
        <v>6</v>
      </c>
      <c r="J9719" t="s">
        <v>26</v>
      </c>
      <c r="K9719" s="57"/>
      <c r="S9719" s="57"/>
      <c r="X9719" s="57"/>
    </row>
    <row r="9720" spans="1:24" hidden="1" x14ac:dyDescent="0.35">
      <c r="A9720">
        <v>9716</v>
      </c>
      <c r="B9720">
        <v>9717</v>
      </c>
      <c r="C9720">
        <v>146.105142212</v>
      </c>
      <c r="D9720">
        <v>-17.595577002599899</v>
      </c>
      <c r="E9720" s="92" t="str">
        <f t="shared" si="65"/>
        <v/>
      </c>
      <c r="G9720" s="92"/>
      <c r="I9720">
        <v>6</v>
      </c>
      <c r="J9720" t="s">
        <v>26</v>
      </c>
      <c r="K9720" s="57"/>
      <c r="S9720" s="57"/>
      <c r="X9720" s="57"/>
    </row>
    <row r="9721" spans="1:24" hidden="1" x14ac:dyDescent="0.35">
      <c r="A9721">
        <v>9717</v>
      </c>
      <c r="B9721">
        <v>9718</v>
      </c>
      <c r="C9721">
        <v>146.10509561800001</v>
      </c>
      <c r="D9721">
        <v>-17.5955043127999</v>
      </c>
      <c r="E9721" s="92" t="str">
        <f t="shared" si="65"/>
        <v/>
      </c>
      <c r="G9721" s="92"/>
      <c r="I9721">
        <v>6</v>
      </c>
      <c r="J9721" t="s">
        <v>26</v>
      </c>
      <c r="K9721" s="57"/>
      <c r="S9721" s="57"/>
      <c r="X9721" s="57"/>
    </row>
    <row r="9722" spans="1:24" hidden="1" x14ac:dyDescent="0.35">
      <c r="A9722">
        <v>9718</v>
      </c>
      <c r="B9722">
        <v>9719</v>
      </c>
      <c r="C9722">
        <v>146.105054706999</v>
      </c>
      <c r="D9722">
        <v>-17.595428079200001</v>
      </c>
      <c r="E9722" s="92" t="str">
        <f t="shared" si="65"/>
        <v/>
      </c>
      <c r="G9722" s="92"/>
      <c r="I9722">
        <v>6</v>
      </c>
      <c r="J9722" t="s">
        <v>26</v>
      </c>
      <c r="K9722" s="57"/>
      <c r="S9722" s="57"/>
      <c r="X9722" s="57"/>
    </row>
    <row r="9723" spans="1:24" hidden="1" x14ac:dyDescent="0.35">
      <c r="A9723">
        <v>9719</v>
      </c>
      <c r="B9723">
        <v>9720</v>
      </c>
      <c r="C9723">
        <v>146.105013796999</v>
      </c>
      <c r="D9723">
        <v>-17.595351845700002</v>
      </c>
      <c r="E9723" s="92">
        <f t="shared" si="65"/>
        <v>50</v>
      </c>
      <c r="G9723" s="92"/>
      <c r="I9723">
        <v>6</v>
      </c>
      <c r="J9723" t="s">
        <v>26</v>
      </c>
      <c r="K9723" s="57"/>
      <c r="S9723" s="57"/>
      <c r="X9723" s="57"/>
    </row>
    <row r="9724" spans="1:24" hidden="1" x14ac:dyDescent="0.35">
      <c r="A9724">
        <v>9720</v>
      </c>
      <c r="B9724">
        <v>9721</v>
      </c>
      <c r="C9724">
        <v>146.10497288600001</v>
      </c>
      <c r="D9724">
        <v>-17.5952756121</v>
      </c>
      <c r="E9724" s="92" t="str">
        <f t="shared" si="65"/>
        <v/>
      </c>
      <c r="G9724" s="92"/>
      <c r="I9724">
        <v>6</v>
      </c>
      <c r="J9724" t="s">
        <v>26</v>
      </c>
      <c r="K9724" s="57"/>
      <c r="S9724" s="57"/>
      <c r="X9724" s="57"/>
    </row>
    <row r="9725" spans="1:24" hidden="1" x14ac:dyDescent="0.35">
      <c r="A9725">
        <v>9721</v>
      </c>
      <c r="B9725">
        <v>9722</v>
      </c>
      <c r="C9725">
        <v>146.10493959799899</v>
      </c>
      <c r="D9725">
        <v>-17.5951969298</v>
      </c>
      <c r="E9725" s="92" t="str">
        <f t="shared" si="65"/>
        <v/>
      </c>
      <c r="G9725" s="92"/>
      <c r="I9725">
        <v>6</v>
      </c>
      <c r="J9725" t="s">
        <v>26</v>
      </c>
      <c r="K9725" s="57"/>
      <c r="S9725" s="57"/>
      <c r="X9725" s="57"/>
    </row>
    <row r="9726" spans="1:24" hidden="1" x14ac:dyDescent="0.35">
      <c r="A9726">
        <v>9722</v>
      </c>
      <c r="B9726">
        <v>9723</v>
      </c>
      <c r="C9726">
        <v>146.104923751</v>
      </c>
      <c r="D9726">
        <v>-17.595112643699899</v>
      </c>
      <c r="E9726" s="92" t="str">
        <f t="shared" si="65"/>
        <v/>
      </c>
      <c r="G9726" s="92"/>
      <c r="I9726">
        <v>6</v>
      </c>
      <c r="J9726" t="s">
        <v>26</v>
      </c>
      <c r="K9726" s="57"/>
      <c r="S9726" s="57"/>
      <c r="X9726" s="57"/>
    </row>
    <row r="9727" spans="1:24" hidden="1" x14ac:dyDescent="0.35">
      <c r="A9727">
        <v>9723</v>
      </c>
      <c r="B9727">
        <v>9724</v>
      </c>
      <c r="C9727">
        <v>146.104907905</v>
      </c>
      <c r="D9727">
        <v>-17.595028357499899</v>
      </c>
      <c r="E9727" s="92" t="str">
        <f t="shared" si="65"/>
        <v/>
      </c>
      <c r="G9727" s="92"/>
      <c r="I9727">
        <v>6</v>
      </c>
      <c r="J9727" t="s">
        <v>26</v>
      </c>
      <c r="K9727" s="57"/>
      <c r="S9727" s="57"/>
      <c r="X9727" s="57"/>
    </row>
    <row r="9728" spans="1:24" hidden="1" x14ac:dyDescent="0.35">
      <c r="A9728">
        <v>9724</v>
      </c>
      <c r="B9728">
        <v>9725</v>
      </c>
      <c r="C9728">
        <v>146.104914651999</v>
      </c>
      <c r="D9728">
        <v>-17.594944255000001</v>
      </c>
      <c r="E9728" s="92">
        <f t="shared" si="65"/>
        <v>50</v>
      </c>
      <c r="G9728" s="92"/>
      <c r="I9728">
        <v>6</v>
      </c>
      <c r="J9728" t="s">
        <v>26</v>
      </c>
      <c r="K9728" s="57"/>
      <c r="S9728" s="57"/>
      <c r="X9728" s="57"/>
    </row>
    <row r="9729" spans="1:24" hidden="1" x14ac:dyDescent="0.35">
      <c r="A9729">
        <v>9725</v>
      </c>
      <c r="B9729">
        <v>9726</v>
      </c>
      <c r="C9729">
        <v>146.104932004999</v>
      </c>
      <c r="D9729">
        <v>-17.5948602387999</v>
      </c>
      <c r="E9729" s="92" t="str">
        <f t="shared" si="65"/>
        <v/>
      </c>
      <c r="G9729" s="92"/>
      <c r="I9729">
        <v>6</v>
      </c>
      <c r="J9729" t="s">
        <v>26</v>
      </c>
      <c r="K9729" s="57"/>
      <c r="S9729" s="57"/>
      <c r="X9729" s="57"/>
    </row>
    <row r="9730" spans="1:24" hidden="1" x14ac:dyDescent="0.35">
      <c r="A9730">
        <v>9726</v>
      </c>
      <c r="B9730">
        <v>9727</v>
      </c>
      <c r="C9730">
        <v>146.104949357999</v>
      </c>
      <c r="D9730">
        <v>-17.5947762226</v>
      </c>
      <c r="E9730" s="92" t="str">
        <f t="shared" si="65"/>
        <v/>
      </c>
      <c r="G9730" s="92"/>
      <c r="I9730">
        <v>6</v>
      </c>
      <c r="J9730" t="s">
        <v>26</v>
      </c>
      <c r="K9730" s="57"/>
      <c r="S9730" s="57"/>
      <c r="X9730" s="57"/>
    </row>
    <row r="9731" spans="1:24" hidden="1" x14ac:dyDescent="0.35">
      <c r="A9731">
        <v>9727</v>
      </c>
      <c r="B9731">
        <v>9728</v>
      </c>
      <c r="C9731">
        <v>146.104986588</v>
      </c>
      <c r="D9731">
        <v>-17.5946988397999</v>
      </c>
      <c r="E9731" s="92" t="str">
        <f t="shared" si="65"/>
        <v/>
      </c>
      <c r="G9731" s="92"/>
      <c r="I9731">
        <v>6</v>
      </c>
      <c r="J9731" t="s">
        <v>26</v>
      </c>
      <c r="K9731" s="57"/>
      <c r="S9731" s="57"/>
      <c r="X9731" s="57"/>
    </row>
    <row r="9732" spans="1:24" hidden="1" x14ac:dyDescent="0.35">
      <c r="A9732">
        <v>9728</v>
      </c>
      <c r="B9732">
        <v>9729</v>
      </c>
      <c r="C9732">
        <v>146.105028</v>
      </c>
      <c r="D9732">
        <v>-17.594622852299899</v>
      </c>
      <c r="E9732" s="92" t="str">
        <f t="shared" si="65"/>
        <v/>
      </c>
      <c r="G9732" s="92"/>
      <c r="I9732">
        <v>6</v>
      </c>
      <c r="J9732" t="s">
        <v>26</v>
      </c>
      <c r="K9732" s="57"/>
      <c r="S9732" s="57"/>
      <c r="X9732" s="57"/>
    </row>
    <row r="9733" spans="1:24" hidden="1" x14ac:dyDescent="0.35">
      <c r="A9733">
        <v>9729</v>
      </c>
      <c r="B9733">
        <v>9730</v>
      </c>
      <c r="C9733">
        <v>146.105086841</v>
      </c>
      <c r="D9733">
        <v>-17.594559798999899</v>
      </c>
      <c r="E9733" s="92">
        <f t="shared" si="65"/>
        <v>50</v>
      </c>
      <c r="G9733" s="92"/>
      <c r="I9733">
        <v>6</v>
      </c>
      <c r="J9733" t="s">
        <v>26</v>
      </c>
      <c r="K9733" s="57"/>
      <c r="S9733" s="57"/>
      <c r="X9733" s="57"/>
    </row>
    <row r="9734" spans="1:24" hidden="1" x14ac:dyDescent="0.35">
      <c r="A9734">
        <v>9730</v>
      </c>
      <c r="B9734">
        <v>9731</v>
      </c>
      <c r="C9734">
        <v>146.10515396900001</v>
      </c>
      <c r="D9734">
        <v>-17.5945028961</v>
      </c>
      <c r="E9734" s="92" t="str">
        <f t="shared" si="65"/>
        <v/>
      </c>
      <c r="G9734" s="92"/>
      <c r="I9734">
        <v>6</v>
      </c>
      <c r="J9734" t="s">
        <v>26</v>
      </c>
      <c r="K9734" s="57"/>
      <c r="S9734" s="57"/>
      <c r="X9734" s="57"/>
    </row>
    <row r="9735" spans="1:24" hidden="1" x14ac:dyDescent="0.35">
      <c r="A9735">
        <v>9731</v>
      </c>
      <c r="B9735">
        <v>9732</v>
      </c>
      <c r="C9735">
        <v>146.10522109600001</v>
      </c>
      <c r="D9735">
        <v>-17.5944459930999</v>
      </c>
      <c r="E9735" s="92" t="str">
        <f t="shared" si="65"/>
        <v/>
      </c>
      <c r="G9735" s="92"/>
      <c r="I9735">
        <v>6</v>
      </c>
      <c r="J9735" t="s">
        <v>26</v>
      </c>
      <c r="K9735" s="57"/>
      <c r="S9735" s="57"/>
      <c r="X9735" s="57"/>
    </row>
    <row r="9736" spans="1:24" hidden="1" x14ac:dyDescent="0.35">
      <c r="A9736">
        <v>9732</v>
      </c>
      <c r="B9736">
        <v>9733</v>
      </c>
      <c r="C9736">
        <v>146.105302270999</v>
      </c>
      <c r="D9736">
        <v>-17.5944101416999</v>
      </c>
      <c r="E9736" s="92" t="str">
        <f t="shared" si="65"/>
        <v/>
      </c>
      <c r="G9736" s="92"/>
      <c r="I9736">
        <v>6</v>
      </c>
      <c r="J9736" t="s">
        <v>26</v>
      </c>
      <c r="K9736" s="57"/>
      <c r="S9736" s="57"/>
      <c r="X9736" s="57"/>
    </row>
    <row r="9737" spans="1:24" hidden="1" x14ac:dyDescent="0.35">
      <c r="A9737">
        <v>9733</v>
      </c>
      <c r="B9737">
        <v>9734</v>
      </c>
      <c r="C9737">
        <v>146.10538479600001</v>
      </c>
      <c r="D9737">
        <v>-17.594376314800002</v>
      </c>
      <c r="E9737" s="92" t="str">
        <f t="shared" si="65"/>
        <v/>
      </c>
      <c r="G9737" s="92"/>
      <c r="I9737">
        <v>6</v>
      </c>
      <c r="J9737" t="s">
        <v>26</v>
      </c>
      <c r="K9737" s="57"/>
      <c r="S9737" s="57"/>
      <c r="X9737" s="57"/>
    </row>
    <row r="9738" spans="1:24" hidden="1" x14ac:dyDescent="0.35">
      <c r="A9738">
        <v>9734</v>
      </c>
      <c r="B9738">
        <v>9735</v>
      </c>
      <c r="C9738">
        <v>146.105467320999</v>
      </c>
      <c r="D9738">
        <v>-17.594342487999899</v>
      </c>
      <c r="E9738" s="92">
        <f t="shared" si="65"/>
        <v>50</v>
      </c>
      <c r="G9738" s="92"/>
      <c r="I9738">
        <v>6</v>
      </c>
      <c r="J9738" t="s">
        <v>26</v>
      </c>
      <c r="K9738" s="57"/>
      <c r="S9738" s="57"/>
      <c r="X9738" s="57"/>
    </row>
    <row r="9739" spans="1:24" hidden="1" x14ac:dyDescent="0.35">
      <c r="A9739">
        <v>9735</v>
      </c>
      <c r="B9739">
        <v>9736</v>
      </c>
      <c r="C9739">
        <v>146.105553622</v>
      </c>
      <c r="D9739">
        <v>-17.594322163800001</v>
      </c>
      <c r="E9739" s="92" t="str">
        <f t="shared" si="65"/>
        <v/>
      </c>
      <c r="G9739" s="92"/>
      <c r="I9739">
        <v>6</v>
      </c>
      <c r="J9739" t="s">
        <v>26</v>
      </c>
      <c r="K9739" s="57"/>
      <c r="S9739" s="57"/>
      <c r="X9739" s="57"/>
    </row>
    <row r="9740" spans="1:24" hidden="1" x14ac:dyDescent="0.35">
      <c r="A9740">
        <v>9736</v>
      </c>
      <c r="B9740">
        <v>9737</v>
      </c>
      <c r="C9740">
        <v>146.10564286100001</v>
      </c>
      <c r="D9740">
        <v>-17.5943123405</v>
      </c>
      <c r="E9740" s="92" t="str">
        <f t="shared" si="65"/>
        <v/>
      </c>
      <c r="G9740" s="92"/>
      <c r="I9740">
        <v>6</v>
      </c>
      <c r="J9740" t="s">
        <v>26</v>
      </c>
      <c r="K9740" s="57"/>
      <c r="S9740" s="57"/>
      <c r="X9740" s="57"/>
    </row>
    <row r="9741" spans="1:24" hidden="1" x14ac:dyDescent="0.35">
      <c r="A9741">
        <v>9737</v>
      </c>
      <c r="B9741">
        <v>9738</v>
      </c>
      <c r="C9741">
        <v>146.105732098999</v>
      </c>
      <c r="D9741">
        <v>-17.5943025171999</v>
      </c>
      <c r="E9741" s="92" t="str">
        <f t="shared" si="65"/>
        <v/>
      </c>
      <c r="G9741" s="92"/>
      <c r="I9741">
        <v>6</v>
      </c>
      <c r="J9741" t="s">
        <v>26</v>
      </c>
      <c r="K9741" s="57"/>
      <c r="S9741" s="57"/>
      <c r="X9741" s="57"/>
    </row>
    <row r="9742" spans="1:24" hidden="1" x14ac:dyDescent="0.35">
      <c r="A9742">
        <v>9738</v>
      </c>
      <c r="B9742">
        <v>9739</v>
      </c>
      <c r="C9742">
        <v>146.10581969699899</v>
      </c>
      <c r="D9742">
        <v>-17.5942846238</v>
      </c>
      <c r="E9742" s="92" t="str">
        <f t="shared" si="65"/>
        <v/>
      </c>
      <c r="G9742" s="92"/>
      <c r="I9742">
        <v>6</v>
      </c>
      <c r="J9742" t="s">
        <v>26</v>
      </c>
      <c r="K9742" s="57"/>
      <c r="S9742" s="57"/>
      <c r="X9742" s="57"/>
    </row>
    <row r="9743" spans="1:24" hidden="1" x14ac:dyDescent="0.35">
      <c r="A9743">
        <v>9739</v>
      </c>
      <c r="B9743">
        <v>9740</v>
      </c>
      <c r="C9743">
        <v>146.10590632700001</v>
      </c>
      <c r="D9743">
        <v>-17.594261966800001</v>
      </c>
      <c r="E9743" s="92">
        <f t="shared" si="65"/>
        <v>50</v>
      </c>
      <c r="G9743" s="92"/>
      <c r="I9743">
        <v>6</v>
      </c>
      <c r="J9743" t="s">
        <v>26</v>
      </c>
      <c r="K9743" s="57"/>
      <c r="S9743" s="57"/>
      <c r="X9743" s="57"/>
    </row>
    <row r="9744" spans="1:24" hidden="1" x14ac:dyDescent="0.35">
      <c r="A9744">
        <v>9740</v>
      </c>
      <c r="B9744">
        <v>9741</v>
      </c>
      <c r="C9744">
        <v>146.10599295700001</v>
      </c>
      <c r="D9744">
        <v>-17.594239309799899</v>
      </c>
      <c r="E9744" s="92" t="str">
        <f t="shared" ref="E9744:E9807" si="66">IF(MOD(B9744,5)=0, 50, "")</f>
        <v/>
      </c>
      <c r="G9744" s="92"/>
      <c r="I9744">
        <v>6</v>
      </c>
      <c r="J9744" t="s">
        <v>26</v>
      </c>
      <c r="K9744" s="57"/>
      <c r="S9744" s="57"/>
      <c r="X9744" s="57"/>
    </row>
    <row r="9745" spans="1:24" hidden="1" x14ac:dyDescent="0.35">
      <c r="A9745">
        <v>9741</v>
      </c>
      <c r="B9745">
        <v>9742</v>
      </c>
      <c r="C9745">
        <v>146.106076602999</v>
      </c>
      <c r="D9745">
        <v>-17.5942086579999</v>
      </c>
      <c r="E9745" s="92" t="str">
        <f t="shared" si="66"/>
        <v/>
      </c>
      <c r="G9745" s="92"/>
      <c r="I9745">
        <v>6</v>
      </c>
      <c r="J9745" t="s">
        <v>26</v>
      </c>
      <c r="K9745" s="57"/>
      <c r="S9745" s="57"/>
      <c r="X9745" s="57"/>
    </row>
    <row r="9746" spans="1:24" hidden="1" x14ac:dyDescent="0.35">
      <c r="A9746">
        <v>9742</v>
      </c>
      <c r="B9746">
        <v>9743</v>
      </c>
      <c r="C9746">
        <v>146.106158781999</v>
      </c>
      <c r="D9746">
        <v>-17.5941740733</v>
      </c>
      <c r="E9746" s="92" t="str">
        <f t="shared" si="66"/>
        <v/>
      </c>
      <c r="G9746" s="92"/>
      <c r="I9746">
        <v>6</v>
      </c>
      <c r="J9746" t="s">
        <v>26</v>
      </c>
      <c r="K9746" s="57"/>
      <c r="S9746" s="57"/>
      <c r="X9746" s="57"/>
    </row>
    <row r="9747" spans="1:24" hidden="1" x14ac:dyDescent="0.35">
      <c r="A9747">
        <v>9743</v>
      </c>
      <c r="B9747">
        <v>9744</v>
      </c>
      <c r="C9747">
        <v>146.106240960999</v>
      </c>
      <c r="D9747">
        <v>-17.594139488700002</v>
      </c>
      <c r="E9747" s="92" t="str">
        <f t="shared" si="66"/>
        <v/>
      </c>
      <c r="G9747" s="92"/>
      <c r="I9747">
        <v>6</v>
      </c>
      <c r="J9747" t="s">
        <v>26</v>
      </c>
      <c r="K9747" s="57"/>
      <c r="S9747" s="57"/>
      <c r="X9747" s="57"/>
    </row>
    <row r="9748" spans="1:24" hidden="1" x14ac:dyDescent="0.35">
      <c r="A9748">
        <v>9744</v>
      </c>
      <c r="B9748">
        <v>9745</v>
      </c>
      <c r="C9748">
        <v>146.10632711100001</v>
      </c>
      <c r="D9748">
        <v>-17.5941193552</v>
      </c>
      <c r="E9748" s="92">
        <f t="shared" si="66"/>
        <v>50</v>
      </c>
      <c r="G9748" s="92"/>
      <c r="I9748">
        <v>6</v>
      </c>
      <c r="J9748" t="s">
        <v>26</v>
      </c>
      <c r="K9748" s="57"/>
      <c r="S9748" s="57"/>
      <c r="X9748" s="57"/>
    </row>
    <row r="9749" spans="1:24" hidden="1" x14ac:dyDescent="0.35">
      <c r="A9749">
        <v>9745</v>
      </c>
      <c r="B9749">
        <v>9746</v>
      </c>
      <c r="C9749">
        <v>146.10641652300001</v>
      </c>
      <c r="D9749">
        <v>-17.594111092599899</v>
      </c>
      <c r="E9749" s="92" t="str">
        <f t="shared" si="66"/>
        <v/>
      </c>
      <c r="G9749" s="92"/>
      <c r="I9749">
        <v>6</v>
      </c>
      <c r="J9749" t="s">
        <v>26</v>
      </c>
      <c r="K9749" s="57"/>
      <c r="S9749" s="57"/>
      <c r="X9749" s="57"/>
    </row>
    <row r="9750" spans="1:24" hidden="1" x14ac:dyDescent="0.35">
      <c r="A9750">
        <v>9746</v>
      </c>
      <c r="B9750">
        <v>9747</v>
      </c>
      <c r="C9750">
        <v>146.106505935</v>
      </c>
      <c r="D9750">
        <v>-17.594102829899899</v>
      </c>
      <c r="E9750" s="92" t="str">
        <f t="shared" si="66"/>
        <v/>
      </c>
      <c r="G9750" s="92"/>
      <c r="I9750">
        <v>6</v>
      </c>
      <c r="J9750" t="s">
        <v>26</v>
      </c>
      <c r="K9750" s="57"/>
      <c r="S9750" s="57"/>
      <c r="X9750" s="57"/>
    </row>
    <row r="9751" spans="1:24" hidden="1" x14ac:dyDescent="0.35">
      <c r="A9751">
        <v>9747</v>
      </c>
      <c r="B9751">
        <v>9748</v>
      </c>
      <c r="C9751">
        <v>146.106594938</v>
      </c>
      <c r="D9751">
        <v>-17.5941095772999</v>
      </c>
      <c r="E9751" s="92" t="str">
        <f t="shared" si="66"/>
        <v/>
      </c>
      <c r="G9751" s="92"/>
      <c r="I9751">
        <v>6</v>
      </c>
      <c r="J9751" t="s">
        <v>26</v>
      </c>
      <c r="K9751" s="57"/>
      <c r="S9751" s="57"/>
      <c r="X9751" s="57"/>
    </row>
    <row r="9752" spans="1:24" hidden="1" x14ac:dyDescent="0.35">
      <c r="A9752">
        <v>9748</v>
      </c>
      <c r="B9752">
        <v>9749</v>
      </c>
      <c r="C9752">
        <v>146.106683779999</v>
      </c>
      <c r="D9752">
        <v>-17.5941222565</v>
      </c>
      <c r="E9752" s="92" t="str">
        <f t="shared" si="66"/>
        <v/>
      </c>
      <c r="G9752" s="92"/>
      <c r="I9752">
        <v>6</v>
      </c>
      <c r="J9752" t="s">
        <v>26</v>
      </c>
      <c r="K9752" s="57"/>
      <c r="S9752" s="57"/>
      <c r="X9752" s="57"/>
    </row>
    <row r="9753" spans="1:24" hidden="1" x14ac:dyDescent="0.35">
      <c r="A9753">
        <v>9749</v>
      </c>
      <c r="B9753">
        <v>9750</v>
      </c>
      <c r="C9753">
        <v>146.106772621</v>
      </c>
      <c r="D9753">
        <v>-17.5941349358</v>
      </c>
      <c r="E9753" s="92">
        <f t="shared" si="66"/>
        <v>50</v>
      </c>
      <c r="G9753" s="92"/>
      <c r="I9753">
        <v>6</v>
      </c>
      <c r="J9753" t="s">
        <v>26</v>
      </c>
      <c r="K9753" s="57"/>
      <c r="S9753" s="57"/>
      <c r="X9753" s="57"/>
    </row>
    <row r="9754" spans="1:24" hidden="1" x14ac:dyDescent="0.35">
      <c r="A9754">
        <v>9750</v>
      </c>
      <c r="B9754">
        <v>9751</v>
      </c>
      <c r="C9754">
        <v>146.10686146200001</v>
      </c>
      <c r="D9754">
        <v>-17.594147615099899</v>
      </c>
      <c r="E9754" s="92" t="str">
        <f t="shared" si="66"/>
        <v/>
      </c>
      <c r="G9754" s="92"/>
      <c r="I9754">
        <v>6</v>
      </c>
      <c r="J9754" t="s">
        <v>26</v>
      </c>
      <c r="K9754" s="57"/>
      <c r="S9754" s="57"/>
      <c r="X9754" s="57"/>
    </row>
    <row r="9755" spans="1:24" hidden="1" x14ac:dyDescent="0.35">
      <c r="A9755">
        <v>9751</v>
      </c>
      <c r="B9755">
        <v>9752</v>
      </c>
      <c r="C9755">
        <v>146.10694646900001</v>
      </c>
      <c r="D9755">
        <v>-17.5941738611</v>
      </c>
      <c r="E9755" s="92" t="str">
        <f t="shared" si="66"/>
        <v/>
      </c>
      <c r="G9755" s="92"/>
      <c r="I9755">
        <v>6</v>
      </c>
      <c r="J9755" t="s">
        <v>26</v>
      </c>
      <c r="K9755" s="57"/>
      <c r="S9755" s="57"/>
      <c r="X9755" s="57"/>
    </row>
    <row r="9756" spans="1:24" hidden="1" x14ac:dyDescent="0.35">
      <c r="A9756">
        <v>9752</v>
      </c>
      <c r="B9756">
        <v>9753</v>
      </c>
      <c r="C9756">
        <v>146.107029968999</v>
      </c>
      <c r="D9756">
        <v>-17.594205439</v>
      </c>
      <c r="E9756" s="92" t="str">
        <f t="shared" si="66"/>
        <v/>
      </c>
      <c r="G9756" s="92"/>
      <c r="I9756">
        <v>6</v>
      </c>
      <c r="J9756" t="s">
        <v>26</v>
      </c>
      <c r="K9756" s="57"/>
      <c r="S9756" s="57"/>
      <c r="X9756" s="57"/>
    </row>
    <row r="9757" spans="1:24" hidden="1" x14ac:dyDescent="0.35">
      <c r="A9757">
        <v>9753</v>
      </c>
      <c r="B9757">
        <v>9754</v>
      </c>
      <c r="C9757">
        <v>146.10711347</v>
      </c>
      <c r="D9757">
        <v>-17.594237017000001</v>
      </c>
      <c r="E9757" s="92" t="str">
        <f t="shared" si="66"/>
        <v/>
      </c>
      <c r="G9757" s="92"/>
      <c r="I9757">
        <v>6</v>
      </c>
      <c r="J9757" t="s">
        <v>26</v>
      </c>
      <c r="K9757" s="57"/>
      <c r="S9757" s="57"/>
      <c r="X9757" s="57"/>
    </row>
    <row r="9758" spans="1:24" hidden="1" x14ac:dyDescent="0.35">
      <c r="A9758">
        <v>9754</v>
      </c>
      <c r="B9758">
        <v>9755</v>
      </c>
      <c r="C9758">
        <v>146.10718849400001</v>
      </c>
      <c r="D9758">
        <v>-17.5942826405999</v>
      </c>
      <c r="E9758" s="92">
        <f t="shared" si="66"/>
        <v>50</v>
      </c>
      <c r="G9758" s="92"/>
      <c r="I9758">
        <v>6</v>
      </c>
      <c r="J9758" t="s">
        <v>26</v>
      </c>
      <c r="K9758" s="57"/>
      <c r="S9758" s="57"/>
      <c r="X9758" s="57"/>
    </row>
    <row r="9759" spans="1:24" hidden="1" x14ac:dyDescent="0.35">
      <c r="A9759">
        <v>9755</v>
      </c>
      <c r="B9759">
        <v>9756</v>
      </c>
      <c r="C9759">
        <v>146.107259115999</v>
      </c>
      <c r="D9759">
        <v>-17.594335562400001</v>
      </c>
      <c r="E9759" s="92" t="str">
        <f t="shared" si="66"/>
        <v/>
      </c>
      <c r="G9759" s="92"/>
      <c r="I9759">
        <v>6</v>
      </c>
      <c r="J9759" t="s">
        <v>26</v>
      </c>
      <c r="K9759" s="57"/>
      <c r="S9759" s="57"/>
      <c r="X9759" s="57"/>
    </row>
    <row r="9760" spans="1:24" hidden="1" x14ac:dyDescent="0.35">
      <c r="A9760">
        <v>9756</v>
      </c>
      <c r="B9760">
        <v>9757</v>
      </c>
      <c r="C9760">
        <v>146.10732973699899</v>
      </c>
      <c r="D9760">
        <v>-17.594388484300001</v>
      </c>
      <c r="E9760" s="92" t="str">
        <f t="shared" si="66"/>
        <v/>
      </c>
      <c r="G9760" s="92"/>
      <c r="I9760">
        <v>6</v>
      </c>
      <c r="J9760" t="s">
        <v>26</v>
      </c>
      <c r="K9760" s="57"/>
      <c r="S9760" s="57"/>
      <c r="X9760" s="57"/>
    </row>
    <row r="9761" spans="1:24" hidden="1" x14ac:dyDescent="0.35">
      <c r="A9761">
        <v>9757</v>
      </c>
      <c r="B9761">
        <v>9758</v>
      </c>
      <c r="C9761">
        <v>146.10739560100001</v>
      </c>
      <c r="D9761">
        <v>-17.594445849900001</v>
      </c>
      <c r="E9761" s="92" t="str">
        <f t="shared" si="66"/>
        <v/>
      </c>
      <c r="G9761" s="92"/>
      <c r="I9761">
        <v>6</v>
      </c>
      <c r="J9761" t="s">
        <v>26</v>
      </c>
      <c r="K9761" s="57"/>
      <c r="S9761" s="57"/>
      <c r="X9761" s="57"/>
    </row>
    <row r="9762" spans="1:24" hidden="1" x14ac:dyDescent="0.35">
      <c r="A9762">
        <v>9758</v>
      </c>
      <c r="B9762">
        <v>9759</v>
      </c>
      <c r="C9762">
        <v>146.107449677999</v>
      </c>
      <c r="D9762">
        <v>-17.5945142252999</v>
      </c>
      <c r="E9762" s="92" t="str">
        <f t="shared" si="66"/>
        <v/>
      </c>
      <c r="G9762" s="92"/>
      <c r="I9762">
        <v>6</v>
      </c>
      <c r="J9762" t="s">
        <v>26</v>
      </c>
      <c r="K9762" s="57"/>
      <c r="S9762" s="57"/>
      <c r="X9762" s="57"/>
    </row>
    <row r="9763" spans="1:24" hidden="1" x14ac:dyDescent="0.35">
      <c r="A9763">
        <v>9759</v>
      </c>
      <c r="B9763">
        <v>9760</v>
      </c>
      <c r="C9763">
        <v>146.10750375500001</v>
      </c>
      <c r="D9763">
        <v>-17.594582600700001</v>
      </c>
      <c r="E9763" s="92">
        <f t="shared" si="66"/>
        <v>50</v>
      </c>
      <c r="G9763" s="92"/>
      <c r="I9763">
        <v>6</v>
      </c>
      <c r="J9763" t="s">
        <v>26</v>
      </c>
      <c r="K9763" s="57"/>
      <c r="S9763" s="57"/>
      <c r="X9763" s="57"/>
    </row>
    <row r="9764" spans="1:24" hidden="1" x14ac:dyDescent="0.35">
      <c r="A9764">
        <v>9760</v>
      </c>
      <c r="B9764">
        <v>9761</v>
      </c>
      <c r="C9764">
        <v>146.10755783299899</v>
      </c>
      <c r="D9764">
        <v>-17.594650976099899</v>
      </c>
      <c r="E9764" s="92" t="str">
        <f t="shared" si="66"/>
        <v/>
      </c>
      <c r="G9764" s="92"/>
      <c r="I9764">
        <v>6</v>
      </c>
      <c r="J9764" t="s">
        <v>26</v>
      </c>
      <c r="K9764" s="57"/>
      <c r="S9764" s="57"/>
      <c r="X9764" s="57"/>
    </row>
    <row r="9765" spans="1:24" hidden="1" x14ac:dyDescent="0.35">
      <c r="A9765">
        <v>9761</v>
      </c>
      <c r="B9765">
        <v>9762</v>
      </c>
      <c r="C9765">
        <v>146.10760449099899</v>
      </c>
      <c r="D9765">
        <v>-17.5947237192999</v>
      </c>
      <c r="E9765" s="92" t="str">
        <f t="shared" si="66"/>
        <v/>
      </c>
      <c r="G9765" s="92"/>
      <c r="I9765">
        <v>6</v>
      </c>
      <c r="J9765" t="s">
        <v>26</v>
      </c>
      <c r="K9765" s="57"/>
      <c r="S9765" s="57"/>
      <c r="X9765" s="57"/>
    </row>
    <row r="9766" spans="1:24" hidden="1" x14ac:dyDescent="0.35">
      <c r="A9766">
        <v>9762</v>
      </c>
      <c r="B9766">
        <v>9763</v>
      </c>
      <c r="C9766">
        <v>146.10764441500001</v>
      </c>
      <c r="D9766">
        <v>-17.594800426700001</v>
      </c>
      <c r="E9766" s="92" t="str">
        <f t="shared" si="66"/>
        <v/>
      </c>
      <c r="G9766" s="92"/>
      <c r="I9766">
        <v>6</v>
      </c>
      <c r="J9766" t="s">
        <v>26</v>
      </c>
      <c r="K9766" s="57"/>
      <c r="S9766" s="57"/>
      <c r="X9766" s="57"/>
    </row>
    <row r="9767" spans="1:24" hidden="1" x14ac:dyDescent="0.35">
      <c r="A9767">
        <v>9763</v>
      </c>
      <c r="B9767">
        <v>9764</v>
      </c>
      <c r="C9767">
        <v>146.107684339</v>
      </c>
      <c r="D9767">
        <v>-17.594877134200001</v>
      </c>
      <c r="E9767" s="92" t="str">
        <f t="shared" si="66"/>
        <v/>
      </c>
      <c r="G9767" s="92"/>
      <c r="I9767">
        <v>6</v>
      </c>
      <c r="J9767" t="s">
        <v>26</v>
      </c>
      <c r="K9767" s="57"/>
      <c r="S9767" s="57"/>
      <c r="X9767" s="57"/>
    </row>
    <row r="9768" spans="1:24" hidden="1" x14ac:dyDescent="0.35">
      <c r="A9768">
        <v>9764</v>
      </c>
      <c r="B9768">
        <v>9765</v>
      </c>
      <c r="C9768">
        <v>146.10772426400001</v>
      </c>
      <c r="D9768">
        <v>-17.594953841599899</v>
      </c>
      <c r="E9768" s="92">
        <f t="shared" si="66"/>
        <v>50</v>
      </c>
      <c r="G9768" s="92"/>
      <c r="I9768">
        <v>6</v>
      </c>
      <c r="J9768" t="s">
        <v>26</v>
      </c>
      <c r="K9768" s="57"/>
      <c r="S9768" s="57"/>
      <c r="X9768" s="57"/>
    </row>
    <row r="9769" spans="1:24" hidden="1" x14ac:dyDescent="0.35">
      <c r="A9769">
        <v>9765</v>
      </c>
      <c r="B9769">
        <v>9766</v>
      </c>
      <c r="C9769">
        <v>146.10777232300001</v>
      </c>
      <c r="D9769">
        <v>-17.595026183000002</v>
      </c>
      <c r="E9769" s="92" t="str">
        <f t="shared" si="66"/>
        <v/>
      </c>
      <c r="G9769" s="92"/>
      <c r="I9769">
        <v>6</v>
      </c>
      <c r="J9769" t="s">
        <v>26</v>
      </c>
      <c r="K9769" s="57"/>
      <c r="S9769" s="57"/>
      <c r="X9769" s="57"/>
    </row>
    <row r="9770" spans="1:24" hidden="1" x14ac:dyDescent="0.35">
      <c r="A9770">
        <v>9766</v>
      </c>
      <c r="B9770">
        <v>9767</v>
      </c>
      <c r="C9770">
        <v>146.10782041900001</v>
      </c>
      <c r="D9770">
        <v>-17.595098504900001</v>
      </c>
      <c r="E9770" s="92" t="str">
        <f t="shared" si="66"/>
        <v/>
      </c>
      <c r="G9770" s="92"/>
      <c r="I9770">
        <v>6</v>
      </c>
      <c r="J9770" t="s">
        <v>26</v>
      </c>
      <c r="K9770" s="57"/>
      <c r="S9770" s="57"/>
      <c r="X9770" s="57"/>
    </row>
    <row r="9771" spans="1:24" hidden="1" x14ac:dyDescent="0.35">
      <c r="A9771">
        <v>9767</v>
      </c>
      <c r="B9771">
        <v>9768</v>
      </c>
      <c r="C9771">
        <v>146.107868515999</v>
      </c>
      <c r="D9771">
        <v>-17.595170826699899</v>
      </c>
      <c r="E9771" s="92" t="str">
        <f t="shared" si="66"/>
        <v/>
      </c>
      <c r="G9771" s="92"/>
      <c r="I9771">
        <v>6</v>
      </c>
      <c r="J9771" t="s">
        <v>26</v>
      </c>
      <c r="K9771" s="57"/>
      <c r="S9771" s="57"/>
      <c r="X9771" s="57"/>
    </row>
    <row r="9772" spans="1:24" hidden="1" x14ac:dyDescent="0.35">
      <c r="A9772">
        <v>9768</v>
      </c>
      <c r="B9772">
        <v>9769</v>
      </c>
      <c r="C9772">
        <v>146.107910454999</v>
      </c>
      <c r="D9772">
        <v>-17.5952463464</v>
      </c>
      <c r="E9772" s="92" t="str">
        <f t="shared" si="66"/>
        <v/>
      </c>
      <c r="G9772" s="92"/>
      <c r="I9772">
        <v>6</v>
      </c>
      <c r="J9772" t="s">
        <v>26</v>
      </c>
      <c r="K9772" s="57"/>
      <c r="S9772" s="57"/>
      <c r="X9772" s="57"/>
    </row>
    <row r="9773" spans="1:24" hidden="1" x14ac:dyDescent="0.35">
      <c r="A9773">
        <v>9769</v>
      </c>
      <c r="B9773">
        <v>9770</v>
      </c>
      <c r="C9773">
        <v>146.107948131</v>
      </c>
      <c r="D9773">
        <v>-17.5953240796999</v>
      </c>
      <c r="E9773" s="92">
        <f t="shared" si="66"/>
        <v>50</v>
      </c>
      <c r="G9773" s="92"/>
      <c r="I9773">
        <v>6</v>
      </c>
      <c r="J9773" t="s">
        <v>26</v>
      </c>
      <c r="K9773" s="57"/>
      <c r="S9773" s="57"/>
      <c r="X9773" s="57"/>
    </row>
    <row r="9774" spans="1:24" hidden="1" x14ac:dyDescent="0.35">
      <c r="A9774">
        <v>9770</v>
      </c>
      <c r="B9774">
        <v>9771</v>
      </c>
      <c r="C9774">
        <v>146.10798359699899</v>
      </c>
      <c r="D9774">
        <v>-17.595402622400002</v>
      </c>
      <c r="E9774" s="92" t="str">
        <f t="shared" si="66"/>
        <v/>
      </c>
      <c r="G9774" s="92"/>
      <c r="I9774">
        <v>6</v>
      </c>
      <c r="J9774" t="s">
        <v>26</v>
      </c>
      <c r="K9774" s="57"/>
      <c r="S9774" s="57"/>
      <c r="X9774" s="57"/>
    </row>
    <row r="9775" spans="1:24" hidden="1" x14ac:dyDescent="0.35">
      <c r="A9775">
        <v>9771</v>
      </c>
      <c r="B9775">
        <v>9772</v>
      </c>
      <c r="C9775">
        <v>146.108010196999</v>
      </c>
      <c r="D9775">
        <v>-17.595484411200001</v>
      </c>
      <c r="E9775" s="92" t="str">
        <f t="shared" si="66"/>
        <v/>
      </c>
      <c r="G9775" s="92"/>
      <c r="I9775">
        <v>6</v>
      </c>
      <c r="J9775" t="s">
        <v>26</v>
      </c>
      <c r="K9775" s="57"/>
      <c r="S9775" s="57"/>
      <c r="X9775" s="57"/>
    </row>
    <row r="9776" spans="1:24" hidden="1" x14ac:dyDescent="0.35">
      <c r="A9776">
        <v>9772</v>
      </c>
      <c r="B9776">
        <v>9773</v>
      </c>
      <c r="C9776">
        <v>146.108036795999</v>
      </c>
      <c r="D9776">
        <v>-17.595566199899899</v>
      </c>
      <c r="E9776" s="92" t="str">
        <f t="shared" si="66"/>
        <v/>
      </c>
      <c r="G9776" s="92"/>
      <c r="I9776">
        <v>6</v>
      </c>
      <c r="J9776" t="s">
        <v>26</v>
      </c>
      <c r="K9776" s="57"/>
      <c r="S9776" s="57"/>
      <c r="X9776" s="57"/>
    </row>
    <row r="9777" spans="1:24" hidden="1" x14ac:dyDescent="0.35">
      <c r="A9777">
        <v>9773</v>
      </c>
      <c r="B9777">
        <v>9774</v>
      </c>
      <c r="C9777">
        <v>146.108053361</v>
      </c>
      <c r="D9777">
        <v>-17.595649701300001</v>
      </c>
      <c r="E9777" s="92" t="str">
        <f t="shared" si="66"/>
        <v/>
      </c>
      <c r="G9777" s="92"/>
      <c r="I9777">
        <v>6</v>
      </c>
      <c r="J9777" t="s">
        <v>26</v>
      </c>
      <c r="K9777" s="57"/>
      <c r="S9777" s="57"/>
      <c r="X9777" s="57"/>
    </row>
    <row r="9778" spans="1:24" hidden="1" x14ac:dyDescent="0.35">
      <c r="A9778">
        <v>9774</v>
      </c>
      <c r="B9778">
        <v>9775</v>
      </c>
      <c r="C9778">
        <v>146.10805818399899</v>
      </c>
      <c r="D9778">
        <v>-17.595735206400001</v>
      </c>
      <c r="E9778" s="92">
        <f t="shared" si="66"/>
        <v>50</v>
      </c>
      <c r="G9778" s="92"/>
      <c r="I9778">
        <v>6</v>
      </c>
      <c r="J9778" t="s">
        <v>26</v>
      </c>
      <c r="K9778" s="57"/>
      <c r="S9778" s="57"/>
      <c r="X9778" s="57"/>
    </row>
    <row r="9779" spans="1:24" hidden="1" x14ac:dyDescent="0.35">
      <c r="A9779">
        <v>9775</v>
      </c>
      <c r="B9779">
        <v>9776</v>
      </c>
      <c r="C9779">
        <v>146.10806148200001</v>
      </c>
      <c r="D9779">
        <v>-17.5958207470999</v>
      </c>
      <c r="E9779" s="92" t="str">
        <f t="shared" si="66"/>
        <v/>
      </c>
      <c r="G9779" s="92"/>
      <c r="I9779">
        <v>6</v>
      </c>
      <c r="J9779" t="s">
        <v>26</v>
      </c>
      <c r="K9779" s="57"/>
      <c r="S9779" s="57"/>
      <c r="X9779" s="57"/>
    </row>
    <row r="9780" spans="1:24" hidden="1" x14ac:dyDescent="0.35">
      <c r="A9780">
        <v>9776</v>
      </c>
      <c r="B9780">
        <v>9777</v>
      </c>
      <c r="C9780">
        <v>146.108061061</v>
      </c>
      <c r="D9780">
        <v>-17.5959063747</v>
      </c>
      <c r="E9780" s="92" t="str">
        <f t="shared" si="66"/>
        <v/>
      </c>
      <c r="G9780" s="92"/>
      <c r="I9780">
        <v>6</v>
      </c>
      <c r="J9780" t="s">
        <v>26</v>
      </c>
      <c r="K9780" s="57"/>
      <c r="S9780" s="57"/>
      <c r="X9780" s="57"/>
    </row>
    <row r="9781" spans="1:24" hidden="1" x14ac:dyDescent="0.35">
      <c r="A9781">
        <v>9777</v>
      </c>
      <c r="B9781">
        <v>9778</v>
      </c>
      <c r="C9781">
        <v>146.10806064100001</v>
      </c>
      <c r="D9781">
        <v>-17.5959920021999</v>
      </c>
      <c r="E9781" s="92" t="str">
        <f t="shared" si="66"/>
        <v/>
      </c>
      <c r="G9781" s="92"/>
      <c r="I9781">
        <v>6</v>
      </c>
      <c r="J9781" t="s">
        <v>26</v>
      </c>
      <c r="K9781" s="57"/>
      <c r="S9781" s="57"/>
      <c r="X9781" s="57"/>
    </row>
    <row r="9782" spans="1:24" hidden="1" x14ac:dyDescent="0.35">
      <c r="A9782">
        <v>9778</v>
      </c>
      <c r="B9782">
        <v>9779</v>
      </c>
      <c r="C9782">
        <v>146.10808012800001</v>
      </c>
      <c r="D9782">
        <v>-17.596074825799899</v>
      </c>
      <c r="E9782" s="92" t="str">
        <f t="shared" si="66"/>
        <v/>
      </c>
      <c r="G9782" s="92"/>
      <c r="I9782">
        <v>6</v>
      </c>
      <c r="J9782" t="s">
        <v>26</v>
      </c>
      <c r="K9782" s="57"/>
      <c r="S9782" s="57"/>
      <c r="X9782" s="57"/>
    </row>
    <row r="9783" spans="1:24" hidden="1" x14ac:dyDescent="0.35">
      <c r="A9783">
        <v>9779</v>
      </c>
      <c r="B9783">
        <v>9780</v>
      </c>
      <c r="C9783">
        <v>146.10810651099899</v>
      </c>
      <c r="D9783">
        <v>-17.596156678</v>
      </c>
      <c r="E9783" s="92">
        <f t="shared" si="66"/>
        <v>50</v>
      </c>
      <c r="G9783" s="92"/>
      <c r="I9783">
        <v>6</v>
      </c>
      <c r="J9783" t="s">
        <v>26</v>
      </c>
      <c r="K9783" s="57"/>
      <c r="S9783" s="57"/>
      <c r="X9783" s="57"/>
    </row>
    <row r="9784" spans="1:24" hidden="1" x14ac:dyDescent="0.35">
      <c r="A9784">
        <v>9780</v>
      </c>
      <c r="B9784">
        <v>9781</v>
      </c>
      <c r="C9784">
        <v>146.10813120200001</v>
      </c>
      <c r="D9784">
        <v>-17.5962389833999</v>
      </c>
      <c r="E9784" s="92" t="str">
        <f t="shared" si="66"/>
        <v/>
      </c>
      <c r="G9784" s="92"/>
      <c r="I9784">
        <v>6</v>
      </c>
      <c r="J9784" t="s">
        <v>26</v>
      </c>
      <c r="K9784" s="57"/>
      <c r="S9784" s="57"/>
      <c r="X9784" s="57"/>
    </row>
    <row r="9785" spans="1:24" hidden="1" x14ac:dyDescent="0.35">
      <c r="A9785">
        <v>9781</v>
      </c>
      <c r="B9785">
        <v>9782</v>
      </c>
      <c r="C9785">
        <v>146.10815342500001</v>
      </c>
      <c r="D9785">
        <v>-17.5963219502</v>
      </c>
      <c r="E9785" s="92" t="str">
        <f t="shared" si="66"/>
        <v/>
      </c>
      <c r="G9785" s="92"/>
      <c r="I9785">
        <v>6</v>
      </c>
      <c r="J9785" t="s">
        <v>26</v>
      </c>
      <c r="K9785" s="57"/>
      <c r="S9785" s="57"/>
      <c r="X9785" s="57"/>
    </row>
    <row r="9786" spans="1:24" hidden="1" x14ac:dyDescent="0.35">
      <c r="A9786">
        <v>9782</v>
      </c>
      <c r="B9786">
        <v>9783</v>
      </c>
      <c r="C9786">
        <v>146.10817564800001</v>
      </c>
      <c r="D9786">
        <v>-17.596404917000001</v>
      </c>
      <c r="E9786" s="92" t="str">
        <f t="shared" si="66"/>
        <v/>
      </c>
      <c r="G9786" s="92"/>
      <c r="I9786">
        <v>6</v>
      </c>
      <c r="J9786" t="s">
        <v>26</v>
      </c>
      <c r="K9786" s="57"/>
      <c r="S9786" s="57"/>
      <c r="X9786" s="57"/>
    </row>
    <row r="9787" spans="1:24" hidden="1" x14ac:dyDescent="0.35">
      <c r="A9787">
        <v>9783</v>
      </c>
      <c r="B9787">
        <v>9784</v>
      </c>
      <c r="C9787">
        <v>146.108189404</v>
      </c>
      <c r="D9787">
        <v>-17.596489313300001</v>
      </c>
      <c r="E9787" s="92" t="str">
        <f t="shared" si="66"/>
        <v/>
      </c>
      <c r="G9787" s="92"/>
      <c r="I9787">
        <v>6</v>
      </c>
      <c r="J9787" t="s">
        <v>26</v>
      </c>
      <c r="K9787" s="57"/>
      <c r="S9787" s="57"/>
      <c r="X9787" s="57"/>
    </row>
    <row r="9788" spans="1:24" hidden="1" x14ac:dyDescent="0.35">
      <c r="A9788">
        <v>9784</v>
      </c>
      <c r="B9788">
        <v>9785</v>
      </c>
      <c r="C9788">
        <v>146.108198431999</v>
      </c>
      <c r="D9788">
        <v>-17.596574508</v>
      </c>
      <c r="E9788" s="92">
        <f t="shared" si="66"/>
        <v>50</v>
      </c>
      <c r="G9788" s="92"/>
      <c r="I9788">
        <v>6</v>
      </c>
      <c r="J9788" t="s">
        <v>26</v>
      </c>
      <c r="K9788" s="57"/>
      <c r="S9788" s="57"/>
      <c r="X9788" s="57"/>
    </row>
    <row r="9789" spans="1:24" hidden="1" x14ac:dyDescent="0.35">
      <c r="A9789">
        <v>9785</v>
      </c>
      <c r="B9789">
        <v>9786</v>
      </c>
      <c r="C9789">
        <v>146.10820745999899</v>
      </c>
      <c r="D9789">
        <v>-17.596659702699899</v>
      </c>
      <c r="E9789" s="92" t="str">
        <f t="shared" si="66"/>
        <v/>
      </c>
      <c r="G9789" s="92"/>
      <c r="I9789">
        <v>6</v>
      </c>
      <c r="J9789" t="s">
        <v>26</v>
      </c>
      <c r="K9789" s="57"/>
      <c r="S9789" s="57"/>
      <c r="X9789" s="57"/>
    </row>
    <row r="9790" spans="1:24" hidden="1" x14ac:dyDescent="0.35">
      <c r="A9790">
        <v>9786</v>
      </c>
      <c r="B9790">
        <v>9787</v>
      </c>
      <c r="C9790">
        <v>146.108223334</v>
      </c>
      <c r="D9790">
        <v>-17.596743831200001</v>
      </c>
      <c r="E9790" s="92" t="str">
        <f t="shared" si="66"/>
        <v/>
      </c>
      <c r="G9790" s="92"/>
      <c r="I9790">
        <v>6</v>
      </c>
      <c r="J9790" t="s">
        <v>26</v>
      </c>
      <c r="K9790" s="57"/>
      <c r="S9790" s="57"/>
      <c r="X9790" s="57"/>
    </row>
    <row r="9791" spans="1:24" hidden="1" x14ac:dyDescent="0.35">
      <c r="A9791">
        <v>9787</v>
      </c>
      <c r="B9791">
        <v>9788</v>
      </c>
      <c r="C9791">
        <v>146.108243219</v>
      </c>
      <c r="D9791">
        <v>-17.596827335099899</v>
      </c>
      <c r="E9791" s="92" t="str">
        <f t="shared" si="66"/>
        <v/>
      </c>
      <c r="G9791" s="92"/>
      <c r="I9791">
        <v>6</v>
      </c>
      <c r="J9791" t="s">
        <v>26</v>
      </c>
      <c r="K9791" s="57"/>
      <c r="S9791" s="57"/>
      <c r="X9791" s="57"/>
    </row>
    <row r="9792" spans="1:24" hidden="1" x14ac:dyDescent="0.35">
      <c r="A9792">
        <v>9788</v>
      </c>
      <c r="B9792">
        <v>9789</v>
      </c>
      <c r="C9792">
        <v>146.10826310300001</v>
      </c>
      <c r="D9792">
        <v>-17.596910839</v>
      </c>
      <c r="E9792" s="92" t="str">
        <f t="shared" si="66"/>
        <v/>
      </c>
      <c r="G9792" s="92"/>
      <c r="I9792">
        <v>6</v>
      </c>
      <c r="J9792" t="s">
        <v>26</v>
      </c>
      <c r="K9792" s="57"/>
      <c r="S9792" s="57"/>
      <c r="X9792" s="57"/>
    </row>
    <row r="9793" spans="1:24" hidden="1" x14ac:dyDescent="0.35">
      <c r="A9793">
        <v>9789</v>
      </c>
      <c r="B9793">
        <v>9790</v>
      </c>
      <c r="C9793">
        <v>146.10828298800001</v>
      </c>
      <c r="D9793">
        <v>-17.5969943429</v>
      </c>
      <c r="E9793" s="92">
        <f t="shared" si="66"/>
        <v>50</v>
      </c>
      <c r="G9793" s="92"/>
      <c r="I9793">
        <v>6</v>
      </c>
      <c r="J9793" t="s">
        <v>26</v>
      </c>
      <c r="K9793" s="57"/>
      <c r="S9793" s="57"/>
      <c r="X9793" s="57"/>
    </row>
    <row r="9794" spans="1:24" hidden="1" x14ac:dyDescent="0.35">
      <c r="A9794">
        <v>9790</v>
      </c>
      <c r="B9794">
        <v>9791</v>
      </c>
      <c r="C9794">
        <v>146.10830015900001</v>
      </c>
      <c r="D9794">
        <v>-17.597078374799899</v>
      </c>
      <c r="E9794" s="92" t="str">
        <f t="shared" si="66"/>
        <v/>
      </c>
      <c r="G9794" s="92"/>
      <c r="I9794">
        <v>6</v>
      </c>
      <c r="J9794" t="s">
        <v>26</v>
      </c>
      <c r="K9794" s="57"/>
      <c r="S9794" s="57"/>
      <c r="X9794" s="57"/>
    </row>
    <row r="9795" spans="1:24" hidden="1" x14ac:dyDescent="0.35">
      <c r="A9795">
        <v>9791</v>
      </c>
      <c r="B9795">
        <v>9792</v>
      </c>
      <c r="C9795">
        <v>146.108316204</v>
      </c>
      <c r="D9795">
        <v>-17.5971626257999</v>
      </c>
      <c r="E9795" s="92" t="str">
        <f t="shared" si="66"/>
        <v/>
      </c>
      <c r="G9795" s="92"/>
      <c r="I9795">
        <v>6</v>
      </c>
      <c r="J9795" t="s">
        <v>26</v>
      </c>
      <c r="K9795" s="57"/>
      <c r="S9795" s="57"/>
      <c r="X9795" s="57"/>
    </row>
    <row r="9796" spans="1:24" hidden="1" x14ac:dyDescent="0.35">
      <c r="A9796">
        <v>9792</v>
      </c>
      <c r="B9796">
        <v>9793</v>
      </c>
      <c r="C9796">
        <v>146.108320117999</v>
      </c>
      <c r="D9796">
        <v>-17.597247715400002</v>
      </c>
      <c r="E9796" s="92" t="str">
        <f t="shared" si="66"/>
        <v/>
      </c>
      <c r="G9796" s="92"/>
      <c r="I9796">
        <v>6</v>
      </c>
      <c r="J9796" t="s">
        <v>26</v>
      </c>
      <c r="K9796" s="57"/>
      <c r="S9796" s="57"/>
      <c r="X9796" s="57"/>
    </row>
    <row r="9797" spans="1:24" hidden="1" x14ac:dyDescent="0.35">
      <c r="A9797">
        <v>9793</v>
      </c>
      <c r="B9797">
        <v>9794</v>
      </c>
      <c r="C9797">
        <v>146.10831699299899</v>
      </c>
      <c r="D9797">
        <v>-17.597333291399899</v>
      </c>
      <c r="E9797" s="92" t="str">
        <f t="shared" si="66"/>
        <v/>
      </c>
      <c r="G9797" s="92"/>
      <c r="I9797">
        <v>6</v>
      </c>
      <c r="J9797" t="s">
        <v>26</v>
      </c>
      <c r="K9797" s="57"/>
      <c r="S9797" s="57"/>
      <c r="X9797" s="57"/>
    </row>
    <row r="9798" spans="1:24" hidden="1" x14ac:dyDescent="0.35">
      <c r="A9798">
        <v>9794</v>
      </c>
      <c r="B9798">
        <v>9795</v>
      </c>
      <c r="C9798">
        <v>146.10831281700001</v>
      </c>
      <c r="D9798">
        <v>-17.597418821400002</v>
      </c>
      <c r="E9798" s="92">
        <f t="shared" si="66"/>
        <v>50</v>
      </c>
      <c r="G9798" s="92"/>
      <c r="I9798">
        <v>6</v>
      </c>
      <c r="J9798" t="s">
        <v>26</v>
      </c>
      <c r="K9798" s="57"/>
      <c r="S9798" s="57"/>
      <c r="X9798" s="57"/>
    </row>
    <row r="9799" spans="1:24" hidden="1" x14ac:dyDescent="0.35">
      <c r="A9799">
        <v>9795</v>
      </c>
      <c r="B9799">
        <v>9796</v>
      </c>
      <c r="C9799">
        <v>146.10830770499899</v>
      </c>
      <c r="D9799">
        <v>-17.597504310400002</v>
      </c>
      <c r="E9799" s="92" t="str">
        <f t="shared" si="66"/>
        <v/>
      </c>
      <c r="G9799" s="92"/>
      <c r="I9799">
        <v>6</v>
      </c>
      <c r="J9799" t="s">
        <v>26</v>
      </c>
      <c r="K9799" s="57"/>
      <c r="S9799" s="57"/>
      <c r="X9799" s="57"/>
    </row>
    <row r="9800" spans="1:24" hidden="1" x14ac:dyDescent="0.35">
      <c r="A9800">
        <v>9796</v>
      </c>
      <c r="B9800">
        <v>9797</v>
      </c>
      <c r="C9800">
        <v>146.10829989300001</v>
      </c>
      <c r="D9800">
        <v>-17.5975892686</v>
      </c>
      <c r="E9800" s="92" t="str">
        <f t="shared" si="66"/>
        <v/>
      </c>
      <c r="G9800" s="92"/>
      <c r="I9800">
        <v>6</v>
      </c>
      <c r="J9800" t="s">
        <v>26</v>
      </c>
      <c r="K9800" s="57"/>
      <c r="S9800" s="57"/>
      <c r="X9800" s="57"/>
    </row>
    <row r="9801" spans="1:24" hidden="1" x14ac:dyDescent="0.35">
      <c r="A9801">
        <v>9797</v>
      </c>
      <c r="B9801">
        <v>9798</v>
      </c>
      <c r="C9801">
        <v>146.10826910700001</v>
      </c>
      <c r="D9801">
        <v>-17.5976697109</v>
      </c>
      <c r="E9801" s="92" t="str">
        <f t="shared" si="66"/>
        <v/>
      </c>
      <c r="G9801" s="92"/>
      <c r="I9801">
        <v>6</v>
      </c>
      <c r="J9801" t="s">
        <v>26</v>
      </c>
      <c r="K9801" s="57"/>
      <c r="S9801" s="57"/>
      <c r="X9801" s="57"/>
    </row>
    <row r="9802" spans="1:24" hidden="1" x14ac:dyDescent="0.35">
      <c r="A9802">
        <v>9798</v>
      </c>
      <c r="B9802">
        <v>9799</v>
      </c>
      <c r="C9802">
        <v>146.10823832099899</v>
      </c>
      <c r="D9802">
        <v>-17.597750153</v>
      </c>
      <c r="E9802" s="92" t="str">
        <f t="shared" si="66"/>
        <v/>
      </c>
      <c r="G9802" s="92"/>
      <c r="I9802">
        <v>6</v>
      </c>
      <c r="J9802" t="s">
        <v>26</v>
      </c>
      <c r="K9802" s="57"/>
      <c r="S9802" s="57"/>
      <c r="X9802" s="57"/>
    </row>
    <row r="9803" spans="1:24" hidden="1" x14ac:dyDescent="0.35">
      <c r="A9803">
        <v>9799</v>
      </c>
      <c r="B9803">
        <v>9800</v>
      </c>
      <c r="C9803">
        <v>146.108207534999</v>
      </c>
      <c r="D9803">
        <v>-17.5978305951</v>
      </c>
      <c r="E9803" s="92">
        <f t="shared" si="66"/>
        <v>50</v>
      </c>
      <c r="G9803" s="92"/>
      <c r="I9803">
        <v>6</v>
      </c>
      <c r="J9803" t="s">
        <v>26</v>
      </c>
      <c r="K9803" s="57"/>
      <c r="S9803" s="57"/>
      <c r="X9803" s="57"/>
    </row>
    <row r="9804" spans="1:24" hidden="1" x14ac:dyDescent="0.35">
      <c r="A9804">
        <v>9800</v>
      </c>
      <c r="B9804">
        <v>9801</v>
      </c>
      <c r="C9804">
        <v>146.108155006</v>
      </c>
      <c r="D9804">
        <v>-17.597899723400001</v>
      </c>
      <c r="E9804" s="92" t="str">
        <f t="shared" si="66"/>
        <v/>
      </c>
      <c r="G9804" s="92"/>
      <c r="I9804">
        <v>6</v>
      </c>
      <c r="J9804" t="s">
        <v>26</v>
      </c>
      <c r="K9804" s="57"/>
      <c r="S9804" s="57"/>
      <c r="X9804" s="57"/>
    </row>
    <row r="9805" spans="1:24" hidden="1" x14ac:dyDescent="0.35">
      <c r="A9805">
        <v>9801</v>
      </c>
      <c r="B9805">
        <v>9802</v>
      </c>
      <c r="C9805">
        <v>146.10810067099899</v>
      </c>
      <c r="D9805">
        <v>-17.597967912000001</v>
      </c>
      <c r="E9805" s="92" t="str">
        <f t="shared" si="66"/>
        <v/>
      </c>
      <c r="G9805" s="92"/>
      <c r="I9805">
        <v>6</v>
      </c>
      <c r="J9805" t="s">
        <v>26</v>
      </c>
      <c r="K9805" s="57"/>
      <c r="S9805" s="57"/>
      <c r="X9805" s="57"/>
    </row>
    <row r="9806" spans="1:24" hidden="1" x14ac:dyDescent="0.35">
      <c r="A9806">
        <v>9802</v>
      </c>
      <c r="B9806">
        <v>9803</v>
      </c>
      <c r="C9806">
        <v>146.108046336999</v>
      </c>
      <c r="D9806">
        <v>-17.598036100600002</v>
      </c>
      <c r="E9806" s="92" t="str">
        <f t="shared" si="66"/>
        <v/>
      </c>
      <c r="G9806" s="92"/>
      <c r="I9806">
        <v>6</v>
      </c>
      <c r="J9806" t="s">
        <v>26</v>
      </c>
      <c r="K9806" s="57"/>
      <c r="S9806" s="57"/>
      <c r="X9806" s="57"/>
    </row>
    <row r="9807" spans="1:24" hidden="1" x14ac:dyDescent="0.35">
      <c r="A9807">
        <v>9803</v>
      </c>
      <c r="B9807">
        <v>9804</v>
      </c>
      <c r="C9807">
        <v>146.107976105999</v>
      </c>
      <c r="D9807">
        <v>-17.5980893774999</v>
      </c>
      <c r="E9807" s="92" t="str">
        <f t="shared" si="66"/>
        <v/>
      </c>
      <c r="G9807" s="92"/>
      <c r="I9807">
        <v>6</v>
      </c>
      <c r="J9807" t="s">
        <v>26</v>
      </c>
      <c r="K9807" s="57"/>
      <c r="S9807" s="57"/>
      <c r="X9807" s="57"/>
    </row>
    <row r="9808" spans="1:24" hidden="1" x14ac:dyDescent="0.35">
      <c r="A9808">
        <v>9804</v>
      </c>
      <c r="B9808">
        <v>9805</v>
      </c>
      <c r="C9808">
        <v>146.107905447999</v>
      </c>
      <c r="D9808">
        <v>-17.598142253100001</v>
      </c>
      <c r="E9808" s="92">
        <f t="shared" ref="E9808:E9871" si="67">IF(MOD(B9808,5)=0, 50, "")</f>
        <v>50</v>
      </c>
      <c r="G9808" s="92"/>
      <c r="I9808">
        <v>6</v>
      </c>
      <c r="J9808" t="s">
        <v>26</v>
      </c>
      <c r="K9808" s="57"/>
      <c r="S9808" s="57"/>
      <c r="X9808" s="57"/>
    </row>
    <row r="9809" spans="1:24" hidden="1" x14ac:dyDescent="0.35">
      <c r="A9809">
        <v>9805</v>
      </c>
      <c r="B9809">
        <v>9806</v>
      </c>
      <c r="C9809">
        <v>146.107831443999</v>
      </c>
      <c r="D9809">
        <v>-17.598189919100001</v>
      </c>
      <c r="E9809" s="92" t="str">
        <f t="shared" si="67"/>
        <v/>
      </c>
      <c r="G9809" s="92"/>
      <c r="I9809">
        <v>6</v>
      </c>
      <c r="J9809" t="s">
        <v>26</v>
      </c>
      <c r="K9809" s="57"/>
      <c r="S9809" s="57"/>
      <c r="X9809" s="57"/>
    </row>
    <row r="9810" spans="1:24" hidden="1" x14ac:dyDescent="0.35">
      <c r="A9810">
        <v>9806</v>
      </c>
      <c r="B9810">
        <v>9807</v>
      </c>
      <c r="C9810">
        <v>146.107749901999</v>
      </c>
      <c r="D9810">
        <v>-17.5982258451</v>
      </c>
      <c r="E9810" s="92" t="str">
        <f t="shared" si="67"/>
        <v/>
      </c>
      <c r="G9810" s="92"/>
      <c r="I9810">
        <v>6</v>
      </c>
      <c r="J9810" t="s">
        <v>26</v>
      </c>
      <c r="K9810" s="57"/>
      <c r="S9810" s="57"/>
      <c r="X9810" s="57"/>
    </row>
    <row r="9811" spans="1:24" hidden="1" x14ac:dyDescent="0.35">
      <c r="A9811">
        <v>9807</v>
      </c>
      <c r="B9811">
        <v>9808</v>
      </c>
      <c r="C9811">
        <v>146.107668359</v>
      </c>
      <c r="D9811">
        <v>-17.598261771099899</v>
      </c>
      <c r="E9811" s="92" t="str">
        <f t="shared" si="67"/>
        <v/>
      </c>
      <c r="G9811" s="92"/>
      <c r="I9811">
        <v>6</v>
      </c>
      <c r="J9811" t="s">
        <v>26</v>
      </c>
      <c r="K9811" s="57"/>
      <c r="S9811" s="57"/>
      <c r="X9811" s="57"/>
    </row>
    <row r="9812" spans="1:24" hidden="1" x14ac:dyDescent="0.35">
      <c r="A9812">
        <v>9808</v>
      </c>
      <c r="B9812">
        <v>9809</v>
      </c>
      <c r="C9812">
        <v>146.10758705800001</v>
      </c>
      <c r="D9812">
        <v>-17.598298181699899</v>
      </c>
      <c r="E9812" s="92" t="str">
        <f t="shared" si="67"/>
        <v/>
      </c>
      <c r="G9812" s="92"/>
      <c r="I9812">
        <v>6</v>
      </c>
      <c r="J9812" t="s">
        <v>26</v>
      </c>
      <c r="K9812" s="57"/>
      <c r="S9812" s="57"/>
      <c r="X9812" s="57"/>
    </row>
    <row r="9813" spans="1:24" hidden="1" x14ac:dyDescent="0.35">
      <c r="A9813">
        <v>9809</v>
      </c>
      <c r="B9813">
        <v>9810</v>
      </c>
      <c r="C9813">
        <v>146.107506317</v>
      </c>
      <c r="D9813">
        <v>-17.598335716400001</v>
      </c>
      <c r="E9813" s="92">
        <f t="shared" si="67"/>
        <v>50</v>
      </c>
      <c r="G9813" s="92"/>
      <c r="I9813">
        <v>6</v>
      </c>
      <c r="J9813" t="s">
        <v>26</v>
      </c>
      <c r="K9813" s="57"/>
      <c r="S9813" s="57"/>
      <c r="X9813" s="57"/>
    </row>
    <row r="9814" spans="1:24" hidden="1" x14ac:dyDescent="0.35">
      <c r="A9814">
        <v>9810</v>
      </c>
      <c r="B9814">
        <v>9811</v>
      </c>
      <c r="C9814">
        <v>146.107425575999</v>
      </c>
      <c r="D9814">
        <v>-17.5983732511</v>
      </c>
      <c r="E9814" s="92" t="str">
        <f t="shared" si="67"/>
        <v/>
      </c>
      <c r="G9814" s="92"/>
      <c r="I9814">
        <v>6</v>
      </c>
      <c r="J9814" t="s">
        <v>26</v>
      </c>
      <c r="K9814" s="57"/>
      <c r="S9814" s="57"/>
      <c r="X9814" s="57"/>
    </row>
    <row r="9815" spans="1:24" hidden="1" x14ac:dyDescent="0.35">
      <c r="A9815">
        <v>9811</v>
      </c>
      <c r="B9815">
        <v>9812</v>
      </c>
      <c r="C9815">
        <v>146.107344834999</v>
      </c>
      <c r="D9815">
        <v>-17.598410785799899</v>
      </c>
      <c r="E9815" s="92" t="str">
        <f t="shared" si="67"/>
        <v/>
      </c>
      <c r="G9815" s="92"/>
      <c r="I9815">
        <v>6</v>
      </c>
      <c r="J9815" t="s">
        <v>26</v>
      </c>
      <c r="K9815" s="57"/>
      <c r="S9815" s="57"/>
      <c r="X9815" s="57"/>
    </row>
    <row r="9816" spans="1:24" hidden="1" x14ac:dyDescent="0.35">
      <c r="A9816">
        <v>9812</v>
      </c>
      <c r="B9816">
        <v>9813</v>
      </c>
      <c r="C9816">
        <v>146.107262345999</v>
      </c>
      <c r="D9816">
        <v>-17.598444488399899</v>
      </c>
      <c r="E9816" s="92" t="str">
        <f t="shared" si="67"/>
        <v/>
      </c>
      <c r="G9816" s="92"/>
      <c r="I9816">
        <v>6</v>
      </c>
      <c r="J9816" t="s">
        <v>26</v>
      </c>
      <c r="K9816" s="57"/>
      <c r="S9816" s="57"/>
      <c r="X9816" s="57"/>
    </row>
    <row r="9817" spans="1:24" hidden="1" x14ac:dyDescent="0.35">
      <c r="A9817">
        <v>9813</v>
      </c>
      <c r="B9817">
        <v>9814</v>
      </c>
      <c r="C9817">
        <v>146.107178476999</v>
      </c>
      <c r="D9817">
        <v>-17.5984751644</v>
      </c>
      <c r="E9817" s="92" t="str">
        <f t="shared" si="67"/>
        <v/>
      </c>
      <c r="G9817" s="92"/>
      <c r="I9817">
        <v>6</v>
      </c>
      <c r="J9817" t="s">
        <v>26</v>
      </c>
      <c r="K9817" s="57"/>
      <c r="S9817" s="57"/>
      <c r="X9817" s="57"/>
    </row>
    <row r="9818" spans="1:24" hidden="1" x14ac:dyDescent="0.35">
      <c r="A9818">
        <v>9814</v>
      </c>
      <c r="B9818">
        <v>9815</v>
      </c>
      <c r="C9818">
        <v>146.10709460800001</v>
      </c>
      <c r="D9818">
        <v>-17.598505840400001</v>
      </c>
      <c r="E9818" s="92">
        <f t="shared" si="67"/>
        <v>50</v>
      </c>
      <c r="G9818" s="92"/>
      <c r="I9818">
        <v>6</v>
      </c>
      <c r="J9818" t="s">
        <v>26</v>
      </c>
      <c r="K9818" s="57"/>
      <c r="S9818" s="57"/>
      <c r="X9818" s="57"/>
    </row>
    <row r="9819" spans="1:24" hidden="1" x14ac:dyDescent="0.35">
      <c r="A9819">
        <v>9815</v>
      </c>
      <c r="B9819">
        <v>9816</v>
      </c>
      <c r="C9819">
        <v>146.107010739</v>
      </c>
      <c r="D9819">
        <v>-17.5985365163999</v>
      </c>
      <c r="E9819" s="92" t="str">
        <f t="shared" si="67"/>
        <v/>
      </c>
      <c r="G9819" s="92"/>
      <c r="I9819">
        <v>6</v>
      </c>
      <c r="J9819" t="s">
        <v>26</v>
      </c>
      <c r="K9819" s="57"/>
      <c r="S9819" s="57"/>
      <c r="X9819" s="57"/>
    </row>
    <row r="9820" spans="1:24" hidden="1" x14ac:dyDescent="0.35">
      <c r="A9820">
        <v>9816</v>
      </c>
      <c r="B9820">
        <v>9817</v>
      </c>
      <c r="C9820">
        <v>146.106926869999</v>
      </c>
      <c r="D9820">
        <v>-17.598567192400001</v>
      </c>
      <c r="E9820" s="92" t="str">
        <f t="shared" si="67"/>
        <v/>
      </c>
      <c r="G9820" s="92"/>
      <c r="I9820">
        <v>6</v>
      </c>
      <c r="J9820" t="s">
        <v>26</v>
      </c>
      <c r="K9820" s="57"/>
      <c r="S9820" s="57"/>
      <c r="X9820" s="57"/>
    </row>
    <row r="9821" spans="1:24" hidden="1" x14ac:dyDescent="0.35">
      <c r="A9821">
        <v>9817</v>
      </c>
      <c r="B9821">
        <v>9818</v>
      </c>
      <c r="C9821">
        <v>146.10684300099899</v>
      </c>
      <c r="D9821">
        <v>-17.598597868399899</v>
      </c>
      <c r="E9821" s="92" t="str">
        <f t="shared" si="67"/>
        <v/>
      </c>
      <c r="G9821" s="92"/>
      <c r="I9821">
        <v>6</v>
      </c>
      <c r="J9821" t="s">
        <v>26</v>
      </c>
      <c r="K9821" s="57"/>
      <c r="S9821" s="57"/>
      <c r="X9821" s="57"/>
    </row>
    <row r="9822" spans="1:24" hidden="1" x14ac:dyDescent="0.35">
      <c r="A9822">
        <v>9818</v>
      </c>
      <c r="B9822">
        <v>9819</v>
      </c>
      <c r="C9822">
        <v>146.10675913200001</v>
      </c>
      <c r="D9822">
        <v>-17.5986285444</v>
      </c>
      <c r="E9822" s="92" t="str">
        <f t="shared" si="67"/>
        <v/>
      </c>
      <c r="G9822" s="92"/>
      <c r="I9822">
        <v>6</v>
      </c>
      <c r="J9822" t="s">
        <v>26</v>
      </c>
      <c r="K9822" s="57"/>
      <c r="S9822" s="57"/>
      <c r="X9822" s="57"/>
    </row>
    <row r="9823" spans="1:24" hidden="1" x14ac:dyDescent="0.35">
      <c r="A9823">
        <v>9819</v>
      </c>
      <c r="B9823">
        <v>9820</v>
      </c>
      <c r="C9823">
        <v>146.10667626700001</v>
      </c>
      <c r="D9823">
        <v>-17.5986614460999</v>
      </c>
      <c r="E9823" s="92">
        <f t="shared" si="67"/>
        <v>50</v>
      </c>
      <c r="G9823" s="92"/>
      <c r="I9823">
        <v>6</v>
      </c>
      <c r="J9823" t="s">
        <v>26</v>
      </c>
      <c r="K9823" s="57"/>
      <c r="S9823" s="57"/>
      <c r="X9823" s="57"/>
    </row>
    <row r="9824" spans="1:24" hidden="1" x14ac:dyDescent="0.35">
      <c r="A9824">
        <v>9820</v>
      </c>
      <c r="B9824">
        <v>9821</v>
      </c>
      <c r="C9824">
        <v>146.10659521599899</v>
      </c>
      <c r="D9824">
        <v>-17.598698367000001</v>
      </c>
      <c r="E9824" s="92" t="str">
        <f t="shared" si="67"/>
        <v/>
      </c>
      <c r="G9824" s="92"/>
      <c r="I9824">
        <v>6</v>
      </c>
      <c r="J9824" t="s">
        <v>26</v>
      </c>
      <c r="K9824" s="57"/>
      <c r="S9824" s="57"/>
      <c r="X9824" s="57"/>
    </row>
    <row r="9825" spans="1:24" hidden="1" x14ac:dyDescent="0.35">
      <c r="A9825">
        <v>9821</v>
      </c>
      <c r="B9825">
        <v>9822</v>
      </c>
      <c r="C9825">
        <v>146.106514164</v>
      </c>
      <c r="D9825">
        <v>-17.598735287899899</v>
      </c>
      <c r="E9825" s="92" t="str">
        <f t="shared" si="67"/>
        <v/>
      </c>
      <c r="G9825" s="92"/>
      <c r="I9825">
        <v>6</v>
      </c>
      <c r="J9825" t="s">
        <v>26</v>
      </c>
      <c r="K9825" s="57"/>
      <c r="S9825" s="57"/>
      <c r="X9825" s="57"/>
    </row>
    <row r="9826" spans="1:24" hidden="1" x14ac:dyDescent="0.35">
      <c r="A9826">
        <v>9822</v>
      </c>
      <c r="B9826">
        <v>9823</v>
      </c>
      <c r="C9826">
        <v>146.106433111999</v>
      </c>
      <c r="D9826">
        <v>-17.5987722088</v>
      </c>
      <c r="E9826" s="92" t="str">
        <f t="shared" si="67"/>
        <v/>
      </c>
      <c r="G9826" s="92"/>
      <c r="I9826">
        <v>6</v>
      </c>
      <c r="J9826" t="s">
        <v>26</v>
      </c>
      <c r="K9826" s="57"/>
      <c r="S9826" s="57"/>
      <c r="X9826" s="57"/>
    </row>
    <row r="9827" spans="1:24" hidden="1" x14ac:dyDescent="0.35">
      <c r="A9827">
        <v>9823</v>
      </c>
      <c r="B9827">
        <v>9824</v>
      </c>
      <c r="C9827">
        <v>146.10636330400001</v>
      </c>
      <c r="D9827">
        <v>-17.598824657600002</v>
      </c>
      <c r="E9827" s="92" t="str">
        <f t="shared" si="67"/>
        <v/>
      </c>
      <c r="G9827" s="92"/>
      <c r="I9827">
        <v>6</v>
      </c>
      <c r="J9827" t="s">
        <v>26</v>
      </c>
      <c r="K9827" s="57"/>
      <c r="S9827" s="57"/>
      <c r="X9827" s="57"/>
    </row>
    <row r="9828" spans="1:24" hidden="1" x14ac:dyDescent="0.35">
      <c r="A9828">
        <v>9824</v>
      </c>
      <c r="B9828">
        <v>9825</v>
      </c>
      <c r="C9828">
        <v>146.106298342999</v>
      </c>
      <c r="D9828">
        <v>-17.598883800100001</v>
      </c>
      <c r="E9828" s="92">
        <f t="shared" si="67"/>
        <v>50</v>
      </c>
      <c r="G9828" s="92"/>
      <c r="I9828">
        <v>6</v>
      </c>
      <c r="J9828" t="s">
        <v>26</v>
      </c>
      <c r="K9828" s="57"/>
      <c r="S9828" s="57"/>
      <c r="X9828" s="57"/>
    </row>
    <row r="9829" spans="1:24" hidden="1" x14ac:dyDescent="0.35">
      <c r="A9829">
        <v>9825</v>
      </c>
      <c r="B9829">
        <v>9826</v>
      </c>
      <c r="C9829">
        <v>146.10623756499899</v>
      </c>
      <c r="D9829">
        <v>-17.5989466867</v>
      </c>
      <c r="E9829" s="92" t="str">
        <f t="shared" si="67"/>
        <v/>
      </c>
      <c r="G9829" s="92"/>
      <c r="I9829">
        <v>6</v>
      </c>
      <c r="J9829" t="s">
        <v>26</v>
      </c>
      <c r="K9829" s="57"/>
      <c r="S9829" s="57"/>
      <c r="X9829" s="57"/>
    </row>
    <row r="9830" spans="1:24" hidden="1" x14ac:dyDescent="0.35">
      <c r="A9830">
        <v>9826</v>
      </c>
      <c r="B9830">
        <v>9827</v>
      </c>
      <c r="C9830">
        <v>146.10617972</v>
      </c>
      <c r="D9830">
        <v>-17.599012199000001</v>
      </c>
      <c r="E9830" s="92" t="str">
        <f t="shared" si="67"/>
        <v/>
      </c>
      <c r="G9830" s="92"/>
      <c r="I9830">
        <v>6</v>
      </c>
      <c r="J9830" t="s">
        <v>26</v>
      </c>
      <c r="K9830" s="57"/>
      <c r="S9830" s="57"/>
      <c r="X9830" s="57"/>
    </row>
    <row r="9831" spans="1:24" hidden="1" x14ac:dyDescent="0.35">
      <c r="A9831">
        <v>9827</v>
      </c>
      <c r="B9831">
        <v>9828</v>
      </c>
      <c r="C9831">
        <v>146.106122193</v>
      </c>
      <c r="D9831">
        <v>-17.5990779063</v>
      </c>
      <c r="E9831" s="92" t="str">
        <f t="shared" si="67"/>
        <v/>
      </c>
      <c r="G9831" s="92"/>
      <c r="I9831">
        <v>6</v>
      </c>
      <c r="J9831" t="s">
        <v>26</v>
      </c>
      <c r="K9831" s="57"/>
      <c r="S9831" s="57"/>
      <c r="X9831" s="57"/>
    </row>
    <row r="9832" spans="1:24" hidden="1" x14ac:dyDescent="0.35">
      <c r="A9832">
        <v>9828</v>
      </c>
      <c r="B9832">
        <v>9829</v>
      </c>
      <c r="C9832">
        <v>146.10608346000001</v>
      </c>
      <c r="D9832">
        <v>-17.599155165300001</v>
      </c>
      <c r="E9832" s="92" t="str">
        <f t="shared" si="67"/>
        <v/>
      </c>
      <c r="G9832" s="92"/>
      <c r="I9832">
        <v>6</v>
      </c>
      <c r="J9832" t="s">
        <v>26</v>
      </c>
      <c r="K9832" s="57"/>
      <c r="S9832" s="57"/>
      <c r="X9832" s="57"/>
    </row>
    <row r="9833" spans="1:24" hidden="1" x14ac:dyDescent="0.35">
      <c r="A9833">
        <v>9829</v>
      </c>
      <c r="B9833">
        <v>9830</v>
      </c>
      <c r="C9833">
        <v>146.106044728</v>
      </c>
      <c r="D9833">
        <v>-17.5992324242</v>
      </c>
      <c r="E9833" s="92">
        <f t="shared" si="67"/>
        <v>50</v>
      </c>
      <c r="G9833" s="92"/>
      <c r="I9833">
        <v>6</v>
      </c>
      <c r="J9833" t="s">
        <v>26</v>
      </c>
      <c r="K9833" s="57"/>
      <c r="S9833" s="57"/>
      <c r="X9833" s="57"/>
    </row>
    <row r="9834" spans="1:24" hidden="1" x14ac:dyDescent="0.35">
      <c r="A9834">
        <v>9830</v>
      </c>
      <c r="B9834">
        <v>9831</v>
      </c>
      <c r="C9834">
        <v>146.10601218900001</v>
      </c>
      <c r="D9834">
        <v>-17.599311284399899</v>
      </c>
      <c r="E9834" s="92" t="str">
        <f t="shared" si="67"/>
        <v/>
      </c>
      <c r="G9834" s="92"/>
      <c r="I9834">
        <v>6</v>
      </c>
      <c r="J9834" t="s">
        <v>26</v>
      </c>
      <c r="K9834" s="57"/>
      <c r="S9834" s="57"/>
      <c r="X9834" s="57"/>
    </row>
    <row r="9835" spans="1:24" hidden="1" x14ac:dyDescent="0.35">
      <c r="A9835">
        <v>9831</v>
      </c>
      <c r="B9835">
        <v>9832</v>
      </c>
      <c r="C9835">
        <v>146.106004648999</v>
      </c>
      <c r="D9835">
        <v>-17.5993966091999</v>
      </c>
      <c r="E9835" s="92" t="str">
        <f t="shared" si="67"/>
        <v/>
      </c>
      <c r="G9835" s="92"/>
      <c r="I9835">
        <v>6</v>
      </c>
      <c r="J9835" t="s">
        <v>26</v>
      </c>
      <c r="K9835" s="57"/>
      <c r="S9835" s="57"/>
      <c r="X9835" s="57"/>
    </row>
    <row r="9836" spans="1:24" hidden="1" x14ac:dyDescent="0.35">
      <c r="A9836">
        <v>9832</v>
      </c>
      <c r="B9836">
        <v>9833</v>
      </c>
      <c r="C9836">
        <v>146.10599710899899</v>
      </c>
      <c r="D9836">
        <v>-17.599481933900002</v>
      </c>
      <c r="E9836" s="92" t="str">
        <f t="shared" si="67"/>
        <v/>
      </c>
      <c r="G9836" s="92"/>
      <c r="I9836">
        <v>6</v>
      </c>
      <c r="J9836" t="s">
        <v>26</v>
      </c>
      <c r="K9836" s="57"/>
      <c r="S9836" s="57"/>
      <c r="X9836" s="57"/>
    </row>
    <row r="9837" spans="1:24" hidden="1" x14ac:dyDescent="0.35">
      <c r="A9837">
        <v>9833</v>
      </c>
      <c r="B9837">
        <v>9834</v>
      </c>
      <c r="C9837">
        <v>146.10598958400001</v>
      </c>
      <c r="D9837">
        <v>-17.599567259299899</v>
      </c>
      <c r="E9837" s="92" t="str">
        <f t="shared" si="67"/>
        <v/>
      </c>
      <c r="G9837" s="92"/>
      <c r="I9837">
        <v>6</v>
      </c>
      <c r="J9837" t="s">
        <v>26</v>
      </c>
      <c r="K9837" s="57"/>
      <c r="S9837" s="57"/>
      <c r="X9837" s="57"/>
    </row>
    <row r="9838" spans="1:24" hidden="1" x14ac:dyDescent="0.35">
      <c r="A9838">
        <v>9834</v>
      </c>
      <c r="B9838">
        <v>9835</v>
      </c>
      <c r="C9838">
        <v>146.10598693200001</v>
      </c>
      <c r="D9838">
        <v>-17.599652848800002</v>
      </c>
      <c r="E9838" s="92">
        <f t="shared" si="67"/>
        <v>50</v>
      </c>
      <c r="G9838" s="92"/>
      <c r="I9838">
        <v>6</v>
      </c>
      <c r="J9838" t="s">
        <v>26</v>
      </c>
      <c r="K9838" s="57"/>
      <c r="S9838" s="57"/>
      <c r="X9838" s="57"/>
    </row>
    <row r="9839" spans="1:24" hidden="1" x14ac:dyDescent="0.35">
      <c r="A9839">
        <v>9835</v>
      </c>
      <c r="B9839">
        <v>9836</v>
      </c>
      <c r="C9839">
        <v>146.10598428</v>
      </c>
      <c r="D9839">
        <v>-17.5997384381999</v>
      </c>
      <c r="E9839" s="92" t="str">
        <f t="shared" si="67"/>
        <v/>
      </c>
      <c r="G9839" s="92"/>
      <c r="I9839">
        <v>6</v>
      </c>
      <c r="J9839" t="s">
        <v>26</v>
      </c>
      <c r="K9839" s="57"/>
      <c r="S9839" s="57"/>
      <c r="X9839" s="57"/>
    </row>
    <row r="9840" spans="1:24" hidden="1" x14ac:dyDescent="0.35">
      <c r="A9840">
        <v>9836</v>
      </c>
      <c r="B9840">
        <v>9837</v>
      </c>
      <c r="C9840">
        <v>146.105988537999</v>
      </c>
      <c r="D9840">
        <v>-17.599823661799899</v>
      </c>
      <c r="E9840" s="92" t="str">
        <f t="shared" si="67"/>
        <v/>
      </c>
      <c r="G9840" s="92"/>
      <c r="I9840">
        <v>6</v>
      </c>
      <c r="J9840" t="s">
        <v>26</v>
      </c>
      <c r="K9840" s="57"/>
      <c r="S9840" s="57"/>
      <c r="X9840" s="57"/>
    </row>
    <row r="9841" spans="1:24" hidden="1" x14ac:dyDescent="0.35">
      <c r="A9841">
        <v>9837</v>
      </c>
      <c r="B9841">
        <v>9838</v>
      </c>
      <c r="C9841">
        <v>146.106001112999</v>
      </c>
      <c r="D9841">
        <v>-17.599908445400001</v>
      </c>
      <c r="E9841" s="92" t="str">
        <f t="shared" si="67"/>
        <v/>
      </c>
      <c r="G9841" s="92"/>
      <c r="I9841">
        <v>6</v>
      </c>
      <c r="J9841" t="s">
        <v>26</v>
      </c>
      <c r="K9841" s="57"/>
      <c r="S9841" s="57"/>
      <c r="X9841" s="57"/>
    </row>
    <row r="9842" spans="1:24" hidden="1" x14ac:dyDescent="0.35">
      <c r="A9842">
        <v>9838</v>
      </c>
      <c r="B9842">
        <v>9839</v>
      </c>
      <c r="C9842">
        <v>146.10601903899899</v>
      </c>
      <c r="D9842">
        <v>-17.599991887800002</v>
      </c>
      <c r="E9842" s="92" t="str">
        <f t="shared" si="67"/>
        <v/>
      </c>
      <c r="G9842" s="92"/>
      <c r="I9842">
        <v>6</v>
      </c>
      <c r="J9842" t="s">
        <v>26</v>
      </c>
      <c r="K9842" s="57"/>
      <c r="S9842" s="57"/>
      <c r="X9842" s="57"/>
    </row>
    <row r="9843" spans="1:24" hidden="1" x14ac:dyDescent="0.35">
      <c r="A9843">
        <v>9839</v>
      </c>
      <c r="B9843">
        <v>9840</v>
      </c>
      <c r="C9843">
        <v>146.106051833999</v>
      </c>
      <c r="D9843">
        <v>-17.6000716046</v>
      </c>
      <c r="E9843" s="92">
        <f t="shared" si="67"/>
        <v>50</v>
      </c>
      <c r="G9843" s="92"/>
      <c r="I9843">
        <v>6</v>
      </c>
      <c r="J9843" t="s">
        <v>26</v>
      </c>
      <c r="K9843" s="57"/>
      <c r="S9843" s="57"/>
      <c r="X9843" s="57"/>
    </row>
    <row r="9844" spans="1:24" hidden="1" x14ac:dyDescent="0.35">
      <c r="A9844">
        <v>9840</v>
      </c>
      <c r="B9844">
        <v>9841</v>
      </c>
      <c r="C9844">
        <v>146.106084627999</v>
      </c>
      <c r="D9844">
        <v>-17.600151321399899</v>
      </c>
      <c r="E9844" s="92" t="str">
        <f t="shared" si="67"/>
        <v/>
      </c>
      <c r="G9844" s="92"/>
      <c r="I9844">
        <v>6</v>
      </c>
      <c r="J9844" t="s">
        <v>26</v>
      </c>
      <c r="K9844" s="57"/>
      <c r="S9844" s="57"/>
      <c r="X9844" s="57"/>
    </row>
    <row r="9845" spans="1:24" hidden="1" x14ac:dyDescent="0.35">
      <c r="A9845">
        <v>9841</v>
      </c>
      <c r="B9845">
        <v>9842</v>
      </c>
      <c r="C9845">
        <v>146.10613058499899</v>
      </c>
      <c r="D9845">
        <v>-17.600224684000001</v>
      </c>
      <c r="E9845" s="92" t="str">
        <f t="shared" si="67"/>
        <v/>
      </c>
      <c r="G9845" s="92"/>
      <c r="I9845">
        <v>6</v>
      </c>
      <c r="J9845" t="s">
        <v>26</v>
      </c>
      <c r="K9845" s="57"/>
      <c r="S9845" s="57"/>
      <c r="X9845" s="57"/>
    </row>
    <row r="9846" spans="1:24" hidden="1" x14ac:dyDescent="0.35">
      <c r="A9846">
        <v>9842</v>
      </c>
      <c r="B9846">
        <v>9843</v>
      </c>
      <c r="C9846">
        <v>146.10617859600001</v>
      </c>
      <c r="D9846">
        <v>-17.600297055199899</v>
      </c>
      <c r="E9846" s="92" t="str">
        <f t="shared" si="67"/>
        <v/>
      </c>
      <c r="G9846" s="92"/>
      <c r="I9846">
        <v>6</v>
      </c>
      <c r="J9846" t="s">
        <v>26</v>
      </c>
      <c r="K9846" s="57"/>
      <c r="S9846" s="57"/>
      <c r="X9846" s="57"/>
    </row>
    <row r="9847" spans="1:24" hidden="1" x14ac:dyDescent="0.35">
      <c r="A9847">
        <v>9843</v>
      </c>
      <c r="B9847">
        <v>9844</v>
      </c>
      <c r="C9847">
        <v>146.106246322</v>
      </c>
      <c r="D9847">
        <v>-17.600351220499899</v>
      </c>
      <c r="E9847" s="92" t="str">
        <f t="shared" si="67"/>
        <v/>
      </c>
      <c r="G9847" s="92"/>
      <c r="I9847">
        <v>6</v>
      </c>
      <c r="J9847" t="s">
        <v>26</v>
      </c>
      <c r="K9847" s="57"/>
      <c r="S9847" s="57"/>
      <c r="X9847" s="57"/>
    </row>
    <row r="9848" spans="1:24" hidden="1" x14ac:dyDescent="0.35">
      <c r="A9848">
        <v>9844</v>
      </c>
      <c r="B9848">
        <v>9845</v>
      </c>
      <c r="C9848">
        <v>146.10632068800001</v>
      </c>
      <c r="D9848">
        <v>-17.6003992539999</v>
      </c>
      <c r="E9848" s="92">
        <f t="shared" si="67"/>
        <v>50</v>
      </c>
      <c r="G9848" s="92"/>
      <c r="I9848">
        <v>6</v>
      </c>
      <c r="J9848" t="s">
        <v>26</v>
      </c>
      <c r="K9848" s="57"/>
      <c r="S9848" s="57"/>
      <c r="X9848" s="57"/>
    </row>
    <row r="9849" spans="1:24" hidden="1" x14ac:dyDescent="0.35">
      <c r="A9849">
        <v>9845</v>
      </c>
      <c r="B9849">
        <v>9846</v>
      </c>
      <c r="C9849">
        <v>146.106402895999</v>
      </c>
      <c r="D9849">
        <v>-17.600433454200001</v>
      </c>
      <c r="E9849" s="92" t="str">
        <f t="shared" si="67"/>
        <v/>
      </c>
      <c r="G9849" s="92"/>
      <c r="I9849">
        <v>6</v>
      </c>
      <c r="J9849" t="s">
        <v>26</v>
      </c>
      <c r="K9849" s="57"/>
      <c r="S9849" s="57"/>
      <c r="X9849" s="57"/>
    </row>
    <row r="9850" spans="1:24" hidden="1" x14ac:dyDescent="0.35">
      <c r="A9850">
        <v>9846</v>
      </c>
      <c r="B9850">
        <v>9847</v>
      </c>
      <c r="C9850">
        <v>146.106485802999</v>
      </c>
      <c r="D9850">
        <v>-17.6004664196</v>
      </c>
      <c r="E9850" s="92" t="str">
        <f t="shared" si="67"/>
        <v/>
      </c>
      <c r="G9850" s="92"/>
      <c r="I9850">
        <v>6</v>
      </c>
      <c r="J9850" t="s">
        <v>26</v>
      </c>
      <c r="K9850" s="57"/>
      <c r="S9850" s="57"/>
      <c r="X9850" s="57"/>
    </row>
    <row r="9851" spans="1:24" hidden="1" x14ac:dyDescent="0.35">
      <c r="A9851">
        <v>9847</v>
      </c>
      <c r="B9851">
        <v>9848</v>
      </c>
      <c r="C9851">
        <v>146.10656871</v>
      </c>
      <c r="D9851">
        <v>-17.6004993849999</v>
      </c>
      <c r="E9851" s="92" t="str">
        <f t="shared" si="67"/>
        <v/>
      </c>
      <c r="G9851" s="92"/>
      <c r="I9851">
        <v>6</v>
      </c>
      <c r="J9851" t="s">
        <v>26</v>
      </c>
      <c r="K9851" s="57"/>
      <c r="S9851" s="57"/>
      <c r="X9851" s="57"/>
    </row>
    <row r="9852" spans="1:24" hidden="1" x14ac:dyDescent="0.35">
      <c r="A9852">
        <v>9848</v>
      </c>
      <c r="B9852">
        <v>9849</v>
      </c>
      <c r="C9852">
        <v>146.106654101</v>
      </c>
      <c r="D9852">
        <v>-17.6005258787999</v>
      </c>
      <c r="E9852" s="92" t="str">
        <f t="shared" si="67"/>
        <v/>
      </c>
      <c r="G9852" s="92"/>
      <c r="I9852">
        <v>6</v>
      </c>
      <c r="J9852" t="s">
        <v>26</v>
      </c>
      <c r="K9852" s="57"/>
      <c r="S9852" s="57"/>
      <c r="X9852" s="57"/>
    </row>
    <row r="9853" spans="1:24" hidden="1" x14ac:dyDescent="0.35">
      <c r="A9853">
        <v>9849</v>
      </c>
      <c r="B9853">
        <v>9850</v>
      </c>
      <c r="C9853">
        <v>146.106739752999</v>
      </c>
      <c r="D9853">
        <v>-17.600551693500002</v>
      </c>
      <c r="E9853" s="92">
        <f t="shared" si="67"/>
        <v>50</v>
      </c>
      <c r="G9853" s="92"/>
      <c r="I9853">
        <v>6</v>
      </c>
      <c r="J9853" t="s">
        <v>26</v>
      </c>
      <c r="K9853" s="57"/>
      <c r="S9853" s="57"/>
      <c r="X9853" s="57"/>
    </row>
    <row r="9854" spans="1:24" hidden="1" x14ac:dyDescent="0.35">
      <c r="A9854">
        <v>9850</v>
      </c>
      <c r="B9854">
        <v>9851</v>
      </c>
      <c r="C9854">
        <v>146.106825404999</v>
      </c>
      <c r="D9854">
        <v>-17.600577508200001</v>
      </c>
      <c r="E9854" s="92" t="str">
        <f t="shared" si="67"/>
        <v/>
      </c>
      <c r="G9854" s="92"/>
      <c r="I9854">
        <v>6</v>
      </c>
      <c r="J9854" t="s">
        <v>26</v>
      </c>
      <c r="K9854" s="57"/>
      <c r="S9854" s="57"/>
      <c r="X9854" s="57"/>
    </row>
    <row r="9855" spans="1:24" hidden="1" x14ac:dyDescent="0.35">
      <c r="A9855">
        <v>9851</v>
      </c>
      <c r="B9855">
        <v>9852</v>
      </c>
      <c r="C9855">
        <v>146.106910102999</v>
      </c>
      <c r="D9855">
        <v>-17.600605709500002</v>
      </c>
      <c r="E9855" s="92" t="str">
        <f t="shared" si="67"/>
        <v/>
      </c>
      <c r="G9855" s="92"/>
      <c r="I9855">
        <v>6</v>
      </c>
      <c r="J9855" t="s">
        <v>26</v>
      </c>
      <c r="K9855" s="57"/>
      <c r="S9855" s="57"/>
      <c r="X9855" s="57"/>
    </row>
    <row r="9856" spans="1:24" hidden="1" x14ac:dyDescent="0.35">
      <c r="A9856">
        <v>9852</v>
      </c>
      <c r="B9856">
        <v>9853</v>
      </c>
      <c r="C9856">
        <v>146.106992050999</v>
      </c>
      <c r="D9856">
        <v>-17.6006407856</v>
      </c>
      <c r="E9856" s="92" t="str">
        <f t="shared" si="67"/>
        <v/>
      </c>
      <c r="G9856" s="92"/>
      <c r="I9856">
        <v>6</v>
      </c>
      <c r="J9856" t="s">
        <v>26</v>
      </c>
      <c r="K9856" s="57"/>
      <c r="S9856" s="57"/>
      <c r="X9856" s="57"/>
    </row>
    <row r="9857" spans="1:24" hidden="1" x14ac:dyDescent="0.35">
      <c r="A9857">
        <v>9853</v>
      </c>
      <c r="B9857">
        <v>9854</v>
      </c>
      <c r="C9857">
        <v>146.10707400000001</v>
      </c>
      <c r="D9857">
        <v>-17.600675861700001</v>
      </c>
      <c r="E9857" s="92" t="str">
        <f t="shared" si="67"/>
        <v/>
      </c>
      <c r="G9857" s="92"/>
      <c r="I9857">
        <v>6</v>
      </c>
      <c r="J9857" t="s">
        <v>26</v>
      </c>
      <c r="K9857" s="57"/>
      <c r="S9857" s="57"/>
      <c r="X9857" s="57"/>
    </row>
    <row r="9858" spans="1:24" hidden="1" x14ac:dyDescent="0.35">
      <c r="A9858">
        <v>9854</v>
      </c>
      <c r="B9858">
        <v>9855</v>
      </c>
      <c r="C9858">
        <v>146.10715594800001</v>
      </c>
      <c r="D9858">
        <v>-17.600710937799899</v>
      </c>
      <c r="E9858" s="92">
        <f t="shared" si="67"/>
        <v>50</v>
      </c>
      <c r="G9858" s="92"/>
      <c r="I9858">
        <v>6</v>
      </c>
      <c r="J9858" t="s">
        <v>26</v>
      </c>
      <c r="K9858" s="57"/>
      <c r="S9858" s="57"/>
      <c r="X9858" s="57"/>
    </row>
    <row r="9859" spans="1:24" hidden="1" x14ac:dyDescent="0.35">
      <c r="A9859">
        <v>9855</v>
      </c>
      <c r="B9859">
        <v>9856</v>
      </c>
      <c r="C9859">
        <v>146.107237620999</v>
      </c>
      <c r="D9859">
        <v>-17.6007465681</v>
      </c>
      <c r="E9859" s="92" t="str">
        <f t="shared" si="67"/>
        <v/>
      </c>
      <c r="G9859" s="92"/>
      <c r="I9859">
        <v>6</v>
      </c>
      <c r="J9859" t="s">
        <v>26</v>
      </c>
      <c r="K9859" s="57"/>
      <c r="S9859" s="57"/>
      <c r="X9859" s="57"/>
    </row>
    <row r="9860" spans="1:24" hidden="1" x14ac:dyDescent="0.35">
      <c r="A9860">
        <v>9856</v>
      </c>
      <c r="B9860">
        <v>9857</v>
      </c>
      <c r="C9860">
        <v>146.10731795500001</v>
      </c>
      <c r="D9860">
        <v>-17.600784888100002</v>
      </c>
      <c r="E9860" s="92" t="str">
        <f t="shared" si="67"/>
        <v/>
      </c>
      <c r="G9860" s="92"/>
      <c r="I9860">
        <v>6</v>
      </c>
      <c r="J9860" t="s">
        <v>26</v>
      </c>
      <c r="K9860" s="57"/>
      <c r="S9860" s="57"/>
      <c r="X9860" s="57"/>
    </row>
    <row r="9861" spans="1:24" hidden="1" x14ac:dyDescent="0.35">
      <c r="A9861">
        <v>9857</v>
      </c>
      <c r="B9861">
        <v>9858</v>
      </c>
      <c r="C9861">
        <v>146.10739828800001</v>
      </c>
      <c r="D9861">
        <v>-17.600823208000001</v>
      </c>
      <c r="E9861" s="92" t="str">
        <f t="shared" si="67"/>
        <v/>
      </c>
      <c r="G9861" s="92"/>
      <c r="I9861">
        <v>6</v>
      </c>
      <c r="J9861" t="s">
        <v>26</v>
      </c>
      <c r="K9861" s="57"/>
      <c r="S9861" s="57"/>
      <c r="X9861" s="57"/>
    </row>
    <row r="9862" spans="1:24" hidden="1" x14ac:dyDescent="0.35">
      <c r="A9862">
        <v>9858</v>
      </c>
      <c r="B9862">
        <v>9859</v>
      </c>
      <c r="C9862">
        <v>146.107478622</v>
      </c>
      <c r="D9862">
        <v>-17.6008615279999</v>
      </c>
      <c r="E9862" s="92" t="str">
        <f t="shared" si="67"/>
        <v/>
      </c>
      <c r="G9862" s="92"/>
      <c r="I9862">
        <v>6</v>
      </c>
      <c r="J9862" t="s">
        <v>26</v>
      </c>
      <c r="K9862" s="57"/>
      <c r="S9862" s="57"/>
      <c r="X9862" s="57"/>
    </row>
    <row r="9863" spans="1:24" hidden="1" x14ac:dyDescent="0.35">
      <c r="A9863">
        <v>9859</v>
      </c>
      <c r="B9863">
        <v>9860</v>
      </c>
      <c r="C9863">
        <v>146.107558974</v>
      </c>
      <c r="D9863">
        <v>-17.6008998032999</v>
      </c>
      <c r="E9863" s="92">
        <f t="shared" si="67"/>
        <v>50</v>
      </c>
      <c r="G9863" s="92"/>
      <c r="I9863">
        <v>6</v>
      </c>
      <c r="J9863" t="s">
        <v>26</v>
      </c>
      <c r="K9863" s="57"/>
      <c r="S9863" s="57"/>
      <c r="X9863" s="57"/>
    </row>
    <row r="9864" spans="1:24" hidden="1" x14ac:dyDescent="0.35">
      <c r="A9864">
        <v>9860</v>
      </c>
      <c r="B9864">
        <v>9861</v>
      </c>
      <c r="C9864">
        <v>146.10764558899899</v>
      </c>
      <c r="D9864">
        <v>-17.600922509099899</v>
      </c>
      <c r="E9864" s="92" t="str">
        <f t="shared" si="67"/>
        <v/>
      </c>
      <c r="G9864" s="92"/>
      <c r="I9864">
        <v>6</v>
      </c>
      <c r="J9864" t="s">
        <v>26</v>
      </c>
      <c r="K9864" s="57"/>
      <c r="S9864" s="57"/>
      <c r="X9864" s="57"/>
    </row>
    <row r="9865" spans="1:24" hidden="1" x14ac:dyDescent="0.35">
      <c r="A9865">
        <v>9861</v>
      </c>
      <c r="B9865">
        <v>9862</v>
      </c>
      <c r="C9865">
        <v>146.107732204999</v>
      </c>
      <c r="D9865">
        <v>-17.6009452149999</v>
      </c>
      <c r="E9865" s="92" t="str">
        <f t="shared" si="67"/>
        <v/>
      </c>
      <c r="G9865" s="92"/>
      <c r="I9865">
        <v>6</v>
      </c>
      <c r="J9865" t="s">
        <v>26</v>
      </c>
      <c r="K9865" s="57"/>
      <c r="S9865" s="57"/>
      <c r="X9865" s="57"/>
    </row>
    <row r="9866" spans="1:24" hidden="1" x14ac:dyDescent="0.35">
      <c r="A9866">
        <v>9862</v>
      </c>
      <c r="B9866">
        <v>9863</v>
      </c>
      <c r="C9866">
        <v>146.10781882000001</v>
      </c>
      <c r="D9866">
        <v>-17.600967920900001</v>
      </c>
      <c r="E9866" s="92" t="str">
        <f t="shared" si="67"/>
        <v/>
      </c>
      <c r="G9866" s="92"/>
      <c r="I9866">
        <v>6</v>
      </c>
      <c r="J9866" t="s">
        <v>26</v>
      </c>
      <c r="K9866" s="57"/>
      <c r="S9866" s="57"/>
      <c r="X9866" s="57"/>
    </row>
    <row r="9867" spans="1:24" hidden="1" x14ac:dyDescent="0.35">
      <c r="A9867">
        <v>9863</v>
      </c>
      <c r="B9867">
        <v>9864</v>
      </c>
      <c r="C9867">
        <v>146.10790543600001</v>
      </c>
      <c r="D9867">
        <v>-17.6009906267</v>
      </c>
      <c r="E9867" s="92" t="str">
        <f t="shared" si="67"/>
        <v/>
      </c>
      <c r="G9867" s="92"/>
      <c r="I9867">
        <v>6</v>
      </c>
      <c r="J9867" t="s">
        <v>26</v>
      </c>
      <c r="K9867" s="57"/>
      <c r="S9867" s="57"/>
      <c r="X9867" s="57"/>
    </row>
    <row r="9868" spans="1:24" hidden="1" x14ac:dyDescent="0.35">
      <c r="A9868">
        <v>9864</v>
      </c>
      <c r="B9868">
        <v>9865</v>
      </c>
      <c r="C9868">
        <v>146.10799205199899</v>
      </c>
      <c r="D9868">
        <v>-17.601013332600001</v>
      </c>
      <c r="E9868" s="92">
        <f t="shared" si="67"/>
        <v>50</v>
      </c>
      <c r="G9868" s="92"/>
      <c r="I9868">
        <v>6</v>
      </c>
      <c r="J9868" t="s">
        <v>26</v>
      </c>
      <c r="K9868" s="57"/>
      <c r="S9868" s="57"/>
      <c r="X9868" s="57"/>
    </row>
    <row r="9869" spans="1:24" hidden="1" x14ac:dyDescent="0.35">
      <c r="A9869">
        <v>9865</v>
      </c>
      <c r="B9869">
        <v>9866</v>
      </c>
      <c r="C9869">
        <v>146.108080035999</v>
      </c>
      <c r="D9869">
        <v>-17.601013805200001</v>
      </c>
      <c r="E9869" s="92" t="str">
        <f t="shared" si="67"/>
        <v/>
      </c>
      <c r="G9869" s="92"/>
      <c r="I9869">
        <v>6</v>
      </c>
      <c r="J9869" t="s">
        <v>26</v>
      </c>
      <c r="K9869" s="57"/>
      <c r="S9869" s="57"/>
      <c r="X9869" s="57"/>
    </row>
    <row r="9870" spans="1:24" hidden="1" x14ac:dyDescent="0.35">
      <c r="A9870">
        <v>9866</v>
      </c>
      <c r="B9870">
        <v>9867</v>
      </c>
      <c r="C9870">
        <v>146.108168841999</v>
      </c>
      <c r="D9870">
        <v>-17.601000908500001</v>
      </c>
      <c r="E9870" s="92" t="str">
        <f t="shared" si="67"/>
        <v/>
      </c>
      <c r="G9870" s="92"/>
      <c r="I9870">
        <v>6</v>
      </c>
      <c r="J9870" t="s">
        <v>26</v>
      </c>
      <c r="K9870" s="57"/>
      <c r="S9870" s="57"/>
      <c r="X9870" s="57"/>
    </row>
    <row r="9871" spans="1:24" hidden="1" x14ac:dyDescent="0.35">
      <c r="A9871">
        <v>9867</v>
      </c>
      <c r="B9871">
        <v>9868</v>
      </c>
      <c r="C9871">
        <v>146.10825258700001</v>
      </c>
      <c r="D9871">
        <v>-17.600973052099899</v>
      </c>
      <c r="E9871" s="92" t="str">
        <f t="shared" si="67"/>
        <v/>
      </c>
      <c r="G9871" s="92"/>
      <c r="I9871">
        <v>6</v>
      </c>
      <c r="J9871" t="s">
        <v>26</v>
      </c>
      <c r="K9871" s="57"/>
      <c r="S9871" s="57"/>
      <c r="X9871" s="57"/>
    </row>
    <row r="9872" spans="1:24" hidden="1" x14ac:dyDescent="0.35">
      <c r="A9872">
        <v>9868</v>
      </c>
      <c r="B9872">
        <v>9869</v>
      </c>
      <c r="C9872">
        <v>146.10833256500001</v>
      </c>
      <c r="D9872">
        <v>-17.600934061299899</v>
      </c>
      <c r="E9872" s="92" t="str">
        <f t="shared" ref="E9872:E9935" si="68">IF(MOD(B9872,5)=0, 50, "")</f>
        <v/>
      </c>
      <c r="G9872" s="92"/>
      <c r="I9872">
        <v>6</v>
      </c>
      <c r="J9872" t="s">
        <v>26</v>
      </c>
      <c r="K9872" s="57"/>
      <c r="S9872" s="57"/>
      <c r="X9872" s="57"/>
    </row>
    <row r="9873" spans="1:24" hidden="1" x14ac:dyDescent="0.35">
      <c r="A9873">
        <v>9869</v>
      </c>
      <c r="B9873">
        <v>9870</v>
      </c>
      <c r="C9873">
        <v>146.10841224800001</v>
      </c>
      <c r="D9873">
        <v>-17.600894574800002</v>
      </c>
      <c r="E9873" s="92">
        <f t="shared" si="68"/>
        <v>50</v>
      </c>
      <c r="G9873" s="92"/>
      <c r="I9873">
        <v>6</v>
      </c>
      <c r="J9873" t="s">
        <v>26</v>
      </c>
      <c r="K9873" s="57"/>
      <c r="S9873" s="57"/>
      <c r="X9873" s="57"/>
    </row>
    <row r="9874" spans="1:24" hidden="1" x14ac:dyDescent="0.35">
      <c r="A9874">
        <v>9870</v>
      </c>
      <c r="B9874">
        <v>9871</v>
      </c>
      <c r="C9874">
        <v>146.108488445999</v>
      </c>
      <c r="D9874">
        <v>-17.6008492252999</v>
      </c>
      <c r="E9874" s="92" t="str">
        <f t="shared" si="68"/>
        <v/>
      </c>
      <c r="G9874" s="92"/>
      <c r="I9874">
        <v>6</v>
      </c>
      <c r="J9874" t="s">
        <v>26</v>
      </c>
      <c r="K9874" s="57"/>
      <c r="S9874" s="57"/>
      <c r="X9874" s="57"/>
    </row>
    <row r="9875" spans="1:24" hidden="1" x14ac:dyDescent="0.35">
      <c r="A9875">
        <v>9871</v>
      </c>
      <c r="B9875">
        <v>9872</v>
      </c>
      <c r="C9875">
        <v>146.10856464400001</v>
      </c>
      <c r="D9875">
        <v>-17.6008038758</v>
      </c>
      <c r="E9875" s="92" t="str">
        <f t="shared" si="68"/>
        <v/>
      </c>
      <c r="G9875" s="92"/>
      <c r="I9875">
        <v>6</v>
      </c>
      <c r="J9875" t="s">
        <v>26</v>
      </c>
      <c r="K9875" s="57"/>
      <c r="S9875" s="57"/>
      <c r="X9875" s="57"/>
    </row>
    <row r="9876" spans="1:24" hidden="1" x14ac:dyDescent="0.35">
      <c r="A9876">
        <v>9872</v>
      </c>
      <c r="B9876">
        <v>9873</v>
      </c>
      <c r="C9876">
        <v>146.108640842</v>
      </c>
      <c r="D9876">
        <v>-17.6007585262</v>
      </c>
      <c r="E9876" s="92" t="str">
        <f t="shared" si="68"/>
        <v/>
      </c>
      <c r="G9876" s="92"/>
      <c r="I9876">
        <v>6</v>
      </c>
      <c r="J9876" t="s">
        <v>26</v>
      </c>
      <c r="K9876" s="57"/>
      <c r="S9876" s="57"/>
      <c r="X9876" s="57"/>
    </row>
    <row r="9877" spans="1:24" hidden="1" x14ac:dyDescent="0.35">
      <c r="A9877">
        <v>9873</v>
      </c>
      <c r="B9877">
        <v>9874</v>
      </c>
      <c r="C9877">
        <v>146.10871703999899</v>
      </c>
      <c r="D9877">
        <v>-17.600713176700001</v>
      </c>
      <c r="E9877" s="92" t="str">
        <f t="shared" si="68"/>
        <v/>
      </c>
      <c r="G9877" s="92"/>
      <c r="I9877">
        <v>6</v>
      </c>
      <c r="J9877" t="s">
        <v>26</v>
      </c>
      <c r="K9877" s="57"/>
      <c r="S9877" s="57"/>
      <c r="X9877" s="57"/>
    </row>
    <row r="9878" spans="1:24" hidden="1" x14ac:dyDescent="0.35">
      <c r="A9878">
        <v>9874</v>
      </c>
      <c r="B9878">
        <v>9875</v>
      </c>
      <c r="C9878">
        <v>146.10879132700001</v>
      </c>
      <c r="D9878">
        <v>-17.600665089300001</v>
      </c>
      <c r="E9878" s="92">
        <f t="shared" si="68"/>
        <v>50</v>
      </c>
      <c r="G9878" s="92"/>
      <c r="I9878">
        <v>6</v>
      </c>
      <c r="J9878" t="s">
        <v>26</v>
      </c>
      <c r="K9878" s="57"/>
      <c r="S9878" s="57"/>
      <c r="X9878" s="57"/>
    </row>
    <row r="9879" spans="1:24" hidden="1" x14ac:dyDescent="0.35">
      <c r="A9879">
        <v>9875</v>
      </c>
      <c r="B9879">
        <v>9876</v>
      </c>
      <c r="C9879">
        <v>146.10886463099899</v>
      </c>
      <c r="D9879">
        <v>-17.600615594800001</v>
      </c>
      <c r="E9879" s="92" t="str">
        <f t="shared" si="68"/>
        <v/>
      </c>
      <c r="G9879" s="92"/>
      <c r="I9879">
        <v>6</v>
      </c>
      <c r="J9879" t="s">
        <v>26</v>
      </c>
      <c r="K9879" s="57"/>
      <c r="S9879" s="57"/>
      <c r="X9879" s="57"/>
    </row>
    <row r="9880" spans="1:24" hidden="1" x14ac:dyDescent="0.35">
      <c r="A9880">
        <v>9876</v>
      </c>
      <c r="B9880">
        <v>9877</v>
      </c>
      <c r="C9880">
        <v>146.108937935</v>
      </c>
      <c r="D9880">
        <v>-17.600566100199899</v>
      </c>
      <c r="E9880" s="92" t="str">
        <f t="shared" si="68"/>
        <v/>
      </c>
      <c r="G9880" s="92"/>
      <c r="I9880">
        <v>6</v>
      </c>
      <c r="J9880" t="s">
        <v>26</v>
      </c>
      <c r="K9880" s="57"/>
      <c r="S9880" s="57"/>
      <c r="X9880" s="57"/>
    </row>
    <row r="9881" spans="1:24" hidden="1" x14ac:dyDescent="0.35">
      <c r="A9881">
        <v>9877</v>
      </c>
      <c r="B9881">
        <v>9878</v>
      </c>
      <c r="C9881">
        <v>146.10900889600001</v>
      </c>
      <c r="D9881">
        <v>-17.6005141591999</v>
      </c>
      <c r="E9881" s="92" t="str">
        <f t="shared" si="68"/>
        <v/>
      </c>
      <c r="G9881" s="92"/>
      <c r="I9881">
        <v>6</v>
      </c>
      <c r="J9881" t="s">
        <v>26</v>
      </c>
      <c r="K9881" s="57"/>
      <c r="S9881" s="57"/>
      <c r="X9881" s="57"/>
    </row>
    <row r="9882" spans="1:24" hidden="1" x14ac:dyDescent="0.35">
      <c r="A9882">
        <v>9878</v>
      </c>
      <c r="B9882">
        <v>9879</v>
      </c>
      <c r="C9882">
        <v>146.10906726299899</v>
      </c>
      <c r="D9882">
        <v>-17.6004490704</v>
      </c>
      <c r="E9882" s="92" t="str">
        <f t="shared" si="68"/>
        <v/>
      </c>
      <c r="G9882" s="92"/>
      <c r="I9882">
        <v>6</v>
      </c>
      <c r="J9882" t="s">
        <v>26</v>
      </c>
      <c r="K9882" s="57"/>
      <c r="S9882" s="57"/>
      <c r="X9882" s="57"/>
    </row>
    <row r="9883" spans="1:24" hidden="1" x14ac:dyDescent="0.35">
      <c r="A9883">
        <v>9879</v>
      </c>
      <c r="B9883">
        <v>9880</v>
      </c>
      <c r="C9883">
        <v>146.10912563100001</v>
      </c>
      <c r="D9883">
        <v>-17.600383981499899</v>
      </c>
      <c r="E9883" s="92">
        <f t="shared" si="68"/>
        <v>50</v>
      </c>
      <c r="G9883" s="92"/>
      <c r="I9883">
        <v>6</v>
      </c>
      <c r="J9883" t="s">
        <v>26</v>
      </c>
      <c r="K9883" s="57"/>
      <c r="S9883" s="57"/>
      <c r="X9883" s="57"/>
    </row>
    <row r="9884" spans="1:24" hidden="1" x14ac:dyDescent="0.35">
      <c r="A9884">
        <v>9880</v>
      </c>
      <c r="B9884">
        <v>9881</v>
      </c>
      <c r="C9884">
        <v>146.10917528799899</v>
      </c>
      <c r="D9884">
        <v>-17.600312707499899</v>
      </c>
      <c r="E9884" s="92" t="str">
        <f t="shared" si="68"/>
        <v/>
      </c>
      <c r="G9884" s="92"/>
      <c r="I9884">
        <v>6</v>
      </c>
      <c r="J9884" t="s">
        <v>26</v>
      </c>
      <c r="K9884" s="57"/>
      <c r="S9884" s="57"/>
      <c r="X9884" s="57"/>
    </row>
    <row r="9885" spans="1:24" hidden="1" x14ac:dyDescent="0.35">
      <c r="A9885">
        <v>9881</v>
      </c>
      <c r="B9885">
        <v>9882</v>
      </c>
      <c r="C9885">
        <v>146.109224009999</v>
      </c>
      <c r="D9885">
        <v>-17.6002407691999</v>
      </c>
      <c r="E9885" s="92" t="str">
        <f t="shared" si="68"/>
        <v/>
      </c>
      <c r="G9885" s="92"/>
      <c r="I9885">
        <v>6</v>
      </c>
      <c r="J9885" t="s">
        <v>26</v>
      </c>
      <c r="K9885" s="57"/>
      <c r="S9885" s="57"/>
      <c r="X9885" s="57"/>
    </row>
    <row r="9886" spans="1:24" hidden="1" x14ac:dyDescent="0.35">
      <c r="A9886">
        <v>9882</v>
      </c>
      <c r="B9886">
        <v>9883</v>
      </c>
      <c r="C9886">
        <v>146.10926669700001</v>
      </c>
      <c r="D9886">
        <v>-17.6001655074</v>
      </c>
      <c r="E9886" s="92" t="str">
        <f t="shared" si="68"/>
        <v/>
      </c>
      <c r="G9886" s="92"/>
      <c r="I9886">
        <v>6</v>
      </c>
      <c r="J9886" t="s">
        <v>26</v>
      </c>
      <c r="K9886" s="57"/>
      <c r="S9886" s="57"/>
      <c r="X9886" s="57"/>
    </row>
    <row r="9887" spans="1:24" hidden="1" x14ac:dyDescent="0.35">
      <c r="A9887">
        <v>9883</v>
      </c>
      <c r="B9887">
        <v>9884</v>
      </c>
      <c r="C9887">
        <v>146.109307741999</v>
      </c>
      <c r="D9887">
        <v>-17.600089341499899</v>
      </c>
      <c r="E9887" s="92" t="str">
        <f t="shared" si="68"/>
        <v/>
      </c>
      <c r="G9887" s="92"/>
      <c r="I9887">
        <v>6</v>
      </c>
      <c r="J9887" t="s">
        <v>26</v>
      </c>
      <c r="K9887" s="57"/>
      <c r="S9887" s="57"/>
      <c r="X9887" s="57"/>
    </row>
    <row r="9888" spans="1:24" hidden="1" x14ac:dyDescent="0.35">
      <c r="A9888">
        <v>9884</v>
      </c>
      <c r="B9888">
        <v>9885</v>
      </c>
      <c r="C9888">
        <v>146.10934878699899</v>
      </c>
      <c r="D9888">
        <v>-17.600013175600001</v>
      </c>
      <c r="E9888" s="92">
        <f t="shared" si="68"/>
        <v>50</v>
      </c>
      <c r="G9888" s="92"/>
      <c r="I9888">
        <v>6</v>
      </c>
      <c r="J9888" t="s">
        <v>26</v>
      </c>
      <c r="K9888" s="57"/>
      <c r="S9888" s="57"/>
      <c r="X9888" s="57"/>
    </row>
    <row r="9889" spans="1:24" hidden="1" x14ac:dyDescent="0.35">
      <c r="A9889">
        <v>9885</v>
      </c>
      <c r="B9889">
        <v>9886</v>
      </c>
      <c r="C9889">
        <v>146.10938983200001</v>
      </c>
      <c r="D9889">
        <v>-17.5999370097</v>
      </c>
      <c r="E9889" s="92" t="str">
        <f t="shared" si="68"/>
        <v/>
      </c>
      <c r="G9889" s="92"/>
      <c r="I9889">
        <v>6</v>
      </c>
      <c r="J9889" t="s">
        <v>26</v>
      </c>
      <c r="K9889" s="57"/>
      <c r="S9889" s="57"/>
      <c r="X9889" s="57"/>
    </row>
    <row r="9890" spans="1:24" hidden="1" x14ac:dyDescent="0.35">
      <c r="A9890">
        <v>9886</v>
      </c>
      <c r="B9890">
        <v>9887</v>
      </c>
      <c r="C9890">
        <v>146.109430876999</v>
      </c>
      <c r="D9890">
        <v>-17.5998608437</v>
      </c>
      <c r="E9890" s="92" t="str">
        <f t="shared" si="68"/>
        <v/>
      </c>
      <c r="G9890" s="92"/>
      <c r="I9890">
        <v>6</v>
      </c>
      <c r="J9890" t="s">
        <v>26</v>
      </c>
      <c r="K9890" s="57"/>
      <c r="S9890" s="57"/>
      <c r="X9890" s="57"/>
    </row>
    <row r="9891" spans="1:24" hidden="1" x14ac:dyDescent="0.35">
      <c r="A9891">
        <v>9887</v>
      </c>
      <c r="B9891">
        <v>9888</v>
      </c>
      <c r="C9891">
        <v>146.10947192200001</v>
      </c>
      <c r="D9891">
        <v>-17.599784677700001</v>
      </c>
      <c r="E9891" s="92" t="str">
        <f t="shared" si="68"/>
        <v/>
      </c>
      <c r="G9891" s="92"/>
      <c r="I9891">
        <v>6</v>
      </c>
      <c r="J9891" t="s">
        <v>26</v>
      </c>
      <c r="K9891" s="57"/>
      <c r="S9891" s="57"/>
      <c r="X9891" s="57"/>
    </row>
    <row r="9892" spans="1:24" hidden="1" x14ac:dyDescent="0.35">
      <c r="A9892">
        <v>9888</v>
      </c>
      <c r="B9892">
        <v>9889</v>
      </c>
      <c r="C9892">
        <v>146.109513507999</v>
      </c>
      <c r="D9892">
        <v>-17.5997087874999</v>
      </c>
      <c r="E9892" s="92" t="str">
        <f t="shared" si="68"/>
        <v/>
      </c>
      <c r="G9892" s="92"/>
      <c r="I9892">
        <v>6</v>
      </c>
      <c r="J9892" t="s">
        <v>26</v>
      </c>
      <c r="K9892" s="57"/>
      <c r="S9892" s="57"/>
      <c r="X9892" s="57"/>
    </row>
    <row r="9893" spans="1:24" hidden="1" x14ac:dyDescent="0.35">
      <c r="A9893">
        <v>9889</v>
      </c>
      <c r="B9893">
        <v>9890</v>
      </c>
      <c r="C9893">
        <v>146.10955709999899</v>
      </c>
      <c r="D9893">
        <v>-17.5996339183</v>
      </c>
      <c r="E9893" s="92">
        <f t="shared" si="68"/>
        <v>50</v>
      </c>
      <c r="G9893" s="92"/>
      <c r="I9893">
        <v>6</v>
      </c>
      <c r="J9893" t="s">
        <v>26</v>
      </c>
      <c r="K9893" s="57"/>
      <c r="S9893" s="57"/>
      <c r="X9893" s="57"/>
    </row>
    <row r="9894" spans="1:24" hidden="1" x14ac:dyDescent="0.35">
      <c r="A9894">
        <v>9890</v>
      </c>
      <c r="B9894">
        <v>9891</v>
      </c>
      <c r="C9894">
        <v>146.109600693</v>
      </c>
      <c r="D9894">
        <v>-17.599559049100002</v>
      </c>
      <c r="E9894" s="92" t="str">
        <f t="shared" si="68"/>
        <v/>
      </c>
      <c r="G9894" s="92"/>
      <c r="I9894">
        <v>6</v>
      </c>
      <c r="J9894" t="s">
        <v>26</v>
      </c>
      <c r="K9894" s="57"/>
      <c r="S9894" s="57"/>
      <c r="X9894" s="57"/>
    </row>
    <row r="9895" spans="1:24" hidden="1" x14ac:dyDescent="0.35">
      <c r="A9895">
        <v>9891</v>
      </c>
      <c r="B9895">
        <v>9892</v>
      </c>
      <c r="C9895">
        <v>146.109644285</v>
      </c>
      <c r="D9895">
        <v>-17.599484179800001</v>
      </c>
      <c r="E9895" s="92" t="str">
        <f t="shared" si="68"/>
        <v/>
      </c>
      <c r="G9895" s="92"/>
      <c r="I9895">
        <v>6</v>
      </c>
      <c r="J9895" t="s">
        <v>26</v>
      </c>
      <c r="K9895" s="57"/>
      <c r="S9895" s="57"/>
      <c r="X9895" s="57"/>
    </row>
    <row r="9896" spans="1:24" hidden="1" x14ac:dyDescent="0.35">
      <c r="A9896">
        <v>9892</v>
      </c>
      <c r="B9896">
        <v>9893</v>
      </c>
      <c r="C9896">
        <v>146.109687876999</v>
      </c>
      <c r="D9896">
        <v>-17.5994093105</v>
      </c>
      <c r="E9896" s="92" t="str">
        <f t="shared" si="68"/>
        <v/>
      </c>
      <c r="G9896" s="92"/>
      <c r="I9896">
        <v>6</v>
      </c>
      <c r="J9896" t="s">
        <v>26</v>
      </c>
      <c r="K9896" s="57"/>
      <c r="S9896" s="57"/>
      <c r="X9896" s="57"/>
    </row>
    <row r="9897" spans="1:24" hidden="1" x14ac:dyDescent="0.35">
      <c r="A9897">
        <v>9893</v>
      </c>
      <c r="B9897">
        <v>9894</v>
      </c>
      <c r="C9897">
        <v>146.10973740099899</v>
      </c>
      <c r="D9897">
        <v>-17.599338524899899</v>
      </c>
      <c r="E9897" s="92" t="str">
        <f t="shared" si="68"/>
        <v/>
      </c>
      <c r="G9897" s="92"/>
      <c r="I9897">
        <v>6</v>
      </c>
      <c r="J9897" t="s">
        <v>26</v>
      </c>
      <c r="K9897" s="57"/>
      <c r="S9897" s="57"/>
      <c r="X9897" s="57"/>
    </row>
    <row r="9898" spans="1:24" hidden="1" x14ac:dyDescent="0.35">
      <c r="A9898">
        <v>9894</v>
      </c>
      <c r="B9898">
        <v>9895</v>
      </c>
      <c r="C9898">
        <v>146.10979826100001</v>
      </c>
      <c r="D9898">
        <v>-17.599275543600001</v>
      </c>
      <c r="E9898" s="92">
        <f t="shared" si="68"/>
        <v>50</v>
      </c>
      <c r="G9898" s="92"/>
      <c r="I9898">
        <v>6</v>
      </c>
      <c r="J9898" t="s">
        <v>26</v>
      </c>
      <c r="K9898" s="57"/>
      <c r="S9898" s="57"/>
      <c r="X9898" s="57"/>
    </row>
    <row r="9899" spans="1:24" hidden="1" x14ac:dyDescent="0.35">
      <c r="A9899">
        <v>9895</v>
      </c>
      <c r="B9899">
        <v>9896</v>
      </c>
      <c r="C9899">
        <v>146.109859121</v>
      </c>
      <c r="D9899">
        <v>-17.599212562400002</v>
      </c>
      <c r="E9899" s="92" t="str">
        <f t="shared" si="68"/>
        <v/>
      </c>
      <c r="G9899" s="92"/>
      <c r="I9899">
        <v>6</v>
      </c>
      <c r="J9899" t="s">
        <v>26</v>
      </c>
      <c r="K9899" s="57"/>
      <c r="S9899" s="57"/>
      <c r="X9899" s="57"/>
    </row>
    <row r="9900" spans="1:24" hidden="1" x14ac:dyDescent="0.35">
      <c r="A9900">
        <v>9896</v>
      </c>
      <c r="B9900">
        <v>9897</v>
      </c>
      <c r="C9900">
        <v>146.109919980999</v>
      </c>
      <c r="D9900">
        <v>-17.599149580999899</v>
      </c>
      <c r="E9900" s="92" t="str">
        <f t="shared" si="68"/>
        <v/>
      </c>
      <c r="G9900" s="92"/>
      <c r="I9900">
        <v>6</v>
      </c>
      <c r="J9900" t="s">
        <v>26</v>
      </c>
      <c r="K9900" s="57"/>
      <c r="S9900" s="57"/>
      <c r="X9900" s="57"/>
    </row>
    <row r="9901" spans="1:24" hidden="1" x14ac:dyDescent="0.35">
      <c r="A9901">
        <v>9897</v>
      </c>
      <c r="B9901">
        <v>9898</v>
      </c>
      <c r="C9901">
        <v>146.10998084100001</v>
      </c>
      <c r="D9901">
        <v>-17.599086599700001</v>
      </c>
      <c r="E9901" s="92" t="str">
        <f t="shared" si="68"/>
        <v/>
      </c>
      <c r="G9901" s="92"/>
      <c r="I9901">
        <v>6</v>
      </c>
      <c r="J9901" t="s">
        <v>26</v>
      </c>
      <c r="K9901" s="57"/>
      <c r="S9901" s="57"/>
      <c r="X9901" s="57"/>
    </row>
    <row r="9902" spans="1:24" hidden="1" x14ac:dyDescent="0.35">
      <c r="A9902">
        <v>9898</v>
      </c>
      <c r="B9902">
        <v>9899</v>
      </c>
      <c r="C9902">
        <v>146.11004280700001</v>
      </c>
      <c r="D9902">
        <v>-17.5990248393</v>
      </c>
      <c r="E9902" s="92" t="str">
        <f t="shared" si="68"/>
        <v/>
      </c>
      <c r="G9902" s="92"/>
      <c r="I9902">
        <v>6</v>
      </c>
      <c r="J9902" t="s">
        <v>26</v>
      </c>
      <c r="K9902" s="57"/>
      <c r="S9902" s="57"/>
      <c r="X9902" s="57"/>
    </row>
    <row r="9903" spans="1:24" hidden="1" x14ac:dyDescent="0.35">
      <c r="A9903">
        <v>9899</v>
      </c>
      <c r="B9903">
        <v>9900</v>
      </c>
      <c r="C9903">
        <v>146.11011704000001</v>
      </c>
      <c r="D9903">
        <v>-17.5989766185</v>
      </c>
      <c r="E9903" s="92">
        <f t="shared" si="68"/>
        <v>50</v>
      </c>
      <c r="G9903" s="92"/>
      <c r="I9903">
        <v>6</v>
      </c>
      <c r="J9903" t="s">
        <v>26</v>
      </c>
      <c r="K9903" s="57"/>
      <c r="S9903" s="57"/>
      <c r="X9903" s="57"/>
    </row>
    <row r="9904" spans="1:24" hidden="1" x14ac:dyDescent="0.35">
      <c r="A9904">
        <v>9900</v>
      </c>
      <c r="B9904">
        <v>9901</v>
      </c>
      <c r="C9904">
        <v>146.11019127200001</v>
      </c>
      <c r="D9904">
        <v>-17.598928397600002</v>
      </c>
      <c r="E9904" s="92" t="str">
        <f t="shared" si="68"/>
        <v/>
      </c>
      <c r="G9904" s="92"/>
      <c r="I9904">
        <v>6</v>
      </c>
      <c r="J9904" t="s">
        <v>26</v>
      </c>
      <c r="K9904" s="57"/>
      <c r="S9904" s="57"/>
      <c r="X9904" s="57"/>
    </row>
    <row r="9905" spans="1:24" hidden="1" x14ac:dyDescent="0.35">
      <c r="A9905">
        <v>9901</v>
      </c>
      <c r="B9905">
        <v>9902</v>
      </c>
      <c r="C9905">
        <v>146.110265505</v>
      </c>
      <c r="D9905">
        <v>-17.5988801767</v>
      </c>
      <c r="E9905" s="92" t="str">
        <f t="shared" si="68"/>
        <v/>
      </c>
      <c r="G9905" s="92"/>
      <c r="I9905">
        <v>6</v>
      </c>
      <c r="J9905" t="s">
        <v>26</v>
      </c>
      <c r="K9905" s="57"/>
      <c r="S9905" s="57"/>
      <c r="X9905" s="57"/>
    </row>
    <row r="9906" spans="1:24" hidden="1" x14ac:dyDescent="0.35">
      <c r="A9906">
        <v>9902</v>
      </c>
      <c r="B9906">
        <v>9903</v>
      </c>
      <c r="C9906">
        <v>146.110339737999</v>
      </c>
      <c r="D9906">
        <v>-17.598831955800001</v>
      </c>
      <c r="E9906" s="92" t="str">
        <f t="shared" si="68"/>
        <v/>
      </c>
      <c r="G9906" s="92"/>
      <c r="I9906">
        <v>6</v>
      </c>
      <c r="J9906" t="s">
        <v>26</v>
      </c>
      <c r="K9906" s="57"/>
      <c r="S9906" s="57"/>
      <c r="X9906" s="57"/>
    </row>
    <row r="9907" spans="1:24" hidden="1" x14ac:dyDescent="0.35">
      <c r="A9907">
        <v>9903</v>
      </c>
      <c r="B9907">
        <v>9904</v>
      </c>
      <c r="C9907">
        <v>146.110419140999</v>
      </c>
      <c r="D9907">
        <v>-17.5987924492999</v>
      </c>
      <c r="E9907" s="92" t="str">
        <f t="shared" si="68"/>
        <v/>
      </c>
      <c r="G9907" s="92"/>
      <c r="I9907">
        <v>6</v>
      </c>
      <c r="J9907" t="s">
        <v>26</v>
      </c>
      <c r="K9907" s="57"/>
      <c r="S9907" s="57"/>
      <c r="X9907" s="57"/>
    </row>
    <row r="9908" spans="1:24" hidden="1" x14ac:dyDescent="0.35">
      <c r="A9908">
        <v>9904</v>
      </c>
      <c r="B9908">
        <v>9905</v>
      </c>
      <c r="C9908">
        <v>146.11050075</v>
      </c>
      <c r="D9908">
        <v>-17.598756660300001</v>
      </c>
      <c r="E9908" s="92">
        <f t="shared" si="68"/>
        <v>50</v>
      </c>
      <c r="G9908" s="92"/>
      <c r="I9908">
        <v>6</v>
      </c>
      <c r="J9908" t="s">
        <v>26</v>
      </c>
      <c r="K9908" s="57"/>
      <c r="S9908" s="57"/>
      <c r="X9908" s="57"/>
    </row>
    <row r="9909" spans="1:24" hidden="1" x14ac:dyDescent="0.35">
      <c r="A9909">
        <v>9905</v>
      </c>
      <c r="B9909">
        <v>9906</v>
      </c>
      <c r="C9909">
        <v>146.11058235799899</v>
      </c>
      <c r="D9909">
        <v>-17.598720871400001</v>
      </c>
      <c r="E9909" s="92" t="str">
        <f t="shared" si="68"/>
        <v/>
      </c>
      <c r="G9909" s="92"/>
      <c r="I9909">
        <v>6</v>
      </c>
      <c r="J9909" t="s">
        <v>26</v>
      </c>
      <c r="K9909" s="57"/>
      <c r="S9909" s="57"/>
      <c r="X9909" s="57"/>
    </row>
    <row r="9910" spans="1:24" hidden="1" x14ac:dyDescent="0.35">
      <c r="A9910">
        <v>9906</v>
      </c>
      <c r="B9910">
        <v>9907</v>
      </c>
      <c r="C9910">
        <v>146.110663966999</v>
      </c>
      <c r="D9910">
        <v>-17.598685082500001</v>
      </c>
      <c r="E9910" s="92" t="str">
        <f t="shared" si="68"/>
        <v/>
      </c>
      <c r="G9910" s="92"/>
      <c r="I9910">
        <v>6</v>
      </c>
      <c r="J9910" t="s">
        <v>26</v>
      </c>
      <c r="K9910" s="57"/>
      <c r="S9910" s="57"/>
      <c r="X9910" s="57"/>
    </row>
    <row r="9911" spans="1:24" hidden="1" x14ac:dyDescent="0.35">
      <c r="A9911">
        <v>9907</v>
      </c>
      <c r="B9911">
        <v>9908</v>
      </c>
      <c r="C9911">
        <v>146.11074807099899</v>
      </c>
      <c r="D9911">
        <v>-17.5986550462999</v>
      </c>
      <c r="E9911" s="92" t="str">
        <f t="shared" si="68"/>
        <v/>
      </c>
      <c r="G9911" s="92"/>
      <c r="I9911">
        <v>6</v>
      </c>
      <c r="J9911" t="s">
        <v>26</v>
      </c>
      <c r="K9911" s="57"/>
      <c r="S9911" s="57"/>
      <c r="X9911" s="57"/>
    </row>
    <row r="9912" spans="1:24" hidden="1" x14ac:dyDescent="0.35">
      <c r="A9912">
        <v>9908</v>
      </c>
      <c r="B9912">
        <v>9909</v>
      </c>
      <c r="C9912">
        <v>146.11083236600001</v>
      </c>
      <c r="D9912">
        <v>-17.5986254504</v>
      </c>
      <c r="E9912" s="92" t="str">
        <f t="shared" si="68"/>
        <v/>
      </c>
      <c r="G9912" s="92"/>
      <c r="I9912">
        <v>6</v>
      </c>
      <c r="J9912" t="s">
        <v>26</v>
      </c>
      <c r="K9912" s="57"/>
      <c r="S9912" s="57"/>
      <c r="X9912" s="57"/>
    </row>
    <row r="9913" spans="1:24" hidden="1" x14ac:dyDescent="0.35">
      <c r="A9913">
        <v>9909</v>
      </c>
      <c r="B9913">
        <v>9910</v>
      </c>
      <c r="C9913">
        <v>146.110919319999</v>
      </c>
      <c r="D9913">
        <v>-17.598606040100002</v>
      </c>
      <c r="E9913" s="92">
        <f t="shared" si="68"/>
        <v>50</v>
      </c>
      <c r="G9913" s="92"/>
      <c r="I9913">
        <v>6</v>
      </c>
      <c r="J9913" t="s">
        <v>26</v>
      </c>
      <c r="K9913" s="57"/>
      <c r="S9913" s="57"/>
      <c r="X9913" s="57"/>
    </row>
    <row r="9914" spans="1:24" hidden="1" x14ac:dyDescent="0.35">
      <c r="A9914">
        <v>9910</v>
      </c>
      <c r="B9914">
        <v>9911</v>
      </c>
      <c r="C9914">
        <v>146.11100748600001</v>
      </c>
      <c r="D9914">
        <v>-17.5985910891999</v>
      </c>
      <c r="E9914" s="92" t="str">
        <f t="shared" si="68"/>
        <v/>
      </c>
      <c r="G9914" s="92"/>
      <c r="I9914">
        <v>6</v>
      </c>
      <c r="J9914" t="s">
        <v>26</v>
      </c>
      <c r="K9914" s="57"/>
      <c r="S9914" s="57"/>
      <c r="X9914" s="57"/>
    </row>
    <row r="9915" spans="1:24" hidden="1" x14ac:dyDescent="0.35">
      <c r="A9915">
        <v>9911</v>
      </c>
      <c r="B9915">
        <v>9912</v>
      </c>
      <c r="C9915">
        <v>146.111092544</v>
      </c>
      <c r="D9915">
        <v>-17.5985635479</v>
      </c>
      <c r="E9915" s="92" t="str">
        <f t="shared" si="68"/>
        <v/>
      </c>
      <c r="G9915" s="92"/>
      <c r="I9915">
        <v>6</v>
      </c>
      <c r="J9915" t="s">
        <v>26</v>
      </c>
      <c r="K9915" s="57"/>
      <c r="S9915" s="57"/>
      <c r="X9915" s="57"/>
    </row>
    <row r="9916" spans="1:24" hidden="1" x14ac:dyDescent="0.35">
      <c r="A9916">
        <v>9912</v>
      </c>
      <c r="B9916">
        <v>9913</v>
      </c>
      <c r="C9916">
        <v>146.11117969700001</v>
      </c>
      <c r="D9916">
        <v>-17.598546766199899</v>
      </c>
      <c r="E9916" s="92" t="str">
        <f t="shared" si="68"/>
        <v/>
      </c>
      <c r="G9916" s="92"/>
      <c r="I9916">
        <v>6</v>
      </c>
      <c r="J9916" t="s">
        <v>26</v>
      </c>
      <c r="K9916" s="57"/>
      <c r="S9916" s="57"/>
      <c r="X9916" s="57"/>
    </row>
    <row r="9917" spans="1:24" hidden="1" x14ac:dyDescent="0.35">
      <c r="A9917">
        <v>9913</v>
      </c>
      <c r="B9917">
        <v>9914</v>
      </c>
      <c r="C9917">
        <v>146.11126945800001</v>
      </c>
      <c r="D9917">
        <v>-17.598543372799899</v>
      </c>
      <c r="E9917" s="92" t="str">
        <f t="shared" si="68"/>
        <v/>
      </c>
      <c r="G9917" s="92"/>
      <c r="I9917">
        <v>6</v>
      </c>
      <c r="J9917" t="s">
        <v>26</v>
      </c>
      <c r="K9917" s="57"/>
      <c r="S9917" s="57"/>
      <c r="X9917" s="57"/>
    </row>
    <row r="9918" spans="1:24" hidden="1" x14ac:dyDescent="0.35">
      <c r="A9918">
        <v>9914</v>
      </c>
      <c r="B9918">
        <v>9915</v>
      </c>
      <c r="C9918">
        <v>146.11135921900001</v>
      </c>
      <c r="D9918">
        <v>-17.598539979200002</v>
      </c>
      <c r="E9918" s="92">
        <f t="shared" si="68"/>
        <v>50</v>
      </c>
      <c r="G9918" s="92"/>
      <c r="I9918">
        <v>6</v>
      </c>
      <c r="J9918" t="s">
        <v>26</v>
      </c>
      <c r="K9918" s="57"/>
      <c r="S9918" s="57"/>
      <c r="X9918" s="57"/>
    </row>
    <row r="9919" spans="1:24" hidden="1" x14ac:dyDescent="0.35">
      <c r="A9919">
        <v>9915</v>
      </c>
      <c r="B9919">
        <v>9916</v>
      </c>
      <c r="C9919">
        <v>146.11144898000001</v>
      </c>
      <c r="D9919">
        <v>-17.5985365855</v>
      </c>
      <c r="E9919" s="92" t="str">
        <f t="shared" si="68"/>
        <v/>
      </c>
      <c r="G9919" s="92"/>
      <c r="I9919">
        <v>6</v>
      </c>
      <c r="J9919" t="s">
        <v>26</v>
      </c>
      <c r="K9919" s="57"/>
      <c r="S9919" s="57"/>
      <c r="X9919" s="57"/>
    </row>
    <row r="9920" spans="1:24" hidden="1" x14ac:dyDescent="0.35">
      <c r="A9920">
        <v>9916</v>
      </c>
      <c r="B9920">
        <v>9917</v>
      </c>
      <c r="C9920">
        <v>146.11153810100001</v>
      </c>
      <c r="D9920">
        <v>-17.598537391800001</v>
      </c>
      <c r="E9920" s="92" t="str">
        <f t="shared" si="68"/>
        <v/>
      </c>
      <c r="G9920" s="92"/>
      <c r="I9920">
        <v>6</v>
      </c>
      <c r="J9920" t="s">
        <v>26</v>
      </c>
      <c r="K9920" s="57"/>
      <c r="S9920" s="57"/>
      <c r="X9920" s="57"/>
    </row>
    <row r="9921" spans="1:24" hidden="1" x14ac:dyDescent="0.35">
      <c r="A9921">
        <v>9917</v>
      </c>
      <c r="B9921">
        <v>9918</v>
      </c>
      <c r="C9921">
        <v>146.111623135</v>
      </c>
      <c r="D9921">
        <v>-17.598565001000001</v>
      </c>
      <c r="E9921" s="92" t="str">
        <f t="shared" si="68"/>
        <v/>
      </c>
      <c r="G9921" s="92"/>
      <c r="I9921">
        <v>6</v>
      </c>
      <c r="J9921" t="s">
        <v>26</v>
      </c>
      <c r="K9921" s="57"/>
      <c r="S9921" s="57"/>
      <c r="X9921" s="57"/>
    </row>
    <row r="9922" spans="1:24" hidden="1" x14ac:dyDescent="0.35">
      <c r="A9922">
        <v>9918</v>
      </c>
      <c r="B9922">
        <v>9919</v>
      </c>
      <c r="C9922">
        <v>146.11170816800001</v>
      </c>
      <c r="D9922">
        <v>-17.5985926100999</v>
      </c>
      <c r="E9922" s="92" t="str">
        <f t="shared" si="68"/>
        <v/>
      </c>
      <c r="G9922" s="92"/>
      <c r="I9922">
        <v>6</v>
      </c>
      <c r="J9922" t="s">
        <v>26</v>
      </c>
      <c r="K9922" s="57"/>
      <c r="S9922" s="57"/>
      <c r="X9922" s="57"/>
    </row>
    <row r="9923" spans="1:24" hidden="1" x14ac:dyDescent="0.35">
      <c r="A9923">
        <v>9919</v>
      </c>
      <c r="B9923">
        <v>9920</v>
      </c>
      <c r="C9923">
        <v>146.111793202</v>
      </c>
      <c r="D9923">
        <v>-17.5986202192999</v>
      </c>
      <c r="E9923" s="92">
        <f t="shared" si="68"/>
        <v>50</v>
      </c>
      <c r="G9923" s="92"/>
      <c r="I9923">
        <v>6</v>
      </c>
      <c r="J9923" t="s">
        <v>26</v>
      </c>
      <c r="K9923" s="57"/>
      <c r="S9923" s="57"/>
      <c r="X9923" s="57"/>
    </row>
    <row r="9924" spans="1:24" hidden="1" x14ac:dyDescent="0.35">
      <c r="A9924">
        <v>9920</v>
      </c>
      <c r="B9924">
        <v>9921</v>
      </c>
      <c r="C9924">
        <v>146.111878235999</v>
      </c>
      <c r="D9924">
        <v>-17.598647828400001</v>
      </c>
      <c r="E9924" s="92" t="str">
        <f t="shared" si="68"/>
        <v/>
      </c>
      <c r="G9924" s="92"/>
      <c r="I9924">
        <v>6</v>
      </c>
      <c r="J9924" t="s">
        <v>26</v>
      </c>
      <c r="K9924" s="57"/>
      <c r="S9924" s="57"/>
      <c r="X9924" s="57"/>
    </row>
    <row r="9925" spans="1:24" hidden="1" x14ac:dyDescent="0.35">
      <c r="A9925">
        <v>9921</v>
      </c>
      <c r="B9925">
        <v>9922</v>
      </c>
      <c r="C9925">
        <v>146.11196326999899</v>
      </c>
      <c r="D9925">
        <v>-17.598675437499899</v>
      </c>
      <c r="E9925" s="92" t="str">
        <f t="shared" si="68"/>
        <v/>
      </c>
      <c r="G9925" s="92"/>
      <c r="I9925">
        <v>6</v>
      </c>
      <c r="J9925" t="s">
        <v>26</v>
      </c>
      <c r="K9925" s="57"/>
      <c r="S9925" s="57"/>
      <c r="X9925" s="57"/>
    </row>
    <row r="9926" spans="1:24" hidden="1" x14ac:dyDescent="0.35">
      <c r="A9926">
        <v>9922</v>
      </c>
      <c r="B9926">
        <v>9923</v>
      </c>
      <c r="C9926">
        <v>146.112030473999</v>
      </c>
      <c r="D9926">
        <v>-17.5987314793</v>
      </c>
      <c r="E9926" s="92" t="str">
        <f t="shared" si="68"/>
        <v/>
      </c>
      <c r="G9926" s="92"/>
      <c r="I9926">
        <v>6</v>
      </c>
      <c r="J9926" t="s">
        <v>26</v>
      </c>
      <c r="K9926" s="57"/>
      <c r="S9926" s="57"/>
      <c r="X9926" s="57"/>
    </row>
    <row r="9927" spans="1:24" hidden="1" x14ac:dyDescent="0.35">
      <c r="A9927">
        <v>9923</v>
      </c>
      <c r="B9927">
        <v>9924</v>
      </c>
      <c r="C9927">
        <v>146.11209625199899</v>
      </c>
      <c r="D9927">
        <v>-17.598789795799899</v>
      </c>
      <c r="E9927" s="92" t="str">
        <f t="shared" si="68"/>
        <v/>
      </c>
      <c r="G9927" s="92"/>
      <c r="I9927">
        <v>6</v>
      </c>
      <c r="J9927" t="s">
        <v>26</v>
      </c>
      <c r="K9927" s="57"/>
      <c r="S9927" s="57"/>
      <c r="X9927" s="57"/>
    </row>
    <row r="9928" spans="1:24" hidden="1" x14ac:dyDescent="0.35">
      <c r="A9928">
        <v>9924</v>
      </c>
      <c r="B9928">
        <v>9925</v>
      </c>
      <c r="C9928">
        <v>146.11216203000001</v>
      </c>
      <c r="D9928">
        <v>-17.598848112399899</v>
      </c>
      <c r="E9928" s="92">
        <f t="shared" si="68"/>
        <v>50</v>
      </c>
      <c r="G9928" s="92"/>
      <c r="I9928">
        <v>6</v>
      </c>
      <c r="J9928" t="s">
        <v>26</v>
      </c>
      <c r="K9928" s="57"/>
      <c r="S9928" s="57"/>
      <c r="X9928" s="57"/>
    </row>
    <row r="9929" spans="1:24" hidden="1" x14ac:dyDescent="0.35">
      <c r="A9929">
        <v>9925</v>
      </c>
      <c r="B9929">
        <v>9926</v>
      </c>
      <c r="C9929">
        <v>146.11222780700001</v>
      </c>
      <c r="D9929">
        <v>-17.598906428900001</v>
      </c>
      <c r="E9929" s="92" t="str">
        <f t="shared" si="68"/>
        <v/>
      </c>
      <c r="G9929" s="92"/>
      <c r="I9929">
        <v>6</v>
      </c>
      <c r="J9929" t="s">
        <v>26</v>
      </c>
      <c r="K9929" s="57"/>
      <c r="S9929" s="57"/>
      <c r="X9929" s="57"/>
    </row>
    <row r="9930" spans="1:24" hidden="1" x14ac:dyDescent="0.35">
      <c r="A9930">
        <v>9926</v>
      </c>
      <c r="B9930">
        <v>9927</v>
      </c>
      <c r="C9930">
        <v>146.112293585</v>
      </c>
      <c r="D9930">
        <v>-17.5989647454</v>
      </c>
      <c r="E9930" s="92" t="str">
        <f t="shared" si="68"/>
        <v/>
      </c>
      <c r="G9930" s="92"/>
      <c r="I9930">
        <v>6</v>
      </c>
      <c r="J9930" t="s">
        <v>26</v>
      </c>
      <c r="K9930" s="57"/>
      <c r="S9930" s="57"/>
      <c r="X9930" s="57"/>
    </row>
    <row r="9931" spans="1:24" hidden="1" x14ac:dyDescent="0.35">
      <c r="A9931">
        <v>9927</v>
      </c>
      <c r="B9931">
        <v>9928</v>
      </c>
      <c r="C9931">
        <v>146.112359362999</v>
      </c>
      <c r="D9931">
        <v>-17.599023061899899</v>
      </c>
      <c r="E9931" s="92" t="str">
        <f t="shared" si="68"/>
        <v/>
      </c>
      <c r="G9931" s="92"/>
      <c r="I9931">
        <v>6</v>
      </c>
      <c r="J9931" t="s">
        <v>26</v>
      </c>
      <c r="K9931" s="57"/>
      <c r="S9931" s="57"/>
      <c r="X9931" s="57"/>
    </row>
    <row r="9932" spans="1:24" hidden="1" x14ac:dyDescent="0.35">
      <c r="A9932">
        <v>9928</v>
      </c>
      <c r="B9932">
        <v>9929</v>
      </c>
      <c r="C9932">
        <v>146.11242514099899</v>
      </c>
      <c r="D9932">
        <v>-17.599081378400001</v>
      </c>
      <c r="E9932" s="92" t="str">
        <f t="shared" si="68"/>
        <v/>
      </c>
      <c r="G9932" s="92"/>
      <c r="I9932">
        <v>6</v>
      </c>
      <c r="J9932" t="s">
        <v>26</v>
      </c>
      <c r="K9932" s="57"/>
      <c r="S9932" s="57"/>
      <c r="X9932" s="57"/>
    </row>
    <row r="9933" spans="1:24" hidden="1" x14ac:dyDescent="0.35">
      <c r="A9933">
        <v>9929</v>
      </c>
      <c r="B9933">
        <v>9930</v>
      </c>
      <c r="C9933">
        <v>146.11249091900001</v>
      </c>
      <c r="D9933">
        <v>-17.599139694800002</v>
      </c>
      <c r="E9933" s="92">
        <f t="shared" si="68"/>
        <v>50</v>
      </c>
      <c r="G9933" s="92"/>
      <c r="I9933">
        <v>6</v>
      </c>
      <c r="J9933" t="s">
        <v>26</v>
      </c>
      <c r="K9933" s="57"/>
      <c r="S9933" s="57"/>
      <c r="X9933" s="57"/>
    </row>
    <row r="9934" spans="1:24" hidden="1" x14ac:dyDescent="0.35">
      <c r="A9934">
        <v>9930</v>
      </c>
      <c r="B9934">
        <v>9931</v>
      </c>
      <c r="C9934">
        <v>146.112553837999</v>
      </c>
      <c r="D9934">
        <v>-17.599200767700001</v>
      </c>
      <c r="E9934" s="92" t="str">
        <f t="shared" si="68"/>
        <v/>
      </c>
      <c r="G9934" s="92"/>
      <c r="I9934">
        <v>6</v>
      </c>
      <c r="J9934" t="s">
        <v>26</v>
      </c>
      <c r="K9934" s="57"/>
      <c r="S9934" s="57"/>
      <c r="X9934" s="57"/>
    </row>
    <row r="9935" spans="1:24" hidden="1" x14ac:dyDescent="0.35">
      <c r="A9935">
        <v>9931</v>
      </c>
      <c r="B9935">
        <v>9932</v>
      </c>
      <c r="C9935">
        <v>146.11261578400001</v>
      </c>
      <c r="D9935">
        <v>-17.599262779699899</v>
      </c>
      <c r="E9935" s="92" t="str">
        <f t="shared" si="68"/>
        <v/>
      </c>
      <c r="G9935" s="92"/>
      <c r="I9935">
        <v>6</v>
      </c>
      <c r="J9935" t="s">
        <v>26</v>
      </c>
      <c r="K9935" s="57"/>
      <c r="S9935" s="57"/>
      <c r="X9935" s="57"/>
    </row>
    <row r="9936" spans="1:24" hidden="1" x14ac:dyDescent="0.35">
      <c r="A9936">
        <v>9932</v>
      </c>
      <c r="B9936">
        <v>9933</v>
      </c>
      <c r="C9936">
        <v>146.11267773</v>
      </c>
      <c r="D9936">
        <v>-17.599324791600001</v>
      </c>
      <c r="E9936" s="92" t="str">
        <f t="shared" ref="E9936:E9999" si="69">IF(MOD(B9936,5)=0, 50, "")</f>
        <v/>
      </c>
      <c r="G9936" s="92"/>
      <c r="I9936">
        <v>6</v>
      </c>
      <c r="J9936" t="s">
        <v>26</v>
      </c>
      <c r="K9936" s="57"/>
      <c r="S9936" s="57"/>
      <c r="X9936" s="57"/>
    </row>
    <row r="9937" spans="1:24" hidden="1" x14ac:dyDescent="0.35">
      <c r="A9937">
        <v>9933</v>
      </c>
      <c r="B9937">
        <v>9934</v>
      </c>
      <c r="C9937">
        <v>146.11273967599899</v>
      </c>
      <c r="D9937">
        <v>-17.5993868035</v>
      </c>
      <c r="E9937" s="92" t="str">
        <f t="shared" si="69"/>
        <v/>
      </c>
      <c r="G9937" s="92"/>
      <c r="I9937">
        <v>6</v>
      </c>
      <c r="J9937" t="s">
        <v>26</v>
      </c>
      <c r="K9937" s="57"/>
      <c r="S9937" s="57"/>
      <c r="X9937" s="57"/>
    </row>
    <row r="9938" spans="1:24" hidden="1" x14ac:dyDescent="0.35">
      <c r="A9938">
        <v>9934</v>
      </c>
      <c r="B9938">
        <v>9935</v>
      </c>
      <c r="C9938">
        <v>146.11280162200001</v>
      </c>
      <c r="D9938">
        <v>-17.599448815399899</v>
      </c>
      <c r="E9938" s="92">
        <f t="shared" si="69"/>
        <v>50</v>
      </c>
      <c r="G9938" s="92"/>
      <c r="I9938">
        <v>6</v>
      </c>
      <c r="J9938" t="s">
        <v>26</v>
      </c>
      <c r="K9938" s="57"/>
      <c r="S9938" s="57"/>
      <c r="X9938" s="57"/>
    </row>
    <row r="9939" spans="1:24" hidden="1" x14ac:dyDescent="0.35">
      <c r="A9939">
        <v>9935</v>
      </c>
      <c r="B9939">
        <v>9936</v>
      </c>
      <c r="C9939">
        <v>146.112863567999</v>
      </c>
      <c r="D9939">
        <v>-17.5995108272</v>
      </c>
      <c r="E9939" s="92" t="str">
        <f t="shared" si="69"/>
        <v/>
      </c>
      <c r="G9939" s="92"/>
      <c r="I9939">
        <v>6</v>
      </c>
      <c r="J9939" t="s">
        <v>26</v>
      </c>
      <c r="K9939" s="57"/>
      <c r="S9939" s="57"/>
      <c r="X9939" s="57"/>
    </row>
    <row r="9940" spans="1:24" hidden="1" x14ac:dyDescent="0.35">
      <c r="A9940">
        <v>9936</v>
      </c>
      <c r="B9940">
        <v>9937</v>
      </c>
      <c r="C9940">
        <v>146.11292551400001</v>
      </c>
      <c r="D9940">
        <v>-17.599572839099899</v>
      </c>
      <c r="E9940" s="92" t="str">
        <f t="shared" si="69"/>
        <v/>
      </c>
      <c r="G9940" s="92"/>
      <c r="I9940">
        <v>6</v>
      </c>
      <c r="J9940" t="s">
        <v>26</v>
      </c>
      <c r="K9940" s="57"/>
      <c r="S9940" s="57"/>
      <c r="X9940" s="57"/>
    </row>
    <row r="9941" spans="1:24" hidden="1" x14ac:dyDescent="0.35">
      <c r="A9941">
        <v>9937</v>
      </c>
      <c r="B9941">
        <v>9938</v>
      </c>
      <c r="C9941">
        <v>146.112987459999</v>
      </c>
      <c r="D9941">
        <v>-17.5996348508999</v>
      </c>
      <c r="E9941" s="92" t="str">
        <f t="shared" si="69"/>
        <v/>
      </c>
      <c r="G9941" s="92"/>
      <c r="I9941">
        <v>6</v>
      </c>
      <c r="J9941" t="s">
        <v>26</v>
      </c>
      <c r="K9941" s="57"/>
      <c r="S9941" s="57"/>
      <c r="X9941" s="57"/>
    </row>
    <row r="9942" spans="1:24" hidden="1" x14ac:dyDescent="0.35">
      <c r="A9942">
        <v>9938</v>
      </c>
      <c r="B9942">
        <v>9939</v>
      </c>
      <c r="C9942">
        <v>146.113048286999</v>
      </c>
      <c r="D9942">
        <v>-17.5996978537</v>
      </c>
      <c r="E9942" s="92" t="str">
        <f t="shared" si="69"/>
        <v/>
      </c>
      <c r="G9942" s="92"/>
      <c r="I9942">
        <v>6</v>
      </c>
      <c r="J9942" t="s">
        <v>26</v>
      </c>
      <c r="K9942" s="57"/>
      <c r="S9942" s="57"/>
      <c r="X9942" s="57"/>
    </row>
    <row r="9943" spans="1:24" hidden="1" x14ac:dyDescent="0.35">
      <c r="A9943">
        <v>9939</v>
      </c>
      <c r="B9943">
        <v>9940</v>
      </c>
      <c r="C9943">
        <v>146.113108643999</v>
      </c>
      <c r="D9943">
        <v>-17.599761272599899</v>
      </c>
      <c r="E9943" s="92">
        <f t="shared" si="69"/>
        <v>50</v>
      </c>
      <c r="G9943" s="92"/>
      <c r="I9943">
        <v>6</v>
      </c>
      <c r="J9943" t="s">
        <v>26</v>
      </c>
      <c r="K9943" s="57"/>
      <c r="S9943" s="57"/>
      <c r="X9943" s="57"/>
    </row>
    <row r="9944" spans="1:24" hidden="1" x14ac:dyDescent="0.35">
      <c r="A9944">
        <v>9940</v>
      </c>
      <c r="B9944">
        <v>9941</v>
      </c>
      <c r="C9944">
        <v>146.11316900200001</v>
      </c>
      <c r="D9944">
        <v>-17.599824691399899</v>
      </c>
      <c r="E9944" s="92" t="str">
        <f t="shared" si="69"/>
        <v/>
      </c>
      <c r="G9944" s="92"/>
      <c r="I9944">
        <v>6</v>
      </c>
      <c r="J9944" t="s">
        <v>26</v>
      </c>
      <c r="K9944" s="57"/>
      <c r="S9944" s="57"/>
      <c r="X9944" s="57"/>
    </row>
    <row r="9945" spans="1:24" hidden="1" x14ac:dyDescent="0.35">
      <c r="A9945">
        <v>9941</v>
      </c>
      <c r="B9945">
        <v>9942</v>
      </c>
      <c r="C9945">
        <v>146.113229359999</v>
      </c>
      <c r="D9945">
        <v>-17.599888110199899</v>
      </c>
      <c r="E9945" s="92" t="str">
        <f t="shared" si="69"/>
        <v/>
      </c>
      <c r="G9945" s="92"/>
      <c r="I9945">
        <v>6</v>
      </c>
      <c r="J9945" t="s">
        <v>26</v>
      </c>
      <c r="K9945" s="57"/>
      <c r="S9945" s="57"/>
      <c r="X9945" s="57"/>
    </row>
    <row r="9946" spans="1:24" hidden="1" x14ac:dyDescent="0.35">
      <c r="A9946">
        <v>9942</v>
      </c>
      <c r="B9946">
        <v>9943</v>
      </c>
      <c r="C9946">
        <v>146.11328971699899</v>
      </c>
      <c r="D9946">
        <v>-17.599951528999899</v>
      </c>
      <c r="E9946" s="92" t="str">
        <f t="shared" si="69"/>
        <v/>
      </c>
      <c r="G9946" s="92"/>
      <c r="I9946">
        <v>6</v>
      </c>
      <c r="J9946" t="s">
        <v>26</v>
      </c>
      <c r="K9946" s="57"/>
      <c r="S9946" s="57"/>
      <c r="X9946" s="57"/>
    </row>
    <row r="9947" spans="1:24" hidden="1" x14ac:dyDescent="0.35">
      <c r="A9947">
        <v>9943</v>
      </c>
      <c r="B9947">
        <v>9944</v>
      </c>
      <c r="C9947">
        <v>146.113350075</v>
      </c>
      <c r="D9947">
        <v>-17.600014947799899</v>
      </c>
      <c r="E9947" s="92" t="str">
        <f t="shared" si="69"/>
        <v/>
      </c>
      <c r="G9947" s="92"/>
      <c r="I9947">
        <v>6</v>
      </c>
      <c r="J9947" t="s">
        <v>26</v>
      </c>
      <c r="K9947" s="57"/>
      <c r="S9947" s="57"/>
      <c r="X9947" s="57"/>
    </row>
    <row r="9948" spans="1:24" hidden="1" x14ac:dyDescent="0.35">
      <c r="A9948">
        <v>9944</v>
      </c>
      <c r="B9948">
        <v>9945</v>
      </c>
      <c r="C9948">
        <v>146.11341043300001</v>
      </c>
      <c r="D9948">
        <v>-17.6000783665</v>
      </c>
      <c r="E9948" s="92">
        <f t="shared" si="69"/>
        <v>50</v>
      </c>
      <c r="G9948" s="92"/>
      <c r="I9948">
        <v>6</v>
      </c>
      <c r="J9948" t="s">
        <v>26</v>
      </c>
      <c r="K9948" s="57"/>
      <c r="S9948" s="57"/>
      <c r="X9948" s="57"/>
    </row>
    <row r="9949" spans="1:24" hidden="1" x14ac:dyDescent="0.35">
      <c r="A9949">
        <v>9945</v>
      </c>
      <c r="B9949">
        <v>9946</v>
      </c>
      <c r="C9949">
        <v>146.11347090000001</v>
      </c>
      <c r="D9949">
        <v>-17.600141679499899</v>
      </c>
      <c r="E9949" s="92" t="str">
        <f t="shared" si="69"/>
        <v/>
      </c>
      <c r="G9949" s="92"/>
      <c r="I9949">
        <v>6</v>
      </c>
      <c r="J9949" t="s">
        <v>26</v>
      </c>
      <c r="K9949" s="57"/>
      <c r="S9949" s="57"/>
      <c r="X9949" s="57"/>
    </row>
    <row r="9950" spans="1:24" hidden="1" x14ac:dyDescent="0.35">
      <c r="A9950">
        <v>9946</v>
      </c>
      <c r="B9950">
        <v>9947</v>
      </c>
      <c r="C9950">
        <v>146.11353825500001</v>
      </c>
      <c r="D9950">
        <v>-17.6001983359</v>
      </c>
      <c r="E9950" s="92" t="str">
        <f t="shared" si="69"/>
        <v/>
      </c>
      <c r="G9950" s="92"/>
      <c r="I9950">
        <v>6</v>
      </c>
      <c r="J9950" t="s">
        <v>26</v>
      </c>
      <c r="K9950" s="57"/>
      <c r="S9950" s="57"/>
      <c r="X9950" s="57"/>
    </row>
    <row r="9951" spans="1:24" hidden="1" x14ac:dyDescent="0.35">
      <c r="A9951">
        <v>9947</v>
      </c>
      <c r="B9951">
        <v>9948</v>
      </c>
      <c r="C9951">
        <v>146.11360561000001</v>
      </c>
      <c r="D9951">
        <v>-17.600254992299899</v>
      </c>
      <c r="E9951" s="92" t="str">
        <f t="shared" si="69"/>
        <v/>
      </c>
      <c r="G9951" s="92"/>
      <c r="I9951">
        <v>6</v>
      </c>
      <c r="J9951" t="s">
        <v>26</v>
      </c>
      <c r="K9951" s="57"/>
      <c r="S9951" s="57"/>
      <c r="X9951" s="57"/>
    </row>
    <row r="9952" spans="1:24" hidden="1" x14ac:dyDescent="0.35">
      <c r="A9952">
        <v>9948</v>
      </c>
      <c r="B9952">
        <v>9949</v>
      </c>
      <c r="C9952">
        <v>146.113672965999</v>
      </c>
      <c r="D9952">
        <v>-17.6003116487</v>
      </c>
      <c r="E9952" s="92" t="str">
        <f t="shared" si="69"/>
        <v/>
      </c>
      <c r="G9952" s="92"/>
      <c r="I9952">
        <v>6</v>
      </c>
      <c r="J9952" t="s">
        <v>26</v>
      </c>
      <c r="K9952" s="57"/>
      <c r="S9952" s="57"/>
      <c r="X9952" s="57"/>
    </row>
    <row r="9953" spans="1:24" hidden="1" x14ac:dyDescent="0.35">
      <c r="A9953">
        <v>9949</v>
      </c>
      <c r="B9953">
        <v>9950</v>
      </c>
      <c r="C9953">
        <v>146.113740320999</v>
      </c>
      <c r="D9953">
        <v>-17.600368305</v>
      </c>
      <c r="E9953" s="92">
        <f t="shared" si="69"/>
        <v>50</v>
      </c>
      <c r="G9953" s="92"/>
      <c r="I9953">
        <v>6</v>
      </c>
      <c r="J9953" t="s">
        <v>26</v>
      </c>
      <c r="K9953" s="57"/>
      <c r="S9953" s="57"/>
      <c r="X9953" s="57"/>
    </row>
    <row r="9954" spans="1:24" hidden="1" x14ac:dyDescent="0.35">
      <c r="A9954">
        <v>9950</v>
      </c>
      <c r="B9954">
        <v>9951</v>
      </c>
      <c r="C9954">
        <v>146.113807675999</v>
      </c>
      <c r="D9954">
        <v>-17.600424961400002</v>
      </c>
      <c r="E9954" s="92" t="str">
        <f t="shared" si="69"/>
        <v/>
      </c>
      <c r="G9954" s="92"/>
      <c r="I9954">
        <v>6</v>
      </c>
      <c r="J9954" t="s">
        <v>26</v>
      </c>
      <c r="K9954" s="57"/>
      <c r="S9954" s="57"/>
      <c r="X9954" s="57"/>
    </row>
    <row r="9955" spans="1:24" hidden="1" x14ac:dyDescent="0.35">
      <c r="A9955">
        <v>9951</v>
      </c>
      <c r="B9955">
        <v>9952</v>
      </c>
      <c r="C9955">
        <v>146.11388673900001</v>
      </c>
      <c r="D9955">
        <v>-17.600464965600001</v>
      </c>
      <c r="E9955" s="92" t="str">
        <f t="shared" si="69"/>
        <v/>
      </c>
      <c r="G9955" s="92"/>
      <c r="I9955">
        <v>6</v>
      </c>
      <c r="J9955" t="s">
        <v>26</v>
      </c>
      <c r="K9955" s="57"/>
      <c r="S9955" s="57"/>
      <c r="X9955" s="57"/>
    </row>
    <row r="9956" spans="1:24" hidden="1" x14ac:dyDescent="0.35">
      <c r="A9956">
        <v>9952</v>
      </c>
      <c r="B9956">
        <v>9953</v>
      </c>
      <c r="C9956">
        <v>146.11396732200001</v>
      </c>
      <c r="D9956">
        <v>-17.600502806800002</v>
      </c>
      <c r="E9956" s="92" t="str">
        <f t="shared" si="69"/>
        <v/>
      </c>
      <c r="G9956" s="92"/>
      <c r="I9956">
        <v>6</v>
      </c>
      <c r="J9956" t="s">
        <v>26</v>
      </c>
      <c r="K9956" s="57"/>
      <c r="S9956" s="57"/>
      <c r="X9956" s="57"/>
    </row>
    <row r="9957" spans="1:24" hidden="1" x14ac:dyDescent="0.35">
      <c r="A9957">
        <v>9953</v>
      </c>
      <c r="B9957">
        <v>9954</v>
      </c>
      <c r="C9957">
        <v>146.11404790500001</v>
      </c>
      <c r="D9957">
        <v>-17.600540647900001</v>
      </c>
      <c r="E9957" s="92" t="str">
        <f t="shared" si="69"/>
        <v/>
      </c>
      <c r="G9957" s="92"/>
      <c r="I9957">
        <v>6</v>
      </c>
      <c r="J9957" t="s">
        <v>26</v>
      </c>
      <c r="K9957" s="57"/>
      <c r="S9957" s="57"/>
      <c r="X9957" s="57"/>
    </row>
    <row r="9958" spans="1:24" hidden="1" x14ac:dyDescent="0.35">
      <c r="A9958">
        <v>9954</v>
      </c>
      <c r="B9958">
        <v>9955</v>
      </c>
      <c r="C9958">
        <v>146.11412848800001</v>
      </c>
      <c r="D9958">
        <v>-17.600578489099899</v>
      </c>
      <c r="E9958" s="92">
        <f t="shared" si="69"/>
        <v>50</v>
      </c>
      <c r="G9958" s="92"/>
      <c r="I9958">
        <v>6</v>
      </c>
      <c r="J9958" t="s">
        <v>26</v>
      </c>
      <c r="K9958" s="57"/>
      <c r="S9958" s="57"/>
      <c r="X9958" s="57"/>
    </row>
    <row r="9959" spans="1:24" hidden="1" x14ac:dyDescent="0.35">
      <c r="A9959">
        <v>9955</v>
      </c>
      <c r="B9959">
        <v>9956</v>
      </c>
      <c r="C9959">
        <v>146.114209071999</v>
      </c>
      <c r="D9959">
        <v>-17.600616330200001</v>
      </c>
      <c r="E9959" s="92" t="str">
        <f t="shared" si="69"/>
        <v/>
      </c>
      <c r="G9959" s="92"/>
      <c r="I9959">
        <v>6</v>
      </c>
      <c r="J9959" t="s">
        <v>26</v>
      </c>
      <c r="K9959" s="57"/>
      <c r="S9959" s="57"/>
      <c r="X9959" s="57"/>
    </row>
    <row r="9960" spans="1:24" hidden="1" x14ac:dyDescent="0.35">
      <c r="A9960">
        <v>9956</v>
      </c>
      <c r="B9960">
        <v>9957</v>
      </c>
      <c r="C9960">
        <v>146.114289654999</v>
      </c>
      <c r="D9960">
        <v>-17.600654171399899</v>
      </c>
      <c r="E9960" s="92" t="str">
        <f t="shared" si="69"/>
        <v/>
      </c>
      <c r="G9960" s="92"/>
      <c r="I9960">
        <v>6</v>
      </c>
      <c r="J9960" t="s">
        <v>26</v>
      </c>
      <c r="K9960" s="57"/>
      <c r="S9960" s="57"/>
      <c r="X9960" s="57"/>
    </row>
    <row r="9961" spans="1:24" hidden="1" x14ac:dyDescent="0.35">
      <c r="A9961">
        <v>9957</v>
      </c>
      <c r="B9961">
        <v>9958</v>
      </c>
      <c r="C9961">
        <v>146.11437076000001</v>
      </c>
      <c r="D9961">
        <v>-17.6006909482</v>
      </c>
      <c r="E9961" s="92" t="str">
        <f t="shared" si="69"/>
        <v/>
      </c>
      <c r="G9961" s="92"/>
      <c r="I9961">
        <v>6</v>
      </c>
      <c r="J9961" t="s">
        <v>26</v>
      </c>
      <c r="K9961" s="57"/>
      <c r="S9961" s="57"/>
      <c r="X9961" s="57"/>
    </row>
    <row r="9962" spans="1:24" hidden="1" x14ac:dyDescent="0.35">
      <c r="A9962">
        <v>9958</v>
      </c>
      <c r="B9962">
        <v>9959</v>
      </c>
      <c r="C9962">
        <v>146.114452900999</v>
      </c>
      <c r="D9962">
        <v>-17.600725613000002</v>
      </c>
      <c r="E9962" s="92" t="str">
        <f t="shared" si="69"/>
        <v/>
      </c>
      <c r="G9962" s="92"/>
      <c r="I9962">
        <v>6</v>
      </c>
      <c r="J9962" t="s">
        <v>26</v>
      </c>
      <c r="K9962" s="57"/>
      <c r="S9962" s="57"/>
      <c r="X9962" s="57"/>
    </row>
    <row r="9963" spans="1:24" hidden="1" x14ac:dyDescent="0.35">
      <c r="A9963">
        <v>9959</v>
      </c>
      <c r="B9963">
        <v>9960</v>
      </c>
      <c r="C9963">
        <v>146.114535042</v>
      </c>
      <c r="D9963">
        <v>-17.600760277900001</v>
      </c>
      <c r="E9963" s="92">
        <f t="shared" si="69"/>
        <v>50</v>
      </c>
      <c r="G9963" s="92"/>
      <c r="I9963">
        <v>6</v>
      </c>
      <c r="J9963" t="s">
        <v>26</v>
      </c>
      <c r="K9963" s="57"/>
      <c r="S9963" s="57"/>
      <c r="X9963" s="57"/>
    </row>
    <row r="9964" spans="1:24" hidden="1" x14ac:dyDescent="0.35">
      <c r="A9964">
        <v>9960</v>
      </c>
      <c r="B9964">
        <v>9961</v>
      </c>
      <c r="C9964">
        <v>146.11461718199899</v>
      </c>
      <c r="D9964">
        <v>-17.6007949428</v>
      </c>
      <c r="E9964" s="92" t="str">
        <f t="shared" si="69"/>
        <v/>
      </c>
      <c r="G9964" s="92"/>
      <c r="I9964">
        <v>6</v>
      </c>
      <c r="J9964" t="s">
        <v>26</v>
      </c>
      <c r="K9964" s="57"/>
      <c r="S9964" s="57"/>
      <c r="X9964" s="57"/>
    </row>
    <row r="9965" spans="1:24" hidden="1" x14ac:dyDescent="0.35">
      <c r="A9965">
        <v>9961</v>
      </c>
      <c r="B9965">
        <v>9962</v>
      </c>
      <c r="C9965">
        <v>146.114699322999</v>
      </c>
      <c r="D9965">
        <v>-17.600829607600001</v>
      </c>
      <c r="E9965" s="92" t="str">
        <f t="shared" si="69"/>
        <v/>
      </c>
      <c r="G9965" s="92"/>
      <c r="I9965">
        <v>6</v>
      </c>
      <c r="J9965" t="s">
        <v>26</v>
      </c>
      <c r="K9965" s="57"/>
      <c r="S9965" s="57"/>
      <c r="X9965" s="57"/>
    </row>
    <row r="9966" spans="1:24" hidden="1" x14ac:dyDescent="0.35">
      <c r="A9966">
        <v>9962</v>
      </c>
      <c r="B9966">
        <v>9963</v>
      </c>
      <c r="C9966">
        <v>146.114781464</v>
      </c>
      <c r="D9966">
        <v>-17.600864272500001</v>
      </c>
      <c r="E9966" s="92" t="str">
        <f t="shared" si="69"/>
        <v/>
      </c>
      <c r="G9966" s="92"/>
      <c r="I9966">
        <v>6</v>
      </c>
      <c r="J9966" t="s">
        <v>26</v>
      </c>
      <c r="K9966" s="57"/>
      <c r="S9966" s="57"/>
      <c r="X9966" s="57"/>
    </row>
    <row r="9967" spans="1:24" hidden="1" x14ac:dyDescent="0.35">
      <c r="A9967">
        <v>9963</v>
      </c>
      <c r="B9967">
        <v>9964</v>
      </c>
      <c r="C9967">
        <v>146.11486360500001</v>
      </c>
      <c r="D9967">
        <v>-17.600898937299899</v>
      </c>
      <c r="E9967" s="92" t="str">
        <f t="shared" si="69"/>
        <v/>
      </c>
      <c r="G9967" s="92"/>
      <c r="I9967">
        <v>6</v>
      </c>
      <c r="J9967" t="s">
        <v>26</v>
      </c>
      <c r="K9967" s="57"/>
      <c r="S9967" s="57"/>
      <c r="X9967" s="57"/>
    </row>
    <row r="9968" spans="1:24" hidden="1" x14ac:dyDescent="0.35">
      <c r="A9968">
        <v>9964</v>
      </c>
      <c r="B9968">
        <v>9965</v>
      </c>
      <c r="C9968">
        <v>146.11494574599899</v>
      </c>
      <c r="D9968">
        <v>-17.600933602200001</v>
      </c>
      <c r="E9968" s="92">
        <f t="shared" si="69"/>
        <v>50</v>
      </c>
      <c r="G9968" s="92"/>
      <c r="I9968">
        <v>6</v>
      </c>
      <c r="J9968" t="s">
        <v>26</v>
      </c>
      <c r="K9968" s="57"/>
      <c r="S9968" s="57"/>
      <c r="X9968" s="57"/>
    </row>
    <row r="9969" spans="1:24" hidden="1" x14ac:dyDescent="0.35">
      <c r="A9969">
        <v>9965</v>
      </c>
      <c r="B9969">
        <v>9966</v>
      </c>
      <c r="C9969">
        <v>146.115027886999</v>
      </c>
      <c r="D9969">
        <v>-17.600968266999899</v>
      </c>
      <c r="E9969" s="92" t="str">
        <f t="shared" si="69"/>
        <v/>
      </c>
      <c r="G9969" s="92"/>
      <c r="I9969">
        <v>6</v>
      </c>
      <c r="J9969" t="s">
        <v>26</v>
      </c>
      <c r="K9969" s="57"/>
      <c r="S9969" s="57"/>
      <c r="X9969" s="57"/>
    </row>
    <row r="9970" spans="1:24" hidden="1" x14ac:dyDescent="0.35">
      <c r="A9970">
        <v>9966</v>
      </c>
      <c r="B9970">
        <v>9967</v>
      </c>
      <c r="C9970">
        <v>146.11511002699899</v>
      </c>
      <c r="D9970">
        <v>-17.6010029318</v>
      </c>
      <c r="E9970" s="92" t="str">
        <f t="shared" si="69"/>
        <v/>
      </c>
      <c r="G9970" s="92"/>
      <c r="I9970">
        <v>6</v>
      </c>
      <c r="J9970" t="s">
        <v>26</v>
      </c>
      <c r="K9970" s="57"/>
      <c r="S9970" s="57"/>
      <c r="X9970" s="57"/>
    </row>
    <row r="9971" spans="1:24" hidden="1" x14ac:dyDescent="0.35">
      <c r="A9971">
        <v>9967</v>
      </c>
      <c r="B9971">
        <v>9968</v>
      </c>
      <c r="C9971">
        <v>146.11519310099899</v>
      </c>
      <c r="D9971">
        <v>-17.601035312699899</v>
      </c>
      <c r="E9971" s="92" t="str">
        <f t="shared" si="69"/>
        <v/>
      </c>
      <c r="G9971" s="92"/>
      <c r="I9971">
        <v>6</v>
      </c>
      <c r="J9971" t="s">
        <v>26</v>
      </c>
      <c r="K9971" s="57"/>
      <c r="S9971" s="57"/>
      <c r="X9971" s="57"/>
    </row>
    <row r="9972" spans="1:24" hidden="1" x14ac:dyDescent="0.35">
      <c r="A9972">
        <v>9968</v>
      </c>
      <c r="B9972">
        <v>9969</v>
      </c>
      <c r="C9972">
        <v>146.115278211</v>
      </c>
      <c r="D9972">
        <v>-17.601062706800001</v>
      </c>
      <c r="E9972" s="92" t="str">
        <f t="shared" si="69"/>
        <v/>
      </c>
      <c r="G9972" s="92"/>
      <c r="I9972">
        <v>6</v>
      </c>
      <c r="J9972" t="s">
        <v>26</v>
      </c>
      <c r="K9972" s="57"/>
      <c r="S9972" s="57"/>
      <c r="X9972" s="57"/>
    </row>
    <row r="9973" spans="1:24" hidden="1" x14ac:dyDescent="0.35">
      <c r="A9973">
        <v>9969</v>
      </c>
      <c r="B9973">
        <v>9970</v>
      </c>
      <c r="C9973">
        <v>146.11536332099899</v>
      </c>
      <c r="D9973">
        <v>-17.601090101</v>
      </c>
      <c r="E9973" s="92">
        <f t="shared" si="69"/>
        <v>50</v>
      </c>
      <c r="G9973" s="92" t="s">
        <v>7219</v>
      </c>
      <c r="I9973">
        <v>6</v>
      </c>
      <c r="J9973" t="s">
        <v>26</v>
      </c>
      <c r="K9973" s="57"/>
      <c r="S9973" s="57"/>
      <c r="X9973" s="57"/>
    </row>
    <row r="9974" spans="1:24" hidden="1" x14ac:dyDescent="0.35">
      <c r="A9974">
        <v>9970</v>
      </c>
      <c r="B9974">
        <v>9971</v>
      </c>
      <c r="C9974">
        <v>146.115448431999</v>
      </c>
      <c r="D9974">
        <v>-17.601117495099899</v>
      </c>
      <c r="E9974" s="92" t="str">
        <f t="shared" si="69"/>
        <v/>
      </c>
      <c r="G9974" s="92"/>
      <c r="I9974">
        <v>6</v>
      </c>
      <c r="J9974" t="s">
        <v>26</v>
      </c>
      <c r="K9974" s="57"/>
      <c r="S9974" s="57"/>
      <c r="X9974" s="57"/>
    </row>
    <row r="9975" spans="1:24" hidden="1" x14ac:dyDescent="0.35">
      <c r="A9975">
        <v>9971</v>
      </c>
      <c r="B9975">
        <v>9972</v>
      </c>
      <c r="C9975">
        <v>146.11553354200001</v>
      </c>
      <c r="D9975">
        <v>-17.601144889299899</v>
      </c>
      <c r="E9975" s="92" t="str">
        <f t="shared" si="69"/>
        <v/>
      </c>
      <c r="G9975" s="92" t="s">
        <v>7220</v>
      </c>
      <c r="I9975">
        <v>6</v>
      </c>
      <c r="J9975" t="s">
        <v>26</v>
      </c>
      <c r="K9975" s="57"/>
      <c r="S9975" s="57"/>
      <c r="X9975" s="57"/>
    </row>
    <row r="9976" spans="1:24" hidden="1" x14ac:dyDescent="0.35">
      <c r="A9976">
        <v>9972</v>
      </c>
      <c r="B9976">
        <v>9973</v>
      </c>
      <c r="C9976">
        <v>146.115618651999</v>
      </c>
      <c r="D9976">
        <v>-17.6011722834</v>
      </c>
      <c r="E9976" s="92" t="str">
        <f t="shared" si="69"/>
        <v/>
      </c>
      <c r="G9976" s="92" t="s">
        <v>7221</v>
      </c>
      <c r="I9976">
        <v>6</v>
      </c>
      <c r="J9976" t="s">
        <v>26</v>
      </c>
      <c r="K9976" s="57"/>
      <c r="S9976" s="57"/>
      <c r="X9976" s="57"/>
    </row>
    <row r="9977" spans="1:24" hidden="1" x14ac:dyDescent="0.35">
      <c r="A9977">
        <v>9973</v>
      </c>
      <c r="B9977">
        <v>9974</v>
      </c>
      <c r="C9977">
        <v>146.11570376200001</v>
      </c>
      <c r="D9977">
        <v>-17.601199677499899</v>
      </c>
      <c r="E9977" s="92" t="str">
        <f t="shared" si="69"/>
        <v/>
      </c>
      <c r="G9977" s="92" t="s">
        <v>7222</v>
      </c>
      <c r="I9977">
        <v>6</v>
      </c>
      <c r="J9977" t="s">
        <v>26</v>
      </c>
      <c r="K9977" s="57"/>
      <c r="S9977" s="57"/>
      <c r="X9977" s="57"/>
    </row>
    <row r="9978" spans="1:24" hidden="1" x14ac:dyDescent="0.35">
      <c r="A9978">
        <v>9974</v>
      </c>
      <c r="B9978">
        <v>9975</v>
      </c>
      <c r="C9978">
        <v>146.115788871999</v>
      </c>
      <c r="D9978">
        <v>-17.601227071699899</v>
      </c>
      <c r="E9978" s="92">
        <f t="shared" si="69"/>
        <v>50</v>
      </c>
      <c r="G9978" s="92" t="s">
        <v>7223</v>
      </c>
      <c r="I9978">
        <v>6</v>
      </c>
      <c r="J9978" t="s">
        <v>26</v>
      </c>
      <c r="K9978" s="57"/>
      <c r="S9978" s="57"/>
      <c r="X9978" s="57"/>
    </row>
    <row r="9979" spans="1:24" hidden="1" x14ac:dyDescent="0.35">
      <c r="A9979">
        <v>9975</v>
      </c>
      <c r="B9979">
        <v>9976</v>
      </c>
      <c r="C9979">
        <v>146.11587274600001</v>
      </c>
      <c r="D9979">
        <v>-17.6012576315999</v>
      </c>
      <c r="E9979" s="92" t="str">
        <f t="shared" si="69"/>
        <v/>
      </c>
      <c r="G9979" s="92"/>
      <c r="I9979">
        <v>6</v>
      </c>
      <c r="J9979" t="s">
        <v>26</v>
      </c>
      <c r="K9979" s="57"/>
      <c r="S9979" s="57"/>
      <c r="X9979" s="57"/>
    </row>
    <row r="9980" spans="1:24" hidden="1" x14ac:dyDescent="0.35">
      <c r="A9980">
        <v>9976</v>
      </c>
      <c r="B9980">
        <v>9977</v>
      </c>
      <c r="C9980">
        <v>146.115957428</v>
      </c>
      <c r="D9980">
        <v>-17.601284885599899</v>
      </c>
      <c r="E9980" s="92" t="str">
        <f t="shared" si="69"/>
        <v/>
      </c>
      <c r="G9980" s="92" t="s">
        <v>7224</v>
      </c>
      <c r="I9980">
        <v>6</v>
      </c>
      <c r="J9980" t="s">
        <v>26</v>
      </c>
      <c r="K9980" s="57"/>
      <c r="S9980" s="57"/>
      <c r="X9980" s="57"/>
    </row>
    <row r="9981" spans="1:24" hidden="1" x14ac:dyDescent="0.35">
      <c r="A9981">
        <v>9977</v>
      </c>
      <c r="B9981">
        <v>9978</v>
      </c>
      <c r="C9981">
        <v>146.116046033999</v>
      </c>
      <c r="D9981">
        <v>-17.6012969209999</v>
      </c>
      <c r="E9981" s="92" t="str">
        <f t="shared" si="69"/>
        <v/>
      </c>
      <c r="G9981" s="92" t="s">
        <v>7225</v>
      </c>
      <c r="I9981">
        <v>6</v>
      </c>
      <c r="J9981" t="s">
        <v>26</v>
      </c>
      <c r="K9981" s="57"/>
      <c r="S9981" s="57"/>
      <c r="X9981" s="57"/>
    </row>
    <row r="9982" spans="1:24" hidden="1" x14ac:dyDescent="0.35">
      <c r="A9982">
        <v>9978</v>
      </c>
      <c r="B9982">
        <v>9979</v>
      </c>
      <c r="C9982">
        <v>146.11613388000001</v>
      </c>
      <c r="D9982">
        <v>-17.601279017700001</v>
      </c>
      <c r="E9982" s="92" t="str">
        <f t="shared" si="69"/>
        <v/>
      </c>
      <c r="G9982" s="92" t="s">
        <v>7226</v>
      </c>
      <c r="I9982">
        <v>6</v>
      </c>
      <c r="J9982" t="s">
        <v>26</v>
      </c>
      <c r="K9982" s="57"/>
      <c r="S9982" s="57"/>
      <c r="X9982" s="57"/>
    </row>
    <row r="9983" spans="1:24" hidden="1" x14ac:dyDescent="0.35">
      <c r="A9983">
        <v>9979</v>
      </c>
      <c r="B9983">
        <v>9980</v>
      </c>
      <c r="C9983">
        <v>146.11621840199899</v>
      </c>
      <c r="D9983">
        <v>-17.601291059400001</v>
      </c>
      <c r="E9983" s="92">
        <f t="shared" si="69"/>
        <v>50</v>
      </c>
      <c r="G9983" s="92"/>
      <c r="I9983">
        <v>6</v>
      </c>
      <c r="J9983" t="s">
        <v>26</v>
      </c>
      <c r="K9983" s="57"/>
      <c r="S9983" s="57"/>
      <c r="X9983" s="57"/>
    </row>
    <row r="9984" spans="1:24" hidden="1" x14ac:dyDescent="0.35">
      <c r="A9984">
        <v>9980</v>
      </c>
      <c r="B9984">
        <v>9981</v>
      </c>
      <c r="C9984">
        <v>146.116300373</v>
      </c>
      <c r="D9984">
        <v>-17.601326087499899</v>
      </c>
      <c r="E9984" s="92" t="str">
        <f t="shared" si="69"/>
        <v/>
      </c>
      <c r="G9984" s="92" t="s">
        <v>7227</v>
      </c>
      <c r="I9984">
        <v>6</v>
      </c>
      <c r="J9984" t="s">
        <v>26</v>
      </c>
      <c r="K9984" s="57"/>
      <c r="S9984" s="57"/>
      <c r="X9984" s="57"/>
    </row>
    <row r="9985" spans="1:24" hidden="1" x14ac:dyDescent="0.35">
      <c r="A9985">
        <v>9981</v>
      </c>
      <c r="B9985">
        <v>9982</v>
      </c>
      <c r="C9985">
        <v>146.11638442</v>
      </c>
      <c r="D9985">
        <v>-17.601356225100002</v>
      </c>
      <c r="E9985" s="92" t="str">
        <f t="shared" si="69"/>
        <v/>
      </c>
      <c r="G9985" s="92" t="s">
        <v>7228</v>
      </c>
      <c r="I9985">
        <v>6</v>
      </c>
      <c r="J9985" t="s">
        <v>26</v>
      </c>
      <c r="K9985" s="57"/>
      <c r="S9985" s="57"/>
      <c r="X9985" s="57"/>
    </row>
    <row r="9986" spans="1:24" hidden="1" x14ac:dyDescent="0.35">
      <c r="A9986">
        <v>9982</v>
      </c>
      <c r="B9986">
        <v>9983</v>
      </c>
      <c r="C9986">
        <v>146.11646896100001</v>
      </c>
      <c r="D9986">
        <v>-17.601385176800001</v>
      </c>
      <c r="E9986" s="92" t="str">
        <f t="shared" si="69"/>
        <v/>
      </c>
      <c r="G9986" s="92" t="s">
        <v>7229</v>
      </c>
      <c r="I9986">
        <v>6</v>
      </c>
      <c r="J9986" t="s">
        <v>26</v>
      </c>
      <c r="K9986" s="57"/>
      <c r="S9986" s="57"/>
      <c r="X9986" s="57"/>
    </row>
    <row r="9987" spans="1:24" hidden="1" x14ac:dyDescent="0.35">
      <c r="A9987">
        <v>9983</v>
      </c>
      <c r="B9987">
        <v>9984</v>
      </c>
      <c r="C9987">
        <v>146.116555312</v>
      </c>
      <c r="D9987">
        <v>-17.601408085700001</v>
      </c>
      <c r="E9987" s="92" t="str">
        <f t="shared" si="69"/>
        <v/>
      </c>
      <c r="G9987" s="92" t="s">
        <v>7230</v>
      </c>
      <c r="I9987">
        <v>6</v>
      </c>
      <c r="J9987" t="s">
        <v>26</v>
      </c>
      <c r="K9987" s="57"/>
      <c r="S9987" s="57"/>
      <c r="X9987" s="57"/>
    </row>
    <row r="9988" spans="1:24" hidden="1" x14ac:dyDescent="0.35">
      <c r="A9988">
        <v>9984</v>
      </c>
      <c r="B9988">
        <v>9985</v>
      </c>
      <c r="C9988">
        <v>146.11664314500001</v>
      </c>
      <c r="D9988">
        <v>-17.6014260448</v>
      </c>
      <c r="E9988" s="92">
        <f t="shared" si="69"/>
        <v>50</v>
      </c>
      <c r="G9988" s="92" t="s">
        <v>7231</v>
      </c>
      <c r="I9988">
        <v>6</v>
      </c>
      <c r="J9988" t="s">
        <v>26</v>
      </c>
      <c r="K9988" s="57"/>
      <c r="S9988" s="57"/>
      <c r="X9988" s="57"/>
    </row>
    <row r="9989" spans="1:24" hidden="1" x14ac:dyDescent="0.35">
      <c r="A9989">
        <v>9985</v>
      </c>
      <c r="B9989">
        <v>9986</v>
      </c>
      <c r="C9989">
        <v>146.11673097900001</v>
      </c>
      <c r="D9989">
        <v>-17.6014440038999</v>
      </c>
      <c r="E9989" s="92" t="str">
        <f t="shared" si="69"/>
        <v/>
      </c>
      <c r="G9989" s="92" t="s">
        <v>7232</v>
      </c>
      <c r="I9989">
        <v>6</v>
      </c>
      <c r="J9989" t="s">
        <v>26</v>
      </c>
      <c r="K9989" s="57"/>
      <c r="S9989" s="57"/>
      <c r="X9989" s="57"/>
    </row>
    <row r="9990" spans="1:24" hidden="1" x14ac:dyDescent="0.35">
      <c r="A9990">
        <v>9986</v>
      </c>
      <c r="B9990">
        <v>9987</v>
      </c>
      <c r="C9990">
        <v>146.116819410999</v>
      </c>
      <c r="D9990">
        <v>-17.6014585494</v>
      </c>
      <c r="E9990" s="92" t="str">
        <f t="shared" si="69"/>
        <v/>
      </c>
      <c r="G9990" s="92" t="s">
        <v>7233</v>
      </c>
      <c r="I9990">
        <v>6</v>
      </c>
      <c r="J9990" t="s">
        <v>26</v>
      </c>
      <c r="K9990" s="57"/>
      <c r="S9990" s="57"/>
      <c r="X9990" s="57"/>
    </row>
    <row r="9991" spans="1:24" hidden="1" x14ac:dyDescent="0.35">
      <c r="A9991">
        <v>9987</v>
      </c>
      <c r="B9991">
        <v>9988</v>
      </c>
      <c r="C9991">
        <v>146.116908593999</v>
      </c>
      <c r="D9991">
        <v>-17.6014688224999</v>
      </c>
      <c r="E9991" s="92" t="str">
        <f t="shared" si="69"/>
        <v/>
      </c>
      <c r="G9991" s="92" t="s">
        <v>7234</v>
      </c>
      <c r="I9991">
        <v>6</v>
      </c>
      <c r="J9991" t="s">
        <v>26</v>
      </c>
      <c r="K9991" s="57"/>
      <c r="S9991" s="57"/>
      <c r="X9991" s="57"/>
    </row>
    <row r="9992" spans="1:24" hidden="1" x14ac:dyDescent="0.35">
      <c r="A9992">
        <v>9988</v>
      </c>
      <c r="B9992">
        <v>9989</v>
      </c>
      <c r="C9992">
        <v>146.116997776999</v>
      </c>
      <c r="D9992">
        <v>-17.601479095599899</v>
      </c>
      <c r="E9992" s="92" t="str">
        <f t="shared" si="69"/>
        <v/>
      </c>
      <c r="G9992" s="92"/>
      <c r="I9992">
        <v>6</v>
      </c>
      <c r="J9992" t="s">
        <v>26</v>
      </c>
      <c r="K9992" s="57"/>
      <c r="S9992" s="57"/>
      <c r="X9992" s="57"/>
    </row>
    <row r="9993" spans="1:24" hidden="1" x14ac:dyDescent="0.35">
      <c r="A9993">
        <v>9989</v>
      </c>
      <c r="B9993">
        <v>9990</v>
      </c>
      <c r="C9993">
        <v>146.117086951</v>
      </c>
      <c r="D9993">
        <v>-17.6014866533</v>
      </c>
      <c r="E9993" s="92">
        <f t="shared" si="69"/>
        <v>50</v>
      </c>
      <c r="G9993" s="92"/>
      <c r="I9993">
        <v>6</v>
      </c>
      <c r="J9993" t="s">
        <v>26</v>
      </c>
      <c r="K9993" s="57"/>
      <c r="S9993" s="57"/>
      <c r="X9993" s="57"/>
    </row>
    <row r="9994" spans="1:24" hidden="1" x14ac:dyDescent="0.35">
      <c r="A9994">
        <v>9990</v>
      </c>
      <c r="B9994">
        <v>9991</v>
      </c>
      <c r="C9994">
        <v>146.117176072999</v>
      </c>
      <c r="D9994">
        <v>-17.601475909000001</v>
      </c>
      <c r="E9994" s="92" t="str">
        <f t="shared" si="69"/>
        <v/>
      </c>
      <c r="G9994" s="92" t="s">
        <v>7235</v>
      </c>
      <c r="I9994">
        <v>6</v>
      </c>
      <c r="J9994" t="s">
        <v>26</v>
      </c>
      <c r="K9994" s="57"/>
      <c r="S9994" s="57"/>
      <c r="X9994" s="57"/>
    </row>
    <row r="9995" spans="1:24" hidden="1" x14ac:dyDescent="0.35">
      <c r="A9995">
        <v>9991</v>
      </c>
      <c r="B9995">
        <v>9992</v>
      </c>
      <c r="C9995">
        <v>146.11725678600001</v>
      </c>
      <c r="D9995">
        <v>-17.601502012600001</v>
      </c>
      <c r="E9995" s="92" t="str">
        <f t="shared" si="69"/>
        <v/>
      </c>
      <c r="G9995" s="92"/>
      <c r="I9995">
        <v>6</v>
      </c>
      <c r="J9995" t="s">
        <v>26</v>
      </c>
      <c r="K9995" s="57"/>
      <c r="S9995" s="57"/>
      <c r="X9995" s="57"/>
    </row>
    <row r="9996" spans="1:24" hidden="1" x14ac:dyDescent="0.35">
      <c r="A9996">
        <v>9992</v>
      </c>
      <c r="B9996">
        <v>9993</v>
      </c>
      <c r="C9996">
        <v>146.117333172999</v>
      </c>
      <c r="D9996">
        <v>-17.601547072199899</v>
      </c>
      <c r="E9996" s="92" t="str">
        <f t="shared" si="69"/>
        <v/>
      </c>
      <c r="G9996" s="92"/>
      <c r="I9996">
        <v>6</v>
      </c>
      <c r="J9996" t="s">
        <v>26</v>
      </c>
      <c r="K9996" s="57"/>
      <c r="S9996" s="57"/>
      <c r="X9996" s="57"/>
    </row>
    <row r="9997" spans="1:24" hidden="1" x14ac:dyDescent="0.35">
      <c r="A9997">
        <v>9993</v>
      </c>
      <c r="B9997">
        <v>9994</v>
      </c>
      <c r="C9997">
        <v>146.117420944</v>
      </c>
      <c r="D9997">
        <v>-17.6015640136999</v>
      </c>
      <c r="E9997" s="92" t="str">
        <f t="shared" si="69"/>
        <v/>
      </c>
      <c r="G9997" s="92" t="s">
        <v>7236</v>
      </c>
      <c r="I9997">
        <v>6</v>
      </c>
      <c r="J9997" t="s">
        <v>26</v>
      </c>
      <c r="K9997" s="57"/>
      <c r="S9997" s="57"/>
      <c r="X9997" s="57"/>
    </row>
    <row r="9998" spans="1:24" hidden="1" x14ac:dyDescent="0.35">
      <c r="A9998">
        <v>9994</v>
      </c>
      <c r="B9998">
        <v>9995</v>
      </c>
      <c r="C9998">
        <v>146.117509388</v>
      </c>
      <c r="D9998">
        <v>-17.601575476000001</v>
      </c>
      <c r="E9998" s="92">
        <f t="shared" si="69"/>
        <v>50</v>
      </c>
      <c r="G9998" s="92" t="s">
        <v>7237</v>
      </c>
      <c r="I9998">
        <v>6</v>
      </c>
      <c r="J9998" t="s">
        <v>26</v>
      </c>
      <c r="K9998" s="57"/>
      <c r="S9998" s="57"/>
      <c r="X9998" s="57"/>
    </row>
    <row r="9999" spans="1:24" hidden="1" x14ac:dyDescent="0.35">
      <c r="A9999">
        <v>9995</v>
      </c>
      <c r="B9999">
        <v>9996</v>
      </c>
      <c r="C9999">
        <v>146.11759841200001</v>
      </c>
      <c r="D9999">
        <v>-17.6015640235</v>
      </c>
      <c r="E9999" s="92" t="str">
        <f t="shared" si="69"/>
        <v/>
      </c>
      <c r="G9999" s="92" t="s">
        <v>7238</v>
      </c>
      <c r="I9999">
        <v>6</v>
      </c>
      <c r="J9999" t="s">
        <v>26</v>
      </c>
      <c r="K9999" s="57"/>
      <c r="S9999" s="57"/>
      <c r="X9999" s="57"/>
    </row>
    <row r="10000" spans="1:24" hidden="1" x14ac:dyDescent="0.35">
      <c r="A10000">
        <v>9996</v>
      </c>
      <c r="B10000">
        <v>9997</v>
      </c>
      <c r="C10000">
        <v>146.117687437</v>
      </c>
      <c r="D10000">
        <v>-17.601552570900001</v>
      </c>
      <c r="E10000" s="92" t="str">
        <f t="shared" ref="E10000:E10063" si="70">IF(MOD(B10000,5)=0, 50, "")</f>
        <v/>
      </c>
      <c r="G10000" s="92" t="s">
        <v>7239</v>
      </c>
      <c r="I10000">
        <v>6</v>
      </c>
      <c r="J10000" t="s">
        <v>26</v>
      </c>
      <c r="K10000" s="57"/>
      <c r="S10000" s="57"/>
      <c r="X10000" s="57"/>
    </row>
    <row r="10001" spans="1:24" hidden="1" x14ac:dyDescent="0.35">
      <c r="A10001">
        <v>9997</v>
      </c>
      <c r="B10001">
        <v>9998</v>
      </c>
      <c r="C10001">
        <v>146.11777509800001</v>
      </c>
      <c r="D10001">
        <v>-17.601534107100001</v>
      </c>
      <c r="E10001" s="92" t="str">
        <f t="shared" si="70"/>
        <v/>
      </c>
      <c r="G10001" s="92" t="s">
        <v>7240</v>
      </c>
      <c r="I10001">
        <v>6</v>
      </c>
      <c r="J10001" t="s">
        <v>26</v>
      </c>
      <c r="K10001" s="57"/>
      <c r="S10001" s="57"/>
      <c r="X10001" s="57"/>
    </row>
    <row r="10002" spans="1:24" hidden="1" x14ac:dyDescent="0.35">
      <c r="A10002">
        <v>9998</v>
      </c>
      <c r="B10002">
        <v>9999</v>
      </c>
      <c r="C10002">
        <v>146.11786283500001</v>
      </c>
      <c r="D10002">
        <v>-17.601521522500001</v>
      </c>
      <c r="E10002" s="92" t="str">
        <f t="shared" si="70"/>
        <v/>
      </c>
      <c r="G10002" s="92"/>
      <c r="I10002">
        <v>6</v>
      </c>
      <c r="J10002" t="s">
        <v>26</v>
      </c>
      <c r="K10002" s="57"/>
      <c r="S10002" s="57"/>
      <c r="X10002" s="57"/>
    </row>
    <row r="10003" spans="1:24" hidden="1" x14ac:dyDescent="0.35">
      <c r="A10003">
        <v>9999</v>
      </c>
      <c r="B10003">
        <v>10000</v>
      </c>
      <c r="C10003">
        <v>146.117951691999</v>
      </c>
      <c r="D10003">
        <v>-17.601534101199899</v>
      </c>
      <c r="E10003" s="92">
        <f t="shared" si="70"/>
        <v>50</v>
      </c>
      <c r="G10003" s="92" t="s">
        <v>7241</v>
      </c>
      <c r="I10003">
        <v>6</v>
      </c>
      <c r="J10003" t="s">
        <v>26</v>
      </c>
      <c r="K10003" s="57"/>
      <c r="S10003" s="57"/>
      <c r="X10003" s="57"/>
    </row>
    <row r="10004" spans="1:24" hidden="1" x14ac:dyDescent="0.35">
      <c r="A10004">
        <v>10000</v>
      </c>
      <c r="B10004">
        <v>10001</v>
      </c>
      <c r="C10004">
        <v>146.118040549</v>
      </c>
      <c r="D10004">
        <v>-17.6015466799</v>
      </c>
      <c r="E10004" s="92" t="str">
        <f t="shared" si="70"/>
        <v/>
      </c>
      <c r="G10004" s="92"/>
      <c r="I10004">
        <v>6</v>
      </c>
      <c r="J10004" t="s">
        <v>26</v>
      </c>
      <c r="K10004" s="57"/>
      <c r="S10004" s="57"/>
      <c r="X10004" s="57"/>
    </row>
    <row r="10005" spans="1:24" hidden="1" x14ac:dyDescent="0.35">
      <c r="A10005">
        <v>10001</v>
      </c>
      <c r="B10005">
        <v>10002</v>
      </c>
      <c r="C10005">
        <v>146.11811681399899</v>
      </c>
      <c r="D10005">
        <v>-17.601591678199899</v>
      </c>
      <c r="E10005" s="92" t="str">
        <f t="shared" si="70"/>
        <v/>
      </c>
      <c r="G10005" s="92"/>
      <c r="I10005">
        <v>6</v>
      </c>
      <c r="J10005" t="s">
        <v>26</v>
      </c>
      <c r="K10005" s="57"/>
      <c r="S10005" s="57"/>
      <c r="X10005" s="57"/>
    </row>
    <row r="10006" spans="1:24" hidden="1" x14ac:dyDescent="0.35">
      <c r="A10006">
        <v>10002</v>
      </c>
      <c r="B10006">
        <v>10003</v>
      </c>
      <c r="C10006">
        <v>146.11819075400001</v>
      </c>
      <c r="D10006">
        <v>-17.60164013</v>
      </c>
      <c r="E10006" s="92" t="str">
        <f t="shared" si="70"/>
        <v/>
      </c>
      <c r="G10006" s="92"/>
      <c r="I10006">
        <v>6</v>
      </c>
      <c r="J10006" t="s">
        <v>26</v>
      </c>
      <c r="K10006" s="57"/>
      <c r="S10006" s="57"/>
      <c r="X10006" s="57"/>
    </row>
    <row r="10007" spans="1:24" hidden="1" x14ac:dyDescent="0.35">
      <c r="A10007">
        <v>10003</v>
      </c>
      <c r="B10007">
        <v>10004</v>
      </c>
      <c r="C10007">
        <v>146.118261748999</v>
      </c>
      <c r="D10007">
        <v>-17.601692592700001</v>
      </c>
      <c r="E10007" s="92" t="str">
        <f t="shared" si="70"/>
        <v/>
      </c>
      <c r="G10007" s="92" t="s">
        <v>7242</v>
      </c>
      <c r="I10007">
        <v>6</v>
      </c>
      <c r="J10007" t="s">
        <v>26</v>
      </c>
      <c r="K10007" s="57"/>
      <c r="S10007" s="57"/>
      <c r="X10007" s="57"/>
    </row>
    <row r="10008" spans="1:24" hidden="1" x14ac:dyDescent="0.35">
      <c r="A10008">
        <v>10004</v>
      </c>
      <c r="B10008">
        <v>10005</v>
      </c>
      <c r="C10008">
        <v>146.118332745</v>
      </c>
      <c r="D10008">
        <v>-17.601745055399899</v>
      </c>
      <c r="E10008" s="92">
        <f t="shared" si="70"/>
        <v>50</v>
      </c>
      <c r="G10008" s="92" t="s">
        <v>7243</v>
      </c>
      <c r="I10008">
        <v>6</v>
      </c>
      <c r="J10008" t="s">
        <v>26</v>
      </c>
      <c r="K10008" s="57"/>
      <c r="S10008" s="57"/>
      <c r="X10008" s="57"/>
    </row>
    <row r="10009" spans="1:24" hidden="1" x14ac:dyDescent="0.35">
      <c r="A10009">
        <v>10005</v>
      </c>
      <c r="B10009">
        <v>10006</v>
      </c>
      <c r="C10009">
        <v>146.11840972300001</v>
      </c>
      <c r="D10009">
        <v>-17.6017860723999</v>
      </c>
      <c r="E10009" s="92" t="str">
        <f t="shared" si="70"/>
        <v/>
      </c>
      <c r="G10009" s="92" t="s">
        <v>7244</v>
      </c>
      <c r="I10009">
        <v>6</v>
      </c>
      <c r="J10009" t="s">
        <v>26</v>
      </c>
      <c r="K10009" s="57"/>
      <c r="S10009" s="57"/>
      <c r="X10009" s="57"/>
    </row>
    <row r="10010" spans="1:24" hidden="1" x14ac:dyDescent="0.35">
      <c r="A10010">
        <v>10006</v>
      </c>
      <c r="B10010">
        <v>10007</v>
      </c>
      <c r="C10010">
        <v>146.118496418999</v>
      </c>
      <c r="D10010">
        <v>-17.6018084956</v>
      </c>
      <c r="E10010" s="92" t="str">
        <f t="shared" si="70"/>
        <v/>
      </c>
      <c r="G10010" s="92" t="s">
        <v>7245</v>
      </c>
      <c r="I10010">
        <v>6</v>
      </c>
      <c r="J10010" t="s">
        <v>26</v>
      </c>
      <c r="K10010" s="57"/>
      <c r="S10010" s="57"/>
      <c r="X10010" s="57"/>
    </row>
    <row r="10011" spans="1:24" hidden="1" x14ac:dyDescent="0.35">
      <c r="A10011">
        <v>10007</v>
      </c>
      <c r="B10011">
        <v>10008</v>
      </c>
      <c r="C10011">
        <v>146.118583594999</v>
      </c>
      <c r="D10011">
        <v>-17.601827550100001</v>
      </c>
      <c r="E10011" s="92" t="str">
        <f t="shared" si="70"/>
        <v/>
      </c>
      <c r="G10011" s="92" t="s">
        <v>7246</v>
      </c>
      <c r="I10011">
        <v>6</v>
      </c>
      <c r="J10011" t="s">
        <v>26</v>
      </c>
      <c r="K10011" s="57"/>
      <c r="S10011" s="57"/>
      <c r="X10011" s="57"/>
    </row>
    <row r="10012" spans="1:24" s="75" customFormat="1" x14ac:dyDescent="0.35">
      <c r="A10012" s="75">
        <v>10008</v>
      </c>
      <c r="B10012" s="75">
        <v>10009</v>
      </c>
      <c r="C10012">
        <v>146.11867342599899</v>
      </c>
      <c r="D10012">
        <v>-17.601827951200001</v>
      </c>
      <c r="E10012" s="92" t="str">
        <f t="shared" si="70"/>
        <v/>
      </c>
      <c r="F10012" s="93" t="str">
        <f t="shared" ref="F10012:F10075" si="71">HYPERLINK("D:\Data From Lucan\2024\Moresby\Frames_for_Analysis\" &amp; G10012,G10012)</f>
        <v>10009_20240611_0001_R_0564.jpg</v>
      </c>
      <c r="G10012" s="75" t="s">
        <v>7247</v>
      </c>
      <c r="I10012" s="75">
        <v>1</v>
      </c>
      <c r="K10012" s="97">
        <v>1</v>
      </c>
      <c r="L10012"/>
      <c r="M10012"/>
      <c r="N10012"/>
      <c r="O10012"/>
      <c r="P10012" s="57"/>
      <c r="Q10012" s="57"/>
      <c r="R10012" s="57"/>
      <c r="S10012" s="97">
        <v>0</v>
      </c>
      <c r="T10012" s="57"/>
      <c r="U10012" s="57"/>
      <c r="V10012" s="57"/>
      <c r="W10012" s="57"/>
      <c r="X10012" s="97">
        <v>0</v>
      </c>
    </row>
    <row r="10013" spans="1:24" s="75" customFormat="1" x14ac:dyDescent="0.35">
      <c r="A10013" s="75">
        <v>10009</v>
      </c>
      <c r="B10013" s="75">
        <v>10010</v>
      </c>
      <c r="C10013">
        <v>146.118763255999</v>
      </c>
      <c r="D10013">
        <v>-17.601828351999899</v>
      </c>
      <c r="E10013" s="92">
        <f t="shared" si="70"/>
        <v>50</v>
      </c>
      <c r="F10013" s="93" t="str">
        <f t="shared" si="71"/>
        <v>10010_20240611_0001_R_0562.jpg</v>
      </c>
      <c r="G10013" s="75" t="s">
        <v>7248</v>
      </c>
      <c r="I10013" s="75">
        <v>1</v>
      </c>
      <c r="K10013" s="97">
        <v>1</v>
      </c>
      <c r="L10013"/>
      <c r="M10013"/>
      <c r="N10013"/>
      <c r="O10013"/>
      <c r="P10013" s="57"/>
      <c r="Q10013" s="57"/>
      <c r="R10013" s="57"/>
      <c r="S10013" s="97">
        <v>0</v>
      </c>
      <c r="T10013" s="57"/>
      <c r="U10013" s="57"/>
      <c r="V10013" s="57"/>
      <c r="W10013" s="57"/>
      <c r="X10013" s="97">
        <v>0</v>
      </c>
    </row>
    <row r="10014" spans="1:24" s="75" customFormat="1" x14ac:dyDescent="0.35">
      <c r="A10014" s="75">
        <v>10010</v>
      </c>
      <c r="B10014" s="75">
        <v>10011</v>
      </c>
      <c r="C10014">
        <v>146.118851578</v>
      </c>
      <c r="D10014">
        <v>-17.6018143738</v>
      </c>
      <c r="E10014" s="92" t="str">
        <f t="shared" si="70"/>
        <v/>
      </c>
      <c r="F10014" s="93" t="str">
        <f t="shared" si="71"/>
        <v>10011_20240611_0001_R_0503.jpg</v>
      </c>
      <c r="G10014" s="75" t="s">
        <v>7249</v>
      </c>
      <c r="I10014" s="75">
        <v>1</v>
      </c>
      <c r="K10014" s="97">
        <v>1</v>
      </c>
      <c r="L10014"/>
      <c r="M10014"/>
      <c r="N10014"/>
      <c r="O10014"/>
      <c r="P10014" s="57"/>
      <c r="Q10014" s="57"/>
      <c r="R10014" s="57"/>
      <c r="S10014" s="97">
        <v>0</v>
      </c>
      <c r="T10014" s="57"/>
      <c r="U10014" s="57"/>
      <c r="V10014" s="57"/>
      <c r="W10014" s="57"/>
      <c r="X10014" s="97">
        <v>0</v>
      </c>
    </row>
    <row r="10015" spans="1:24" s="75" customFormat="1" x14ac:dyDescent="0.35">
      <c r="A10015" s="75">
        <v>10011</v>
      </c>
      <c r="B10015" s="75">
        <v>10012</v>
      </c>
      <c r="C10015">
        <v>146.11893684399899</v>
      </c>
      <c r="D10015">
        <v>-17.6017885085</v>
      </c>
      <c r="E10015" s="92" t="str">
        <f t="shared" si="70"/>
        <v/>
      </c>
      <c r="F10015" s="93" t="str">
        <f t="shared" si="71"/>
        <v>10012_20240611_0001_R_0486.jpg</v>
      </c>
      <c r="G10015" s="75" t="s">
        <v>7250</v>
      </c>
      <c r="I10015" s="75">
        <v>1</v>
      </c>
      <c r="K10015" s="97">
        <v>1</v>
      </c>
      <c r="L10015"/>
      <c r="M10015"/>
      <c r="N10015"/>
      <c r="O10015"/>
      <c r="P10015" s="57"/>
      <c r="Q10015" s="57"/>
      <c r="R10015" s="57"/>
      <c r="S10015" s="97">
        <v>0</v>
      </c>
      <c r="T10015" s="57"/>
      <c r="U10015" s="57"/>
      <c r="V10015" s="57"/>
      <c r="W10015" s="57"/>
      <c r="X10015" s="97">
        <v>0</v>
      </c>
    </row>
    <row r="10016" spans="1:24" s="75" customFormat="1" x14ac:dyDescent="0.35">
      <c r="A10016" s="75">
        <v>10012</v>
      </c>
      <c r="B10016" s="75">
        <v>10013</v>
      </c>
      <c r="C10016">
        <v>146.119020156</v>
      </c>
      <c r="D10016">
        <v>-17.601756481900001</v>
      </c>
      <c r="E10016" s="92" t="str">
        <f t="shared" si="70"/>
        <v/>
      </c>
      <c r="F10016" s="93" t="str">
        <f t="shared" si="71"/>
        <v>10013_20240611_0001_R_0557.jpg</v>
      </c>
      <c r="G10016" s="75" t="s">
        <v>7251</v>
      </c>
      <c r="I10016" s="75">
        <v>1</v>
      </c>
      <c r="K10016" s="97">
        <v>1</v>
      </c>
      <c r="L10016"/>
      <c r="M10016"/>
      <c r="N10016"/>
      <c r="O10016"/>
      <c r="P10016" s="57"/>
      <c r="Q10016" s="57"/>
      <c r="R10016" s="57"/>
      <c r="S10016" s="97">
        <v>0</v>
      </c>
      <c r="T10016" s="57"/>
      <c r="U10016" s="57"/>
      <c r="V10016" s="57"/>
      <c r="W10016" s="57"/>
      <c r="X10016" s="97">
        <v>0</v>
      </c>
    </row>
    <row r="10017" spans="1:24" s="75" customFormat="1" x14ac:dyDescent="0.35">
      <c r="A10017" s="75">
        <v>10013</v>
      </c>
      <c r="B10017" s="75">
        <v>10014</v>
      </c>
      <c r="C10017">
        <v>146.119100873999</v>
      </c>
      <c r="D10017">
        <v>-17.6017195358999</v>
      </c>
      <c r="E10017" s="92" t="str">
        <f t="shared" si="70"/>
        <v/>
      </c>
      <c r="F10017" s="93" t="str">
        <f t="shared" si="71"/>
        <v>10014_20240611_0001_R_0554.jpg</v>
      </c>
      <c r="G10017" s="75" t="s">
        <v>7252</v>
      </c>
      <c r="I10017" s="75">
        <v>1</v>
      </c>
      <c r="K10017" s="97">
        <v>1</v>
      </c>
      <c r="L10017"/>
      <c r="M10017"/>
      <c r="N10017"/>
      <c r="O10017"/>
      <c r="P10017" s="57"/>
      <c r="Q10017" s="57"/>
      <c r="R10017" s="57"/>
      <c r="S10017" s="97">
        <v>0</v>
      </c>
      <c r="T10017" s="57"/>
      <c r="U10017" s="57"/>
      <c r="V10017" s="57"/>
      <c r="W10017" s="57"/>
      <c r="X10017" s="97">
        <v>0</v>
      </c>
    </row>
    <row r="10018" spans="1:24" s="75" customFormat="1" x14ac:dyDescent="0.35">
      <c r="A10018" s="75">
        <v>10014</v>
      </c>
      <c r="B10018" s="75">
        <v>10015</v>
      </c>
      <c r="C10018">
        <v>146.119177554999</v>
      </c>
      <c r="D10018">
        <v>-17.601674933200002</v>
      </c>
      <c r="E10018" s="92">
        <f t="shared" si="70"/>
        <v>50</v>
      </c>
      <c r="F10018" s="93" t="str">
        <f t="shared" si="71"/>
        <v>10015_20240611_0001_R_0481.jpg</v>
      </c>
      <c r="G10018" s="75" t="s">
        <v>7253</v>
      </c>
      <c r="I10018" s="75">
        <v>1</v>
      </c>
      <c r="K10018" s="97">
        <v>1</v>
      </c>
      <c r="L10018"/>
      <c r="M10018"/>
      <c r="N10018"/>
      <c r="O10018"/>
      <c r="P10018" s="57"/>
      <c r="Q10018" s="57"/>
      <c r="R10018" s="57"/>
      <c r="S10018" s="97">
        <v>0</v>
      </c>
      <c r="T10018" s="57"/>
      <c r="U10018" s="57"/>
      <c r="V10018" s="57"/>
      <c r="W10018" s="57"/>
      <c r="X10018" s="97">
        <v>0</v>
      </c>
    </row>
    <row r="10019" spans="1:24" s="75" customFormat="1" x14ac:dyDescent="0.35">
      <c r="A10019" s="75">
        <v>10015</v>
      </c>
      <c r="B10019" s="75">
        <v>10016</v>
      </c>
      <c r="C10019">
        <v>146.11925357300001</v>
      </c>
      <c r="D10019">
        <v>-17.601629449000001</v>
      </c>
      <c r="E10019" s="92" t="str">
        <f t="shared" si="70"/>
        <v/>
      </c>
      <c r="F10019" s="93" t="str">
        <f t="shared" si="71"/>
        <v>10016_20240611_0001_R_0480.jpg</v>
      </c>
      <c r="G10019" s="75" t="s">
        <v>7254</v>
      </c>
      <c r="I10019" s="75">
        <v>1</v>
      </c>
      <c r="K10019" s="97">
        <v>1</v>
      </c>
      <c r="L10019"/>
      <c r="M10019"/>
      <c r="N10019"/>
      <c r="O10019"/>
      <c r="P10019" s="57"/>
      <c r="Q10019" s="57"/>
      <c r="R10019" s="57"/>
      <c r="S10019" s="97">
        <v>0</v>
      </c>
      <c r="T10019" s="57"/>
      <c r="U10019" s="57"/>
      <c r="V10019" s="57"/>
      <c r="W10019" s="57"/>
      <c r="X10019" s="97">
        <v>0</v>
      </c>
    </row>
    <row r="10020" spans="1:24" s="75" customFormat="1" x14ac:dyDescent="0.35">
      <c r="A10020" s="75">
        <v>10016</v>
      </c>
      <c r="B10020" s="75">
        <v>10017</v>
      </c>
      <c r="C10020">
        <v>146.119322452999</v>
      </c>
      <c r="D10020">
        <v>-17.601574483</v>
      </c>
      <c r="E10020" s="92" t="str">
        <f t="shared" si="70"/>
        <v/>
      </c>
      <c r="F10020" s="93" t="str">
        <f t="shared" si="71"/>
        <v>10017_20240611_0001_R_0479.jpg</v>
      </c>
      <c r="G10020" s="75" t="s">
        <v>7255</v>
      </c>
      <c r="I10020" s="75">
        <v>1</v>
      </c>
      <c r="K10020" s="97">
        <v>1</v>
      </c>
      <c r="L10020"/>
      <c r="M10020"/>
      <c r="N10020"/>
      <c r="O10020"/>
      <c r="P10020" s="57"/>
      <c r="Q10020" s="57"/>
      <c r="R10020" s="57"/>
      <c r="S10020" s="97">
        <v>0</v>
      </c>
      <c r="T10020" s="57"/>
      <c r="U10020" s="57"/>
      <c r="V10020" s="57"/>
      <c r="W10020" s="57"/>
      <c r="X10020" s="97">
        <v>0</v>
      </c>
    </row>
    <row r="10021" spans="1:24" s="75" customFormat="1" x14ac:dyDescent="0.35">
      <c r="A10021" s="75">
        <v>10017</v>
      </c>
      <c r="B10021" s="75">
        <v>10018</v>
      </c>
      <c r="C10021">
        <v>146.119391387999</v>
      </c>
      <c r="D10021">
        <v>-17.601519586999899</v>
      </c>
      <c r="E10021" s="92" t="str">
        <f t="shared" si="70"/>
        <v/>
      </c>
      <c r="F10021" s="93" t="str">
        <f t="shared" si="71"/>
        <v>10018_20240611_0001_R_0477.jpg</v>
      </c>
      <c r="G10021" s="75" t="s">
        <v>7256</v>
      </c>
      <c r="I10021" s="75">
        <v>1</v>
      </c>
      <c r="K10021" s="97">
        <v>1</v>
      </c>
      <c r="L10021"/>
      <c r="M10021"/>
      <c r="N10021"/>
      <c r="O10021"/>
      <c r="P10021" s="57"/>
      <c r="Q10021" s="57"/>
      <c r="R10021" s="57"/>
      <c r="S10021" s="97">
        <v>0</v>
      </c>
      <c r="T10021" s="57"/>
      <c r="U10021" s="57"/>
      <c r="V10021" s="57"/>
      <c r="W10021" s="57"/>
      <c r="X10021" s="97">
        <v>0</v>
      </c>
    </row>
    <row r="10022" spans="1:24" s="75" customFormat="1" x14ac:dyDescent="0.35">
      <c r="A10022" s="75">
        <v>10018</v>
      </c>
      <c r="B10022" s="75">
        <v>10019</v>
      </c>
      <c r="C10022">
        <v>146.119464819999</v>
      </c>
      <c r="D10022">
        <v>-17.6014702656</v>
      </c>
      <c r="E10022" s="92" t="str">
        <f t="shared" si="70"/>
        <v/>
      </c>
      <c r="F10022" s="93" t="str">
        <f t="shared" si="71"/>
        <v>10019_20240611_0001_R_0474.jpg</v>
      </c>
      <c r="G10022" s="75" t="s">
        <v>7257</v>
      </c>
      <c r="I10022" s="75">
        <v>1</v>
      </c>
      <c r="K10022" s="97">
        <v>1</v>
      </c>
      <c r="L10022"/>
      <c r="M10022"/>
      <c r="N10022"/>
      <c r="O10022"/>
      <c r="P10022" s="57"/>
      <c r="Q10022" s="57"/>
      <c r="R10022" s="57"/>
      <c r="S10022" s="97">
        <v>0</v>
      </c>
      <c r="T10022" s="57"/>
      <c r="U10022" s="57"/>
      <c r="V10022" s="57"/>
      <c r="W10022" s="57"/>
      <c r="X10022" s="97">
        <v>0</v>
      </c>
    </row>
    <row r="10023" spans="1:24" s="75" customFormat="1" x14ac:dyDescent="0.35">
      <c r="A10023" s="75">
        <v>10019</v>
      </c>
      <c r="B10023" s="75">
        <v>10020</v>
      </c>
      <c r="C10023">
        <v>146.119538253</v>
      </c>
      <c r="D10023">
        <v>-17.601420944000001</v>
      </c>
      <c r="E10023" s="92">
        <f t="shared" si="70"/>
        <v>50</v>
      </c>
      <c r="F10023" s="93" t="str">
        <f t="shared" si="71"/>
        <v>10020_20240611_0001_R_0472.jpg</v>
      </c>
      <c r="G10023" s="75" t="s">
        <v>7258</v>
      </c>
      <c r="I10023" s="75">
        <v>1</v>
      </c>
      <c r="K10023" s="97">
        <v>1</v>
      </c>
      <c r="L10023"/>
      <c r="M10023"/>
      <c r="N10023"/>
      <c r="O10023"/>
      <c r="P10023" s="57"/>
      <c r="Q10023" s="57"/>
      <c r="R10023" s="57"/>
      <c r="S10023" s="97">
        <v>0</v>
      </c>
      <c r="T10023" s="57"/>
      <c r="U10023" s="57"/>
      <c r="V10023" s="57"/>
      <c r="W10023" s="57"/>
      <c r="X10023" s="97">
        <v>0</v>
      </c>
    </row>
    <row r="10024" spans="1:24" s="75" customFormat="1" x14ac:dyDescent="0.35">
      <c r="A10024" s="75">
        <v>10020</v>
      </c>
      <c r="B10024" s="75">
        <v>10021</v>
      </c>
      <c r="C10024">
        <v>146.11961168400001</v>
      </c>
      <c r="D10024">
        <v>-17.6013716217</v>
      </c>
      <c r="E10024" s="92" t="str">
        <f t="shared" si="70"/>
        <v/>
      </c>
      <c r="F10024" s="93" t="str">
        <f t="shared" si="71"/>
        <v>10021_20240611_0001_R_0470.jpg</v>
      </c>
      <c r="G10024" s="75" t="s">
        <v>7259</v>
      </c>
      <c r="I10024" s="75">
        <v>1</v>
      </c>
      <c r="K10024" s="97">
        <v>1</v>
      </c>
      <c r="L10024"/>
      <c r="M10024"/>
      <c r="N10024"/>
      <c r="O10024"/>
      <c r="P10024" s="57"/>
      <c r="Q10024" s="57"/>
      <c r="R10024" s="57"/>
      <c r="S10024" s="97">
        <v>0</v>
      </c>
      <c r="T10024" s="57"/>
      <c r="U10024" s="57"/>
      <c r="V10024" s="57"/>
      <c r="W10024" s="57"/>
      <c r="X10024" s="97">
        <v>0</v>
      </c>
    </row>
    <row r="10025" spans="1:24" s="75" customFormat="1" x14ac:dyDescent="0.35">
      <c r="A10025" s="75">
        <v>10021</v>
      </c>
      <c r="B10025" s="75">
        <v>10022</v>
      </c>
      <c r="C10025">
        <v>146.11969467399899</v>
      </c>
      <c r="D10025">
        <v>-17.601340166300002</v>
      </c>
      <c r="E10025" s="92" t="str">
        <f t="shared" si="70"/>
        <v/>
      </c>
      <c r="F10025" s="93" t="str">
        <f t="shared" si="71"/>
        <v>10022_20240611_0001_R_0367.jpg</v>
      </c>
      <c r="G10025" s="75" t="s">
        <v>7260</v>
      </c>
      <c r="I10025" s="75">
        <v>1</v>
      </c>
      <c r="K10025" s="97">
        <v>0</v>
      </c>
      <c r="L10025"/>
      <c r="M10025"/>
      <c r="N10025"/>
      <c r="O10025"/>
      <c r="P10025" s="57"/>
      <c r="Q10025" s="57"/>
      <c r="R10025" s="57"/>
      <c r="S10025" s="97">
        <v>0</v>
      </c>
      <c r="T10025" s="57"/>
      <c r="U10025" s="57"/>
      <c r="V10025" s="57"/>
      <c r="W10025" s="57"/>
      <c r="X10025" s="97">
        <v>1</v>
      </c>
    </row>
    <row r="10026" spans="1:24" s="75" customFormat="1" x14ac:dyDescent="0.35">
      <c r="A10026" s="75">
        <v>10022</v>
      </c>
      <c r="B10026" s="75">
        <v>10023</v>
      </c>
      <c r="C10026">
        <v>146.119779679</v>
      </c>
      <c r="D10026">
        <v>-17.601312478200001</v>
      </c>
      <c r="E10026" s="92" t="str">
        <f t="shared" si="70"/>
        <v/>
      </c>
      <c r="F10026" s="93" t="str">
        <f t="shared" si="71"/>
        <v>10023_20240611_0001_R_0467.jpg</v>
      </c>
      <c r="G10026" s="75" t="s">
        <v>7261</v>
      </c>
      <c r="I10026" s="75">
        <v>1</v>
      </c>
      <c r="K10026" s="97">
        <v>1</v>
      </c>
      <c r="L10026"/>
      <c r="M10026"/>
      <c r="N10026"/>
      <c r="O10026"/>
      <c r="P10026" s="57"/>
      <c r="Q10026" s="57"/>
      <c r="R10026" s="57"/>
      <c r="S10026" s="97">
        <v>0</v>
      </c>
      <c r="T10026" s="57"/>
      <c r="U10026" s="57"/>
      <c r="V10026" s="57"/>
      <c r="W10026" s="57"/>
      <c r="X10026" s="97">
        <v>1</v>
      </c>
    </row>
    <row r="10027" spans="1:24" s="75" customFormat="1" x14ac:dyDescent="0.35">
      <c r="A10027" s="75">
        <v>10023</v>
      </c>
      <c r="B10027" s="75">
        <v>10024</v>
      </c>
      <c r="C10027">
        <v>146.11986254300001</v>
      </c>
      <c r="D10027">
        <v>-17.601304503400002</v>
      </c>
      <c r="E10027" s="92" t="str">
        <f t="shared" si="70"/>
        <v/>
      </c>
      <c r="F10027" s="93" t="str">
        <f t="shared" si="71"/>
        <v>10024_20240611_0001_R_0375.jpg</v>
      </c>
      <c r="G10027" s="75" t="s">
        <v>7262</v>
      </c>
      <c r="I10027" s="75">
        <v>1</v>
      </c>
      <c r="K10027" s="97">
        <v>0</v>
      </c>
      <c r="L10027"/>
      <c r="M10027"/>
      <c r="N10027"/>
      <c r="O10027"/>
      <c r="P10027" s="57"/>
      <c r="Q10027" s="57"/>
      <c r="R10027" s="57"/>
      <c r="S10027" s="97">
        <v>0</v>
      </c>
      <c r="T10027" s="57"/>
      <c r="U10027" s="57"/>
      <c r="V10027" s="57"/>
      <c r="W10027" s="57"/>
      <c r="X10027" s="97">
        <v>1</v>
      </c>
    </row>
    <row r="10028" spans="1:24" s="75" customFormat="1" x14ac:dyDescent="0.35">
      <c r="A10028" s="75">
        <v>10024</v>
      </c>
      <c r="B10028" s="75">
        <v>10025</v>
      </c>
      <c r="C10028">
        <v>146.119903002</v>
      </c>
      <c r="D10028">
        <v>-17.6012537967</v>
      </c>
      <c r="E10028" s="92">
        <f t="shared" si="70"/>
        <v>50</v>
      </c>
      <c r="F10028" s="93" t="str">
        <f t="shared" si="71"/>
        <v>10025_20240611_0001_R_0465.jpg</v>
      </c>
      <c r="G10028" s="75" t="s">
        <v>7263</v>
      </c>
      <c r="I10028" s="75">
        <v>1</v>
      </c>
      <c r="K10028" s="97">
        <v>0</v>
      </c>
      <c r="L10028"/>
      <c r="M10028"/>
      <c r="N10028"/>
      <c r="O10028"/>
      <c r="P10028" s="57"/>
      <c r="Q10028" s="57"/>
      <c r="R10028" s="57"/>
      <c r="S10028" s="97">
        <v>0</v>
      </c>
      <c r="T10028" s="57"/>
      <c r="U10028" s="57"/>
      <c r="V10028" s="57"/>
      <c r="W10028" s="57"/>
      <c r="X10028" s="97">
        <v>1</v>
      </c>
    </row>
    <row r="10029" spans="1:24" s="75" customFormat="1" x14ac:dyDescent="0.35">
      <c r="A10029" s="75">
        <v>10025</v>
      </c>
      <c r="B10029" s="75">
        <v>10026</v>
      </c>
      <c r="C10029">
        <v>146.119992832999</v>
      </c>
      <c r="D10029">
        <v>-17.601253738800001</v>
      </c>
      <c r="E10029" s="92" t="str">
        <f t="shared" si="70"/>
        <v/>
      </c>
      <c r="F10029" s="93" t="str">
        <f t="shared" si="71"/>
        <v>10026_20240611_0001_R_0378.jpg</v>
      </c>
      <c r="G10029" s="75" t="s">
        <v>7264</v>
      </c>
      <c r="I10029" s="75">
        <v>1</v>
      </c>
      <c r="K10029" s="97">
        <v>0</v>
      </c>
      <c r="L10029"/>
      <c r="M10029"/>
      <c r="N10029"/>
      <c r="O10029"/>
      <c r="P10029" s="57"/>
      <c r="Q10029" s="57"/>
      <c r="R10029" s="57"/>
      <c r="S10029" s="97">
        <v>0</v>
      </c>
      <c r="T10029" s="57"/>
      <c r="U10029" s="57"/>
      <c r="V10029" s="57"/>
      <c r="W10029" s="57"/>
      <c r="X10029" s="97">
        <v>1</v>
      </c>
    </row>
    <row r="10030" spans="1:24" s="75" customFormat="1" x14ac:dyDescent="0.35">
      <c r="A10030" s="75">
        <v>10026</v>
      </c>
      <c r="B10030" s="75">
        <v>10027</v>
      </c>
      <c r="C10030">
        <v>146.12008266500001</v>
      </c>
      <c r="D10030">
        <v>-17.6012538083999</v>
      </c>
      <c r="E10030" s="92" t="str">
        <f t="shared" si="70"/>
        <v/>
      </c>
      <c r="F10030" s="93" t="str">
        <f t="shared" si="71"/>
        <v>10027_20240611_0001_R_0463.jpg</v>
      </c>
      <c r="G10030" s="75" t="s">
        <v>7265</v>
      </c>
      <c r="I10030" s="75">
        <v>1</v>
      </c>
      <c r="K10030" s="97">
        <v>1</v>
      </c>
      <c r="L10030"/>
      <c r="M10030"/>
      <c r="N10030"/>
      <c r="O10030"/>
      <c r="P10030" s="57"/>
      <c r="Q10030" s="57"/>
      <c r="R10030" s="57"/>
      <c r="S10030" s="97">
        <v>0</v>
      </c>
      <c r="T10030" s="57"/>
      <c r="U10030" s="57"/>
      <c r="V10030" s="57"/>
      <c r="W10030" s="57"/>
      <c r="X10030" s="97">
        <v>1</v>
      </c>
    </row>
    <row r="10031" spans="1:24" s="75" customFormat="1" x14ac:dyDescent="0.35">
      <c r="A10031" s="75">
        <v>10027</v>
      </c>
      <c r="B10031" s="75">
        <v>10028</v>
      </c>
      <c r="C10031">
        <v>146.120172494999</v>
      </c>
      <c r="D10031">
        <v>-17.601254209099899</v>
      </c>
      <c r="E10031" s="92" t="str">
        <f t="shared" si="70"/>
        <v/>
      </c>
      <c r="F10031" s="93" t="str">
        <f t="shared" si="71"/>
        <v>10028_20240611_0001_R_0461.jpg</v>
      </c>
      <c r="G10031" s="75" t="s">
        <v>7266</v>
      </c>
      <c r="I10031" s="75">
        <v>1</v>
      </c>
      <c r="K10031" s="97">
        <v>1</v>
      </c>
      <c r="L10031"/>
      <c r="M10031"/>
      <c r="N10031"/>
      <c r="O10031"/>
      <c r="P10031" s="57"/>
      <c r="Q10031" s="57"/>
      <c r="R10031" s="57"/>
      <c r="S10031" s="97">
        <v>0</v>
      </c>
      <c r="T10031" s="57"/>
      <c r="U10031" s="57"/>
      <c r="V10031" s="57"/>
      <c r="W10031" s="57"/>
      <c r="X10031" s="97">
        <v>1</v>
      </c>
    </row>
    <row r="10032" spans="1:24" s="75" customFormat="1" x14ac:dyDescent="0.35">
      <c r="A10032" s="75">
        <v>10028</v>
      </c>
      <c r="B10032" s="75">
        <v>10029</v>
      </c>
      <c r="C10032">
        <v>146.12026232599899</v>
      </c>
      <c r="D10032">
        <v>-17.601254609400002</v>
      </c>
      <c r="E10032" s="92" t="str">
        <f t="shared" si="70"/>
        <v/>
      </c>
      <c r="F10032" s="93" t="str">
        <f t="shared" si="71"/>
        <v>10029_20240611_0001_R_0459.jpg</v>
      </c>
      <c r="G10032" s="75" t="s">
        <v>7267</v>
      </c>
      <c r="I10032" s="75">
        <v>1</v>
      </c>
      <c r="K10032" s="97">
        <v>1</v>
      </c>
      <c r="L10032"/>
      <c r="M10032"/>
      <c r="N10032"/>
      <c r="O10032"/>
      <c r="P10032" s="57"/>
      <c r="Q10032" s="57"/>
      <c r="R10032" s="57"/>
      <c r="S10032" s="97">
        <v>0</v>
      </c>
      <c r="T10032" s="57"/>
      <c r="U10032" s="57"/>
      <c r="V10032" s="57"/>
      <c r="W10032" s="57"/>
      <c r="X10032" s="97">
        <v>1</v>
      </c>
    </row>
    <row r="10033" spans="1:24" s="75" customFormat="1" x14ac:dyDescent="0.35">
      <c r="A10033" s="75">
        <v>10029</v>
      </c>
      <c r="B10033" s="75">
        <v>10030</v>
      </c>
      <c r="C10033">
        <v>146.12029356100001</v>
      </c>
      <c r="D10033">
        <v>-17.6011986363999</v>
      </c>
      <c r="E10033" s="92">
        <f t="shared" si="70"/>
        <v>50</v>
      </c>
      <c r="F10033" s="93" t="str">
        <f t="shared" si="71"/>
        <v>10030_20240611_0001_R_0355.jpg</v>
      </c>
      <c r="G10033" s="75" t="s">
        <v>7268</v>
      </c>
      <c r="I10033" s="75">
        <v>1</v>
      </c>
      <c r="K10033" s="97">
        <v>0</v>
      </c>
      <c r="L10033"/>
      <c r="M10033"/>
      <c r="N10033"/>
      <c r="O10033"/>
      <c r="P10033" s="57"/>
      <c r="Q10033" s="57"/>
      <c r="R10033" s="57"/>
      <c r="S10033" s="97">
        <v>0</v>
      </c>
      <c r="T10033" s="57"/>
      <c r="U10033" s="57"/>
      <c r="V10033" s="57"/>
      <c r="W10033" s="57"/>
      <c r="X10033" s="97">
        <v>1</v>
      </c>
    </row>
    <row r="10034" spans="1:24" s="75" customFormat="1" x14ac:dyDescent="0.35">
      <c r="A10034" s="75">
        <v>10030</v>
      </c>
      <c r="B10034" s="75">
        <v>10031</v>
      </c>
      <c r="C10034">
        <v>146.12029397500001</v>
      </c>
      <c r="D10034">
        <v>-17.601113011199899</v>
      </c>
      <c r="E10034" s="92" t="str">
        <f t="shared" si="70"/>
        <v/>
      </c>
      <c r="F10034" s="93" t="str">
        <f t="shared" si="71"/>
        <v>10031_20240611_0001_R_0350.jpg</v>
      </c>
      <c r="G10034" s="75" t="s">
        <v>7269</v>
      </c>
      <c r="I10034" s="75">
        <v>1</v>
      </c>
      <c r="K10034" s="97">
        <v>0</v>
      </c>
      <c r="L10034"/>
      <c r="M10034"/>
      <c r="N10034"/>
      <c r="O10034"/>
      <c r="P10034" s="57"/>
      <c r="Q10034" s="57"/>
      <c r="R10034" s="57"/>
      <c r="S10034" s="97">
        <v>0</v>
      </c>
      <c r="T10034" s="57"/>
      <c r="U10034" s="57"/>
      <c r="V10034" s="57"/>
      <c r="W10034" s="57"/>
      <c r="X10034" s="97">
        <v>1</v>
      </c>
    </row>
    <row r="10035" spans="1:24" s="75" customFormat="1" x14ac:dyDescent="0.35">
      <c r="A10035" s="75">
        <v>10031</v>
      </c>
      <c r="B10035" s="75">
        <v>10032</v>
      </c>
      <c r="C10035">
        <v>146.12029585600001</v>
      </c>
      <c r="D10035">
        <v>-17.601028796600001</v>
      </c>
      <c r="E10035" s="92" t="str">
        <f t="shared" si="70"/>
        <v/>
      </c>
      <c r="F10035" s="93" t="str">
        <f t="shared" si="71"/>
        <v>10032_20240611_0001_R_0383.jpg</v>
      </c>
      <c r="G10035" s="75" t="s">
        <v>7270</v>
      </c>
      <c r="I10035" s="75">
        <v>1</v>
      </c>
      <c r="K10035" s="97">
        <v>0</v>
      </c>
      <c r="L10035"/>
      <c r="M10035"/>
      <c r="N10035"/>
      <c r="O10035"/>
      <c r="P10035" s="57"/>
      <c r="Q10035" s="57"/>
      <c r="R10035" s="57"/>
      <c r="S10035" s="97">
        <v>0</v>
      </c>
      <c r="T10035" s="57"/>
      <c r="U10035" s="57"/>
      <c r="V10035" s="57"/>
      <c r="W10035" s="57"/>
      <c r="X10035" s="97">
        <v>1</v>
      </c>
    </row>
    <row r="10036" spans="1:24" s="75" customFormat="1" x14ac:dyDescent="0.35">
      <c r="A10036" s="75">
        <v>10032</v>
      </c>
      <c r="B10036" s="75">
        <v>10033</v>
      </c>
      <c r="C10036">
        <v>146.120385685999</v>
      </c>
      <c r="D10036">
        <v>-17.6010291973999</v>
      </c>
      <c r="E10036" s="92" t="str">
        <f t="shared" si="70"/>
        <v/>
      </c>
      <c r="F10036" s="93" t="str">
        <f t="shared" si="71"/>
        <v>10033_20240611_0001_R_0455.jpg</v>
      </c>
      <c r="G10036" s="75" t="s">
        <v>7271</v>
      </c>
      <c r="I10036" s="75">
        <v>1</v>
      </c>
      <c r="K10036" s="97">
        <v>0</v>
      </c>
      <c r="L10036"/>
      <c r="M10036"/>
      <c r="N10036"/>
      <c r="O10036"/>
      <c r="P10036" s="57"/>
      <c r="Q10036" s="57"/>
      <c r="R10036" s="57"/>
      <c r="S10036" s="97">
        <v>0</v>
      </c>
      <c r="T10036" s="57"/>
      <c r="U10036" s="57"/>
      <c r="V10036" s="57"/>
      <c r="W10036" s="57"/>
      <c r="X10036" s="97">
        <v>1</v>
      </c>
    </row>
    <row r="10037" spans="1:24" s="75" customFormat="1" x14ac:dyDescent="0.35">
      <c r="A10037" s="75">
        <v>10033</v>
      </c>
      <c r="B10037" s="75">
        <v>10034</v>
      </c>
      <c r="C10037">
        <v>146.12047551699899</v>
      </c>
      <c r="D10037">
        <v>-17.601029598299899</v>
      </c>
      <c r="E10037" s="92" t="str">
        <f t="shared" si="70"/>
        <v/>
      </c>
      <c r="F10037" s="93" t="str">
        <f t="shared" si="71"/>
        <v>10034_20240611_0001_R_0453.jpg</v>
      </c>
      <c r="G10037" s="75" t="s">
        <v>7272</v>
      </c>
      <c r="I10037" s="75">
        <v>1</v>
      </c>
      <c r="K10037" s="97">
        <v>0</v>
      </c>
      <c r="L10037"/>
      <c r="M10037"/>
      <c r="N10037"/>
      <c r="O10037"/>
      <c r="P10037" s="57"/>
      <c r="Q10037" s="57"/>
      <c r="R10037" s="57"/>
      <c r="S10037" s="97">
        <v>0</v>
      </c>
      <c r="T10037" s="57"/>
      <c r="U10037" s="57"/>
      <c r="V10037" s="57"/>
      <c r="W10037" s="57"/>
      <c r="X10037" s="97">
        <v>1</v>
      </c>
    </row>
    <row r="10038" spans="1:24" s="75" customFormat="1" x14ac:dyDescent="0.35">
      <c r="A10038" s="75">
        <v>10034</v>
      </c>
      <c r="B10038" s="75">
        <v>10035</v>
      </c>
      <c r="C10038">
        <v>146.12056534800001</v>
      </c>
      <c r="D10038">
        <v>-17.601029997200001</v>
      </c>
      <c r="E10038" s="92">
        <f t="shared" si="70"/>
        <v>50</v>
      </c>
      <c r="F10038" s="93" t="str">
        <f t="shared" si="71"/>
        <v>10035_20240611_0001_R_0451.jpg</v>
      </c>
      <c r="G10038" s="75" t="s">
        <v>7273</v>
      </c>
      <c r="I10038" s="75">
        <v>1</v>
      </c>
      <c r="K10038" s="97">
        <v>0</v>
      </c>
      <c r="L10038"/>
      <c r="M10038"/>
      <c r="N10038"/>
      <c r="O10038"/>
      <c r="P10038" s="57"/>
      <c r="Q10038" s="57"/>
      <c r="R10038" s="57"/>
      <c r="S10038" s="97">
        <v>0</v>
      </c>
      <c r="T10038" s="57"/>
      <c r="U10038" s="57"/>
      <c r="V10038" s="57"/>
      <c r="W10038" s="57"/>
      <c r="X10038" s="97">
        <v>1</v>
      </c>
    </row>
    <row r="10039" spans="1:24" s="75" customFormat="1" x14ac:dyDescent="0.35">
      <c r="A10039" s="75">
        <v>10035</v>
      </c>
      <c r="B10039" s="75">
        <v>10036</v>
      </c>
      <c r="C10039">
        <v>146.120655177999</v>
      </c>
      <c r="D10039">
        <v>-17.601030397100001</v>
      </c>
      <c r="E10039" s="92" t="str">
        <f t="shared" si="70"/>
        <v/>
      </c>
      <c r="F10039" s="93" t="str">
        <f t="shared" si="71"/>
        <v>10036_20240611_0001_R_0386.jpg</v>
      </c>
      <c r="G10039" s="75" t="s">
        <v>7274</v>
      </c>
      <c r="I10039" s="75">
        <v>1</v>
      </c>
      <c r="K10039" s="97">
        <v>0</v>
      </c>
      <c r="L10039"/>
      <c r="M10039"/>
      <c r="N10039"/>
      <c r="O10039"/>
      <c r="P10039" s="57"/>
      <c r="Q10039" s="57"/>
      <c r="R10039" s="57"/>
      <c r="S10039" s="97">
        <v>0</v>
      </c>
      <c r="T10039" s="57"/>
      <c r="U10039" s="57"/>
      <c r="V10039" s="57"/>
      <c r="W10039" s="57"/>
      <c r="X10039" s="97">
        <v>1</v>
      </c>
    </row>
    <row r="10040" spans="1:24" s="75" customFormat="1" x14ac:dyDescent="0.35">
      <c r="A10040" s="75">
        <v>10036</v>
      </c>
      <c r="B10040" s="75">
        <v>10037</v>
      </c>
      <c r="C10040">
        <v>146.12074500899899</v>
      </c>
      <c r="D10040">
        <v>-17.6010307976</v>
      </c>
      <c r="E10040" s="92" t="str">
        <f t="shared" si="70"/>
        <v/>
      </c>
      <c r="F10040" s="93" t="str">
        <f t="shared" si="71"/>
        <v>10037_20240611_0001_R_0446.jpg</v>
      </c>
      <c r="G10040" s="75" t="s">
        <v>7275</v>
      </c>
      <c r="I10040" s="75">
        <v>1</v>
      </c>
      <c r="K10040" s="97">
        <v>1</v>
      </c>
      <c r="L10040"/>
      <c r="M10040"/>
      <c r="N10040"/>
      <c r="O10040"/>
      <c r="P10040" s="57"/>
      <c r="Q10040" s="57"/>
      <c r="R10040" s="57"/>
      <c r="S10040" s="97">
        <v>0</v>
      </c>
      <c r="T10040" s="57"/>
      <c r="U10040" s="57"/>
      <c r="V10040" s="57"/>
      <c r="W10040" s="57"/>
      <c r="X10040" s="97">
        <v>1</v>
      </c>
    </row>
    <row r="10041" spans="1:24" s="75" customFormat="1" x14ac:dyDescent="0.35">
      <c r="A10041" s="75">
        <v>10037</v>
      </c>
      <c r="B10041" s="75">
        <v>10038</v>
      </c>
      <c r="C10041">
        <v>146.12076584100001</v>
      </c>
      <c r="D10041">
        <v>-17.600964816600001</v>
      </c>
      <c r="E10041" s="92" t="str">
        <f t="shared" si="70"/>
        <v/>
      </c>
      <c r="F10041" s="93" t="str">
        <f t="shared" si="71"/>
        <v>10038_20240611_0001_R_0342.jpg</v>
      </c>
      <c r="G10041" s="75" t="s">
        <v>7276</v>
      </c>
      <c r="I10041" s="75">
        <v>1</v>
      </c>
      <c r="K10041" s="97">
        <v>0</v>
      </c>
      <c r="L10041"/>
      <c r="M10041"/>
      <c r="N10041"/>
      <c r="O10041"/>
      <c r="P10041" s="57"/>
      <c r="Q10041" s="57"/>
      <c r="R10041" s="57"/>
      <c r="S10041" s="97">
        <v>0</v>
      </c>
      <c r="T10041" s="57"/>
      <c r="U10041" s="57"/>
      <c r="V10041" s="57"/>
      <c r="W10041" s="57"/>
      <c r="X10041" s="97">
        <v>1</v>
      </c>
    </row>
    <row r="10042" spans="1:24" s="75" customFormat="1" x14ac:dyDescent="0.35">
      <c r="A10042" s="75">
        <v>10038</v>
      </c>
      <c r="B10042" s="75">
        <v>10039</v>
      </c>
      <c r="C10042">
        <v>146.120766255999</v>
      </c>
      <c r="D10042">
        <v>-17.600879191299899</v>
      </c>
      <c r="E10042" s="92" t="str">
        <f t="shared" si="70"/>
        <v/>
      </c>
      <c r="F10042" s="93" t="str">
        <f t="shared" si="71"/>
        <v>10039_20240611_0001_R_0329.jpg</v>
      </c>
      <c r="G10042" s="75" t="s">
        <v>7277</v>
      </c>
      <c r="I10042" s="75">
        <v>1</v>
      </c>
      <c r="K10042" s="97">
        <v>0</v>
      </c>
      <c r="L10042"/>
      <c r="M10042"/>
      <c r="N10042"/>
      <c r="O10042"/>
      <c r="P10042" s="57"/>
      <c r="Q10042" s="57"/>
      <c r="R10042" s="57"/>
      <c r="S10042" s="97">
        <v>0</v>
      </c>
      <c r="T10042" s="57"/>
      <c r="U10042" s="57"/>
      <c r="V10042" s="57"/>
      <c r="W10042" s="57"/>
      <c r="X10042" s="97">
        <v>1</v>
      </c>
    </row>
    <row r="10043" spans="1:24" s="75" customFormat="1" x14ac:dyDescent="0.35">
      <c r="A10043" s="75">
        <v>10039</v>
      </c>
      <c r="B10043" s="75">
        <v>10040</v>
      </c>
      <c r="C10043">
        <v>146.12077853900001</v>
      </c>
      <c r="D10043">
        <v>-17.600804984500002</v>
      </c>
      <c r="E10043" s="92">
        <f t="shared" si="70"/>
        <v>50</v>
      </c>
      <c r="F10043" s="93" t="str">
        <f t="shared" si="71"/>
        <v>10040_20240611_0001_R_0390.jpg</v>
      </c>
      <c r="G10043" s="75" t="s">
        <v>7278</v>
      </c>
      <c r="I10043" s="75">
        <v>1</v>
      </c>
      <c r="K10043" s="97">
        <v>0</v>
      </c>
      <c r="L10043"/>
      <c r="M10043"/>
      <c r="N10043"/>
      <c r="O10043"/>
      <c r="P10043" s="57"/>
      <c r="Q10043" s="57"/>
      <c r="R10043" s="57"/>
      <c r="S10043" s="97">
        <v>0</v>
      </c>
      <c r="T10043" s="57"/>
      <c r="U10043" s="57"/>
      <c r="V10043" s="57"/>
      <c r="W10043" s="57"/>
      <c r="X10043" s="97">
        <v>1</v>
      </c>
    </row>
    <row r="10044" spans="1:24" s="75" customFormat="1" x14ac:dyDescent="0.35">
      <c r="A10044" s="75">
        <v>10040</v>
      </c>
      <c r="B10044" s="75">
        <v>10041</v>
      </c>
      <c r="C10044">
        <v>146.12086837000001</v>
      </c>
      <c r="D10044">
        <v>-17.6008053824999</v>
      </c>
      <c r="E10044" s="92" t="str">
        <f t="shared" si="70"/>
        <v/>
      </c>
      <c r="F10044" s="93" t="str">
        <f t="shared" si="71"/>
        <v>10041_20240611_0001_R_0444.jpg</v>
      </c>
      <c r="G10044" s="75" t="s">
        <v>7279</v>
      </c>
      <c r="I10044" s="75">
        <v>1</v>
      </c>
      <c r="K10044" s="97">
        <v>1</v>
      </c>
      <c r="L10044"/>
      <c r="M10044"/>
      <c r="N10044"/>
      <c r="O10044"/>
      <c r="P10044" s="57"/>
      <c r="Q10044" s="57"/>
      <c r="R10044" s="57"/>
      <c r="S10044" s="97">
        <v>0</v>
      </c>
      <c r="T10044" s="57"/>
      <c r="U10044" s="57"/>
      <c r="V10044" s="57"/>
      <c r="W10044" s="57"/>
      <c r="X10044" s="97">
        <v>1</v>
      </c>
    </row>
    <row r="10045" spans="1:24" s="75" customFormat="1" x14ac:dyDescent="0.35">
      <c r="A10045" s="75">
        <v>10041</v>
      </c>
      <c r="B10045" s="75">
        <v>10042</v>
      </c>
      <c r="C10045">
        <v>146.120958199999</v>
      </c>
      <c r="D10045">
        <v>-17.600805780400002</v>
      </c>
      <c r="E10045" s="92" t="str">
        <f t="shared" si="70"/>
        <v/>
      </c>
      <c r="F10045" s="93" t="str">
        <f t="shared" si="71"/>
        <v>10042_20240611_0001_R_0393.jpg</v>
      </c>
      <c r="G10045" s="75" t="s">
        <v>7280</v>
      </c>
      <c r="I10045" s="75">
        <v>1</v>
      </c>
      <c r="K10045" s="97">
        <v>0</v>
      </c>
      <c r="L10045"/>
      <c r="M10045"/>
      <c r="N10045"/>
      <c r="O10045"/>
      <c r="P10045" s="57"/>
      <c r="Q10045" s="57"/>
      <c r="R10045" s="57"/>
      <c r="S10045" s="97">
        <v>0</v>
      </c>
      <c r="T10045" s="57"/>
      <c r="U10045" s="57"/>
      <c r="V10045" s="57"/>
      <c r="W10045" s="57"/>
      <c r="X10045" s="97">
        <v>1</v>
      </c>
    </row>
    <row r="10046" spans="1:24" s="75" customFormat="1" x14ac:dyDescent="0.35">
      <c r="A10046" s="75">
        <v>10042</v>
      </c>
      <c r="B10046" s="75">
        <v>10043</v>
      </c>
      <c r="C10046">
        <v>146.12104803099899</v>
      </c>
      <c r="D10046">
        <v>-17.6008061783999</v>
      </c>
      <c r="E10046" s="92" t="str">
        <f t="shared" si="70"/>
        <v/>
      </c>
      <c r="F10046" s="93" t="str">
        <f t="shared" si="71"/>
        <v>10043_20240611_0001_R_0441.jpg</v>
      </c>
      <c r="G10046" s="75" t="s">
        <v>7281</v>
      </c>
      <c r="I10046" s="75">
        <v>1</v>
      </c>
      <c r="K10046" s="97">
        <v>0</v>
      </c>
      <c r="L10046"/>
      <c r="M10046"/>
      <c r="N10046"/>
      <c r="O10046"/>
      <c r="P10046" s="57"/>
      <c r="Q10046" s="57"/>
      <c r="R10046" s="57"/>
      <c r="S10046" s="97">
        <v>0</v>
      </c>
      <c r="T10046" s="57"/>
      <c r="U10046" s="57"/>
      <c r="V10046" s="57"/>
      <c r="W10046" s="57"/>
      <c r="X10046" s="97">
        <v>1</v>
      </c>
    </row>
    <row r="10047" spans="1:24" s="75" customFormat="1" x14ac:dyDescent="0.35">
      <c r="A10047" s="75">
        <v>10043</v>
      </c>
      <c r="B10047" s="75">
        <v>10044</v>
      </c>
      <c r="C10047">
        <v>146.121137860999</v>
      </c>
      <c r="D10047">
        <v>-17.600806576299899</v>
      </c>
      <c r="E10047" s="92" t="str">
        <f t="shared" si="70"/>
        <v/>
      </c>
      <c r="F10047" s="93" t="str">
        <f t="shared" si="71"/>
        <v>10044_20240611_0001_R_0439.jpg</v>
      </c>
      <c r="G10047" s="75" t="s">
        <v>7282</v>
      </c>
      <c r="I10047" s="75">
        <v>1</v>
      </c>
      <c r="K10047" s="97">
        <v>0</v>
      </c>
      <c r="L10047"/>
      <c r="M10047"/>
      <c r="N10047"/>
      <c r="O10047"/>
      <c r="P10047" s="57"/>
      <c r="Q10047" s="57"/>
      <c r="R10047" s="57"/>
      <c r="S10047" s="97">
        <v>0</v>
      </c>
      <c r="T10047" s="57"/>
      <c r="U10047" s="57"/>
      <c r="V10047" s="57"/>
      <c r="W10047" s="57"/>
      <c r="X10047" s="97">
        <v>2</v>
      </c>
    </row>
    <row r="10048" spans="1:24" s="75" customFormat="1" x14ac:dyDescent="0.35">
      <c r="A10048" s="75">
        <v>10044</v>
      </c>
      <c r="B10048" s="75">
        <v>10045</v>
      </c>
      <c r="C10048">
        <v>146.121181481999</v>
      </c>
      <c r="D10048">
        <v>-17.600755262300002</v>
      </c>
      <c r="E10048" s="92">
        <f t="shared" si="70"/>
        <v>50</v>
      </c>
      <c r="F10048" s="93" t="str">
        <f t="shared" si="71"/>
        <v>10045_20240611_0001_R_0323.jpg</v>
      </c>
      <c r="G10048" s="75" t="s">
        <v>7283</v>
      </c>
      <c r="I10048" s="75">
        <v>1</v>
      </c>
      <c r="K10048" s="97">
        <v>1</v>
      </c>
      <c r="L10048"/>
      <c r="M10048"/>
      <c r="N10048"/>
      <c r="O10048"/>
      <c r="P10048" s="57"/>
      <c r="Q10048" s="57"/>
      <c r="R10048" s="57"/>
      <c r="S10048" s="97">
        <v>0</v>
      </c>
      <c r="T10048" s="57"/>
      <c r="U10048" s="57"/>
      <c r="V10048" s="57"/>
      <c r="W10048" s="57"/>
      <c r="X10048" s="97">
        <v>1</v>
      </c>
    </row>
    <row r="10049" spans="1:24" s="75" customFormat="1" x14ac:dyDescent="0.35">
      <c r="A10049" s="75">
        <v>10045</v>
      </c>
      <c r="B10049" s="75">
        <v>10046</v>
      </c>
      <c r="C10049">
        <v>146.12119536</v>
      </c>
      <c r="D10049">
        <v>-17.600670664100001</v>
      </c>
      <c r="E10049" s="92" t="str">
        <f t="shared" si="70"/>
        <v/>
      </c>
      <c r="F10049" s="93" t="str">
        <f t="shared" si="71"/>
        <v>10046_20240611_0001_R_0318.jpg</v>
      </c>
      <c r="G10049" s="75" t="s">
        <v>7284</v>
      </c>
      <c r="I10049" s="75">
        <v>1</v>
      </c>
      <c r="K10049" s="97">
        <v>0</v>
      </c>
      <c r="L10049"/>
      <c r="M10049"/>
      <c r="N10049"/>
      <c r="O10049"/>
      <c r="P10049" s="57"/>
      <c r="Q10049" s="57"/>
      <c r="R10049" s="57"/>
      <c r="S10049" s="97">
        <v>0</v>
      </c>
      <c r="T10049" s="57"/>
      <c r="U10049" s="57"/>
      <c r="V10049" s="57"/>
      <c r="W10049" s="57"/>
      <c r="X10049" s="97">
        <v>1</v>
      </c>
    </row>
    <row r="10050" spans="1:24" s="75" customFormat="1" x14ac:dyDescent="0.35">
      <c r="A10050" s="75">
        <v>10046</v>
      </c>
      <c r="B10050" s="75">
        <v>10047</v>
      </c>
      <c r="C10050">
        <v>146.12120112100001</v>
      </c>
      <c r="D10050">
        <v>-17.600585818100001</v>
      </c>
      <c r="E10050" s="92" t="str">
        <f t="shared" si="70"/>
        <v/>
      </c>
      <c r="F10050" s="93" t="str">
        <f t="shared" si="71"/>
        <v>10047_20240611_0001_R_0314.jpg</v>
      </c>
      <c r="G10050" s="75" t="s">
        <v>7285</v>
      </c>
      <c r="I10050" s="75">
        <v>1</v>
      </c>
      <c r="K10050" s="97">
        <v>1</v>
      </c>
      <c r="L10050"/>
      <c r="M10050"/>
      <c r="N10050"/>
      <c r="O10050"/>
      <c r="P10050" s="57"/>
      <c r="Q10050" s="57"/>
      <c r="R10050" s="57"/>
      <c r="S10050" s="97">
        <v>0</v>
      </c>
      <c r="T10050" s="57"/>
      <c r="U10050" s="57"/>
      <c r="V10050" s="57"/>
      <c r="W10050" s="57"/>
      <c r="X10050" s="97">
        <v>1</v>
      </c>
    </row>
    <row r="10051" spans="1:24" s="75" customFormat="1" x14ac:dyDescent="0.35">
      <c r="A10051" s="75">
        <v>10047</v>
      </c>
      <c r="B10051" s="75">
        <v>10048</v>
      </c>
      <c r="C10051">
        <v>146.12119294799899</v>
      </c>
      <c r="D10051">
        <v>-17.6005005467999</v>
      </c>
      <c r="E10051" s="92" t="str">
        <f t="shared" si="70"/>
        <v/>
      </c>
      <c r="F10051" s="93" t="str">
        <f t="shared" si="71"/>
        <v>10048_20240611_0001_R_0398.jpg</v>
      </c>
      <c r="G10051" s="75" t="s">
        <v>7286</v>
      </c>
      <c r="I10051" s="75">
        <v>1</v>
      </c>
      <c r="K10051" s="97">
        <v>0</v>
      </c>
      <c r="L10051"/>
      <c r="M10051"/>
      <c r="N10051"/>
      <c r="O10051"/>
      <c r="P10051" s="57"/>
      <c r="Q10051" s="57"/>
      <c r="R10051" s="57"/>
      <c r="S10051" s="97">
        <v>0</v>
      </c>
      <c r="T10051" s="57"/>
      <c r="U10051" s="57"/>
      <c r="V10051" s="57"/>
      <c r="W10051" s="57"/>
      <c r="X10051" s="97">
        <v>1</v>
      </c>
    </row>
    <row r="10052" spans="1:24" s="75" customFormat="1" x14ac:dyDescent="0.35">
      <c r="A10052" s="75">
        <v>10048</v>
      </c>
      <c r="B10052" s="75">
        <v>10049</v>
      </c>
      <c r="C10052">
        <v>146.12118477600001</v>
      </c>
      <c r="D10052">
        <v>-17.600415275500001</v>
      </c>
      <c r="E10052" s="92" t="str">
        <f t="shared" si="70"/>
        <v/>
      </c>
      <c r="F10052" s="93" t="str">
        <f t="shared" si="71"/>
        <v>10049_20240611_0001_R_0308.jpg</v>
      </c>
      <c r="G10052" s="75" t="s">
        <v>7287</v>
      </c>
      <c r="I10052" s="75">
        <v>1</v>
      </c>
      <c r="K10052" s="97">
        <v>0</v>
      </c>
      <c r="L10052"/>
      <c r="M10052"/>
      <c r="N10052"/>
      <c r="O10052"/>
      <c r="P10052" s="57"/>
      <c r="Q10052" s="57"/>
      <c r="R10052" s="57"/>
      <c r="S10052" s="97">
        <v>0</v>
      </c>
      <c r="T10052" s="57"/>
      <c r="U10052" s="57"/>
      <c r="V10052" s="57"/>
      <c r="W10052" s="57"/>
      <c r="X10052" s="97">
        <v>1</v>
      </c>
    </row>
    <row r="10053" spans="1:24" s="75" customFormat="1" x14ac:dyDescent="0.35">
      <c r="A10053" s="75">
        <v>10049</v>
      </c>
      <c r="B10053" s="75">
        <v>10050</v>
      </c>
      <c r="C10053">
        <v>146.12117660300001</v>
      </c>
      <c r="D10053">
        <v>-17.6003300042</v>
      </c>
      <c r="E10053" s="92">
        <f t="shared" si="70"/>
        <v>50</v>
      </c>
      <c r="F10053" s="93" t="str">
        <f t="shared" si="71"/>
        <v>10050_20240611_0001_R_0305.jpg</v>
      </c>
      <c r="G10053" s="75" t="s">
        <v>7288</v>
      </c>
      <c r="I10053" s="75">
        <v>1</v>
      </c>
      <c r="K10053" s="97">
        <v>0</v>
      </c>
      <c r="L10053"/>
      <c r="M10053"/>
      <c r="N10053"/>
      <c r="O10053"/>
      <c r="P10053" s="57"/>
      <c r="Q10053" s="57"/>
      <c r="R10053" s="57"/>
      <c r="S10053" s="97">
        <v>0</v>
      </c>
      <c r="T10053" s="57"/>
      <c r="U10053" s="57"/>
      <c r="V10053" s="57"/>
      <c r="W10053" s="57"/>
      <c r="X10053" s="97">
        <v>1</v>
      </c>
    </row>
    <row r="10054" spans="1:24" s="75" customFormat="1" x14ac:dyDescent="0.35">
      <c r="A10054" s="75">
        <v>10050</v>
      </c>
      <c r="B10054" s="75">
        <v>10051</v>
      </c>
      <c r="C10054">
        <v>146.121170984</v>
      </c>
      <c r="D10054">
        <v>-17.600244632300001</v>
      </c>
      <c r="E10054" s="92" t="str">
        <f t="shared" si="70"/>
        <v/>
      </c>
      <c r="F10054" s="93" t="str">
        <f t="shared" si="71"/>
        <v>10051_20240611_0001_R_0302.jpg</v>
      </c>
      <c r="G10054" s="75" t="s">
        <v>7289</v>
      </c>
      <c r="I10054" s="75">
        <v>1</v>
      </c>
      <c r="K10054" s="97">
        <v>0</v>
      </c>
      <c r="L10054"/>
      <c r="M10054"/>
      <c r="N10054"/>
      <c r="O10054"/>
      <c r="P10054" s="57"/>
      <c r="Q10054" s="57"/>
      <c r="R10054" s="57"/>
      <c r="S10054" s="97">
        <v>0</v>
      </c>
      <c r="T10054" s="57"/>
      <c r="U10054" s="57"/>
      <c r="V10054" s="57"/>
      <c r="W10054" s="57"/>
      <c r="X10054" s="97">
        <v>1</v>
      </c>
    </row>
    <row r="10055" spans="1:24" s="75" customFormat="1" x14ac:dyDescent="0.35">
      <c r="A10055" s="75">
        <v>10051</v>
      </c>
      <c r="B10055" s="75">
        <v>10052</v>
      </c>
      <c r="C10055">
        <v>146.12117174599899</v>
      </c>
      <c r="D10055">
        <v>-17.6001590089</v>
      </c>
      <c r="E10055" s="92" t="str">
        <f t="shared" si="70"/>
        <v/>
      </c>
      <c r="F10055" s="93" t="str">
        <f t="shared" si="71"/>
        <v>10052_20240611_0001_R_0300.jpg</v>
      </c>
      <c r="G10055" s="75" t="s">
        <v>7290</v>
      </c>
      <c r="I10055" s="75">
        <v>1</v>
      </c>
      <c r="K10055" s="97">
        <v>0</v>
      </c>
      <c r="L10055"/>
      <c r="M10055"/>
      <c r="N10055"/>
      <c r="O10055"/>
      <c r="P10055" s="57"/>
      <c r="Q10055" s="57"/>
      <c r="R10055" s="57"/>
      <c r="S10055" s="97">
        <v>0</v>
      </c>
      <c r="T10055" s="57"/>
      <c r="U10055" s="57"/>
      <c r="V10055" s="57"/>
      <c r="W10055" s="57"/>
      <c r="X10055" s="97">
        <v>1</v>
      </c>
    </row>
    <row r="10056" spans="1:24" s="75" customFormat="1" x14ac:dyDescent="0.35">
      <c r="A10056" s="75">
        <v>10052</v>
      </c>
      <c r="B10056" s="75">
        <v>10053</v>
      </c>
      <c r="C10056">
        <v>146.121172508</v>
      </c>
      <c r="D10056">
        <v>-17.600073385400002</v>
      </c>
      <c r="E10056" s="92" t="str">
        <f t="shared" si="70"/>
        <v/>
      </c>
      <c r="F10056" s="93" t="str">
        <f t="shared" si="71"/>
        <v>10053_20240611_0001_R_0298.jpg</v>
      </c>
      <c r="G10056" s="75" t="s">
        <v>7291</v>
      </c>
      <c r="I10056" s="75">
        <v>1</v>
      </c>
      <c r="K10056" s="97">
        <v>1</v>
      </c>
      <c r="L10056"/>
      <c r="M10056"/>
      <c r="N10056"/>
      <c r="O10056"/>
      <c r="P10056" s="57"/>
      <c r="Q10056" s="57"/>
      <c r="R10056" s="57"/>
      <c r="S10056" s="97">
        <v>0</v>
      </c>
      <c r="T10056" s="57"/>
      <c r="U10056" s="57"/>
      <c r="V10056" s="57"/>
      <c r="W10056" s="57"/>
      <c r="X10056" s="97">
        <v>1</v>
      </c>
    </row>
    <row r="10057" spans="1:24" s="75" customFormat="1" x14ac:dyDescent="0.35">
      <c r="A10057" s="75">
        <v>10053</v>
      </c>
      <c r="B10057" s="75">
        <v>10054</v>
      </c>
      <c r="C10057">
        <v>146.121197219999</v>
      </c>
      <c r="D10057">
        <v>-17.599992149399899</v>
      </c>
      <c r="E10057" s="92" t="str">
        <f t="shared" si="70"/>
        <v/>
      </c>
      <c r="F10057" s="93" t="str">
        <f t="shared" si="71"/>
        <v>10054_20240611_0001_R_0296.jpg</v>
      </c>
      <c r="G10057" s="75" t="s">
        <v>7292</v>
      </c>
      <c r="I10057" s="75">
        <v>1</v>
      </c>
      <c r="K10057" s="97">
        <v>0</v>
      </c>
      <c r="L10057"/>
      <c r="M10057"/>
      <c r="N10057"/>
      <c r="O10057"/>
      <c r="P10057" s="57"/>
      <c r="Q10057" s="57"/>
      <c r="R10057" s="57"/>
      <c r="S10057" s="97">
        <v>0</v>
      </c>
      <c r="T10057" s="57"/>
      <c r="U10057" s="57"/>
      <c r="V10057" s="57"/>
      <c r="W10057" s="57"/>
      <c r="X10057" s="97">
        <v>1</v>
      </c>
    </row>
    <row r="10058" spans="1:24" s="75" customFormat="1" x14ac:dyDescent="0.35">
      <c r="A10058" s="75">
        <v>10054</v>
      </c>
      <c r="B10058" s="75">
        <v>10055</v>
      </c>
      <c r="C10058">
        <v>146.12122981100001</v>
      </c>
      <c r="D10058">
        <v>-17.5999123566999</v>
      </c>
      <c r="E10058" s="92">
        <f t="shared" si="70"/>
        <v>50</v>
      </c>
      <c r="F10058" s="93" t="str">
        <f t="shared" si="71"/>
        <v>10055_20240611_0001_R_0294.jpg</v>
      </c>
      <c r="G10058" s="75" t="s">
        <v>7293</v>
      </c>
      <c r="I10058" s="75">
        <v>1</v>
      </c>
      <c r="K10058" s="97">
        <v>0</v>
      </c>
      <c r="L10058"/>
      <c r="M10058"/>
      <c r="N10058"/>
      <c r="O10058"/>
      <c r="P10058" s="57"/>
      <c r="Q10058" s="57"/>
      <c r="R10058" s="57"/>
      <c r="S10058" s="97">
        <v>0</v>
      </c>
      <c r="T10058" s="57"/>
      <c r="U10058" s="57"/>
      <c r="V10058" s="57"/>
      <c r="W10058" s="57"/>
      <c r="X10058" s="97">
        <v>1</v>
      </c>
    </row>
    <row r="10059" spans="1:24" s="75" customFormat="1" x14ac:dyDescent="0.35">
      <c r="A10059" s="75">
        <v>10055</v>
      </c>
      <c r="B10059" s="75">
        <v>10056</v>
      </c>
      <c r="C10059">
        <v>146.121300219999</v>
      </c>
      <c r="D10059">
        <v>-17.5998618325</v>
      </c>
      <c r="E10059" s="92" t="str">
        <f t="shared" si="70"/>
        <v/>
      </c>
      <c r="F10059" s="93" t="str">
        <f t="shared" si="71"/>
        <v>10056_20240611_0001_R_0403.jpg</v>
      </c>
      <c r="G10059" s="75" t="s">
        <v>7294</v>
      </c>
      <c r="I10059" s="75">
        <v>1</v>
      </c>
      <c r="K10059" s="97">
        <v>0</v>
      </c>
      <c r="L10059"/>
      <c r="M10059"/>
      <c r="N10059"/>
      <c r="O10059"/>
      <c r="P10059" s="57"/>
      <c r="Q10059" s="57"/>
      <c r="R10059" s="57"/>
      <c r="S10059" s="97">
        <v>0</v>
      </c>
      <c r="T10059" s="57"/>
      <c r="U10059" s="57"/>
      <c r="V10059" s="57"/>
      <c r="W10059" s="57"/>
      <c r="X10059" s="97">
        <v>1</v>
      </c>
    </row>
    <row r="10060" spans="1:24" s="75" customFormat="1" x14ac:dyDescent="0.35">
      <c r="A10060" s="75">
        <v>10056</v>
      </c>
      <c r="B10060" s="75">
        <v>10057</v>
      </c>
      <c r="C10060">
        <v>146.12137545300001</v>
      </c>
      <c r="D10060">
        <v>-17.599815041300001</v>
      </c>
      <c r="E10060" s="92" t="str">
        <f t="shared" si="70"/>
        <v/>
      </c>
      <c r="F10060" s="93" t="str">
        <f t="shared" si="71"/>
        <v>10057_20240611_0001_R_0291.jpg</v>
      </c>
      <c r="G10060" s="75" t="s">
        <v>7295</v>
      </c>
      <c r="I10060" s="75">
        <v>1</v>
      </c>
      <c r="K10060" s="97">
        <v>0</v>
      </c>
      <c r="L10060"/>
      <c r="M10060"/>
      <c r="N10060"/>
      <c r="O10060"/>
      <c r="P10060" s="57"/>
      <c r="Q10060" s="57"/>
      <c r="R10060" s="57"/>
      <c r="S10060" s="97">
        <v>0</v>
      </c>
      <c r="T10060" s="57"/>
      <c r="U10060" s="57"/>
      <c r="V10060" s="57"/>
      <c r="W10060" s="57"/>
      <c r="X10060" s="97">
        <v>1</v>
      </c>
    </row>
    <row r="10061" spans="1:24" s="75" customFormat="1" x14ac:dyDescent="0.35">
      <c r="A10061" s="75">
        <v>10057</v>
      </c>
      <c r="B10061" s="75">
        <v>10058</v>
      </c>
      <c r="C10061">
        <v>146.12138567400001</v>
      </c>
      <c r="D10061">
        <v>-17.599735387700001</v>
      </c>
      <c r="E10061" s="92" t="str">
        <f t="shared" si="70"/>
        <v/>
      </c>
      <c r="F10061" s="93" t="str">
        <f t="shared" si="71"/>
        <v>10058_20240611_0001_R_0289.jpg</v>
      </c>
      <c r="G10061" s="75" t="s">
        <v>7296</v>
      </c>
      <c r="I10061" s="75">
        <v>1</v>
      </c>
      <c r="K10061" s="97">
        <v>0</v>
      </c>
      <c r="L10061"/>
      <c r="M10061"/>
      <c r="N10061"/>
      <c r="O10061"/>
      <c r="P10061" s="57"/>
      <c r="Q10061" s="57"/>
      <c r="R10061" s="57"/>
      <c r="S10061" s="97">
        <v>0</v>
      </c>
      <c r="T10061" s="57"/>
      <c r="U10061" s="57"/>
      <c r="V10061" s="57"/>
      <c r="W10061" s="57"/>
      <c r="X10061" s="97">
        <v>1</v>
      </c>
    </row>
    <row r="10062" spans="1:24" s="75" customFormat="1" x14ac:dyDescent="0.35">
      <c r="A10062" s="75">
        <v>10058</v>
      </c>
      <c r="B10062" s="75">
        <v>10059</v>
      </c>
      <c r="C10062">
        <v>146.121400214999</v>
      </c>
      <c r="D10062">
        <v>-17.5996537012999</v>
      </c>
      <c r="E10062" s="92" t="str">
        <f t="shared" si="70"/>
        <v/>
      </c>
      <c r="F10062" s="93" t="str">
        <f t="shared" si="71"/>
        <v>10059_20240611_0001_R_0288.jpg</v>
      </c>
      <c r="G10062" s="75" t="s">
        <v>7297</v>
      </c>
      <c r="I10062" s="75">
        <v>1</v>
      </c>
      <c r="K10062" s="97">
        <v>0</v>
      </c>
      <c r="L10062"/>
      <c r="M10062"/>
      <c r="N10062"/>
      <c r="O10062"/>
      <c r="P10062" s="57"/>
      <c r="Q10062" s="57"/>
      <c r="R10062" s="57"/>
      <c r="S10062" s="97">
        <v>0</v>
      </c>
      <c r="T10062" s="57"/>
      <c r="U10062" s="57"/>
      <c r="V10062" s="57"/>
      <c r="W10062" s="57"/>
      <c r="X10062" s="97">
        <v>1</v>
      </c>
    </row>
    <row r="10063" spans="1:24" s="75" customFormat="1" x14ac:dyDescent="0.35">
      <c r="A10063" s="75">
        <v>10059</v>
      </c>
      <c r="B10063" s="75">
        <v>10060</v>
      </c>
      <c r="C10063">
        <v>146.121444711999</v>
      </c>
      <c r="D10063">
        <v>-17.599579317700002</v>
      </c>
      <c r="E10063" s="92">
        <f t="shared" si="70"/>
        <v>50</v>
      </c>
      <c r="F10063" s="93" t="str">
        <f t="shared" si="71"/>
        <v>10060_20240611_0001_R_0286.jpg</v>
      </c>
      <c r="G10063" s="75" t="s">
        <v>7298</v>
      </c>
      <c r="I10063" s="75">
        <v>1</v>
      </c>
      <c r="K10063" s="97">
        <v>0</v>
      </c>
      <c r="L10063"/>
      <c r="M10063"/>
      <c r="N10063"/>
      <c r="O10063"/>
      <c r="P10063" s="57"/>
      <c r="Q10063" s="57"/>
      <c r="R10063" s="57"/>
      <c r="S10063" s="97">
        <v>0</v>
      </c>
      <c r="T10063" s="57"/>
      <c r="U10063" s="57"/>
      <c r="V10063" s="57"/>
      <c r="W10063" s="57"/>
      <c r="X10063" s="97">
        <v>1</v>
      </c>
    </row>
    <row r="10064" spans="1:24" s="75" customFormat="1" x14ac:dyDescent="0.35">
      <c r="A10064" s="75">
        <v>10060</v>
      </c>
      <c r="B10064" s="75">
        <v>10061</v>
      </c>
      <c r="C10064">
        <v>146.121489209999</v>
      </c>
      <c r="D10064">
        <v>-17.5995049341</v>
      </c>
      <c r="E10064" s="92" t="str">
        <f t="shared" ref="E10064:E10127" si="72">IF(MOD(B10064,5)=0, 50, "")</f>
        <v/>
      </c>
      <c r="F10064" s="93" t="str">
        <f t="shared" si="71"/>
        <v>10061_20240611_0001_R_0283.jpg</v>
      </c>
      <c r="G10064" s="75" t="s">
        <v>7299</v>
      </c>
      <c r="I10064" s="75">
        <v>1</v>
      </c>
      <c r="K10064" s="97">
        <v>1</v>
      </c>
      <c r="L10064"/>
      <c r="M10064"/>
      <c r="N10064"/>
      <c r="O10064"/>
      <c r="P10064" s="57"/>
      <c r="Q10064" s="57"/>
      <c r="R10064" s="57"/>
      <c r="S10064" s="97">
        <v>0</v>
      </c>
      <c r="T10064" s="57"/>
      <c r="U10064" s="57"/>
      <c r="V10064" s="57"/>
      <c r="W10064" s="57"/>
      <c r="X10064" s="97">
        <v>2</v>
      </c>
    </row>
    <row r="10065" spans="1:24" s="75" customFormat="1" x14ac:dyDescent="0.35">
      <c r="A10065" s="75">
        <v>10061</v>
      </c>
      <c r="B10065" s="75">
        <v>10062</v>
      </c>
      <c r="C10065">
        <v>146.12155509900001</v>
      </c>
      <c r="D10065">
        <v>-17.59945081</v>
      </c>
      <c r="E10065" s="92" t="str">
        <f t="shared" si="72"/>
        <v/>
      </c>
      <c r="F10065" s="93" t="str">
        <f t="shared" si="71"/>
        <v>10062_20240611_0001_R_0281.jpg</v>
      </c>
      <c r="G10065" s="75" t="s">
        <v>7300</v>
      </c>
      <c r="I10065" s="75">
        <v>1</v>
      </c>
      <c r="K10065" s="97">
        <v>0</v>
      </c>
      <c r="L10065"/>
      <c r="M10065"/>
      <c r="N10065"/>
      <c r="O10065"/>
      <c r="P10065" s="57"/>
      <c r="Q10065" s="57"/>
      <c r="R10065" s="57"/>
      <c r="S10065" s="97">
        <v>0</v>
      </c>
      <c r="T10065" s="57"/>
      <c r="U10065" s="57"/>
      <c r="V10065" s="57"/>
      <c r="W10065" s="57"/>
      <c r="X10065" s="97">
        <v>1</v>
      </c>
    </row>
    <row r="10066" spans="1:24" s="75" customFormat="1" x14ac:dyDescent="0.35">
      <c r="A10066" s="75">
        <v>10062</v>
      </c>
      <c r="B10066" s="75">
        <v>10063</v>
      </c>
      <c r="C10066">
        <v>146.12163284900001</v>
      </c>
      <c r="D10066">
        <v>-17.599407919800001</v>
      </c>
      <c r="E10066" s="92" t="str">
        <f t="shared" si="72"/>
        <v/>
      </c>
      <c r="F10066" s="93" t="str">
        <f t="shared" si="71"/>
        <v>10063_20240611_0001_R_0277.jpg</v>
      </c>
      <c r="G10066" s="75" t="s">
        <v>7301</v>
      </c>
      <c r="I10066" s="75">
        <v>1</v>
      </c>
      <c r="K10066" s="97">
        <v>0</v>
      </c>
      <c r="L10066"/>
      <c r="M10066"/>
      <c r="N10066"/>
      <c r="O10066"/>
      <c r="P10066" s="57"/>
      <c r="Q10066" s="57"/>
      <c r="R10066" s="57"/>
      <c r="S10066" s="97">
        <v>0</v>
      </c>
      <c r="T10066" s="57"/>
      <c r="U10066" s="57"/>
      <c r="V10066" s="57"/>
      <c r="W10066" s="57"/>
      <c r="X10066" s="97">
        <v>1</v>
      </c>
    </row>
    <row r="10067" spans="1:24" s="75" customFormat="1" x14ac:dyDescent="0.35">
      <c r="A10067" s="75">
        <v>10063</v>
      </c>
      <c r="B10067" s="75">
        <v>10064</v>
      </c>
      <c r="C10067">
        <v>146.121710597999</v>
      </c>
      <c r="D10067">
        <v>-17.5993650294999</v>
      </c>
      <c r="E10067" s="92" t="str">
        <f t="shared" si="72"/>
        <v/>
      </c>
      <c r="F10067" s="93" t="str">
        <f t="shared" si="71"/>
        <v>10064_20240611_0001_R_0275.jpg</v>
      </c>
      <c r="G10067" s="75" t="s">
        <v>7302</v>
      </c>
      <c r="I10067" s="75">
        <v>1</v>
      </c>
      <c r="K10067" s="97">
        <v>0</v>
      </c>
      <c r="L10067"/>
      <c r="M10067"/>
      <c r="N10067"/>
      <c r="O10067"/>
      <c r="P10067" s="57"/>
      <c r="Q10067" s="57"/>
      <c r="R10067" s="57"/>
      <c r="S10067" s="97">
        <v>0</v>
      </c>
      <c r="T10067" s="57"/>
      <c r="U10067" s="57"/>
      <c r="V10067" s="57"/>
      <c r="W10067" s="57"/>
      <c r="X10067" s="97">
        <v>1</v>
      </c>
    </row>
    <row r="10068" spans="1:24" s="75" customFormat="1" x14ac:dyDescent="0.35">
      <c r="A10068" s="75">
        <v>10064</v>
      </c>
      <c r="B10068" s="75">
        <v>10065</v>
      </c>
      <c r="C10068">
        <v>146.121792978</v>
      </c>
      <c r="D10068">
        <v>-17.599333085600001</v>
      </c>
      <c r="E10068" s="92">
        <f t="shared" si="72"/>
        <v>50</v>
      </c>
      <c r="F10068" s="93" t="str">
        <f t="shared" si="71"/>
        <v>10065_20240611_0001_R_0435.jpg</v>
      </c>
      <c r="G10068" s="75" t="s">
        <v>7303</v>
      </c>
      <c r="I10068" s="75">
        <v>1</v>
      </c>
      <c r="K10068" s="97">
        <v>1</v>
      </c>
      <c r="L10068"/>
      <c r="M10068"/>
      <c r="N10068"/>
      <c r="O10068"/>
      <c r="P10068" s="57"/>
      <c r="Q10068" s="57"/>
      <c r="R10068" s="57"/>
      <c r="S10068" s="97">
        <v>0</v>
      </c>
      <c r="T10068" s="57"/>
      <c r="U10068" s="57"/>
      <c r="V10068" s="57"/>
      <c r="W10068" s="57"/>
      <c r="X10068" s="97">
        <v>2</v>
      </c>
    </row>
    <row r="10069" spans="1:24" s="75" customFormat="1" x14ac:dyDescent="0.35">
      <c r="A10069" s="75">
        <v>10065</v>
      </c>
      <c r="B10069" s="75">
        <v>10066</v>
      </c>
      <c r="C10069">
        <v>146.121880196999</v>
      </c>
      <c r="D10069">
        <v>-17.599312585500002</v>
      </c>
      <c r="E10069" s="92" t="str">
        <f t="shared" si="72"/>
        <v/>
      </c>
      <c r="F10069" s="93" t="str">
        <f t="shared" si="71"/>
        <v>10066_20240611_0001_R_0409.jpg</v>
      </c>
      <c r="G10069" s="75" t="s">
        <v>7304</v>
      </c>
      <c r="I10069" s="75">
        <v>1</v>
      </c>
      <c r="K10069" s="97">
        <v>0</v>
      </c>
      <c r="L10069"/>
      <c r="M10069"/>
      <c r="N10069"/>
      <c r="O10069"/>
      <c r="P10069" s="57"/>
      <c r="Q10069" s="57"/>
      <c r="R10069" s="57"/>
      <c r="S10069" s="97">
        <v>0</v>
      </c>
      <c r="T10069" s="57"/>
      <c r="U10069" s="57"/>
      <c r="V10069" s="57"/>
      <c r="W10069" s="57"/>
      <c r="X10069" s="97">
        <v>1</v>
      </c>
    </row>
    <row r="10070" spans="1:24" s="75" customFormat="1" x14ac:dyDescent="0.35">
      <c r="A10070" s="75">
        <v>10066</v>
      </c>
      <c r="B10070" s="75">
        <v>10067</v>
      </c>
      <c r="C10070">
        <v>146.12196741599899</v>
      </c>
      <c r="D10070">
        <v>-17.5992920853</v>
      </c>
      <c r="E10070" s="92" t="str">
        <f t="shared" si="72"/>
        <v/>
      </c>
      <c r="F10070" s="93" t="str">
        <f t="shared" si="71"/>
        <v>10067_20240611_0001_R_0270.jpg</v>
      </c>
      <c r="G10070" s="75" t="s">
        <v>7305</v>
      </c>
      <c r="I10070" s="75">
        <v>1</v>
      </c>
      <c r="K10070" s="97">
        <v>0</v>
      </c>
      <c r="L10070"/>
      <c r="M10070"/>
      <c r="N10070"/>
      <c r="O10070"/>
      <c r="P10070" s="57"/>
      <c r="Q10070" s="57"/>
      <c r="R10070" s="57"/>
      <c r="S10070" s="97">
        <v>0</v>
      </c>
      <c r="T10070" s="57"/>
      <c r="U10070" s="57"/>
      <c r="V10070" s="57"/>
      <c r="W10070" s="57"/>
      <c r="X10070" s="97">
        <v>1</v>
      </c>
    </row>
    <row r="10071" spans="1:24" s="75" customFormat="1" x14ac:dyDescent="0.35">
      <c r="A10071" s="75">
        <v>10067</v>
      </c>
      <c r="B10071" s="75">
        <v>10068</v>
      </c>
      <c r="C10071">
        <v>146.12205680400001</v>
      </c>
      <c r="D10071">
        <v>-17.5992937539</v>
      </c>
      <c r="E10071" s="92" t="str">
        <f t="shared" si="72"/>
        <v/>
      </c>
      <c r="F10071" s="93" t="str">
        <f t="shared" si="71"/>
        <v>10068_20240611_0001_R_0417.jpg</v>
      </c>
      <c r="G10071" s="75" t="s">
        <v>7306</v>
      </c>
      <c r="I10071" s="75">
        <v>1</v>
      </c>
      <c r="K10071" s="97">
        <v>0</v>
      </c>
      <c r="L10071"/>
      <c r="M10071"/>
      <c r="N10071"/>
      <c r="O10071"/>
      <c r="P10071" s="57"/>
      <c r="Q10071" s="57"/>
      <c r="R10071" s="57"/>
      <c r="S10071" s="97">
        <v>0</v>
      </c>
      <c r="T10071" s="57"/>
      <c r="U10071" s="57"/>
      <c r="V10071" s="57"/>
      <c r="W10071" s="57"/>
      <c r="X10071" s="97">
        <v>1</v>
      </c>
    </row>
    <row r="10072" spans="1:24" s="75" customFormat="1" x14ac:dyDescent="0.35">
      <c r="A10072" s="75">
        <v>10068</v>
      </c>
      <c r="B10072" s="75">
        <v>10069</v>
      </c>
      <c r="C10072">
        <v>146.122146495999</v>
      </c>
      <c r="D10072">
        <v>-17.5992985273</v>
      </c>
      <c r="E10072" s="92" t="str">
        <f t="shared" si="72"/>
        <v/>
      </c>
      <c r="F10072" s="93" t="str">
        <f t="shared" si="71"/>
        <v>10069_20240611_0001_R_0425.jpg</v>
      </c>
      <c r="G10072" s="75" t="s">
        <v>7307</v>
      </c>
      <c r="I10072" s="75">
        <v>1</v>
      </c>
      <c r="K10072" s="97">
        <v>0</v>
      </c>
      <c r="L10072"/>
      <c r="M10072"/>
      <c r="N10072"/>
      <c r="O10072"/>
      <c r="P10072" s="57"/>
      <c r="Q10072" s="57"/>
      <c r="R10072" s="57"/>
      <c r="S10072" s="97">
        <v>0</v>
      </c>
      <c r="T10072" s="57"/>
      <c r="U10072" s="57"/>
      <c r="V10072" s="57"/>
      <c r="W10072" s="57"/>
      <c r="X10072" s="97">
        <v>1</v>
      </c>
    </row>
    <row r="10073" spans="1:24" s="75" customFormat="1" x14ac:dyDescent="0.35">
      <c r="A10073" s="75">
        <v>10069</v>
      </c>
      <c r="B10073" s="75">
        <v>10070</v>
      </c>
      <c r="C10073">
        <v>146.122236186999</v>
      </c>
      <c r="D10073">
        <v>-17.599303300700001</v>
      </c>
      <c r="E10073" s="92">
        <f t="shared" si="72"/>
        <v>50</v>
      </c>
      <c r="F10073" s="93" t="str">
        <f t="shared" si="71"/>
        <v>10070_20240611_0001_R_0264.jpg</v>
      </c>
      <c r="G10073" s="75" t="s">
        <v>7308</v>
      </c>
      <c r="I10073" s="75">
        <v>1</v>
      </c>
      <c r="K10073" s="97">
        <v>1</v>
      </c>
      <c r="L10073"/>
      <c r="M10073"/>
      <c r="N10073"/>
      <c r="O10073"/>
      <c r="P10073" s="57"/>
      <c r="Q10073" s="57"/>
      <c r="R10073" s="57"/>
      <c r="S10073" s="97">
        <v>0</v>
      </c>
      <c r="T10073" s="57"/>
      <c r="U10073" s="57"/>
      <c r="V10073" s="57"/>
      <c r="W10073" s="57"/>
      <c r="X10073" s="97">
        <v>1</v>
      </c>
    </row>
    <row r="10074" spans="1:24" s="75" customFormat="1" x14ac:dyDescent="0.35">
      <c r="A10074" s="75">
        <v>10070</v>
      </c>
      <c r="B10074" s="75">
        <v>10071</v>
      </c>
      <c r="C10074">
        <v>146.12232587099899</v>
      </c>
      <c r="D10074">
        <v>-17.5993081989999</v>
      </c>
      <c r="E10074" s="92" t="str">
        <f t="shared" si="72"/>
        <v/>
      </c>
      <c r="F10074" s="93" t="str">
        <f t="shared" si="71"/>
        <v>10071_20240611_0001_R_0262.jpg</v>
      </c>
      <c r="G10074" s="75" t="s">
        <v>7309</v>
      </c>
      <c r="I10074" s="75">
        <v>1</v>
      </c>
      <c r="K10074" s="97">
        <v>0</v>
      </c>
      <c r="L10074"/>
      <c r="M10074"/>
      <c r="N10074"/>
      <c r="O10074"/>
      <c r="P10074" s="57"/>
      <c r="Q10074" s="57"/>
      <c r="R10074" s="57"/>
      <c r="S10074" s="97">
        <v>0</v>
      </c>
      <c r="T10074" s="57"/>
      <c r="U10074" s="57"/>
      <c r="V10074" s="57"/>
      <c r="W10074" s="57"/>
      <c r="X10074" s="97">
        <v>1</v>
      </c>
    </row>
    <row r="10075" spans="1:24" s="75" customFormat="1" x14ac:dyDescent="0.35">
      <c r="A10075" s="75">
        <v>10071</v>
      </c>
      <c r="B10075" s="75">
        <v>10072</v>
      </c>
      <c r="C10075">
        <v>146.122415504</v>
      </c>
      <c r="D10075">
        <v>-17.599313888600001</v>
      </c>
      <c r="E10075" s="92" t="str">
        <f t="shared" si="72"/>
        <v/>
      </c>
      <c r="F10075" s="93" t="str">
        <f t="shared" si="71"/>
        <v>10072_20240611_0001_R_0260.jpg</v>
      </c>
      <c r="G10075" s="75" t="s">
        <v>7310</v>
      </c>
      <c r="I10075" s="75">
        <v>1</v>
      </c>
      <c r="K10075" s="97">
        <v>0</v>
      </c>
      <c r="L10075"/>
      <c r="M10075"/>
      <c r="N10075"/>
      <c r="O10075"/>
      <c r="P10075" s="57"/>
      <c r="Q10075" s="57"/>
      <c r="R10075" s="57"/>
      <c r="S10075" s="97">
        <v>0</v>
      </c>
      <c r="T10075" s="57"/>
      <c r="U10075" s="57"/>
      <c r="V10075" s="57"/>
      <c r="W10075" s="57"/>
      <c r="X10075" s="97">
        <v>1</v>
      </c>
    </row>
    <row r="10076" spans="1:24" s="75" customFormat="1" x14ac:dyDescent="0.35">
      <c r="A10076" s="75">
        <v>10072</v>
      </c>
      <c r="B10076" s="75">
        <v>10073</v>
      </c>
      <c r="C10076">
        <v>146.122505136999</v>
      </c>
      <c r="D10076">
        <v>-17.599319578300001</v>
      </c>
      <c r="E10076" s="92" t="str">
        <f t="shared" si="72"/>
        <v/>
      </c>
      <c r="F10076" s="93" t="str">
        <f t="shared" ref="F10076:F10136" si="73">HYPERLINK("D:\Data From Lucan\2024\Moresby\Frames_for_Analysis\" &amp; G10076,G10076)</f>
        <v>10073_20240611_0001_R_0257.jpg</v>
      </c>
      <c r="G10076" s="75" t="s">
        <v>7311</v>
      </c>
      <c r="I10076" s="75">
        <v>1</v>
      </c>
      <c r="K10076" s="97">
        <v>0</v>
      </c>
      <c r="L10076"/>
      <c r="M10076"/>
      <c r="N10076"/>
      <c r="O10076"/>
      <c r="P10076" s="57"/>
      <c r="Q10076" s="57"/>
      <c r="R10076" s="57"/>
      <c r="S10076" s="97">
        <v>0</v>
      </c>
      <c r="T10076" s="57"/>
      <c r="U10076" s="57"/>
      <c r="V10076" s="57"/>
      <c r="W10076" s="57"/>
      <c r="X10076" s="97">
        <v>1</v>
      </c>
    </row>
    <row r="10077" spans="1:24" s="75" customFormat="1" x14ac:dyDescent="0.35">
      <c r="A10077" s="75">
        <v>10073</v>
      </c>
      <c r="B10077" s="75">
        <v>10074</v>
      </c>
      <c r="C10077">
        <v>146.12259477000001</v>
      </c>
      <c r="D10077">
        <v>-17.5993252678999</v>
      </c>
      <c r="E10077" s="92" t="str">
        <f t="shared" si="72"/>
        <v/>
      </c>
      <c r="F10077" s="93" t="str">
        <f t="shared" si="73"/>
        <v>10074_20240611_0001_R_0254.jpg</v>
      </c>
      <c r="G10077" s="75" t="s">
        <v>7312</v>
      </c>
      <c r="I10077" s="75">
        <v>1</v>
      </c>
      <c r="K10077" s="97">
        <v>0</v>
      </c>
      <c r="L10077"/>
      <c r="M10077"/>
      <c r="N10077"/>
      <c r="O10077"/>
      <c r="P10077" s="57"/>
      <c r="Q10077" s="57"/>
      <c r="R10077" s="57"/>
      <c r="S10077" s="97">
        <v>0</v>
      </c>
      <c r="T10077" s="57"/>
      <c r="U10077" s="57"/>
      <c r="V10077" s="57"/>
      <c r="W10077" s="57"/>
      <c r="X10077" s="97">
        <v>1</v>
      </c>
    </row>
    <row r="10078" spans="1:24" s="75" customFormat="1" x14ac:dyDescent="0.35">
      <c r="A10078" s="75">
        <v>10074</v>
      </c>
      <c r="B10078" s="75">
        <v>10075</v>
      </c>
      <c r="C10078">
        <v>146.122684405999</v>
      </c>
      <c r="D10078">
        <v>-17.599330892000001</v>
      </c>
      <c r="E10078" s="92">
        <f t="shared" si="72"/>
        <v>50</v>
      </c>
      <c r="F10078" s="93" t="str">
        <f t="shared" si="73"/>
        <v>10075_20240611_0001_R_0250.jpg</v>
      </c>
      <c r="G10078" s="75" t="s">
        <v>7313</v>
      </c>
      <c r="I10078" s="75">
        <v>1</v>
      </c>
      <c r="K10078" s="97">
        <v>0</v>
      </c>
      <c r="L10078"/>
      <c r="M10078"/>
      <c r="N10078"/>
      <c r="O10078"/>
      <c r="P10078" s="57"/>
      <c r="Q10078" s="57"/>
      <c r="R10078" s="57"/>
      <c r="S10078" s="97">
        <v>0</v>
      </c>
      <c r="T10078" s="57"/>
      <c r="U10078" s="57"/>
      <c r="V10078" s="57"/>
      <c r="W10078" s="57"/>
      <c r="X10078" s="97">
        <v>2</v>
      </c>
    </row>
    <row r="10079" spans="1:24" s="75" customFormat="1" x14ac:dyDescent="0.35">
      <c r="A10079" s="75">
        <v>10075</v>
      </c>
      <c r="B10079" s="75">
        <v>10076</v>
      </c>
      <c r="C10079">
        <v>146.122774235999</v>
      </c>
      <c r="D10079">
        <v>-17.5993312907</v>
      </c>
      <c r="E10079" s="92" t="str">
        <f t="shared" si="72"/>
        <v/>
      </c>
      <c r="F10079" s="93" t="str">
        <f t="shared" si="73"/>
        <v>10076_20240611_0001_R_0246.jpg</v>
      </c>
      <c r="G10079" s="75" t="s">
        <v>7314</v>
      </c>
      <c r="I10079" s="75">
        <v>1</v>
      </c>
      <c r="K10079" s="97">
        <v>0</v>
      </c>
      <c r="L10079"/>
      <c r="M10079"/>
      <c r="N10079"/>
      <c r="O10079"/>
      <c r="P10079" s="57"/>
      <c r="Q10079" s="57"/>
      <c r="R10079" s="57"/>
      <c r="S10079" s="97">
        <v>0</v>
      </c>
      <c r="T10079" s="57"/>
      <c r="U10079" s="57"/>
      <c r="V10079" s="57"/>
      <c r="W10079" s="57"/>
      <c r="X10079" s="97">
        <v>1</v>
      </c>
    </row>
    <row r="10080" spans="1:24" s="75" customFormat="1" x14ac:dyDescent="0.35">
      <c r="A10080" s="75">
        <v>10076</v>
      </c>
      <c r="B10080" s="75">
        <v>10077</v>
      </c>
      <c r="C10080">
        <v>146.122864066999</v>
      </c>
      <c r="D10080">
        <v>-17.5993316894</v>
      </c>
      <c r="E10080" s="92" t="str">
        <f t="shared" si="72"/>
        <v/>
      </c>
      <c r="F10080" s="93" t="str">
        <f t="shared" si="73"/>
        <v>10077_20240611_0001_R_0242.jpg</v>
      </c>
      <c r="G10080" s="75" t="s">
        <v>7315</v>
      </c>
      <c r="I10080" s="75">
        <v>1</v>
      </c>
      <c r="K10080" s="97">
        <v>1</v>
      </c>
      <c r="L10080"/>
      <c r="M10080"/>
      <c r="N10080"/>
      <c r="O10080"/>
      <c r="P10080" s="57"/>
      <c r="Q10080" s="57"/>
      <c r="R10080" s="57"/>
      <c r="S10080" s="97">
        <v>0</v>
      </c>
      <c r="T10080" s="57"/>
      <c r="U10080" s="57"/>
      <c r="V10080" s="57"/>
      <c r="W10080" s="57"/>
      <c r="X10080" s="97">
        <v>1</v>
      </c>
    </row>
    <row r="10081" spans="1:24" s="75" customFormat="1" x14ac:dyDescent="0.35">
      <c r="A10081" s="75">
        <v>10077</v>
      </c>
      <c r="B10081" s="75">
        <v>10078</v>
      </c>
      <c r="C10081">
        <v>146.12295377199899</v>
      </c>
      <c r="D10081">
        <v>-17.599334405299899</v>
      </c>
      <c r="E10081" s="92" t="str">
        <f t="shared" si="72"/>
        <v/>
      </c>
      <c r="F10081" s="93" t="str">
        <f t="shared" si="73"/>
        <v>10078_20240611_0001_R_0238.jpg</v>
      </c>
      <c r="G10081" s="75" t="s">
        <v>7316</v>
      </c>
      <c r="I10081" s="75">
        <v>1</v>
      </c>
      <c r="K10081" s="97">
        <v>1</v>
      </c>
      <c r="L10081"/>
      <c r="M10081"/>
      <c r="N10081"/>
      <c r="O10081"/>
      <c r="P10081" s="57"/>
      <c r="Q10081" s="57"/>
      <c r="R10081" s="57"/>
      <c r="S10081" s="97">
        <v>0</v>
      </c>
      <c r="T10081" s="57"/>
      <c r="U10081" s="57"/>
      <c r="V10081" s="57"/>
      <c r="W10081" s="57"/>
      <c r="X10081" s="97">
        <v>1</v>
      </c>
    </row>
    <row r="10082" spans="1:24" s="75" customFormat="1" x14ac:dyDescent="0.35">
      <c r="A10082" s="75">
        <v>10078</v>
      </c>
      <c r="B10082" s="75">
        <v>10079</v>
      </c>
      <c r="C10082">
        <v>146.12304316999899</v>
      </c>
      <c r="D10082">
        <v>-17.599342807700001</v>
      </c>
      <c r="E10082" s="92" t="str">
        <f t="shared" si="72"/>
        <v/>
      </c>
      <c r="F10082" s="93" t="str">
        <f t="shared" si="73"/>
        <v>10079_20240611_0001_R_0235.jpg</v>
      </c>
      <c r="G10082" s="75" t="s">
        <v>7317</v>
      </c>
      <c r="I10082" s="75">
        <v>1</v>
      </c>
      <c r="K10082" s="97">
        <v>1</v>
      </c>
      <c r="L10082"/>
      <c r="M10082"/>
      <c r="N10082"/>
      <c r="O10082"/>
      <c r="P10082" s="57"/>
      <c r="Q10082" s="57"/>
      <c r="R10082" s="57"/>
      <c r="S10082" s="97">
        <v>0</v>
      </c>
      <c r="T10082" s="57"/>
      <c r="U10082" s="57"/>
      <c r="V10082" s="57"/>
      <c r="W10082" s="57"/>
      <c r="X10082" s="97">
        <v>1</v>
      </c>
    </row>
    <row r="10083" spans="1:24" s="75" customFormat="1" x14ac:dyDescent="0.35">
      <c r="A10083" s="75">
        <v>10079</v>
      </c>
      <c r="B10083" s="75">
        <v>10080</v>
      </c>
      <c r="C10083">
        <v>146.12313256799899</v>
      </c>
      <c r="D10083">
        <v>-17.599351210199899</v>
      </c>
      <c r="E10083" s="92">
        <f t="shared" si="72"/>
        <v>50</v>
      </c>
      <c r="F10083" s="93" t="str">
        <f t="shared" si="73"/>
        <v>10080_20240611_0001_R_0232.jpg</v>
      </c>
      <c r="G10083" s="75" t="s">
        <v>7318</v>
      </c>
      <c r="I10083" s="75">
        <v>1</v>
      </c>
      <c r="K10083" s="97">
        <v>0</v>
      </c>
      <c r="L10083"/>
      <c r="M10083"/>
      <c r="N10083"/>
      <c r="O10083"/>
      <c r="P10083" s="57"/>
      <c r="Q10083" s="57"/>
      <c r="R10083" s="57"/>
      <c r="S10083" s="97">
        <v>0</v>
      </c>
      <c r="T10083" s="57"/>
      <c r="U10083" s="57"/>
      <c r="V10083" s="57"/>
      <c r="W10083" s="57"/>
      <c r="X10083" s="97">
        <v>2</v>
      </c>
    </row>
    <row r="10084" spans="1:24" s="75" customFormat="1" x14ac:dyDescent="0.35">
      <c r="A10084" s="75">
        <v>10080</v>
      </c>
      <c r="B10084" s="75">
        <v>10081</v>
      </c>
      <c r="C10084">
        <v>146.12322196599899</v>
      </c>
      <c r="D10084">
        <v>-17.599359612600001</v>
      </c>
      <c r="E10084" s="92" t="str">
        <f t="shared" si="72"/>
        <v/>
      </c>
      <c r="F10084" s="93" t="str">
        <f t="shared" si="73"/>
        <v>10081_20240611_0001_R_0227.jpg</v>
      </c>
      <c r="G10084" s="75" t="s">
        <v>7319</v>
      </c>
      <c r="I10084" s="75">
        <v>1</v>
      </c>
      <c r="K10084" s="97">
        <v>0</v>
      </c>
      <c r="L10084"/>
      <c r="M10084"/>
      <c r="N10084"/>
      <c r="O10084"/>
      <c r="P10084" s="57"/>
      <c r="Q10084" s="57"/>
      <c r="R10084" s="57"/>
      <c r="S10084" s="97">
        <v>0</v>
      </c>
      <c r="T10084" s="57"/>
      <c r="U10084" s="57"/>
      <c r="V10084" s="57"/>
      <c r="W10084" s="57"/>
      <c r="X10084" s="97">
        <v>1</v>
      </c>
    </row>
    <row r="10085" spans="1:24" s="75" customFormat="1" x14ac:dyDescent="0.35">
      <c r="A10085" s="75">
        <v>10081</v>
      </c>
      <c r="B10085" s="75">
        <v>10082</v>
      </c>
      <c r="C10085">
        <v>146.12331136399899</v>
      </c>
      <c r="D10085">
        <v>-17.599368015</v>
      </c>
      <c r="E10085" s="92" t="str">
        <f t="shared" si="72"/>
        <v/>
      </c>
      <c r="F10085" s="93" t="str">
        <f t="shared" si="73"/>
        <v>10082_20240611_0001_R_0224.jpg</v>
      </c>
      <c r="G10085" s="75" t="s">
        <v>7320</v>
      </c>
      <c r="I10085" s="75">
        <v>1</v>
      </c>
      <c r="K10085" s="97">
        <v>0</v>
      </c>
      <c r="L10085"/>
      <c r="M10085"/>
      <c r="N10085"/>
      <c r="O10085"/>
      <c r="P10085" s="57"/>
      <c r="Q10085" s="57"/>
      <c r="R10085" s="57"/>
      <c r="S10085" s="97">
        <v>0</v>
      </c>
      <c r="T10085" s="57"/>
      <c r="U10085" s="57"/>
      <c r="V10085" s="57"/>
      <c r="W10085" s="57"/>
      <c r="X10085" s="97">
        <v>1</v>
      </c>
    </row>
    <row r="10086" spans="1:24" s="75" customFormat="1" x14ac:dyDescent="0.35">
      <c r="A10086" s="75">
        <v>10082</v>
      </c>
      <c r="B10086" s="75">
        <v>10083</v>
      </c>
      <c r="C10086">
        <v>146.12340073799899</v>
      </c>
      <c r="D10086">
        <v>-17.599376639100001</v>
      </c>
      <c r="E10086" s="92" t="str">
        <f t="shared" si="72"/>
        <v/>
      </c>
      <c r="F10086" s="93" t="str">
        <f t="shared" si="73"/>
        <v>10083_20240611_0001_R_0220.jpg</v>
      </c>
      <c r="G10086" s="75" t="s">
        <v>7321</v>
      </c>
      <c r="I10086" s="75">
        <v>1</v>
      </c>
      <c r="K10086" s="97">
        <v>0</v>
      </c>
      <c r="L10086"/>
      <c r="M10086"/>
      <c r="N10086"/>
      <c r="O10086"/>
      <c r="P10086" s="57"/>
      <c r="Q10086" s="57"/>
      <c r="R10086" s="57"/>
      <c r="S10086" s="97">
        <v>0</v>
      </c>
      <c r="T10086" s="57"/>
      <c r="U10086" s="57"/>
      <c r="V10086" s="57"/>
      <c r="W10086" s="57"/>
      <c r="X10086" s="97">
        <v>1</v>
      </c>
    </row>
    <row r="10087" spans="1:24" s="75" customFormat="1" x14ac:dyDescent="0.35">
      <c r="A10087" s="75">
        <v>10083</v>
      </c>
      <c r="B10087" s="75">
        <v>10084</v>
      </c>
      <c r="C10087">
        <v>146.12349009100001</v>
      </c>
      <c r="D10087">
        <v>-17.5993854680999</v>
      </c>
      <c r="E10087" s="92" t="str">
        <f t="shared" si="72"/>
        <v/>
      </c>
      <c r="F10087" s="93" t="str">
        <f t="shared" si="73"/>
        <v>10084_20240611_0001_R_0217.jpg</v>
      </c>
      <c r="G10087" s="75" t="s">
        <v>7322</v>
      </c>
      <c r="I10087" s="75">
        <v>1</v>
      </c>
      <c r="K10087" s="97">
        <v>0</v>
      </c>
      <c r="L10087"/>
      <c r="M10087"/>
      <c r="N10087"/>
      <c r="O10087"/>
      <c r="P10087" s="57"/>
      <c r="Q10087" s="57"/>
      <c r="R10087" s="57"/>
      <c r="S10087" s="97">
        <v>0</v>
      </c>
      <c r="T10087" s="57"/>
      <c r="U10087" s="57"/>
      <c r="V10087" s="57"/>
      <c r="W10087" s="57"/>
      <c r="X10087" s="97">
        <v>1</v>
      </c>
    </row>
    <row r="10088" spans="1:24" s="75" customFormat="1" x14ac:dyDescent="0.35">
      <c r="A10088" s="75">
        <v>10084</v>
      </c>
      <c r="B10088" s="75">
        <v>10085</v>
      </c>
      <c r="C10088">
        <v>146.123579444</v>
      </c>
      <c r="D10088">
        <v>-17.5993942972</v>
      </c>
      <c r="E10088" s="92">
        <f t="shared" si="72"/>
        <v>50</v>
      </c>
      <c r="F10088" s="93" t="str">
        <f t="shared" si="73"/>
        <v>10085_20240611_0001_R_0213.jpg</v>
      </c>
      <c r="G10088" s="75" t="s">
        <v>7323</v>
      </c>
      <c r="I10088" s="75">
        <v>1</v>
      </c>
      <c r="K10088" s="97">
        <v>0</v>
      </c>
      <c r="L10088"/>
      <c r="M10088"/>
      <c r="N10088"/>
      <c r="O10088"/>
      <c r="P10088" s="57"/>
      <c r="Q10088" s="57"/>
      <c r="R10088" s="57"/>
      <c r="S10088" s="97">
        <v>0</v>
      </c>
      <c r="T10088" s="57"/>
      <c r="U10088" s="57"/>
      <c r="V10088" s="57"/>
      <c r="W10088" s="57"/>
      <c r="X10088" s="97">
        <v>1</v>
      </c>
    </row>
    <row r="10089" spans="1:24" s="75" customFormat="1" x14ac:dyDescent="0.35">
      <c r="A10089" s="75">
        <v>10085</v>
      </c>
      <c r="B10089" s="75">
        <v>10086</v>
      </c>
      <c r="C10089">
        <v>146.123668796999</v>
      </c>
      <c r="D10089">
        <v>-17.599403126199899</v>
      </c>
      <c r="E10089" s="92" t="str">
        <f t="shared" si="72"/>
        <v/>
      </c>
      <c r="F10089" s="93" t="str">
        <f t="shared" si="73"/>
        <v>10086_20240611_0001_R_0209.jpg</v>
      </c>
      <c r="G10089" s="75" t="s">
        <v>7324</v>
      </c>
      <c r="I10089" s="75">
        <v>1</v>
      </c>
      <c r="K10089" s="97">
        <v>0</v>
      </c>
      <c r="L10089"/>
      <c r="M10089"/>
      <c r="N10089"/>
      <c r="O10089"/>
      <c r="P10089" s="57"/>
      <c r="Q10089" s="57"/>
      <c r="R10089" s="57"/>
      <c r="S10089" s="97">
        <v>0</v>
      </c>
      <c r="T10089" s="57"/>
      <c r="U10089" s="57"/>
      <c r="V10089" s="57"/>
      <c r="W10089" s="57"/>
      <c r="X10089" s="97">
        <v>1</v>
      </c>
    </row>
    <row r="10090" spans="1:24" s="75" customFormat="1" x14ac:dyDescent="0.35">
      <c r="A10090" s="75">
        <v>10086</v>
      </c>
      <c r="B10090" s="75">
        <v>10087</v>
      </c>
      <c r="C10090">
        <v>146.123758428</v>
      </c>
      <c r="D10090">
        <v>-17.599408004099899</v>
      </c>
      <c r="E10090" s="92" t="str">
        <f t="shared" si="72"/>
        <v/>
      </c>
      <c r="F10090" s="93" t="str">
        <f t="shared" si="73"/>
        <v>10087_20240611_0001_R_0204.jpg</v>
      </c>
      <c r="G10090" s="75" t="s">
        <v>7325</v>
      </c>
      <c r="I10090" s="75">
        <v>1</v>
      </c>
      <c r="K10090" s="97">
        <v>0</v>
      </c>
      <c r="L10090"/>
      <c r="M10090"/>
      <c r="N10090"/>
      <c r="O10090"/>
      <c r="P10090" s="57"/>
      <c r="Q10090" s="57"/>
      <c r="R10090" s="57"/>
      <c r="S10090" s="97">
        <v>0</v>
      </c>
      <c r="T10090" s="57"/>
      <c r="U10090" s="57"/>
      <c r="V10090" s="57"/>
      <c r="W10090" s="57"/>
      <c r="X10090" s="97">
        <v>2</v>
      </c>
    </row>
    <row r="10091" spans="1:24" s="75" customFormat="1" x14ac:dyDescent="0.35">
      <c r="A10091" s="75">
        <v>10087</v>
      </c>
      <c r="B10091" s="75">
        <v>10088</v>
      </c>
      <c r="C10091">
        <v>146.12384821699899</v>
      </c>
      <c r="D10091">
        <v>-17.5994106393</v>
      </c>
      <c r="E10091" s="92" t="str">
        <f t="shared" si="72"/>
        <v/>
      </c>
      <c r="F10091" s="93" t="str">
        <f t="shared" si="73"/>
        <v>10088_20240611_0001_R_0198.jpg</v>
      </c>
      <c r="G10091" s="75" t="s">
        <v>7326</v>
      </c>
      <c r="I10091" s="75">
        <v>1</v>
      </c>
      <c r="K10091" s="97">
        <v>0</v>
      </c>
      <c r="L10091"/>
      <c r="M10091"/>
      <c r="N10091"/>
      <c r="O10091"/>
      <c r="P10091" s="57"/>
      <c r="Q10091" s="57"/>
      <c r="R10091" s="57"/>
      <c r="S10091" s="97">
        <v>0</v>
      </c>
      <c r="T10091" s="57"/>
      <c r="U10091" s="57"/>
      <c r="V10091" s="57"/>
      <c r="W10091" s="57"/>
      <c r="X10091" s="97">
        <v>1</v>
      </c>
    </row>
    <row r="10092" spans="1:24" s="75" customFormat="1" x14ac:dyDescent="0.35">
      <c r="A10092" s="75">
        <v>10088</v>
      </c>
      <c r="B10092" s="75">
        <v>10089</v>
      </c>
      <c r="C10092">
        <v>146.123938006</v>
      </c>
      <c r="D10092">
        <v>-17.599413274500002</v>
      </c>
      <c r="E10092" s="92" t="str">
        <f t="shared" si="72"/>
        <v/>
      </c>
      <c r="F10092" s="93" t="str">
        <f t="shared" si="73"/>
        <v>10089_20240611_0001_R_0192.jpg</v>
      </c>
      <c r="G10092" s="75" t="s">
        <v>7327</v>
      </c>
      <c r="I10092" s="75">
        <v>1</v>
      </c>
      <c r="K10092" s="97">
        <v>0</v>
      </c>
      <c r="L10092"/>
      <c r="M10092"/>
      <c r="N10092"/>
      <c r="O10092"/>
      <c r="P10092" s="57"/>
      <c r="Q10092" s="57"/>
      <c r="R10092" s="57"/>
      <c r="S10092" s="97">
        <v>0</v>
      </c>
      <c r="T10092" s="57"/>
      <c r="U10092" s="57"/>
      <c r="V10092" s="57"/>
      <c r="W10092" s="57"/>
      <c r="X10092" s="97">
        <v>1</v>
      </c>
    </row>
    <row r="10093" spans="1:24" s="75" customFormat="1" x14ac:dyDescent="0.35">
      <c r="A10093" s="75">
        <v>10089</v>
      </c>
      <c r="B10093" s="75">
        <v>10090</v>
      </c>
      <c r="C10093">
        <v>146.12402779499899</v>
      </c>
      <c r="D10093">
        <v>-17.5994159096999</v>
      </c>
      <c r="E10093" s="92">
        <f t="shared" si="72"/>
        <v>50</v>
      </c>
      <c r="F10093" s="93" t="str">
        <f t="shared" si="73"/>
        <v>10090_20240611_0001_R_0184.jpg</v>
      </c>
      <c r="G10093" s="75" t="s">
        <v>7328</v>
      </c>
      <c r="I10093" s="75">
        <v>1</v>
      </c>
      <c r="K10093" s="97">
        <v>0</v>
      </c>
      <c r="L10093"/>
      <c r="M10093"/>
      <c r="N10093"/>
      <c r="O10093"/>
      <c r="P10093" s="57"/>
      <c r="Q10093" s="57"/>
      <c r="R10093" s="57"/>
      <c r="S10093" s="97">
        <v>0</v>
      </c>
      <c r="T10093" s="57"/>
      <c r="U10093" s="57"/>
      <c r="V10093" s="57"/>
      <c r="W10093" s="57"/>
      <c r="X10093" s="97">
        <v>2</v>
      </c>
    </row>
    <row r="10094" spans="1:24" s="75" customFormat="1" x14ac:dyDescent="0.35">
      <c r="A10094" s="75">
        <v>10090</v>
      </c>
      <c r="B10094" s="75">
        <v>10091</v>
      </c>
      <c r="C10094">
        <v>146.124117584</v>
      </c>
      <c r="D10094">
        <v>-17.599418544900001</v>
      </c>
      <c r="E10094" s="92" t="str">
        <f t="shared" si="72"/>
        <v/>
      </c>
      <c r="F10094" s="93" t="str">
        <f t="shared" si="73"/>
        <v>10091_20240611_0001_R_0179.jpg</v>
      </c>
      <c r="G10094" s="75" t="s">
        <v>7329</v>
      </c>
      <c r="I10094" s="75">
        <v>1</v>
      </c>
      <c r="K10094" s="97">
        <v>0</v>
      </c>
      <c r="L10094"/>
      <c r="M10094"/>
      <c r="N10094"/>
      <c r="O10094"/>
      <c r="P10094" s="57"/>
      <c r="Q10094" s="57"/>
      <c r="R10094" s="57"/>
      <c r="S10094" s="97">
        <v>0</v>
      </c>
      <c r="T10094" s="57"/>
      <c r="U10094" s="57"/>
      <c r="V10094" s="57"/>
      <c r="W10094" s="57"/>
      <c r="X10094" s="97">
        <v>2</v>
      </c>
    </row>
    <row r="10095" spans="1:24" s="75" customFormat="1" x14ac:dyDescent="0.35">
      <c r="A10095" s="75">
        <v>10091</v>
      </c>
      <c r="B10095" s="75">
        <v>10092</v>
      </c>
      <c r="C10095">
        <v>146.12420736000001</v>
      </c>
      <c r="D10095">
        <v>-17.599416807200001</v>
      </c>
      <c r="E10095" s="92" t="str">
        <f t="shared" si="72"/>
        <v/>
      </c>
      <c r="F10095" s="93" t="str">
        <f t="shared" si="73"/>
        <v>10092_20240611_0001_R_0175.jpg</v>
      </c>
      <c r="G10095" s="75" t="s">
        <v>7330</v>
      </c>
      <c r="I10095" s="75">
        <v>1</v>
      </c>
      <c r="K10095" s="97">
        <v>0</v>
      </c>
      <c r="L10095"/>
      <c r="M10095"/>
      <c r="N10095"/>
      <c r="O10095"/>
      <c r="P10095" s="57"/>
      <c r="Q10095" s="57"/>
      <c r="R10095" s="57"/>
      <c r="S10095" s="97">
        <v>0</v>
      </c>
      <c r="T10095" s="57"/>
      <c r="U10095" s="57"/>
      <c r="V10095" s="57"/>
      <c r="W10095" s="57"/>
      <c r="X10095" s="97">
        <v>1</v>
      </c>
    </row>
    <row r="10096" spans="1:24" s="75" customFormat="1" x14ac:dyDescent="0.35">
      <c r="A10096" s="75">
        <v>10092</v>
      </c>
      <c r="B10096" s="75">
        <v>10093</v>
      </c>
      <c r="C10096">
        <v>146.12429713200001</v>
      </c>
      <c r="D10096">
        <v>-17.599413691599899</v>
      </c>
      <c r="E10096" s="92" t="str">
        <f t="shared" si="72"/>
        <v/>
      </c>
      <c r="F10096" s="93" t="str">
        <f t="shared" si="73"/>
        <v>10093_20240611_0001_R_0172.jpg</v>
      </c>
      <c r="G10096" s="75" t="s">
        <v>7331</v>
      </c>
      <c r="I10096" s="75">
        <v>1</v>
      </c>
      <c r="K10096" s="97">
        <v>0</v>
      </c>
      <c r="L10096"/>
      <c r="M10096"/>
      <c r="N10096"/>
      <c r="O10096"/>
      <c r="P10096" s="57"/>
      <c r="Q10096" s="57"/>
      <c r="R10096" s="57"/>
      <c r="S10096" s="97">
        <v>0</v>
      </c>
      <c r="T10096" s="57"/>
      <c r="U10096" s="57"/>
      <c r="V10096" s="57"/>
      <c r="W10096" s="57"/>
      <c r="X10096" s="97">
        <v>1</v>
      </c>
    </row>
    <row r="10097" spans="1:24" s="75" customFormat="1" x14ac:dyDescent="0.35">
      <c r="A10097" s="75">
        <v>10093</v>
      </c>
      <c r="B10097" s="75">
        <v>10094</v>
      </c>
      <c r="C10097">
        <v>146.124386904</v>
      </c>
      <c r="D10097">
        <v>-17.599410576099899</v>
      </c>
      <c r="E10097" s="92" t="str">
        <f t="shared" si="72"/>
        <v/>
      </c>
      <c r="F10097" s="93" t="str">
        <f t="shared" si="73"/>
        <v>10094_20240611_0001_R_0167.jpg</v>
      </c>
      <c r="G10097" s="75" t="s">
        <v>7332</v>
      </c>
      <c r="I10097" s="75">
        <v>1</v>
      </c>
      <c r="K10097" s="97">
        <v>0</v>
      </c>
      <c r="L10097"/>
      <c r="M10097"/>
      <c r="N10097"/>
      <c r="O10097"/>
      <c r="P10097" s="57"/>
      <c r="Q10097" s="57"/>
      <c r="R10097" s="57"/>
      <c r="S10097" s="97">
        <v>0</v>
      </c>
      <c r="T10097" s="57"/>
      <c r="U10097" s="57"/>
      <c r="V10097" s="57"/>
      <c r="W10097" s="57"/>
      <c r="X10097" s="97">
        <v>1</v>
      </c>
    </row>
    <row r="10098" spans="1:24" s="75" customFormat="1" x14ac:dyDescent="0.35">
      <c r="A10098" s="75">
        <v>10094</v>
      </c>
      <c r="B10098" s="75">
        <v>10095</v>
      </c>
      <c r="C10098">
        <v>146.124476713999</v>
      </c>
      <c r="D10098">
        <v>-17.599409762000001</v>
      </c>
      <c r="E10098" s="92">
        <f t="shared" si="72"/>
        <v>50</v>
      </c>
      <c r="F10098" s="93" t="str">
        <f t="shared" si="73"/>
        <v>10095_20240611_0001_R_0162.jpg</v>
      </c>
      <c r="G10098" s="75" t="s">
        <v>7333</v>
      </c>
      <c r="I10098" s="75">
        <v>1</v>
      </c>
      <c r="K10098" s="97">
        <v>0</v>
      </c>
      <c r="L10098"/>
      <c r="M10098"/>
      <c r="N10098"/>
      <c r="O10098"/>
      <c r="P10098" s="57"/>
      <c r="Q10098" s="57"/>
      <c r="R10098" s="57"/>
      <c r="S10098" s="97">
        <v>0</v>
      </c>
      <c r="T10098" s="57"/>
      <c r="U10098" s="57"/>
      <c r="V10098" s="57"/>
      <c r="W10098" s="57"/>
      <c r="X10098" s="97">
        <v>1</v>
      </c>
    </row>
    <row r="10099" spans="1:24" s="75" customFormat="1" x14ac:dyDescent="0.35">
      <c r="A10099" s="75">
        <v>10095</v>
      </c>
      <c r="B10099" s="75">
        <v>10096</v>
      </c>
      <c r="C10099">
        <v>146.124566544999</v>
      </c>
      <c r="D10099">
        <v>-17.599410159800001</v>
      </c>
      <c r="E10099" s="92" t="str">
        <f t="shared" si="72"/>
        <v/>
      </c>
      <c r="F10099" s="93" t="str">
        <f t="shared" si="73"/>
        <v>10096_20240611_0001_R_0158.jpg</v>
      </c>
      <c r="G10099" s="75" t="s">
        <v>7334</v>
      </c>
      <c r="I10099" s="75">
        <v>1</v>
      </c>
      <c r="K10099" s="97">
        <v>0</v>
      </c>
      <c r="L10099"/>
      <c r="M10099"/>
      <c r="N10099"/>
      <c r="O10099"/>
      <c r="P10099" s="57"/>
      <c r="Q10099" s="57"/>
      <c r="R10099" s="57"/>
      <c r="S10099" s="97">
        <v>0</v>
      </c>
      <c r="T10099" s="57"/>
      <c r="U10099" s="57"/>
      <c r="V10099" s="57"/>
      <c r="W10099" s="57"/>
      <c r="X10099" s="97">
        <v>1</v>
      </c>
    </row>
    <row r="10100" spans="1:24" s="75" customFormat="1" x14ac:dyDescent="0.35">
      <c r="A10100" s="75">
        <v>10096</v>
      </c>
      <c r="B10100" s="75">
        <v>10097</v>
      </c>
      <c r="C10100">
        <v>146.124656375</v>
      </c>
      <c r="D10100">
        <v>-17.599410557700001</v>
      </c>
      <c r="E10100" s="92" t="str">
        <f t="shared" si="72"/>
        <v/>
      </c>
      <c r="F10100" s="93" t="str">
        <f t="shared" si="73"/>
        <v>10097_20240611_0001_R_0154.jpg</v>
      </c>
      <c r="G10100" s="75" t="s">
        <v>7335</v>
      </c>
      <c r="I10100" s="75">
        <v>1</v>
      </c>
      <c r="K10100" s="97">
        <v>0</v>
      </c>
      <c r="L10100"/>
      <c r="M10100"/>
      <c r="N10100"/>
      <c r="O10100"/>
      <c r="P10100" s="57"/>
      <c r="Q10100" s="57"/>
      <c r="R10100" s="57"/>
      <c r="S10100" s="97">
        <v>0</v>
      </c>
      <c r="T10100" s="57"/>
      <c r="U10100" s="57"/>
      <c r="V10100" s="57"/>
      <c r="W10100" s="57"/>
      <c r="X10100" s="97">
        <v>1</v>
      </c>
    </row>
    <row r="10101" spans="1:24" s="75" customFormat="1" x14ac:dyDescent="0.35">
      <c r="A10101" s="75">
        <v>10097</v>
      </c>
      <c r="B10101" s="75">
        <v>10098</v>
      </c>
      <c r="C10101">
        <v>146.124746205999</v>
      </c>
      <c r="D10101">
        <v>-17.5994109556</v>
      </c>
      <c r="E10101" s="92" t="str">
        <f t="shared" si="72"/>
        <v/>
      </c>
      <c r="F10101" s="93" t="str">
        <f t="shared" si="73"/>
        <v>10098_20240611_0001_R_0150.jpg</v>
      </c>
      <c r="G10101" s="75" t="s">
        <v>7336</v>
      </c>
      <c r="I10101" s="75">
        <v>1</v>
      </c>
      <c r="K10101" s="97">
        <v>0</v>
      </c>
      <c r="L10101"/>
      <c r="M10101"/>
      <c r="N10101"/>
      <c r="O10101"/>
      <c r="P10101" s="57"/>
      <c r="Q10101" s="57"/>
      <c r="R10101" s="57"/>
      <c r="S10101" s="97">
        <v>0</v>
      </c>
      <c r="T10101" s="57"/>
      <c r="U10101" s="57"/>
      <c r="V10101" s="57"/>
      <c r="W10101" s="57"/>
      <c r="X10101" s="97">
        <v>1</v>
      </c>
    </row>
    <row r="10102" spans="1:24" s="75" customFormat="1" x14ac:dyDescent="0.35">
      <c r="A10102" s="75">
        <v>10098</v>
      </c>
      <c r="B10102" s="75">
        <v>10099</v>
      </c>
      <c r="C10102">
        <v>146.12483584</v>
      </c>
      <c r="D10102">
        <v>-17.5994148254</v>
      </c>
      <c r="E10102" s="92" t="str">
        <f t="shared" si="72"/>
        <v/>
      </c>
      <c r="F10102" s="93" t="str">
        <f t="shared" si="73"/>
        <v>10099_20240611_0001_R_0147.jpg</v>
      </c>
      <c r="G10102" s="75" t="s">
        <v>7337</v>
      </c>
      <c r="I10102" s="75">
        <v>1</v>
      </c>
      <c r="K10102" s="97">
        <v>0</v>
      </c>
      <c r="L10102"/>
      <c r="M10102"/>
      <c r="N10102"/>
      <c r="O10102"/>
      <c r="P10102" s="57"/>
      <c r="Q10102" s="57"/>
      <c r="R10102" s="57"/>
      <c r="S10102" s="97">
        <v>0</v>
      </c>
      <c r="T10102" s="57"/>
      <c r="U10102" s="57"/>
      <c r="V10102" s="57"/>
      <c r="W10102" s="57"/>
      <c r="X10102" s="97">
        <v>1</v>
      </c>
    </row>
    <row r="10103" spans="1:24" s="75" customFormat="1" x14ac:dyDescent="0.35">
      <c r="A10103" s="75">
        <v>10099</v>
      </c>
      <c r="B10103" s="75">
        <v>10100</v>
      </c>
      <c r="C10103">
        <v>146.12492519400001</v>
      </c>
      <c r="D10103">
        <v>-17.5994236413</v>
      </c>
      <c r="E10103" s="92">
        <f t="shared" si="72"/>
        <v>50</v>
      </c>
      <c r="F10103" s="93" t="str">
        <f t="shared" si="73"/>
        <v>10100_20240611_0001_R_0142.jpg</v>
      </c>
      <c r="G10103" s="75" t="s">
        <v>7338</v>
      </c>
      <c r="I10103" s="75">
        <v>1</v>
      </c>
      <c r="K10103" s="97">
        <v>0</v>
      </c>
      <c r="L10103"/>
      <c r="M10103"/>
      <c r="N10103"/>
      <c r="O10103"/>
      <c r="P10103" s="57"/>
      <c r="Q10103" s="57"/>
      <c r="R10103" s="57"/>
      <c r="S10103" s="97">
        <v>0</v>
      </c>
      <c r="T10103" s="57"/>
      <c r="U10103" s="57"/>
      <c r="V10103" s="57"/>
      <c r="W10103" s="57"/>
      <c r="X10103" s="97">
        <v>1</v>
      </c>
    </row>
    <row r="10104" spans="1:24" s="75" customFormat="1" x14ac:dyDescent="0.35">
      <c r="A10104" s="75">
        <v>10100</v>
      </c>
      <c r="B10104" s="75">
        <v>10101</v>
      </c>
      <c r="C10104">
        <v>146.125014547999</v>
      </c>
      <c r="D10104">
        <v>-17.599432457300001</v>
      </c>
      <c r="E10104" s="92" t="str">
        <f t="shared" si="72"/>
        <v/>
      </c>
      <c r="F10104" s="93" t="str">
        <f t="shared" si="73"/>
        <v>10101_20240611_0001_R_0138.jpg</v>
      </c>
      <c r="G10104" s="75" t="s">
        <v>7339</v>
      </c>
      <c r="I10104" s="75">
        <v>1</v>
      </c>
      <c r="K10104" s="97">
        <v>0</v>
      </c>
      <c r="L10104"/>
      <c r="M10104"/>
      <c r="N10104"/>
      <c r="O10104"/>
      <c r="P10104" s="57"/>
      <c r="Q10104" s="57"/>
      <c r="R10104" s="57"/>
      <c r="S10104" s="97">
        <v>0</v>
      </c>
      <c r="T10104" s="57"/>
      <c r="U10104" s="57"/>
      <c r="V10104" s="57"/>
      <c r="W10104" s="57"/>
      <c r="X10104" s="97">
        <v>1</v>
      </c>
    </row>
    <row r="10105" spans="1:24" s="75" customFormat="1" x14ac:dyDescent="0.35">
      <c r="A10105" s="75">
        <v>10101</v>
      </c>
      <c r="B10105" s="75">
        <v>10102</v>
      </c>
      <c r="C10105">
        <v>146.12510390200001</v>
      </c>
      <c r="D10105">
        <v>-17.5994412732</v>
      </c>
      <c r="E10105" s="92" t="str">
        <f t="shared" si="72"/>
        <v/>
      </c>
      <c r="F10105" s="93" t="str">
        <f t="shared" si="73"/>
        <v>10102_20240611_0001_R_0134.jpg</v>
      </c>
      <c r="G10105" s="75" t="s">
        <v>7340</v>
      </c>
      <c r="I10105" s="75">
        <v>1</v>
      </c>
      <c r="K10105" s="97">
        <v>0</v>
      </c>
      <c r="L10105"/>
      <c r="M10105"/>
      <c r="N10105"/>
      <c r="O10105"/>
      <c r="P10105" s="57"/>
      <c r="Q10105" s="57"/>
      <c r="R10105" s="57"/>
      <c r="S10105" s="97">
        <v>0</v>
      </c>
      <c r="T10105" s="57"/>
      <c r="U10105" s="57"/>
      <c r="V10105" s="57"/>
      <c r="W10105" s="57"/>
      <c r="X10105" s="97">
        <v>1</v>
      </c>
    </row>
    <row r="10106" spans="1:24" s="75" customFormat="1" x14ac:dyDescent="0.35">
      <c r="A10106" s="75">
        <v>10102</v>
      </c>
      <c r="B10106" s="75">
        <v>10103</v>
      </c>
      <c r="C10106">
        <v>146.12519325599899</v>
      </c>
      <c r="D10106">
        <v>-17.599450089200001</v>
      </c>
      <c r="E10106" s="92" t="str">
        <f t="shared" si="72"/>
        <v/>
      </c>
      <c r="F10106" s="93" t="str">
        <f t="shared" si="73"/>
        <v>10103_20240611_0001_R_0129.jpg</v>
      </c>
      <c r="G10106" s="75" t="s">
        <v>7341</v>
      </c>
      <c r="I10106" s="75">
        <v>1</v>
      </c>
      <c r="K10106" s="97">
        <v>0</v>
      </c>
      <c r="L10106"/>
      <c r="M10106"/>
      <c r="N10106"/>
      <c r="O10106"/>
      <c r="P10106" s="57"/>
      <c r="Q10106" s="57"/>
      <c r="R10106" s="57"/>
      <c r="S10106" s="97">
        <v>0</v>
      </c>
      <c r="T10106" s="57"/>
      <c r="U10106" s="57"/>
      <c r="V10106" s="57"/>
      <c r="W10106" s="57"/>
      <c r="X10106" s="97">
        <v>1</v>
      </c>
    </row>
    <row r="10107" spans="1:24" s="75" customFormat="1" x14ac:dyDescent="0.35">
      <c r="A10107" s="75">
        <v>10103</v>
      </c>
      <c r="B10107" s="75">
        <v>10104</v>
      </c>
      <c r="C10107">
        <v>146.12528261099899</v>
      </c>
      <c r="D10107">
        <v>-17.599458905100001</v>
      </c>
      <c r="E10107" s="92" t="str">
        <f t="shared" si="72"/>
        <v/>
      </c>
      <c r="F10107" s="93" t="str">
        <f t="shared" si="73"/>
        <v>10104_20240611_0001_R_0124.jpg</v>
      </c>
      <c r="G10107" s="75" t="s">
        <v>7342</v>
      </c>
      <c r="I10107" s="75">
        <v>1</v>
      </c>
      <c r="K10107" s="97">
        <v>0</v>
      </c>
      <c r="L10107"/>
      <c r="M10107"/>
      <c r="N10107"/>
      <c r="O10107"/>
      <c r="P10107" s="57"/>
      <c r="Q10107" s="57"/>
      <c r="R10107" s="57"/>
      <c r="S10107" s="97">
        <v>0</v>
      </c>
      <c r="T10107" s="57"/>
      <c r="U10107" s="57"/>
      <c r="V10107" s="57"/>
      <c r="W10107" s="57"/>
      <c r="X10107" s="97">
        <v>1</v>
      </c>
    </row>
    <row r="10108" spans="1:24" s="75" customFormat="1" x14ac:dyDescent="0.35">
      <c r="A10108" s="75">
        <v>10104</v>
      </c>
      <c r="B10108" s="75">
        <v>10105</v>
      </c>
      <c r="C10108">
        <v>146.125371964999</v>
      </c>
      <c r="D10108">
        <v>-17.599467721100002</v>
      </c>
      <c r="E10108" s="92">
        <f t="shared" si="72"/>
        <v>50</v>
      </c>
      <c r="F10108" s="93" t="str">
        <f t="shared" si="73"/>
        <v>10105_20240611_0001_R_0119.jpg</v>
      </c>
      <c r="G10108" s="75" t="s">
        <v>7343</v>
      </c>
      <c r="I10108" s="75">
        <v>1</v>
      </c>
      <c r="K10108" s="97">
        <v>0</v>
      </c>
      <c r="L10108"/>
      <c r="M10108"/>
      <c r="N10108"/>
      <c r="O10108"/>
      <c r="P10108" s="57"/>
      <c r="Q10108" s="57"/>
      <c r="R10108" s="57"/>
      <c r="S10108" s="97">
        <v>0</v>
      </c>
      <c r="T10108" s="57"/>
      <c r="U10108" s="57"/>
      <c r="V10108" s="57"/>
      <c r="W10108" s="57"/>
      <c r="X10108" s="97">
        <v>1</v>
      </c>
    </row>
    <row r="10109" spans="1:24" s="75" customFormat="1" x14ac:dyDescent="0.35">
      <c r="A10109" s="75">
        <v>10105</v>
      </c>
      <c r="B10109" s="75">
        <v>10106</v>
      </c>
      <c r="C10109">
        <v>146.12546070900001</v>
      </c>
      <c r="D10109">
        <v>-17.599468159200001</v>
      </c>
      <c r="E10109" s="92" t="str">
        <f t="shared" si="72"/>
        <v/>
      </c>
      <c r="F10109" s="93" t="str">
        <f t="shared" si="73"/>
        <v>10106_20240611_0001_R_0114.jpg</v>
      </c>
      <c r="G10109" s="75" t="s">
        <v>7344</v>
      </c>
      <c r="I10109" s="75">
        <v>1</v>
      </c>
      <c r="K10109" s="97">
        <v>0</v>
      </c>
      <c r="L10109"/>
      <c r="M10109"/>
      <c r="N10109"/>
      <c r="O10109"/>
      <c r="P10109" s="57"/>
      <c r="Q10109" s="57"/>
      <c r="R10109" s="57"/>
      <c r="S10109" s="97">
        <v>0</v>
      </c>
      <c r="T10109" s="57"/>
      <c r="U10109" s="57"/>
      <c r="V10109" s="57"/>
      <c r="W10109" s="57"/>
      <c r="X10109" s="97">
        <v>1</v>
      </c>
    </row>
    <row r="10110" spans="1:24" s="75" customFormat="1" x14ac:dyDescent="0.35">
      <c r="A10110" s="75">
        <v>10106</v>
      </c>
      <c r="B10110" s="75">
        <v>10107</v>
      </c>
      <c r="C10110">
        <v>146.125542238999</v>
      </c>
      <c r="D10110">
        <v>-17.599438027600002</v>
      </c>
      <c r="E10110" s="92" t="str">
        <f t="shared" si="72"/>
        <v/>
      </c>
      <c r="F10110" s="93" t="str">
        <f t="shared" si="73"/>
        <v>10107_20240611_0001_R_0108.jpg</v>
      </c>
      <c r="G10110" s="75" t="s">
        <v>7345</v>
      </c>
      <c r="I10110" s="75">
        <v>1</v>
      </c>
      <c r="K10110" s="97">
        <v>0</v>
      </c>
      <c r="L10110"/>
      <c r="M10110"/>
      <c r="N10110"/>
      <c r="O10110"/>
      <c r="P10110" s="57"/>
      <c r="Q10110" s="57"/>
      <c r="R10110" s="57"/>
      <c r="S10110" s="97">
        <v>0</v>
      </c>
      <c r="T10110" s="57"/>
      <c r="U10110" s="57"/>
      <c r="V10110" s="57"/>
      <c r="W10110" s="57"/>
      <c r="X10110" s="97">
        <v>1</v>
      </c>
    </row>
    <row r="10111" spans="1:24" s="75" customFormat="1" x14ac:dyDescent="0.35">
      <c r="A10111" s="75">
        <v>10107</v>
      </c>
      <c r="B10111" s="75">
        <v>10108</v>
      </c>
      <c r="C10111">
        <v>146.12560585899899</v>
      </c>
      <c r="D10111">
        <v>-17.5993775747</v>
      </c>
      <c r="E10111" s="92" t="str">
        <f t="shared" si="72"/>
        <v/>
      </c>
      <c r="F10111" s="93" t="str">
        <f t="shared" si="73"/>
        <v>10108_20240611_0001_R_0104.jpg</v>
      </c>
      <c r="G10111" s="75" t="s">
        <v>7346</v>
      </c>
      <c r="I10111" s="75">
        <v>1</v>
      </c>
      <c r="K10111" s="97">
        <v>0</v>
      </c>
      <c r="L10111"/>
      <c r="M10111"/>
      <c r="N10111"/>
      <c r="O10111"/>
      <c r="P10111" s="57"/>
      <c r="Q10111" s="57"/>
      <c r="R10111" s="57"/>
      <c r="S10111" s="97">
        <v>0</v>
      </c>
      <c r="T10111" s="57"/>
      <c r="U10111" s="57"/>
      <c r="V10111" s="57"/>
      <c r="W10111" s="57"/>
      <c r="X10111" s="97">
        <v>1</v>
      </c>
    </row>
    <row r="10112" spans="1:24" s="75" customFormat="1" x14ac:dyDescent="0.35">
      <c r="A10112" s="75">
        <v>10108</v>
      </c>
      <c r="B10112" s="75">
        <v>10109</v>
      </c>
      <c r="C10112">
        <v>146.125681506999</v>
      </c>
      <c r="D10112">
        <v>-17.5993371305</v>
      </c>
      <c r="E10112" s="92" t="str">
        <f t="shared" si="72"/>
        <v/>
      </c>
      <c r="F10112" s="93" t="str">
        <f t="shared" si="73"/>
        <v>10109_20240611_0001_R_0100.jpg</v>
      </c>
      <c r="G10112" s="75" t="s">
        <v>7347</v>
      </c>
      <c r="I10112" s="75">
        <v>1</v>
      </c>
      <c r="K10112" s="97">
        <v>1</v>
      </c>
      <c r="L10112"/>
      <c r="M10112"/>
      <c r="N10112"/>
      <c r="O10112"/>
      <c r="P10112" s="57"/>
      <c r="Q10112" s="57"/>
      <c r="R10112" s="57"/>
      <c r="S10112" s="97">
        <v>0</v>
      </c>
      <c r="T10112" s="57"/>
      <c r="U10112" s="57"/>
      <c r="V10112" s="57"/>
      <c r="W10112" s="57"/>
      <c r="X10112" s="97">
        <v>1</v>
      </c>
    </row>
    <row r="10113" spans="1:24" s="75" customFormat="1" x14ac:dyDescent="0.35">
      <c r="A10113" s="75">
        <v>10109</v>
      </c>
      <c r="B10113" s="75">
        <v>10110</v>
      </c>
      <c r="C10113">
        <v>146.125771211</v>
      </c>
      <c r="D10113">
        <v>-17.5993336625999</v>
      </c>
      <c r="E10113" s="92">
        <f t="shared" si="72"/>
        <v>50</v>
      </c>
      <c r="F10113" s="93" t="str">
        <f t="shared" si="73"/>
        <v>10110_20240611_0001_R_0095.jpg</v>
      </c>
      <c r="G10113" s="75" t="s">
        <v>7348</v>
      </c>
      <c r="I10113" s="75">
        <v>1</v>
      </c>
      <c r="K10113" s="97">
        <v>0</v>
      </c>
      <c r="L10113"/>
      <c r="M10113"/>
      <c r="N10113"/>
      <c r="O10113"/>
      <c r="P10113" s="57"/>
      <c r="Q10113" s="57"/>
      <c r="R10113" s="57"/>
      <c r="S10113" s="97">
        <v>0</v>
      </c>
      <c r="T10113" s="57"/>
      <c r="U10113" s="57"/>
      <c r="V10113" s="57"/>
      <c r="W10113" s="57"/>
      <c r="X10113" s="97">
        <v>1</v>
      </c>
    </row>
    <row r="10114" spans="1:24" s="75" customFormat="1" x14ac:dyDescent="0.35">
      <c r="A10114" s="75">
        <v>10110</v>
      </c>
      <c r="B10114" s="75">
        <v>10111</v>
      </c>
      <c r="C10114">
        <v>146.125860942</v>
      </c>
      <c r="D10114">
        <v>-17.599336976499899</v>
      </c>
      <c r="E10114" s="92" t="str">
        <f t="shared" si="72"/>
        <v/>
      </c>
      <c r="F10114" s="93" t="str">
        <f t="shared" si="73"/>
        <v>10111_20240611_0001_R_0091.jpg</v>
      </c>
      <c r="G10114" s="75" t="s">
        <v>7349</v>
      </c>
      <c r="I10114" s="75">
        <v>1</v>
      </c>
      <c r="K10114" s="97">
        <v>0</v>
      </c>
      <c r="L10114"/>
      <c r="M10114"/>
      <c r="N10114"/>
      <c r="O10114"/>
      <c r="P10114" s="57"/>
      <c r="Q10114" s="57"/>
      <c r="R10114" s="57"/>
      <c r="S10114" s="97">
        <v>0</v>
      </c>
      <c r="T10114" s="57"/>
      <c r="U10114" s="57"/>
      <c r="V10114" s="57"/>
      <c r="W10114" s="57"/>
      <c r="X10114" s="97">
        <v>1</v>
      </c>
    </row>
    <row r="10115" spans="1:24" s="75" customFormat="1" x14ac:dyDescent="0.35">
      <c r="A10115" s="75">
        <v>10111</v>
      </c>
      <c r="B10115" s="75">
        <v>10112</v>
      </c>
      <c r="C10115">
        <v>146.125950574999</v>
      </c>
      <c r="D10115">
        <v>-17.5993368136999</v>
      </c>
      <c r="E10115" s="92" t="str">
        <f t="shared" si="72"/>
        <v/>
      </c>
      <c r="F10115" s="93" t="str">
        <f t="shared" si="73"/>
        <v>10112_20240611_0001_R_0088.jpg</v>
      </c>
      <c r="G10115" s="75" t="s">
        <v>7350</v>
      </c>
      <c r="I10115" s="75">
        <v>1</v>
      </c>
      <c r="K10115" s="97">
        <v>0</v>
      </c>
      <c r="L10115"/>
      <c r="M10115"/>
      <c r="N10115"/>
      <c r="O10115"/>
      <c r="P10115" s="57"/>
      <c r="Q10115" s="57"/>
      <c r="R10115" s="57"/>
      <c r="S10115" s="97">
        <v>0</v>
      </c>
      <c r="T10115" s="57"/>
      <c r="U10115" s="57"/>
      <c r="V10115" s="57"/>
      <c r="W10115" s="57"/>
      <c r="X10115" s="97">
        <v>1</v>
      </c>
    </row>
    <row r="10116" spans="1:24" s="75" customFormat="1" x14ac:dyDescent="0.35">
      <c r="A10116" s="75">
        <v>10112</v>
      </c>
      <c r="B10116" s="75">
        <v>10113</v>
      </c>
      <c r="C10116">
        <v>146.12603689700001</v>
      </c>
      <c r="D10116">
        <v>-17.599315915599899</v>
      </c>
      <c r="E10116" s="92" t="str">
        <f t="shared" si="72"/>
        <v/>
      </c>
      <c r="F10116" s="93" t="str">
        <f t="shared" si="73"/>
        <v>10113_20240611_0001_R_0085.jpg</v>
      </c>
      <c r="G10116" s="75" t="s">
        <v>7351</v>
      </c>
      <c r="I10116" s="75">
        <v>1</v>
      </c>
      <c r="K10116" s="97">
        <v>0</v>
      </c>
      <c r="L10116"/>
      <c r="M10116"/>
      <c r="N10116"/>
      <c r="O10116"/>
      <c r="P10116" s="57"/>
      <c r="Q10116" s="57"/>
      <c r="R10116" s="57"/>
      <c r="S10116" s="97">
        <v>0</v>
      </c>
      <c r="T10116" s="57"/>
      <c r="U10116" s="57"/>
      <c r="V10116" s="57"/>
      <c r="W10116" s="57"/>
      <c r="X10116" s="97">
        <v>2</v>
      </c>
    </row>
    <row r="10117" spans="1:24" s="75" customFormat="1" x14ac:dyDescent="0.35">
      <c r="A10117" s="75">
        <v>10113</v>
      </c>
      <c r="B10117" s="75">
        <v>10114</v>
      </c>
      <c r="C10117">
        <v>146.126109286999</v>
      </c>
      <c r="D10117">
        <v>-17.599266873200001</v>
      </c>
      <c r="E10117" s="92" t="str">
        <f t="shared" si="72"/>
        <v/>
      </c>
      <c r="F10117" s="93" t="str">
        <f t="shared" si="73"/>
        <v>10114_20240611_0001_R_0082.jpg</v>
      </c>
      <c r="G10117" s="75" t="s">
        <v>7352</v>
      </c>
      <c r="I10117" s="75">
        <v>1</v>
      </c>
      <c r="K10117" s="97">
        <v>0</v>
      </c>
      <c r="L10117"/>
      <c r="M10117"/>
      <c r="N10117"/>
      <c r="O10117"/>
      <c r="P10117" s="57"/>
      <c r="Q10117" s="57"/>
      <c r="R10117" s="57"/>
      <c r="S10117" s="97">
        <v>0</v>
      </c>
      <c r="T10117" s="57"/>
      <c r="U10117" s="57"/>
      <c r="V10117" s="57"/>
      <c r="W10117" s="57"/>
      <c r="X10117" s="97">
        <v>1</v>
      </c>
    </row>
    <row r="10118" spans="1:24" s="75" customFormat="1" x14ac:dyDescent="0.35">
      <c r="A10118" s="75">
        <v>10114</v>
      </c>
      <c r="B10118" s="75">
        <v>10115</v>
      </c>
      <c r="C10118">
        <v>146.126162768999</v>
      </c>
      <c r="D10118">
        <v>-17.599199436100001</v>
      </c>
      <c r="E10118" s="92">
        <f t="shared" si="72"/>
        <v>50</v>
      </c>
      <c r="F10118" s="93" t="str">
        <f t="shared" si="73"/>
        <v>10115_20240611_0001_R_0080.jpg</v>
      </c>
      <c r="G10118" s="75" t="s">
        <v>7353</v>
      </c>
      <c r="I10118" s="75">
        <v>1</v>
      </c>
      <c r="K10118" s="97">
        <v>0</v>
      </c>
      <c r="L10118"/>
      <c r="M10118"/>
      <c r="N10118"/>
      <c r="O10118"/>
      <c r="P10118" s="57"/>
      <c r="Q10118" s="57"/>
      <c r="R10118" s="57"/>
      <c r="S10118" s="97">
        <v>0</v>
      </c>
      <c r="T10118" s="57"/>
      <c r="U10118" s="57"/>
      <c r="V10118" s="57"/>
      <c r="W10118" s="57"/>
      <c r="X10118" s="97">
        <v>1</v>
      </c>
    </row>
    <row r="10119" spans="1:24" s="75" customFormat="1" x14ac:dyDescent="0.35">
      <c r="A10119" s="75">
        <v>10115</v>
      </c>
      <c r="B10119" s="75">
        <v>10116</v>
      </c>
      <c r="C10119">
        <v>146.12619467900001</v>
      </c>
      <c r="D10119">
        <v>-17.599119449100002</v>
      </c>
      <c r="E10119" s="92" t="str">
        <f t="shared" si="72"/>
        <v/>
      </c>
      <c r="F10119" s="93" t="str">
        <f t="shared" si="73"/>
        <v>10116_20240611_0001_R_0079.jpg</v>
      </c>
      <c r="G10119" s="75" t="s">
        <v>7354</v>
      </c>
      <c r="I10119" s="75">
        <v>1</v>
      </c>
      <c r="K10119" s="97">
        <v>0</v>
      </c>
      <c r="L10119"/>
      <c r="M10119"/>
      <c r="N10119"/>
      <c r="O10119"/>
      <c r="P10119" s="57"/>
      <c r="Q10119" s="57"/>
      <c r="R10119" s="57"/>
      <c r="S10119" s="97">
        <v>0</v>
      </c>
      <c r="T10119" s="57"/>
      <c r="U10119" s="57"/>
      <c r="V10119" s="57"/>
      <c r="W10119" s="57"/>
      <c r="X10119" s="97">
        <v>1</v>
      </c>
    </row>
    <row r="10120" spans="1:24" s="75" customFormat="1" x14ac:dyDescent="0.35">
      <c r="A10120" s="75">
        <v>10116</v>
      </c>
      <c r="B10120" s="75">
        <v>10117</v>
      </c>
      <c r="C10120">
        <v>146.126232184999</v>
      </c>
      <c r="D10120">
        <v>-17.5990570785</v>
      </c>
      <c r="E10120" s="92" t="str">
        <f t="shared" si="72"/>
        <v/>
      </c>
      <c r="F10120" s="93" t="str">
        <f t="shared" si="73"/>
        <v>10117_20240611_0001_R_0078.jpg</v>
      </c>
      <c r="G10120" s="75" t="s">
        <v>7355</v>
      </c>
      <c r="I10120" s="75">
        <v>1</v>
      </c>
      <c r="K10120" s="97">
        <v>0</v>
      </c>
      <c r="L10120"/>
      <c r="M10120"/>
      <c r="N10120"/>
      <c r="O10120"/>
      <c r="P10120" s="57"/>
      <c r="Q10120" s="57"/>
      <c r="R10120" s="57"/>
      <c r="S10120" s="97">
        <v>0</v>
      </c>
      <c r="T10120" s="57"/>
      <c r="U10120" s="57"/>
      <c r="V10120" s="57"/>
      <c r="W10120" s="57"/>
      <c r="X10120" s="97">
        <v>1</v>
      </c>
    </row>
    <row r="10121" spans="1:24" s="75" customFormat="1" x14ac:dyDescent="0.35">
      <c r="A10121" s="75">
        <v>10117</v>
      </c>
      <c r="B10121" s="75">
        <v>10118</v>
      </c>
      <c r="C10121">
        <v>146.12631825400001</v>
      </c>
      <c r="D10121">
        <v>-17.599081599000002</v>
      </c>
      <c r="E10121" s="92" t="str">
        <f t="shared" si="72"/>
        <v/>
      </c>
      <c r="F10121" s="93" t="str">
        <f t="shared" si="73"/>
        <v>10118_20240611_0001_R_0076.jpg</v>
      </c>
      <c r="G10121" s="75" t="s">
        <v>7356</v>
      </c>
      <c r="I10121" s="75">
        <v>1</v>
      </c>
      <c r="K10121" s="97">
        <v>0</v>
      </c>
      <c r="L10121"/>
      <c r="M10121"/>
      <c r="N10121"/>
      <c r="O10121"/>
      <c r="P10121" s="57"/>
      <c r="Q10121" s="57"/>
      <c r="R10121" s="57"/>
      <c r="S10121" s="97">
        <v>0</v>
      </c>
      <c r="T10121" s="57"/>
      <c r="U10121" s="57"/>
      <c r="V10121" s="57"/>
      <c r="W10121" s="57"/>
      <c r="X10121" s="97">
        <v>0</v>
      </c>
    </row>
    <row r="10122" spans="1:24" s="75" customFormat="1" x14ac:dyDescent="0.35">
      <c r="A10122" s="75">
        <v>10118</v>
      </c>
      <c r="B10122" s="75">
        <v>10119</v>
      </c>
      <c r="C10122">
        <v>146.126406696</v>
      </c>
      <c r="D10122">
        <v>-17.5990913147999</v>
      </c>
      <c r="E10122" s="92" t="str">
        <f t="shared" si="72"/>
        <v/>
      </c>
      <c r="F10122" s="93" t="str">
        <f t="shared" si="73"/>
        <v>10119_20240611_0001_R_0073.jpg</v>
      </c>
      <c r="G10122" s="75" t="s">
        <v>7357</v>
      </c>
      <c r="I10122" s="75">
        <v>1</v>
      </c>
      <c r="K10122" s="97">
        <v>0</v>
      </c>
      <c r="L10122"/>
      <c r="M10122"/>
      <c r="N10122"/>
      <c r="O10122"/>
      <c r="P10122" s="57"/>
      <c r="Q10122" s="57"/>
      <c r="R10122" s="57"/>
      <c r="S10122" s="97">
        <v>0</v>
      </c>
      <c r="T10122" s="57"/>
      <c r="U10122" s="57"/>
      <c r="V10122" s="57"/>
      <c r="W10122" s="57"/>
      <c r="X10122" s="97">
        <v>0</v>
      </c>
    </row>
    <row r="10123" spans="1:24" s="75" customFormat="1" x14ac:dyDescent="0.35">
      <c r="A10123" s="75">
        <v>10119</v>
      </c>
      <c r="B10123" s="75">
        <v>10120</v>
      </c>
      <c r="C10123">
        <v>146.126494976</v>
      </c>
      <c r="D10123">
        <v>-17.5991049149</v>
      </c>
      <c r="E10123" s="92">
        <f t="shared" si="72"/>
        <v>50</v>
      </c>
      <c r="F10123" s="93" t="str">
        <f t="shared" si="73"/>
        <v>10120_20240611_0001_R_0070.jpg</v>
      </c>
      <c r="G10123" s="75" t="s">
        <v>7358</v>
      </c>
      <c r="I10123" s="75">
        <v>1</v>
      </c>
      <c r="K10123" s="97">
        <v>0</v>
      </c>
      <c r="L10123"/>
      <c r="M10123"/>
      <c r="N10123"/>
      <c r="O10123"/>
      <c r="P10123" s="57"/>
      <c r="Q10123" s="57"/>
      <c r="R10123" s="57"/>
      <c r="S10123" s="97">
        <v>0</v>
      </c>
      <c r="T10123" s="57"/>
      <c r="U10123" s="57"/>
      <c r="V10123" s="57"/>
      <c r="W10123" s="57"/>
      <c r="X10123" s="97">
        <v>0</v>
      </c>
    </row>
    <row r="10124" spans="1:24" s="75" customFormat="1" x14ac:dyDescent="0.35">
      <c r="A10124" s="75">
        <v>10120</v>
      </c>
      <c r="B10124" s="75">
        <v>10121</v>
      </c>
      <c r="C10124">
        <v>146.126583500999</v>
      </c>
      <c r="D10124">
        <v>-17.5991194664999</v>
      </c>
      <c r="E10124" s="92" t="str">
        <f t="shared" si="72"/>
        <v/>
      </c>
      <c r="F10124" s="93" t="str">
        <f t="shared" si="73"/>
        <v>10121_20240611_0001_R_0068.jpg</v>
      </c>
      <c r="G10124" s="75" t="s">
        <v>7359</v>
      </c>
      <c r="I10124" s="75">
        <v>1</v>
      </c>
      <c r="K10124" s="97">
        <v>0</v>
      </c>
      <c r="L10124"/>
      <c r="M10124"/>
      <c r="N10124"/>
      <c r="O10124"/>
      <c r="P10124" s="57"/>
      <c r="Q10124" s="57"/>
      <c r="R10124" s="57"/>
      <c r="S10124" s="97">
        <v>0</v>
      </c>
      <c r="T10124" s="57"/>
      <c r="U10124" s="57"/>
      <c r="V10124" s="57"/>
      <c r="W10124" s="57"/>
      <c r="X10124" s="97">
        <v>0</v>
      </c>
    </row>
    <row r="10125" spans="1:24" s="75" customFormat="1" x14ac:dyDescent="0.35">
      <c r="A10125" s="75">
        <v>10121</v>
      </c>
      <c r="B10125" s="75">
        <v>10122</v>
      </c>
      <c r="C10125">
        <v>146.126672364999</v>
      </c>
      <c r="D10125">
        <v>-17.599130346900001</v>
      </c>
      <c r="E10125" s="92" t="str">
        <f t="shared" si="72"/>
        <v/>
      </c>
      <c r="F10125" s="93" t="str">
        <f t="shared" si="73"/>
        <v>10122_20240611_0001_R_0065.jpg</v>
      </c>
      <c r="G10125" s="75" t="s">
        <v>7360</v>
      </c>
      <c r="I10125" s="75">
        <v>1</v>
      </c>
      <c r="K10125" s="97">
        <v>0</v>
      </c>
      <c r="L10125"/>
      <c r="M10125"/>
      <c r="N10125"/>
      <c r="O10125"/>
      <c r="P10125" s="57"/>
      <c r="Q10125" s="57"/>
      <c r="R10125" s="57"/>
      <c r="S10125" s="97">
        <v>0</v>
      </c>
      <c r="T10125" s="57"/>
      <c r="U10125" s="57"/>
      <c r="V10125" s="57"/>
      <c r="W10125" s="57"/>
      <c r="X10125" s="97">
        <v>0</v>
      </c>
    </row>
    <row r="10126" spans="1:24" s="75" customFormat="1" x14ac:dyDescent="0.35">
      <c r="A10126" s="75">
        <v>10122</v>
      </c>
      <c r="B10126" s="75">
        <v>10123</v>
      </c>
      <c r="C10126">
        <v>146.126762194999</v>
      </c>
      <c r="D10126">
        <v>-17.5991307442</v>
      </c>
      <c r="E10126" s="92" t="str">
        <f t="shared" si="72"/>
        <v/>
      </c>
      <c r="F10126" s="93" t="str">
        <f t="shared" si="73"/>
        <v>10123_20240611_0001_R_0063.jpg</v>
      </c>
      <c r="G10126" s="75" t="s">
        <v>7361</v>
      </c>
      <c r="I10126" s="75">
        <v>1</v>
      </c>
      <c r="K10126" s="97">
        <v>0</v>
      </c>
      <c r="L10126"/>
      <c r="M10126"/>
      <c r="N10126"/>
      <c r="O10126"/>
      <c r="P10126" s="57"/>
      <c r="Q10126" s="57"/>
      <c r="R10126" s="57"/>
      <c r="S10126" s="97">
        <v>0</v>
      </c>
      <c r="T10126" s="57"/>
      <c r="U10126" s="57"/>
      <c r="V10126" s="57"/>
      <c r="W10126" s="57"/>
      <c r="X10126" s="97">
        <v>0</v>
      </c>
    </row>
    <row r="10127" spans="1:24" s="75" customFormat="1" x14ac:dyDescent="0.35">
      <c r="A10127" s="75">
        <v>10123</v>
      </c>
      <c r="B10127" s="75">
        <v>10124</v>
      </c>
      <c r="C10127">
        <v>146.126852025999</v>
      </c>
      <c r="D10127">
        <v>-17.5991311414999</v>
      </c>
      <c r="E10127" s="92" t="str">
        <f t="shared" si="72"/>
        <v/>
      </c>
      <c r="F10127" s="93" t="str">
        <f t="shared" si="73"/>
        <v>10124_20240611_0001_R_0060.jpg</v>
      </c>
      <c r="G10127" s="75" t="s">
        <v>7362</v>
      </c>
      <c r="I10127" s="75">
        <v>1</v>
      </c>
      <c r="K10127" s="97">
        <v>0</v>
      </c>
      <c r="L10127"/>
      <c r="M10127"/>
      <c r="N10127"/>
      <c r="O10127"/>
      <c r="P10127" s="57"/>
      <c r="Q10127" s="57"/>
      <c r="R10127" s="57"/>
      <c r="S10127" s="97">
        <v>0</v>
      </c>
      <c r="T10127" s="57"/>
      <c r="U10127" s="57"/>
      <c r="V10127" s="57"/>
      <c r="W10127" s="57"/>
      <c r="X10127" s="97">
        <v>0</v>
      </c>
    </row>
    <row r="10128" spans="1:24" s="75" customFormat="1" x14ac:dyDescent="0.35">
      <c r="A10128" s="75">
        <v>10124</v>
      </c>
      <c r="B10128" s="75">
        <v>10125</v>
      </c>
      <c r="C10128">
        <v>146.126941856</v>
      </c>
      <c r="D10128">
        <v>-17.5991315387</v>
      </c>
      <c r="E10128" s="92">
        <f t="shared" ref="E10128:E10164" si="74">IF(MOD(B10128,5)=0, 50, "")</f>
        <v>50</v>
      </c>
      <c r="F10128" s="93" t="str">
        <f t="shared" si="73"/>
        <v>10125_20240611_0001_R_0056.jpg</v>
      </c>
      <c r="G10128" s="75" t="s">
        <v>7363</v>
      </c>
      <c r="I10128" s="75">
        <v>1</v>
      </c>
      <c r="K10128" s="97">
        <v>0</v>
      </c>
      <c r="L10128"/>
      <c r="M10128"/>
      <c r="N10128"/>
      <c r="O10128"/>
      <c r="P10128" s="57"/>
      <c r="Q10128" s="57"/>
      <c r="R10128" s="57"/>
      <c r="S10128" s="97">
        <v>0</v>
      </c>
      <c r="T10128" s="57"/>
      <c r="U10128" s="57"/>
      <c r="V10128" s="57"/>
      <c r="W10128" s="57"/>
      <c r="X10128" s="97">
        <v>0</v>
      </c>
    </row>
    <row r="10129" spans="1:24" s="75" customFormat="1" x14ac:dyDescent="0.35">
      <c r="A10129" s="75">
        <v>10125</v>
      </c>
      <c r="B10129" s="75">
        <v>10126</v>
      </c>
      <c r="C10129">
        <v>146.12703160000001</v>
      </c>
      <c r="D10129">
        <v>-17.5991329691999</v>
      </c>
      <c r="E10129" s="92" t="str">
        <f t="shared" si="74"/>
        <v/>
      </c>
      <c r="F10129" s="93" t="str">
        <f t="shared" si="73"/>
        <v>10126_20240611_0001_R_0051.jpg</v>
      </c>
      <c r="G10129" s="75" t="s">
        <v>7364</v>
      </c>
      <c r="I10129" s="75">
        <v>1</v>
      </c>
      <c r="K10129" s="97">
        <v>0</v>
      </c>
      <c r="L10129"/>
      <c r="M10129"/>
      <c r="N10129"/>
      <c r="O10129"/>
      <c r="P10129" s="57"/>
      <c r="Q10129" s="57"/>
      <c r="R10129" s="57"/>
      <c r="S10129" s="97">
        <v>0</v>
      </c>
      <c r="T10129" s="57"/>
      <c r="U10129" s="57"/>
      <c r="V10129" s="57"/>
      <c r="W10129" s="57"/>
      <c r="X10129" s="97">
        <v>0</v>
      </c>
    </row>
    <row r="10130" spans="1:24" s="75" customFormat="1" x14ac:dyDescent="0.35">
      <c r="A10130" s="75">
        <v>10126</v>
      </c>
      <c r="B10130" s="75">
        <v>10127</v>
      </c>
      <c r="C10130">
        <v>146.12712034200001</v>
      </c>
      <c r="D10130">
        <v>-17.5991462651</v>
      </c>
      <c r="E10130" s="92" t="str">
        <f t="shared" si="74"/>
        <v/>
      </c>
      <c r="F10130" s="93" t="str">
        <f t="shared" si="73"/>
        <v>10127_20240611_0001_R_0046.jpg</v>
      </c>
      <c r="G10130" s="75" t="s">
        <v>7365</v>
      </c>
      <c r="I10130" s="75">
        <v>1</v>
      </c>
      <c r="K10130" s="97">
        <v>0</v>
      </c>
      <c r="L10130"/>
      <c r="M10130"/>
      <c r="N10130"/>
      <c r="O10130"/>
      <c r="P10130" s="57"/>
      <c r="Q10130" s="57"/>
      <c r="R10130" s="57"/>
      <c r="S10130" s="97">
        <v>0</v>
      </c>
      <c r="T10130" s="57"/>
      <c r="U10130" s="57"/>
      <c r="V10130" s="57"/>
      <c r="W10130" s="57"/>
      <c r="X10130" s="97">
        <v>0</v>
      </c>
    </row>
    <row r="10131" spans="1:24" s="75" customFormat="1" x14ac:dyDescent="0.35">
      <c r="A10131" s="75">
        <v>10127</v>
      </c>
      <c r="B10131" s="75">
        <v>10128</v>
      </c>
      <c r="C10131">
        <v>146.127209082999</v>
      </c>
      <c r="D10131">
        <v>-17.599159561</v>
      </c>
      <c r="E10131" s="92" t="str">
        <f t="shared" si="74"/>
        <v/>
      </c>
      <c r="F10131" s="93" t="str">
        <f t="shared" si="73"/>
        <v>10128_20240611_0001_R_0042.jpg</v>
      </c>
      <c r="G10131" s="75" t="s">
        <v>7366</v>
      </c>
      <c r="I10131" s="75">
        <v>1</v>
      </c>
      <c r="K10131" s="97">
        <v>0</v>
      </c>
      <c r="L10131"/>
      <c r="M10131"/>
      <c r="N10131"/>
      <c r="O10131"/>
      <c r="P10131" s="57"/>
      <c r="Q10131" s="57"/>
      <c r="R10131" s="57"/>
      <c r="S10131" s="97">
        <v>0</v>
      </c>
      <c r="T10131" s="57"/>
      <c r="U10131" s="57"/>
      <c r="V10131" s="57"/>
      <c r="W10131" s="57"/>
      <c r="X10131" s="97">
        <v>0</v>
      </c>
    </row>
    <row r="10132" spans="1:24" s="75" customFormat="1" x14ac:dyDescent="0.35">
      <c r="A10132" s="75">
        <v>10128</v>
      </c>
      <c r="B10132" s="75">
        <v>10129</v>
      </c>
      <c r="C10132">
        <v>146.127292621999</v>
      </c>
      <c r="D10132">
        <v>-17.599190852500001</v>
      </c>
      <c r="E10132" s="92" t="str">
        <f t="shared" si="74"/>
        <v/>
      </c>
      <c r="F10132" s="93" t="str">
        <f t="shared" si="73"/>
        <v>10129_20240611_0001_R_0037.jpg</v>
      </c>
      <c r="G10132" s="75" t="s">
        <v>7367</v>
      </c>
      <c r="I10132" s="75">
        <v>1</v>
      </c>
      <c r="K10132" s="97">
        <v>0</v>
      </c>
      <c r="L10132"/>
      <c r="M10132"/>
      <c r="N10132"/>
      <c r="O10132"/>
      <c r="P10132" s="57"/>
      <c r="Q10132" s="57"/>
      <c r="R10132" s="57"/>
      <c r="S10132" s="97">
        <v>0</v>
      </c>
      <c r="T10132" s="57"/>
      <c r="U10132" s="57"/>
      <c r="V10132" s="57"/>
      <c r="W10132" s="57"/>
      <c r="X10132" s="97">
        <v>0</v>
      </c>
    </row>
    <row r="10133" spans="1:24" s="75" customFormat="1" x14ac:dyDescent="0.35">
      <c r="A10133" s="75">
        <v>10129</v>
      </c>
      <c r="B10133" s="75">
        <v>10130</v>
      </c>
      <c r="C10133">
        <v>146.127375978999</v>
      </c>
      <c r="D10133">
        <v>-17.599222771000001</v>
      </c>
      <c r="E10133" s="92">
        <f t="shared" si="74"/>
        <v>50</v>
      </c>
      <c r="F10133" s="93" t="str">
        <f t="shared" si="73"/>
        <v>10130_20240611_0001_R_0029.jpg</v>
      </c>
      <c r="G10133" s="75" t="s">
        <v>7368</v>
      </c>
      <c r="I10133" s="75">
        <v>1</v>
      </c>
      <c r="K10133" s="97">
        <v>0</v>
      </c>
      <c r="L10133"/>
      <c r="M10133"/>
      <c r="N10133"/>
      <c r="O10133"/>
      <c r="P10133" s="57"/>
      <c r="Q10133" s="57"/>
      <c r="R10133" s="57"/>
      <c r="S10133" s="97">
        <v>0</v>
      </c>
      <c r="T10133" s="57"/>
      <c r="U10133" s="57"/>
      <c r="V10133" s="57"/>
      <c r="W10133" s="57"/>
      <c r="X10133" s="97">
        <v>0</v>
      </c>
    </row>
    <row r="10134" spans="1:24" s="75" customFormat="1" x14ac:dyDescent="0.35">
      <c r="A10134" s="75">
        <v>10130</v>
      </c>
      <c r="B10134" s="75">
        <v>10131</v>
      </c>
      <c r="C10134">
        <v>146.12745725400001</v>
      </c>
      <c r="D10134">
        <v>-17.599259117500001</v>
      </c>
      <c r="E10134" s="92" t="str">
        <f t="shared" si="74"/>
        <v/>
      </c>
      <c r="F10134" s="93" t="str">
        <f t="shared" si="73"/>
        <v>10131_20240611_0001_R_0025.jpg</v>
      </c>
      <c r="G10134" s="75" t="s">
        <v>7369</v>
      </c>
      <c r="I10134" s="75">
        <v>1</v>
      </c>
      <c r="K10134" s="97">
        <v>0</v>
      </c>
      <c r="L10134"/>
      <c r="M10134"/>
      <c r="N10134"/>
      <c r="O10134"/>
      <c r="P10134" s="57"/>
      <c r="Q10134" s="57"/>
      <c r="R10134" s="57"/>
      <c r="S10134" s="97">
        <v>0</v>
      </c>
      <c r="T10134" s="57"/>
      <c r="U10134" s="57"/>
      <c r="V10134" s="57"/>
      <c r="W10134" s="57"/>
      <c r="X10134" s="97">
        <v>0</v>
      </c>
    </row>
    <row r="10135" spans="1:24" s="75" customFormat="1" x14ac:dyDescent="0.35">
      <c r="A10135" s="75">
        <v>10131</v>
      </c>
      <c r="B10135" s="75">
        <v>10132</v>
      </c>
      <c r="C10135">
        <v>146.127537711999</v>
      </c>
      <c r="D10135">
        <v>-17.5992971989</v>
      </c>
      <c r="E10135" s="92" t="str">
        <f t="shared" si="74"/>
        <v/>
      </c>
      <c r="F10135" s="93" t="str">
        <f t="shared" si="73"/>
        <v>10132_20240611_0001_R_0015.jpg</v>
      </c>
      <c r="G10135" s="75" t="s">
        <v>7370</v>
      </c>
      <c r="I10135" s="75">
        <v>1</v>
      </c>
      <c r="K10135" s="97">
        <v>0</v>
      </c>
      <c r="L10135"/>
      <c r="M10135"/>
      <c r="N10135"/>
      <c r="O10135"/>
      <c r="P10135" s="57"/>
      <c r="Q10135" s="57"/>
      <c r="R10135" s="57"/>
      <c r="S10135" s="97">
        <v>0</v>
      </c>
      <c r="T10135" s="57"/>
      <c r="U10135" s="57"/>
      <c r="V10135" s="57"/>
      <c r="W10135" s="57"/>
      <c r="X10135" s="97">
        <v>0</v>
      </c>
    </row>
    <row r="10136" spans="1:24" s="75" customFormat="1" x14ac:dyDescent="0.35">
      <c r="A10136" s="75">
        <v>10132</v>
      </c>
      <c r="B10136" s="75">
        <v>10133</v>
      </c>
      <c r="C10136">
        <v>146.127618170999</v>
      </c>
      <c r="D10136">
        <v>-17.599335280199899</v>
      </c>
      <c r="E10136" s="92" t="str">
        <f t="shared" si="74"/>
        <v/>
      </c>
      <c r="F10136" s="93" t="str">
        <f t="shared" si="73"/>
        <v>10133_20240611_0001_R_0002.jpg</v>
      </c>
      <c r="G10136" s="75" t="s">
        <v>7371</v>
      </c>
      <c r="I10136" s="75">
        <v>1</v>
      </c>
      <c r="K10136" s="97">
        <v>0</v>
      </c>
      <c r="L10136"/>
      <c r="M10136"/>
      <c r="N10136"/>
      <c r="O10136"/>
      <c r="P10136" s="57"/>
      <c r="Q10136" s="57"/>
      <c r="R10136" s="57"/>
      <c r="S10136" s="97">
        <v>0</v>
      </c>
      <c r="T10136" s="57"/>
      <c r="U10136" s="57"/>
      <c r="V10136" s="57"/>
      <c r="W10136" s="57"/>
      <c r="X10136" s="97">
        <v>0</v>
      </c>
    </row>
    <row r="10137" spans="1:24" s="75" customFormat="1" x14ac:dyDescent="0.35">
      <c r="A10137" s="75">
        <v>10133</v>
      </c>
      <c r="B10137" s="75">
        <v>10134</v>
      </c>
      <c r="C10137">
        <v>146.12770097000001</v>
      </c>
      <c r="D10137">
        <v>-17.5993683987999</v>
      </c>
      <c r="E10137" s="92" t="str">
        <f t="shared" si="74"/>
        <v/>
      </c>
      <c r="I10137" s="75">
        <v>1</v>
      </c>
      <c r="J10137" s="75" t="s">
        <v>26</v>
      </c>
      <c r="K10137" s="97" t="s">
        <v>26</v>
      </c>
      <c r="L10137"/>
      <c r="M10137"/>
      <c r="N10137"/>
      <c r="O10137"/>
      <c r="P10137" s="57"/>
      <c r="Q10137" s="57"/>
      <c r="R10137" s="57"/>
      <c r="S10137" s="97"/>
      <c r="T10137" s="57"/>
      <c r="U10137" s="57"/>
      <c r="V10137" s="57"/>
      <c r="W10137" s="57"/>
      <c r="X10137" s="97"/>
    </row>
    <row r="10138" spans="1:24" s="75" customFormat="1" x14ac:dyDescent="0.35">
      <c r="A10138" s="75">
        <v>10134</v>
      </c>
      <c r="B10138" s="75">
        <v>10135</v>
      </c>
      <c r="C10138">
        <v>146.127784259999</v>
      </c>
      <c r="D10138">
        <v>-17.599400474900001</v>
      </c>
      <c r="E10138" s="92">
        <f t="shared" si="74"/>
        <v>50</v>
      </c>
      <c r="I10138" s="75">
        <v>1</v>
      </c>
      <c r="J10138" s="75" t="s">
        <v>26</v>
      </c>
      <c r="K10138" s="97" t="s">
        <v>26</v>
      </c>
      <c r="L10138"/>
      <c r="M10138"/>
      <c r="N10138"/>
      <c r="O10138"/>
      <c r="P10138" s="57"/>
      <c r="Q10138" s="57"/>
      <c r="R10138" s="57"/>
      <c r="S10138" s="97"/>
      <c r="T10138" s="57"/>
      <c r="U10138" s="57"/>
      <c r="V10138" s="57"/>
      <c r="W10138" s="57"/>
      <c r="X10138" s="97"/>
    </row>
    <row r="10139" spans="1:24" s="75" customFormat="1" x14ac:dyDescent="0.35">
      <c r="A10139" s="75">
        <v>10135</v>
      </c>
      <c r="B10139" s="75">
        <v>10136</v>
      </c>
      <c r="C10139">
        <v>146.12786755100001</v>
      </c>
      <c r="D10139">
        <v>-17.599432550900001</v>
      </c>
      <c r="E10139" s="92" t="str">
        <f t="shared" si="74"/>
        <v/>
      </c>
      <c r="I10139" s="75">
        <v>1</v>
      </c>
      <c r="J10139" s="75" t="s">
        <v>26</v>
      </c>
      <c r="K10139" s="97" t="s">
        <v>26</v>
      </c>
      <c r="L10139"/>
      <c r="M10139"/>
      <c r="N10139"/>
      <c r="O10139"/>
      <c r="P10139" s="57"/>
      <c r="Q10139" s="57"/>
      <c r="R10139" s="57"/>
      <c r="S10139" s="97"/>
      <c r="T10139" s="57"/>
      <c r="U10139" s="57"/>
      <c r="V10139" s="57"/>
      <c r="W10139" s="57"/>
      <c r="X10139" s="97"/>
    </row>
    <row r="10140" spans="1:24" s="75" customFormat="1" x14ac:dyDescent="0.35">
      <c r="A10140" s="75">
        <v>10136</v>
      </c>
      <c r="B10140" s="75">
        <v>10137</v>
      </c>
      <c r="C10140">
        <v>146.12795103900001</v>
      </c>
      <c r="D10140">
        <v>-17.5994641395</v>
      </c>
      <c r="E10140" s="92" t="str">
        <f t="shared" si="74"/>
        <v/>
      </c>
      <c r="I10140" s="75">
        <v>1</v>
      </c>
      <c r="J10140" s="75" t="s">
        <v>26</v>
      </c>
      <c r="K10140" s="97" t="s">
        <v>26</v>
      </c>
      <c r="L10140"/>
      <c r="M10140"/>
      <c r="N10140"/>
      <c r="O10140"/>
      <c r="P10140" s="57"/>
      <c r="Q10140" s="57"/>
      <c r="R10140" s="57"/>
      <c r="S10140" s="97"/>
      <c r="T10140" s="57"/>
      <c r="U10140" s="57"/>
      <c r="V10140" s="57"/>
      <c r="W10140" s="57"/>
      <c r="X10140" s="97"/>
    </row>
    <row r="10141" spans="1:24" s="75" customFormat="1" x14ac:dyDescent="0.35">
      <c r="A10141" s="75">
        <v>10137</v>
      </c>
      <c r="B10141" s="75">
        <v>10138</v>
      </c>
      <c r="C10141">
        <v>146.12803525800001</v>
      </c>
      <c r="D10141">
        <v>-17.599493931200001</v>
      </c>
      <c r="E10141" s="92" t="str">
        <f t="shared" si="74"/>
        <v/>
      </c>
      <c r="I10141" s="75">
        <v>1</v>
      </c>
      <c r="J10141" s="75" t="s">
        <v>26</v>
      </c>
      <c r="K10141" s="97" t="s">
        <v>26</v>
      </c>
      <c r="L10141"/>
      <c r="M10141"/>
      <c r="N10141"/>
      <c r="O10141"/>
      <c r="P10141" s="57"/>
      <c r="Q10141" s="57"/>
      <c r="R10141" s="57"/>
      <c r="S10141" s="97"/>
      <c r="T10141" s="57"/>
      <c r="U10141" s="57"/>
      <c r="V10141" s="57"/>
      <c r="W10141" s="57"/>
      <c r="X10141" s="97"/>
    </row>
    <row r="10142" spans="1:24" s="75" customFormat="1" x14ac:dyDescent="0.35">
      <c r="A10142" s="75">
        <v>10138</v>
      </c>
      <c r="B10142" s="75">
        <v>10139</v>
      </c>
      <c r="C10142">
        <v>146.128119478</v>
      </c>
      <c r="D10142">
        <v>-17.599523722800001</v>
      </c>
      <c r="E10142" s="92" t="str">
        <f t="shared" si="74"/>
        <v/>
      </c>
      <c r="I10142" s="75">
        <v>1</v>
      </c>
      <c r="J10142" s="75" t="s">
        <v>26</v>
      </c>
      <c r="K10142" s="97" t="s">
        <v>26</v>
      </c>
      <c r="L10142"/>
      <c r="M10142"/>
      <c r="N10142"/>
      <c r="O10142"/>
      <c r="P10142" s="57"/>
      <c r="Q10142" s="57"/>
      <c r="R10142" s="57"/>
      <c r="S10142" s="97"/>
      <c r="T10142" s="57"/>
      <c r="U10142" s="57"/>
      <c r="V10142" s="57"/>
      <c r="W10142" s="57"/>
      <c r="X10142" s="97"/>
    </row>
    <row r="10143" spans="1:24" s="75" customFormat="1" x14ac:dyDescent="0.35">
      <c r="A10143" s="75">
        <v>10139</v>
      </c>
      <c r="B10143" s="75">
        <v>10140</v>
      </c>
      <c r="C10143">
        <v>146.128203697</v>
      </c>
      <c r="D10143">
        <v>-17.5995535144</v>
      </c>
      <c r="E10143" s="92">
        <f t="shared" si="74"/>
        <v>50</v>
      </c>
      <c r="I10143" s="75">
        <v>1</v>
      </c>
      <c r="J10143" s="75" t="s">
        <v>26</v>
      </c>
      <c r="K10143" s="97" t="s">
        <v>26</v>
      </c>
      <c r="L10143"/>
      <c r="M10143"/>
      <c r="N10143"/>
      <c r="O10143"/>
      <c r="P10143" s="57"/>
      <c r="Q10143" s="57"/>
      <c r="R10143" s="57"/>
      <c r="S10143" s="97"/>
      <c r="T10143" s="57"/>
      <c r="U10143" s="57"/>
      <c r="V10143" s="57"/>
      <c r="W10143" s="57"/>
      <c r="X10143" s="97"/>
    </row>
    <row r="10144" spans="1:24" s="75" customFormat="1" x14ac:dyDescent="0.35">
      <c r="A10144" s="75">
        <v>10140</v>
      </c>
      <c r="B10144" s="75">
        <v>10141</v>
      </c>
      <c r="C10144">
        <v>146.12829074800001</v>
      </c>
      <c r="D10144">
        <v>-17.599568466800001</v>
      </c>
      <c r="E10144" s="92" t="str">
        <f t="shared" si="74"/>
        <v/>
      </c>
      <c r="I10144" s="75">
        <v>1</v>
      </c>
      <c r="J10144" s="75" t="s">
        <v>26</v>
      </c>
      <c r="K10144" s="97" t="s">
        <v>26</v>
      </c>
      <c r="L10144"/>
      <c r="M10144"/>
      <c r="N10144"/>
      <c r="O10144"/>
      <c r="P10144" s="57"/>
      <c r="Q10144" s="57"/>
      <c r="R10144" s="57"/>
      <c r="S10144" s="97"/>
      <c r="T10144" s="57"/>
      <c r="U10144" s="57"/>
      <c r="V10144" s="57"/>
      <c r="W10144" s="57"/>
      <c r="X10144" s="97"/>
    </row>
    <row r="10145" spans="1:24" s="75" customFormat="1" x14ac:dyDescent="0.35">
      <c r="A10145" s="75">
        <v>10141</v>
      </c>
      <c r="B10145" s="75">
        <v>10142</v>
      </c>
      <c r="C10145">
        <v>146.12838057900001</v>
      </c>
      <c r="D10145">
        <v>-17.5995688629</v>
      </c>
      <c r="E10145" s="92" t="str">
        <f t="shared" si="74"/>
        <v/>
      </c>
      <c r="I10145" s="75">
        <v>1</v>
      </c>
      <c r="J10145" s="75" t="s">
        <v>26</v>
      </c>
      <c r="K10145" s="97" t="s">
        <v>26</v>
      </c>
      <c r="L10145"/>
      <c r="M10145"/>
      <c r="N10145"/>
      <c r="O10145"/>
      <c r="P10145" s="57"/>
      <c r="Q10145" s="57"/>
      <c r="R10145" s="57"/>
      <c r="S10145" s="97"/>
      <c r="T10145" s="57"/>
      <c r="U10145" s="57"/>
      <c r="V10145" s="57"/>
      <c r="W10145" s="57"/>
      <c r="X10145" s="97"/>
    </row>
    <row r="10146" spans="1:24" s="75" customFormat="1" x14ac:dyDescent="0.35">
      <c r="A10146" s="75">
        <v>10142</v>
      </c>
      <c r="B10146" s="75">
        <v>10143</v>
      </c>
      <c r="C10146">
        <v>146.12846963800001</v>
      </c>
      <c r="D10146">
        <v>-17.5995657749</v>
      </c>
      <c r="E10146" s="92" t="str">
        <f t="shared" si="74"/>
        <v/>
      </c>
      <c r="I10146" s="75">
        <v>1</v>
      </c>
      <c r="J10146" s="75" t="s">
        <v>26</v>
      </c>
      <c r="K10146" s="97" t="s">
        <v>26</v>
      </c>
      <c r="L10146"/>
      <c r="M10146"/>
      <c r="N10146"/>
      <c r="O10146"/>
      <c r="P10146" s="57"/>
      <c r="Q10146" s="57"/>
      <c r="R10146" s="57"/>
      <c r="S10146" s="97"/>
      <c r="T10146" s="57"/>
      <c r="U10146" s="57"/>
      <c r="V10146" s="57"/>
      <c r="W10146" s="57"/>
      <c r="X10146" s="97"/>
    </row>
    <row r="10147" spans="1:24" s="75" customFormat="1" x14ac:dyDescent="0.35">
      <c r="A10147" s="75">
        <v>10143</v>
      </c>
      <c r="B10147" s="75">
        <v>10144</v>
      </c>
      <c r="C10147">
        <v>146.12855164300001</v>
      </c>
      <c r="D10147">
        <v>-17.599530818600002</v>
      </c>
      <c r="E10147" s="92" t="str">
        <f t="shared" si="74"/>
        <v/>
      </c>
      <c r="I10147" s="75">
        <v>1</v>
      </c>
      <c r="J10147" s="75" t="s">
        <v>26</v>
      </c>
      <c r="K10147" s="97" t="s">
        <v>26</v>
      </c>
      <c r="L10147"/>
      <c r="M10147"/>
      <c r="N10147"/>
      <c r="O10147"/>
      <c r="P10147" s="57"/>
      <c r="Q10147" s="57"/>
      <c r="R10147" s="57"/>
      <c r="S10147" s="97"/>
      <c r="T10147" s="57"/>
      <c r="U10147" s="57"/>
      <c r="V10147" s="57"/>
      <c r="W10147" s="57"/>
      <c r="X10147" s="97"/>
    </row>
    <row r="10148" spans="1:24" s="75" customFormat="1" x14ac:dyDescent="0.35">
      <c r="A10148" s="75">
        <v>10144</v>
      </c>
      <c r="B10148" s="75">
        <v>10145</v>
      </c>
      <c r="C10148">
        <v>146.12863203699899</v>
      </c>
      <c r="D10148">
        <v>-17.5994926802999</v>
      </c>
      <c r="E10148" s="92">
        <f t="shared" si="74"/>
        <v>50</v>
      </c>
      <c r="I10148" s="75">
        <v>1</v>
      </c>
      <c r="J10148" s="75" t="s">
        <v>26</v>
      </c>
      <c r="K10148" s="97" t="s">
        <v>26</v>
      </c>
      <c r="L10148"/>
      <c r="M10148"/>
      <c r="N10148"/>
      <c r="O10148"/>
      <c r="P10148" s="57"/>
      <c r="Q10148" s="57"/>
      <c r="R10148" s="57"/>
      <c r="S10148" s="97"/>
      <c r="T10148" s="57"/>
      <c r="U10148" s="57"/>
      <c r="V10148" s="57"/>
      <c r="W10148" s="57"/>
      <c r="X10148" s="97"/>
    </row>
    <row r="10149" spans="1:24" s="75" customFormat="1" x14ac:dyDescent="0.35">
      <c r="A10149" s="75">
        <v>10145</v>
      </c>
      <c r="B10149" s="75">
        <v>10146</v>
      </c>
      <c r="C10149">
        <v>146.12871124700001</v>
      </c>
      <c r="D10149">
        <v>-17.5994524484999</v>
      </c>
      <c r="E10149" s="92" t="str">
        <f t="shared" si="74"/>
        <v/>
      </c>
      <c r="I10149" s="75">
        <v>1</v>
      </c>
      <c r="J10149" s="75" t="s">
        <v>26</v>
      </c>
      <c r="K10149" s="97" t="s">
        <v>26</v>
      </c>
      <c r="L10149"/>
      <c r="M10149"/>
      <c r="N10149"/>
      <c r="O10149"/>
      <c r="P10149" s="57"/>
      <c r="Q10149" s="57"/>
      <c r="R10149" s="57"/>
      <c r="S10149" s="97"/>
      <c r="T10149" s="57"/>
      <c r="U10149" s="57"/>
      <c r="V10149" s="57"/>
      <c r="W10149" s="57"/>
      <c r="X10149" s="97"/>
    </row>
    <row r="10150" spans="1:24" s="75" customFormat="1" x14ac:dyDescent="0.35">
      <c r="A10150" s="75">
        <v>10146</v>
      </c>
      <c r="B10150" s="75">
        <v>10147</v>
      </c>
      <c r="C10150">
        <v>146.128782792999</v>
      </c>
      <c r="D10150">
        <v>-17.599400668800001</v>
      </c>
      <c r="E10150" s="92" t="str">
        <f t="shared" si="74"/>
        <v/>
      </c>
      <c r="I10150" s="75">
        <v>1</v>
      </c>
      <c r="J10150" s="75" t="s">
        <v>26</v>
      </c>
      <c r="K10150" s="97" t="s">
        <v>26</v>
      </c>
      <c r="L10150"/>
      <c r="M10150"/>
      <c r="N10150"/>
      <c r="O10150"/>
      <c r="P10150" s="57"/>
      <c r="Q10150" s="57"/>
      <c r="R10150" s="57"/>
      <c r="S10150" s="97"/>
      <c r="T10150" s="57"/>
      <c r="U10150" s="57"/>
      <c r="V10150" s="57"/>
      <c r="W10150" s="57"/>
      <c r="X10150" s="97"/>
    </row>
    <row r="10151" spans="1:24" s="75" customFormat="1" x14ac:dyDescent="0.35">
      <c r="A10151" s="75">
        <v>10147</v>
      </c>
      <c r="B10151" s="75">
        <v>10148</v>
      </c>
      <c r="C10151">
        <v>146.12885039899899</v>
      </c>
      <c r="D10151">
        <v>-17.599344725600002</v>
      </c>
      <c r="E10151" s="92" t="str">
        <f t="shared" si="74"/>
        <v/>
      </c>
      <c r="I10151" s="75">
        <v>1</v>
      </c>
      <c r="J10151" s="75" t="s">
        <v>26</v>
      </c>
      <c r="K10151" s="97" t="s">
        <v>26</v>
      </c>
      <c r="L10151"/>
      <c r="M10151"/>
      <c r="N10151"/>
      <c r="O10151"/>
      <c r="P10151" s="57"/>
      <c r="Q10151" s="57"/>
      <c r="R10151" s="57"/>
      <c r="S10151" s="97"/>
      <c r="T10151" s="57"/>
      <c r="U10151" s="57"/>
      <c r="V10151" s="57"/>
      <c r="W10151" s="57"/>
      <c r="X10151" s="97"/>
    </row>
    <row r="10152" spans="1:24" s="75" customFormat="1" x14ac:dyDescent="0.35">
      <c r="A10152" s="75">
        <v>10148</v>
      </c>
      <c r="B10152" s="75">
        <v>10149</v>
      </c>
      <c r="C10152">
        <v>146.128910544999</v>
      </c>
      <c r="D10152">
        <v>-17.599281314199899</v>
      </c>
      <c r="E10152" s="92" t="str">
        <f t="shared" si="74"/>
        <v/>
      </c>
      <c r="I10152" s="75">
        <v>1</v>
      </c>
      <c r="J10152" s="75" t="s">
        <v>26</v>
      </c>
      <c r="K10152" s="97" t="s">
        <v>26</v>
      </c>
      <c r="L10152"/>
      <c r="M10152"/>
      <c r="N10152"/>
      <c r="O10152"/>
      <c r="P10152" s="57"/>
      <c r="Q10152" s="57"/>
      <c r="R10152" s="57"/>
      <c r="S10152" s="97"/>
      <c r="T10152" s="57"/>
      <c r="U10152" s="57"/>
      <c r="V10152" s="57"/>
      <c r="W10152" s="57"/>
      <c r="X10152" s="97"/>
    </row>
    <row r="10153" spans="1:24" s="75" customFormat="1" x14ac:dyDescent="0.35">
      <c r="A10153" s="75">
        <v>10149</v>
      </c>
      <c r="B10153" s="75">
        <v>10150</v>
      </c>
      <c r="C10153">
        <v>146.128957170999</v>
      </c>
      <c r="D10153">
        <v>-17.599208124499899</v>
      </c>
      <c r="E10153" s="92">
        <f t="shared" si="74"/>
        <v>50</v>
      </c>
      <c r="I10153" s="75">
        <v>1</v>
      </c>
      <c r="J10153" s="75" t="s">
        <v>26</v>
      </c>
      <c r="K10153" s="97" t="s">
        <v>26</v>
      </c>
      <c r="L10153"/>
      <c r="M10153"/>
      <c r="N10153"/>
      <c r="O10153"/>
      <c r="P10153" s="57"/>
      <c r="Q10153" s="57"/>
      <c r="R10153" s="57"/>
      <c r="S10153" s="97"/>
      <c r="T10153" s="57"/>
      <c r="U10153" s="57"/>
      <c r="V10153" s="57"/>
      <c r="W10153" s="57"/>
      <c r="X10153" s="97"/>
    </row>
    <row r="10154" spans="1:24" s="75" customFormat="1" x14ac:dyDescent="0.35">
      <c r="A10154" s="75">
        <v>10150</v>
      </c>
      <c r="B10154" s="75">
        <v>10151</v>
      </c>
      <c r="C10154">
        <v>146.12900379600001</v>
      </c>
      <c r="D10154">
        <v>-17.599134934199899</v>
      </c>
      <c r="E10154" s="92" t="str">
        <f t="shared" si="74"/>
        <v/>
      </c>
      <c r="I10154" s="75">
        <v>1</v>
      </c>
      <c r="J10154" s="75" t="s">
        <v>26</v>
      </c>
      <c r="K10154" s="97" t="s">
        <v>26</v>
      </c>
      <c r="L10154"/>
      <c r="M10154"/>
      <c r="N10154"/>
      <c r="O10154"/>
      <c r="P10154" s="57"/>
      <c r="Q10154" s="57"/>
      <c r="R10154" s="57"/>
      <c r="S10154" s="97"/>
      <c r="T10154" s="57"/>
      <c r="U10154" s="57"/>
      <c r="V10154" s="57"/>
      <c r="W10154" s="57"/>
      <c r="X10154" s="97"/>
    </row>
    <row r="10155" spans="1:24" s="75" customFormat="1" x14ac:dyDescent="0.35">
      <c r="A10155" s="75">
        <v>10151</v>
      </c>
      <c r="B10155" s="75">
        <v>10152</v>
      </c>
      <c r="C10155">
        <v>146.12905042099899</v>
      </c>
      <c r="D10155">
        <v>-17.599061743899899</v>
      </c>
      <c r="E10155" s="92" t="str">
        <f t="shared" si="74"/>
        <v/>
      </c>
      <c r="I10155" s="75">
        <v>1</v>
      </c>
      <c r="J10155" s="75" t="s">
        <v>26</v>
      </c>
      <c r="K10155" s="97" t="s">
        <v>26</v>
      </c>
      <c r="L10155"/>
      <c r="M10155"/>
      <c r="N10155"/>
      <c r="O10155"/>
      <c r="P10155" s="57"/>
      <c r="Q10155" s="57"/>
      <c r="R10155" s="57"/>
      <c r="S10155" s="97"/>
      <c r="T10155" s="57"/>
      <c r="U10155" s="57"/>
      <c r="V10155" s="57"/>
      <c r="W10155" s="57"/>
      <c r="X10155" s="97"/>
    </row>
    <row r="10156" spans="1:24" s="75" customFormat="1" x14ac:dyDescent="0.35">
      <c r="A10156" s="75">
        <v>10152</v>
      </c>
      <c r="B10156" s="75">
        <v>10153</v>
      </c>
      <c r="C10156">
        <v>146.129078364999</v>
      </c>
      <c r="D10156">
        <v>-17.5989806583</v>
      </c>
      <c r="E10156" s="92" t="str">
        <f t="shared" si="74"/>
        <v/>
      </c>
      <c r="I10156" s="75">
        <v>1</v>
      </c>
      <c r="J10156" s="75" t="s">
        <v>26</v>
      </c>
      <c r="K10156" s="97" t="s">
        <v>26</v>
      </c>
      <c r="L10156"/>
      <c r="M10156"/>
      <c r="N10156"/>
      <c r="O10156"/>
      <c r="P10156" s="57"/>
      <c r="Q10156" s="57"/>
      <c r="R10156" s="57"/>
      <c r="S10156" s="97"/>
      <c r="T10156" s="57"/>
      <c r="U10156" s="57"/>
      <c r="V10156" s="57"/>
      <c r="W10156" s="57"/>
      <c r="X10156" s="97"/>
    </row>
    <row r="10157" spans="1:24" s="75" customFormat="1" x14ac:dyDescent="0.35">
      <c r="A10157" s="75">
        <v>10153</v>
      </c>
      <c r="B10157" s="75">
        <v>10154</v>
      </c>
      <c r="C10157">
        <v>146.12910396500001</v>
      </c>
      <c r="D10157">
        <v>-17.598898581699899</v>
      </c>
      <c r="E10157" s="92" t="str">
        <f t="shared" si="74"/>
        <v/>
      </c>
      <c r="I10157" s="75">
        <v>1</v>
      </c>
      <c r="J10157" s="75" t="s">
        <v>26</v>
      </c>
      <c r="K10157" s="97" t="s">
        <v>26</v>
      </c>
      <c r="L10157"/>
      <c r="M10157"/>
      <c r="N10157"/>
      <c r="O10157"/>
      <c r="P10157" s="57"/>
      <c r="Q10157" s="57"/>
      <c r="R10157" s="57"/>
      <c r="S10157" s="97"/>
      <c r="T10157" s="57"/>
      <c r="U10157" s="57"/>
      <c r="V10157" s="57"/>
      <c r="W10157" s="57"/>
      <c r="X10157" s="97"/>
    </row>
    <row r="10158" spans="1:24" s="75" customFormat="1" x14ac:dyDescent="0.35">
      <c r="A10158" s="75">
        <v>10154</v>
      </c>
      <c r="B10158" s="75">
        <v>10155</v>
      </c>
      <c r="C10158">
        <v>146.129112031999</v>
      </c>
      <c r="D10158">
        <v>-17.5988140374</v>
      </c>
      <c r="E10158" s="92">
        <f t="shared" si="74"/>
        <v>50</v>
      </c>
      <c r="I10158" s="75">
        <v>1</v>
      </c>
      <c r="J10158" s="75" t="s">
        <v>26</v>
      </c>
      <c r="K10158" s="97" t="s">
        <v>26</v>
      </c>
      <c r="L10158"/>
      <c r="M10158"/>
      <c r="N10158"/>
      <c r="O10158"/>
      <c r="P10158" s="57"/>
      <c r="Q10158" s="57"/>
      <c r="R10158" s="57"/>
      <c r="S10158" s="97"/>
      <c r="T10158" s="57"/>
      <c r="U10158" s="57"/>
      <c r="V10158" s="57"/>
      <c r="W10158" s="57"/>
      <c r="X10158" s="97"/>
    </row>
    <row r="10159" spans="1:24" s="75" customFormat="1" x14ac:dyDescent="0.35">
      <c r="A10159" s="75">
        <v>10155</v>
      </c>
      <c r="B10159" s="75">
        <v>10156</v>
      </c>
      <c r="C10159">
        <v>146.12908281399899</v>
      </c>
      <c r="D10159">
        <v>-17.5987331259999</v>
      </c>
      <c r="E10159" s="92" t="str">
        <f t="shared" si="74"/>
        <v/>
      </c>
      <c r="I10159" s="75">
        <v>1</v>
      </c>
      <c r="J10159" s="75" t="s">
        <v>26</v>
      </c>
      <c r="K10159" s="97" t="s">
        <v>26</v>
      </c>
      <c r="L10159"/>
      <c r="M10159"/>
      <c r="N10159"/>
      <c r="O10159"/>
      <c r="P10159" s="57"/>
      <c r="Q10159" s="57"/>
      <c r="R10159" s="57"/>
      <c r="S10159" s="97"/>
      <c r="T10159" s="57"/>
      <c r="U10159" s="57"/>
      <c r="V10159" s="57"/>
      <c r="W10159" s="57"/>
      <c r="X10159" s="97"/>
    </row>
    <row r="10160" spans="1:24" s="75" customFormat="1" x14ac:dyDescent="0.35">
      <c r="A10160" s="75">
        <v>10156</v>
      </c>
      <c r="B10160" s="75">
        <v>10157</v>
      </c>
      <c r="C10160">
        <v>146.12905323800001</v>
      </c>
      <c r="D10160">
        <v>-17.5986522725999</v>
      </c>
      <c r="E10160" s="92" t="str">
        <f t="shared" si="74"/>
        <v/>
      </c>
      <c r="I10160" s="75">
        <v>1</v>
      </c>
      <c r="J10160" s="75" t="s">
        <v>26</v>
      </c>
      <c r="K10160" s="97" t="s">
        <v>26</v>
      </c>
      <c r="L10160"/>
      <c r="M10160"/>
      <c r="N10160"/>
      <c r="O10160"/>
      <c r="P10160" s="57"/>
      <c r="Q10160" s="57"/>
      <c r="R10160" s="57"/>
      <c r="S10160" s="97"/>
      <c r="T10160" s="57"/>
      <c r="U10160" s="57"/>
      <c r="V10160" s="57"/>
      <c r="W10160" s="57"/>
      <c r="X10160" s="97"/>
    </row>
    <row r="10161" spans="1:24" s="75" customFormat="1" x14ac:dyDescent="0.35">
      <c r="A10161" s="75">
        <v>10157</v>
      </c>
      <c r="B10161" s="75">
        <v>10158</v>
      </c>
      <c r="C10161">
        <v>146.129023662999</v>
      </c>
      <c r="D10161">
        <v>-17.598571419199899</v>
      </c>
      <c r="E10161" s="92" t="str">
        <f t="shared" si="74"/>
        <v/>
      </c>
      <c r="I10161" s="75">
        <v>1</v>
      </c>
      <c r="J10161" s="75" t="s">
        <v>26</v>
      </c>
      <c r="K10161" s="97" t="s">
        <v>26</v>
      </c>
      <c r="L10161"/>
      <c r="M10161"/>
      <c r="N10161"/>
      <c r="O10161"/>
      <c r="P10161" s="57"/>
      <c r="Q10161" s="57"/>
      <c r="R10161" s="57"/>
      <c r="S10161" s="97"/>
      <c r="T10161" s="57"/>
      <c r="U10161" s="57"/>
      <c r="V10161" s="57"/>
      <c r="W10161" s="57"/>
      <c r="X10161" s="97"/>
    </row>
    <row r="10162" spans="1:24" s="75" customFormat="1" x14ac:dyDescent="0.35">
      <c r="A10162" s="75">
        <v>10158</v>
      </c>
      <c r="B10162" s="75">
        <v>10159</v>
      </c>
      <c r="C10162">
        <v>146.128994086999</v>
      </c>
      <c r="D10162">
        <v>-17.598490565799899</v>
      </c>
      <c r="E10162" s="92" t="str">
        <f t="shared" si="74"/>
        <v/>
      </c>
      <c r="I10162" s="75">
        <v>1</v>
      </c>
      <c r="J10162" s="75" t="s">
        <v>26</v>
      </c>
      <c r="K10162" s="97" t="s">
        <v>26</v>
      </c>
      <c r="L10162"/>
      <c r="M10162"/>
      <c r="N10162"/>
      <c r="O10162"/>
      <c r="P10162" s="57"/>
      <c r="Q10162" s="57"/>
      <c r="R10162" s="57"/>
      <c r="S10162" s="97"/>
      <c r="T10162" s="57"/>
      <c r="U10162" s="57"/>
      <c r="V10162" s="57"/>
      <c r="W10162" s="57"/>
      <c r="X10162" s="97"/>
    </row>
    <row r="10163" spans="1:24" s="75" customFormat="1" x14ac:dyDescent="0.35">
      <c r="A10163" s="75">
        <v>10159</v>
      </c>
      <c r="B10163" s="75">
        <v>10160</v>
      </c>
      <c r="C10163">
        <v>146.12896451200001</v>
      </c>
      <c r="D10163">
        <v>-17.598409712300001</v>
      </c>
      <c r="E10163" s="92">
        <f t="shared" si="74"/>
        <v>50</v>
      </c>
      <c r="I10163" s="75">
        <v>1</v>
      </c>
      <c r="J10163" s="75" t="s">
        <v>26</v>
      </c>
      <c r="K10163" s="97" t="s">
        <v>26</v>
      </c>
      <c r="L10163"/>
      <c r="M10163"/>
      <c r="N10163"/>
      <c r="O10163"/>
      <c r="P10163" s="57"/>
      <c r="Q10163" s="57"/>
      <c r="R10163" s="57"/>
      <c r="S10163" s="97"/>
      <c r="T10163" s="57"/>
      <c r="U10163" s="57"/>
      <c r="V10163" s="57"/>
      <c r="W10163" s="57"/>
      <c r="X10163" s="97"/>
    </row>
    <row r="10164" spans="1:24" s="75" customFormat="1" x14ac:dyDescent="0.35">
      <c r="A10164" s="75">
        <v>10160</v>
      </c>
      <c r="B10164" s="75">
        <v>10161</v>
      </c>
      <c r="C10164">
        <v>146.12896476700001</v>
      </c>
      <c r="D10164">
        <v>-17.598325023200001</v>
      </c>
      <c r="E10164" s="92" t="str">
        <f t="shared" si="74"/>
        <v/>
      </c>
      <c r="I10164" s="75">
        <v>1</v>
      </c>
      <c r="J10164" s="75" t="s">
        <v>26</v>
      </c>
      <c r="K10164" s="97" t="s">
        <v>26</v>
      </c>
      <c r="L10164"/>
      <c r="M10164"/>
      <c r="N10164"/>
      <c r="O10164"/>
      <c r="P10164" s="57"/>
      <c r="Q10164" s="57"/>
      <c r="R10164" s="57"/>
      <c r="S10164" s="97"/>
      <c r="T10164" s="57"/>
      <c r="U10164" s="57"/>
      <c r="V10164" s="57"/>
      <c r="W10164" s="57"/>
      <c r="X10164" s="97"/>
    </row>
  </sheetData>
  <autoFilter ref="A3:Z10164" xr:uid="{C4A1011B-B301-4EAF-8477-96B890CCFA16}">
    <filterColumn colId="8">
      <filters>
        <filter val="1"/>
        <filter val="2"/>
      </filters>
    </filterColumn>
  </autoFilter>
  <conditionalFormatting sqref="T4:W984">
    <cfRule type="containsText" dxfId="6" priority="5" operator="containsText" text="1">
      <formula>NOT(ISERROR(SEARCH("1",T4)))</formula>
    </cfRule>
  </conditionalFormatting>
  <conditionalFormatting sqref="R4:R984">
    <cfRule type="containsText" dxfId="5" priority="4" operator="containsText" text="1">
      <formula>NOT(ISERROR(SEARCH("1",R4)))</formula>
    </cfRule>
  </conditionalFormatting>
  <conditionalFormatting sqref="Q4:Q984">
    <cfRule type="containsText" dxfId="4" priority="3" operator="containsText" text="1">
      <formula>NOT(ISERROR(SEARCH("1",Q4)))</formula>
    </cfRule>
  </conditionalFormatting>
  <conditionalFormatting sqref="S4:S984">
    <cfRule type="containsText" dxfId="3" priority="2" operator="containsText" text="1">
      <formula>NOT(ISERROR(SEARCH("1",S4)))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populateData">
                <anchor moveWithCells="1" sizeWithCells="1">
                  <from>
                    <xdr:col>5</xdr:col>
                    <xdr:colOff>171450</xdr:colOff>
                    <xdr:row>2</xdr:row>
                    <xdr:rowOff>203200</xdr:rowOff>
                  </from>
                  <to>
                    <xdr:col>5</xdr:col>
                    <xdr:colOff>2546350</xdr:colOff>
                    <xdr:row>2</xdr:row>
                    <xdr:rowOff>660400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489CB-E076-473A-B763-27007B3EEF83}">
  <sheetPr codeName="Sheet4" filterMode="1"/>
  <dimension ref="A1:AJ2035"/>
  <sheetViews>
    <sheetView zoomScale="80" zoomScaleNormal="80" workbookViewId="0">
      <pane ySplit="3" topLeftCell="A15" activePane="bottomLeft" state="frozen"/>
      <selection pane="bottomLeft" activeCell="H3" sqref="H3:Q2035"/>
    </sheetView>
  </sheetViews>
  <sheetFormatPr defaultRowHeight="14.5" x14ac:dyDescent="0.35"/>
  <cols>
    <col min="1" max="1" width="5.26953125" customWidth="1"/>
    <col min="2" max="2" width="6.6328125" bestFit="1" customWidth="1"/>
    <col min="3" max="3" width="12.54296875" bestFit="1" customWidth="1"/>
    <col min="4" max="4" width="12.453125" bestFit="1" customWidth="1"/>
    <col min="5" max="5" width="6.36328125" bestFit="1" customWidth="1"/>
    <col min="6" max="6" width="6.36328125" style="92" hidden="1" customWidth="1"/>
    <col min="7" max="7" width="29.54296875" bestFit="1" customWidth="1"/>
    <col min="8" max="8" width="6.90625" bestFit="1" customWidth="1"/>
    <col min="9" max="9" width="8.54296875" bestFit="1" customWidth="1"/>
    <col min="10" max="10" width="4.81640625" style="18" customWidth="1"/>
    <col min="11" max="11" width="8" style="16" hidden="1" customWidth="1"/>
    <col min="12" max="12" width="4.36328125" style="17" hidden="1" customWidth="1"/>
    <col min="13" max="13" width="4.36328125" style="16" hidden="1" customWidth="1"/>
    <col min="14" max="14" width="5" style="30" customWidth="1"/>
    <col min="15" max="15" width="4.08984375" style="30" customWidth="1"/>
    <col min="16" max="16" width="9.81640625" style="50" hidden="1" customWidth="1"/>
    <col min="17" max="17" width="6.1796875" style="55" customWidth="1"/>
    <col min="18" max="18" width="4.54296875" style="20" hidden="1" customWidth="1"/>
    <col min="19" max="19" width="4.54296875" style="21" hidden="1" customWidth="1"/>
    <col min="20" max="20" width="4.54296875" style="41" hidden="1" customWidth="1"/>
    <col min="21" max="21" width="4.54296875" style="36" hidden="1" customWidth="1"/>
    <col min="22" max="22" width="4.54296875" style="37" hidden="1" customWidth="1"/>
    <col min="23" max="23" width="4.54296875" style="44" hidden="1" customWidth="1"/>
    <col min="24" max="26" width="2" style="85" hidden="1" customWidth="1"/>
    <col min="27" max="27" width="7.90625" bestFit="1" customWidth="1"/>
    <col min="29" max="29" width="43.26953125" bestFit="1" customWidth="1"/>
    <col min="30" max="30" width="27.7265625" bestFit="1" customWidth="1"/>
    <col min="35" max="35" width="8.6328125" bestFit="1" customWidth="1"/>
    <col min="36" max="36" width="21.453125" bestFit="1" customWidth="1"/>
  </cols>
  <sheetData>
    <row r="1" spans="1:36" x14ac:dyDescent="0.35">
      <c r="J1" s="51" t="s">
        <v>0</v>
      </c>
      <c r="K1" s="10" t="s">
        <v>32</v>
      </c>
      <c r="L1" s="11"/>
      <c r="M1" s="12"/>
      <c r="N1" s="13"/>
      <c r="O1" s="14"/>
      <c r="P1" s="47"/>
      <c r="Q1" s="54" t="s">
        <v>33</v>
      </c>
      <c r="R1" s="15"/>
      <c r="S1" s="15"/>
      <c r="T1" s="40"/>
      <c r="U1" s="34"/>
      <c r="V1" s="35"/>
      <c r="W1" s="43"/>
      <c r="X1" s="87"/>
      <c r="Y1" s="87"/>
      <c r="Z1" s="87"/>
      <c r="AC1" t="s">
        <v>34</v>
      </c>
    </row>
    <row r="2" spans="1:36" x14ac:dyDescent="0.35">
      <c r="J2" s="52" t="s">
        <v>2</v>
      </c>
      <c r="N2" s="18"/>
      <c r="O2" s="19"/>
      <c r="P2" s="48"/>
      <c r="R2" s="21"/>
      <c r="AC2" s="57"/>
      <c r="AD2" t="s">
        <v>31</v>
      </c>
    </row>
    <row r="3" spans="1:36" ht="145.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s="92" t="s">
        <v>7374</v>
      </c>
      <c r="G3" t="s">
        <v>8</v>
      </c>
      <c r="H3" t="s">
        <v>9</v>
      </c>
      <c r="I3" t="s">
        <v>10</v>
      </c>
      <c r="J3" s="53" t="s">
        <v>35</v>
      </c>
      <c r="K3" s="22" t="s">
        <v>36</v>
      </c>
      <c r="L3" s="23" t="s">
        <v>37</v>
      </c>
      <c r="M3" s="22" t="s">
        <v>38</v>
      </c>
      <c r="N3" s="25" t="s">
        <v>39</v>
      </c>
      <c r="O3" s="26" t="s">
        <v>40</v>
      </c>
      <c r="P3" s="49" t="s">
        <v>41</v>
      </c>
      <c r="Q3" s="56" t="s">
        <v>42</v>
      </c>
      <c r="R3" s="27" t="s">
        <v>43</v>
      </c>
      <c r="S3" s="27" t="s">
        <v>44</v>
      </c>
      <c r="T3" s="42" t="s">
        <v>45</v>
      </c>
      <c r="U3" s="38" t="s">
        <v>46</v>
      </c>
      <c r="V3" s="39" t="s">
        <v>47</v>
      </c>
      <c r="W3" s="45" t="s">
        <v>48</v>
      </c>
      <c r="X3" s="76"/>
      <c r="Y3" s="76"/>
      <c r="Z3" s="76"/>
      <c r="AA3" t="s">
        <v>24</v>
      </c>
      <c r="AC3" t="s">
        <v>49</v>
      </c>
    </row>
    <row r="4" spans="1:36" ht="16" x14ac:dyDescent="0.4">
      <c r="A4">
        <v>4</v>
      </c>
      <c r="B4" s="92">
        <v>5</v>
      </c>
      <c r="E4">
        <v>50</v>
      </c>
      <c r="F4" s="92">
        <f>_xlfn.XLOOKUP(B4, DATA_Moresby_2024_ALL!B:B, DATA_Moresby_2024_ALL!G:G, "")</f>
        <v>0</v>
      </c>
      <c r="G4" s="92"/>
      <c r="H4" s="92">
        <v>1</v>
      </c>
      <c r="I4" s="92" t="str">
        <f>IF(G4="","X","")</f>
        <v>X</v>
      </c>
      <c r="J4" s="79" t="str">
        <f>IF(G4="","X",_xlfn.XLOOKUP(B4,DATA_Moresby_2024_ALL!B:B,DATA_Moresby_2024_ALL!K:K,""))</f>
        <v>X</v>
      </c>
      <c r="K4" s="86"/>
      <c r="L4" s="90"/>
      <c r="M4" s="86"/>
      <c r="N4" s="83"/>
      <c r="O4" s="74"/>
      <c r="P4" s="81"/>
      <c r="Q4" s="84"/>
      <c r="R4" s="82"/>
      <c r="S4" s="82"/>
      <c r="T4" s="91"/>
      <c r="U4" s="78"/>
      <c r="V4" s="77"/>
      <c r="W4" s="76"/>
      <c r="X4" s="92" t="s">
        <v>78</v>
      </c>
      <c r="Y4" s="92" t="s">
        <v>78</v>
      </c>
      <c r="Z4" s="92" t="s">
        <v>78</v>
      </c>
      <c r="AA4" s="92"/>
      <c r="AC4">
        <v>1</v>
      </c>
      <c r="AD4" t="s">
        <v>50</v>
      </c>
      <c r="AI4" t="s">
        <v>3960</v>
      </c>
    </row>
    <row r="5" spans="1:36" ht="16" x14ac:dyDescent="0.4">
      <c r="A5">
        <v>9</v>
      </c>
      <c r="B5" s="92">
        <v>10</v>
      </c>
      <c r="E5">
        <v>50</v>
      </c>
      <c r="F5" s="92">
        <f>_xlfn.XLOOKUP(B5, DATA_Moresby_2024_ALL!B:B, DATA_Moresby_2024_ALL!G:G, "")</f>
        <v>0</v>
      </c>
      <c r="H5" s="92">
        <v>1</v>
      </c>
      <c r="I5" s="92" t="str">
        <f t="shared" ref="I5:I14" si="0">IF(G5="","X","")</f>
        <v>X</v>
      </c>
      <c r="J5" s="79" t="str">
        <f>IF(G5="","X",_xlfn.XLOOKUP(B5,DATA_Moresby_2024_ALL!B:B,DATA_Moresby_2024_ALL!K:K,""))</f>
        <v>X</v>
      </c>
      <c r="K5" s="28"/>
      <c r="L5" s="29"/>
      <c r="M5" s="28"/>
      <c r="N5" s="19"/>
      <c r="O5" s="19"/>
      <c r="P5" s="48"/>
      <c r="R5" s="21"/>
      <c r="T5" s="21"/>
      <c r="W5" s="46"/>
      <c r="X5" s="92" t="s">
        <v>78</v>
      </c>
      <c r="Y5" s="92" t="s">
        <v>78</v>
      </c>
      <c r="Z5" s="92" t="s">
        <v>78</v>
      </c>
      <c r="AC5">
        <v>2</v>
      </c>
      <c r="AD5" t="s">
        <v>51</v>
      </c>
      <c r="AI5">
        <v>1</v>
      </c>
      <c r="AJ5" t="s">
        <v>3962</v>
      </c>
    </row>
    <row r="6" spans="1:36" ht="16" x14ac:dyDescent="0.4">
      <c r="A6">
        <v>14</v>
      </c>
      <c r="B6" s="92">
        <v>15</v>
      </c>
      <c r="E6">
        <v>50</v>
      </c>
      <c r="F6" s="92">
        <f>_xlfn.XLOOKUP(B6, DATA_Moresby_2024_ALL!B:B, DATA_Moresby_2024_ALL!G:G, "")</f>
        <v>0</v>
      </c>
      <c r="H6" s="92">
        <v>1</v>
      </c>
      <c r="I6" s="92" t="str">
        <f t="shared" si="0"/>
        <v>X</v>
      </c>
      <c r="J6" s="79" t="str">
        <f>IF(G6="","X",_xlfn.XLOOKUP(B6,DATA_Moresby_2024_ALL!B:B,DATA_Moresby_2024_ALL!K:K,""))</f>
        <v>X</v>
      </c>
      <c r="K6" s="28"/>
      <c r="L6" s="29"/>
      <c r="M6" s="28"/>
      <c r="N6" s="19"/>
      <c r="O6" s="19"/>
      <c r="P6" s="48"/>
      <c r="R6" s="21"/>
      <c r="T6" s="21"/>
      <c r="W6" s="46"/>
      <c r="X6" s="92" t="s">
        <v>78</v>
      </c>
      <c r="Y6" s="92" t="s">
        <v>78</v>
      </c>
      <c r="Z6" s="92" t="s">
        <v>78</v>
      </c>
      <c r="AC6">
        <v>3</v>
      </c>
      <c r="AD6" t="s">
        <v>52</v>
      </c>
      <c r="AI6">
        <v>2</v>
      </c>
      <c r="AJ6" t="s">
        <v>3963</v>
      </c>
    </row>
    <row r="7" spans="1:36" ht="16" x14ac:dyDescent="0.4">
      <c r="A7">
        <v>19</v>
      </c>
      <c r="B7" s="92">
        <v>20</v>
      </c>
      <c r="E7">
        <v>50</v>
      </c>
      <c r="F7" s="92">
        <f>_xlfn.XLOOKUP(B7, DATA_Moresby_2024_ALL!B:B, DATA_Moresby_2024_ALL!G:G, "")</f>
        <v>0</v>
      </c>
      <c r="H7" s="92">
        <v>1</v>
      </c>
      <c r="I7" s="92" t="str">
        <f t="shared" si="0"/>
        <v>X</v>
      </c>
      <c r="J7" s="79" t="str">
        <f>IF(G7="","X",_xlfn.XLOOKUP(B7,DATA_Moresby_2024_ALL!B:B,DATA_Moresby_2024_ALL!K:K,""))</f>
        <v>X</v>
      </c>
      <c r="K7" s="28"/>
      <c r="L7" s="29"/>
      <c r="M7" s="28"/>
      <c r="N7" s="19"/>
      <c r="O7" s="19"/>
      <c r="P7" s="48"/>
      <c r="R7" s="21"/>
      <c r="T7" s="21"/>
      <c r="W7" s="46"/>
      <c r="X7" s="92" t="s">
        <v>78</v>
      </c>
      <c r="Y7" s="92" t="s">
        <v>78</v>
      </c>
      <c r="Z7" s="92" t="s">
        <v>78</v>
      </c>
      <c r="AC7">
        <v>4</v>
      </c>
      <c r="AD7" t="s">
        <v>53</v>
      </c>
      <c r="AI7">
        <v>3</v>
      </c>
      <c r="AJ7" t="s">
        <v>3964</v>
      </c>
    </row>
    <row r="8" spans="1:36" ht="16" x14ac:dyDescent="0.4">
      <c r="A8">
        <v>24</v>
      </c>
      <c r="B8" s="92">
        <v>25</v>
      </c>
      <c r="E8">
        <v>50</v>
      </c>
      <c r="F8" s="92">
        <f>_xlfn.XLOOKUP(B8, DATA_Moresby_2024_ALL!B:B, DATA_Moresby_2024_ALL!G:G, "")</f>
        <v>0</v>
      </c>
      <c r="H8" s="92">
        <v>1</v>
      </c>
      <c r="I8" s="92" t="str">
        <f t="shared" si="0"/>
        <v>X</v>
      </c>
      <c r="J8" s="79" t="str">
        <f>IF(G8="","X",_xlfn.XLOOKUP(B8,DATA_Moresby_2024_ALL!B:B,DATA_Moresby_2024_ALL!K:K,""))</f>
        <v>X</v>
      </c>
      <c r="K8" s="28"/>
      <c r="L8" s="29"/>
      <c r="M8" s="28"/>
      <c r="N8" s="19"/>
      <c r="O8" s="19"/>
      <c r="P8" s="48"/>
      <c r="R8" s="21"/>
      <c r="T8" s="21"/>
      <c r="W8" s="46"/>
      <c r="X8" s="92" t="s">
        <v>78</v>
      </c>
      <c r="Y8" s="92" t="s">
        <v>78</v>
      </c>
      <c r="Z8" s="92" t="s">
        <v>78</v>
      </c>
      <c r="AI8">
        <v>4</v>
      </c>
      <c r="AJ8" t="s">
        <v>3965</v>
      </c>
    </row>
    <row r="9" spans="1:36" ht="16" x14ac:dyDescent="0.4">
      <c r="A9">
        <v>29</v>
      </c>
      <c r="B9" s="92">
        <v>30</v>
      </c>
      <c r="E9">
        <v>50</v>
      </c>
      <c r="F9" s="92">
        <f>_xlfn.XLOOKUP(B9, DATA_Moresby_2024_ALL!B:B, DATA_Moresby_2024_ALL!G:G, "")</f>
        <v>0</v>
      </c>
      <c r="H9" s="92">
        <v>1</v>
      </c>
      <c r="I9" s="92" t="str">
        <f t="shared" si="0"/>
        <v>X</v>
      </c>
      <c r="J9" s="79" t="str">
        <f>IF(G9="","X",_xlfn.XLOOKUP(B9,DATA_Moresby_2024_ALL!B:B,DATA_Moresby_2024_ALL!K:K,""))</f>
        <v>X</v>
      </c>
      <c r="K9" s="28"/>
      <c r="L9" s="29"/>
      <c r="M9" s="28"/>
      <c r="N9" s="19"/>
      <c r="O9" s="19"/>
      <c r="P9" s="48"/>
      <c r="R9" s="21"/>
      <c r="T9" s="21"/>
      <c r="W9" s="46"/>
      <c r="X9" s="92" t="s">
        <v>78</v>
      </c>
      <c r="Y9" s="92" t="s">
        <v>78</v>
      </c>
      <c r="Z9" s="92" t="s">
        <v>78</v>
      </c>
    </row>
    <row r="10" spans="1:36" ht="16" x14ac:dyDescent="0.4">
      <c r="A10">
        <v>34</v>
      </c>
      <c r="B10" s="92">
        <v>35</v>
      </c>
      <c r="E10">
        <v>50</v>
      </c>
      <c r="F10" s="92">
        <f>_xlfn.XLOOKUP(B10, DATA_Moresby_2024_ALL!B:B, DATA_Moresby_2024_ALL!G:G, "")</f>
        <v>0</v>
      </c>
      <c r="H10" s="92">
        <v>1</v>
      </c>
      <c r="I10" s="92" t="str">
        <f t="shared" si="0"/>
        <v>X</v>
      </c>
      <c r="J10" s="79" t="str">
        <f>IF(G10="","X",_xlfn.XLOOKUP(B10,DATA_Moresby_2024_ALL!B:B,DATA_Moresby_2024_ALL!K:K,""))</f>
        <v>X</v>
      </c>
      <c r="K10" s="28"/>
      <c r="L10" s="29"/>
      <c r="M10" s="28"/>
      <c r="N10" s="19"/>
      <c r="O10" s="19"/>
      <c r="P10" s="48"/>
      <c r="R10" s="21"/>
      <c r="T10" s="21"/>
      <c r="W10" s="46"/>
      <c r="X10" s="92" t="s">
        <v>78</v>
      </c>
      <c r="Y10" s="92" t="s">
        <v>78</v>
      </c>
      <c r="Z10" s="92" t="s">
        <v>78</v>
      </c>
    </row>
    <row r="11" spans="1:36" ht="16" x14ac:dyDescent="0.4">
      <c r="A11">
        <v>39</v>
      </c>
      <c r="B11" s="92">
        <v>40</v>
      </c>
      <c r="E11">
        <v>50</v>
      </c>
      <c r="F11" s="92">
        <f>_xlfn.XLOOKUP(B11, DATA_Moresby_2024_ALL!B:B, DATA_Moresby_2024_ALL!G:G, "")</f>
        <v>0</v>
      </c>
      <c r="H11" s="92">
        <v>1</v>
      </c>
      <c r="I11" s="92" t="str">
        <f t="shared" si="0"/>
        <v>X</v>
      </c>
      <c r="J11" s="79" t="str">
        <f>IF(G11="","X",_xlfn.XLOOKUP(B11,DATA_Moresby_2024_ALL!B:B,DATA_Moresby_2024_ALL!K:K,""))</f>
        <v>X</v>
      </c>
      <c r="K11" s="28"/>
      <c r="L11" s="29"/>
      <c r="M11" s="28"/>
      <c r="N11" s="19"/>
      <c r="O11" s="19"/>
      <c r="P11" s="48"/>
      <c r="R11" s="21"/>
      <c r="T11" s="21"/>
      <c r="W11" s="46"/>
      <c r="X11" s="92" t="s">
        <v>78</v>
      </c>
      <c r="Y11" s="92" t="s">
        <v>78</v>
      </c>
      <c r="Z11" s="92" t="s">
        <v>78</v>
      </c>
      <c r="AC11" t="s">
        <v>46</v>
      </c>
      <c r="AI11" t="s">
        <v>3961</v>
      </c>
    </row>
    <row r="12" spans="1:36" ht="16" x14ac:dyDescent="0.4">
      <c r="A12">
        <v>44</v>
      </c>
      <c r="B12" s="92">
        <v>45</v>
      </c>
      <c r="E12">
        <v>50</v>
      </c>
      <c r="F12" s="92">
        <f>_xlfn.XLOOKUP(B12, DATA_Moresby_2024_ALL!B:B, DATA_Moresby_2024_ALL!G:G, "")</f>
        <v>0</v>
      </c>
      <c r="H12" s="92">
        <v>1</v>
      </c>
      <c r="I12" s="92" t="str">
        <f t="shared" si="0"/>
        <v>X</v>
      </c>
      <c r="J12" s="79" t="str">
        <f>IF(G12="","X",_xlfn.XLOOKUP(B12,DATA_Moresby_2024_ALL!B:B,DATA_Moresby_2024_ALL!K:K,""))</f>
        <v>X</v>
      </c>
      <c r="K12" s="28"/>
      <c r="L12" s="29"/>
      <c r="M12" s="28"/>
      <c r="N12" s="19"/>
      <c r="O12" s="19"/>
      <c r="P12" s="48"/>
      <c r="R12" s="21"/>
      <c r="T12" s="21"/>
      <c r="W12" s="46"/>
      <c r="X12" s="92" t="s">
        <v>78</v>
      </c>
      <c r="Y12" s="92" t="s">
        <v>78</v>
      </c>
      <c r="Z12" s="92" t="s">
        <v>78</v>
      </c>
      <c r="AC12">
        <v>1</v>
      </c>
      <c r="AD12" t="s">
        <v>54</v>
      </c>
      <c r="AI12">
        <v>1</v>
      </c>
      <c r="AJ12" t="s">
        <v>3966</v>
      </c>
    </row>
    <row r="13" spans="1:36" ht="16" x14ac:dyDescent="0.4">
      <c r="A13">
        <v>49</v>
      </c>
      <c r="B13" s="92">
        <v>50</v>
      </c>
      <c r="E13">
        <v>50</v>
      </c>
      <c r="F13" s="92" t="str">
        <f>_xlfn.XLOOKUP(B13, DATA_Moresby_2024_ALL!B:B, DATA_Moresby_2024_ALL!G:G, "")</f>
        <v>50_20240611_0012_R_1911.jpg</v>
      </c>
      <c r="G13" s="93" t="str">
        <f>HYPERLINK("D:\Data From Lucan\2024\Moresby\Frames_for_Analysis_50\" &amp; F13,F13)</f>
        <v>50_20240611_0012_R_1911.jpg</v>
      </c>
      <c r="H13" s="92">
        <v>1</v>
      </c>
      <c r="I13" s="92" t="str">
        <f t="shared" si="0"/>
        <v/>
      </c>
      <c r="J13" s="79">
        <f>IF(G13="","X",_xlfn.XLOOKUP(B13,DATA_Moresby_2024_ALL!B:B,DATA_Moresby_2024_ALL!K:K,""))</f>
        <v>0</v>
      </c>
      <c r="K13" s="28"/>
      <c r="L13" s="29"/>
      <c r="M13" s="28"/>
      <c r="N13" s="19"/>
      <c r="O13" s="19"/>
      <c r="P13" s="19" t="str">
        <f t="shared" ref="O13:Q28" si="1">IF($J13=1,4,"")</f>
        <v/>
      </c>
      <c r="Q13" s="19"/>
      <c r="R13" s="21"/>
      <c r="T13" s="21"/>
      <c r="W13" s="46"/>
      <c r="X13" s="92" t="s">
        <v>78</v>
      </c>
      <c r="Y13" s="92" t="s">
        <v>78</v>
      </c>
      <c r="Z13" s="92" t="s">
        <v>78</v>
      </c>
      <c r="AC13">
        <v>2</v>
      </c>
      <c r="AD13" t="s">
        <v>56</v>
      </c>
      <c r="AI13">
        <v>2</v>
      </c>
      <c r="AJ13" t="s">
        <v>3967</v>
      </c>
    </row>
    <row r="14" spans="1:36" ht="16" x14ac:dyDescent="0.4">
      <c r="A14">
        <v>54</v>
      </c>
      <c r="B14" s="92">
        <v>55</v>
      </c>
      <c r="E14">
        <v>50</v>
      </c>
      <c r="F14" s="92" t="str">
        <f>_xlfn.XLOOKUP(B14, DATA_Moresby_2024_ALL!B:B, DATA_Moresby_2024_ALL!G:G, "")</f>
        <v>55_20240611_0012_R_1896.jpg</v>
      </c>
      <c r="G14" s="93" t="str">
        <f t="shared" ref="G14:G77" si="2">HYPERLINK("D:\Data From Lucan\2024\Moresby\Frames_for_Analysis_50\" &amp; F14,F14)</f>
        <v>55_20240611_0012_R_1896.jpg</v>
      </c>
      <c r="H14" s="92">
        <v>1</v>
      </c>
      <c r="I14" s="92" t="str">
        <f t="shared" si="0"/>
        <v/>
      </c>
      <c r="J14" s="79">
        <f>IF(G14="","X",_xlfn.XLOOKUP(B14,DATA_Moresby_2024_ALL!B:B,DATA_Moresby_2024_ALL!K:K,""))</f>
        <v>0</v>
      </c>
      <c r="K14" s="28"/>
      <c r="L14" s="29"/>
      <c r="M14" s="28"/>
      <c r="N14" s="19"/>
      <c r="O14" s="19"/>
      <c r="P14" s="19" t="str">
        <f t="shared" si="1"/>
        <v/>
      </c>
      <c r="Q14" s="19"/>
      <c r="R14" s="21"/>
      <c r="T14" s="21"/>
      <c r="W14" s="46"/>
      <c r="X14" s="92" t="s">
        <v>78</v>
      </c>
      <c r="Y14" s="92" t="s">
        <v>78</v>
      </c>
      <c r="Z14" s="92" t="s">
        <v>78</v>
      </c>
      <c r="AC14">
        <v>3</v>
      </c>
      <c r="AD14" t="s">
        <v>57</v>
      </c>
      <c r="AI14">
        <v>3</v>
      </c>
      <c r="AJ14" t="s">
        <v>3968</v>
      </c>
    </row>
    <row r="15" spans="1:36" ht="16" x14ac:dyDescent="0.4">
      <c r="A15">
        <v>59</v>
      </c>
      <c r="B15" s="92">
        <v>60</v>
      </c>
      <c r="E15">
        <v>50</v>
      </c>
      <c r="F15" s="92" t="str">
        <f>_xlfn.XLOOKUP(B15, DATA_Moresby_2024_ALL!B:B, DATA_Moresby_2024_ALL!G:G, "")</f>
        <v>60_20240611_0012_R_1882.jpg</v>
      </c>
      <c r="G15" s="93" t="str">
        <f t="shared" si="2"/>
        <v>60_20240611_0012_R_1882.jpg</v>
      </c>
      <c r="H15" s="92">
        <v>1</v>
      </c>
      <c r="J15" s="79">
        <f>IF(G15="","X",_xlfn.XLOOKUP(B15,DATA_Moresby_2024_ALL!B:B,DATA_Moresby_2024_ALL!K:K,""))</f>
        <v>1</v>
      </c>
      <c r="K15" s="28"/>
      <c r="L15" s="29"/>
      <c r="M15" s="28"/>
      <c r="N15" s="19">
        <v>1</v>
      </c>
      <c r="O15" s="19">
        <v>1</v>
      </c>
      <c r="P15" s="19">
        <f t="shared" si="1"/>
        <v>4</v>
      </c>
      <c r="Q15" s="19">
        <f t="shared" si="1"/>
        <v>4</v>
      </c>
      <c r="R15" s="21"/>
      <c r="T15" s="21"/>
      <c r="W15" s="46"/>
      <c r="X15" s="92">
        <v>1</v>
      </c>
      <c r="Y15" s="92">
        <v>4</v>
      </c>
      <c r="Z15" s="92">
        <v>4</v>
      </c>
      <c r="AI15">
        <v>4</v>
      </c>
      <c r="AJ15" t="s">
        <v>3969</v>
      </c>
    </row>
    <row r="16" spans="1:36" ht="16" x14ac:dyDescent="0.4">
      <c r="A16">
        <v>64</v>
      </c>
      <c r="B16" s="92">
        <v>65</v>
      </c>
      <c r="E16">
        <v>50</v>
      </c>
      <c r="F16" s="92" t="str">
        <f>_xlfn.XLOOKUP(B16, DATA_Moresby_2024_ALL!B:B, DATA_Moresby_2024_ALL!G:G, "")</f>
        <v>65_20240611_0012_R_1868.jpg</v>
      </c>
      <c r="G16" s="93" t="str">
        <f t="shared" si="2"/>
        <v>65_20240611_0012_R_1868.jpg</v>
      </c>
      <c r="H16" s="92">
        <v>1</v>
      </c>
      <c r="I16" s="92" t="str">
        <f t="shared" ref="I16:I19" si="3">IF(G16="","X","")</f>
        <v/>
      </c>
      <c r="J16" s="79">
        <f>IF(G16="","X",_xlfn.XLOOKUP(B16,DATA_Moresby_2024_ALL!B:B,DATA_Moresby_2024_ALL!K:K,""))</f>
        <v>0</v>
      </c>
      <c r="K16" s="28"/>
      <c r="L16" s="29"/>
      <c r="M16" s="28"/>
      <c r="N16" s="19"/>
      <c r="O16" s="19"/>
      <c r="P16" s="19"/>
      <c r="Q16" s="19"/>
      <c r="R16" s="21"/>
      <c r="T16" s="21"/>
      <c r="W16" s="46"/>
      <c r="X16" s="92">
        <v>1</v>
      </c>
      <c r="Y16" s="92">
        <v>4</v>
      </c>
      <c r="Z16" s="92">
        <v>4</v>
      </c>
      <c r="AC16" t="s">
        <v>58</v>
      </c>
    </row>
    <row r="17" spans="1:36" ht="16" x14ac:dyDescent="0.4">
      <c r="A17">
        <v>69</v>
      </c>
      <c r="B17" s="92">
        <v>70</v>
      </c>
      <c r="E17">
        <v>50</v>
      </c>
      <c r="F17" s="92" t="str">
        <f>_xlfn.XLOOKUP(B17, DATA_Moresby_2024_ALL!B:B, DATA_Moresby_2024_ALL!G:G, "")</f>
        <v>70_20240611_0012_R_1855.jpg</v>
      </c>
      <c r="G17" s="93" t="str">
        <f t="shared" si="2"/>
        <v>70_20240611_0012_R_1855.jpg</v>
      </c>
      <c r="H17" s="92">
        <v>1</v>
      </c>
      <c r="I17" s="92" t="str">
        <f t="shared" si="3"/>
        <v/>
      </c>
      <c r="J17" s="79">
        <f>IF(G17="","X",_xlfn.XLOOKUP(B17,DATA_Moresby_2024_ALL!B:B,DATA_Moresby_2024_ALL!K:K,""))</f>
        <v>0</v>
      </c>
      <c r="K17" s="28"/>
      <c r="L17" s="29"/>
      <c r="M17" s="28"/>
      <c r="N17" s="19"/>
      <c r="O17" s="19"/>
      <c r="P17" s="19"/>
      <c r="Q17" s="19"/>
      <c r="R17" s="21"/>
      <c r="T17" s="21"/>
      <c r="W17" s="46"/>
      <c r="X17" s="92">
        <v>1</v>
      </c>
      <c r="Y17" s="92">
        <v>4</v>
      </c>
      <c r="Z17" s="92">
        <v>4</v>
      </c>
      <c r="AC17">
        <v>1</v>
      </c>
      <c r="AD17" t="s">
        <v>59</v>
      </c>
      <c r="AI17" t="s">
        <v>33</v>
      </c>
    </row>
    <row r="18" spans="1:36" ht="16" x14ac:dyDescent="0.4">
      <c r="A18">
        <v>74</v>
      </c>
      <c r="B18" s="92">
        <v>75</v>
      </c>
      <c r="E18">
        <v>50</v>
      </c>
      <c r="F18" s="92" t="str">
        <f>_xlfn.XLOOKUP(B18, DATA_Moresby_2024_ALL!B:B, DATA_Moresby_2024_ALL!G:G, "")</f>
        <v>75_20240611_0012_R_1845.jpg</v>
      </c>
      <c r="G18" s="93" t="str">
        <f t="shared" si="2"/>
        <v>75_20240611_0012_R_1845.jpg</v>
      </c>
      <c r="H18" s="92">
        <v>1</v>
      </c>
      <c r="I18" s="92" t="str">
        <f t="shared" si="3"/>
        <v/>
      </c>
      <c r="J18" s="79">
        <f>IF(G18="","X",_xlfn.XLOOKUP(B18,DATA_Moresby_2024_ALL!B:B,DATA_Moresby_2024_ALL!K:K,""))</f>
        <v>0</v>
      </c>
      <c r="K18" s="28"/>
      <c r="L18" s="29"/>
      <c r="M18" s="28"/>
      <c r="N18" s="19"/>
      <c r="O18" s="19"/>
      <c r="P18" s="19"/>
      <c r="Q18" s="19"/>
      <c r="R18" s="21"/>
      <c r="T18" s="21"/>
      <c r="W18" s="46"/>
      <c r="X18" s="92">
        <v>1</v>
      </c>
      <c r="Y18" s="92">
        <v>4</v>
      </c>
      <c r="Z18" s="92">
        <v>4</v>
      </c>
      <c r="AC18">
        <v>2</v>
      </c>
      <c r="AD18" t="s">
        <v>60</v>
      </c>
      <c r="AI18">
        <v>1</v>
      </c>
      <c r="AJ18" t="s">
        <v>3970</v>
      </c>
    </row>
    <row r="19" spans="1:36" ht="16" x14ac:dyDescent="0.4">
      <c r="A19">
        <v>79</v>
      </c>
      <c r="B19" s="92">
        <v>80</v>
      </c>
      <c r="E19">
        <v>50</v>
      </c>
      <c r="F19" s="92" t="str">
        <f>_xlfn.XLOOKUP(B19, DATA_Moresby_2024_ALL!B:B, DATA_Moresby_2024_ALL!G:G, "")</f>
        <v>80_20240611_0012_R_1843.jpg</v>
      </c>
      <c r="G19" s="93" t="str">
        <f t="shared" si="2"/>
        <v>80_20240611_0012_R_1843.jpg</v>
      </c>
      <c r="H19" s="92">
        <v>1</v>
      </c>
      <c r="I19" s="92" t="str">
        <f t="shared" si="3"/>
        <v/>
      </c>
      <c r="J19" s="79">
        <f>IF(G19="","X",_xlfn.XLOOKUP(B19,DATA_Moresby_2024_ALL!B:B,DATA_Moresby_2024_ALL!K:K,""))</f>
        <v>0</v>
      </c>
      <c r="K19" s="28"/>
      <c r="L19" s="29"/>
      <c r="M19" s="28"/>
      <c r="N19" s="19"/>
      <c r="O19" s="19"/>
      <c r="P19" s="19"/>
      <c r="Q19" s="19"/>
      <c r="R19" s="21"/>
      <c r="T19" s="21"/>
      <c r="W19" s="46"/>
      <c r="X19" s="92">
        <v>3</v>
      </c>
      <c r="Y19" s="92">
        <v>3</v>
      </c>
      <c r="Z19" s="92">
        <v>4</v>
      </c>
      <c r="AC19">
        <v>3</v>
      </c>
      <c r="AD19" t="s">
        <v>61</v>
      </c>
      <c r="AI19">
        <v>2</v>
      </c>
      <c r="AJ19" t="s">
        <v>3971</v>
      </c>
    </row>
    <row r="20" spans="1:36" ht="16" x14ac:dyDescent="0.4">
      <c r="A20">
        <v>84</v>
      </c>
      <c r="B20" s="92">
        <v>85</v>
      </c>
      <c r="E20">
        <v>50</v>
      </c>
      <c r="F20" s="92" t="str">
        <f>_xlfn.XLOOKUP(B20, DATA_Moresby_2024_ALL!B:B, DATA_Moresby_2024_ALL!G:G, "")</f>
        <v>85_20240611_0012_R_1796.jpg</v>
      </c>
      <c r="G20" s="93" t="str">
        <f t="shared" si="2"/>
        <v>85_20240611_0012_R_1796.jpg</v>
      </c>
      <c r="H20" s="92">
        <v>1</v>
      </c>
      <c r="J20" s="79">
        <f>IF(G20="","X",_xlfn.XLOOKUP(B20,DATA_Moresby_2024_ALL!B:B,DATA_Moresby_2024_ALL!K:K,""))</f>
        <v>1</v>
      </c>
      <c r="K20" s="28"/>
      <c r="L20" s="29"/>
      <c r="M20" s="28"/>
      <c r="N20" s="19">
        <f t="shared" ref="N20:Q29" si="4">IF($J20=1,4,"")</f>
        <v>4</v>
      </c>
      <c r="O20" s="19">
        <f t="shared" si="1"/>
        <v>4</v>
      </c>
      <c r="P20" s="19">
        <f t="shared" si="1"/>
        <v>4</v>
      </c>
      <c r="Q20" s="19">
        <f t="shared" si="1"/>
        <v>4</v>
      </c>
      <c r="R20" s="21"/>
      <c r="T20" s="21"/>
      <c r="W20" s="46"/>
      <c r="X20" s="92">
        <v>4</v>
      </c>
      <c r="Y20" s="92">
        <v>4</v>
      </c>
      <c r="Z20" s="92">
        <v>4</v>
      </c>
      <c r="AI20">
        <v>3</v>
      </c>
      <c r="AJ20" t="s">
        <v>3972</v>
      </c>
    </row>
    <row r="21" spans="1:36" ht="16" x14ac:dyDescent="0.4">
      <c r="A21">
        <v>89</v>
      </c>
      <c r="B21" s="92">
        <v>90</v>
      </c>
      <c r="E21">
        <v>50</v>
      </c>
      <c r="F21" s="92" t="str">
        <f>_xlfn.XLOOKUP(B21, DATA_Moresby_2024_ALL!B:B, DATA_Moresby_2024_ALL!G:G, "")</f>
        <v>90_20240611_0012_R_1782.jpg</v>
      </c>
      <c r="G21" s="93" t="str">
        <f t="shared" si="2"/>
        <v>90_20240611_0012_R_1782.jpg</v>
      </c>
      <c r="H21" s="92">
        <v>1</v>
      </c>
      <c r="J21" s="79">
        <f>IF(G21="","X",_xlfn.XLOOKUP(B21,DATA_Moresby_2024_ALL!B:B,DATA_Moresby_2024_ALL!K:K,""))</f>
        <v>1</v>
      </c>
      <c r="K21" s="28"/>
      <c r="L21" s="29"/>
      <c r="M21" s="28"/>
      <c r="N21" s="19">
        <f t="shared" si="4"/>
        <v>4</v>
      </c>
      <c r="O21" s="19">
        <f t="shared" si="1"/>
        <v>4</v>
      </c>
      <c r="P21" s="19">
        <f t="shared" si="1"/>
        <v>4</v>
      </c>
      <c r="Q21" s="19">
        <f t="shared" si="1"/>
        <v>4</v>
      </c>
      <c r="R21" s="21"/>
      <c r="T21" s="21"/>
      <c r="W21" s="46"/>
      <c r="X21" s="92">
        <v>4</v>
      </c>
      <c r="Y21" s="92">
        <v>4</v>
      </c>
      <c r="Z21" s="92">
        <v>3</v>
      </c>
      <c r="AI21">
        <v>4</v>
      </c>
      <c r="AJ21" t="s">
        <v>3973</v>
      </c>
    </row>
    <row r="22" spans="1:36" ht="16" x14ac:dyDescent="0.4">
      <c r="A22">
        <v>94</v>
      </c>
      <c r="B22" s="92">
        <v>95</v>
      </c>
      <c r="E22">
        <v>50</v>
      </c>
      <c r="F22" s="92" t="str">
        <f>_xlfn.XLOOKUP(B22, DATA_Moresby_2024_ALL!B:B, DATA_Moresby_2024_ALL!G:G, "")</f>
        <v>95_20240611_0012_R_1765.jpg</v>
      </c>
      <c r="G22" s="93" t="str">
        <f t="shared" si="2"/>
        <v>95_20240611_0012_R_1765.jpg</v>
      </c>
      <c r="H22" s="92">
        <v>1</v>
      </c>
      <c r="J22" s="79">
        <f>IF(G22="","X",_xlfn.XLOOKUP(B22,DATA_Moresby_2024_ALL!B:B,DATA_Moresby_2024_ALL!K:K,""))</f>
        <v>1</v>
      </c>
      <c r="K22" s="28"/>
      <c r="L22" s="29"/>
      <c r="M22" s="28"/>
      <c r="N22" s="19">
        <v>3</v>
      </c>
      <c r="O22" s="19">
        <f t="shared" si="1"/>
        <v>4</v>
      </c>
      <c r="P22" s="19">
        <f t="shared" si="1"/>
        <v>4</v>
      </c>
      <c r="Q22" s="19">
        <f t="shared" si="1"/>
        <v>4</v>
      </c>
      <c r="R22" s="21"/>
      <c r="T22" s="21"/>
      <c r="W22" s="46"/>
      <c r="X22" s="92">
        <v>3</v>
      </c>
      <c r="Y22" s="92">
        <v>4</v>
      </c>
      <c r="Z22" s="92">
        <v>3</v>
      </c>
      <c r="AC22" t="s">
        <v>62</v>
      </c>
    </row>
    <row r="23" spans="1:36" ht="16" x14ac:dyDescent="0.4">
      <c r="A23">
        <v>99</v>
      </c>
      <c r="B23" s="92">
        <v>100</v>
      </c>
      <c r="E23">
        <v>50</v>
      </c>
      <c r="F23" s="92" t="str">
        <f>_xlfn.XLOOKUP(B23, DATA_Moresby_2024_ALL!B:B, DATA_Moresby_2024_ALL!G:G, "")</f>
        <v>100_20240611_0012_R_1744.jpg</v>
      </c>
      <c r="G23" s="93" t="str">
        <f t="shared" si="2"/>
        <v>100_20240611_0012_R_1744.jpg</v>
      </c>
      <c r="H23" s="92">
        <v>1</v>
      </c>
      <c r="J23" s="79">
        <f>IF(G23="","X",_xlfn.XLOOKUP(B23,DATA_Moresby_2024_ALL!B:B,DATA_Moresby_2024_ALL!K:K,""))</f>
        <v>1</v>
      </c>
      <c r="K23" s="28"/>
      <c r="L23" s="29"/>
      <c r="M23" s="28"/>
      <c r="N23" s="19">
        <f t="shared" si="4"/>
        <v>4</v>
      </c>
      <c r="O23" s="19">
        <f t="shared" si="1"/>
        <v>4</v>
      </c>
      <c r="P23" s="19">
        <f t="shared" si="1"/>
        <v>4</v>
      </c>
      <c r="Q23" s="19">
        <f t="shared" si="1"/>
        <v>4</v>
      </c>
      <c r="R23" s="21"/>
      <c r="T23" s="21"/>
      <c r="W23" s="46"/>
      <c r="X23" s="92">
        <v>4</v>
      </c>
      <c r="Y23" s="92">
        <v>4</v>
      </c>
      <c r="Z23" s="92">
        <v>4</v>
      </c>
      <c r="AC23">
        <v>1</v>
      </c>
      <c r="AD23" t="s">
        <v>59</v>
      </c>
    </row>
    <row r="24" spans="1:36" ht="16" x14ac:dyDescent="0.4">
      <c r="A24">
        <v>104</v>
      </c>
      <c r="B24" s="92">
        <v>105</v>
      </c>
      <c r="E24">
        <v>50</v>
      </c>
      <c r="F24" s="92" t="str">
        <f>_xlfn.XLOOKUP(B24, DATA_Moresby_2024_ALL!B:B, DATA_Moresby_2024_ALL!G:G, "")</f>
        <v>105_20240611_0012_R_1724.jpg</v>
      </c>
      <c r="G24" s="93" t="str">
        <f t="shared" si="2"/>
        <v>105_20240611_0012_R_1724.jpg</v>
      </c>
      <c r="H24" s="92">
        <v>1</v>
      </c>
      <c r="J24" s="79">
        <f>IF(G24="","X",_xlfn.XLOOKUP(B24,DATA_Moresby_2024_ALL!B:B,DATA_Moresby_2024_ALL!K:K,""))</f>
        <v>1</v>
      </c>
      <c r="K24" s="28"/>
      <c r="L24" s="29"/>
      <c r="M24" s="28"/>
      <c r="N24" s="19">
        <f t="shared" si="4"/>
        <v>4</v>
      </c>
      <c r="O24" s="19">
        <f t="shared" si="1"/>
        <v>4</v>
      </c>
      <c r="P24" s="19">
        <f t="shared" si="1"/>
        <v>4</v>
      </c>
      <c r="Q24" s="19">
        <f t="shared" si="1"/>
        <v>4</v>
      </c>
      <c r="R24" s="21"/>
      <c r="T24" s="21"/>
      <c r="W24" s="46"/>
      <c r="X24" s="92">
        <v>4</v>
      </c>
      <c r="Y24" s="92">
        <v>4</v>
      </c>
      <c r="Z24" s="92">
        <v>4</v>
      </c>
      <c r="AC24">
        <v>2</v>
      </c>
      <c r="AD24" t="s">
        <v>60</v>
      </c>
    </row>
    <row r="25" spans="1:36" ht="16" x14ac:dyDescent="0.4">
      <c r="A25">
        <v>109</v>
      </c>
      <c r="B25" s="92">
        <v>110</v>
      </c>
      <c r="E25">
        <v>50</v>
      </c>
      <c r="F25" s="92" t="str">
        <f>_xlfn.XLOOKUP(B25, DATA_Moresby_2024_ALL!B:B, DATA_Moresby_2024_ALL!G:G, "")</f>
        <v>110_20240611_0012_R_1703.jpg</v>
      </c>
      <c r="G25" s="93" t="str">
        <f t="shared" si="2"/>
        <v>110_20240611_0012_R_1703.jpg</v>
      </c>
      <c r="H25" s="92">
        <v>1</v>
      </c>
      <c r="J25" s="79">
        <f>IF(G25="","X",_xlfn.XLOOKUP(B25,DATA_Moresby_2024_ALL!B:B,DATA_Moresby_2024_ALL!K:K,""))</f>
        <v>1</v>
      </c>
      <c r="K25" s="28"/>
      <c r="L25" s="29"/>
      <c r="M25" s="28"/>
      <c r="N25" s="19">
        <f t="shared" si="4"/>
        <v>4</v>
      </c>
      <c r="O25" s="19">
        <f t="shared" si="1"/>
        <v>4</v>
      </c>
      <c r="P25" s="19">
        <f t="shared" si="1"/>
        <v>4</v>
      </c>
      <c r="Q25" s="19">
        <f t="shared" si="1"/>
        <v>4</v>
      </c>
      <c r="R25" s="21"/>
      <c r="T25" s="21"/>
      <c r="W25" s="46"/>
      <c r="X25" s="92">
        <v>4</v>
      </c>
      <c r="Y25" s="92">
        <v>4</v>
      </c>
      <c r="Z25" s="92">
        <v>4</v>
      </c>
      <c r="AC25">
        <v>3</v>
      </c>
      <c r="AD25" t="s">
        <v>61</v>
      </c>
    </row>
    <row r="26" spans="1:36" ht="16" x14ac:dyDescent="0.4">
      <c r="A26">
        <v>114</v>
      </c>
      <c r="B26" s="92">
        <v>115</v>
      </c>
      <c r="E26">
        <v>50</v>
      </c>
      <c r="F26" s="92" t="str">
        <f>_xlfn.XLOOKUP(B26, DATA_Moresby_2024_ALL!B:B, DATA_Moresby_2024_ALL!G:G, "")</f>
        <v>115_20240611_0012_R_1681.jpg</v>
      </c>
      <c r="G26" s="93" t="str">
        <f t="shared" si="2"/>
        <v>115_20240611_0012_R_1681.jpg</v>
      </c>
      <c r="H26" s="92">
        <v>1</v>
      </c>
      <c r="J26" s="79">
        <f>IF(G26="","X",_xlfn.XLOOKUP(B26,DATA_Moresby_2024_ALL!B:B,DATA_Moresby_2024_ALL!K:K,""))</f>
        <v>1</v>
      </c>
      <c r="K26" s="28"/>
      <c r="L26" s="29"/>
      <c r="M26" s="28"/>
      <c r="N26" s="19">
        <f t="shared" si="4"/>
        <v>4</v>
      </c>
      <c r="O26" s="19">
        <f t="shared" si="1"/>
        <v>4</v>
      </c>
      <c r="P26" s="19">
        <f t="shared" si="1"/>
        <v>4</v>
      </c>
      <c r="Q26" s="19">
        <v>3</v>
      </c>
      <c r="R26" s="21"/>
      <c r="T26" s="21"/>
      <c r="W26" s="46"/>
      <c r="X26" s="92">
        <v>4</v>
      </c>
      <c r="Y26" s="92">
        <v>4</v>
      </c>
      <c r="Z26" s="92">
        <v>4</v>
      </c>
    </row>
    <row r="27" spans="1:36" ht="16" x14ac:dyDescent="0.4">
      <c r="A27">
        <v>119</v>
      </c>
      <c r="B27" s="92">
        <v>120</v>
      </c>
      <c r="E27">
        <v>50</v>
      </c>
      <c r="F27" s="92" t="str">
        <f>_xlfn.XLOOKUP(B27, DATA_Moresby_2024_ALL!B:B, DATA_Moresby_2024_ALL!G:G, "")</f>
        <v>120_20240611_0012_R_1658.jpg</v>
      </c>
      <c r="G27" s="93" t="str">
        <f t="shared" si="2"/>
        <v>120_20240611_0012_R_1658.jpg</v>
      </c>
      <c r="H27" s="92">
        <v>1</v>
      </c>
      <c r="J27" s="79">
        <f>IF(G27="","X",_xlfn.XLOOKUP(B27,DATA_Moresby_2024_ALL!B:B,DATA_Moresby_2024_ALL!K:K,""))</f>
        <v>1</v>
      </c>
      <c r="K27" s="28"/>
      <c r="L27" s="29"/>
      <c r="M27" s="28"/>
      <c r="N27" s="19">
        <f t="shared" si="4"/>
        <v>4</v>
      </c>
      <c r="O27" s="19">
        <v>3</v>
      </c>
      <c r="P27" s="19">
        <f t="shared" si="1"/>
        <v>4</v>
      </c>
      <c r="Q27" s="19">
        <f t="shared" si="1"/>
        <v>4</v>
      </c>
      <c r="R27" s="21"/>
      <c r="T27" s="21"/>
      <c r="W27" s="46"/>
      <c r="X27" s="92">
        <v>4</v>
      </c>
      <c r="Y27" s="92">
        <v>4</v>
      </c>
      <c r="Z27" s="92">
        <v>4</v>
      </c>
    </row>
    <row r="28" spans="1:36" ht="16" x14ac:dyDescent="0.4">
      <c r="A28">
        <v>124</v>
      </c>
      <c r="B28" s="92">
        <v>125</v>
      </c>
      <c r="E28">
        <v>50</v>
      </c>
      <c r="F28" s="92" t="str">
        <f>_xlfn.XLOOKUP(B28, DATA_Moresby_2024_ALL!B:B, DATA_Moresby_2024_ALL!G:G, "")</f>
        <v>125_20240611_0012_R_1639.jpg</v>
      </c>
      <c r="G28" s="93" t="str">
        <f t="shared" si="2"/>
        <v>125_20240611_0012_R_1639.jpg</v>
      </c>
      <c r="H28" s="92">
        <v>1</v>
      </c>
      <c r="J28" s="79">
        <f>IF(G28="","X",_xlfn.XLOOKUP(B28,DATA_Moresby_2024_ALL!B:B,DATA_Moresby_2024_ALL!K:K,""))</f>
        <v>1</v>
      </c>
      <c r="K28" s="28"/>
      <c r="L28" s="29"/>
      <c r="M28" s="28"/>
      <c r="N28" s="19">
        <f t="shared" si="4"/>
        <v>4</v>
      </c>
      <c r="O28" s="19">
        <v>3</v>
      </c>
      <c r="P28" s="19">
        <f t="shared" si="1"/>
        <v>4</v>
      </c>
      <c r="Q28" s="19">
        <f t="shared" si="1"/>
        <v>4</v>
      </c>
      <c r="R28" s="21"/>
      <c r="T28" s="21"/>
      <c r="W28" s="46"/>
      <c r="X28" s="92">
        <v>4</v>
      </c>
      <c r="Y28" s="92">
        <v>4</v>
      </c>
      <c r="Z28" s="92">
        <v>4</v>
      </c>
    </row>
    <row r="29" spans="1:36" ht="16" x14ac:dyDescent="0.4">
      <c r="A29">
        <v>129</v>
      </c>
      <c r="B29" s="92">
        <v>130</v>
      </c>
      <c r="E29">
        <v>50</v>
      </c>
      <c r="F29" s="92" t="str">
        <f>_xlfn.XLOOKUP(B29, DATA_Moresby_2024_ALL!B:B, DATA_Moresby_2024_ALL!G:G, "")</f>
        <v>130_20240611_0012_R_1614.jpg</v>
      </c>
      <c r="G29" s="93" t="str">
        <f t="shared" si="2"/>
        <v>130_20240611_0012_R_1614.jpg</v>
      </c>
      <c r="H29" s="92">
        <v>1</v>
      </c>
      <c r="J29" s="79">
        <f>IF(G29="","X",_xlfn.XLOOKUP(B29,DATA_Moresby_2024_ALL!B:B,DATA_Moresby_2024_ALL!K:K,""))</f>
        <v>1</v>
      </c>
      <c r="K29" s="28"/>
      <c r="L29" s="29"/>
      <c r="M29" s="28"/>
      <c r="N29" s="19">
        <f t="shared" si="4"/>
        <v>4</v>
      </c>
      <c r="O29" s="19">
        <f t="shared" si="4"/>
        <v>4</v>
      </c>
      <c r="P29" s="19">
        <f t="shared" si="4"/>
        <v>4</v>
      </c>
      <c r="Q29" s="19">
        <f t="shared" si="4"/>
        <v>4</v>
      </c>
      <c r="R29" s="21"/>
      <c r="T29" s="21"/>
      <c r="W29" s="46"/>
      <c r="X29" s="92">
        <v>4</v>
      </c>
      <c r="Y29" s="92">
        <v>4</v>
      </c>
      <c r="Z29" s="92">
        <v>4</v>
      </c>
    </row>
    <row r="30" spans="1:36" ht="16" x14ac:dyDescent="0.4">
      <c r="A30">
        <v>134</v>
      </c>
      <c r="B30" s="92">
        <v>135</v>
      </c>
      <c r="E30">
        <v>50</v>
      </c>
      <c r="F30" s="92" t="str">
        <f>_xlfn.XLOOKUP(B30, DATA_Moresby_2024_ALL!B:B, DATA_Moresby_2024_ALL!G:G, "")</f>
        <v>135_20240611_0012_R_1591.jpg</v>
      </c>
      <c r="G30" s="93" t="str">
        <f t="shared" si="2"/>
        <v>135_20240611_0012_R_1591.jpg</v>
      </c>
      <c r="H30" s="92">
        <v>1</v>
      </c>
      <c r="J30" s="79">
        <f>IF(G30="","X",_xlfn.XLOOKUP(B30,DATA_Moresby_2024_ALL!B:B,DATA_Moresby_2024_ALL!K:K,""))</f>
        <v>1</v>
      </c>
      <c r="K30" s="28"/>
      <c r="L30" s="29"/>
      <c r="M30" s="28"/>
      <c r="N30" s="19">
        <f t="shared" ref="N30:Q93" si="5">IF($J30=1,4,"")</f>
        <v>4</v>
      </c>
      <c r="O30" s="19">
        <v>3</v>
      </c>
      <c r="P30" s="19">
        <f t="shared" si="5"/>
        <v>4</v>
      </c>
      <c r="Q30" s="19">
        <f t="shared" si="5"/>
        <v>4</v>
      </c>
      <c r="R30" s="21"/>
      <c r="T30" s="21"/>
      <c r="W30" s="46"/>
      <c r="X30" s="92">
        <v>3</v>
      </c>
      <c r="Y30" s="92">
        <v>4</v>
      </c>
      <c r="Z30" s="92">
        <v>3</v>
      </c>
    </row>
    <row r="31" spans="1:36" ht="16" x14ac:dyDescent="0.4">
      <c r="A31">
        <v>139</v>
      </c>
      <c r="B31" s="92">
        <v>140</v>
      </c>
      <c r="E31">
        <v>50</v>
      </c>
      <c r="F31" s="92" t="str">
        <f>_xlfn.XLOOKUP(B31, DATA_Moresby_2024_ALL!B:B, DATA_Moresby_2024_ALL!G:G, "")</f>
        <v>140_20240611_0012_R_1567.jpg</v>
      </c>
      <c r="G31" s="93" t="str">
        <f t="shared" si="2"/>
        <v>140_20240611_0012_R_1567.jpg</v>
      </c>
      <c r="H31" s="92">
        <v>1</v>
      </c>
      <c r="J31" s="79">
        <f>IF(G31="","X",_xlfn.XLOOKUP(B31,DATA_Moresby_2024_ALL!B:B,DATA_Moresby_2024_ALL!K:K,""))</f>
        <v>1</v>
      </c>
      <c r="K31" s="28"/>
      <c r="L31" s="29"/>
      <c r="M31" s="28"/>
      <c r="N31" s="19">
        <f t="shared" si="5"/>
        <v>4</v>
      </c>
      <c r="O31" s="19">
        <f t="shared" si="5"/>
        <v>4</v>
      </c>
      <c r="P31" s="19">
        <f t="shared" si="5"/>
        <v>4</v>
      </c>
      <c r="Q31" s="19">
        <f t="shared" si="5"/>
        <v>4</v>
      </c>
      <c r="R31" s="21"/>
      <c r="T31" s="21"/>
      <c r="W31" s="46"/>
      <c r="X31" s="92">
        <v>3</v>
      </c>
      <c r="Y31" s="92">
        <v>3</v>
      </c>
      <c r="Z31" s="92">
        <v>4</v>
      </c>
    </row>
    <row r="32" spans="1:36" ht="16" x14ac:dyDescent="0.4">
      <c r="A32">
        <v>144</v>
      </c>
      <c r="B32" s="92">
        <v>145</v>
      </c>
      <c r="E32">
        <v>50</v>
      </c>
      <c r="F32" s="92" t="str">
        <f>_xlfn.XLOOKUP(B32, DATA_Moresby_2024_ALL!B:B, DATA_Moresby_2024_ALL!G:G, "")</f>
        <v>145_20240611_0012_R_1547.jpg</v>
      </c>
      <c r="G32" s="93" t="str">
        <f t="shared" si="2"/>
        <v>145_20240611_0012_R_1547.jpg</v>
      </c>
      <c r="H32" s="92">
        <v>1</v>
      </c>
      <c r="J32" s="79">
        <f>IF(G32="","X",_xlfn.XLOOKUP(B32,DATA_Moresby_2024_ALL!B:B,DATA_Moresby_2024_ALL!K:K,""))</f>
        <v>1</v>
      </c>
      <c r="K32" s="28"/>
      <c r="L32" s="29"/>
      <c r="M32" s="28"/>
      <c r="N32" s="19">
        <f t="shared" si="5"/>
        <v>4</v>
      </c>
      <c r="O32" s="19">
        <f t="shared" si="5"/>
        <v>4</v>
      </c>
      <c r="P32" s="19">
        <f t="shared" si="5"/>
        <v>4</v>
      </c>
      <c r="Q32" s="19">
        <f t="shared" si="5"/>
        <v>4</v>
      </c>
      <c r="R32" s="21"/>
      <c r="T32" s="21"/>
      <c r="W32" s="46"/>
      <c r="X32" s="92">
        <v>4</v>
      </c>
      <c r="Y32" s="92">
        <v>4</v>
      </c>
      <c r="Z32" s="92">
        <v>4</v>
      </c>
    </row>
    <row r="33" spans="1:26" ht="16" x14ac:dyDescent="0.4">
      <c r="A33">
        <v>149</v>
      </c>
      <c r="B33" s="92">
        <v>150</v>
      </c>
      <c r="E33">
        <v>50</v>
      </c>
      <c r="F33" s="92" t="str">
        <f>_xlfn.XLOOKUP(B33, DATA_Moresby_2024_ALL!B:B, DATA_Moresby_2024_ALL!G:G, "")</f>
        <v>150_20240611_0012_R_1531.jpg</v>
      </c>
      <c r="G33" s="93" t="str">
        <f t="shared" si="2"/>
        <v>150_20240611_0012_R_1531.jpg</v>
      </c>
      <c r="H33" s="92">
        <v>1</v>
      </c>
      <c r="J33" s="79">
        <f>IF(G33="","X",_xlfn.XLOOKUP(B33,DATA_Moresby_2024_ALL!B:B,DATA_Moresby_2024_ALL!K:K,""))</f>
        <v>1</v>
      </c>
      <c r="K33" s="28"/>
      <c r="L33" s="29"/>
      <c r="M33" s="28"/>
      <c r="N33" s="19">
        <f t="shared" si="5"/>
        <v>4</v>
      </c>
      <c r="O33" s="19">
        <f t="shared" si="5"/>
        <v>4</v>
      </c>
      <c r="P33" s="19">
        <f t="shared" si="5"/>
        <v>4</v>
      </c>
      <c r="Q33" s="19">
        <v>3</v>
      </c>
      <c r="R33" s="21"/>
      <c r="T33" s="21"/>
      <c r="W33" s="46"/>
      <c r="X33" s="92">
        <v>4</v>
      </c>
      <c r="Y33" s="92">
        <v>4</v>
      </c>
      <c r="Z33" s="92">
        <v>4</v>
      </c>
    </row>
    <row r="34" spans="1:26" ht="16" x14ac:dyDescent="0.4">
      <c r="A34">
        <v>154</v>
      </c>
      <c r="B34" s="92">
        <v>155</v>
      </c>
      <c r="E34">
        <v>50</v>
      </c>
      <c r="F34" s="92" t="str">
        <f>_xlfn.XLOOKUP(B34, DATA_Moresby_2024_ALL!B:B, DATA_Moresby_2024_ALL!G:G, "")</f>
        <v>155_20240611_0012_R_1521.jpg</v>
      </c>
      <c r="G34" s="93" t="str">
        <f t="shared" si="2"/>
        <v>155_20240611_0012_R_1521.jpg</v>
      </c>
      <c r="H34" s="92">
        <v>1</v>
      </c>
      <c r="J34" s="79">
        <f>IF(G34="","X",_xlfn.XLOOKUP(B34,DATA_Moresby_2024_ALL!B:B,DATA_Moresby_2024_ALL!K:K,""))</f>
        <v>1</v>
      </c>
      <c r="K34" s="28"/>
      <c r="L34" s="29"/>
      <c r="M34" s="28"/>
      <c r="N34" s="19">
        <f t="shared" si="5"/>
        <v>4</v>
      </c>
      <c r="O34" s="19">
        <f t="shared" si="5"/>
        <v>4</v>
      </c>
      <c r="P34" s="19">
        <f t="shared" si="5"/>
        <v>4</v>
      </c>
      <c r="Q34" s="19">
        <v>3</v>
      </c>
      <c r="R34" s="21"/>
      <c r="T34" s="21"/>
      <c r="W34" s="46"/>
      <c r="X34" s="92">
        <v>4</v>
      </c>
      <c r="Y34" s="92">
        <v>4</v>
      </c>
      <c r="Z34" s="92">
        <v>3</v>
      </c>
    </row>
    <row r="35" spans="1:26" ht="16" x14ac:dyDescent="0.4">
      <c r="A35">
        <v>159</v>
      </c>
      <c r="B35" s="92">
        <v>160</v>
      </c>
      <c r="E35">
        <v>50</v>
      </c>
      <c r="F35" s="92" t="str">
        <f>_xlfn.XLOOKUP(B35, DATA_Moresby_2024_ALL!B:B, DATA_Moresby_2024_ALL!G:G, "")</f>
        <v>160_20240611_0012_R_1509.jpg</v>
      </c>
      <c r="G35" s="93" t="str">
        <f t="shared" si="2"/>
        <v>160_20240611_0012_R_1509.jpg</v>
      </c>
      <c r="H35" s="92">
        <v>1</v>
      </c>
      <c r="J35" s="79">
        <f>IF(G35="","X",_xlfn.XLOOKUP(B35,DATA_Moresby_2024_ALL!B:B,DATA_Moresby_2024_ALL!K:K,""))</f>
        <v>1</v>
      </c>
      <c r="K35" s="28"/>
      <c r="L35" s="29"/>
      <c r="M35" s="28"/>
      <c r="N35" s="19">
        <f t="shared" si="5"/>
        <v>4</v>
      </c>
      <c r="O35" s="19">
        <f t="shared" si="5"/>
        <v>4</v>
      </c>
      <c r="P35" s="19">
        <f t="shared" si="5"/>
        <v>4</v>
      </c>
      <c r="Q35" s="19">
        <f t="shared" si="5"/>
        <v>4</v>
      </c>
      <c r="R35" s="21"/>
      <c r="T35" s="21"/>
      <c r="W35" s="46"/>
      <c r="X35" s="92">
        <v>4</v>
      </c>
      <c r="Y35" s="92">
        <v>4</v>
      </c>
      <c r="Z35" s="92">
        <v>3</v>
      </c>
    </row>
    <row r="36" spans="1:26" ht="16" x14ac:dyDescent="0.4">
      <c r="A36">
        <v>164</v>
      </c>
      <c r="B36" s="92">
        <v>165</v>
      </c>
      <c r="E36">
        <v>50</v>
      </c>
      <c r="F36" s="92" t="str">
        <f>_xlfn.XLOOKUP(B36, DATA_Moresby_2024_ALL!B:B, DATA_Moresby_2024_ALL!G:G, "")</f>
        <v>165_20240611_0012_R_1494.jpg</v>
      </c>
      <c r="G36" s="93" t="str">
        <f t="shared" si="2"/>
        <v>165_20240611_0012_R_1494.jpg</v>
      </c>
      <c r="H36" s="92">
        <v>1</v>
      </c>
      <c r="J36" s="79">
        <f>IF(G36="","X",_xlfn.XLOOKUP(B36,DATA_Moresby_2024_ALL!B:B,DATA_Moresby_2024_ALL!K:K,""))</f>
        <v>1</v>
      </c>
      <c r="K36" s="28"/>
      <c r="L36" s="29"/>
      <c r="M36" s="28"/>
      <c r="N36" s="19">
        <f t="shared" si="5"/>
        <v>4</v>
      </c>
      <c r="O36" s="19">
        <f t="shared" si="5"/>
        <v>4</v>
      </c>
      <c r="P36" s="19">
        <f t="shared" si="5"/>
        <v>4</v>
      </c>
      <c r="Q36" s="19">
        <f t="shared" si="5"/>
        <v>4</v>
      </c>
      <c r="R36" s="21"/>
      <c r="T36" s="21"/>
      <c r="W36" s="46"/>
      <c r="X36" s="92">
        <v>4</v>
      </c>
      <c r="Y36" s="92">
        <v>4</v>
      </c>
      <c r="Z36" s="92">
        <v>4</v>
      </c>
    </row>
    <row r="37" spans="1:26" ht="16" x14ac:dyDescent="0.4">
      <c r="A37">
        <v>169</v>
      </c>
      <c r="B37" s="92">
        <v>170</v>
      </c>
      <c r="E37">
        <v>50</v>
      </c>
      <c r="F37" s="92" t="str">
        <f>_xlfn.XLOOKUP(B37, DATA_Moresby_2024_ALL!B:B, DATA_Moresby_2024_ALL!G:G, "")</f>
        <v>170_20240611_0012_R_1471.jpg</v>
      </c>
      <c r="G37" s="93" t="str">
        <f t="shared" si="2"/>
        <v>170_20240611_0012_R_1471.jpg</v>
      </c>
      <c r="H37" s="92">
        <v>1</v>
      </c>
      <c r="J37" s="79">
        <f>IF(G37="","X",_xlfn.XLOOKUP(B37,DATA_Moresby_2024_ALL!B:B,DATA_Moresby_2024_ALL!K:K,""))</f>
        <v>1</v>
      </c>
      <c r="K37" s="28"/>
      <c r="L37" s="29"/>
      <c r="M37" s="28"/>
      <c r="N37" s="19">
        <f t="shared" si="5"/>
        <v>4</v>
      </c>
      <c r="O37" s="19">
        <f t="shared" si="5"/>
        <v>4</v>
      </c>
      <c r="P37" s="19">
        <f t="shared" si="5"/>
        <v>4</v>
      </c>
      <c r="Q37" s="19">
        <f t="shared" si="5"/>
        <v>4</v>
      </c>
      <c r="R37" s="21"/>
      <c r="T37" s="21"/>
      <c r="W37" s="46"/>
      <c r="X37" s="92">
        <v>4</v>
      </c>
      <c r="Y37" s="92">
        <v>4</v>
      </c>
      <c r="Z37" s="92">
        <v>4</v>
      </c>
    </row>
    <row r="38" spans="1:26" ht="16" x14ac:dyDescent="0.4">
      <c r="A38">
        <v>174</v>
      </c>
      <c r="B38" s="92">
        <v>175</v>
      </c>
      <c r="E38">
        <v>50</v>
      </c>
      <c r="F38" s="92" t="str">
        <f>_xlfn.XLOOKUP(B38, DATA_Moresby_2024_ALL!B:B, DATA_Moresby_2024_ALL!G:G, "")</f>
        <v>175_20240611_0012_R_1460.jpg</v>
      </c>
      <c r="G38" s="93" t="str">
        <f t="shared" si="2"/>
        <v>175_20240611_0012_R_1460.jpg</v>
      </c>
      <c r="H38" s="92">
        <v>1</v>
      </c>
      <c r="J38" s="79">
        <f>IF(G38="","X",_xlfn.XLOOKUP(B38,DATA_Moresby_2024_ALL!B:B,DATA_Moresby_2024_ALL!K:K,""))</f>
        <v>1</v>
      </c>
      <c r="K38" s="28"/>
      <c r="L38" s="29"/>
      <c r="M38" s="28"/>
      <c r="N38" s="19">
        <f t="shared" si="5"/>
        <v>4</v>
      </c>
      <c r="O38" s="19">
        <f t="shared" si="5"/>
        <v>4</v>
      </c>
      <c r="P38" s="19">
        <f t="shared" si="5"/>
        <v>4</v>
      </c>
      <c r="Q38" s="19">
        <f t="shared" si="5"/>
        <v>4</v>
      </c>
      <c r="R38" s="21"/>
      <c r="T38" s="21"/>
      <c r="W38" s="46"/>
      <c r="X38" s="92">
        <v>4</v>
      </c>
      <c r="Y38" s="92">
        <v>4</v>
      </c>
      <c r="Z38" s="92">
        <v>3</v>
      </c>
    </row>
    <row r="39" spans="1:26" ht="16" x14ac:dyDescent="0.4">
      <c r="A39">
        <v>179</v>
      </c>
      <c r="B39" s="92">
        <v>180</v>
      </c>
      <c r="E39">
        <v>50</v>
      </c>
      <c r="F39" s="92" t="str">
        <f>_xlfn.XLOOKUP(B39, DATA_Moresby_2024_ALL!B:B, DATA_Moresby_2024_ALL!G:G, "")</f>
        <v>180_20240611_0012_R_1453.jpg</v>
      </c>
      <c r="G39" s="93" t="str">
        <f t="shared" si="2"/>
        <v>180_20240611_0012_R_1453.jpg</v>
      </c>
      <c r="H39" s="92">
        <v>1</v>
      </c>
      <c r="J39" s="79">
        <f>IF(G39="","X",_xlfn.XLOOKUP(B39,DATA_Moresby_2024_ALL!B:B,DATA_Moresby_2024_ALL!K:K,""))</f>
        <v>1</v>
      </c>
      <c r="K39" s="28"/>
      <c r="L39" s="29"/>
      <c r="M39" s="28"/>
      <c r="N39" s="19">
        <f t="shared" si="5"/>
        <v>4</v>
      </c>
      <c r="O39" s="19">
        <f t="shared" si="5"/>
        <v>4</v>
      </c>
      <c r="P39" s="19">
        <f t="shared" si="5"/>
        <v>4</v>
      </c>
      <c r="Q39" s="19">
        <f t="shared" si="5"/>
        <v>4</v>
      </c>
      <c r="R39" s="21"/>
      <c r="T39" s="21"/>
      <c r="W39" s="46"/>
      <c r="X39" s="92">
        <v>4</v>
      </c>
      <c r="Y39" s="92">
        <v>4</v>
      </c>
      <c r="Z39" s="92">
        <v>4</v>
      </c>
    </row>
    <row r="40" spans="1:26" ht="16" x14ac:dyDescent="0.4">
      <c r="A40">
        <v>184</v>
      </c>
      <c r="B40" s="92">
        <v>185</v>
      </c>
      <c r="E40">
        <v>50</v>
      </c>
      <c r="F40" s="92" t="str">
        <f>_xlfn.XLOOKUP(B40, DATA_Moresby_2024_ALL!B:B, DATA_Moresby_2024_ALL!G:G, "")</f>
        <v>185_20240611_0012_R_1389.jpg</v>
      </c>
      <c r="G40" s="93" t="str">
        <f t="shared" si="2"/>
        <v>185_20240611_0012_R_1389.jpg</v>
      </c>
      <c r="H40" s="92">
        <v>1</v>
      </c>
      <c r="J40" s="79">
        <f>IF(G40="","X",_xlfn.XLOOKUP(B40,DATA_Moresby_2024_ALL!B:B,DATA_Moresby_2024_ALL!K:K,""))</f>
        <v>1</v>
      </c>
      <c r="K40" s="28"/>
      <c r="L40" s="29"/>
      <c r="M40" s="28"/>
      <c r="N40" s="19">
        <f t="shared" si="5"/>
        <v>4</v>
      </c>
      <c r="O40" s="19">
        <f t="shared" si="5"/>
        <v>4</v>
      </c>
      <c r="P40" s="19">
        <f t="shared" si="5"/>
        <v>4</v>
      </c>
      <c r="Q40" s="19">
        <f t="shared" si="5"/>
        <v>4</v>
      </c>
      <c r="R40" s="21"/>
      <c r="T40" s="21"/>
      <c r="W40" s="46"/>
      <c r="X40" s="92">
        <v>4</v>
      </c>
      <c r="Y40" s="92">
        <v>4</v>
      </c>
      <c r="Z40" s="92">
        <v>4</v>
      </c>
    </row>
    <row r="41" spans="1:26" ht="16" x14ac:dyDescent="0.4">
      <c r="A41">
        <v>189</v>
      </c>
      <c r="B41" s="92">
        <v>190</v>
      </c>
      <c r="E41">
        <v>50</v>
      </c>
      <c r="F41" s="92" t="str">
        <f>_xlfn.XLOOKUP(B41, DATA_Moresby_2024_ALL!B:B, DATA_Moresby_2024_ALL!G:G, "")</f>
        <v>190_20240611_0012_R_1408.jpg</v>
      </c>
      <c r="G41" s="93" t="str">
        <f t="shared" si="2"/>
        <v>190_20240611_0012_R_1408.jpg</v>
      </c>
      <c r="H41" s="92">
        <v>1</v>
      </c>
      <c r="J41" s="79">
        <f>IF(G41="","X",_xlfn.XLOOKUP(B41,DATA_Moresby_2024_ALL!B:B,DATA_Moresby_2024_ALL!K:K,""))</f>
        <v>1</v>
      </c>
      <c r="K41" s="28"/>
      <c r="L41" s="29"/>
      <c r="M41" s="28"/>
      <c r="N41" s="19">
        <f t="shared" si="5"/>
        <v>4</v>
      </c>
      <c r="O41" s="19">
        <f t="shared" si="5"/>
        <v>4</v>
      </c>
      <c r="P41" s="19">
        <f t="shared" si="5"/>
        <v>4</v>
      </c>
      <c r="Q41" s="19">
        <f t="shared" si="5"/>
        <v>4</v>
      </c>
      <c r="R41" s="21"/>
      <c r="T41" s="21"/>
      <c r="W41" s="46"/>
      <c r="X41" s="92">
        <v>4</v>
      </c>
      <c r="Y41" s="92">
        <v>4</v>
      </c>
      <c r="Z41" s="92">
        <v>4</v>
      </c>
    </row>
    <row r="42" spans="1:26" ht="16" x14ac:dyDescent="0.4">
      <c r="A42">
        <v>194</v>
      </c>
      <c r="B42" s="92">
        <v>195</v>
      </c>
      <c r="E42">
        <v>50</v>
      </c>
      <c r="F42" s="92" t="str">
        <f>_xlfn.XLOOKUP(B42, DATA_Moresby_2024_ALL!B:B, DATA_Moresby_2024_ALL!G:G, "")</f>
        <v>195_20240611_0012_R_1402.jpg</v>
      </c>
      <c r="G42" s="93" t="str">
        <f t="shared" si="2"/>
        <v>195_20240611_0012_R_1402.jpg</v>
      </c>
      <c r="H42" s="92">
        <v>1</v>
      </c>
      <c r="J42" s="79">
        <f>IF(G42="","X",_xlfn.XLOOKUP(B42,DATA_Moresby_2024_ALL!B:B,DATA_Moresby_2024_ALL!K:K,""))</f>
        <v>1</v>
      </c>
      <c r="K42" s="28"/>
      <c r="L42" s="29"/>
      <c r="M42" s="28"/>
      <c r="N42" s="19">
        <f t="shared" si="5"/>
        <v>4</v>
      </c>
      <c r="O42" s="19">
        <f t="shared" si="5"/>
        <v>4</v>
      </c>
      <c r="P42" s="19">
        <f t="shared" si="5"/>
        <v>4</v>
      </c>
      <c r="Q42" s="19">
        <f t="shared" si="5"/>
        <v>4</v>
      </c>
      <c r="R42" s="21"/>
      <c r="T42" s="21"/>
      <c r="W42" s="46"/>
      <c r="X42" s="92">
        <v>4</v>
      </c>
      <c r="Y42" s="92">
        <v>4</v>
      </c>
      <c r="Z42" s="92">
        <v>4</v>
      </c>
    </row>
    <row r="43" spans="1:26" ht="16" x14ac:dyDescent="0.4">
      <c r="A43">
        <v>199</v>
      </c>
      <c r="B43" s="92">
        <v>200</v>
      </c>
      <c r="E43">
        <v>50</v>
      </c>
      <c r="F43" s="92" t="str">
        <f>_xlfn.XLOOKUP(B43, DATA_Moresby_2024_ALL!B:B, DATA_Moresby_2024_ALL!G:G, "")</f>
        <v>200_20240611_0012_R_1405.jpg</v>
      </c>
      <c r="G43" s="93" t="str">
        <f t="shared" si="2"/>
        <v>200_20240611_0012_R_1405.jpg</v>
      </c>
      <c r="H43" s="92">
        <v>1</v>
      </c>
      <c r="J43" s="79">
        <f>IF(G43="","X",_xlfn.XLOOKUP(B43,DATA_Moresby_2024_ALL!B:B,DATA_Moresby_2024_ALL!K:K,""))</f>
        <v>1</v>
      </c>
      <c r="K43" s="28"/>
      <c r="L43" s="29"/>
      <c r="M43" s="28"/>
      <c r="N43" s="19">
        <f t="shared" si="5"/>
        <v>4</v>
      </c>
      <c r="O43" s="19">
        <f t="shared" si="5"/>
        <v>4</v>
      </c>
      <c r="P43" s="19">
        <f t="shared" si="5"/>
        <v>4</v>
      </c>
      <c r="Q43" s="19">
        <f t="shared" si="5"/>
        <v>4</v>
      </c>
      <c r="R43" s="21"/>
      <c r="T43" s="21"/>
      <c r="W43" s="46"/>
      <c r="X43" s="92">
        <v>4</v>
      </c>
      <c r="Y43" s="92">
        <v>4</v>
      </c>
      <c r="Z43" s="92">
        <v>4</v>
      </c>
    </row>
    <row r="44" spans="1:26" ht="16" x14ac:dyDescent="0.4">
      <c r="A44">
        <v>204</v>
      </c>
      <c r="B44" s="92">
        <v>205</v>
      </c>
      <c r="E44">
        <v>50</v>
      </c>
      <c r="F44" s="92">
        <f>_xlfn.XLOOKUP(B44, DATA_Moresby_2024_ALL!B:B, DATA_Moresby_2024_ALL!G:G, "")</f>
        <v>0</v>
      </c>
      <c r="G44" s="93"/>
      <c r="H44" s="92">
        <v>1</v>
      </c>
      <c r="I44" s="92" t="str">
        <f t="shared" ref="I44:I45" si="6">IF(G44="","X","")</f>
        <v>X</v>
      </c>
      <c r="J44" s="79" t="str">
        <f>IF(G44="","X",_xlfn.XLOOKUP(B44,DATA_Moresby_2024_ALL!B:B,DATA_Moresby_2024_ALL!K:K,""))</f>
        <v>X</v>
      </c>
      <c r="K44" s="28"/>
      <c r="L44" s="29"/>
      <c r="M44" s="28"/>
      <c r="N44" s="19" t="str">
        <f t="shared" si="5"/>
        <v/>
      </c>
      <c r="O44" s="19" t="str">
        <f t="shared" si="5"/>
        <v/>
      </c>
      <c r="P44" s="19" t="str">
        <f t="shared" si="5"/>
        <v/>
      </c>
      <c r="Q44" s="19" t="str">
        <f t="shared" si="5"/>
        <v/>
      </c>
      <c r="R44" s="21"/>
      <c r="T44" s="21"/>
      <c r="W44" s="46"/>
      <c r="X44" s="92">
        <v>4</v>
      </c>
      <c r="Y44" s="92">
        <v>4</v>
      </c>
      <c r="Z44" s="92">
        <v>4</v>
      </c>
    </row>
    <row r="45" spans="1:26" ht="16" x14ac:dyDescent="0.4">
      <c r="A45">
        <v>209</v>
      </c>
      <c r="B45" s="92">
        <v>210</v>
      </c>
      <c r="E45">
        <v>50</v>
      </c>
      <c r="F45" s="92">
        <f>_xlfn.XLOOKUP(B45, DATA_Moresby_2024_ALL!B:B, DATA_Moresby_2024_ALL!G:G, "")</f>
        <v>0</v>
      </c>
      <c r="G45" s="93"/>
      <c r="H45" s="92">
        <v>1</v>
      </c>
      <c r="I45" s="92" t="str">
        <f t="shared" si="6"/>
        <v>X</v>
      </c>
      <c r="J45" s="79" t="str">
        <f>IF(G45="","X",_xlfn.XLOOKUP(B45,DATA_Moresby_2024_ALL!B:B,DATA_Moresby_2024_ALL!K:K,""))</f>
        <v>X</v>
      </c>
      <c r="K45" s="28"/>
      <c r="L45" s="29"/>
      <c r="M45" s="28"/>
      <c r="N45" s="19" t="str">
        <f t="shared" si="5"/>
        <v/>
      </c>
      <c r="O45" s="19" t="str">
        <f t="shared" si="5"/>
        <v/>
      </c>
      <c r="P45" s="19" t="str">
        <f t="shared" si="5"/>
        <v/>
      </c>
      <c r="Q45" s="19" t="str">
        <f t="shared" si="5"/>
        <v/>
      </c>
      <c r="R45" s="21"/>
      <c r="T45" s="21"/>
      <c r="W45" s="46"/>
      <c r="X45" s="92">
        <v>4</v>
      </c>
      <c r="Y45" s="92">
        <v>4</v>
      </c>
      <c r="Z45" s="92">
        <v>3</v>
      </c>
    </row>
    <row r="46" spans="1:26" ht="16" x14ac:dyDescent="0.4">
      <c r="A46">
        <v>214</v>
      </c>
      <c r="B46" s="92">
        <v>215</v>
      </c>
      <c r="E46">
        <v>50</v>
      </c>
      <c r="F46" s="92" t="str">
        <f>_xlfn.XLOOKUP(B46, DATA_Moresby_2024_ALL!B:B, DATA_Moresby_2024_ALL!G:G, "")</f>
        <v>215_20240611_0012_R_1191.jpg</v>
      </c>
      <c r="G46" s="93" t="str">
        <f t="shared" si="2"/>
        <v>215_20240611_0012_R_1191.jpg</v>
      </c>
      <c r="H46" s="92">
        <v>1</v>
      </c>
      <c r="J46" s="79">
        <f>IF(G46="","X",_xlfn.XLOOKUP(B46,DATA_Moresby_2024_ALL!B:B,DATA_Moresby_2024_ALL!K:K,""))</f>
        <v>1</v>
      </c>
      <c r="K46" s="28"/>
      <c r="L46" s="29"/>
      <c r="M46" s="28"/>
      <c r="N46" s="19">
        <f t="shared" si="5"/>
        <v>4</v>
      </c>
      <c r="O46" s="19">
        <f t="shared" si="5"/>
        <v>4</v>
      </c>
      <c r="P46" s="19">
        <f t="shared" si="5"/>
        <v>4</v>
      </c>
      <c r="Q46" s="19">
        <v>3</v>
      </c>
      <c r="R46" s="21"/>
      <c r="T46" s="21"/>
      <c r="W46" s="46"/>
      <c r="X46" s="92">
        <v>4</v>
      </c>
      <c r="Y46" s="92">
        <v>4</v>
      </c>
      <c r="Z46" s="92">
        <v>3</v>
      </c>
    </row>
    <row r="47" spans="1:26" ht="16" x14ac:dyDescent="0.4">
      <c r="A47">
        <v>219</v>
      </c>
      <c r="B47" s="92">
        <v>220</v>
      </c>
      <c r="E47">
        <v>50</v>
      </c>
      <c r="F47" s="92" t="str">
        <f>_xlfn.XLOOKUP(B47, DATA_Moresby_2024_ALL!B:B, DATA_Moresby_2024_ALL!G:G, "")</f>
        <v>220_20240611_0012_R_1178.jpg</v>
      </c>
      <c r="G47" s="93" t="str">
        <f t="shared" si="2"/>
        <v>220_20240611_0012_R_1178.jpg</v>
      </c>
      <c r="H47" s="92">
        <v>1</v>
      </c>
      <c r="J47" s="79">
        <f>IF(G47="","X",_xlfn.XLOOKUP(B47,DATA_Moresby_2024_ALL!B:B,DATA_Moresby_2024_ALL!K:K,""))</f>
        <v>1</v>
      </c>
      <c r="K47" s="28"/>
      <c r="L47" s="29"/>
      <c r="M47" s="28"/>
      <c r="N47" s="19">
        <f t="shared" si="5"/>
        <v>4</v>
      </c>
      <c r="O47" s="19">
        <f t="shared" si="5"/>
        <v>4</v>
      </c>
      <c r="P47" s="19">
        <f t="shared" si="5"/>
        <v>4</v>
      </c>
      <c r="Q47" s="19">
        <f t="shared" si="5"/>
        <v>4</v>
      </c>
      <c r="R47" s="21"/>
      <c r="T47" s="21"/>
      <c r="W47" s="46"/>
      <c r="X47" s="92">
        <v>4</v>
      </c>
      <c r="Y47" s="92">
        <v>4</v>
      </c>
      <c r="Z47" s="92">
        <v>4</v>
      </c>
    </row>
    <row r="48" spans="1:26" ht="16" x14ac:dyDescent="0.4">
      <c r="A48">
        <v>224</v>
      </c>
      <c r="B48" s="92">
        <v>225</v>
      </c>
      <c r="E48">
        <v>50</v>
      </c>
      <c r="F48" s="92" t="str">
        <f>_xlfn.XLOOKUP(B48, DATA_Moresby_2024_ALL!B:B, DATA_Moresby_2024_ALL!G:G, "")</f>
        <v>225_20240611_0012_R_1166.jpg</v>
      </c>
      <c r="G48" s="93" t="str">
        <f t="shared" si="2"/>
        <v>225_20240611_0012_R_1166.jpg</v>
      </c>
      <c r="H48" s="92">
        <v>1</v>
      </c>
      <c r="J48" s="79">
        <f>IF(G48="","X",_xlfn.XLOOKUP(B48,DATA_Moresby_2024_ALL!B:B,DATA_Moresby_2024_ALL!K:K,""))</f>
        <v>1</v>
      </c>
      <c r="K48" s="28"/>
      <c r="L48" s="29"/>
      <c r="M48" s="28"/>
      <c r="N48" s="19">
        <f t="shared" si="5"/>
        <v>4</v>
      </c>
      <c r="O48" s="19">
        <f t="shared" si="5"/>
        <v>4</v>
      </c>
      <c r="P48" s="19">
        <f t="shared" si="5"/>
        <v>4</v>
      </c>
      <c r="Q48" s="19">
        <f t="shared" si="5"/>
        <v>4</v>
      </c>
      <c r="R48" s="21"/>
      <c r="T48" s="21"/>
      <c r="W48" s="46"/>
      <c r="X48" s="92">
        <v>4</v>
      </c>
      <c r="Y48" s="92">
        <v>4</v>
      </c>
      <c r="Z48" s="92">
        <v>4</v>
      </c>
    </row>
    <row r="49" spans="1:26" ht="16" x14ac:dyDescent="0.4">
      <c r="A49">
        <v>229</v>
      </c>
      <c r="B49" s="92">
        <v>230</v>
      </c>
      <c r="E49">
        <v>50</v>
      </c>
      <c r="F49" s="92" t="str">
        <f>_xlfn.XLOOKUP(B49, DATA_Moresby_2024_ALL!B:B, DATA_Moresby_2024_ALL!G:G, "")</f>
        <v>230_20240611_0012_R_1212.jpg</v>
      </c>
      <c r="G49" s="93" t="str">
        <f t="shared" si="2"/>
        <v>230_20240611_0012_R_1212.jpg</v>
      </c>
      <c r="H49" s="92">
        <v>1</v>
      </c>
      <c r="J49" s="79">
        <f>IF(G49="","X",_xlfn.XLOOKUP(B49,DATA_Moresby_2024_ALL!B:B,DATA_Moresby_2024_ALL!K:K,""))</f>
        <v>1</v>
      </c>
      <c r="K49" s="28"/>
      <c r="L49" s="29"/>
      <c r="M49" s="28"/>
      <c r="N49" s="19">
        <f t="shared" si="5"/>
        <v>4</v>
      </c>
      <c r="O49" s="19">
        <f t="shared" si="5"/>
        <v>4</v>
      </c>
      <c r="P49" s="19">
        <f t="shared" si="5"/>
        <v>4</v>
      </c>
      <c r="Q49" s="19">
        <v>3</v>
      </c>
      <c r="R49" s="21"/>
      <c r="T49" s="21"/>
      <c r="W49" s="46"/>
      <c r="X49" s="92">
        <v>4</v>
      </c>
      <c r="Y49" s="92">
        <v>4</v>
      </c>
      <c r="Z49" s="92">
        <v>4</v>
      </c>
    </row>
    <row r="50" spans="1:26" ht="16" x14ac:dyDescent="0.4">
      <c r="A50">
        <v>234</v>
      </c>
      <c r="B50" s="92">
        <v>235</v>
      </c>
      <c r="E50">
        <v>50</v>
      </c>
      <c r="F50" s="92" t="str">
        <f>_xlfn.XLOOKUP(B50, DATA_Moresby_2024_ALL!B:B, DATA_Moresby_2024_ALL!G:G, "")</f>
        <v>235_20240611_0012_R_1219.jpg</v>
      </c>
      <c r="G50" s="93" t="str">
        <f t="shared" si="2"/>
        <v>235_20240611_0012_R_1219.jpg</v>
      </c>
      <c r="H50" s="92">
        <v>1</v>
      </c>
      <c r="J50" s="79">
        <f>IF(G50="","X",_xlfn.XLOOKUP(B50,DATA_Moresby_2024_ALL!B:B,DATA_Moresby_2024_ALL!K:K,""))</f>
        <v>1</v>
      </c>
      <c r="K50" s="28"/>
      <c r="L50" s="29"/>
      <c r="M50" s="28"/>
      <c r="N50" s="19">
        <f t="shared" si="5"/>
        <v>4</v>
      </c>
      <c r="O50" s="19">
        <f t="shared" si="5"/>
        <v>4</v>
      </c>
      <c r="P50" s="19">
        <f t="shared" si="5"/>
        <v>4</v>
      </c>
      <c r="Q50" s="19">
        <f t="shared" si="5"/>
        <v>4</v>
      </c>
      <c r="R50" s="21"/>
      <c r="T50" s="21"/>
      <c r="W50" s="46"/>
      <c r="X50" s="92">
        <v>4</v>
      </c>
      <c r="Y50" s="92">
        <v>4</v>
      </c>
      <c r="Z50" s="92">
        <v>4</v>
      </c>
    </row>
    <row r="51" spans="1:26" ht="16" x14ac:dyDescent="0.4">
      <c r="A51">
        <v>239</v>
      </c>
      <c r="B51" s="92">
        <v>240</v>
      </c>
      <c r="E51">
        <v>50</v>
      </c>
      <c r="F51" s="92" t="str">
        <f>_xlfn.XLOOKUP(B51, DATA_Moresby_2024_ALL!B:B, DATA_Moresby_2024_ALL!G:G, "")</f>
        <v>240_20240611_0012_R_1113.jpg</v>
      </c>
      <c r="G51" s="93" t="str">
        <f t="shared" si="2"/>
        <v>240_20240611_0012_R_1113.jpg</v>
      </c>
      <c r="H51" s="92">
        <v>1</v>
      </c>
      <c r="J51" s="79">
        <f>IF(G51="","X",_xlfn.XLOOKUP(B51,DATA_Moresby_2024_ALL!B:B,DATA_Moresby_2024_ALL!K:K,""))</f>
        <v>1</v>
      </c>
      <c r="K51" s="28"/>
      <c r="L51" s="29"/>
      <c r="M51" s="28"/>
      <c r="N51" s="19">
        <f t="shared" si="5"/>
        <v>4</v>
      </c>
      <c r="O51" s="19">
        <f t="shared" si="5"/>
        <v>4</v>
      </c>
      <c r="P51" s="19">
        <f t="shared" si="5"/>
        <v>4</v>
      </c>
      <c r="Q51" s="19">
        <v>3</v>
      </c>
      <c r="R51" s="21"/>
      <c r="T51" s="21"/>
      <c r="W51" s="46"/>
      <c r="X51" s="92">
        <v>4</v>
      </c>
      <c r="Y51" s="92">
        <v>4</v>
      </c>
      <c r="Z51" s="92">
        <v>4</v>
      </c>
    </row>
    <row r="52" spans="1:26" ht="16" x14ac:dyDescent="0.4">
      <c r="A52">
        <v>244</v>
      </c>
      <c r="B52" s="92">
        <v>245</v>
      </c>
      <c r="E52">
        <v>50</v>
      </c>
      <c r="F52" s="92">
        <f>_xlfn.XLOOKUP(B52, DATA_Moresby_2024_ALL!B:B, DATA_Moresby_2024_ALL!G:G, "")</f>
        <v>0</v>
      </c>
      <c r="G52" s="93"/>
      <c r="H52" s="92">
        <v>1</v>
      </c>
      <c r="I52" s="92" t="str">
        <f t="shared" ref="I52:I53" si="7">IF(G52="","X","")</f>
        <v>X</v>
      </c>
      <c r="J52" s="79" t="str">
        <f>IF(G52="","X",_xlfn.XLOOKUP(B52,DATA_Moresby_2024_ALL!B:B,DATA_Moresby_2024_ALL!K:K,""))</f>
        <v>X</v>
      </c>
      <c r="K52" s="28"/>
      <c r="L52" s="29"/>
      <c r="M52" s="28"/>
      <c r="N52" s="19" t="str">
        <f t="shared" si="5"/>
        <v/>
      </c>
      <c r="O52" s="19" t="str">
        <f t="shared" si="5"/>
        <v/>
      </c>
      <c r="P52" s="19" t="str">
        <f t="shared" si="5"/>
        <v/>
      </c>
      <c r="Q52" s="19" t="str">
        <f t="shared" si="5"/>
        <v/>
      </c>
      <c r="R52" s="21"/>
      <c r="T52" s="21"/>
      <c r="W52" s="46"/>
      <c r="X52" s="92">
        <v>4</v>
      </c>
      <c r="Y52" s="92">
        <v>3</v>
      </c>
      <c r="Z52" s="92">
        <v>4</v>
      </c>
    </row>
    <row r="53" spans="1:26" ht="16" x14ac:dyDescent="0.4">
      <c r="A53">
        <v>249</v>
      </c>
      <c r="B53" s="92">
        <v>250</v>
      </c>
      <c r="E53">
        <v>50</v>
      </c>
      <c r="F53" s="92">
        <f>_xlfn.XLOOKUP(B53, DATA_Moresby_2024_ALL!B:B, DATA_Moresby_2024_ALL!G:G, "")</f>
        <v>0</v>
      </c>
      <c r="G53" s="93"/>
      <c r="H53" s="92">
        <v>1</v>
      </c>
      <c r="I53" s="92" t="str">
        <f t="shared" si="7"/>
        <v>X</v>
      </c>
      <c r="J53" s="79" t="str">
        <f>IF(G53="","X",_xlfn.XLOOKUP(B53,DATA_Moresby_2024_ALL!B:B,DATA_Moresby_2024_ALL!K:K,""))</f>
        <v>X</v>
      </c>
      <c r="K53" s="28"/>
      <c r="L53" s="29"/>
      <c r="M53" s="28"/>
      <c r="N53" s="19" t="str">
        <f t="shared" si="5"/>
        <v/>
      </c>
      <c r="O53" s="19" t="str">
        <f t="shared" si="5"/>
        <v/>
      </c>
      <c r="P53" s="19" t="str">
        <f t="shared" si="5"/>
        <v/>
      </c>
      <c r="Q53" s="19" t="str">
        <f t="shared" si="5"/>
        <v/>
      </c>
      <c r="R53" s="21"/>
      <c r="T53" s="21"/>
      <c r="W53" s="46"/>
      <c r="X53" s="92">
        <v>4</v>
      </c>
      <c r="Y53" s="92">
        <v>4</v>
      </c>
      <c r="Z53" s="92">
        <v>4</v>
      </c>
    </row>
    <row r="54" spans="1:26" ht="16" x14ac:dyDescent="0.4">
      <c r="A54">
        <v>254</v>
      </c>
      <c r="B54" s="92">
        <v>255</v>
      </c>
      <c r="E54">
        <v>50</v>
      </c>
      <c r="F54" s="92" t="str">
        <f>_xlfn.XLOOKUP(B54, DATA_Moresby_2024_ALL!B:B, DATA_Moresby_2024_ALL!G:G, "")</f>
        <v>255_20240611_0012_R_1023.jpg</v>
      </c>
      <c r="G54" s="93" t="str">
        <f t="shared" si="2"/>
        <v>255_20240611_0012_R_1023.jpg</v>
      </c>
      <c r="H54" s="92">
        <v>1</v>
      </c>
      <c r="J54" s="79">
        <f>IF(G54="","X",_xlfn.XLOOKUP(B54,DATA_Moresby_2024_ALL!B:B,DATA_Moresby_2024_ALL!K:K,""))</f>
        <v>1</v>
      </c>
      <c r="K54" s="28"/>
      <c r="L54" s="29"/>
      <c r="M54" s="28"/>
      <c r="N54" s="19">
        <f t="shared" si="5"/>
        <v>4</v>
      </c>
      <c r="O54" s="19">
        <f t="shared" si="5"/>
        <v>4</v>
      </c>
      <c r="P54" s="19">
        <f t="shared" si="5"/>
        <v>4</v>
      </c>
      <c r="Q54" s="19">
        <f t="shared" si="5"/>
        <v>4</v>
      </c>
      <c r="R54" s="21"/>
      <c r="T54" s="21"/>
      <c r="W54" s="46"/>
      <c r="X54" s="92">
        <v>4</v>
      </c>
      <c r="Y54" s="92">
        <v>4</v>
      </c>
      <c r="Z54" s="92">
        <v>4</v>
      </c>
    </row>
    <row r="55" spans="1:26" ht="16" x14ac:dyDescent="0.4">
      <c r="A55">
        <v>259</v>
      </c>
      <c r="B55" s="92">
        <v>260</v>
      </c>
      <c r="E55">
        <v>50</v>
      </c>
      <c r="F55" s="92" t="str">
        <f>_xlfn.XLOOKUP(B55, DATA_Moresby_2024_ALL!B:B, DATA_Moresby_2024_ALL!G:G, "")</f>
        <v>260_20240611_0012_R_0972.jpg</v>
      </c>
      <c r="G55" s="93" t="str">
        <f t="shared" si="2"/>
        <v>260_20240611_0012_R_0972.jpg</v>
      </c>
      <c r="H55" s="92">
        <v>1</v>
      </c>
      <c r="J55" s="79">
        <f>IF(G55="","X",_xlfn.XLOOKUP(B55,DATA_Moresby_2024_ALL!B:B,DATA_Moresby_2024_ALL!K:K,""))</f>
        <v>1</v>
      </c>
      <c r="K55" s="28"/>
      <c r="L55" s="29"/>
      <c r="M55" s="28"/>
      <c r="N55" s="19">
        <f t="shared" si="5"/>
        <v>4</v>
      </c>
      <c r="O55" s="19">
        <f t="shared" si="5"/>
        <v>4</v>
      </c>
      <c r="P55" s="19">
        <f t="shared" si="5"/>
        <v>4</v>
      </c>
      <c r="Q55" s="19">
        <f t="shared" si="5"/>
        <v>4</v>
      </c>
      <c r="R55" s="21"/>
      <c r="T55" s="21"/>
      <c r="W55" s="46"/>
      <c r="X55" s="92">
        <v>4</v>
      </c>
      <c r="Y55" s="92">
        <v>4</v>
      </c>
      <c r="Z55" s="92">
        <v>4</v>
      </c>
    </row>
    <row r="56" spans="1:26" ht="16" x14ac:dyDescent="0.4">
      <c r="A56">
        <v>264</v>
      </c>
      <c r="B56" s="92">
        <v>265</v>
      </c>
      <c r="E56">
        <v>50</v>
      </c>
      <c r="F56" s="92" t="str">
        <f>_xlfn.XLOOKUP(B56, DATA_Moresby_2024_ALL!B:B, DATA_Moresby_2024_ALL!G:G, "")</f>
        <v>265_20240611_0012_R_1095.jpg</v>
      </c>
      <c r="G56" s="93" t="str">
        <f t="shared" si="2"/>
        <v>265_20240611_0012_R_1095.jpg</v>
      </c>
      <c r="H56" s="92">
        <v>1</v>
      </c>
      <c r="J56" s="79">
        <f>IF(G56="","X",_xlfn.XLOOKUP(B56,DATA_Moresby_2024_ALL!B:B,DATA_Moresby_2024_ALL!K:K,""))</f>
        <v>1</v>
      </c>
      <c r="K56" s="28"/>
      <c r="L56" s="29"/>
      <c r="M56" s="28"/>
      <c r="N56" s="19">
        <f t="shared" si="5"/>
        <v>4</v>
      </c>
      <c r="O56" s="19">
        <f t="shared" si="5"/>
        <v>4</v>
      </c>
      <c r="P56" s="19">
        <f t="shared" si="5"/>
        <v>4</v>
      </c>
      <c r="Q56" s="19">
        <f t="shared" si="5"/>
        <v>4</v>
      </c>
      <c r="R56" s="21"/>
      <c r="T56" s="21"/>
      <c r="W56" s="46"/>
      <c r="X56" s="92">
        <v>4</v>
      </c>
      <c r="Y56" s="92">
        <v>4</v>
      </c>
      <c r="Z56" s="92">
        <v>4</v>
      </c>
    </row>
    <row r="57" spans="1:26" ht="16" x14ac:dyDescent="0.4">
      <c r="A57">
        <v>269</v>
      </c>
      <c r="B57" s="92">
        <v>270</v>
      </c>
      <c r="E57">
        <v>50</v>
      </c>
      <c r="F57" s="92" t="str">
        <f>_xlfn.XLOOKUP(B57, DATA_Moresby_2024_ALL!B:B, DATA_Moresby_2024_ALL!G:G, "")</f>
        <v>270_20240611_0012_R_1078.jpg</v>
      </c>
      <c r="G57" s="93" t="str">
        <f t="shared" si="2"/>
        <v>270_20240611_0012_R_1078.jpg</v>
      </c>
      <c r="H57" s="92">
        <v>1</v>
      </c>
      <c r="J57" s="79">
        <f>IF(G57="","X",_xlfn.XLOOKUP(B57,DATA_Moresby_2024_ALL!B:B,DATA_Moresby_2024_ALL!K:K,""))</f>
        <v>1</v>
      </c>
      <c r="K57" s="28"/>
      <c r="L57" s="29"/>
      <c r="M57" s="28"/>
      <c r="N57" s="19">
        <f t="shared" si="5"/>
        <v>4</v>
      </c>
      <c r="O57" s="19">
        <f t="shared" si="5"/>
        <v>4</v>
      </c>
      <c r="P57" s="19">
        <f t="shared" si="5"/>
        <v>4</v>
      </c>
      <c r="Q57" s="19">
        <f t="shared" si="5"/>
        <v>4</v>
      </c>
      <c r="R57" s="21"/>
      <c r="T57" s="21"/>
      <c r="W57" s="46"/>
      <c r="X57" s="92">
        <v>4</v>
      </c>
      <c r="Y57" s="92">
        <v>4</v>
      </c>
      <c r="Z57" s="92">
        <v>4</v>
      </c>
    </row>
    <row r="58" spans="1:26" ht="16" x14ac:dyDescent="0.4">
      <c r="A58">
        <v>274</v>
      </c>
      <c r="B58" s="92">
        <v>275</v>
      </c>
      <c r="E58">
        <v>50</v>
      </c>
      <c r="F58" s="92" t="str">
        <f>_xlfn.XLOOKUP(B58, DATA_Moresby_2024_ALL!B:B, DATA_Moresby_2024_ALL!G:G, "")</f>
        <v>275_20240611_0012_R_0916.jpg</v>
      </c>
      <c r="G58" s="93" t="str">
        <f t="shared" si="2"/>
        <v>275_20240611_0012_R_0916.jpg</v>
      </c>
      <c r="H58" s="92">
        <v>1</v>
      </c>
      <c r="J58" s="79">
        <f>IF(G58="","X",_xlfn.XLOOKUP(B58,DATA_Moresby_2024_ALL!B:B,DATA_Moresby_2024_ALL!K:K,""))</f>
        <v>1</v>
      </c>
      <c r="K58" s="28"/>
      <c r="L58" s="29"/>
      <c r="M58" s="28"/>
      <c r="N58" s="19">
        <f t="shared" si="5"/>
        <v>4</v>
      </c>
      <c r="O58" s="19">
        <f t="shared" si="5"/>
        <v>4</v>
      </c>
      <c r="P58" s="19">
        <f t="shared" si="5"/>
        <v>4</v>
      </c>
      <c r="Q58" s="19">
        <f t="shared" si="5"/>
        <v>4</v>
      </c>
      <c r="R58" s="21"/>
      <c r="T58" s="21"/>
      <c r="W58" s="46"/>
      <c r="X58" s="92">
        <v>4</v>
      </c>
      <c r="Y58" s="92">
        <v>4</v>
      </c>
      <c r="Z58" s="92">
        <v>4</v>
      </c>
    </row>
    <row r="59" spans="1:26" ht="16" x14ac:dyDescent="0.4">
      <c r="A59">
        <v>279</v>
      </c>
      <c r="B59" s="92">
        <v>280</v>
      </c>
      <c r="E59">
        <v>50</v>
      </c>
      <c r="F59" s="92" t="str">
        <f>_xlfn.XLOOKUP(B59, DATA_Moresby_2024_ALL!B:B, DATA_Moresby_2024_ALL!G:G, "")</f>
        <v>280_20240611_0012_R_1035.jpg</v>
      </c>
      <c r="G59" s="93" t="str">
        <f t="shared" si="2"/>
        <v>280_20240611_0012_R_1035.jpg</v>
      </c>
      <c r="H59" s="92">
        <v>1</v>
      </c>
      <c r="J59" s="79">
        <f>IF(G59="","X",_xlfn.XLOOKUP(B59,DATA_Moresby_2024_ALL!B:B,DATA_Moresby_2024_ALL!K:K,""))</f>
        <v>1</v>
      </c>
      <c r="K59" s="28"/>
      <c r="L59" s="29"/>
      <c r="M59" s="28"/>
      <c r="N59" s="19">
        <f t="shared" si="5"/>
        <v>4</v>
      </c>
      <c r="O59" s="19">
        <f t="shared" si="5"/>
        <v>4</v>
      </c>
      <c r="P59" s="19">
        <f t="shared" si="5"/>
        <v>4</v>
      </c>
      <c r="Q59" s="19">
        <f t="shared" si="5"/>
        <v>4</v>
      </c>
      <c r="R59" s="21"/>
      <c r="T59" s="21"/>
      <c r="W59" s="46"/>
      <c r="X59" s="92">
        <v>4</v>
      </c>
      <c r="Y59" s="92">
        <v>3</v>
      </c>
      <c r="Z59" s="92">
        <v>4</v>
      </c>
    </row>
    <row r="60" spans="1:26" ht="16" x14ac:dyDescent="0.4">
      <c r="A60">
        <v>284</v>
      </c>
      <c r="B60" s="92">
        <v>285</v>
      </c>
      <c r="E60">
        <v>50</v>
      </c>
      <c r="F60" s="92" t="str">
        <f>_xlfn.XLOOKUP(B60, DATA_Moresby_2024_ALL!B:B, DATA_Moresby_2024_ALL!G:G, "")</f>
        <v>285_20240611_0012_R_0967.jpg</v>
      </c>
      <c r="G60" s="93" t="str">
        <f t="shared" si="2"/>
        <v>285_20240611_0012_R_0967.jpg</v>
      </c>
      <c r="H60" s="92">
        <v>1</v>
      </c>
      <c r="J60" s="79">
        <f>IF(G60="","X",_xlfn.XLOOKUP(B60,DATA_Moresby_2024_ALL!B:B,DATA_Moresby_2024_ALL!K:K,""))</f>
        <v>1</v>
      </c>
      <c r="K60" s="28"/>
      <c r="L60" s="29"/>
      <c r="M60" s="28"/>
      <c r="N60" s="19">
        <f t="shared" si="5"/>
        <v>4</v>
      </c>
      <c r="O60" s="19">
        <f t="shared" si="5"/>
        <v>4</v>
      </c>
      <c r="P60" s="19">
        <f t="shared" si="5"/>
        <v>4</v>
      </c>
      <c r="Q60" s="19">
        <f t="shared" si="5"/>
        <v>4</v>
      </c>
      <c r="R60" s="21"/>
      <c r="T60" s="21"/>
      <c r="W60" s="46"/>
      <c r="X60" s="92">
        <v>4</v>
      </c>
      <c r="Y60" s="92">
        <v>4</v>
      </c>
      <c r="Z60" s="92">
        <v>4</v>
      </c>
    </row>
    <row r="61" spans="1:26" ht="16" x14ac:dyDescent="0.4">
      <c r="A61">
        <v>289</v>
      </c>
      <c r="B61" s="92">
        <v>290</v>
      </c>
      <c r="E61">
        <v>50</v>
      </c>
      <c r="F61" s="92" t="str">
        <f>_xlfn.XLOOKUP(B61, DATA_Moresby_2024_ALL!B:B, DATA_Moresby_2024_ALL!G:G, "")</f>
        <v>290_20240611_0012_R_1053.jpg</v>
      </c>
      <c r="G61" s="93" t="str">
        <f t="shared" si="2"/>
        <v>290_20240611_0012_R_1053.jpg</v>
      </c>
      <c r="H61" s="92">
        <v>1</v>
      </c>
      <c r="J61" s="79">
        <f>IF(G61="","X",_xlfn.XLOOKUP(B61,DATA_Moresby_2024_ALL!B:B,DATA_Moresby_2024_ALL!K:K,""))</f>
        <v>1</v>
      </c>
      <c r="K61" s="28"/>
      <c r="L61" s="29"/>
      <c r="M61" s="28"/>
      <c r="N61" s="19">
        <f t="shared" si="5"/>
        <v>4</v>
      </c>
      <c r="O61" s="19">
        <f t="shared" si="5"/>
        <v>4</v>
      </c>
      <c r="P61" s="19">
        <f t="shared" si="5"/>
        <v>4</v>
      </c>
      <c r="Q61" s="19">
        <f t="shared" si="5"/>
        <v>4</v>
      </c>
      <c r="R61" s="21"/>
      <c r="T61" s="21"/>
      <c r="W61" s="46"/>
      <c r="X61" s="92">
        <v>4</v>
      </c>
      <c r="Y61" s="92">
        <v>4</v>
      </c>
      <c r="Z61" s="92">
        <v>4</v>
      </c>
    </row>
    <row r="62" spans="1:26" ht="16" x14ac:dyDescent="0.4">
      <c r="A62">
        <v>294</v>
      </c>
      <c r="B62" s="92">
        <v>295</v>
      </c>
      <c r="E62">
        <v>50</v>
      </c>
      <c r="F62" s="92" t="str">
        <f>_xlfn.XLOOKUP(B62, DATA_Moresby_2024_ALL!B:B, DATA_Moresby_2024_ALL!G:G, "")</f>
        <v>295_20240611_0012_R_0921.jpg</v>
      </c>
      <c r="G62" s="93" t="str">
        <f t="shared" si="2"/>
        <v>295_20240611_0012_R_0921.jpg</v>
      </c>
      <c r="H62" s="92">
        <v>1</v>
      </c>
      <c r="J62" s="79">
        <f>IF(G62="","X",_xlfn.XLOOKUP(B62,DATA_Moresby_2024_ALL!B:B,DATA_Moresby_2024_ALL!K:K,""))</f>
        <v>1</v>
      </c>
      <c r="K62" s="28"/>
      <c r="L62" s="29"/>
      <c r="M62" s="28"/>
      <c r="N62" s="19">
        <f t="shared" si="5"/>
        <v>4</v>
      </c>
      <c r="O62" s="19">
        <f t="shared" si="5"/>
        <v>4</v>
      </c>
      <c r="P62" s="19">
        <f t="shared" si="5"/>
        <v>4</v>
      </c>
      <c r="Q62" s="19">
        <f t="shared" si="5"/>
        <v>4</v>
      </c>
      <c r="R62" s="21"/>
      <c r="T62" s="21"/>
      <c r="W62" s="46"/>
      <c r="X62" s="92">
        <v>4</v>
      </c>
      <c r="Y62" s="92">
        <v>4</v>
      </c>
      <c r="Z62" s="92">
        <v>3</v>
      </c>
    </row>
    <row r="63" spans="1:26" ht="16" x14ac:dyDescent="0.4">
      <c r="A63">
        <v>299</v>
      </c>
      <c r="B63" s="92">
        <v>300</v>
      </c>
      <c r="E63">
        <v>50</v>
      </c>
      <c r="F63" s="92">
        <f>_xlfn.XLOOKUP(B63, DATA_Moresby_2024_ALL!B:B, DATA_Moresby_2024_ALL!G:G, "")</f>
        <v>0</v>
      </c>
      <c r="G63" s="93"/>
      <c r="H63" s="92">
        <v>1</v>
      </c>
      <c r="I63" s="92" t="str">
        <f t="shared" ref="I63:I70" si="8">IF(G63="","X","")</f>
        <v>X</v>
      </c>
      <c r="J63" s="79" t="str">
        <f>IF(G63="","X",_xlfn.XLOOKUP(B63,DATA_Moresby_2024_ALL!B:B,DATA_Moresby_2024_ALL!K:K,""))</f>
        <v>X</v>
      </c>
      <c r="K63" s="28"/>
      <c r="L63" s="29"/>
      <c r="M63" s="28"/>
      <c r="N63" s="19" t="str">
        <f t="shared" si="5"/>
        <v/>
      </c>
      <c r="O63" s="19" t="str">
        <f t="shared" si="5"/>
        <v/>
      </c>
      <c r="P63" s="19" t="str">
        <f t="shared" si="5"/>
        <v/>
      </c>
      <c r="Q63" s="19" t="str">
        <f t="shared" si="5"/>
        <v/>
      </c>
      <c r="R63" s="21"/>
      <c r="T63" s="21"/>
      <c r="W63" s="46"/>
      <c r="X63" s="92">
        <v>4</v>
      </c>
      <c r="Y63" s="92">
        <v>4</v>
      </c>
      <c r="Z63" s="92">
        <v>4</v>
      </c>
    </row>
    <row r="64" spans="1:26" ht="16" x14ac:dyDescent="0.4">
      <c r="A64">
        <v>304</v>
      </c>
      <c r="B64" s="92">
        <v>305</v>
      </c>
      <c r="E64">
        <v>50</v>
      </c>
      <c r="F64" s="92">
        <f>_xlfn.XLOOKUP(B64, DATA_Moresby_2024_ALL!B:B, DATA_Moresby_2024_ALL!G:G, "")</f>
        <v>0</v>
      </c>
      <c r="G64" s="93"/>
      <c r="H64" s="92">
        <v>1</v>
      </c>
      <c r="I64" s="92" t="str">
        <f t="shared" si="8"/>
        <v>X</v>
      </c>
      <c r="J64" s="79" t="str">
        <f>IF(G64="","X",_xlfn.XLOOKUP(B64,DATA_Moresby_2024_ALL!B:B,DATA_Moresby_2024_ALL!K:K,""))</f>
        <v>X</v>
      </c>
      <c r="K64" s="28"/>
      <c r="L64" s="29"/>
      <c r="M64" s="28"/>
      <c r="N64" s="19" t="str">
        <f t="shared" si="5"/>
        <v/>
      </c>
      <c r="O64" s="19" t="str">
        <f t="shared" si="5"/>
        <v/>
      </c>
      <c r="P64" s="19" t="str">
        <f t="shared" si="5"/>
        <v/>
      </c>
      <c r="Q64" s="19" t="str">
        <f t="shared" si="5"/>
        <v/>
      </c>
      <c r="R64" s="21"/>
      <c r="T64" s="21"/>
      <c r="W64" s="46"/>
      <c r="X64" s="92">
        <v>4</v>
      </c>
      <c r="Y64" s="92">
        <v>4</v>
      </c>
      <c r="Z64" s="92">
        <v>4</v>
      </c>
    </row>
    <row r="65" spans="1:26" ht="16" x14ac:dyDescent="0.4">
      <c r="A65">
        <v>309</v>
      </c>
      <c r="B65" s="92">
        <v>310</v>
      </c>
      <c r="E65">
        <v>50</v>
      </c>
      <c r="F65" s="92">
        <f>_xlfn.XLOOKUP(B65, DATA_Moresby_2024_ALL!B:B, DATA_Moresby_2024_ALL!G:G, "")</f>
        <v>0</v>
      </c>
      <c r="G65" s="93"/>
      <c r="H65" s="92">
        <v>1</v>
      </c>
      <c r="I65" s="92" t="str">
        <f t="shared" si="8"/>
        <v>X</v>
      </c>
      <c r="J65" s="79" t="str">
        <f>IF(G65="","X",_xlfn.XLOOKUP(B65,DATA_Moresby_2024_ALL!B:B,DATA_Moresby_2024_ALL!K:K,""))</f>
        <v>X</v>
      </c>
      <c r="K65" s="28"/>
      <c r="L65" s="29"/>
      <c r="M65" s="28"/>
      <c r="N65" s="19" t="str">
        <f t="shared" si="5"/>
        <v/>
      </c>
      <c r="O65" s="19" t="str">
        <f t="shared" si="5"/>
        <v/>
      </c>
      <c r="P65" s="19" t="str">
        <f t="shared" si="5"/>
        <v/>
      </c>
      <c r="Q65" s="19" t="str">
        <f t="shared" si="5"/>
        <v/>
      </c>
      <c r="R65" s="21"/>
      <c r="T65" s="21"/>
      <c r="W65" s="46"/>
      <c r="X65" s="92"/>
      <c r="Y65" s="92"/>
      <c r="Z65" s="92"/>
    </row>
    <row r="66" spans="1:26" ht="16" x14ac:dyDescent="0.4">
      <c r="A66">
        <v>314</v>
      </c>
      <c r="B66" s="92">
        <v>315</v>
      </c>
      <c r="E66">
        <v>50</v>
      </c>
      <c r="F66" s="92">
        <f>_xlfn.XLOOKUP(B66, DATA_Moresby_2024_ALL!B:B, DATA_Moresby_2024_ALL!G:G, "")</f>
        <v>0</v>
      </c>
      <c r="G66" s="93"/>
      <c r="H66" s="92">
        <v>1</v>
      </c>
      <c r="I66" s="92" t="str">
        <f t="shared" si="8"/>
        <v>X</v>
      </c>
      <c r="J66" s="79" t="str">
        <f>IF(G66="","X",_xlfn.XLOOKUP(B66,DATA_Moresby_2024_ALL!B:B,DATA_Moresby_2024_ALL!K:K,""))</f>
        <v>X</v>
      </c>
      <c r="K66" s="28"/>
      <c r="L66" s="29"/>
      <c r="M66" s="28"/>
      <c r="N66" s="19" t="str">
        <f t="shared" si="5"/>
        <v/>
      </c>
      <c r="O66" s="19" t="str">
        <f t="shared" si="5"/>
        <v/>
      </c>
      <c r="P66" s="19" t="str">
        <f t="shared" si="5"/>
        <v/>
      </c>
      <c r="Q66" s="19" t="str">
        <f t="shared" si="5"/>
        <v/>
      </c>
      <c r="R66" s="21"/>
      <c r="T66" s="21"/>
      <c r="W66" s="46"/>
      <c r="X66" s="92">
        <v>4</v>
      </c>
      <c r="Y66" s="92">
        <v>4</v>
      </c>
      <c r="Z66" s="92">
        <v>4</v>
      </c>
    </row>
    <row r="67" spans="1:26" ht="16" x14ac:dyDescent="0.4">
      <c r="A67">
        <v>319</v>
      </c>
      <c r="B67" s="92">
        <v>320</v>
      </c>
      <c r="E67">
        <v>50</v>
      </c>
      <c r="F67" s="92">
        <f>_xlfn.XLOOKUP(B67, DATA_Moresby_2024_ALL!B:B, DATA_Moresby_2024_ALL!G:G, "")</f>
        <v>0</v>
      </c>
      <c r="G67" s="93"/>
      <c r="H67" s="92">
        <v>1</v>
      </c>
      <c r="I67" s="92" t="str">
        <f t="shared" si="8"/>
        <v>X</v>
      </c>
      <c r="J67" s="79" t="str">
        <f>IF(G67="","X",_xlfn.XLOOKUP(B67,DATA_Moresby_2024_ALL!B:B,DATA_Moresby_2024_ALL!K:K,""))</f>
        <v>X</v>
      </c>
      <c r="K67" s="28"/>
      <c r="L67" s="29"/>
      <c r="M67" s="28"/>
      <c r="N67" s="19" t="str">
        <f t="shared" si="5"/>
        <v/>
      </c>
      <c r="O67" s="19" t="str">
        <f t="shared" si="5"/>
        <v/>
      </c>
      <c r="P67" s="19" t="str">
        <f t="shared" si="5"/>
        <v/>
      </c>
      <c r="Q67" s="19" t="str">
        <f t="shared" si="5"/>
        <v/>
      </c>
      <c r="R67" s="21"/>
      <c r="T67" s="21"/>
      <c r="W67" s="46"/>
      <c r="X67" s="92">
        <v>4</v>
      </c>
      <c r="Y67" s="92">
        <v>4</v>
      </c>
      <c r="Z67" s="92">
        <v>4</v>
      </c>
    </row>
    <row r="68" spans="1:26" ht="16" x14ac:dyDescent="0.4">
      <c r="A68">
        <v>324</v>
      </c>
      <c r="B68" s="92">
        <v>325</v>
      </c>
      <c r="E68">
        <v>50</v>
      </c>
      <c r="F68" s="92">
        <f>_xlfn.XLOOKUP(B68, DATA_Moresby_2024_ALL!B:B, DATA_Moresby_2024_ALL!G:G, "")</f>
        <v>0</v>
      </c>
      <c r="G68" s="93"/>
      <c r="H68" s="92">
        <v>1</v>
      </c>
      <c r="I68" s="92" t="str">
        <f t="shared" si="8"/>
        <v>X</v>
      </c>
      <c r="J68" s="79" t="str">
        <f>IF(G68="","X",_xlfn.XLOOKUP(B68,DATA_Moresby_2024_ALL!B:B,DATA_Moresby_2024_ALL!K:K,""))</f>
        <v>X</v>
      </c>
      <c r="K68" s="28"/>
      <c r="L68" s="29"/>
      <c r="M68" s="28"/>
      <c r="N68" s="19" t="str">
        <f t="shared" si="5"/>
        <v/>
      </c>
      <c r="O68" s="19" t="str">
        <f t="shared" si="5"/>
        <v/>
      </c>
      <c r="P68" s="19" t="str">
        <f t="shared" si="5"/>
        <v/>
      </c>
      <c r="Q68" s="19" t="str">
        <f t="shared" si="5"/>
        <v/>
      </c>
      <c r="R68" s="21"/>
      <c r="T68" s="21"/>
      <c r="W68" s="46"/>
      <c r="X68" s="92">
        <v>4</v>
      </c>
      <c r="Y68" s="92">
        <v>4</v>
      </c>
      <c r="Z68" s="92">
        <v>4</v>
      </c>
    </row>
    <row r="69" spans="1:26" ht="16" x14ac:dyDescent="0.4">
      <c r="A69">
        <v>329</v>
      </c>
      <c r="B69" s="92">
        <v>330</v>
      </c>
      <c r="E69">
        <v>50</v>
      </c>
      <c r="F69" s="92">
        <f>_xlfn.XLOOKUP(B69, DATA_Moresby_2024_ALL!B:B, DATA_Moresby_2024_ALL!G:G, "")</f>
        <v>0</v>
      </c>
      <c r="G69" s="93"/>
      <c r="H69" s="92">
        <v>1</v>
      </c>
      <c r="I69" s="92" t="str">
        <f t="shared" si="8"/>
        <v>X</v>
      </c>
      <c r="J69" s="79" t="str">
        <f>IF(G69="","X",_xlfn.XLOOKUP(B69,DATA_Moresby_2024_ALL!B:B,DATA_Moresby_2024_ALL!K:K,""))</f>
        <v>X</v>
      </c>
      <c r="K69" s="28"/>
      <c r="L69" s="29"/>
      <c r="M69" s="28"/>
      <c r="N69" s="19" t="str">
        <f t="shared" si="5"/>
        <v/>
      </c>
      <c r="O69" s="19" t="str">
        <f t="shared" si="5"/>
        <v/>
      </c>
      <c r="P69" s="19" t="str">
        <f t="shared" si="5"/>
        <v/>
      </c>
      <c r="Q69" s="19" t="str">
        <f t="shared" si="5"/>
        <v/>
      </c>
      <c r="R69" s="21"/>
      <c r="T69" s="21"/>
      <c r="W69" s="46"/>
      <c r="X69" s="92">
        <v>4</v>
      </c>
      <c r="Y69" s="92">
        <v>4</v>
      </c>
      <c r="Z69" s="92">
        <v>4</v>
      </c>
    </row>
    <row r="70" spans="1:26" ht="16" x14ac:dyDescent="0.4">
      <c r="A70">
        <v>334</v>
      </c>
      <c r="B70" s="92">
        <v>335</v>
      </c>
      <c r="E70">
        <v>50</v>
      </c>
      <c r="F70" s="92">
        <f>_xlfn.XLOOKUP(B70, DATA_Moresby_2024_ALL!B:B, DATA_Moresby_2024_ALL!G:G, "")</f>
        <v>0</v>
      </c>
      <c r="G70" s="93"/>
      <c r="H70" s="92">
        <v>1</v>
      </c>
      <c r="I70" s="92" t="str">
        <f t="shared" si="8"/>
        <v>X</v>
      </c>
      <c r="J70" s="79" t="str">
        <f>IF(G70="","X",_xlfn.XLOOKUP(B70,DATA_Moresby_2024_ALL!B:B,DATA_Moresby_2024_ALL!K:K,""))</f>
        <v>X</v>
      </c>
      <c r="K70" s="28"/>
      <c r="L70" s="29"/>
      <c r="M70" s="28"/>
      <c r="N70" s="19" t="str">
        <f t="shared" si="5"/>
        <v/>
      </c>
      <c r="O70" s="19" t="str">
        <f t="shared" si="5"/>
        <v/>
      </c>
      <c r="P70" s="19" t="str">
        <f t="shared" si="5"/>
        <v/>
      </c>
      <c r="Q70" s="19" t="str">
        <f t="shared" si="5"/>
        <v/>
      </c>
      <c r="R70" s="21"/>
      <c r="T70" s="21"/>
      <c r="W70" s="46"/>
      <c r="X70" s="92"/>
      <c r="Y70" s="92"/>
      <c r="Z70" s="92"/>
    </row>
    <row r="71" spans="1:26" ht="16" x14ac:dyDescent="0.4">
      <c r="A71">
        <v>339</v>
      </c>
      <c r="B71" s="92">
        <v>340</v>
      </c>
      <c r="E71">
        <v>50</v>
      </c>
      <c r="F71" s="92" t="str">
        <f>_xlfn.XLOOKUP(B71, DATA_Moresby_2024_ALL!B:B, DATA_Moresby_2024_ALL!G:G, "")</f>
        <v>340_20240611_0012_R_0924.jpg</v>
      </c>
      <c r="G71" s="93" t="str">
        <f t="shared" si="2"/>
        <v>340_20240611_0012_R_0924.jpg</v>
      </c>
      <c r="H71" s="92">
        <v>1</v>
      </c>
      <c r="J71" s="79">
        <f>IF(G71="","X",_xlfn.XLOOKUP(B71,DATA_Moresby_2024_ALL!B:B,DATA_Moresby_2024_ALL!K:K,""))</f>
        <v>1</v>
      </c>
      <c r="K71" s="28"/>
      <c r="L71" s="29"/>
      <c r="M71" s="28"/>
      <c r="N71" s="19">
        <f t="shared" si="5"/>
        <v>4</v>
      </c>
      <c r="O71" s="19">
        <f t="shared" si="5"/>
        <v>4</v>
      </c>
      <c r="P71" s="19">
        <f t="shared" si="5"/>
        <v>4</v>
      </c>
      <c r="Q71" s="19">
        <f t="shared" si="5"/>
        <v>4</v>
      </c>
      <c r="R71" s="21"/>
      <c r="T71" s="21"/>
      <c r="W71" s="46"/>
      <c r="X71" s="92">
        <v>4</v>
      </c>
      <c r="Y71" s="92">
        <v>4</v>
      </c>
      <c r="Z71" s="92">
        <v>4</v>
      </c>
    </row>
    <row r="72" spans="1:26" ht="16" x14ac:dyDescent="0.4">
      <c r="A72">
        <v>344</v>
      </c>
      <c r="B72" s="92">
        <v>345</v>
      </c>
      <c r="E72">
        <v>50</v>
      </c>
      <c r="F72" s="92" t="str">
        <f>_xlfn.XLOOKUP(B72, DATA_Moresby_2024_ALL!B:B, DATA_Moresby_2024_ALL!G:G, "")</f>
        <v>345_20240611_0012_R_0929.jpg</v>
      </c>
      <c r="G72" s="93" t="str">
        <f t="shared" si="2"/>
        <v>345_20240611_0012_R_0929.jpg</v>
      </c>
      <c r="H72" s="92">
        <v>1</v>
      </c>
      <c r="I72" t="s">
        <v>26</v>
      </c>
      <c r="J72" s="79" t="s">
        <v>26</v>
      </c>
      <c r="K72" s="28"/>
      <c r="L72" s="29"/>
      <c r="M72" s="28"/>
      <c r="N72" s="19" t="str">
        <f t="shared" si="5"/>
        <v/>
      </c>
      <c r="O72" s="19" t="str">
        <f t="shared" si="5"/>
        <v/>
      </c>
      <c r="P72" s="19" t="str">
        <f t="shared" si="5"/>
        <v/>
      </c>
      <c r="Q72" s="19" t="str">
        <f t="shared" si="5"/>
        <v/>
      </c>
      <c r="R72" s="21"/>
      <c r="T72" s="21"/>
      <c r="W72" s="46"/>
      <c r="X72" s="92">
        <v>4</v>
      </c>
      <c r="Y72" s="92">
        <v>4</v>
      </c>
      <c r="Z72" s="92">
        <v>4</v>
      </c>
    </row>
    <row r="73" spans="1:26" ht="16" x14ac:dyDescent="0.4">
      <c r="A73">
        <v>349</v>
      </c>
      <c r="B73" s="92">
        <v>350</v>
      </c>
      <c r="E73">
        <v>50</v>
      </c>
      <c r="F73" s="92" t="str">
        <f>_xlfn.XLOOKUP(B73, DATA_Moresby_2024_ALL!B:B, DATA_Moresby_2024_ALL!G:G, "")</f>
        <v>350_20240611_0012_R_0871.jpg</v>
      </c>
      <c r="G73" s="93" t="str">
        <f t="shared" si="2"/>
        <v>350_20240611_0012_R_0871.jpg</v>
      </c>
      <c r="H73" s="92">
        <v>1</v>
      </c>
      <c r="J73" s="79">
        <f>IF(G73="","X",_xlfn.XLOOKUP(B73,DATA_Moresby_2024_ALL!B:B,DATA_Moresby_2024_ALL!K:K,""))</f>
        <v>1</v>
      </c>
      <c r="K73" s="28"/>
      <c r="L73" s="29"/>
      <c r="M73" s="28"/>
      <c r="N73" s="19">
        <f t="shared" si="5"/>
        <v>4</v>
      </c>
      <c r="O73" s="19">
        <f t="shared" si="5"/>
        <v>4</v>
      </c>
      <c r="P73" s="19">
        <f t="shared" si="5"/>
        <v>4</v>
      </c>
      <c r="Q73" s="19">
        <f t="shared" si="5"/>
        <v>4</v>
      </c>
      <c r="R73" s="21"/>
      <c r="T73" s="21"/>
      <c r="W73" s="46"/>
      <c r="X73" s="92">
        <v>4</v>
      </c>
      <c r="Y73" s="92">
        <v>4</v>
      </c>
      <c r="Z73" s="92">
        <v>4</v>
      </c>
    </row>
    <row r="74" spans="1:26" ht="16" x14ac:dyDescent="0.4">
      <c r="A74">
        <v>354</v>
      </c>
      <c r="B74" s="92">
        <v>355</v>
      </c>
      <c r="E74">
        <v>50</v>
      </c>
      <c r="F74" s="92" t="str">
        <f>_xlfn.XLOOKUP(B74, DATA_Moresby_2024_ALL!B:B, DATA_Moresby_2024_ALL!G:G, "")</f>
        <v>355_20240611_0012_R_0849.jpg</v>
      </c>
      <c r="G74" s="93" t="str">
        <f t="shared" si="2"/>
        <v>355_20240611_0012_R_0849.jpg</v>
      </c>
      <c r="H74" s="92">
        <v>1</v>
      </c>
      <c r="J74" s="79">
        <f>IF(G74="","X",_xlfn.XLOOKUP(B74,DATA_Moresby_2024_ALL!B:B,DATA_Moresby_2024_ALL!K:K,""))</f>
        <v>1</v>
      </c>
      <c r="K74" s="28"/>
      <c r="L74" s="29"/>
      <c r="M74" s="28"/>
      <c r="N74" s="19">
        <f t="shared" si="5"/>
        <v>4</v>
      </c>
      <c r="O74" s="19">
        <f t="shared" si="5"/>
        <v>4</v>
      </c>
      <c r="P74" s="19">
        <f t="shared" si="5"/>
        <v>4</v>
      </c>
      <c r="Q74" s="19">
        <f t="shared" si="5"/>
        <v>4</v>
      </c>
      <c r="R74" s="21"/>
      <c r="T74" s="21"/>
      <c r="W74" s="46"/>
      <c r="X74" s="92">
        <v>4</v>
      </c>
      <c r="Y74" s="92">
        <v>4</v>
      </c>
      <c r="Z74" s="92">
        <v>4</v>
      </c>
    </row>
    <row r="75" spans="1:26" ht="16" x14ac:dyDescent="0.4">
      <c r="A75">
        <v>359</v>
      </c>
      <c r="B75" s="92">
        <v>360</v>
      </c>
      <c r="E75">
        <v>50</v>
      </c>
      <c r="F75" s="92" t="str">
        <f>_xlfn.XLOOKUP(B75, DATA_Moresby_2024_ALL!B:B, DATA_Moresby_2024_ALL!G:G, "")</f>
        <v>360_20240611_0012_R_0802.jpg</v>
      </c>
      <c r="G75" s="93" t="str">
        <f t="shared" si="2"/>
        <v>360_20240611_0012_R_0802.jpg</v>
      </c>
      <c r="H75" s="92">
        <v>1</v>
      </c>
      <c r="J75" s="79">
        <f>IF(G75="","X",_xlfn.XLOOKUP(B75,DATA_Moresby_2024_ALL!B:B,DATA_Moresby_2024_ALL!K:K,""))</f>
        <v>1</v>
      </c>
      <c r="K75" s="28"/>
      <c r="L75" s="29"/>
      <c r="M75" s="28"/>
      <c r="N75" s="19">
        <f t="shared" si="5"/>
        <v>4</v>
      </c>
      <c r="O75" s="19">
        <v>3</v>
      </c>
      <c r="P75" s="19">
        <f t="shared" si="5"/>
        <v>4</v>
      </c>
      <c r="Q75" s="19">
        <f t="shared" si="5"/>
        <v>4</v>
      </c>
      <c r="R75" s="21"/>
      <c r="T75" s="21"/>
      <c r="W75" s="46"/>
      <c r="X75" s="92">
        <v>4</v>
      </c>
      <c r="Y75" s="92">
        <v>4</v>
      </c>
      <c r="Z75" s="92">
        <v>4</v>
      </c>
    </row>
    <row r="76" spans="1:26" ht="16" x14ac:dyDescent="0.4">
      <c r="A76">
        <v>364</v>
      </c>
      <c r="B76" s="92">
        <v>365</v>
      </c>
      <c r="E76">
        <v>50</v>
      </c>
      <c r="F76" s="92" t="str">
        <f>_xlfn.XLOOKUP(B76, DATA_Moresby_2024_ALL!B:B, DATA_Moresby_2024_ALL!G:G, "")</f>
        <v>365_20240611_0012_R_0791.jpg</v>
      </c>
      <c r="G76" s="93" t="str">
        <f t="shared" si="2"/>
        <v>365_20240611_0012_R_0791.jpg</v>
      </c>
      <c r="H76" s="92">
        <v>1</v>
      </c>
      <c r="J76" s="79">
        <f>IF(G76="","X",_xlfn.XLOOKUP(B76,DATA_Moresby_2024_ALL!B:B,DATA_Moresby_2024_ALL!K:K,""))</f>
        <v>1</v>
      </c>
      <c r="K76" s="28"/>
      <c r="L76" s="29"/>
      <c r="M76" s="28"/>
      <c r="N76" s="19">
        <f t="shared" si="5"/>
        <v>4</v>
      </c>
      <c r="O76" s="19">
        <f t="shared" si="5"/>
        <v>4</v>
      </c>
      <c r="P76" s="19">
        <f t="shared" si="5"/>
        <v>4</v>
      </c>
      <c r="Q76" s="19">
        <f t="shared" si="5"/>
        <v>4</v>
      </c>
      <c r="R76" s="21"/>
      <c r="T76" s="21"/>
      <c r="W76" s="46"/>
      <c r="X76" s="92">
        <v>4</v>
      </c>
      <c r="Y76" s="92">
        <v>4</v>
      </c>
      <c r="Z76" s="92">
        <v>4</v>
      </c>
    </row>
    <row r="77" spans="1:26" ht="16" x14ac:dyDescent="0.4">
      <c r="A77">
        <v>369</v>
      </c>
      <c r="B77" s="92">
        <v>370</v>
      </c>
      <c r="E77">
        <v>50</v>
      </c>
      <c r="F77" s="92" t="str">
        <f>_xlfn.XLOOKUP(B77, DATA_Moresby_2024_ALL!B:B, DATA_Moresby_2024_ALL!G:G, "")</f>
        <v>370_20240611_0012_R_0782.jpg</v>
      </c>
      <c r="G77" s="93" t="str">
        <f t="shared" si="2"/>
        <v>370_20240611_0012_R_0782.jpg</v>
      </c>
      <c r="H77" s="92">
        <v>1</v>
      </c>
      <c r="J77" s="79">
        <f>IF(G77="","X",_xlfn.XLOOKUP(B77,DATA_Moresby_2024_ALL!B:B,DATA_Moresby_2024_ALL!K:K,""))</f>
        <v>1</v>
      </c>
      <c r="K77" s="28"/>
      <c r="L77" s="29"/>
      <c r="M77" s="28"/>
      <c r="N77" s="19">
        <f t="shared" si="5"/>
        <v>4</v>
      </c>
      <c r="O77" s="19">
        <f t="shared" si="5"/>
        <v>4</v>
      </c>
      <c r="P77" s="19">
        <f t="shared" si="5"/>
        <v>4</v>
      </c>
      <c r="Q77" s="19">
        <f t="shared" si="5"/>
        <v>4</v>
      </c>
      <c r="R77" s="21"/>
      <c r="T77" s="21"/>
      <c r="W77" s="46"/>
      <c r="X77" s="92">
        <v>4</v>
      </c>
      <c r="Y77" s="92">
        <v>4</v>
      </c>
      <c r="Z77" s="92">
        <v>4</v>
      </c>
    </row>
    <row r="78" spans="1:26" ht="16" x14ac:dyDescent="0.4">
      <c r="A78">
        <v>374</v>
      </c>
      <c r="B78" s="92">
        <v>375</v>
      </c>
      <c r="E78">
        <v>50</v>
      </c>
      <c r="F78" s="92" t="str">
        <f>_xlfn.XLOOKUP(B78, DATA_Moresby_2024_ALL!B:B, DATA_Moresby_2024_ALL!G:G, "")</f>
        <v>375_20240611_0012_R_0768.jpg</v>
      </c>
      <c r="G78" s="93" t="str">
        <f t="shared" ref="G78:G141" si="9">HYPERLINK("D:\Data From Lucan\2024\Moresby\Frames_for_Analysis_50\" &amp; F78,F78)</f>
        <v>375_20240611_0012_R_0768.jpg</v>
      </c>
      <c r="H78" s="92">
        <v>1</v>
      </c>
      <c r="J78" s="79">
        <f>IF(G78="","X",_xlfn.XLOOKUP(B78,DATA_Moresby_2024_ALL!B:B,DATA_Moresby_2024_ALL!K:K,""))</f>
        <v>1</v>
      </c>
      <c r="K78" s="28"/>
      <c r="L78" s="29"/>
      <c r="M78" s="28"/>
      <c r="N78" s="19">
        <f t="shared" si="5"/>
        <v>4</v>
      </c>
      <c r="O78" s="19">
        <f t="shared" si="5"/>
        <v>4</v>
      </c>
      <c r="P78" s="19">
        <f t="shared" si="5"/>
        <v>4</v>
      </c>
      <c r="Q78" s="19">
        <f t="shared" si="5"/>
        <v>4</v>
      </c>
      <c r="R78" s="21"/>
      <c r="T78" s="21"/>
      <c r="W78" s="46"/>
      <c r="X78" s="92">
        <v>4</v>
      </c>
      <c r="Y78" s="92">
        <v>4</v>
      </c>
      <c r="Z78" s="92">
        <v>4</v>
      </c>
    </row>
    <row r="79" spans="1:26" ht="16" x14ac:dyDescent="0.4">
      <c r="A79">
        <v>379</v>
      </c>
      <c r="B79" s="92">
        <v>380</v>
      </c>
      <c r="E79">
        <v>50</v>
      </c>
      <c r="F79" s="92" t="str">
        <f>_xlfn.XLOOKUP(B79, DATA_Moresby_2024_ALL!B:B, DATA_Moresby_2024_ALL!G:G, "")</f>
        <v>380_20240611_0012_R_0756.jpg</v>
      </c>
      <c r="G79" s="93" t="str">
        <f t="shared" si="9"/>
        <v>380_20240611_0012_R_0756.jpg</v>
      </c>
      <c r="H79" s="92">
        <v>1</v>
      </c>
      <c r="J79" s="79">
        <f>IF(G79="","X",_xlfn.XLOOKUP(B79,DATA_Moresby_2024_ALL!B:B,DATA_Moresby_2024_ALL!K:K,""))</f>
        <v>1</v>
      </c>
      <c r="K79" s="28"/>
      <c r="L79" s="29"/>
      <c r="M79" s="28"/>
      <c r="N79" s="19">
        <f t="shared" si="5"/>
        <v>4</v>
      </c>
      <c r="O79" s="19">
        <f t="shared" si="5"/>
        <v>4</v>
      </c>
      <c r="P79" s="19">
        <f t="shared" si="5"/>
        <v>4</v>
      </c>
      <c r="Q79" s="19">
        <v>4</v>
      </c>
      <c r="R79" s="21"/>
      <c r="T79" s="21"/>
      <c r="W79" s="46"/>
      <c r="X79" s="92">
        <v>4</v>
      </c>
      <c r="Y79" s="92">
        <v>4</v>
      </c>
      <c r="Z79" s="92">
        <v>4</v>
      </c>
    </row>
    <row r="80" spans="1:26" ht="16" x14ac:dyDescent="0.4">
      <c r="A80">
        <v>384</v>
      </c>
      <c r="B80" s="92">
        <v>385</v>
      </c>
      <c r="E80">
        <v>50</v>
      </c>
      <c r="F80" s="92" t="str">
        <f>_xlfn.XLOOKUP(B80, DATA_Moresby_2024_ALL!B:B, DATA_Moresby_2024_ALL!G:G, "")</f>
        <v>385_20240611_0012_R_0734.jpg</v>
      </c>
      <c r="G80" s="93" t="str">
        <f t="shared" si="9"/>
        <v>385_20240611_0012_R_0734.jpg</v>
      </c>
      <c r="H80" s="92">
        <v>1</v>
      </c>
      <c r="J80" s="79">
        <f>IF(G80="","X",_xlfn.XLOOKUP(B80,DATA_Moresby_2024_ALL!B:B,DATA_Moresby_2024_ALL!K:K,""))</f>
        <v>1</v>
      </c>
      <c r="K80" s="28"/>
      <c r="L80" s="29"/>
      <c r="M80" s="28"/>
      <c r="N80" s="19">
        <f t="shared" si="5"/>
        <v>4</v>
      </c>
      <c r="O80" s="19">
        <f t="shared" si="5"/>
        <v>4</v>
      </c>
      <c r="P80" s="19">
        <f t="shared" si="5"/>
        <v>4</v>
      </c>
      <c r="Q80" s="19">
        <v>3</v>
      </c>
      <c r="R80" s="21"/>
      <c r="T80" s="21"/>
      <c r="W80" s="46"/>
      <c r="X80" s="92">
        <v>4</v>
      </c>
      <c r="Y80" s="92">
        <v>4</v>
      </c>
      <c r="Z80" s="92">
        <v>4</v>
      </c>
    </row>
    <row r="81" spans="1:26" ht="16" x14ac:dyDescent="0.4">
      <c r="A81">
        <v>389</v>
      </c>
      <c r="B81" s="92">
        <v>390</v>
      </c>
      <c r="E81">
        <v>50</v>
      </c>
      <c r="F81" s="92" t="str">
        <f>_xlfn.XLOOKUP(B81, DATA_Moresby_2024_ALL!B:B, DATA_Moresby_2024_ALL!G:G, "")</f>
        <v>390_20240611_0012_R_0715.jpg</v>
      </c>
      <c r="G81" s="93" t="str">
        <f t="shared" si="9"/>
        <v>390_20240611_0012_R_0715.jpg</v>
      </c>
      <c r="H81" s="92">
        <v>1</v>
      </c>
      <c r="J81" s="79">
        <f>IF(G81="","X",_xlfn.XLOOKUP(B81,DATA_Moresby_2024_ALL!B:B,DATA_Moresby_2024_ALL!K:K,""))</f>
        <v>1</v>
      </c>
      <c r="K81" s="28"/>
      <c r="L81" s="29"/>
      <c r="M81" s="28"/>
      <c r="N81" s="19">
        <f t="shared" si="5"/>
        <v>4</v>
      </c>
      <c r="O81" s="19">
        <v>3</v>
      </c>
      <c r="P81" s="19">
        <f t="shared" si="5"/>
        <v>4</v>
      </c>
      <c r="Q81" s="19">
        <f t="shared" si="5"/>
        <v>4</v>
      </c>
      <c r="R81" s="21"/>
      <c r="T81" s="21"/>
      <c r="W81" s="46"/>
      <c r="X81" s="92">
        <v>4</v>
      </c>
      <c r="Y81" s="92">
        <v>3</v>
      </c>
      <c r="Z81" s="92">
        <v>4</v>
      </c>
    </row>
    <row r="82" spans="1:26" ht="16" x14ac:dyDescent="0.4">
      <c r="A82">
        <v>394</v>
      </c>
      <c r="B82" s="92">
        <v>395</v>
      </c>
      <c r="E82">
        <v>50</v>
      </c>
      <c r="F82" s="92" t="str">
        <f>_xlfn.XLOOKUP(B82, DATA_Moresby_2024_ALL!B:B, DATA_Moresby_2024_ALL!G:G, "")</f>
        <v>395_20240611_0012_R_0699.jpg</v>
      </c>
      <c r="G82" s="93" t="str">
        <f t="shared" si="9"/>
        <v>395_20240611_0012_R_0699.jpg</v>
      </c>
      <c r="H82" s="92">
        <v>1</v>
      </c>
      <c r="J82" s="79">
        <f>IF(G82="","X",_xlfn.XLOOKUP(B82,DATA_Moresby_2024_ALL!B:B,DATA_Moresby_2024_ALL!K:K,""))</f>
        <v>1</v>
      </c>
      <c r="K82" s="28"/>
      <c r="L82" s="29"/>
      <c r="M82" s="28"/>
      <c r="N82" s="19">
        <f t="shared" si="5"/>
        <v>4</v>
      </c>
      <c r="O82" s="19">
        <f t="shared" si="5"/>
        <v>4</v>
      </c>
      <c r="P82" s="19">
        <f t="shared" si="5"/>
        <v>4</v>
      </c>
      <c r="Q82" s="19">
        <f t="shared" si="5"/>
        <v>4</v>
      </c>
      <c r="R82" s="21"/>
      <c r="T82" s="21"/>
      <c r="W82" s="46"/>
      <c r="X82" s="92">
        <v>4</v>
      </c>
      <c r="Y82" s="92">
        <v>4</v>
      </c>
      <c r="Z82" s="92">
        <v>4</v>
      </c>
    </row>
    <row r="83" spans="1:26" ht="16" x14ac:dyDescent="0.4">
      <c r="A83">
        <v>399</v>
      </c>
      <c r="B83" s="92">
        <v>400</v>
      </c>
      <c r="E83">
        <v>50</v>
      </c>
      <c r="F83" s="92" t="str">
        <f>_xlfn.XLOOKUP(B83, DATA_Moresby_2024_ALL!B:B, DATA_Moresby_2024_ALL!G:G, "")</f>
        <v>400_20240611_0012_R_0680.jpg</v>
      </c>
      <c r="G83" s="93" t="str">
        <f t="shared" si="9"/>
        <v>400_20240611_0012_R_0680.jpg</v>
      </c>
      <c r="H83" s="92">
        <v>1</v>
      </c>
      <c r="J83" s="79">
        <f>IF(G83="","X",_xlfn.XLOOKUP(B83,DATA_Moresby_2024_ALL!B:B,DATA_Moresby_2024_ALL!K:K,""))</f>
        <v>1</v>
      </c>
      <c r="K83" s="28"/>
      <c r="L83" s="29"/>
      <c r="M83" s="28"/>
      <c r="N83" s="19">
        <f t="shared" si="5"/>
        <v>4</v>
      </c>
      <c r="O83" s="19">
        <f t="shared" si="5"/>
        <v>4</v>
      </c>
      <c r="P83" s="19">
        <f t="shared" si="5"/>
        <v>4</v>
      </c>
      <c r="Q83" s="19">
        <v>3</v>
      </c>
      <c r="R83" s="21"/>
      <c r="T83" s="21"/>
      <c r="W83" s="46"/>
      <c r="X83" s="92">
        <v>4</v>
      </c>
      <c r="Y83" s="92">
        <v>4</v>
      </c>
      <c r="Z83" s="92">
        <v>4</v>
      </c>
    </row>
    <row r="84" spans="1:26" ht="16" x14ac:dyDescent="0.4">
      <c r="A84">
        <v>404</v>
      </c>
      <c r="B84" s="92">
        <v>405</v>
      </c>
      <c r="E84">
        <v>50</v>
      </c>
      <c r="F84" s="92" t="str">
        <f>_xlfn.XLOOKUP(B84, DATA_Moresby_2024_ALL!B:B, DATA_Moresby_2024_ALL!G:G, "")</f>
        <v>405_20240611_0012_R_0664.jpg</v>
      </c>
      <c r="G84" s="93" t="str">
        <f t="shared" si="9"/>
        <v>405_20240611_0012_R_0664.jpg</v>
      </c>
      <c r="H84" s="92">
        <v>1</v>
      </c>
      <c r="J84" s="79">
        <f>IF(G84="","X",_xlfn.XLOOKUP(B84,DATA_Moresby_2024_ALL!B:B,DATA_Moresby_2024_ALL!K:K,""))</f>
        <v>1</v>
      </c>
      <c r="K84" s="28"/>
      <c r="L84" s="29"/>
      <c r="M84" s="28"/>
      <c r="N84" s="19">
        <f t="shared" si="5"/>
        <v>4</v>
      </c>
      <c r="O84" s="19">
        <f t="shared" si="5"/>
        <v>4</v>
      </c>
      <c r="P84" s="19">
        <f t="shared" si="5"/>
        <v>4</v>
      </c>
      <c r="Q84" s="19">
        <f t="shared" si="5"/>
        <v>4</v>
      </c>
      <c r="R84" s="21"/>
      <c r="T84" s="21"/>
      <c r="W84" s="46"/>
      <c r="X84" s="92">
        <v>4</v>
      </c>
      <c r="Y84" s="92">
        <v>4</v>
      </c>
      <c r="Z84" s="92">
        <v>4</v>
      </c>
    </row>
    <row r="85" spans="1:26" ht="16" x14ac:dyDescent="0.4">
      <c r="A85">
        <v>409</v>
      </c>
      <c r="B85" s="92">
        <v>410</v>
      </c>
      <c r="E85">
        <v>50</v>
      </c>
      <c r="F85" s="92" t="str">
        <f>_xlfn.XLOOKUP(B85, DATA_Moresby_2024_ALL!B:B, DATA_Moresby_2024_ALL!G:G, "")</f>
        <v>410_20240611_0012_R_0650.jpg</v>
      </c>
      <c r="G85" s="93" t="str">
        <f t="shared" si="9"/>
        <v>410_20240611_0012_R_0650.jpg</v>
      </c>
      <c r="H85" s="92">
        <v>1</v>
      </c>
      <c r="J85" s="79">
        <f>IF(G85="","X",_xlfn.XLOOKUP(B85,DATA_Moresby_2024_ALL!B:B,DATA_Moresby_2024_ALL!K:K,""))</f>
        <v>1</v>
      </c>
      <c r="K85" s="28"/>
      <c r="L85" s="29"/>
      <c r="M85" s="28"/>
      <c r="N85" s="19">
        <f t="shared" si="5"/>
        <v>4</v>
      </c>
      <c r="O85" s="19">
        <f t="shared" si="5"/>
        <v>4</v>
      </c>
      <c r="P85" s="19">
        <f t="shared" si="5"/>
        <v>4</v>
      </c>
      <c r="Q85" s="19">
        <f t="shared" si="5"/>
        <v>4</v>
      </c>
      <c r="R85" s="21"/>
      <c r="T85" s="21"/>
      <c r="W85" s="46"/>
      <c r="X85" s="92">
        <v>4</v>
      </c>
      <c r="Y85" s="92">
        <v>4</v>
      </c>
      <c r="Z85" s="92">
        <v>4</v>
      </c>
    </row>
    <row r="86" spans="1:26" ht="16" x14ac:dyDescent="0.4">
      <c r="A86">
        <v>414</v>
      </c>
      <c r="B86" s="92">
        <v>415</v>
      </c>
      <c r="E86">
        <v>50</v>
      </c>
      <c r="F86" s="92" t="str">
        <f>_xlfn.XLOOKUP(B86, DATA_Moresby_2024_ALL!B:B, DATA_Moresby_2024_ALL!G:G, "")</f>
        <v>415_20240611_0012_R_0636.jpg</v>
      </c>
      <c r="G86" s="93" t="str">
        <f t="shared" si="9"/>
        <v>415_20240611_0012_R_0636.jpg</v>
      </c>
      <c r="H86" s="92">
        <v>1</v>
      </c>
      <c r="J86" s="79">
        <f>IF(G86="","X",_xlfn.XLOOKUP(B86,DATA_Moresby_2024_ALL!B:B,DATA_Moresby_2024_ALL!K:K,""))</f>
        <v>1</v>
      </c>
      <c r="K86" s="28"/>
      <c r="L86" s="29"/>
      <c r="M86" s="28"/>
      <c r="N86" s="19">
        <f t="shared" si="5"/>
        <v>4</v>
      </c>
      <c r="O86" s="19">
        <f t="shared" si="5"/>
        <v>4</v>
      </c>
      <c r="P86" s="19">
        <f t="shared" si="5"/>
        <v>4</v>
      </c>
      <c r="Q86" s="19">
        <f t="shared" si="5"/>
        <v>4</v>
      </c>
      <c r="R86" s="21"/>
      <c r="T86" s="21"/>
      <c r="W86" s="46"/>
      <c r="X86" s="92">
        <v>4</v>
      </c>
      <c r="Y86" s="92">
        <v>4</v>
      </c>
      <c r="Z86" s="92">
        <v>4</v>
      </c>
    </row>
    <row r="87" spans="1:26" ht="16" x14ac:dyDescent="0.4">
      <c r="A87">
        <v>419</v>
      </c>
      <c r="B87" s="92">
        <v>420</v>
      </c>
      <c r="E87">
        <v>50</v>
      </c>
      <c r="F87" s="92" t="str">
        <f>_xlfn.XLOOKUP(B87, DATA_Moresby_2024_ALL!B:B, DATA_Moresby_2024_ALL!G:G, "")</f>
        <v>420_20240611_0012_R_0622.jpg</v>
      </c>
      <c r="G87" s="93" t="str">
        <f t="shared" si="9"/>
        <v>420_20240611_0012_R_0622.jpg</v>
      </c>
      <c r="H87" s="92">
        <v>1</v>
      </c>
      <c r="J87" s="79">
        <f>IF(G87="","X",_xlfn.XLOOKUP(B87,DATA_Moresby_2024_ALL!B:B,DATA_Moresby_2024_ALL!K:K,""))</f>
        <v>1</v>
      </c>
      <c r="K87" s="28"/>
      <c r="L87" s="29"/>
      <c r="M87" s="28"/>
      <c r="N87" s="19">
        <f t="shared" si="5"/>
        <v>4</v>
      </c>
      <c r="O87" s="19">
        <f t="shared" si="5"/>
        <v>4</v>
      </c>
      <c r="P87" s="19">
        <f t="shared" si="5"/>
        <v>4</v>
      </c>
      <c r="Q87" s="19">
        <f t="shared" si="5"/>
        <v>4</v>
      </c>
      <c r="R87" s="21"/>
      <c r="T87" s="21"/>
      <c r="W87" s="46"/>
      <c r="X87" s="92">
        <v>4</v>
      </c>
      <c r="Y87" s="92">
        <v>4</v>
      </c>
      <c r="Z87" s="92">
        <v>3</v>
      </c>
    </row>
    <row r="88" spans="1:26" ht="16" x14ac:dyDescent="0.4">
      <c r="A88">
        <v>424</v>
      </c>
      <c r="B88" s="92">
        <v>425</v>
      </c>
      <c r="E88">
        <v>50</v>
      </c>
      <c r="F88" s="92" t="str">
        <f>_xlfn.XLOOKUP(B88, DATA_Moresby_2024_ALL!B:B, DATA_Moresby_2024_ALL!G:G, "")</f>
        <v>425_20240611_0012_R_0608.jpg</v>
      </c>
      <c r="G88" s="93" t="str">
        <f t="shared" si="9"/>
        <v>425_20240611_0012_R_0608.jpg</v>
      </c>
      <c r="H88" s="92">
        <v>1</v>
      </c>
      <c r="J88" s="79">
        <f>IF(G88="","X",_xlfn.XLOOKUP(B88,DATA_Moresby_2024_ALL!B:B,DATA_Moresby_2024_ALL!K:K,""))</f>
        <v>1</v>
      </c>
      <c r="K88" s="28"/>
      <c r="L88" s="29"/>
      <c r="M88" s="28"/>
      <c r="N88" s="19">
        <f t="shared" si="5"/>
        <v>4</v>
      </c>
      <c r="O88" s="19">
        <f t="shared" si="5"/>
        <v>4</v>
      </c>
      <c r="P88" s="19">
        <f t="shared" si="5"/>
        <v>4</v>
      </c>
      <c r="Q88" s="19">
        <f t="shared" si="5"/>
        <v>4</v>
      </c>
      <c r="R88" s="21"/>
      <c r="T88" s="21"/>
      <c r="W88" s="46"/>
      <c r="X88" s="92">
        <v>4</v>
      </c>
      <c r="Y88" s="92">
        <v>4</v>
      </c>
      <c r="Z88" s="92">
        <v>4</v>
      </c>
    </row>
    <row r="89" spans="1:26" ht="16" x14ac:dyDescent="0.4">
      <c r="A89">
        <v>429</v>
      </c>
      <c r="B89" s="92">
        <v>430</v>
      </c>
      <c r="E89">
        <v>50</v>
      </c>
      <c r="F89" s="92" t="str">
        <f>_xlfn.XLOOKUP(B89, DATA_Moresby_2024_ALL!B:B, DATA_Moresby_2024_ALL!G:G, "")</f>
        <v>430_20240611_0012_R_0595.jpg</v>
      </c>
      <c r="G89" s="93" t="str">
        <f t="shared" si="9"/>
        <v>430_20240611_0012_R_0595.jpg</v>
      </c>
      <c r="H89" s="92">
        <v>1</v>
      </c>
      <c r="J89" s="79">
        <f>IF(G89="","X",_xlfn.XLOOKUP(B89,DATA_Moresby_2024_ALL!B:B,DATA_Moresby_2024_ALL!K:K,""))</f>
        <v>1</v>
      </c>
      <c r="K89" s="28"/>
      <c r="L89" s="29"/>
      <c r="M89" s="28"/>
      <c r="N89" s="19">
        <f t="shared" si="5"/>
        <v>4</v>
      </c>
      <c r="O89" s="19">
        <f t="shared" si="5"/>
        <v>4</v>
      </c>
      <c r="P89" s="19">
        <f t="shared" si="5"/>
        <v>4</v>
      </c>
      <c r="Q89" s="19">
        <f t="shared" si="5"/>
        <v>4</v>
      </c>
      <c r="R89" s="21"/>
      <c r="T89" s="21"/>
      <c r="W89" s="46"/>
      <c r="X89" s="92">
        <v>4</v>
      </c>
      <c r="Y89" s="92">
        <v>4</v>
      </c>
      <c r="Z89" s="92">
        <v>4</v>
      </c>
    </row>
    <row r="90" spans="1:26" ht="16" x14ac:dyDescent="0.4">
      <c r="A90">
        <v>434</v>
      </c>
      <c r="B90" s="92">
        <v>435</v>
      </c>
      <c r="E90">
        <v>50</v>
      </c>
      <c r="F90" s="92" t="str">
        <f>_xlfn.XLOOKUP(B90, DATA_Moresby_2024_ALL!B:B, DATA_Moresby_2024_ALL!G:G, "")</f>
        <v>435_20240611_0012_R_0582.jpg</v>
      </c>
      <c r="G90" s="93" t="str">
        <f t="shared" si="9"/>
        <v>435_20240611_0012_R_0582.jpg</v>
      </c>
      <c r="H90" s="92">
        <v>1</v>
      </c>
      <c r="J90" s="79">
        <f>IF(G90="","X",_xlfn.XLOOKUP(B90,DATA_Moresby_2024_ALL!B:B,DATA_Moresby_2024_ALL!K:K,""))</f>
        <v>1</v>
      </c>
      <c r="K90" s="28"/>
      <c r="L90" s="29"/>
      <c r="M90" s="28"/>
      <c r="N90" s="19">
        <f t="shared" si="5"/>
        <v>4</v>
      </c>
      <c r="O90" s="19">
        <f t="shared" si="5"/>
        <v>4</v>
      </c>
      <c r="P90" s="19">
        <f t="shared" si="5"/>
        <v>4</v>
      </c>
      <c r="Q90" s="19">
        <v>2</v>
      </c>
      <c r="R90" s="21"/>
      <c r="T90" s="21"/>
      <c r="W90" s="46"/>
      <c r="X90" s="92">
        <v>4</v>
      </c>
      <c r="Y90" s="92">
        <v>4</v>
      </c>
      <c r="Z90" s="92">
        <v>3</v>
      </c>
    </row>
    <row r="91" spans="1:26" ht="16" x14ac:dyDescent="0.4">
      <c r="A91">
        <v>439</v>
      </c>
      <c r="B91" s="92">
        <v>440</v>
      </c>
      <c r="E91">
        <v>50</v>
      </c>
      <c r="F91" s="92" t="str">
        <f>_xlfn.XLOOKUP(B91, DATA_Moresby_2024_ALL!B:B, DATA_Moresby_2024_ALL!G:G, "")</f>
        <v>440_20240611_0012_R_0569.jpg</v>
      </c>
      <c r="G91" s="93" t="str">
        <f t="shared" si="9"/>
        <v>440_20240611_0012_R_0569.jpg</v>
      </c>
      <c r="H91" s="92">
        <v>1</v>
      </c>
      <c r="J91" s="79">
        <f>IF(G91="","X",_xlfn.XLOOKUP(B91,DATA_Moresby_2024_ALL!B:B,DATA_Moresby_2024_ALL!K:K,""))</f>
        <v>1</v>
      </c>
      <c r="K91" s="28"/>
      <c r="L91" s="29"/>
      <c r="M91" s="28"/>
      <c r="N91" s="19">
        <f t="shared" si="5"/>
        <v>4</v>
      </c>
      <c r="O91" s="19">
        <f t="shared" si="5"/>
        <v>4</v>
      </c>
      <c r="P91" s="19">
        <f t="shared" si="5"/>
        <v>4</v>
      </c>
      <c r="Q91" s="19">
        <v>3</v>
      </c>
      <c r="R91" s="21"/>
      <c r="T91" s="21"/>
      <c r="W91" s="46"/>
      <c r="X91" s="92">
        <v>4</v>
      </c>
      <c r="Y91" s="92">
        <v>4</v>
      </c>
      <c r="Z91" s="92">
        <v>3</v>
      </c>
    </row>
    <row r="92" spans="1:26" ht="16" x14ac:dyDescent="0.4">
      <c r="A92">
        <v>444</v>
      </c>
      <c r="B92" s="92">
        <v>445</v>
      </c>
      <c r="E92">
        <v>50</v>
      </c>
      <c r="F92" s="92" t="str">
        <f>_xlfn.XLOOKUP(B92, DATA_Moresby_2024_ALL!B:B, DATA_Moresby_2024_ALL!G:G, "")</f>
        <v>445_20240611_0012_R_0555.jpg</v>
      </c>
      <c r="G92" s="93" t="str">
        <f t="shared" si="9"/>
        <v>445_20240611_0012_R_0555.jpg</v>
      </c>
      <c r="H92" s="92">
        <v>1</v>
      </c>
      <c r="J92" s="79">
        <f>IF(G92="","X",_xlfn.XLOOKUP(B92,DATA_Moresby_2024_ALL!B:B,DATA_Moresby_2024_ALL!K:K,""))</f>
        <v>1</v>
      </c>
      <c r="K92" s="28"/>
      <c r="L92" s="29"/>
      <c r="M92" s="28"/>
      <c r="N92" s="19">
        <f t="shared" si="5"/>
        <v>4</v>
      </c>
      <c r="O92" s="19">
        <f t="shared" si="5"/>
        <v>4</v>
      </c>
      <c r="P92" s="19">
        <f t="shared" si="5"/>
        <v>4</v>
      </c>
      <c r="Q92" s="19">
        <v>3</v>
      </c>
      <c r="R92" s="21"/>
      <c r="T92" s="21"/>
      <c r="W92" s="46"/>
      <c r="X92" s="92">
        <v>4</v>
      </c>
      <c r="Y92" s="92">
        <v>4</v>
      </c>
      <c r="Z92" s="92">
        <v>3</v>
      </c>
    </row>
    <row r="93" spans="1:26" ht="16" x14ac:dyDescent="0.4">
      <c r="A93">
        <v>449</v>
      </c>
      <c r="B93" s="92">
        <v>450</v>
      </c>
      <c r="E93">
        <v>50</v>
      </c>
      <c r="F93" s="92" t="str">
        <f>_xlfn.XLOOKUP(B93, DATA_Moresby_2024_ALL!B:B, DATA_Moresby_2024_ALL!G:G, "")</f>
        <v>450_20240611_0012_R_0543.jpg</v>
      </c>
      <c r="G93" s="93" t="str">
        <f t="shared" si="9"/>
        <v>450_20240611_0012_R_0543.jpg</v>
      </c>
      <c r="H93" s="92">
        <v>1</v>
      </c>
      <c r="J93" s="79">
        <f>IF(G93="","X",_xlfn.XLOOKUP(B93,DATA_Moresby_2024_ALL!B:B,DATA_Moresby_2024_ALL!K:K,""))</f>
        <v>1</v>
      </c>
      <c r="K93" s="28"/>
      <c r="L93" s="29"/>
      <c r="M93" s="28"/>
      <c r="N93" s="19">
        <f t="shared" si="5"/>
        <v>4</v>
      </c>
      <c r="O93" s="19">
        <f t="shared" si="5"/>
        <v>4</v>
      </c>
      <c r="P93" s="19">
        <f t="shared" si="5"/>
        <v>4</v>
      </c>
      <c r="Q93" s="19">
        <f t="shared" ref="O93:Q156" si="10">IF($J93=1,4,"")</f>
        <v>4</v>
      </c>
      <c r="R93" s="21"/>
      <c r="T93" s="21"/>
      <c r="W93" s="46"/>
      <c r="X93" s="92">
        <v>4</v>
      </c>
      <c r="Y93" s="92">
        <v>4</v>
      </c>
      <c r="Z93" s="92">
        <v>4</v>
      </c>
    </row>
    <row r="94" spans="1:26" ht="16" x14ac:dyDescent="0.4">
      <c r="A94">
        <v>454</v>
      </c>
      <c r="B94" s="92">
        <v>455</v>
      </c>
      <c r="E94">
        <v>50</v>
      </c>
      <c r="F94" s="92" t="str">
        <f>_xlfn.XLOOKUP(B94, DATA_Moresby_2024_ALL!B:B, DATA_Moresby_2024_ALL!G:G, "")</f>
        <v>455_20240611_0012_R_0530.jpg</v>
      </c>
      <c r="G94" s="93" t="str">
        <f t="shared" si="9"/>
        <v>455_20240611_0012_R_0530.jpg</v>
      </c>
      <c r="H94" s="92">
        <v>1</v>
      </c>
      <c r="J94" s="79">
        <f>IF(G94="","X",_xlfn.XLOOKUP(B94,DATA_Moresby_2024_ALL!B:B,DATA_Moresby_2024_ALL!K:K,""))</f>
        <v>1</v>
      </c>
      <c r="K94" s="28"/>
      <c r="L94" s="29"/>
      <c r="M94" s="28"/>
      <c r="N94" s="19">
        <v>4</v>
      </c>
      <c r="O94" s="19">
        <f t="shared" si="10"/>
        <v>4</v>
      </c>
      <c r="P94" s="19">
        <f t="shared" si="10"/>
        <v>4</v>
      </c>
      <c r="Q94" s="19">
        <v>3</v>
      </c>
      <c r="R94" s="21"/>
      <c r="T94" s="21"/>
      <c r="W94" s="46"/>
      <c r="X94" s="92">
        <v>4</v>
      </c>
      <c r="Y94" s="92">
        <v>4</v>
      </c>
      <c r="Z94" s="92">
        <v>3</v>
      </c>
    </row>
    <row r="95" spans="1:26" ht="16" x14ac:dyDescent="0.4">
      <c r="A95">
        <v>459</v>
      </c>
      <c r="B95" s="92">
        <v>460</v>
      </c>
      <c r="E95">
        <v>50</v>
      </c>
      <c r="F95" s="92" t="str">
        <f>_xlfn.XLOOKUP(B95, DATA_Moresby_2024_ALL!B:B, DATA_Moresby_2024_ALL!G:G, "")</f>
        <v>460_20240611_0012_R_0516.jpg</v>
      </c>
      <c r="G95" s="93" t="str">
        <f t="shared" si="9"/>
        <v>460_20240611_0012_R_0516.jpg</v>
      </c>
      <c r="H95" s="92">
        <v>1</v>
      </c>
      <c r="J95" s="79">
        <f>IF(G95="","X",_xlfn.XLOOKUP(B95,DATA_Moresby_2024_ALL!B:B,DATA_Moresby_2024_ALL!K:K,""))</f>
        <v>1</v>
      </c>
      <c r="K95" s="28"/>
      <c r="L95" s="29"/>
      <c r="M95" s="28"/>
      <c r="N95" s="19">
        <f t="shared" ref="N95:Q157" si="11">IF($J95=1,4,"")</f>
        <v>4</v>
      </c>
      <c r="O95" s="19">
        <f t="shared" si="10"/>
        <v>4</v>
      </c>
      <c r="P95" s="19">
        <f t="shared" si="10"/>
        <v>4</v>
      </c>
      <c r="Q95" s="19">
        <f t="shared" si="10"/>
        <v>4</v>
      </c>
      <c r="R95" s="21"/>
      <c r="T95" s="21"/>
      <c r="W95" s="46"/>
      <c r="X95" s="92">
        <v>4</v>
      </c>
      <c r="Y95" s="92">
        <v>4</v>
      </c>
      <c r="Z95" s="92">
        <v>4</v>
      </c>
    </row>
    <row r="96" spans="1:26" ht="16" x14ac:dyDescent="0.4">
      <c r="A96">
        <v>464</v>
      </c>
      <c r="B96" s="92">
        <v>465</v>
      </c>
      <c r="E96">
        <v>50</v>
      </c>
      <c r="F96" s="92" t="str">
        <f>_xlfn.XLOOKUP(B96, DATA_Moresby_2024_ALL!B:B, DATA_Moresby_2024_ALL!G:G, "")</f>
        <v>465_20240611_0012_R_0502.jpg</v>
      </c>
      <c r="G96" s="93" t="str">
        <f t="shared" si="9"/>
        <v>465_20240611_0012_R_0502.jpg</v>
      </c>
      <c r="H96" s="92">
        <v>1</v>
      </c>
      <c r="J96" s="79">
        <f>IF(G96="","X",_xlfn.XLOOKUP(B96,DATA_Moresby_2024_ALL!B:B,DATA_Moresby_2024_ALL!K:K,""))</f>
        <v>1</v>
      </c>
      <c r="K96" s="28"/>
      <c r="L96" s="29"/>
      <c r="M96" s="28"/>
      <c r="N96" s="19">
        <v>4</v>
      </c>
      <c r="O96" s="19">
        <v>3</v>
      </c>
      <c r="P96" s="19">
        <f t="shared" si="10"/>
        <v>4</v>
      </c>
      <c r="Q96" s="19">
        <f t="shared" si="10"/>
        <v>4</v>
      </c>
      <c r="R96" s="21"/>
      <c r="T96" s="21"/>
      <c r="W96" s="46"/>
      <c r="X96" s="92">
        <v>4</v>
      </c>
      <c r="Y96" s="92">
        <v>4</v>
      </c>
      <c r="Z96" s="92">
        <v>4</v>
      </c>
    </row>
    <row r="97" spans="1:26" ht="16" x14ac:dyDescent="0.4">
      <c r="A97">
        <v>469</v>
      </c>
      <c r="B97" s="92">
        <v>470</v>
      </c>
      <c r="E97">
        <v>50</v>
      </c>
      <c r="F97" s="92" t="str">
        <f>_xlfn.XLOOKUP(B97, DATA_Moresby_2024_ALL!B:B, DATA_Moresby_2024_ALL!G:G, "")</f>
        <v>470_20240611_0012_R_0490.jpg</v>
      </c>
      <c r="G97" s="93" t="str">
        <f t="shared" si="9"/>
        <v>470_20240611_0012_R_0490.jpg</v>
      </c>
      <c r="H97" s="92">
        <v>1</v>
      </c>
      <c r="J97" s="79">
        <f>IF(G97="","X",_xlfn.XLOOKUP(B97,DATA_Moresby_2024_ALL!B:B,DATA_Moresby_2024_ALL!K:K,""))</f>
        <v>1</v>
      </c>
      <c r="K97" s="28"/>
      <c r="L97" s="29"/>
      <c r="M97" s="28"/>
      <c r="N97" s="19">
        <f t="shared" si="11"/>
        <v>4</v>
      </c>
      <c r="O97" s="19">
        <f t="shared" si="10"/>
        <v>4</v>
      </c>
      <c r="P97" s="19">
        <f t="shared" si="10"/>
        <v>4</v>
      </c>
      <c r="Q97" s="19">
        <v>3</v>
      </c>
      <c r="R97" s="21"/>
      <c r="T97" s="21"/>
      <c r="W97" s="46"/>
      <c r="X97" s="92">
        <v>4</v>
      </c>
      <c r="Y97" s="92">
        <v>4</v>
      </c>
      <c r="Z97" s="92">
        <v>3</v>
      </c>
    </row>
    <row r="98" spans="1:26" ht="16" x14ac:dyDescent="0.4">
      <c r="A98">
        <v>474</v>
      </c>
      <c r="B98" s="92">
        <v>475</v>
      </c>
      <c r="E98">
        <v>50</v>
      </c>
      <c r="F98" s="92" t="str">
        <f>_xlfn.XLOOKUP(B98, DATA_Moresby_2024_ALL!B:B, DATA_Moresby_2024_ALL!G:G, "")</f>
        <v>475_20240611_0012_R_0478.jpg</v>
      </c>
      <c r="G98" s="93" t="str">
        <f t="shared" si="9"/>
        <v>475_20240611_0012_R_0478.jpg</v>
      </c>
      <c r="H98" s="92">
        <v>1</v>
      </c>
      <c r="J98" s="79">
        <f>IF(G98="","X",_xlfn.XLOOKUP(B98,DATA_Moresby_2024_ALL!B:B,DATA_Moresby_2024_ALL!K:K,""))</f>
        <v>1</v>
      </c>
      <c r="K98" s="28"/>
      <c r="L98" s="29"/>
      <c r="M98" s="28"/>
      <c r="N98" s="19">
        <f t="shared" si="11"/>
        <v>4</v>
      </c>
      <c r="O98" s="19">
        <f t="shared" si="10"/>
        <v>4</v>
      </c>
      <c r="P98" s="19">
        <f t="shared" si="10"/>
        <v>4</v>
      </c>
      <c r="Q98" s="19">
        <v>4</v>
      </c>
      <c r="R98" s="21"/>
      <c r="T98" s="21"/>
      <c r="W98" s="46"/>
      <c r="X98" s="92">
        <v>4</v>
      </c>
      <c r="Y98" s="92">
        <v>4</v>
      </c>
      <c r="Z98" s="92">
        <v>4</v>
      </c>
    </row>
    <row r="99" spans="1:26" ht="16" x14ac:dyDescent="0.4">
      <c r="A99">
        <v>479</v>
      </c>
      <c r="B99" s="92">
        <v>480</v>
      </c>
      <c r="E99">
        <v>50</v>
      </c>
      <c r="F99" s="92" t="str">
        <f>_xlfn.XLOOKUP(B99, DATA_Moresby_2024_ALL!B:B, DATA_Moresby_2024_ALL!G:G, "")</f>
        <v>480_20240611_0012_R_0466.jpg</v>
      </c>
      <c r="G99" s="93" t="str">
        <f t="shared" si="9"/>
        <v>480_20240611_0012_R_0466.jpg</v>
      </c>
      <c r="H99" s="92">
        <v>1</v>
      </c>
      <c r="J99" s="79">
        <f>IF(G99="","X",_xlfn.XLOOKUP(B99,DATA_Moresby_2024_ALL!B:B,DATA_Moresby_2024_ALL!K:K,""))</f>
        <v>1</v>
      </c>
      <c r="K99" s="28"/>
      <c r="L99" s="29"/>
      <c r="M99" s="28"/>
      <c r="N99" s="19">
        <f t="shared" si="11"/>
        <v>4</v>
      </c>
      <c r="O99" s="19">
        <f t="shared" si="10"/>
        <v>4</v>
      </c>
      <c r="P99" s="19">
        <f t="shared" si="10"/>
        <v>4</v>
      </c>
      <c r="Q99" s="19">
        <f t="shared" si="10"/>
        <v>4</v>
      </c>
      <c r="R99" s="21"/>
      <c r="T99" s="21"/>
      <c r="W99" s="46"/>
      <c r="X99" s="92">
        <v>4</v>
      </c>
      <c r="Y99" s="92">
        <v>4</v>
      </c>
      <c r="Z99" s="92">
        <v>3</v>
      </c>
    </row>
    <row r="100" spans="1:26" ht="16" x14ac:dyDescent="0.4">
      <c r="A100">
        <v>484</v>
      </c>
      <c r="B100" s="92">
        <v>485</v>
      </c>
      <c r="E100">
        <v>50</v>
      </c>
      <c r="F100" s="92" t="str">
        <f>_xlfn.XLOOKUP(B100, DATA_Moresby_2024_ALL!B:B, DATA_Moresby_2024_ALL!G:G, "")</f>
        <v>485_20240611_0012_R_0454.jpg</v>
      </c>
      <c r="G100" s="93" t="str">
        <f t="shared" si="9"/>
        <v>485_20240611_0012_R_0454.jpg</v>
      </c>
      <c r="H100" s="92">
        <v>2</v>
      </c>
      <c r="J100" s="79">
        <f>IF(G100="","X",_xlfn.XLOOKUP(B100,DATA_Moresby_2024_ALL!B:B,DATA_Moresby_2024_ALL!K:K,""))</f>
        <v>1</v>
      </c>
      <c r="K100" s="28"/>
      <c r="L100" s="29"/>
      <c r="M100" s="28"/>
      <c r="N100" s="19">
        <f t="shared" si="11"/>
        <v>4</v>
      </c>
      <c r="O100" s="19">
        <f t="shared" si="10"/>
        <v>4</v>
      </c>
      <c r="P100" s="19">
        <f t="shared" si="10"/>
        <v>4</v>
      </c>
      <c r="Q100" s="19">
        <v>3</v>
      </c>
      <c r="R100" s="21"/>
      <c r="T100" s="21"/>
      <c r="W100" s="46"/>
      <c r="X100" s="92">
        <v>4</v>
      </c>
      <c r="Y100" s="92">
        <v>4</v>
      </c>
      <c r="Z100" s="92">
        <v>3</v>
      </c>
    </row>
    <row r="101" spans="1:26" ht="16" x14ac:dyDescent="0.4">
      <c r="A101">
        <v>489</v>
      </c>
      <c r="B101" s="92">
        <v>490</v>
      </c>
      <c r="E101">
        <v>50</v>
      </c>
      <c r="F101" s="92" t="str">
        <f>_xlfn.XLOOKUP(B101, DATA_Moresby_2024_ALL!B:B, DATA_Moresby_2024_ALL!G:G, "")</f>
        <v>490_20240611_0012_R_0442.jpg</v>
      </c>
      <c r="G101" s="93" t="str">
        <f t="shared" si="9"/>
        <v>490_20240611_0012_R_0442.jpg</v>
      </c>
      <c r="H101" s="92">
        <v>2</v>
      </c>
      <c r="J101" s="79">
        <f>IF(G101="","X",_xlfn.XLOOKUP(B101,DATA_Moresby_2024_ALL!B:B,DATA_Moresby_2024_ALL!K:K,""))</f>
        <v>1</v>
      </c>
      <c r="K101" s="28"/>
      <c r="L101" s="29"/>
      <c r="M101" s="28"/>
      <c r="N101" s="19">
        <f t="shared" si="11"/>
        <v>4</v>
      </c>
      <c r="O101" s="19">
        <f t="shared" si="10"/>
        <v>4</v>
      </c>
      <c r="P101" s="19">
        <f t="shared" si="10"/>
        <v>4</v>
      </c>
      <c r="Q101" s="19">
        <f t="shared" si="10"/>
        <v>4</v>
      </c>
      <c r="R101" s="21"/>
      <c r="T101" s="21"/>
      <c r="W101" s="46"/>
      <c r="X101" s="92">
        <v>4</v>
      </c>
      <c r="Y101" s="92">
        <v>4</v>
      </c>
      <c r="Z101" s="92">
        <v>3</v>
      </c>
    </row>
    <row r="102" spans="1:26" ht="16" x14ac:dyDescent="0.4">
      <c r="A102">
        <v>494</v>
      </c>
      <c r="B102" s="92">
        <v>495</v>
      </c>
      <c r="E102">
        <v>50</v>
      </c>
      <c r="F102" s="92" t="str">
        <f>_xlfn.XLOOKUP(B102, DATA_Moresby_2024_ALL!B:B, DATA_Moresby_2024_ALL!G:G, "")</f>
        <v>495_20240611_0012_R_0430.jpg</v>
      </c>
      <c r="G102" s="93" t="str">
        <f t="shared" si="9"/>
        <v>495_20240611_0012_R_0430.jpg</v>
      </c>
      <c r="H102" s="92">
        <v>2</v>
      </c>
      <c r="J102" s="79">
        <f>IF(G102="","X",_xlfn.XLOOKUP(B102,DATA_Moresby_2024_ALL!B:B,DATA_Moresby_2024_ALL!K:K,""))</f>
        <v>1</v>
      </c>
      <c r="K102" s="28"/>
      <c r="L102" s="29"/>
      <c r="M102" s="28"/>
      <c r="N102" s="19">
        <f t="shared" si="11"/>
        <v>4</v>
      </c>
      <c r="O102" s="19">
        <f t="shared" si="10"/>
        <v>4</v>
      </c>
      <c r="P102" s="19">
        <f t="shared" si="10"/>
        <v>4</v>
      </c>
      <c r="Q102" s="19">
        <f t="shared" si="10"/>
        <v>4</v>
      </c>
      <c r="R102" s="21"/>
      <c r="T102" s="21"/>
      <c r="W102" s="46"/>
      <c r="X102" s="92">
        <v>4</v>
      </c>
      <c r="Y102" s="92">
        <v>3</v>
      </c>
      <c r="Z102" s="92">
        <v>4</v>
      </c>
    </row>
    <row r="103" spans="1:26" ht="16" x14ac:dyDescent="0.4">
      <c r="A103">
        <v>499</v>
      </c>
      <c r="B103" s="92">
        <v>500</v>
      </c>
      <c r="E103">
        <v>50</v>
      </c>
      <c r="F103" s="92" t="str">
        <f>_xlfn.XLOOKUP(B103, DATA_Moresby_2024_ALL!B:B, DATA_Moresby_2024_ALL!G:G, "")</f>
        <v>500_20240611_0012_R_0417.jpg</v>
      </c>
      <c r="G103" s="93" t="str">
        <f t="shared" si="9"/>
        <v>500_20240611_0012_R_0417.jpg</v>
      </c>
      <c r="H103" s="92">
        <v>2</v>
      </c>
      <c r="J103" s="79">
        <f>IF(G103="","X",_xlfn.XLOOKUP(B103,DATA_Moresby_2024_ALL!B:B,DATA_Moresby_2024_ALL!K:K,""))</f>
        <v>1</v>
      </c>
      <c r="K103" s="28"/>
      <c r="L103" s="29"/>
      <c r="M103" s="28"/>
      <c r="N103" s="19">
        <f t="shared" si="11"/>
        <v>4</v>
      </c>
      <c r="O103" s="19">
        <f t="shared" si="10"/>
        <v>4</v>
      </c>
      <c r="P103" s="19">
        <f t="shared" si="10"/>
        <v>4</v>
      </c>
      <c r="Q103" s="19">
        <f t="shared" si="10"/>
        <v>4</v>
      </c>
      <c r="R103" s="21"/>
      <c r="T103" s="21"/>
      <c r="W103" s="46"/>
      <c r="X103" s="92">
        <v>4</v>
      </c>
      <c r="Y103" s="92">
        <v>4</v>
      </c>
      <c r="Z103" s="92">
        <v>4</v>
      </c>
    </row>
    <row r="104" spans="1:26" ht="16" x14ac:dyDescent="0.4">
      <c r="A104">
        <v>504</v>
      </c>
      <c r="B104" s="92">
        <v>505</v>
      </c>
      <c r="E104">
        <v>50</v>
      </c>
      <c r="F104" s="92" t="str">
        <f>_xlfn.XLOOKUP(B104, DATA_Moresby_2024_ALL!B:B, DATA_Moresby_2024_ALL!G:G, "")</f>
        <v>505_20240611_0012_R_0403.jpg</v>
      </c>
      <c r="G104" s="93" t="str">
        <f t="shared" si="9"/>
        <v>505_20240611_0012_R_0403.jpg</v>
      </c>
      <c r="H104" s="92">
        <v>2</v>
      </c>
      <c r="J104" s="79">
        <f>IF(G104="","X",_xlfn.XLOOKUP(B104,DATA_Moresby_2024_ALL!B:B,DATA_Moresby_2024_ALL!K:K,""))</f>
        <v>1</v>
      </c>
      <c r="K104" s="28"/>
      <c r="L104" s="29"/>
      <c r="M104" s="28"/>
      <c r="N104" s="19">
        <f t="shared" si="11"/>
        <v>4</v>
      </c>
      <c r="O104" s="19">
        <f t="shared" si="10"/>
        <v>4</v>
      </c>
      <c r="P104" s="19">
        <f t="shared" si="10"/>
        <v>4</v>
      </c>
      <c r="Q104" s="19">
        <f t="shared" si="10"/>
        <v>4</v>
      </c>
      <c r="R104" s="21"/>
      <c r="T104" s="21"/>
      <c r="W104" s="46"/>
      <c r="X104" s="92">
        <v>4</v>
      </c>
      <c r="Y104" s="92">
        <v>4</v>
      </c>
      <c r="Z104" s="92">
        <v>4</v>
      </c>
    </row>
    <row r="105" spans="1:26" ht="16" x14ac:dyDescent="0.4">
      <c r="A105">
        <v>509</v>
      </c>
      <c r="B105" s="92">
        <v>510</v>
      </c>
      <c r="E105">
        <v>50</v>
      </c>
      <c r="F105" s="92" t="str">
        <f>_xlfn.XLOOKUP(B105, DATA_Moresby_2024_ALL!B:B, DATA_Moresby_2024_ALL!G:G, "")</f>
        <v>510_20240611_0012_R_0389.jpg</v>
      </c>
      <c r="G105" s="93" t="str">
        <f t="shared" si="9"/>
        <v>510_20240611_0012_R_0389.jpg</v>
      </c>
      <c r="H105" s="92">
        <v>2</v>
      </c>
      <c r="J105" s="79">
        <f>IF(G105="","X",_xlfn.XLOOKUP(B105,DATA_Moresby_2024_ALL!B:B,DATA_Moresby_2024_ALL!K:K,""))</f>
        <v>1</v>
      </c>
      <c r="K105" s="28"/>
      <c r="L105" s="29"/>
      <c r="M105" s="28"/>
      <c r="N105" s="19">
        <f t="shared" si="11"/>
        <v>4</v>
      </c>
      <c r="O105" s="19">
        <f t="shared" si="10"/>
        <v>4</v>
      </c>
      <c r="P105" s="19">
        <f t="shared" si="10"/>
        <v>4</v>
      </c>
      <c r="Q105" s="19">
        <f t="shared" si="10"/>
        <v>4</v>
      </c>
      <c r="R105" s="21"/>
      <c r="T105" s="21"/>
      <c r="W105" s="46"/>
      <c r="X105" s="92">
        <v>4</v>
      </c>
      <c r="Y105" s="92">
        <v>4</v>
      </c>
      <c r="Z105" s="92">
        <v>4</v>
      </c>
    </row>
    <row r="106" spans="1:26" ht="16" x14ac:dyDescent="0.4">
      <c r="A106">
        <v>514</v>
      </c>
      <c r="B106" s="92">
        <v>515</v>
      </c>
      <c r="E106">
        <v>50</v>
      </c>
      <c r="F106" s="92" t="str">
        <f>_xlfn.XLOOKUP(B106, DATA_Moresby_2024_ALL!B:B, DATA_Moresby_2024_ALL!G:G, "")</f>
        <v>515_20240611_0012_R_0374.jpg</v>
      </c>
      <c r="G106" s="93" t="str">
        <f t="shared" si="9"/>
        <v>515_20240611_0012_R_0374.jpg</v>
      </c>
      <c r="H106" s="92">
        <v>2</v>
      </c>
      <c r="J106" s="79">
        <f>IF(G106="","X",_xlfn.XLOOKUP(B106,DATA_Moresby_2024_ALL!B:B,DATA_Moresby_2024_ALL!K:K,""))</f>
        <v>1</v>
      </c>
      <c r="K106" s="28"/>
      <c r="L106" s="29"/>
      <c r="M106" s="28"/>
      <c r="N106" s="19">
        <f t="shared" si="11"/>
        <v>4</v>
      </c>
      <c r="O106" s="19">
        <f t="shared" si="10"/>
        <v>4</v>
      </c>
      <c r="P106" s="19">
        <f t="shared" si="10"/>
        <v>4</v>
      </c>
      <c r="Q106" s="19">
        <f t="shared" si="10"/>
        <v>4</v>
      </c>
      <c r="R106" s="21"/>
      <c r="T106" s="21"/>
      <c r="W106" s="46"/>
      <c r="X106" s="92">
        <v>4</v>
      </c>
      <c r="Y106" s="92">
        <v>3</v>
      </c>
      <c r="Z106" s="92">
        <v>4</v>
      </c>
    </row>
    <row r="107" spans="1:26" ht="16" x14ac:dyDescent="0.4">
      <c r="A107">
        <v>519</v>
      </c>
      <c r="B107" s="92">
        <v>520</v>
      </c>
      <c r="E107">
        <v>50</v>
      </c>
      <c r="F107" s="92" t="str">
        <f>_xlfn.XLOOKUP(B107, DATA_Moresby_2024_ALL!B:B, DATA_Moresby_2024_ALL!G:G, "")</f>
        <v>520_20240611_0012_R_0361.jpg</v>
      </c>
      <c r="G107" s="93" t="str">
        <f t="shared" si="9"/>
        <v>520_20240611_0012_R_0361.jpg</v>
      </c>
      <c r="H107" s="92">
        <v>2</v>
      </c>
      <c r="J107" s="79">
        <f>IF(G107="","X",_xlfn.XLOOKUP(B107,DATA_Moresby_2024_ALL!B:B,DATA_Moresby_2024_ALL!K:K,""))</f>
        <v>1</v>
      </c>
      <c r="K107" s="28"/>
      <c r="L107" s="29"/>
      <c r="M107" s="28"/>
      <c r="N107" s="19">
        <f t="shared" si="11"/>
        <v>4</v>
      </c>
      <c r="O107" s="19">
        <f t="shared" si="10"/>
        <v>4</v>
      </c>
      <c r="P107" s="19">
        <f t="shared" si="10"/>
        <v>4</v>
      </c>
      <c r="Q107" s="19">
        <f t="shared" si="10"/>
        <v>4</v>
      </c>
      <c r="R107" s="21"/>
      <c r="T107" s="21"/>
      <c r="W107" s="46"/>
      <c r="X107" s="92">
        <v>4</v>
      </c>
      <c r="Y107" s="92">
        <v>4</v>
      </c>
      <c r="Z107" s="92">
        <v>4</v>
      </c>
    </row>
    <row r="108" spans="1:26" ht="16" x14ac:dyDescent="0.4">
      <c r="A108">
        <v>524</v>
      </c>
      <c r="B108" s="92">
        <v>525</v>
      </c>
      <c r="E108">
        <v>50</v>
      </c>
      <c r="F108" s="92" t="str">
        <f>_xlfn.XLOOKUP(B108, DATA_Moresby_2024_ALL!B:B, DATA_Moresby_2024_ALL!G:G, "")</f>
        <v>525_20240611_0012_R_0348.jpg</v>
      </c>
      <c r="G108" s="93" t="str">
        <f t="shared" si="9"/>
        <v>525_20240611_0012_R_0348.jpg</v>
      </c>
      <c r="H108" s="92">
        <v>2</v>
      </c>
      <c r="J108" s="79">
        <f>IF(G108="","X",_xlfn.XLOOKUP(B108,DATA_Moresby_2024_ALL!B:B,DATA_Moresby_2024_ALL!K:K,""))</f>
        <v>1</v>
      </c>
      <c r="K108" s="28"/>
      <c r="L108" s="29"/>
      <c r="M108" s="28"/>
      <c r="N108" s="19">
        <f t="shared" si="11"/>
        <v>4</v>
      </c>
      <c r="O108" s="19">
        <f t="shared" si="10"/>
        <v>4</v>
      </c>
      <c r="P108" s="19">
        <f t="shared" si="10"/>
        <v>4</v>
      </c>
      <c r="Q108" s="19">
        <f t="shared" si="10"/>
        <v>4</v>
      </c>
      <c r="R108" s="21"/>
      <c r="T108" s="21"/>
      <c r="W108" s="46"/>
      <c r="X108" s="92">
        <v>4</v>
      </c>
      <c r="Y108" s="92">
        <v>4</v>
      </c>
      <c r="Z108" s="92">
        <v>4</v>
      </c>
    </row>
    <row r="109" spans="1:26" ht="16" x14ac:dyDescent="0.4">
      <c r="A109">
        <v>529</v>
      </c>
      <c r="B109" s="92">
        <v>530</v>
      </c>
      <c r="E109">
        <v>50</v>
      </c>
      <c r="F109" s="92" t="str">
        <f>_xlfn.XLOOKUP(B109, DATA_Moresby_2024_ALL!B:B, DATA_Moresby_2024_ALL!G:G, "")</f>
        <v>530_20240611_0012_R_0335.jpg</v>
      </c>
      <c r="G109" s="93" t="str">
        <f t="shared" si="9"/>
        <v>530_20240611_0012_R_0335.jpg</v>
      </c>
      <c r="H109" s="92">
        <v>2</v>
      </c>
      <c r="J109" s="79">
        <f>IF(G109="","X",_xlfn.XLOOKUP(B109,DATA_Moresby_2024_ALL!B:B,DATA_Moresby_2024_ALL!K:K,""))</f>
        <v>1</v>
      </c>
      <c r="K109" s="28"/>
      <c r="L109" s="29"/>
      <c r="M109" s="28"/>
      <c r="N109" s="19">
        <f t="shared" si="11"/>
        <v>4</v>
      </c>
      <c r="O109" s="19">
        <f t="shared" si="10"/>
        <v>4</v>
      </c>
      <c r="P109" s="19">
        <f t="shared" si="10"/>
        <v>4</v>
      </c>
      <c r="Q109" s="19">
        <f t="shared" si="10"/>
        <v>4</v>
      </c>
      <c r="R109" s="21"/>
      <c r="T109" s="21"/>
      <c r="W109" s="46"/>
      <c r="X109" s="92">
        <v>4</v>
      </c>
      <c r="Y109" s="92">
        <v>4</v>
      </c>
      <c r="Z109" s="92">
        <v>3</v>
      </c>
    </row>
    <row r="110" spans="1:26" ht="16" x14ac:dyDescent="0.4">
      <c r="A110">
        <v>534</v>
      </c>
      <c r="B110" s="92">
        <v>535</v>
      </c>
      <c r="E110">
        <v>50</v>
      </c>
      <c r="F110" s="92" t="str">
        <f>_xlfn.XLOOKUP(B110, DATA_Moresby_2024_ALL!B:B, DATA_Moresby_2024_ALL!G:G, "")</f>
        <v>535_20240611_0012_R_0323.jpg</v>
      </c>
      <c r="G110" s="93" t="str">
        <f t="shared" si="9"/>
        <v>535_20240611_0012_R_0323.jpg</v>
      </c>
      <c r="H110" s="92">
        <v>2</v>
      </c>
      <c r="J110" s="79">
        <f>IF(G110="","X",_xlfn.XLOOKUP(B110,DATA_Moresby_2024_ALL!B:B,DATA_Moresby_2024_ALL!K:K,""))</f>
        <v>1</v>
      </c>
      <c r="K110" s="28"/>
      <c r="L110" s="29"/>
      <c r="M110" s="28"/>
      <c r="N110" s="19">
        <f t="shared" si="11"/>
        <v>4</v>
      </c>
      <c r="O110" s="19">
        <f t="shared" si="10"/>
        <v>4</v>
      </c>
      <c r="P110" s="19">
        <f t="shared" si="10"/>
        <v>4</v>
      </c>
      <c r="Q110" s="19">
        <f t="shared" si="10"/>
        <v>4</v>
      </c>
      <c r="R110" s="21"/>
      <c r="T110" s="21"/>
      <c r="W110" s="46"/>
      <c r="X110" s="92">
        <v>4</v>
      </c>
      <c r="Y110" s="92">
        <v>4</v>
      </c>
      <c r="Z110" s="92">
        <v>3</v>
      </c>
    </row>
    <row r="111" spans="1:26" ht="16" x14ac:dyDescent="0.4">
      <c r="A111">
        <v>539</v>
      </c>
      <c r="B111" s="92">
        <v>540</v>
      </c>
      <c r="E111">
        <v>50</v>
      </c>
      <c r="F111" s="92" t="str">
        <f>_xlfn.XLOOKUP(B111, DATA_Moresby_2024_ALL!B:B, DATA_Moresby_2024_ALL!G:G, "")</f>
        <v>540_20240611_0012_R_0311.jpg</v>
      </c>
      <c r="G111" s="93" t="str">
        <f t="shared" si="9"/>
        <v>540_20240611_0012_R_0311.jpg</v>
      </c>
      <c r="H111" s="92">
        <v>2</v>
      </c>
      <c r="J111" s="79">
        <f>IF(G111="","X",_xlfn.XLOOKUP(B111,DATA_Moresby_2024_ALL!B:B,DATA_Moresby_2024_ALL!K:K,""))</f>
        <v>1</v>
      </c>
      <c r="K111" s="28"/>
      <c r="L111" s="29"/>
      <c r="M111" s="28"/>
      <c r="N111" s="19">
        <f t="shared" si="11"/>
        <v>4</v>
      </c>
      <c r="O111" s="19">
        <f t="shared" si="10"/>
        <v>4</v>
      </c>
      <c r="P111" s="19">
        <f t="shared" si="10"/>
        <v>4</v>
      </c>
      <c r="Q111" s="19">
        <v>3</v>
      </c>
      <c r="R111" s="21"/>
      <c r="T111" s="21"/>
      <c r="W111" s="46"/>
      <c r="X111" s="92">
        <v>4</v>
      </c>
      <c r="Y111" s="92">
        <v>4</v>
      </c>
      <c r="Z111" s="92">
        <v>3</v>
      </c>
    </row>
    <row r="112" spans="1:26" ht="16" x14ac:dyDescent="0.4">
      <c r="A112">
        <v>544</v>
      </c>
      <c r="B112" s="92">
        <v>545</v>
      </c>
      <c r="E112">
        <v>50</v>
      </c>
      <c r="F112" s="92" t="str">
        <f>_xlfn.XLOOKUP(B112, DATA_Moresby_2024_ALL!B:B, DATA_Moresby_2024_ALL!G:G, "")</f>
        <v>545_20240611_0012_R_0299.jpg</v>
      </c>
      <c r="G112" s="93" t="str">
        <f t="shared" si="9"/>
        <v>545_20240611_0012_R_0299.jpg</v>
      </c>
      <c r="H112" s="92">
        <v>2</v>
      </c>
      <c r="J112" s="79">
        <f>IF(G112="","X",_xlfn.XLOOKUP(B112,DATA_Moresby_2024_ALL!B:B,DATA_Moresby_2024_ALL!K:K,""))</f>
        <v>1</v>
      </c>
      <c r="K112" s="28"/>
      <c r="L112" s="29"/>
      <c r="M112" s="28"/>
      <c r="N112" s="19">
        <f t="shared" si="11"/>
        <v>4</v>
      </c>
      <c r="O112" s="19">
        <f t="shared" si="10"/>
        <v>4</v>
      </c>
      <c r="P112" s="19">
        <f t="shared" si="10"/>
        <v>4</v>
      </c>
      <c r="Q112" s="19">
        <v>3</v>
      </c>
      <c r="R112" s="21"/>
      <c r="T112" s="21"/>
      <c r="W112" s="46"/>
      <c r="X112" s="92">
        <v>4</v>
      </c>
      <c r="Y112" s="92">
        <v>4</v>
      </c>
      <c r="Z112" s="92">
        <v>3</v>
      </c>
    </row>
    <row r="113" spans="1:26" ht="16" x14ac:dyDescent="0.4">
      <c r="A113">
        <v>549</v>
      </c>
      <c r="B113" s="92">
        <v>550</v>
      </c>
      <c r="E113">
        <v>50</v>
      </c>
      <c r="F113" s="92" t="str">
        <f>_xlfn.XLOOKUP(B113, DATA_Moresby_2024_ALL!B:B, DATA_Moresby_2024_ALL!G:G, "")</f>
        <v>550_20240611_0012_R_0287.jpg</v>
      </c>
      <c r="G113" s="93" t="str">
        <f t="shared" si="9"/>
        <v>550_20240611_0012_R_0287.jpg</v>
      </c>
      <c r="H113" s="92">
        <v>2</v>
      </c>
      <c r="J113" s="79">
        <f>IF(G113="","X",_xlfn.XLOOKUP(B113,DATA_Moresby_2024_ALL!B:B,DATA_Moresby_2024_ALL!K:K,""))</f>
        <v>1</v>
      </c>
      <c r="K113" s="28"/>
      <c r="L113" s="29"/>
      <c r="M113" s="28"/>
      <c r="N113" s="19">
        <f t="shared" si="11"/>
        <v>4</v>
      </c>
      <c r="O113" s="19">
        <f t="shared" si="10"/>
        <v>4</v>
      </c>
      <c r="P113" s="19">
        <f t="shared" si="10"/>
        <v>4</v>
      </c>
      <c r="Q113" s="19">
        <f t="shared" si="10"/>
        <v>4</v>
      </c>
      <c r="R113" s="21"/>
      <c r="T113" s="21"/>
      <c r="W113" s="46"/>
      <c r="X113" s="92">
        <v>4</v>
      </c>
      <c r="Y113" s="92">
        <v>4</v>
      </c>
      <c r="Z113" s="92">
        <v>3</v>
      </c>
    </row>
    <row r="114" spans="1:26" ht="16" x14ac:dyDescent="0.4">
      <c r="A114">
        <v>554</v>
      </c>
      <c r="B114" s="92">
        <v>555</v>
      </c>
      <c r="E114">
        <v>50</v>
      </c>
      <c r="F114" s="92" t="str">
        <f>_xlfn.XLOOKUP(B114, DATA_Moresby_2024_ALL!B:B, DATA_Moresby_2024_ALL!G:G, "")</f>
        <v>555_20240611_0012_R_0275.jpg</v>
      </c>
      <c r="G114" s="93" t="str">
        <f t="shared" si="9"/>
        <v>555_20240611_0012_R_0275.jpg</v>
      </c>
      <c r="H114" s="92">
        <v>2</v>
      </c>
      <c r="J114" s="79">
        <f>IF(G114="","X",_xlfn.XLOOKUP(B114,DATA_Moresby_2024_ALL!B:B,DATA_Moresby_2024_ALL!K:K,""))</f>
        <v>1</v>
      </c>
      <c r="K114" s="28"/>
      <c r="L114" s="29"/>
      <c r="M114" s="28"/>
      <c r="N114" s="19">
        <f t="shared" si="11"/>
        <v>4</v>
      </c>
      <c r="O114" s="19">
        <f t="shared" si="10"/>
        <v>4</v>
      </c>
      <c r="P114" s="19">
        <f t="shared" si="10"/>
        <v>4</v>
      </c>
      <c r="Q114" s="19">
        <v>4</v>
      </c>
      <c r="R114" s="21"/>
      <c r="T114" s="21"/>
      <c r="W114" s="46"/>
      <c r="X114" s="92">
        <v>4</v>
      </c>
      <c r="Y114" s="92">
        <v>4</v>
      </c>
      <c r="Z114" s="92">
        <v>2</v>
      </c>
    </row>
    <row r="115" spans="1:26" ht="16" x14ac:dyDescent="0.4">
      <c r="A115">
        <v>559</v>
      </c>
      <c r="B115" s="92">
        <v>560</v>
      </c>
      <c r="E115">
        <v>50</v>
      </c>
      <c r="F115" s="92" t="str">
        <f>_xlfn.XLOOKUP(B115, DATA_Moresby_2024_ALL!B:B, DATA_Moresby_2024_ALL!G:G, "")</f>
        <v>560_20240611_0012_R_0264.jpg</v>
      </c>
      <c r="G115" s="93" t="str">
        <f t="shared" si="9"/>
        <v>560_20240611_0012_R_0264.jpg</v>
      </c>
      <c r="H115" s="92">
        <v>2</v>
      </c>
      <c r="J115" s="79">
        <f>IF(G115="","X",_xlfn.XLOOKUP(B115,DATA_Moresby_2024_ALL!B:B,DATA_Moresby_2024_ALL!K:K,""))</f>
        <v>1</v>
      </c>
      <c r="K115" s="28"/>
      <c r="L115" s="29"/>
      <c r="M115" s="28"/>
      <c r="N115" s="19">
        <f t="shared" si="11"/>
        <v>4</v>
      </c>
      <c r="O115" s="19">
        <f t="shared" si="10"/>
        <v>4</v>
      </c>
      <c r="P115" s="19">
        <f t="shared" si="10"/>
        <v>4</v>
      </c>
      <c r="Q115" s="19">
        <f t="shared" si="10"/>
        <v>4</v>
      </c>
      <c r="R115" s="21"/>
      <c r="T115" s="21"/>
      <c r="W115" s="46"/>
      <c r="X115" s="92">
        <v>4</v>
      </c>
      <c r="Y115" s="92">
        <v>4</v>
      </c>
      <c r="Z115" s="92">
        <v>3</v>
      </c>
    </row>
    <row r="116" spans="1:26" ht="16" x14ac:dyDescent="0.4">
      <c r="A116">
        <v>564</v>
      </c>
      <c r="B116" s="92">
        <v>565</v>
      </c>
      <c r="E116">
        <v>50</v>
      </c>
      <c r="F116" s="92" t="str">
        <f>_xlfn.XLOOKUP(B116, DATA_Moresby_2024_ALL!B:B, DATA_Moresby_2024_ALL!G:G, "")</f>
        <v>565_20240611_0012_R_0252.jpg</v>
      </c>
      <c r="G116" s="93" t="str">
        <f t="shared" si="9"/>
        <v>565_20240611_0012_R_0252.jpg</v>
      </c>
      <c r="H116" s="92">
        <v>2</v>
      </c>
      <c r="J116" s="79">
        <f>IF(G116="","X",_xlfn.XLOOKUP(B116,DATA_Moresby_2024_ALL!B:B,DATA_Moresby_2024_ALL!K:K,""))</f>
        <v>1</v>
      </c>
      <c r="K116" s="28"/>
      <c r="L116" s="29"/>
      <c r="M116" s="28"/>
      <c r="N116" s="19">
        <v>4</v>
      </c>
      <c r="O116" s="19">
        <f t="shared" si="10"/>
        <v>4</v>
      </c>
      <c r="P116" s="19">
        <f t="shared" si="10"/>
        <v>4</v>
      </c>
      <c r="Q116" s="19">
        <f t="shared" si="10"/>
        <v>4</v>
      </c>
      <c r="R116" s="21"/>
      <c r="T116" s="21"/>
      <c r="W116" s="46"/>
      <c r="X116" s="92">
        <v>4</v>
      </c>
      <c r="Y116" s="92">
        <v>4</v>
      </c>
      <c r="Z116" s="92">
        <v>4</v>
      </c>
    </row>
    <row r="117" spans="1:26" ht="16" x14ac:dyDescent="0.4">
      <c r="A117">
        <v>569</v>
      </c>
      <c r="B117" s="92">
        <v>570</v>
      </c>
      <c r="E117">
        <v>50</v>
      </c>
      <c r="F117" s="92" t="str">
        <f>_xlfn.XLOOKUP(B117, DATA_Moresby_2024_ALL!B:B, DATA_Moresby_2024_ALL!G:G, "")</f>
        <v>570_20240611_0012_R_0240.jpg</v>
      </c>
      <c r="G117" s="93" t="str">
        <f t="shared" si="9"/>
        <v>570_20240611_0012_R_0240.jpg</v>
      </c>
      <c r="H117" s="92">
        <v>2</v>
      </c>
      <c r="J117" s="79">
        <f>IF(G117="","X",_xlfn.XLOOKUP(B117,DATA_Moresby_2024_ALL!B:B,DATA_Moresby_2024_ALL!K:K,""))</f>
        <v>1</v>
      </c>
      <c r="K117" s="28"/>
      <c r="L117" s="29"/>
      <c r="M117" s="28"/>
      <c r="N117" s="19">
        <v>4</v>
      </c>
      <c r="O117" s="19">
        <v>4</v>
      </c>
      <c r="P117" s="19">
        <f t="shared" si="10"/>
        <v>4</v>
      </c>
      <c r="Q117" s="19">
        <v>3</v>
      </c>
      <c r="R117" s="21"/>
      <c r="T117" s="21"/>
      <c r="W117" s="46"/>
      <c r="X117" s="92">
        <v>4</v>
      </c>
      <c r="Y117" s="92">
        <v>4</v>
      </c>
      <c r="Z117" s="92">
        <v>3</v>
      </c>
    </row>
    <row r="118" spans="1:26" ht="16" x14ac:dyDescent="0.4">
      <c r="A118">
        <v>574</v>
      </c>
      <c r="B118" s="92">
        <v>575</v>
      </c>
      <c r="E118">
        <v>50</v>
      </c>
      <c r="F118" s="92" t="str">
        <f>_xlfn.XLOOKUP(B118, DATA_Moresby_2024_ALL!B:B, DATA_Moresby_2024_ALL!G:G, "")</f>
        <v>575_20240611_0012_R_0228.jpg</v>
      </c>
      <c r="G118" s="93" t="str">
        <f t="shared" si="9"/>
        <v>575_20240611_0012_R_0228.jpg</v>
      </c>
      <c r="H118" s="92">
        <v>2</v>
      </c>
      <c r="J118" s="79">
        <f>IF(G118="","X",_xlfn.XLOOKUP(B118,DATA_Moresby_2024_ALL!B:B,DATA_Moresby_2024_ALL!K:K,""))</f>
        <v>1</v>
      </c>
      <c r="K118" s="28"/>
      <c r="L118" s="29"/>
      <c r="M118" s="28"/>
      <c r="N118" s="19">
        <v>3</v>
      </c>
      <c r="O118" s="19">
        <v>4</v>
      </c>
      <c r="P118" s="19">
        <f t="shared" si="10"/>
        <v>4</v>
      </c>
      <c r="Q118" s="19">
        <v>2</v>
      </c>
      <c r="R118" s="21"/>
      <c r="T118" s="21"/>
      <c r="W118" s="46"/>
      <c r="X118" s="92">
        <v>4</v>
      </c>
      <c r="Y118" s="92">
        <v>3</v>
      </c>
      <c r="Z118" s="92">
        <v>3</v>
      </c>
    </row>
    <row r="119" spans="1:26" ht="16" x14ac:dyDescent="0.4">
      <c r="A119">
        <v>579</v>
      </c>
      <c r="B119" s="92">
        <v>580</v>
      </c>
      <c r="E119">
        <v>50</v>
      </c>
      <c r="F119" s="92" t="str">
        <f>_xlfn.XLOOKUP(B119, DATA_Moresby_2024_ALL!B:B, DATA_Moresby_2024_ALL!G:G, "")</f>
        <v>580_20240611_0012_R_0217.jpg</v>
      </c>
      <c r="G119" s="93" t="str">
        <f t="shared" si="9"/>
        <v>580_20240611_0012_R_0217.jpg</v>
      </c>
      <c r="H119" s="92">
        <v>2</v>
      </c>
      <c r="J119" s="79">
        <f>IF(G119="","X",_xlfn.XLOOKUP(B119,DATA_Moresby_2024_ALL!B:B,DATA_Moresby_2024_ALL!K:K,""))</f>
        <v>1</v>
      </c>
      <c r="K119" s="28"/>
      <c r="L119" s="29"/>
      <c r="M119" s="28"/>
      <c r="N119" s="19">
        <v>4</v>
      </c>
      <c r="O119" s="19">
        <v>4</v>
      </c>
      <c r="P119" s="19">
        <f t="shared" si="10"/>
        <v>4</v>
      </c>
      <c r="Q119" s="19">
        <v>4</v>
      </c>
      <c r="R119" s="21"/>
      <c r="T119" s="21"/>
      <c r="W119" s="46"/>
      <c r="X119" s="92">
        <v>4</v>
      </c>
      <c r="Y119" s="92">
        <v>4</v>
      </c>
      <c r="Z119" s="92">
        <v>3</v>
      </c>
    </row>
    <row r="120" spans="1:26" ht="16" x14ac:dyDescent="0.4">
      <c r="A120">
        <v>584</v>
      </c>
      <c r="B120" s="92">
        <v>585</v>
      </c>
      <c r="E120">
        <v>50</v>
      </c>
      <c r="F120" s="92" t="str">
        <f>_xlfn.XLOOKUP(B120, DATA_Moresby_2024_ALL!B:B, DATA_Moresby_2024_ALL!G:G, "")</f>
        <v>585_20240611_0012_R_0205.jpg</v>
      </c>
      <c r="G120" s="93" t="str">
        <f t="shared" si="9"/>
        <v>585_20240611_0012_R_0205.jpg</v>
      </c>
      <c r="H120" s="92">
        <v>2</v>
      </c>
      <c r="J120" s="79">
        <f>IF(G120="","X",_xlfn.XLOOKUP(B120,DATA_Moresby_2024_ALL!B:B,DATA_Moresby_2024_ALL!K:K,""))</f>
        <v>1</v>
      </c>
      <c r="K120" s="28"/>
      <c r="L120" s="29"/>
      <c r="M120" s="28"/>
      <c r="N120" s="19">
        <v>4</v>
      </c>
      <c r="O120" s="19">
        <f t="shared" si="10"/>
        <v>4</v>
      </c>
      <c r="P120" s="19">
        <f t="shared" si="10"/>
        <v>4</v>
      </c>
      <c r="Q120" s="19">
        <v>3</v>
      </c>
      <c r="R120" s="21"/>
      <c r="T120" s="21"/>
      <c r="W120" s="46"/>
      <c r="X120" s="92">
        <v>4</v>
      </c>
      <c r="Y120" s="92">
        <v>4</v>
      </c>
      <c r="Z120" s="92">
        <v>4</v>
      </c>
    </row>
    <row r="121" spans="1:26" ht="16" x14ac:dyDescent="0.4">
      <c r="A121">
        <v>589</v>
      </c>
      <c r="B121" s="92">
        <v>590</v>
      </c>
      <c r="E121">
        <v>50</v>
      </c>
      <c r="F121" s="92" t="str">
        <f>_xlfn.XLOOKUP(B121, DATA_Moresby_2024_ALL!B:B, DATA_Moresby_2024_ALL!G:G, "")</f>
        <v>590_20240611_0012_R_0193.jpg</v>
      </c>
      <c r="G121" s="93" t="str">
        <f t="shared" si="9"/>
        <v>590_20240611_0012_R_0193.jpg</v>
      </c>
      <c r="H121" s="92">
        <v>2</v>
      </c>
      <c r="J121" s="79">
        <f>IF(G121="","X",_xlfn.XLOOKUP(B121,DATA_Moresby_2024_ALL!B:B,DATA_Moresby_2024_ALL!K:K,""))</f>
        <v>1</v>
      </c>
      <c r="K121" s="28"/>
      <c r="L121" s="29"/>
      <c r="M121" s="28"/>
      <c r="N121" s="19">
        <f t="shared" si="11"/>
        <v>4</v>
      </c>
      <c r="O121" s="19">
        <f t="shared" si="10"/>
        <v>4</v>
      </c>
      <c r="P121" s="19">
        <f t="shared" si="10"/>
        <v>4</v>
      </c>
      <c r="Q121" s="19">
        <v>4</v>
      </c>
      <c r="R121" s="21"/>
      <c r="T121" s="21"/>
      <c r="W121" s="46"/>
      <c r="X121" s="92">
        <v>4</v>
      </c>
      <c r="Y121" s="92">
        <v>4</v>
      </c>
      <c r="Z121" s="92">
        <v>3</v>
      </c>
    </row>
    <row r="122" spans="1:26" ht="16" x14ac:dyDescent="0.4">
      <c r="A122">
        <v>594</v>
      </c>
      <c r="B122" s="92">
        <v>595</v>
      </c>
      <c r="E122">
        <v>50</v>
      </c>
      <c r="F122" s="92" t="str">
        <f>_xlfn.XLOOKUP(B122, DATA_Moresby_2024_ALL!B:B, DATA_Moresby_2024_ALL!G:G, "")</f>
        <v>595_20240611_0012_R_0181.jpg</v>
      </c>
      <c r="G122" s="93" t="str">
        <f t="shared" si="9"/>
        <v>595_20240611_0012_R_0181.jpg</v>
      </c>
      <c r="H122" s="92">
        <v>2</v>
      </c>
      <c r="J122" s="79">
        <f>IF(G122="","X",_xlfn.XLOOKUP(B122,DATA_Moresby_2024_ALL!B:B,DATA_Moresby_2024_ALL!K:K,""))</f>
        <v>1</v>
      </c>
      <c r="K122" s="28"/>
      <c r="L122" s="29"/>
      <c r="M122" s="28"/>
      <c r="N122" s="19">
        <v>3</v>
      </c>
      <c r="O122" s="19">
        <v>4</v>
      </c>
      <c r="P122" s="19">
        <f t="shared" si="10"/>
        <v>4</v>
      </c>
      <c r="Q122" s="19">
        <v>4</v>
      </c>
      <c r="R122" s="21"/>
      <c r="T122" s="21"/>
      <c r="W122" s="46"/>
      <c r="X122" s="92">
        <v>4</v>
      </c>
      <c r="Y122" s="92">
        <v>4</v>
      </c>
      <c r="Z122" s="92">
        <v>3</v>
      </c>
    </row>
    <row r="123" spans="1:26" ht="16" x14ac:dyDescent="0.4">
      <c r="A123">
        <v>599</v>
      </c>
      <c r="B123" s="92">
        <v>600</v>
      </c>
      <c r="E123">
        <v>50</v>
      </c>
      <c r="F123" s="92" t="str">
        <f>_xlfn.XLOOKUP(B123, DATA_Moresby_2024_ALL!B:B, DATA_Moresby_2024_ALL!G:G, "")</f>
        <v>600_20240611_0012_R_0169.jpg</v>
      </c>
      <c r="G123" s="93" t="str">
        <f t="shared" si="9"/>
        <v>600_20240611_0012_R_0169.jpg</v>
      </c>
      <c r="H123" s="92">
        <v>2</v>
      </c>
      <c r="J123" s="79">
        <f>IF(G123="","X",_xlfn.XLOOKUP(B123,DATA_Moresby_2024_ALL!B:B,DATA_Moresby_2024_ALL!K:K,""))</f>
        <v>1</v>
      </c>
      <c r="K123" s="28"/>
      <c r="L123" s="29"/>
      <c r="M123" s="28"/>
      <c r="N123" s="19">
        <v>3</v>
      </c>
      <c r="O123" s="19">
        <v>4</v>
      </c>
      <c r="P123" s="19">
        <f t="shared" si="10"/>
        <v>4</v>
      </c>
      <c r="Q123" s="19">
        <v>3</v>
      </c>
      <c r="R123" s="21"/>
      <c r="T123" s="21"/>
      <c r="W123" s="46"/>
      <c r="X123" s="92">
        <v>4</v>
      </c>
      <c r="Y123" s="92">
        <v>4</v>
      </c>
      <c r="Z123" s="92">
        <v>2</v>
      </c>
    </row>
    <row r="124" spans="1:26" ht="16" x14ac:dyDescent="0.4">
      <c r="A124">
        <v>604</v>
      </c>
      <c r="B124" s="92">
        <v>605</v>
      </c>
      <c r="E124">
        <v>50</v>
      </c>
      <c r="F124" s="92" t="str">
        <f>_xlfn.XLOOKUP(B124, DATA_Moresby_2024_ALL!B:B, DATA_Moresby_2024_ALL!G:G, "")</f>
        <v>605_20240611_0012_R_0158.jpg</v>
      </c>
      <c r="G124" s="93" t="str">
        <f t="shared" si="9"/>
        <v>605_20240611_0012_R_0158.jpg</v>
      </c>
      <c r="H124" s="92">
        <v>2</v>
      </c>
      <c r="J124" s="79">
        <f>IF(G124="","X",_xlfn.XLOOKUP(B124,DATA_Moresby_2024_ALL!B:B,DATA_Moresby_2024_ALL!K:K,""))</f>
        <v>1</v>
      </c>
      <c r="K124" s="28"/>
      <c r="L124" s="29"/>
      <c r="M124" s="28"/>
      <c r="N124" s="19">
        <v>4</v>
      </c>
      <c r="O124" s="19">
        <v>4</v>
      </c>
      <c r="P124" s="19">
        <f t="shared" si="10"/>
        <v>4</v>
      </c>
      <c r="Q124" s="19">
        <v>4</v>
      </c>
      <c r="R124" s="21"/>
      <c r="T124" s="21"/>
      <c r="W124" s="46"/>
      <c r="X124" s="92">
        <v>4</v>
      </c>
      <c r="Y124" s="92">
        <v>4</v>
      </c>
      <c r="Z124" s="92">
        <v>2</v>
      </c>
    </row>
    <row r="125" spans="1:26" ht="16" x14ac:dyDescent="0.4">
      <c r="A125">
        <v>609</v>
      </c>
      <c r="B125" s="92">
        <v>610</v>
      </c>
      <c r="E125">
        <v>50</v>
      </c>
      <c r="F125" s="92" t="str">
        <f>_xlfn.XLOOKUP(B125, DATA_Moresby_2024_ALL!B:B, DATA_Moresby_2024_ALL!G:G, "")</f>
        <v>610_20240611_0012_R_0146.jpg</v>
      </c>
      <c r="G125" s="93" t="str">
        <f t="shared" si="9"/>
        <v>610_20240611_0012_R_0146.jpg</v>
      </c>
      <c r="H125" s="92">
        <v>2</v>
      </c>
      <c r="J125" s="79">
        <f>IF(G125="","X",_xlfn.XLOOKUP(B125,DATA_Moresby_2024_ALL!B:B,DATA_Moresby_2024_ALL!K:K,""))</f>
        <v>1</v>
      </c>
      <c r="K125" s="28"/>
      <c r="L125" s="29"/>
      <c r="M125" s="28"/>
      <c r="N125" s="19">
        <v>3</v>
      </c>
      <c r="O125" s="19">
        <v>4</v>
      </c>
      <c r="P125" s="19">
        <f t="shared" si="10"/>
        <v>4</v>
      </c>
      <c r="Q125" s="19">
        <v>3</v>
      </c>
      <c r="R125" s="21"/>
      <c r="T125" s="21"/>
      <c r="W125" s="46"/>
      <c r="X125" s="92">
        <v>4</v>
      </c>
      <c r="Y125" s="92">
        <v>4</v>
      </c>
      <c r="Z125" s="92">
        <v>3</v>
      </c>
    </row>
    <row r="126" spans="1:26" ht="16" x14ac:dyDescent="0.4">
      <c r="A126">
        <v>614</v>
      </c>
      <c r="B126" s="92">
        <v>615</v>
      </c>
      <c r="E126">
        <v>50</v>
      </c>
      <c r="F126" s="92" t="str">
        <f>_xlfn.XLOOKUP(B126, DATA_Moresby_2024_ALL!B:B, DATA_Moresby_2024_ALL!G:G, "")</f>
        <v>615_20240611_0012_R_0134.jpg</v>
      </c>
      <c r="G126" s="93" t="str">
        <f t="shared" si="9"/>
        <v>615_20240611_0012_R_0134.jpg</v>
      </c>
      <c r="H126" s="92">
        <v>2</v>
      </c>
      <c r="J126" s="79">
        <f>IF(G126="","X",_xlfn.XLOOKUP(B126,DATA_Moresby_2024_ALL!B:B,DATA_Moresby_2024_ALL!K:K,""))</f>
        <v>1</v>
      </c>
      <c r="K126" s="28"/>
      <c r="L126" s="29"/>
      <c r="M126" s="28"/>
      <c r="N126" s="19">
        <v>3</v>
      </c>
      <c r="O126" s="19">
        <v>4</v>
      </c>
      <c r="P126" s="19">
        <f t="shared" si="10"/>
        <v>4</v>
      </c>
      <c r="Q126" s="19">
        <v>2</v>
      </c>
      <c r="R126" s="21"/>
      <c r="T126" s="21"/>
      <c r="W126" s="46"/>
      <c r="X126" s="92">
        <v>4</v>
      </c>
      <c r="Y126" s="92">
        <v>4</v>
      </c>
      <c r="Z126" s="92">
        <v>3</v>
      </c>
    </row>
    <row r="127" spans="1:26" ht="16" x14ac:dyDescent="0.4">
      <c r="A127">
        <v>619</v>
      </c>
      <c r="B127" s="92">
        <v>620</v>
      </c>
      <c r="E127">
        <v>50</v>
      </c>
      <c r="F127" s="92" t="str">
        <f>_xlfn.XLOOKUP(B127, DATA_Moresby_2024_ALL!B:B, DATA_Moresby_2024_ALL!G:G, "")</f>
        <v>620_20240611_0012_R_0122.jpg</v>
      </c>
      <c r="G127" s="93" t="str">
        <f t="shared" si="9"/>
        <v>620_20240611_0012_R_0122.jpg</v>
      </c>
      <c r="H127" s="92">
        <v>2</v>
      </c>
      <c r="J127" s="79">
        <f>IF(G127="","X",_xlfn.XLOOKUP(B127,DATA_Moresby_2024_ALL!B:B,DATA_Moresby_2024_ALL!K:K,""))</f>
        <v>1</v>
      </c>
      <c r="K127" s="28"/>
      <c r="L127" s="29"/>
      <c r="M127" s="28"/>
      <c r="N127" s="19">
        <v>4</v>
      </c>
      <c r="O127" s="19">
        <v>4</v>
      </c>
      <c r="P127" s="19">
        <f t="shared" si="10"/>
        <v>4</v>
      </c>
      <c r="Q127" s="19">
        <v>4</v>
      </c>
      <c r="R127" s="21"/>
      <c r="T127" s="21"/>
      <c r="W127" s="46"/>
      <c r="X127" s="92">
        <v>3</v>
      </c>
      <c r="Y127" s="92">
        <v>4</v>
      </c>
      <c r="Z127" s="92">
        <v>2</v>
      </c>
    </row>
    <row r="128" spans="1:26" ht="16" x14ac:dyDescent="0.4">
      <c r="A128">
        <v>624</v>
      </c>
      <c r="B128" s="92">
        <v>625</v>
      </c>
      <c r="E128">
        <v>50</v>
      </c>
      <c r="F128" s="92" t="str">
        <f>_xlfn.XLOOKUP(B128, DATA_Moresby_2024_ALL!B:B, DATA_Moresby_2024_ALL!G:G, "")</f>
        <v>625_20240611_0012_R_0110.jpg</v>
      </c>
      <c r="G128" s="93" t="str">
        <f t="shared" si="9"/>
        <v>625_20240611_0012_R_0110.jpg</v>
      </c>
      <c r="H128" s="92">
        <v>2</v>
      </c>
      <c r="J128" s="79">
        <f>IF(G128="","X",_xlfn.XLOOKUP(B128,DATA_Moresby_2024_ALL!B:B,DATA_Moresby_2024_ALL!K:K,""))</f>
        <v>1</v>
      </c>
      <c r="K128" s="28"/>
      <c r="L128" s="29"/>
      <c r="M128" s="28"/>
      <c r="N128" s="19">
        <v>4</v>
      </c>
      <c r="O128" s="19">
        <v>4</v>
      </c>
      <c r="P128" s="19">
        <f t="shared" si="10"/>
        <v>4</v>
      </c>
      <c r="Q128" s="19">
        <v>4</v>
      </c>
      <c r="R128" s="21"/>
      <c r="T128" s="21"/>
      <c r="W128" s="46"/>
      <c r="X128" s="92">
        <v>3</v>
      </c>
      <c r="Y128" s="92">
        <v>4</v>
      </c>
      <c r="Z128" s="92">
        <v>2</v>
      </c>
    </row>
    <row r="129" spans="1:26" ht="16" x14ac:dyDescent="0.4">
      <c r="A129">
        <v>629</v>
      </c>
      <c r="B129" s="92">
        <v>630</v>
      </c>
      <c r="E129">
        <v>50</v>
      </c>
      <c r="F129" s="92" t="str">
        <f>_xlfn.XLOOKUP(B129, DATA_Moresby_2024_ALL!B:B, DATA_Moresby_2024_ALL!G:G, "")</f>
        <v>630_20240611_0012_R_0098.jpg</v>
      </c>
      <c r="G129" s="93" t="str">
        <f t="shared" si="9"/>
        <v>630_20240611_0012_R_0098.jpg</v>
      </c>
      <c r="H129" s="92">
        <v>2</v>
      </c>
      <c r="J129" s="79">
        <f>IF(G129="","X",_xlfn.XLOOKUP(B129,DATA_Moresby_2024_ALL!B:B,DATA_Moresby_2024_ALL!K:K,""))</f>
        <v>1</v>
      </c>
      <c r="K129" s="28"/>
      <c r="L129" s="29"/>
      <c r="M129" s="28"/>
      <c r="N129" s="19">
        <v>3</v>
      </c>
      <c r="O129" s="19">
        <f t="shared" si="10"/>
        <v>4</v>
      </c>
      <c r="P129" s="19">
        <f t="shared" si="10"/>
        <v>4</v>
      </c>
      <c r="Q129" s="19">
        <v>3</v>
      </c>
      <c r="R129" s="21"/>
      <c r="T129" s="21"/>
      <c r="W129" s="46"/>
      <c r="X129" s="92">
        <v>3</v>
      </c>
      <c r="Y129" s="92">
        <v>4</v>
      </c>
      <c r="Z129" s="92">
        <v>3</v>
      </c>
    </row>
    <row r="130" spans="1:26" ht="16" x14ac:dyDescent="0.4">
      <c r="A130">
        <v>634</v>
      </c>
      <c r="B130" s="92">
        <v>635</v>
      </c>
      <c r="E130">
        <v>50</v>
      </c>
      <c r="F130" s="92" t="str">
        <f>_xlfn.XLOOKUP(B130, DATA_Moresby_2024_ALL!B:B, DATA_Moresby_2024_ALL!G:G, "")</f>
        <v>635_20240611_0012_R_0086.jpg</v>
      </c>
      <c r="G130" s="93" t="str">
        <f t="shared" si="9"/>
        <v>635_20240611_0012_R_0086.jpg</v>
      </c>
      <c r="H130" s="92">
        <v>2</v>
      </c>
      <c r="J130" s="79">
        <f>IF(G130="","X",_xlfn.XLOOKUP(B130,DATA_Moresby_2024_ALL!B:B,DATA_Moresby_2024_ALL!K:K,""))</f>
        <v>1</v>
      </c>
      <c r="K130" s="28"/>
      <c r="L130" s="29"/>
      <c r="M130" s="28"/>
      <c r="N130" s="19">
        <v>4</v>
      </c>
      <c r="O130" s="19">
        <f t="shared" si="10"/>
        <v>4</v>
      </c>
      <c r="P130" s="19">
        <f t="shared" si="10"/>
        <v>4</v>
      </c>
      <c r="Q130" s="19">
        <v>3</v>
      </c>
      <c r="R130" s="21"/>
      <c r="T130" s="21"/>
      <c r="W130" s="46"/>
      <c r="X130" s="92">
        <v>4</v>
      </c>
      <c r="Y130" s="92">
        <v>4</v>
      </c>
      <c r="Z130" s="92">
        <v>3</v>
      </c>
    </row>
    <row r="131" spans="1:26" ht="16" x14ac:dyDescent="0.4">
      <c r="A131">
        <v>639</v>
      </c>
      <c r="B131" s="92">
        <v>640</v>
      </c>
      <c r="E131">
        <v>50</v>
      </c>
      <c r="F131" s="92" t="str">
        <f>_xlfn.XLOOKUP(B131, DATA_Moresby_2024_ALL!B:B, DATA_Moresby_2024_ALL!G:G, "")</f>
        <v>640_20240611_0012_R_0073.jpg</v>
      </c>
      <c r="G131" s="93" t="str">
        <f t="shared" si="9"/>
        <v>640_20240611_0012_R_0073.jpg</v>
      </c>
      <c r="H131" s="92">
        <v>2</v>
      </c>
      <c r="J131" s="79">
        <f>IF(G131="","X",_xlfn.XLOOKUP(B131,DATA_Moresby_2024_ALL!B:B,DATA_Moresby_2024_ALL!K:K,""))</f>
        <v>1</v>
      </c>
      <c r="K131" s="28"/>
      <c r="L131" s="29"/>
      <c r="M131" s="28"/>
      <c r="N131" s="19">
        <v>4</v>
      </c>
      <c r="O131" s="19">
        <f t="shared" si="10"/>
        <v>4</v>
      </c>
      <c r="P131" s="19">
        <f t="shared" si="10"/>
        <v>4</v>
      </c>
      <c r="Q131" s="19">
        <v>3</v>
      </c>
      <c r="R131" s="21"/>
      <c r="T131" s="21"/>
      <c r="W131" s="46"/>
      <c r="X131" s="92">
        <v>4</v>
      </c>
      <c r="Y131" s="92">
        <v>4</v>
      </c>
      <c r="Z131" s="92">
        <v>3</v>
      </c>
    </row>
    <row r="132" spans="1:26" ht="16" x14ac:dyDescent="0.4">
      <c r="A132">
        <v>644</v>
      </c>
      <c r="B132" s="92">
        <v>645</v>
      </c>
      <c r="E132">
        <v>50</v>
      </c>
      <c r="F132" s="92" t="str">
        <f>_xlfn.XLOOKUP(B132, DATA_Moresby_2024_ALL!B:B, DATA_Moresby_2024_ALL!G:G, "")</f>
        <v>645_20240611_0012_R_0061.jpg</v>
      </c>
      <c r="G132" s="93" t="str">
        <f t="shared" si="9"/>
        <v>645_20240611_0012_R_0061.jpg</v>
      </c>
      <c r="H132" s="92">
        <v>2</v>
      </c>
      <c r="J132" s="79">
        <f>IF(G132="","X",_xlfn.XLOOKUP(B132,DATA_Moresby_2024_ALL!B:B,DATA_Moresby_2024_ALL!K:K,""))</f>
        <v>1</v>
      </c>
      <c r="K132" s="28"/>
      <c r="L132" s="29"/>
      <c r="M132" s="28"/>
      <c r="N132" s="19">
        <f t="shared" si="11"/>
        <v>4</v>
      </c>
      <c r="O132" s="19">
        <f t="shared" si="10"/>
        <v>4</v>
      </c>
      <c r="P132" s="19">
        <f t="shared" si="10"/>
        <v>4</v>
      </c>
      <c r="Q132" s="19">
        <v>3</v>
      </c>
      <c r="R132" s="21"/>
      <c r="T132" s="21"/>
      <c r="W132" s="46"/>
      <c r="X132" s="92">
        <v>4</v>
      </c>
      <c r="Y132" s="92">
        <v>3</v>
      </c>
      <c r="Z132" s="92">
        <v>2</v>
      </c>
    </row>
    <row r="133" spans="1:26" ht="16" x14ac:dyDescent="0.4">
      <c r="A133">
        <v>649</v>
      </c>
      <c r="B133" s="92">
        <v>650</v>
      </c>
      <c r="E133">
        <v>50</v>
      </c>
      <c r="F133" s="92" t="str">
        <f>_xlfn.XLOOKUP(B133, DATA_Moresby_2024_ALL!B:B, DATA_Moresby_2024_ALL!G:G, "")</f>
        <v>650_20240611_0012_R_0050.jpg</v>
      </c>
      <c r="G133" s="93" t="str">
        <f t="shared" si="9"/>
        <v>650_20240611_0012_R_0050.jpg</v>
      </c>
      <c r="H133" s="92">
        <v>2</v>
      </c>
      <c r="J133" s="79">
        <f>IF(G133="","X",_xlfn.XLOOKUP(B133,DATA_Moresby_2024_ALL!B:B,DATA_Moresby_2024_ALL!K:K,""))</f>
        <v>1</v>
      </c>
      <c r="K133" s="28"/>
      <c r="L133" s="29"/>
      <c r="M133" s="28"/>
      <c r="N133" s="19">
        <v>4</v>
      </c>
      <c r="O133" s="19">
        <v>4</v>
      </c>
      <c r="P133" s="19">
        <f t="shared" si="10"/>
        <v>4</v>
      </c>
      <c r="Q133" s="19">
        <v>3</v>
      </c>
      <c r="R133" s="21"/>
      <c r="T133" s="21"/>
      <c r="W133" s="46"/>
      <c r="X133" s="92">
        <v>4</v>
      </c>
      <c r="Y133" s="92">
        <v>4</v>
      </c>
      <c r="Z133" s="92">
        <v>2</v>
      </c>
    </row>
    <row r="134" spans="1:26" ht="16" x14ac:dyDescent="0.4">
      <c r="A134">
        <v>654</v>
      </c>
      <c r="B134" s="92">
        <v>655</v>
      </c>
      <c r="E134">
        <v>50</v>
      </c>
      <c r="F134" s="92" t="str">
        <f>_xlfn.XLOOKUP(B134, DATA_Moresby_2024_ALL!B:B, DATA_Moresby_2024_ALL!G:G, "")</f>
        <v>655_20240611_0012_R_0037.jpg</v>
      </c>
      <c r="G134" s="93" t="str">
        <f t="shared" si="9"/>
        <v>655_20240611_0012_R_0037.jpg</v>
      </c>
      <c r="H134" s="92">
        <v>2</v>
      </c>
      <c r="J134" s="79">
        <f>IF(G134="","X",_xlfn.XLOOKUP(B134,DATA_Moresby_2024_ALL!B:B,DATA_Moresby_2024_ALL!K:K,""))</f>
        <v>1</v>
      </c>
      <c r="K134" s="28"/>
      <c r="L134" s="29"/>
      <c r="M134" s="28"/>
      <c r="N134" s="19">
        <f t="shared" si="11"/>
        <v>4</v>
      </c>
      <c r="O134" s="19">
        <f t="shared" si="10"/>
        <v>4</v>
      </c>
      <c r="P134" s="19">
        <f t="shared" si="10"/>
        <v>4</v>
      </c>
      <c r="Q134" s="19">
        <f t="shared" si="10"/>
        <v>4</v>
      </c>
      <c r="R134" s="21"/>
      <c r="T134" s="21"/>
      <c r="W134" s="46"/>
      <c r="X134" s="92">
        <v>4</v>
      </c>
      <c r="Y134" s="92">
        <v>4</v>
      </c>
      <c r="Z134" s="92">
        <v>3</v>
      </c>
    </row>
    <row r="135" spans="1:26" ht="16" x14ac:dyDescent="0.4">
      <c r="A135">
        <v>659</v>
      </c>
      <c r="B135" s="92">
        <v>660</v>
      </c>
      <c r="E135">
        <v>50</v>
      </c>
      <c r="F135" s="92" t="str">
        <f>_xlfn.XLOOKUP(B135, DATA_Moresby_2024_ALL!B:B, DATA_Moresby_2024_ALL!G:G, "")</f>
        <v>660_20240611_0012_R_0024.jpg</v>
      </c>
      <c r="G135" s="93" t="str">
        <f t="shared" si="9"/>
        <v>660_20240611_0012_R_0024.jpg</v>
      </c>
      <c r="H135" s="92">
        <v>2</v>
      </c>
      <c r="J135" s="79">
        <f>IF(G135="","X",_xlfn.XLOOKUP(B135,DATA_Moresby_2024_ALL!B:B,DATA_Moresby_2024_ALL!K:K,""))</f>
        <v>1</v>
      </c>
      <c r="K135" s="28"/>
      <c r="L135" s="29"/>
      <c r="M135" s="28"/>
      <c r="N135" s="19">
        <v>4</v>
      </c>
      <c r="O135" s="19">
        <f t="shared" si="10"/>
        <v>4</v>
      </c>
      <c r="P135" s="19">
        <f t="shared" si="10"/>
        <v>4</v>
      </c>
      <c r="Q135" s="19">
        <v>3</v>
      </c>
      <c r="R135" s="21"/>
      <c r="T135" s="21"/>
      <c r="W135" s="46"/>
      <c r="X135" s="92">
        <v>4</v>
      </c>
      <c r="Y135" s="92">
        <v>3</v>
      </c>
      <c r="Z135" s="92">
        <v>3</v>
      </c>
    </row>
    <row r="136" spans="1:26" ht="16" x14ac:dyDescent="0.4">
      <c r="A136">
        <v>664</v>
      </c>
      <c r="B136" s="92">
        <v>665</v>
      </c>
      <c r="E136">
        <v>50</v>
      </c>
      <c r="F136" s="92" t="str">
        <f>_xlfn.XLOOKUP(B136, DATA_Moresby_2024_ALL!B:B, DATA_Moresby_2024_ALL!G:G, "")</f>
        <v>665_20240611_0003_L_0034.jpg</v>
      </c>
      <c r="G136" s="93" t="str">
        <f t="shared" si="9"/>
        <v>665_20240611_0003_L_0034.jpg</v>
      </c>
      <c r="H136" s="92">
        <v>2</v>
      </c>
      <c r="J136" s="79">
        <f>IF(G136="","X",_xlfn.XLOOKUP(B136,DATA_Moresby_2024_ALL!B:B,DATA_Moresby_2024_ALL!K:K,""))</f>
        <v>1</v>
      </c>
      <c r="K136" s="28"/>
      <c r="L136" s="29"/>
      <c r="M136" s="28"/>
      <c r="N136" s="19">
        <f t="shared" si="11"/>
        <v>4</v>
      </c>
      <c r="O136" s="19">
        <f t="shared" si="10"/>
        <v>4</v>
      </c>
      <c r="P136" s="19">
        <f t="shared" si="10"/>
        <v>4</v>
      </c>
      <c r="Q136" s="19">
        <v>3</v>
      </c>
      <c r="R136" s="21"/>
      <c r="T136" s="21"/>
      <c r="W136" s="46"/>
      <c r="X136" s="92">
        <v>4</v>
      </c>
      <c r="Y136" s="92">
        <v>3</v>
      </c>
      <c r="Z136" s="92">
        <v>4</v>
      </c>
    </row>
    <row r="137" spans="1:26" ht="16" x14ac:dyDescent="0.4">
      <c r="A137">
        <v>669</v>
      </c>
      <c r="B137" s="92">
        <v>670</v>
      </c>
      <c r="E137">
        <v>50</v>
      </c>
      <c r="F137" s="92" t="str">
        <f>_xlfn.XLOOKUP(B137, DATA_Moresby_2024_ALL!B:B, DATA_Moresby_2024_ALL!G:G, "")</f>
        <v>670_20240611_0003_L_0049.jpg</v>
      </c>
      <c r="G137" s="93" t="str">
        <f t="shared" si="9"/>
        <v>670_20240611_0003_L_0049.jpg</v>
      </c>
      <c r="H137" s="92">
        <v>2</v>
      </c>
      <c r="J137" s="79">
        <f>IF(G137="","X",_xlfn.XLOOKUP(B137,DATA_Moresby_2024_ALL!B:B,DATA_Moresby_2024_ALL!K:K,""))</f>
        <v>1</v>
      </c>
      <c r="K137" s="28"/>
      <c r="L137" s="29"/>
      <c r="M137" s="28"/>
      <c r="N137" s="19">
        <f t="shared" si="11"/>
        <v>4</v>
      </c>
      <c r="O137" s="19">
        <f t="shared" si="10"/>
        <v>4</v>
      </c>
      <c r="P137" s="19">
        <f t="shared" si="10"/>
        <v>4</v>
      </c>
      <c r="Q137" s="19">
        <v>3</v>
      </c>
      <c r="R137" s="21"/>
      <c r="T137" s="21"/>
      <c r="W137" s="46"/>
      <c r="X137" s="92">
        <v>4</v>
      </c>
      <c r="Y137" s="92">
        <v>3</v>
      </c>
      <c r="Z137" s="92">
        <v>3</v>
      </c>
    </row>
    <row r="138" spans="1:26" ht="16" x14ac:dyDescent="0.4">
      <c r="A138">
        <v>674</v>
      </c>
      <c r="B138" s="92">
        <v>675</v>
      </c>
      <c r="E138">
        <v>50</v>
      </c>
      <c r="F138" s="92" t="str">
        <f>_xlfn.XLOOKUP(B138, DATA_Moresby_2024_ALL!B:B, DATA_Moresby_2024_ALL!G:G, "")</f>
        <v>675_20240611_0003_L_0066.jpg</v>
      </c>
      <c r="G138" s="93" t="str">
        <f t="shared" si="9"/>
        <v>675_20240611_0003_L_0066.jpg</v>
      </c>
      <c r="H138" s="92">
        <v>2</v>
      </c>
      <c r="J138" s="79">
        <f>IF(G138="","X",_xlfn.XLOOKUP(B138,DATA_Moresby_2024_ALL!B:B,DATA_Moresby_2024_ALL!K:K,""))</f>
        <v>1</v>
      </c>
      <c r="K138" s="28"/>
      <c r="L138" s="29"/>
      <c r="M138" s="28"/>
      <c r="N138" s="19">
        <f t="shared" si="11"/>
        <v>4</v>
      </c>
      <c r="O138" s="19">
        <f t="shared" si="10"/>
        <v>4</v>
      </c>
      <c r="P138" s="19">
        <f t="shared" si="10"/>
        <v>4</v>
      </c>
      <c r="Q138" s="19">
        <v>4</v>
      </c>
      <c r="R138" s="21"/>
      <c r="T138" s="21"/>
      <c r="W138" s="46"/>
      <c r="X138" s="92">
        <v>4</v>
      </c>
      <c r="Y138" s="92">
        <v>3</v>
      </c>
      <c r="Z138" s="92">
        <v>3</v>
      </c>
    </row>
    <row r="139" spans="1:26" ht="16" x14ac:dyDescent="0.4">
      <c r="A139">
        <v>679</v>
      </c>
      <c r="B139" s="92">
        <v>680</v>
      </c>
      <c r="E139">
        <v>50</v>
      </c>
      <c r="F139" s="92" t="str">
        <f>_xlfn.XLOOKUP(B139, DATA_Moresby_2024_ALL!B:B, DATA_Moresby_2024_ALL!G:G, "")</f>
        <v>680_20240611_0003_L_0081.jpg</v>
      </c>
      <c r="G139" s="93" t="str">
        <f t="shared" si="9"/>
        <v>680_20240611_0003_L_0081.jpg</v>
      </c>
      <c r="H139" s="92">
        <v>2</v>
      </c>
      <c r="J139" s="79">
        <f>IF(G139="","X",_xlfn.XLOOKUP(B139,DATA_Moresby_2024_ALL!B:B,DATA_Moresby_2024_ALL!K:K,""))</f>
        <v>1</v>
      </c>
      <c r="K139" s="28"/>
      <c r="L139" s="29"/>
      <c r="M139" s="28"/>
      <c r="N139" s="19">
        <f t="shared" si="11"/>
        <v>4</v>
      </c>
      <c r="O139" s="19">
        <f t="shared" si="10"/>
        <v>4</v>
      </c>
      <c r="P139" s="19">
        <f t="shared" si="10"/>
        <v>4</v>
      </c>
      <c r="Q139" s="19">
        <v>3</v>
      </c>
      <c r="R139" s="21"/>
      <c r="T139" s="21"/>
      <c r="W139" s="46"/>
      <c r="X139" s="92">
        <v>4</v>
      </c>
      <c r="Y139" s="92">
        <v>4</v>
      </c>
      <c r="Z139" s="92">
        <v>3</v>
      </c>
    </row>
    <row r="140" spans="1:26" ht="16" x14ac:dyDescent="0.4">
      <c r="A140">
        <v>684</v>
      </c>
      <c r="B140" s="92">
        <v>685</v>
      </c>
      <c r="E140">
        <v>50</v>
      </c>
      <c r="F140" s="92" t="str">
        <f>_xlfn.XLOOKUP(B140, DATA_Moresby_2024_ALL!B:B, DATA_Moresby_2024_ALL!G:G, "")</f>
        <v>685_20240611_0003_L_0096.jpg</v>
      </c>
      <c r="G140" s="93" t="str">
        <f t="shared" si="9"/>
        <v>685_20240611_0003_L_0096.jpg</v>
      </c>
      <c r="H140" s="92">
        <v>2</v>
      </c>
      <c r="J140" s="79">
        <f>IF(G140="","X",_xlfn.XLOOKUP(B140,DATA_Moresby_2024_ALL!B:B,DATA_Moresby_2024_ALL!K:K,""))</f>
        <v>1</v>
      </c>
      <c r="K140" s="28"/>
      <c r="L140" s="29"/>
      <c r="M140" s="28"/>
      <c r="N140" s="19">
        <v>4</v>
      </c>
      <c r="O140" s="19">
        <f t="shared" si="10"/>
        <v>4</v>
      </c>
      <c r="P140" s="19">
        <f t="shared" si="10"/>
        <v>4</v>
      </c>
      <c r="Q140" s="19">
        <v>3</v>
      </c>
      <c r="R140" s="21"/>
      <c r="T140" s="21"/>
      <c r="W140" s="46"/>
      <c r="X140" s="92">
        <v>4</v>
      </c>
      <c r="Y140" s="92">
        <v>4</v>
      </c>
      <c r="Z140" s="92">
        <v>3</v>
      </c>
    </row>
    <row r="141" spans="1:26" ht="16" x14ac:dyDescent="0.4">
      <c r="A141">
        <v>689</v>
      </c>
      <c r="B141" s="92">
        <v>690</v>
      </c>
      <c r="E141">
        <v>50</v>
      </c>
      <c r="F141" s="92" t="str">
        <f>_xlfn.XLOOKUP(B141, DATA_Moresby_2024_ALL!B:B, DATA_Moresby_2024_ALL!G:G, "")</f>
        <v>690_20240611_0003_L_0111.jpg</v>
      </c>
      <c r="G141" s="93" t="str">
        <f t="shared" si="9"/>
        <v>690_20240611_0003_L_0111.jpg</v>
      </c>
      <c r="H141" s="92">
        <v>2</v>
      </c>
      <c r="J141" s="79">
        <f>IF(G141="","X",_xlfn.XLOOKUP(B141,DATA_Moresby_2024_ALL!B:B,DATA_Moresby_2024_ALL!K:K,""))</f>
        <v>1</v>
      </c>
      <c r="K141" s="28"/>
      <c r="L141" s="29"/>
      <c r="M141" s="28"/>
      <c r="N141" s="19">
        <f t="shared" si="11"/>
        <v>4</v>
      </c>
      <c r="O141" s="19">
        <f t="shared" si="10"/>
        <v>4</v>
      </c>
      <c r="P141" s="19">
        <f t="shared" si="10"/>
        <v>4</v>
      </c>
      <c r="Q141" s="19">
        <v>3</v>
      </c>
      <c r="R141" s="21"/>
      <c r="T141" s="21"/>
      <c r="W141" s="46"/>
      <c r="X141" s="92">
        <v>4</v>
      </c>
      <c r="Y141" s="92">
        <v>3</v>
      </c>
      <c r="Z141" s="92">
        <v>3</v>
      </c>
    </row>
    <row r="142" spans="1:26" ht="16" x14ac:dyDescent="0.4">
      <c r="A142">
        <v>694</v>
      </c>
      <c r="B142" s="92">
        <v>695</v>
      </c>
      <c r="E142">
        <v>50</v>
      </c>
      <c r="F142" s="92" t="str">
        <f>_xlfn.XLOOKUP(B142, DATA_Moresby_2024_ALL!B:B, DATA_Moresby_2024_ALL!G:G, "")</f>
        <v>695_20240611_0003_L_0125.jpg</v>
      </c>
      <c r="G142" s="93" t="str">
        <f t="shared" ref="G142:G146" si="12">HYPERLINK("D:\Data From Lucan\2024\Moresby\Frames_for_Analysis_50\" &amp; F142,F142)</f>
        <v>695_20240611_0003_L_0125.jpg</v>
      </c>
      <c r="H142" s="92">
        <v>2</v>
      </c>
      <c r="J142" s="79">
        <f>IF(G142="","X",_xlfn.XLOOKUP(B142,DATA_Moresby_2024_ALL!B:B,DATA_Moresby_2024_ALL!K:K,""))</f>
        <v>1</v>
      </c>
      <c r="K142" s="28"/>
      <c r="L142" s="29"/>
      <c r="M142" s="28"/>
      <c r="N142" s="19">
        <f t="shared" si="11"/>
        <v>4</v>
      </c>
      <c r="O142" s="19">
        <f t="shared" si="10"/>
        <v>4</v>
      </c>
      <c r="P142" s="19">
        <f t="shared" si="10"/>
        <v>4</v>
      </c>
      <c r="Q142" s="19">
        <v>3</v>
      </c>
      <c r="R142" s="21"/>
      <c r="T142" s="21"/>
      <c r="W142" s="46"/>
      <c r="X142" s="92">
        <v>4</v>
      </c>
      <c r="Y142" s="92">
        <v>3</v>
      </c>
      <c r="Z142" s="92">
        <v>2</v>
      </c>
    </row>
    <row r="143" spans="1:26" ht="16" x14ac:dyDescent="0.4">
      <c r="A143">
        <v>699</v>
      </c>
      <c r="B143" s="92">
        <v>700</v>
      </c>
      <c r="E143">
        <v>50</v>
      </c>
      <c r="F143" s="92" t="str">
        <f>_xlfn.XLOOKUP(B143, DATA_Moresby_2024_ALL!B:B, DATA_Moresby_2024_ALL!G:G, "")</f>
        <v>700_20240611_0003_L_0141.jpg</v>
      </c>
      <c r="G143" s="93" t="str">
        <f t="shared" si="12"/>
        <v>700_20240611_0003_L_0141.jpg</v>
      </c>
      <c r="H143" s="92">
        <v>2</v>
      </c>
      <c r="J143" s="79">
        <f>IF(G143="","X",_xlfn.XLOOKUP(B143,DATA_Moresby_2024_ALL!B:B,DATA_Moresby_2024_ALL!K:K,""))</f>
        <v>1</v>
      </c>
      <c r="K143" s="28"/>
      <c r="L143" s="29"/>
      <c r="M143" s="28"/>
      <c r="N143" s="19">
        <f t="shared" si="11"/>
        <v>4</v>
      </c>
      <c r="O143" s="19">
        <f t="shared" si="10"/>
        <v>4</v>
      </c>
      <c r="P143" s="19">
        <f t="shared" si="10"/>
        <v>4</v>
      </c>
      <c r="Q143" s="19">
        <f t="shared" si="10"/>
        <v>4</v>
      </c>
      <c r="R143" s="21"/>
      <c r="T143" s="21"/>
      <c r="W143" s="46"/>
      <c r="X143" s="92">
        <v>4</v>
      </c>
      <c r="Y143" s="92">
        <v>4</v>
      </c>
      <c r="Z143" s="92">
        <v>3</v>
      </c>
    </row>
    <row r="144" spans="1:26" ht="16" x14ac:dyDescent="0.4">
      <c r="A144">
        <v>704</v>
      </c>
      <c r="B144" s="92">
        <v>705</v>
      </c>
      <c r="E144">
        <v>50</v>
      </c>
      <c r="F144" s="92" t="str">
        <f>_xlfn.XLOOKUP(B144, DATA_Moresby_2024_ALL!B:B, DATA_Moresby_2024_ALL!G:G, "")</f>
        <v>705_20240611_0003_L_0159.jpg</v>
      </c>
      <c r="G144" s="93" t="str">
        <f t="shared" si="12"/>
        <v>705_20240611_0003_L_0159.jpg</v>
      </c>
      <c r="H144" s="92">
        <v>2</v>
      </c>
      <c r="J144" s="79">
        <f>IF(G144="","X",_xlfn.XLOOKUP(B144,DATA_Moresby_2024_ALL!B:B,DATA_Moresby_2024_ALL!K:K,""))</f>
        <v>1</v>
      </c>
      <c r="K144" s="28"/>
      <c r="L144" s="29"/>
      <c r="M144" s="28"/>
      <c r="N144" s="19">
        <f t="shared" si="11"/>
        <v>4</v>
      </c>
      <c r="O144" s="19">
        <f t="shared" si="10"/>
        <v>4</v>
      </c>
      <c r="P144" s="19">
        <f t="shared" si="10"/>
        <v>4</v>
      </c>
      <c r="Q144" s="19">
        <v>3</v>
      </c>
      <c r="R144" s="21"/>
      <c r="T144" s="21"/>
      <c r="W144" s="46"/>
      <c r="X144" s="92">
        <v>4</v>
      </c>
      <c r="Y144" s="92">
        <v>4</v>
      </c>
      <c r="Z144" s="92">
        <v>3</v>
      </c>
    </row>
    <row r="145" spans="1:26" ht="16" x14ac:dyDescent="0.4">
      <c r="A145">
        <v>709</v>
      </c>
      <c r="B145" s="92">
        <v>710</v>
      </c>
      <c r="E145">
        <v>50</v>
      </c>
      <c r="F145" s="92" t="str">
        <f>_xlfn.XLOOKUP(B145, DATA_Moresby_2024_ALL!B:B, DATA_Moresby_2024_ALL!G:G, "")</f>
        <v>710_20240611_0003_L_0173.jpg</v>
      </c>
      <c r="G145" s="93" t="str">
        <f t="shared" si="12"/>
        <v>710_20240611_0003_L_0173.jpg</v>
      </c>
      <c r="H145" s="92">
        <v>2</v>
      </c>
      <c r="J145" s="79">
        <f>IF(G145="","X",_xlfn.XLOOKUP(B145,DATA_Moresby_2024_ALL!B:B,DATA_Moresby_2024_ALL!K:K,""))</f>
        <v>1</v>
      </c>
      <c r="K145" s="28"/>
      <c r="L145" s="29"/>
      <c r="M145" s="28"/>
      <c r="N145" s="19">
        <f t="shared" si="11"/>
        <v>4</v>
      </c>
      <c r="O145" s="19">
        <f t="shared" si="10"/>
        <v>4</v>
      </c>
      <c r="P145" s="19">
        <f t="shared" si="10"/>
        <v>4</v>
      </c>
      <c r="Q145" s="19">
        <v>3</v>
      </c>
      <c r="R145" s="21"/>
      <c r="T145" s="21"/>
      <c r="W145" s="46"/>
      <c r="X145" s="92">
        <v>4</v>
      </c>
      <c r="Y145" s="92">
        <v>4</v>
      </c>
      <c r="Z145" s="92">
        <v>3</v>
      </c>
    </row>
    <row r="146" spans="1:26" ht="16" hidden="1" x14ac:dyDescent="0.4">
      <c r="A146">
        <v>714</v>
      </c>
      <c r="B146" s="92">
        <v>715</v>
      </c>
      <c r="E146">
        <v>50</v>
      </c>
      <c r="F146" s="92" t="str">
        <f>_xlfn.XLOOKUP(B146, DATA_Moresby_2024_ALL!B:B, DATA_Moresby_2024_ALL!G:G, "")</f>
        <v>715_20240611_0003_L_0189.jpg</v>
      </c>
      <c r="G146" s="93" t="str">
        <f t="shared" si="12"/>
        <v>715_20240611_0003_L_0189.jpg</v>
      </c>
      <c r="H146" s="92">
        <v>8</v>
      </c>
      <c r="J146" s="79">
        <f>IF(G146="","X",_xlfn.XLOOKUP(B146,DATA_Moresby_2024_ALL!B:B,DATA_Moresby_2024_ALL!K:K,""))</f>
        <v>1</v>
      </c>
      <c r="K146" s="28"/>
      <c r="L146" s="29"/>
      <c r="M146" s="28"/>
      <c r="N146" s="19">
        <f t="shared" si="11"/>
        <v>4</v>
      </c>
      <c r="O146" s="19">
        <f t="shared" si="10"/>
        <v>4</v>
      </c>
      <c r="P146" s="19">
        <f t="shared" si="10"/>
        <v>4</v>
      </c>
      <c r="Q146" s="19">
        <f t="shared" si="10"/>
        <v>4</v>
      </c>
      <c r="R146" s="21"/>
      <c r="T146" s="21"/>
      <c r="W146" s="46"/>
      <c r="X146" s="92" t="s">
        <v>78</v>
      </c>
      <c r="Y146" s="92" t="s">
        <v>78</v>
      </c>
      <c r="Z146" s="92" t="s">
        <v>78</v>
      </c>
    </row>
    <row r="147" spans="1:26" ht="16" hidden="1" x14ac:dyDescent="0.4">
      <c r="A147">
        <v>719</v>
      </c>
      <c r="B147" s="92">
        <v>720</v>
      </c>
      <c r="E147">
        <v>50</v>
      </c>
      <c r="F147" s="92">
        <f>_xlfn.XLOOKUP(B147, DATA_Moresby_2024_ALL!B:B, DATA_Moresby_2024_ALL!G:G, "")</f>
        <v>0</v>
      </c>
      <c r="G147" s="93"/>
      <c r="H147" s="92">
        <v>8</v>
      </c>
      <c r="I147" s="92" t="str">
        <f t="shared" ref="I147:I210" si="13">IF(G147="","X","")</f>
        <v>X</v>
      </c>
      <c r="J147" s="79" t="str">
        <f>IF(G147="","X",_xlfn.XLOOKUP(B147,DATA_Moresby_2024_ALL!B:B,DATA_Moresby_2024_ALL!K:K,""))</f>
        <v>X</v>
      </c>
      <c r="K147" s="28"/>
      <c r="L147" s="29"/>
      <c r="M147" s="28"/>
      <c r="N147" s="19" t="str">
        <f t="shared" si="11"/>
        <v/>
      </c>
      <c r="O147" s="19" t="str">
        <f t="shared" si="10"/>
        <v/>
      </c>
      <c r="P147" s="19" t="str">
        <f t="shared" si="10"/>
        <v/>
      </c>
      <c r="Q147" s="19" t="str">
        <f t="shared" si="10"/>
        <v/>
      </c>
      <c r="R147" s="21"/>
      <c r="T147" s="21"/>
      <c r="W147" s="46"/>
      <c r="X147" s="92" t="s">
        <v>78</v>
      </c>
      <c r="Y147" s="92" t="s">
        <v>78</v>
      </c>
      <c r="Z147" s="92" t="s">
        <v>78</v>
      </c>
    </row>
    <row r="148" spans="1:26" ht="16" hidden="1" x14ac:dyDescent="0.4">
      <c r="A148">
        <v>724</v>
      </c>
      <c r="B148" s="92">
        <v>725</v>
      </c>
      <c r="E148">
        <v>50</v>
      </c>
      <c r="F148" s="92">
        <f>_xlfn.XLOOKUP(B148, DATA_Moresby_2024_ALL!B:B, DATA_Moresby_2024_ALL!G:G, "")</f>
        <v>0</v>
      </c>
      <c r="G148" s="93"/>
      <c r="H148" s="92">
        <v>8</v>
      </c>
      <c r="I148" s="92" t="str">
        <f t="shared" si="13"/>
        <v>X</v>
      </c>
      <c r="J148" s="79" t="str">
        <f>IF(G148="","X",_xlfn.XLOOKUP(B148,DATA_Moresby_2024_ALL!B:B,DATA_Moresby_2024_ALL!K:K,""))</f>
        <v>X</v>
      </c>
      <c r="K148" s="28"/>
      <c r="L148" s="29"/>
      <c r="M148" s="28"/>
      <c r="N148" s="19" t="str">
        <f t="shared" si="11"/>
        <v/>
      </c>
      <c r="O148" s="19" t="str">
        <f t="shared" si="10"/>
        <v/>
      </c>
      <c r="P148" s="19" t="str">
        <f t="shared" si="10"/>
        <v/>
      </c>
      <c r="Q148" s="19" t="str">
        <f t="shared" si="10"/>
        <v/>
      </c>
      <c r="R148" s="21"/>
      <c r="T148" s="21"/>
      <c r="W148" s="46"/>
      <c r="X148" s="92" t="s">
        <v>78</v>
      </c>
      <c r="Y148" s="92" t="s">
        <v>78</v>
      </c>
      <c r="Z148" s="92" t="s">
        <v>78</v>
      </c>
    </row>
    <row r="149" spans="1:26" ht="16" hidden="1" x14ac:dyDescent="0.4">
      <c r="A149">
        <v>729</v>
      </c>
      <c r="B149" s="92">
        <v>730</v>
      </c>
      <c r="E149">
        <v>50</v>
      </c>
      <c r="F149" s="92">
        <f>_xlfn.XLOOKUP(B149, DATA_Moresby_2024_ALL!B:B, DATA_Moresby_2024_ALL!G:G, "")</f>
        <v>0</v>
      </c>
      <c r="G149" s="93"/>
      <c r="H149" s="92">
        <v>8</v>
      </c>
      <c r="I149" s="92" t="str">
        <f t="shared" si="13"/>
        <v>X</v>
      </c>
      <c r="J149" s="79" t="str">
        <f>IF(G149="","X",_xlfn.XLOOKUP(B149,DATA_Moresby_2024_ALL!B:B,DATA_Moresby_2024_ALL!K:K,""))</f>
        <v>X</v>
      </c>
      <c r="K149" s="28"/>
      <c r="L149" s="29"/>
      <c r="M149" s="28"/>
      <c r="N149" s="19" t="str">
        <f t="shared" si="11"/>
        <v/>
      </c>
      <c r="O149" s="19" t="str">
        <f t="shared" si="10"/>
        <v/>
      </c>
      <c r="P149" s="19" t="str">
        <f t="shared" si="10"/>
        <v/>
      </c>
      <c r="Q149" s="19" t="str">
        <f t="shared" si="10"/>
        <v/>
      </c>
      <c r="R149" s="21"/>
      <c r="T149" s="21"/>
      <c r="W149" s="46"/>
      <c r="X149" s="92" t="s">
        <v>78</v>
      </c>
      <c r="Y149" s="92" t="s">
        <v>78</v>
      </c>
      <c r="Z149" s="92" t="s">
        <v>78</v>
      </c>
    </row>
    <row r="150" spans="1:26" ht="16" hidden="1" x14ac:dyDescent="0.4">
      <c r="A150">
        <v>734</v>
      </c>
      <c r="B150" s="92">
        <v>735</v>
      </c>
      <c r="E150">
        <v>50</v>
      </c>
      <c r="F150" s="92">
        <f>_xlfn.XLOOKUP(B150, DATA_Moresby_2024_ALL!B:B, DATA_Moresby_2024_ALL!G:G, "")</f>
        <v>0</v>
      </c>
      <c r="G150" s="93"/>
      <c r="H150" s="92">
        <v>8</v>
      </c>
      <c r="I150" s="92" t="str">
        <f t="shared" si="13"/>
        <v>X</v>
      </c>
      <c r="J150" s="79" t="str">
        <f>IF(G150="","X",_xlfn.XLOOKUP(B150,DATA_Moresby_2024_ALL!B:B,DATA_Moresby_2024_ALL!K:K,""))</f>
        <v>X</v>
      </c>
      <c r="K150" s="28"/>
      <c r="L150" s="29"/>
      <c r="M150" s="28"/>
      <c r="N150" s="19" t="str">
        <f t="shared" si="11"/>
        <v/>
      </c>
      <c r="O150" s="19" t="str">
        <f t="shared" si="10"/>
        <v/>
      </c>
      <c r="P150" s="19" t="str">
        <f t="shared" si="10"/>
        <v/>
      </c>
      <c r="Q150" s="19" t="str">
        <f t="shared" si="10"/>
        <v/>
      </c>
      <c r="R150" s="21"/>
      <c r="T150" s="21"/>
      <c r="W150" s="46"/>
      <c r="X150" s="92" t="s">
        <v>78</v>
      </c>
      <c r="Y150" s="92" t="s">
        <v>78</v>
      </c>
      <c r="Z150" s="92" t="s">
        <v>78</v>
      </c>
    </row>
    <row r="151" spans="1:26" ht="16" hidden="1" x14ac:dyDescent="0.4">
      <c r="A151">
        <v>739</v>
      </c>
      <c r="B151" s="92">
        <v>740</v>
      </c>
      <c r="E151">
        <v>50</v>
      </c>
      <c r="F151" s="92">
        <f>_xlfn.XLOOKUP(B151, DATA_Moresby_2024_ALL!B:B, DATA_Moresby_2024_ALL!G:G, "")</f>
        <v>0</v>
      </c>
      <c r="G151" s="93"/>
      <c r="H151" s="92">
        <v>8</v>
      </c>
      <c r="I151" s="92" t="str">
        <f t="shared" si="13"/>
        <v>X</v>
      </c>
      <c r="J151" s="79" t="str">
        <f>IF(G151="","X",_xlfn.XLOOKUP(B151,DATA_Moresby_2024_ALL!B:B,DATA_Moresby_2024_ALL!K:K,""))</f>
        <v>X</v>
      </c>
      <c r="K151" s="28"/>
      <c r="L151" s="29"/>
      <c r="M151" s="28"/>
      <c r="N151" s="19" t="str">
        <f t="shared" si="11"/>
        <v/>
      </c>
      <c r="O151" s="19" t="str">
        <f t="shared" si="10"/>
        <v/>
      </c>
      <c r="P151" s="19" t="str">
        <f t="shared" si="10"/>
        <v/>
      </c>
      <c r="Q151" s="19" t="str">
        <f t="shared" si="10"/>
        <v/>
      </c>
      <c r="R151" s="21"/>
      <c r="T151" s="21"/>
      <c r="W151" s="46"/>
      <c r="X151" s="92" t="s">
        <v>78</v>
      </c>
      <c r="Y151" s="92" t="s">
        <v>78</v>
      </c>
      <c r="Z151" s="92" t="s">
        <v>78</v>
      </c>
    </row>
    <row r="152" spans="1:26" ht="16" hidden="1" x14ac:dyDescent="0.4">
      <c r="A152">
        <v>744</v>
      </c>
      <c r="B152" s="92">
        <v>745</v>
      </c>
      <c r="E152">
        <v>50</v>
      </c>
      <c r="F152" s="92">
        <f>_xlfn.XLOOKUP(B152, DATA_Moresby_2024_ALL!B:B, DATA_Moresby_2024_ALL!G:G, "")</f>
        <v>0</v>
      </c>
      <c r="G152" s="93"/>
      <c r="H152" s="92">
        <v>8</v>
      </c>
      <c r="I152" s="92" t="str">
        <f t="shared" si="13"/>
        <v>X</v>
      </c>
      <c r="J152" s="79" t="str">
        <f>IF(G152="","X",_xlfn.XLOOKUP(B152,DATA_Moresby_2024_ALL!B:B,DATA_Moresby_2024_ALL!K:K,""))</f>
        <v>X</v>
      </c>
      <c r="K152" s="28"/>
      <c r="L152" s="29"/>
      <c r="M152" s="28"/>
      <c r="N152" s="19" t="str">
        <f t="shared" si="11"/>
        <v/>
      </c>
      <c r="O152" s="19" t="str">
        <f t="shared" si="10"/>
        <v/>
      </c>
      <c r="P152" s="19" t="str">
        <f t="shared" si="10"/>
        <v/>
      </c>
      <c r="Q152" s="19" t="str">
        <f t="shared" si="10"/>
        <v/>
      </c>
      <c r="R152" s="21"/>
      <c r="T152" s="21"/>
      <c r="W152" s="46"/>
      <c r="X152" s="92" t="s">
        <v>78</v>
      </c>
      <c r="Y152" s="92" t="s">
        <v>78</v>
      </c>
      <c r="Z152" s="92" t="s">
        <v>78</v>
      </c>
    </row>
    <row r="153" spans="1:26" ht="16" hidden="1" x14ac:dyDescent="0.4">
      <c r="A153">
        <v>749</v>
      </c>
      <c r="B153" s="92">
        <v>750</v>
      </c>
      <c r="E153">
        <v>50</v>
      </c>
      <c r="F153" s="92">
        <f>_xlfn.XLOOKUP(B153, DATA_Moresby_2024_ALL!B:B, DATA_Moresby_2024_ALL!G:G, "")</f>
        <v>0</v>
      </c>
      <c r="G153" s="93"/>
      <c r="H153" s="92">
        <v>8</v>
      </c>
      <c r="I153" s="92" t="str">
        <f t="shared" si="13"/>
        <v>X</v>
      </c>
      <c r="J153" s="79" t="str">
        <f>IF(G153="","X",_xlfn.XLOOKUP(B153,DATA_Moresby_2024_ALL!B:B,DATA_Moresby_2024_ALL!K:K,""))</f>
        <v>X</v>
      </c>
      <c r="K153" s="28"/>
      <c r="L153" s="29"/>
      <c r="M153" s="28"/>
      <c r="N153" s="19" t="str">
        <f t="shared" si="11"/>
        <v/>
      </c>
      <c r="O153" s="19" t="str">
        <f t="shared" si="10"/>
        <v/>
      </c>
      <c r="P153" s="19" t="str">
        <f t="shared" si="10"/>
        <v/>
      </c>
      <c r="Q153" s="19" t="str">
        <f t="shared" si="10"/>
        <v/>
      </c>
      <c r="R153" s="21"/>
      <c r="T153" s="21"/>
      <c r="W153" s="46"/>
      <c r="X153" s="92" t="s">
        <v>78</v>
      </c>
      <c r="Y153" s="92" t="s">
        <v>78</v>
      </c>
      <c r="Z153" s="92" t="s">
        <v>78</v>
      </c>
    </row>
    <row r="154" spans="1:26" ht="16" hidden="1" x14ac:dyDescent="0.4">
      <c r="A154">
        <v>754</v>
      </c>
      <c r="B154" s="92">
        <v>755</v>
      </c>
      <c r="E154">
        <v>50</v>
      </c>
      <c r="F154" s="92">
        <f>_xlfn.XLOOKUP(B154, DATA_Moresby_2024_ALL!B:B, DATA_Moresby_2024_ALL!G:G, "")</f>
        <v>0</v>
      </c>
      <c r="G154" s="93"/>
      <c r="H154" s="92">
        <v>8</v>
      </c>
      <c r="I154" s="92" t="str">
        <f t="shared" si="13"/>
        <v>X</v>
      </c>
      <c r="J154" s="79" t="str">
        <f>IF(G154="","X",_xlfn.XLOOKUP(B154,DATA_Moresby_2024_ALL!B:B,DATA_Moresby_2024_ALL!K:K,""))</f>
        <v>X</v>
      </c>
      <c r="K154" s="28"/>
      <c r="L154" s="29"/>
      <c r="M154" s="28"/>
      <c r="N154" s="19" t="str">
        <f t="shared" si="11"/>
        <v/>
      </c>
      <c r="O154" s="19" t="str">
        <f t="shared" si="10"/>
        <v/>
      </c>
      <c r="P154" s="19" t="str">
        <f t="shared" si="10"/>
        <v/>
      </c>
      <c r="Q154" s="19" t="str">
        <f t="shared" si="10"/>
        <v/>
      </c>
      <c r="R154" s="21"/>
      <c r="T154" s="21"/>
      <c r="W154" s="46"/>
      <c r="X154" s="92" t="s">
        <v>78</v>
      </c>
      <c r="Y154" s="92" t="s">
        <v>78</v>
      </c>
      <c r="Z154" s="92" t="s">
        <v>78</v>
      </c>
    </row>
    <row r="155" spans="1:26" ht="16" hidden="1" x14ac:dyDescent="0.4">
      <c r="A155">
        <v>759</v>
      </c>
      <c r="B155" s="92">
        <v>760</v>
      </c>
      <c r="E155">
        <v>50</v>
      </c>
      <c r="F155" s="92">
        <f>_xlfn.XLOOKUP(B155, DATA_Moresby_2024_ALL!B:B, DATA_Moresby_2024_ALL!G:G, "")</f>
        <v>0</v>
      </c>
      <c r="G155" s="93"/>
      <c r="H155" s="92">
        <v>8</v>
      </c>
      <c r="I155" s="92" t="str">
        <f t="shared" si="13"/>
        <v>X</v>
      </c>
      <c r="J155" s="79" t="str">
        <f>IF(G155="","X",_xlfn.XLOOKUP(B155,DATA_Moresby_2024_ALL!B:B,DATA_Moresby_2024_ALL!K:K,""))</f>
        <v>X</v>
      </c>
      <c r="K155" s="28"/>
      <c r="L155" s="29"/>
      <c r="M155" s="28"/>
      <c r="N155" s="19" t="str">
        <f t="shared" si="11"/>
        <v/>
      </c>
      <c r="O155" s="19" t="str">
        <f t="shared" si="10"/>
        <v/>
      </c>
      <c r="P155" s="19" t="str">
        <f t="shared" si="10"/>
        <v/>
      </c>
      <c r="Q155" s="19" t="str">
        <f t="shared" si="10"/>
        <v/>
      </c>
      <c r="R155" s="21"/>
      <c r="T155" s="21"/>
      <c r="W155" s="46"/>
      <c r="X155" s="92" t="s">
        <v>78</v>
      </c>
      <c r="Y155" s="92" t="s">
        <v>78</v>
      </c>
      <c r="Z155" s="92" t="s">
        <v>78</v>
      </c>
    </row>
    <row r="156" spans="1:26" ht="16" hidden="1" x14ac:dyDescent="0.4">
      <c r="A156">
        <v>764</v>
      </c>
      <c r="B156" s="92">
        <v>765</v>
      </c>
      <c r="E156">
        <v>50</v>
      </c>
      <c r="F156" s="92">
        <f>_xlfn.XLOOKUP(B156, DATA_Moresby_2024_ALL!B:B, DATA_Moresby_2024_ALL!G:G, "")</f>
        <v>0</v>
      </c>
      <c r="G156" s="93"/>
      <c r="H156" s="92">
        <v>8</v>
      </c>
      <c r="I156" s="92" t="str">
        <f t="shared" si="13"/>
        <v>X</v>
      </c>
      <c r="J156" s="79" t="str">
        <f>IF(G156="","X",_xlfn.XLOOKUP(B156,DATA_Moresby_2024_ALL!B:B,DATA_Moresby_2024_ALL!K:K,""))</f>
        <v>X</v>
      </c>
      <c r="K156" s="28"/>
      <c r="L156" s="29"/>
      <c r="M156" s="28"/>
      <c r="N156" s="19" t="str">
        <f t="shared" si="11"/>
        <v/>
      </c>
      <c r="O156" s="19" t="str">
        <f t="shared" si="10"/>
        <v/>
      </c>
      <c r="P156" s="19" t="str">
        <f t="shared" si="10"/>
        <v/>
      </c>
      <c r="Q156" s="19" t="str">
        <f t="shared" si="10"/>
        <v/>
      </c>
      <c r="R156" s="21"/>
      <c r="T156" s="21"/>
      <c r="W156" s="46"/>
      <c r="X156" s="92" t="s">
        <v>78</v>
      </c>
      <c r="Y156" s="92" t="s">
        <v>78</v>
      </c>
      <c r="Z156" s="92" t="s">
        <v>78</v>
      </c>
    </row>
    <row r="157" spans="1:26" ht="16" hidden="1" x14ac:dyDescent="0.4">
      <c r="A157">
        <v>769</v>
      </c>
      <c r="B157" s="92">
        <v>770</v>
      </c>
      <c r="E157">
        <v>50</v>
      </c>
      <c r="F157" s="92">
        <f>_xlfn.XLOOKUP(B157, DATA_Moresby_2024_ALL!B:B, DATA_Moresby_2024_ALL!G:G, "")</f>
        <v>0</v>
      </c>
      <c r="G157" s="93"/>
      <c r="H157" s="92">
        <v>8</v>
      </c>
      <c r="I157" s="92" t="str">
        <f t="shared" si="13"/>
        <v>X</v>
      </c>
      <c r="J157" s="79" t="str">
        <f>IF(G157="","X",_xlfn.XLOOKUP(B157,DATA_Moresby_2024_ALL!B:B,DATA_Moresby_2024_ALL!K:K,""))</f>
        <v>X</v>
      </c>
      <c r="K157" s="28"/>
      <c r="L157" s="29"/>
      <c r="M157" s="28"/>
      <c r="N157" s="19" t="str">
        <f t="shared" si="11"/>
        <v/>
      </c>
      <c r="O157" s="19" t="str">
        <f t="shared" si="11"/>
        <v/>
      </c>
      <c r="P157" s="19" t="str">
        <f t="shared" si="11"/>
        <v/>
      </c>
      <c r="Q157" s="19" t="str">
        <f t="shared" si="11"/>
        <v/>
      </c>
      <c r="R157" s="21"/>
      <c r="T157" s="21"/>
      <c r="W157" s="46"/>
      <c r="X157" s="92" t="s">
        <v>78</v>
      </c>
      <c r="Y157" s="92" t="s">
        <v>78</v>
      </c>
      <c r="Z157" s="92" t="s">
        <v>78</v>
      </c>
    </row>
    <row r="158" spans="1:26" ht="16" hidden="1" x14ac:dyDescent="0.4">
      <c r="A158">
        <v>774</v>
      </c>
      <c r="B158" s="92">
        <v>775</v>
      </c>
      <c r="E158">
        <v>50</v>
      </c>
      <c r="F158" s="92">
        <f>_xlfn.XLOOKUP(B158, DATA_Moresby_2024_ALL!B:B, DATA_Moresby_2024_ALL!G:G, "")</f>
        <v>0</v>
      </c>
      <c r="G158" s="93"/>
      <c r="H158" s="92">
        <v>8</v>
      </c>
      <c r="I158" s="92" t="str">
        <f t="shared" si="13"/>
        <v>X</v>
      </c>
      <c r="J158" s="79" t="str">
        <f>IF(G158="","X",_xlfn.XLOOKUP(B158,DATA_Moresby_2024_ALL!B:B,DATA_Moresby_2024_ALL!K:K,""))</f>
        <v>X</v>
      </c>
      <c r="K158" s="28"/>
      <c r="L158" s="29"/>
      <c r="M158" s="28"/>
      <c r="N158" s="19" t="str">
        <f t="shared" ref="N158:Q221" si="14">IF($J158=1,4,"")</f>
        <v/>
      </c>
      <c r="O158" s="19" t="str">
        <f t="shared" si="14"/>
        <v/>
      </c>
      <c r="P158" s="19" t="str">
        <f t="shared" si="14"/>
        <v/>
      </c>
      <c r="Q158" s="19" t="str">
        <f t="shared" si="14"/>
        <v/>
      </c>
      <c r="R158" s="21"/>
      <c r="T158" s="21"/>
      <c r="W158" s="46"/>
      <c r="X158" s="92" t="s">
        <v>78</v>
      </c>
      <c r="Y158" s="92" t="s">
        <v>78</v>
      </c>
      <c r="Z158" s="92" t="s">
        <v>78</v>
      </c>
    </row>
    <row r="159" spans="1:26" ht="16" hidden="1" x14ac:dyDescent="0.4">
      <c r="A159">
        <v>779</v>
      </c>
      <c r="B159" s="92">
        <v>780</v>
      </c>
      <c r="E159">
        <v>50</v>
      </c>
      <c r="F159" s="92">
        <f>_xlfn.XLOOKUP(B159, DATA_Moresby_2024_ALL!B:B, DATA_Moresby_2024_ALL!G:G, "")</f>
        <v>0</v>
      </c>
      <c r="G159" s="93"/>
      <c r="H159" s="92">
        <v>8</v>
      </c>
      <c r="I159" s="92" t="str">
        <f t="shared" si="13"/>
        <v>X</v>
      </c>
      <c r="J159" s="79" t="str">
        <f>IF(G159="","X",_xlfn.XLOOKUP(B159,DATA_Moresby_2024_ALL!B:B,DATA_Moresby_2024_ALL!K:K,""))</f>
        <v>X</v>
      </c>
      <c r="K159" s="28"/>
      <c r="L159" s="29"/>
      <c r="M159" s="28"/>
      <c r="N159" s="19" t="str">
        <f t="shared" si="14"/>
        <v/>
      </c>
      <c r="O159" s="19" t="str">
        <f t="shared" si="14"/>
        <v/>
      </c>
      <c r="P159" s="19" t="str">
        <f t="shared" si="14"/>
        <v/>
      </c>
      <c r="Q159" s="19" t="str">
        <f t="shared" si="14"/>
        <v/>
      </c>
      <c r="R159" s="21"/>
      <c r="T159" s="21"/>
      <c r="W159" s="46"/>
      <c r="X159" s="92" t="s">
        <v>78</v>
      </c>
      <c r="Y159" s="92" t="s">
        <v>78</v>
      </c>
      <c r="Z159" s="92" t="s">
        <v>78</v>
      </c>
    </row>
    <row r="160" spans="1:26" ht="16" hidden="1" x14ac:dyDescent="0.4">
      <c r="A160">
        <v>784</v>
      </c>
      <c r="B160" s="92">
        <v>785</v>
      </c>
      <c r="E160">
        <v>50</v>
      </c>
      <c r="F160" s="92">
        <f>_xlfn.XLOOKUP(B160, DATA_Moresby_2024_ALL!B:B, DATA_Moresby_2024_ALL!G:G, "")</f>
        <v>0</v>
      </c>
      <c r="G160" s="93"/>
      <c r="H160" s="92">
        <v>8</v>
      </c>
      <c r="I160" s="92" t="str">
        <f t="shared" si="13"/>
        <v>X</v>
      </c>
      <c r="J160" s="79" t="str">
        <f>IF(G160="","X",_xlfn.XLOOKUP(B160,DATA_Moresby_2024_ALL!B:B,DATA_Moresby_2024_ALL!K:K,""))</f>
        <v>X</v>
      </c>
      <c r="K160" s="28"/>
      <c r="L160" s="29"/>
      <c r="M160" s="28"/>
      <c r="N160" s="19" t="str">
        <f t="shared" si="14"/>
        <v/>
      </c>
      <c r="O160" s="19" t="str">
        <f t="shared" si="14"/>
        <v/>
      </c>
      <c r="P160" s="19" t="str">
        <f t="shared" si="14"/>
        <v/>
      </c>
      <c r="Q160" s="19" t="str">
        <f t="shared" si="14"/>
        <v/>
      </c>
      <c r="R160" s="21"/>
      <c r="T160" s="21"/>
      <c r="W160" s="46"/>
      <c r="X160" s="92" t="s">
        <v>78</v>
      </c>
      <c r="Y160" s="92" t="s">
        <v>78</v>
      </c>
      <c r="Z160" s="92" t="s">
        <v>78</v>
      </c>
    </row>
    <row r="161" spans="1:26" ht="16" hidden="1" x14ac:dyDescent="0.4">
      <c r="A161">
        <v>789</v>
      </c>
      <c r="B161" s="92">
        <v>790</v>
      </c>
      <c r="E161">
        <v>50</v>
      </c>
      <c r="F161" s="92">
        <f>_xlfn.XLOOKUP(B161, DATA_Moresby_2024_ALL!B:B, DATA_Moresby_2024_ALL!G:G, "")</f>
        <v>0</v>
      </c>
      <c r="G161" s="93"/>
      <c r="H161" s="92">
        <v>8</v>
      </c>
      <c r="I161" s="92" t="str">
        <f t="shared" si="13"/>
        <v>X</v>
      </c>
      <c r="J161" s="79" t="str">
        <f>IF(G161="","X",_xlfn.XLOOKUP(B161,DATA_Moresby_2024_ALL!B:B,DATA_Moresby_2024_ALL!K:K,""))</f>
        <v>X</v>
      </c>
      <c r="K161" s="28"/>
      <c r="L161" s="29"/>
      <c r="M161" s="28"/>
      <c r="N161" s="19" t="str">
        <f t="shared" si="14"/>
        <v/>
      </c>
      <c r="O161" s="19" t="str">
        <f t="shared" si="14"/>
        <v/>
      </c>
      <c r="P161" s="19" t="str">
        <f t="shared" si="14"/>
        <v/>
      </c>
      <c r="Q161" s="19" t="str">
        <f t="shared" si="14"/>
        <v/>
      </c>
      <c r="R161" s="21"/>
      <c r="T161" s="21"/>
      <c r="W161" s="46"/>
      <c r="X161" s="92" t="s">
        <v>78</v>
      </c>
      <c r="Y161" s="92" t="s">
        <v>78</v>
      </c>
      <c r="Z161" s="92" t="s">
        <v>78</v>
      </c>
    </row>
    <row r="162" spans="1:26" ht="16" hidden="1" x14ac:dyDescent="0.4">
      <c r="A162">
        <v>794</v>
      </c>
      <c r="B162" s="92">
        <v>795</v>
      </c>
      <c r="E162">
        <v>50</v>
      </c>
      <c r="F162" s="92">
        <f>_xlfn.XLOOKUP(B162, DATA_Moresby_2024_ALL!B:B, DATA_Moresby_2024_ALL!G:G, "")</f>
        <v>0</v>
      </c>
      <c r="G162" s="93"/>
      <c r="H162" s="92">
        <v>8</v>
      </c>
      <c r="I162" s="92" t="str">
        <f t="shared" si="13"/>
        <v>X</v>
      </c>
      <c r="J162" s="79" t="str">
        <f>IF(G162="","X",_xlfn.XLOOKUP(B162,DATA_Moresby_2024_ALL!B:B,DATA_Moresby_2024_ALL!K:K,""))</f>
        <v>X</v>
      </c>
      <c r="K162" s="28"/>
      <c r="L162" s="29"/>
      <c r="M162" s="28"/>
      <c r="N162" s="19" t="str">
        <f t="shared" si="14"/>
        <v/>
      </c>
      <c r="O162" s="19" t="str">
        <f t="shared" si="14"/>
        <v/>
      </c>
      <c r="P162" s="19" t="str">
        <f t="shared" si="14"/>
        <v/>
      </c>
      <c r="Q162" s="19" t="str">
        <f t="shared" si="14"/>
        <v/>
      </c>
      <c r="R162" s="21"/>
      <c r="T162" s="21"/>
      <c r="W162" s="46"/>
      <c r="X162" s="92" t="s">
        <v>78</v>
      </c>
      <c r="Y162" s="92" t="s">
        <v>78</v>
      </c>
      <c r="Z162" s="92" t="s">
        <v>78</v>
      </c>
    </row>
    <row r="163" spans="1:26" ht="16" hidden="1" x14ac:dyDescent="0.4">
      <c r="A163">
        <v>799</v>
      </c>
      <c r="B163" s="92">
        <v>800</v>
      </c>
      <c r="E163">
        <v>50</v>
      </c>
      <c r="F163" s="92">
        <f>_xlfn.XLOOKUP(B163, DATA_Moresby_2024_ALL!B:B, DATA_Moresby_2024_ALL!G:G, "")</f>
        <v>0</v>
      </c>
      <c r="G163" s="93"/>
      <c r="H163" s="92">
        <v>8</v>
      </c>
      <c r="I163" s="92" t="str">
        <f t="shared" si="13"/>
        <v>X</v>
      </c>
      <c r="J163" s="79" t="str">
        <f>IF(G163="","X",_xlfn.XLOOKUP(B163,DATA_Moresby_2024_ALL!B:B,DATA_Moresby_2024_ALL!K:K,""))</f>
        <v>X</v>
      </c>
      <c r="K163" s="28"/>
      <c r="L163" s="29"/>
      <c r="M163" s="28"/>
      <c r="N163" s="19" t="str">
        <f t="shared" si="14"/>
        <v/>
      </c>
      <c r="O163" s="19" t="str">
        <f t="shared" si="14"/>
        <v/>
      </c>
      <c r="P163" s="19" t="str">
        <f t="shared" si="14"/>
        <v/>
      </c>
      <c r="Q163" s="19" t="str">
        <f t="shared" si="14"/>
        <v/>
      </c>
      <c r="R163" s="21"/>
      <c r="T163" s="21"/>
      <c r="W163" s="46"/>
      <c r="X163" s="92" t="s">
        <v>78</v>
      </c>
      <c r="Y163" s="92" t="s">
        <v>78</v>
      </c>
      <c r="Z163" s="92" t="s">
        <v>78</v>
      </c>
    </row>
    <row r="164" spans="1:26" ht="16" hidden="1" x14ac:dyDescent="0.4">
      <c r="A164">
        <v>804</v>
      </c>
      <c r="B164" s="92">
        <v>805</v>
      </c>
      <c r="E164">
        <v>50</v>
      </c>
      <c r="F164" s="92">
        <f>_xlfn.XLOOKUP(B164, DATA_Moresby_2024_ALL!B:B, DATA_Moresby_2024_ALL!G:G, "")</f>
        <v>0</v>
      </c>
      <c r="G164" s="93"/>
      <c r="H164" s="92">
        <v>8</v>
      </c>
      <c r="I164" s="92" t="str">
        <f t="shared" si="13"/>
        <v>X</v>
      </c>
      <c r="J164" s="79" t="str">
        <f>IF(G164="","X",_xlfn.XLOOKUP(B164,DATA_Moresby_2024_ALL!B:B,DATA_Moresby_2024_ALL!K:K,""))</f>
        <v>X</v>
      </c>
      <c r="K164" s="28"/>
      <c r="L164" s="29"/>
      <c r="M164" s="28"/>
      <c r="N164" s="19" t="str">
        <f t="shared" si="14"/>
        <v/>
      </c>
      <c r="O164" s="19" t="str">
        <f t="shared" si="14"/>
        <v/>
      </c>
      <c r="P164" s="19" t="str">
        <f t="shared" si="14"/>
        <v/>
      </c>
      <c r="Q164" s="19" t="str">
        <f t="shared" si="14"/>
        <v/>
      </c>
      <c r="R164" s="21"/>
      <c r="T164" s="21"/>
      <c r="W164" s="46"/>
      <c r="X164" s="92" t="s">
        <v>78</v>
      </c>
      <c r="Y164" s="92" t="s">
        <v>78</v>
      </c>
      <c r="Z164" s="92" t="s">
        <v>78</v>
      </c>
    </row>
    <row r="165" spans="1:26" ht="16" hidden="1" x14ac:dyDescent="0.4">
      <c r="A165">
        <v>809</v>
      </c>
      <c r="B165" s="92">
        <v>810</v>
      </c>
      <c r="E165">
        <v>50</v>
      </c>
      <c r="F165" s="92">
        <f>_xlfn.XLOOKUP(B165, DATA_Moresby_2024_ALL!B:B, DATA_Moresby_2024_ALL!G:G, "")</f>
        <v>0</v>
      </c>
      <c r="G165" s="93"/>
      <c r="H165" s="92">
        <v>8</v>
      </c>
      <c r="I165" s="92" t="str">
        <f t="shared" si="13"/>
        <v>X</v>
      </c>
      <c r="J165" s="79" t="str">
        <f>IF(G165="","X",_xlfn.XLOOKUP(B165,DATA_Moresby_2024_ALL!B:B,DATA_Moresby_2024_ALL!K:K,""))</f>
        <v>X</v>
      </c>
      <c r="K165" s="28"/>
      <c r="L165" s="29"/>
      <c r="M165" s="28"/>
      <c r="N165" s="19" t="str">
        <f t="shared" si="14"/>
        <v/>
      </c>
      <c r="O165" s="19" t="str">
        <f t="shared" si="14"/>
        <v/>
      </c>
      <c r="P165" s="19" t="str">
        <f t="shared" si="14"/>
        <v/>
      </c>
      <c r="Q165" s="19" t="str">
        <f t="shared" si="14"/>
        <v/>
      </c>
      <c r="R165" s="21"/>
      <c r="T165" s="21"/>
      <c r="W165" s="46"/>
      <c r="X165" s="92" t="s">
        <v>78</v>
      </c>
      <c r="Y165" s="92" t="s">
        <v>78</v>
      </c>
      <c r="Z165" s="92" t="s">
        <v>78</v>
      </c>
    </row>
    <row r="166" spans="1:26" ht="16" hidden="1" x14ac:dyDescent="0.4">
      <c r="A166">
        <v>814</v>
      </c>
      <c r="B166" s="92">
        <v>815</v>
      </c>
      <c r="E166">
        <v>50</v>
      </c>
      <c r="F166" s="92">
        <f>_xlfn.XLOOKUP(B166, DATA_Moresby_2024_ALL!B:B, DATA_Moresby_2024_ALL!G:G, "")</f>
        <v>0</v>
      </c>
      <c r="G166" s="93"/>
      <c r="H166" s="92">
        <v>8</v>
      </c>
      <c r="I166" s="92" t="str">
        <f t="shared" si="13"/>
        <v>X</v>
      </c>
      <c r="J166" s="79" t="str">
        <f>IF(G166="","X",_xlfn.XLOOKUP(B166,DATA_Moresby_2024_ALL!B:B,DATA_Moresby_2024_ALL!K:K,""))</f>
        <v>X</v>
      </c>
      <c r="K166" s="28"/>
      <c r="L166" s="29"/>
      <c r="M166" s="28"/>
      <c r="N166" s="19" t="str">
        <f t="shared" si="14"/>
        <v/>
      </c>
      <c r="O166" s="19" t="str">
        <f t="shared" si="14"/>
        <v/>
      </c>
      <c r="P166" s="19" t="str">
        <f t="shared" si="14"/>
        <v/>
      </c>
      <c r="Q166" s="19" t="str">
        <f t="shared" si="14"/>
        <v/>
      </c>
      <c r="R166" s="21"/>
      <c r="T166" s="21"/>
      <c r="W166" s="46"/>
      <c r="X166" s="92" t="s">
        <v>78</v>
      </c>
      <c r="Y166" s="92" t="s">
        <v>78</v>
      </c>
      <c r="Z166" s="92" t="s">
        <v>78</v>
      </c>
    </row>
    <row r="167" spans="1:26" ht="16" hidden="1" x14ac:dyDescent="0.4">
      <c r="A167">
        <v>819</v>
      </c>
      <c r="B167" s="92">
        <v>820</v>
      </c>
      <c r="E167">
        <v>50</v>
      </c>
      <c r="F167" s="92">
        <f>_xlfn.XLOOKUP(B167, DATA_Moresby_2024_ALL!B:B, DATA_Moresby_2024_ALL!G:G, "")</f>
        <v>0</v>
      </c>
      <c r="G167" s="93"/>
      <c r="H167" s="92">
        <v>8</v>
      </c>
      <c r="I167" s="92" t="str">
        <f t="shared" si="13"/>
        <v>X</v>
      </c>
      <c r="J167" s="79" t="str">
        <f>IF(G167="","X",_xlfn.XLOOKUP(B167,DATA_Moresby_2024_ALL!B:B,DATA_Moresby_2024_ALL!K:K,""))</f>
        <v>X</v>
      </c>
      <c r="K167" s="28"/>
      <c r="L167" s="29"/>
      <c r="M167" s="28"/>
      <c r="N167" s="19" t="str">
        <f t="shared" si="14"/>
        <v/>
      </c>
      <c r="O167" s="19" t="str">
        <f t="shared" si="14"/>
        <v/>
      </c>
      <c r="P167" s="19" t="str">
        <f t="shared" si="14"/>
        <v/>
      </c>
      <c r="Q167" s="19" t="str">
        <f t="shared" si="14"/>
        <v/>
      </c>
      <c r="R167" s="21"/>
      <c r="T167" s="21"/>
      <c r="W167" s="46"/>
      <c r="X167" s="92" t="s">
        <v>78</v>
      </c>
      <c r="Y167" s="92" t="s">
        <v>78</v>
      </c>
      <c r="Z167" s="92" t="s">
        <v>78</v>
      </c>
    </row>
    <row r="168" spans="1:26" ht="16" hidden="1" x14ac:dyDescent="0.4">
      <c r="A168">
        <v>824</v>
      </c>
      <c r="B168" s="92">
        <v>825</v>
      </c>
      <c r="E168">
        <v>50</v>
      </c>
      <c r="F168" s="92">
        <f>_xlfn.XLOOKUP(B168, DATA_Moresby_2024_ALL!B:B, DATA_Moresby_2024_ALL!G:G, "")</f>
        <v>0</v>
      </c>
      <c r="G168" s="93"/>
      <c r="H168" s="92">
        <v>8</v>
      </c>
      <c r="I168" s="92" t="str">
        <f t="shared" si="13"/>
        <v>X</v>
      </c>
      <c r="J168" s="79" t="str">
        <f>IF(G168="","X",_xlfn.XLOOKUP(B168,DATA_Moresby_2024_ALL!B:B,DATA_Moresby_2024_ALL!K:K,""))</f>
        <v>X</v>
      </c>
      <c r="K168" s="28"/>
      <c r="L168" s="29"/>
      <c r="M168" s="28"/>
      <c r="N168" s="19" t="str">
        <f t="shared" si="14"/>
        <v/>
      </c>
      <c r="O168" s="19" t="str">
        <f t="shared" si="14"/>
        <v/>
      </c>
      <c r="P168" s="19" t="str">
        <f t="shared" si="14"/>
        <v/>
      </c>
      <c r="Q168" s="19" t="str">
        <f t="shared" si="14"/>
        <v/>
      </c>
      <c r="R168" s="21"/>
      <c r="T168" s="21"/>
      <c r="W168" s="46"/>
      <c r="X168" s="92" t="s">
        <v>78</v>
      </c>
      <c r="Y168" s="92" t="s">
        <v>78</v>
      </c>
      <c r="Z168" s="92" t="s">
        <v>78</v>
      </c>
    </row>
    <row r="169" spans="1:26" ht="16" hidden="1" x14ac:dyDescent="0.4">
      <c r="A169">
        <v>829</v>
      </c>
      <c r="B169" s="92">
        <v>830</v>
      </c>
      <c r="E169">
        <v>50</v>
      </c>
      <c r="F169" s="92">
        <f>_xlfn.XLOOKUP(B169, DATA_Moresby_2024_ALL!B:B, DATA_Moresby_2024_ALL!G:G, "")</f>
        <v>0</v>
      </c>
      <c r="G169" s="93"/>
      <c r="H169" s="92">
        <v>8</v>
      </c>
      <c r="I169" s="92" t="str">
        <f t="shared" si="13"/>
        <v>X</v>
      </c>
      <c r="J169" s="79" t="str">
        <f>IF(G169="","X",_xlfn.XLOOKUP(B169,DATA_Moresby_2024_ALL!B:B,DATA_Moresby_2024_ALL!K:K,""))</f>
        <v>X</v>
      </c>
      <c r="K169" s="28"/>
      <c r="L169" s="29"/>
      <c r="M169" s="28"/>
      <c r="N169" s="19" t="str">
        <f t="shared" si="14"/>
        <v/>
      </c>
      <c r="O169" s="19" t="str">
        <f t="shared" si="14"/>
        <v/>
      </c>
      <c r="P169" s="19" t="str">
        <f t="shared" si="14"/>
        <v/>
      </c>
      <c r="Q169" s="19" t="str">
        <f t="shared" si="14"/>
        <v/>
      </c>
      <c r="R169" s="21"/>
      <c r="T169" s="21"/>
      <c r="W169" s="46"/>
      <c r="X169" s="92" t="s">
        <v>78</v>
      </c>
      <c r="Y169" s="92" t="s">
        <v>78</v>
      </c>
      <c r="Z169" s="92" t="s">
        <v>78</v>
      </c>
    </row>
    <row r="170" spans="1:26" ht="16" hidden="1" x14ac:dyDescent="0.4">
      <c r="A170">
        <v>834</v>
      </c>
      <c r="B170" s="92">
        <v>835</v>
      </c>
      <c r="E170">
        <v>50</v>
      </c>
      <c r="F170" s="92">
        <f>_xlfn.XLOOKUP(B170, DATA_Moresby_2024_ALL!B:B, DATA_Moresby_2024_ALL!G:G, "")</f>
        <v>0</v>
      </c>
      <c r="G170" s="93"/>
      <c r="H170" s="92">
        <v>8</v>
      </c>
      <c r="I170" s="92" t="str">
        <f t="shared" si="13"/>
        <v>X</v>
      </c>
      <c r="J170" s="79" t="str">
        <f>IF(G170="","X",_xlfn.XLOOKUP(B170,DATA_Moresby_2024_ALL!B:B,DATA_Moresby_2024_ALL!K:K,""))</f>
        <v>X</v>
      </c>
      <c r="K170" s="28"/>
      <c r="L170" s="29"/>
      <c r="M170" s="28"/>
      <c r="N170" s="19" t="str">
        <f t="shared" si="14"/>
        <v/>
      </c>
      <c r="O170" s="19" t="str">
        <f t="shared" si="14"/>
        <v/>
      </c>
      <c r="P170" s="19" t="str">
        <f t="shared" si="14"/>
        <v/>
      </c>
      <c r="Q170" s="19" t="str">
        <f t="shared" si="14"/>
        <v/>
      </c>
      <c r="R170" s="21"/>
      <c r="T170" s="21"/>
      <c r="W170" s="46"/>
      <c r="X170" s="92" t="s">
        <v>78</v>
      </c>
      <c r="Y170" s="92" t="s">
        <v>78</v>
      </c>
      <c r="Z170" s="92" t="s">
        <v>78</v>
      </c>
    </row>
    <row r="171" spans="1:26" ht="16" hidden="1" x14ac:dyDescent="0.4">
      <c r="A171">
        <v>839</v>
      </c>
      <c r="B171" s="92">
        <v>840</v>
      </c>
      <c r="E171">
        <v>50</v>
      </c>
      <c r="F171" s="92">
        <f>_xlfn.XLOOKUP(B171, DATA_Moresby_2024_ALL!B:B, DATA_Moresby_2024_ALL!G:G, "")</f>
        <v>0</v>
      </c>
      <c r="G171" s="93"/>
      <c r="H171" s="92">
        <v>8</v>
      </c>
      <c r="I171" s="92" t="str">
        <f t="shared" si="13"/>
        <v>X</v>
      </c>
      <c r="J171" s="79" t="str">
        <f>IF(G171="","X",_xlfn.XLOOKUP(B171,DATA_Moresby_2024_ALL!B:B,DATA_Moresby_2024_ALL!K:K,""))</f>
        <v>X</v>
      </c>
      <c r="K171" s="28"/>
      <c r="L171" s="29"/>
      <c r="M171" s="28"/>
      <c r="N171" s="19" t="str">
        <f t="shared" si="14"/>
        <v/>
      </c>
      <c r="O171" s="19" t="str">
        <f t="shared" si="14"/>
        <v/>
      </c>
      <c r="P171" s="19" t="str">
        <f t="shared" si="14"/>
        <v/>
      </c>
      <c r="Q171" s="19" t="str">
        <f t="shared" si="14"/>
        <v/>
      </c>
      <c r="R171" s="21"/>
      <c r="T171" s="21"/>
      <c r="W171" s="46"/>
      <c r="X171" s="92" t="s">
        <v>78</v>
      </c>
      <c r="Y171" s="92" t="s">
        <v>78</v>
      </c>
      <c r="Z171" s="92" t="s">
        <v>78</v>
      </c>
    </row>
    <row r="172" spans="1:26" ht="16" hidden="1" x14ac:dyDescent="0.4">
      <c r="A172">
        <v>844</v>
      </c>
      <c r="B172" s="92">
        <v>845</v>
      </c>
      <c r="E172">
        <v>50</v>
      </c>
      <c r="F172" s="92">
        <f>_xlfn.XLOOKUP(B172, DATA_Moresby_2024_ALL!B:B, DATA_Moresby_2024_ALL!G:G, "")</f>
        <v>0</v>
      </c>
      <c r="G172" s="93"/>
      <c r="H172" s="92">
        <v>8</v>
      </c>
      <c r="I172" s="92" t="str">
        <f t="shared" si="13"/>
        <v>X</v>
      </c>
      <c r="J172" s="79" t="str">
        <f>IF(G172="","X",_xlfn.XLOOKUP(B172,DATA_Moresby_2024_ALL!B:B,DATA_Moresby_2024_ALL!K:K,""))</f>
        <v>X</v>
      </c>
      <c r="K172" s="28"/>
      <c r="L172" s="29"/>
      <c r="M172" s="28"/>
      <c r="N172" s="19" t="str">
        <f t="shared" si="14"/>
        <v/>
      </c>
      <c r="O172" s="19" t="str">
        <f t="shared" si="14"/>
        <v/>
      </c>
      <c r="P172" s="19" t="str">
        <f t="shared" si="14"/>
        <v/>
      </c>
      <c r="Q172" s="19" t="str">
        <f t="shared" si="14"/>
        <v/>
      </c>
      <c r="R172" s="21"/>
      <c r="T172" s="21"/>
      <c r="W172" s="46"/>
      <c r="X172" s="92" t="s">
        <v>78</v>
      </c>
      <c r="Y172" s="92" t="s">
        <v>78</v>
      </c>
      <c r="Z172" s="92" t="s">
        <v>78</v>
      </c>
    </row>
    <row r="173" spans="1:26" ht="16" hidden="1" x14ac:dyDescent="0.4">
      <c r="A173">
        <v>849</v>
      </c>
      <c r="B173" s="92">
        <v>850</v>
      </c>
      <c r="E173">
        <v>50</v>
      </c>
      <c r="F173" s="92">
        <f>_xlfn.XLOOKUP(B173, DATA_Moresby_2024_ALL!B:B, DATA_Moresby_2024_ALL!G:G, "")</f>
        <v>0</v>
      </c>
      <c r="G173" s="93"/>
      <c r="H173" s="92">
        <v>8</v>
      </c>
      <c r="I173" s="92" t="str">
        <f t="shared" si="13"/>
        <v>X</v>
      </c>
      <c r="J173" s="79" t="str">
        <f>IF(G173="","X",_xlfn.XLOOKUP(B173,DATA_Moresby_2024_ALL!B:B,DATA_Moresby_2024_ALL!K:K,""))</f>
        <v>X</v>
      </c>
      <c r="K173" s="28"/>
      <c r="L173" s="29"/>
      <c r="M173" s="28"/>
      <c r="N173" s="19" t="str">
        <f t="shared" si="14"/>
        <v/>
      </c>
      <c r="O173" s="19" t="str">
        <f t="shared" si="14"/>
        <v/>
      </c>
      <c r="P173" s="19" t="str">
        <f t="shared" si="14"/>
        <v/>
      </c>
      <c r="Q173" s="19" t="str">
        <f t="shared" si="14"/>
        <v/>
      </c>
      <c r="R173" s="21"/>
      <c r="T173" s="21"/>
      <c r="W173" s="46"/>
      <c r="X173" s="92" t="s">
        <v>78</v>
      </c>
      <c r="Y173" s="92" t="s">
        <v>78</v>
      </c>
      <c r="Z173" s="92" t="s">
        <v>78</v>
      </c>
    </row>
    <row r="174" spans="1:26" ht="16" hidden="1" x14ac:dyDescent="0.4">
      <c r="A174">
        <v>854</v>
      </c>
      <c r="B174" s="92">
        <v>855</v>
      </c>
      <c r="E174">
        <v>50</v>
      </c>
      <c r="F174" s="92">
        <f>_xlfn.XLOOKUP(B174, DATA_Moresby_2024_ALL!B:B, DATA_Moresby_2024_ALL!G:G, "")</f>
        <v>0</v>
      </c>
      <c r="G174" s="93"/>
      <c r="H174" s="92">
        <v>8</v>
      </c>
      <c r="I174" s="92" t="str">
        <f t="shared" si="13"/>
        <v>X</v>
      </c>
      <c r="J174" s="79" t="str">
        <f>IF(G174="","X",_xlfn.XLOOKUP(B174,DATA_Moresby_2024_ALL!B:B,DATA_Moresby_2024_ALL!K:K,""))</f>
        <v>X</v>
      </c>
      <c r="K174" s="28"/>
      <c r="L174" s="29"/>
      <c r="M174" s="28"/>
      <c r="N174" s="19" t="str">
        <f t="shared" si="14"/>
        <v/>
      </c>
      <c r="O174" s="19" t="str">
        <f t="shared" si="14"/>
        <v/>
      </c>
      <c r="P174" s="19" t="str">
        <f t="shared" si="14"/>
        <v/>
      </c>
      <c r="Q174" s="19" t="str">
        <f t="shared" si="14"/>
        <v/>
      </c>
      <c r="R174" s="21"/>
      <c r="T174" s="21"/>
      <c r="W174" s="46"/>
      <c r="X174" s="92" t="s">
        <v>78</v>
      </c>
      <c r="Y174" s="92" t="s">
        <v>78</v>
      </c>
      <c r="Z174" s="92" t="s">
        <v>78</v>
      </c>
    </row>
    <row r="175" spans="1:26" ht="16" hidden="1" x14ac:dyDescent="0.4">
      <c r="A175">
        <v>859</v>
      </c>
      <c r="B175" s="92">
        <v>860</v>
      </c>
      <c r="E175">
        <v>50</v>
      </c>
      <c r="F175" s="92">
        <f>_xlfn.XLOOKUP(B175, DATA_Moresby_2024_ALL!B:B, DATA_Moresby_2024_ALL!G:G, "")</f>
        <v>0</v>
      </c>
      <c r="G175" s="93"/>
      <c r="H175" s="92">
        <v>8</v>
      </c>
      <c r="I175" s="92" t="str">
        <f t="shared" si="13"/>
        <v>X</v>
      </c>
      <c r="J175" s="79" t="str">
        <f>IF(G175="","X",_xlfn.XLOOKUP(B175,DATA_Moresby_2024_ALL!B:B,DATA_Moresby_2024_ALL!K:K,""))</f>
        <v>X</v>
      </c>
      <c r="K175" s="28"/>
      <c r="L175" s="29"/>
      <c r="M175" s="28"/>
      <c r="N175" s="19" t="str">
        <f t="shared" si="14"/>
        <v/>
      </c>
      <c r="O175" s="19" t="str">
        <f t="shared" si="14"/>
        <v/>
      </c>
      <c r="P175" s="19" t="str">
        <f t="shared" si="14"/>
        <v/>
      </c>
      <c r="Q175" s="19" t="str">
        <f t="shared" si="14"/>
        <v/>
      </c>
      <c r="R175" s="21"/>
      <c r="T175" s="21"/>
      <c r="W175" s="46"/>
      <c r="X175" s="92" t="s">
        <v>78</v>
      </c>
      <c r="Y175" s="92" t="s">
        <v>78</v>
      </c>
      <c r="Z175" s="92" t="s">
        <v>78</v>
      </c>
    </row>
    <row r="176" spans="1:26" ht="16" hidden="1" x14ac:dyDescent="0.4">
      <c r="A176">
        <v>864</v>
      </c>
      <c r="B176" s="92">
        <v>865</v>
      </c>
      <c r="E176">
        <v>50</v>
      </c>
      <c r="F176" s="92">
        <f>_xlfn.XLOOKUP(B176, DATA_Moresby_2024_ALL!B:B, DATA_Moresby_2024_ALL!G:G, "")</f>
        <v>0</v>
      </c>
      <c r="G176" s="93"/>
      <c r="H176" s="92">
        <v>8</v>
      </c>
      <c r="I176" s="92" t="str">
        <f t="shared" si="13"/>
        <v>X</v>
      </c>
      <c r="J176" s="79" t="str">
        <f>IF(G176="","X",_xlfn.XLOOKUP(B176,DATA_Moresby_2024_ALL!B:B,DATA_Moresby_2024_ALL!K:K,""))</f>
        <v>X</v>
      </c>
      <c r="K176" s="28"/>
      <c r="L176" s="29"/>
      <c r="M176" s="28"/>
      <c r="N176" s="19" t="str">
        <f t="shared" si="14"/>
        <v/>
      </c>
      <c r="O176" s="19" t="str">
        <f t="shared" si="14"/>
        <v/>
      </c>
      <c r="P176" s="19" t="str">
        <f t="shared" si="14"/>
        <v/>
      </c>
      <c r="Q176" s="19" t="str">
        <f t="shared" si="14"/>
        <v/>
      </c>
      <c r="R176" s="21"/>
      <c r="T176" s="21"/>
      <c r="W176" s="46"/>
      <c r="X176" s="92" t="s">
        <v>78</v>
      </c>
      <c r="Y176" s="92" t="s">
        <v>78</v>
      </c>
      <c r="Z176" s="92" t="s">
        <v>78</v>
      </c>
    </row>
    <row r="177" spans="1:26" ht="16" hidden="1" x14ac:dyDescent="0.4">
      <c r="A177">
        <v>869</v>
      </c>
      <c r="B177" s="92">
        <v>870</v>
      </c>
      <c r="E177">
        <v>50</v>
      </c>
      <c r="F177" s="92">
        <f>_xlfn.XLOOKUP(B177, DATA_Moresby_2024_ALL!B:B, DATA_Moresby_2024_ALL!G:G, "")</f>
        <v>0</v>
      </c>
      <c r="G177" s="93"/>
      <c r="H177" s="92">
        <v>8</v>
      </c>
      <c r="I177" s="92" t="str">
        <f t="shared" si="13"/>
        <v>X</v>
      </c>
      <c r="J177" s="79" t="str">
        <f>IF(G177="","X",_xlfn.XLOOKUP(B177,DATA_Moresby_2024_ALL!B:B,DATA_Moresby_2024_ALL!K:K,""))</f>
        <v>X</v>
      </c>
      <c r="K177" s="28"/>
      <c r="L177" s="29"/>
      <c r="M177" s="28"/>
      <c r="N177" s="19" t="str">
        <f t="shared" si="14"/>
        <v/>
      </c>
      <c r="O177" s="19" t="str">
        <f t="shared" si="14"/>
        <v/>
      </c>
      <c r="P177" s="19" t="str">
        <f t="shared" si="14"/>
        <v/>
      </c>
      <c r="Q177" s="19" t="str">
        <f t="shared" si="14"/>
        <v/>
      </c>
      <c r="R177" s="21"/>
      <c r="T177" s="21"/>
      <c r="W177" s="46"/>
      <c r="X177" s="92" t="s">
        <v>78</v>
      </c>
      <c r="Y177" s="92" t="s">
        <v>78</v>
      </c>
      <c r="Z177" s="92" t="s">
        <v>78</v>
      </c>
    </row>
    <row r="178" spans="1:26" ht="16" hidden="1" x14ac:dyDescent="0.4">
      <c r="A178">
        <v>874</v>
      </c>
      <c r="B178" s="92">
        <v>875</v>
      </c>
      <c r="E178">
        <v>50</v>
      </c>
      <c r="F178" s="92">
        <f>_xlfn.XLOOKUP(B178, DATA_Moresby_2024_ALL!B:B, DATA_Moresby_2024_ALL!G:G, "")</f>
        <v>0</v>
      </c>
      <c r="G178" s="93"/>
      <c r="H178" s="92">
        <v>8</v>
      </c>
      <c r="I178" s="92" t="str">
        <f t="shared" si="13"/>
        <v>X</v>
      </c>
      <c r="J178" s="79" t="str">
        <f>IF(G178="","X",_xlfn.XLOOKUP(B178,DATA_Moresby_2024_ALL!B:B,DATA_Moresby_2024_ALL!K:K,""))</f>
        <v>X</v>
      </c>
      <c r="K178" s="28"/>
      <c r="L178" s="29"/>
      <c r="M178" s="28"/>
      <c r="N178" s="19" t="str">
        <f t="shared" si="14"/>
        <v/>
      </c>
      <c r="O178" s="19" t="str">
        <f t="shared" si="14"/>
        <v/>
      </c>
      <c r="P178" s="19" t="str">
        <f t="shared" si="14"/>
        <v/>
      </c>
      <c r="Q178" s="19" t="str">
        <f t="shared" si="14"/>
        <v/>
      </c>
      <c r="R178" s="21"/>
      <c r="T178" s="21"/>
      <c r="W178" s="46"/>
      <c r="X178" s="92" t="s">
        <v>78</v>
      </c>
      <c r="Y178" s="92" t="s">
        <v>78</v>
      </c>
      <c r="Z178" s="92" t="s">
        <v>78</v>
      </c>
    </row>
    <row r="179" spans="1:26" ht="16" hidden="1" x14ac:dyDescent="0.4">
      <c r="A179">
        <v>879</v>
      </c>
      <c r="B179" s="92">
        <v>880</v>
      </c>
      <c r="E179">
        <v>50</v>
      </c>
      <c r="F179" s="92">
        <f>_xlfn.XLOOKUP(B179, DATA_Moresby_2024_ALL!B:B, DATA_Moresby_2024_ALL!G:G, "")</f>
        <v>0</v>
      </c>
      <c r="G179" s="93"/>
      <c r="H179" s="92">
        <v>8</v>
      </c>
      <c r="I179" s="92" t="str">
        <f t="shared" si="13"/>
        <v>X</v>
      </c>
      <c r="J179" s="79" t="str">
        <f>IF(G179="","X",_xlfn.XLOOKUP(B179,DATA_Moresby_2024_ALL!B:B,DATA_Moresby_2024_ALL!K:K,""))</f>
        <v>X</v>
      </c>
      <c r="K179" s="28"/>
      <c r="L179" s="29"/>
      <c r="M179" s="28"/>
      <c r="N179" s="19" t="str">
        <f t="shared" si="14"/>
        <v/>
      </c>
      <c r="O179" s="19" t="str">
        <f t="shared" si="14"/>
        <v/>
      </c>
      <c r="P179" s="19" t="str">
        <f t="shared" si="14"/>
        <v/>
      </c>
      <c r="Q179" s="19" t="str">
        <f t="shared" si="14"/>
        <v/>
      </c>
      <c r="R179" s="21"/>
      <c r="T179" s="21"/>
      <c r="W179" s="46"/>
      <c r="X179" s="92" t="s">
        <v>78</v>
      </c>
      <c r="Y179" s="92" t="s">
        <v>78</v>
      </c>
      <c r="Z179" s="92" t="s">
        <v>78</v>
      </c>
    </row>
    <row r="180" spans="1:26" ht="16" hidden="1" x14ac:dyDescent="0.4">
      <c r="A180">
        <v>884</v>
      </c>
      <c r="B180" s="92">
        <v>885</v>
      </c>
      <c r="E180">
        <v>50</v>
      </c>
      <c r="F180" s="92">
        <f>_xlfn.XLOOKUP(B180, DATA_Moresby_2024_ALL!B:B, DATA_Moresby_2024_ALL!G:G, "")</f>
        <v>0</v>
      </c>
      <c r="G180" s="93"/>
      <c r="H180" s="92">
        <v>8</v>
      </c>
      <c r="I180" s="92" t="str">
        <f t="shared" si="13"/>
        <v>X</v>
      </c>
      <c r="J180" s="79" t="str">
        <f>IF(G180="","X",_xlfn.XLOOKUP(B180,DATA_Moresby_2024_ALL!B:B,DATA_Moresby_2024_ALL!K:K,""))</f>
        <v>X</v>
      </c>
      <c r="K180" s="28"/>
      <c r="L180" s="29"/>
      <c r="M180" s="28"/>
      <c r="N180" s="19" t="str">
        <f t="shared" si="14"/>
        <v/>
      </c>
      <c r="O180" s="19" t="str">
        <f t="shared" si="14"/>
        <v/>
      </c>
      <c r="P180" s="19" t="str">
        <f t="shared" si="14"/>
        <v/>
      </c>
      <c r="Q180" s="19" t="str">
        <f t="shared" si="14"/>
        <v/>
      </c>
      <c r="R180" s="21"/>
      <c r="T180" s="21"/>
      <c r="W180" s="46"/>
      <c r="X180" s="92" t="s">
        <v>78</v>
      </c>
      <c r="Y180" s="92" t="s">
        <v>78</v>
      </c>
      <c r="Z180" s="92" t="s">
        <v>78</v>
      </c>
    </row>
    <row r="181" spans="1:26" ht="16" hidden="1" x14ac:dyDescent="0.4">
      <c r="A181">
        <v>889</v>
      </c>
      <c r="B181" s="92">
        <v>890</v>
      </c>
      <c r="E181">
        <v>50</v>
      </c>
      <c r="F181" s="92">
        <f>_xlfn.XLOOKUP(B181, DATA_Moresby_2024_ALL!B:B, DATA_Moresby_2024_ALL!G:G, "")</f>
        <v>0</v>
      </c>
      <c r="G181" s="93"/>
      <c r="H181" s="92">
        <v>8</v>
      </c>
      <c r="I181" s="92" t="str">
        <f t="shared" si="13"/>
        <v>X</v>
      </c>
      <c r="J181" s="79" t="str">
        <f>IF(G181="","X",_xlfn.XLOOKUP(B181,DATA_Moresby_2024_ALL!B:B,DATA_Moresby_2024_ALL!K:K,""))</f>
        <v>X</v>
      </c>
      <c r="K181" s="28"/>
      <c r="L181" s="29"/>
      <c r="M181" s="28"/>
      <c r="N181" s="19" t="str">
        <f t="shared" si="14"/>
        <v/>
      </c>
      <c r="O181" s="19" t="str">
        <f t="shared" si="14"/>
        <v/>
      </c>
      <c r="P181" s="19" t="str">
        <f t="shared" si="14"/>
        <v/>
      </c>
      <c r="Q181" s="19" t="str">
        <f t="shared" si="14"/>
        <v/>
      </c>
      <c r="R181" s="21"/>
      <c r="T181" s="21"/>
      <c r="W181" s="46"/>
      <c r="X181" s="92" t="s">
        <v>78</v>
      </c>
      <c r="Y181" s="92" t="s">
        <v>78</v>
      </c>
      <c r="Z181" s="92" t="s">
        <v>78</v>
      </c>
    </row>
    <row r="182" spans="1:26" ht="16" hidden="1" x14ac:dyDescent="0.4">
      <c r="A182">
        <v>894</v>
      </c>
      <c r="B182" s="92">
        <v>895</v>
      </c>
      <c r="E182">
        <v>50</v>
      </c>
      <c r="F182" s="92">
        <f>_xlfn.XLOOKUP(B182, DATA_Moresby_2024_ALL!B:B, DATA_Moresby_2024_ALL!G:G, "")</f>
        <v>0</v>
      </c>
      <c r="G182" s="93"/>
      <c r="H182" s="92">
        <v>8</v>
      </c>
      <c r="I182" s="92" t="str">
        <f t="shared" si="13"/>
        <v>X</v>
      </c>
      <c r="J182" s="79" t="str">
        <f>IF(G182="","X",_xlfn.XLOOKUP(B182,DATA_Moresby_2024_ALL!B:B,DATA_Moresby_2024_ALL!K:K,""))</f>
        <v>X</v>
      </c>
      <c r="K182" s="28"/>
      <c r="L182" s="29"/>
      <c r="M182" s="28"/>
      <c r="N182" s="19" t="str">
        <f t="shared" si="14"/>
        <v/>
      </c>
      <c r="O182" s="19" t="str">
        <f t="shared" si="14"/>
        <v/>
      </c>
      <c r="P182" s="19" t="str">
        <f t="shared" si="14"/>
        <v/>
      </c>
      <c r="Q182" s="19" t="str">
        <f t="shared" si="14"/>
        <v/>
      </c>
      <c r="R182" s="21"/>
      <c r="T182" s="21"/>
      <c r="W182" s="46"/>
      <c r="X182" s="92" t="s">
        <v>78</v>
      </c>
      <c r="Y182" s="92" t="s">
        <v>78</v>
      </c>
      <c r="Z182" s="92" t="s">
        <v>78</v>
      </c>
    </row>
    <row r="183" spans="1:26" ht="16" hidden="1" x14ac:dyDescent="0.4">
      <c r="A183">
        <v>899</v>
      </c>
      <c r="B183" s="92">
        <v>900</v>
      </c>
      <c r="E183">
        <v>50</v>
      </c>
      <c r="F183" s="92">
        <f>_xlfn.XLOOKUP(B183, DATA_Moresby_2024_ALL!B:B, DATA_Moresby_2024_ALL!G:G, "")</f>
        <v>0</v>
      </c>
      <c r="G183" s="93"/>
      <c r="H183" s="92">
        <v>8</v>
      </c>
      <c r="I183" s="92" t="str">
        <f t="shared" si="13"/>
        <v>X</v>
      </c>
      <c r="J183" s="79" t="str">
        <f>IF(G183="","X",_xlfn.XLOOKUP(B183,DATA_Moresby_2024_ALL!B:B,DATA_Moresby_2024_ALL!K:K,""))</f>
        <v>X</v>
      </c>
      <c r="K183" s="28"/>
      <c r="L183" s="29"/>
      <c r="M183" s="28"/>
      <c r="N183" s="19" t="str">
        <f t="shared" si="14"/>
        <v/>
      </c>
      <c r="O183" s="19" t="str">
        <f t="shared" si="14"/>
        <v/>
      </c>
      <c r="P183" s="19" t="str">
        <f t="shared" si="14"/>
        <v/>
      </c>
      <c r="Q183" s="19" t="str">
        <f t="shared" si="14"/>
        <v/>
      </c>
      <c r="R183" s="21"/>
      <c r="T183" s="21"/>
      <c r="W183" s="46"/>
      <c r="X183" s="92" t="s">
        <v>78</v>
      </c>
      <c r="Y183" s="92" t="s">
        <v>78</v>
      </c>
      <c r="Z183" s="92" t="s">
        <v>78</v>
      </c>
    </row>
    <row r="184" spans="1:26" ht="16" hidden="1" x14ac:dyDescent="0.4">
      <c r="A184">
        <v>904</v>
      </c>
      <c r="B184" s="92">
        <v>905</v>
      </c>
      <c r="E184">
        <v>50</v>
      </c>
      <c r="F184" s="92">
        <f>_xlfn.XLOOKUP(B184, DATA_Moresby_2024_ALL!B:B, DATA_Moresby_2024_ALL!G:G, "")</f>
        <v>0</v>
      </c>
      <c r="G184" s="93"/>
      <c r="H184" s="92">
        <v>8</v>
      </c>
      <c r="I184" s="92" t="str">
        <f t="shared" si="13"/>
        <v>X</v>
      </c>
      <c r="J184" s="79" t="str">
        <f>IF(G184="","X",_xlfn.XLOOKUP(B184,DATA_Moresby_2024_ALL!B:B,DATA_Moresby_2024_ALL!K:K,""))</f>
        <v>X</v>
      </c>
      <c r="K184" s="28"/>
      <c r="L184" s="29"/>
      <c r="M184" s="28"/>
      <c r="N184" s="19" t="str">
        <f t="shared" si="14"/>
        <v/>
      </c>
      <c r="O184" s="19" t="str">
        <f t="shared" si="14"/>
        <v/>
      </c>
      <c r="P184" s="19" t="str">
        <f t="shared" si="14"/>
        <v/>
      </c>
      <c r="Q184" s="19" t="str">
        <f t="shared" si="14"/>
        <v/>
      </c>
      <c r="R184" s="21"/>
      <c r="T184" s="21"/>
      <c r="W184" s="46"/>
      <c r="X184" s="92" t="s">
        <v>78</v>
      </c>
      <c r="Y184" s="92" t="s">
        <v>78</v>
      </c>
      <c r="Z184" s="92" t="s">
        <v>78</v>
      </c>
    </row>
    <row r="185" spans="1:26" ht="16" hidden="1" x14ac:dyDescent="0.4">
      <c r="A185">
        <v>909</v>
      </c>
      <c r="B185" s="92">
        <v>910</v>
      </c>
      <c r="E185">
        <v>50</v>
      </c>
      <c r="F185" s="92">
        <f>_xlfn.XLOOKUP(B185, DATA_Moresby_2024_ALL!B:B, DATA_Moresby_2024_ALL!G:G, "")</f>
        <v>0</v>
      </c>
      <c r="G185" s="93"/>
      <c r="H185" s="92">
        <v>8</v>
      </c>
      <c r="I185" s="92" t="str">
        <f t="shared" si="13"/>
        <v>X</v>
      </c>
      <c r="J185" s="79" t="str">
        <f>IF(G185="","X",_xlfn.XLOOKUP(B185,DATA_Moresby_2024_ALL!B:B,DATA_Moresby_2024_ALL!K:K,""))</f>
        <v>X</v>
      </c>
      <c r="K185" s="28"/>
      <c r="L185" s="29"/>
      <c r="M185" s="28"/>
      <c r="N185" s="19" t="str">
        <f t="shared" si="14"/>
        <v/>
      </c>
      <c r="O185" s="19" t="str">
        <f t="shared" si="14"/>
        <v/>
      </c>
      <c r="P185" s="19" t="str">
        <f t="shared" si="14"/>
        <v/>
      </c>
      <c r="Q185" s="19" t="str">
        <f t="shared" si="14"/>
        <v/>
      </c>
      <c r="R185" s="21"/>
      <c r="T185" s="21"/>
      <c r="W185" s="46"/>
      <c r="X185" s="92" t="s">
        <v>78</v>
      </c>
      <c r="Y185" s="92" t="s">
        <v>78</v>
      </c>
      <c r="Z185" s="92" t="s">
        <v>78</v>
      </c>
    </row>
    <row r="186" spans="1:26" ht="16" hidden="1" x14ac:dyDescent="0.4">
      <c r="A186">
        <v>914</v>
      </c>
      <c r="B186" s="92">
        <v>915</v>
      </c>
      <c r="E186">
        <v>50</v>
      </c>
      <c r="F186" s="92">
        <f>_xlfn.XLOOKUP(B186, DATA_Moresby_2024_ALL!B:B, DATA_Moresby_2024_ALL!G:G, "")</f>
        <v>0</v>
      </c>
      <c r="G186" s="93"/>
      <c r="H186" s="92">
        <v>8</v>
      </c>
      <c r="I186" s="92" t="str">
        <f t="shared" si="13"/>
        <v>X</v>
      </c>
      <c r="J186" s="79" t="str">
        <f>IF(G186="","X",_xlfn.XLOOKUP(B186,DATA_Moresby_2024_ALL!B:B,DATA_Moresby_2024_ALL!K:K,""))</f>
        <v>X</v>
      </c>
      <c r="K186" s="28"/>
      <c r="L186" s="29"/>
      <c r="M186" s="28"/>
      <c r="N186" s="19" t="str">
        <f t="shared" si="14"/>
        <v/>
      </c>
      <c r="O186" s="19" t="str">
        <f t="shared" si="14"/>
        <v/>
      </c>
      <c r="P186" s="19" t="str">
        <f t="shared" si="14"/>
        <v/>
      </c>
      <c r="Q186" s="19" t="str">
        <f t="shared" si="14"/>
        <v/>
      </c>
      <c r="R186" s="21"/>
      <c r="T186" s="21"/>
      <c r="W186" s="46"/>
      <c r="X186" s="92" t="s">
        <v>78</v>
      </c>
      <c r="Y186" s="92" t="s">
        <v>78</v>
      </c>
      <c r="Z186" s="92" t="s">
        <v>78</v>
      </c>
    </row>
    <row r="187" spans="1:26" ht="16" hidden="1" x14ac:dyDescent="0.4">
      <c r="A187">
        <v>919</v>
      </c>
      <c r="B187" s="92">
        <v>920</v>
      </c>
      <c r="E187">
        <v>50</v>
      </c>
      <c r="F187" s="92">
        <f>_xlfn.XLOOKUP(B187, DATA_Moresby_2024_ALL!B:B, DATA_Moresby_2024_ALL!G:G, "")</f>
        <v>0</v>
      </c>
      <c r="G187" s="93"/>
      <c r="H187" s="92">
        <v>8</v>
      </c>
      <c r="I187" s="92" t="str">
        <f t="shared" si="13"/>
        <v>X</v>
      </c>
      <c r="J187" s="79" t="str">
        <f>IF(G187="","X",_xlfn.XLOOKUP(B187,DATA_Moresby_2024_ALL!B:B,DATA_Moresby_2024_ALL!K:K,""))</f>
        <v>X</v>
      </c>
      <c r="K187" s="28"/>
      <c r="L187" s="29"/>
      <c r="M187" s="28"/>
      <c r="N187" s="19" t="str">
        <f t="shared" si="14"/>
        <v/>
      </c>
      <c r="O187" s="19" t="str">
        <f t="shared" si="14"/>
        <v/>
      </c>
      <c r="P187" s="19" t="str">
        <f t="shared" si="14"/>
        <v/>
      </c>
      <c r="Q187" s="19" t="str">
        <f t="shared" si="14"/>
        <v/>
      </c>
      <c r="R187" s="21"/>
      <c r="T187" s="21"/>
      <c r="W187" s="46"/>
      <c r="X187" s="92" t="s">
        <v>78</v>
      </c>
      <c r="Y187" s="92" t="s">
        <v>78</v>
      </c>
      <c r="Z187" s="92" t="s">
        <v>78</v>
      </c>
    </row>
    <row r="188" spans="1:26" ht="16" hidden="1" x14ac:dyDescent="0.4">
      <c r="A188">
        <v>924</v>
      </c>
      <c r="B188" s="92">
        <v>925</v>
      </c>
      <c r="E188">
        <v>50</v>
      </c>
      <c r="F188" s="92">
        <f>_xlfn.XLOOKUP(B188, DATA_Moresby_2024_ALL!B:B, DATA_Moresby_2024_ALL!G:G, "")</f>
        <v>0</v>
      </c>
      <c r="G188" s="93"/>
      <c r="H188" s="92">
        <v>8</v>
      </c>
      <c r="I188" s="92" t="str">
        <f t="shared" si="13"/>
        <v>X</v>
      </c>
      <c r="J188" s="79" t="str">
        <f>IF(G188="","X",_xlfn.XLOOKUP(B188,DATA_Moresby_2024_ALL!B:B,DATA_Moresby_2024_ALL!K:K,""))</f>
        <v>X</v>
      </c>
      <c r="K188" s="28"/>
      <c r="L188" s="29"/>
      <c r="M188" s="28"/>
      <c r="N188" s="19" t="str">
        <f t="shared" si="14"/>
        <v/>
      </c>
      <c r="O188" s="19" t="str">
        <f t="shared" si="14"/>
        <v/>
      </c>
      <c r="P188" s="19" t="str">
        <f t="shared" si="14"/>
        <v/>
      </c>
      <c r="Q188" s="19" t="str">
        <f t="shared" si="14"/>
        <v/>
      </c>
      <c r="R188" s="21"/>
      <c r="T188" s="21"/>
      <c r="W188" s="46"/>
      <c r="X188" s="92" t="s">
        <v>78</v>
      </c>
      <c r="Y188" s="92" t="s">
        <v>78</v>
      </c>
      <c r="Z188" s="92" t="s">
        <v>78</v>
      </c>
    </row>
    <row r="189" spans="1:26" ht="16" hidden="1" x14ac:dyDescent="0.4">
      <c r="A189">
        <v>929</v>
      </c>
      <c r="B189" s="92">
        <v>930</v>
      </c>
      <c r="E189">
        <v>50</v>
      </c>
      <c r="F189" s="92">
        <f>_xlfn.XLOOKUP(B189, DATA_Moresby_2024_ALL!B:B, DATA_Moresby_2024_ALL!G:G, "")</f>
        <v>0</v>
      </c>
      <c r="G189" s="93"/>
      <c r="H189" s="92">
        <v>8</v>
      </c>
      <c r="I189" s="92" t="str">
        <f t="shared" si="13"/>
        <v>X</v>
      </c>
      <c r="J189" s="79" t="str">
        <f>IF(G189="","X",_xlfn.XLOOKUP(B189,DATA_Moresby_2024_ALL!B:B,DATA_Moresby_2024_ALL!K:K,""))</f>
        <v>X</v>
      </c>
      <c r="K189" s="28"/>
      <c r="L189" s="29"/>
      <c r="M189" s="28"/>
      <c r="N189" s="19" t="str">
        <f t="shared" si="14"/>
        <v/>
      </c>
      <c r="O189" s="19" t="str">
        <f t="shared" si="14"/>
        <v/>
      </c>
      <c r="P189" s="19" t="str">
        <f t="shared" si="14"/>
        <v/>
      </c>
      <c r="Q189" s="19" t="str">
        <f t="shared" si="14"/>
        <v/>
      </c>
      <c r="R189" s="21"/>
      <c r="T189" s="21"/>
      <c r="W189" s="46"/>
      <c r="X189" s="92" t="s">
        <v>78</v>
      </c>
      <c r="Y189" s="92" t="s">
        <v>78</v>
      </c>
      <c r="Z189" s="92" t="s">
        <v>78</v>
      </c>
    </row>
    <row r="190" spans="1:26" ht="16" hidden="1" x14ac:dyDescent="0.4">
      <c r="A190">
        <v>934</v>
      </c>
      <c r="B190" s="92">
        <v>935</v>
      </c>
      <c r="E190">
        <v>50</v>
      </c>
      <c r="F190" s="92">
        <f>_xlfn.XLOOKUP(B190, DATA_Moresby_2024_ALL!B:B, DATA_Moresby_2024_ALL!G:G, "")</f>
        <v>0</v>
      </c>
      <c r="G190" s="93"/>
      <c r="H190" s="92">
        <v>8</v>
      </c>
      <c r="I190" s="92" t="str">
        <f t="shared" si="13"/>
        <v>X</v>
      </c>
      <c r="J190" s="79" t="str">
        <f>IF(G190="","X",_xlfn.XLOOKUP(B190,DATA_Moresby_2024_ALL!B:B,DATA_Moresby_2024_ALL!K:K,""))</f>
        <v>X</v>
      </c>
      <c r="K190" s="28"/>
      <c r="L190" s="29"/>
      <c r="M190" s="28"/>
      <c r="N190" s="19" t="str">
        <f t="shared" si="14"/>
        <v/>
      </c>
      <c r="O190" s="19" t="str">
        <f t="shared" si="14"/>
        <v/>
      </c>
      <c r="P190" s="19" t="str">
        <f t="shared" si="14"/>
        <v/>
      </c>
      <c r="Q190" s="19" t="str">
        <f t="shared" si="14"/>
        <v/>
      </c>
      <c r="R190" s="21"/>
      <c r="T190" s="21"/>
      <c r="W190" s="46"/>
      <c r="X190" s="92" t="s">
        <v>78</v>
      </c>
      <c r="Y190" s="92" t="s">
        <v>78</v>
      </c>
      <c r="Z190" s="92" t="s">
        <v>78</v>
      </c>
    </row>
    <row r="191" spans="1:26" ht="16" hidden="1" x14ac:dyDescent="0.4">
      <c r="A191">
        <v>939</v>
      </c>
      <c r="B191" s="92">
        <v>940</v>
      </c>
      <c r="E191">
        <v>50</v>
      </c>
      <c r="F191" s="92">
        <f>_xlfn.XLOOKUP(B191, DATA_Moresby_2024_ALL!B:B, DATA_Moresby_2024_ALL!G:G, "")</f>
        <v>0</v>
      </c>
      <c r="G191" s="93"/>
      <c r="H191" s="92">
        <v>8</v>
      </c>
      <c r="I191" s="92" t="str">
        <f t="shared" si="13"/>
        <v>X</v>
      </c>
      <c r="J191" s="79" t="str">
        <f>IF(G191="","X",_xlfn.XLOOKUP(B191,DATA_Moresby_2024_ALL!B:B,DATA_Moresby_2024_ALL!K:K,""))</f>
        <v>X</v>
      </c>
      <c r="K191" s="28"/>
      <c r="L191" s="29"/>
      <c r="M191" s="28"/>
      <c r="N191" s="19" t="str">
        <f t="shared" si="14"/>
        <v/>
      </c>
      <c r="O191" s="19" t="str">
        <f t="shared" si="14"/>
        <v/>
      </c>
      <c r="P191" s="19" t="str">
        <f t="shared" si="14"/>
        <v/>
      </c>
      <c r="Q191" s="19" t="str">
        <f t="shared" si="14"/>
        <v/>
      </c>
      <c r="R191" s="21"/>
      <c r="T191" s="21"/>
      <c r="W191" s="46"/>
      <c r="X191" s="92" t="s">
        <v>78</v>
      </c>
      <c r="Y191" s="92" t="s">
        <v>78</v>
      </c>
      <c r="Z191" s="92" t="s">
        <v>78</v>
      </c>
    </row>
    <row r="192" spans="1:26" ht="16" hidden="1" x14ac:dyDescent="0.4">
      <c r="A192">
        <v>944</v>
      </c>
      <c r="B192" s="92">
        <v>945</v>
      </c>
      <c r="E192">
        <v>50</v>
      </c>
      <c r="F192" s="92">
        <f>_xlfn.XLOOKUP(B192, DATA_Moresby_2024_ALL!B:B, DATA_Moresby_2024_ALL!G:G, "")</f>
        <v>0</v>
      </c>
      <c r="G192" s="93"/>
      <c r="H192" s="92">
        <v>8</v>
      </c>
      <c r="I192" s="92" t="str">
        <f t="shared" si="13"/>
        <v>X</v>
      </c>
      <c r="J192" s="79" t="str">
        <f>IF(G192="","X",_xlfn.XLOOKUP(B192,DATA_Moresby_2024_ALL!B:B,DATA_Moresby_2024_ALL!K:K,""))</f>
        <v>X</v>
      </c>
      <c r="K192" s="28"/>
      <c r="L192" s="29"/>
      <c r="M192" s="28"/>
      <c r="N192" s="19" t="str">
        <f t="shared" si="14"/>
        <v/>
      </c>
      <c r="O192" s="19" t="str">
        <f t="shared" si="14"/>
        <v/>
      </c>
      <c r="P192" s="19" t="str">
        <f t="shared" si="14"/>
        <v/>
      </c>
      <c r="Q192" s="19" t="str">
        <f t="shared" si="14"/>
        <v/>
      </c>
      <c r="R192" s="21"/>
      <c r="T192" s="21"/>
      <c r="W192" s="46"/>
      <c r="X192" s="92" t="s">
        <v>78</v>
      </c>
      <c r="Y192" s="92" t="s">
        <v>78</v>
      </c>
      <c r="Z192" s="92" t="s">
        <v>78</v>
      </c>
    </row>
    <row r="193" spans="1:26" ht="16" hidden="1" x14ac:dyDescent="0.4">
      <c r="A193">
        <v>949</v>
      </c>
      <c r="B193" s="92">
        <v>950</v>
      </c>
      <c r="E193">
        <v>50</v>
      </c>
      <c r="F193" s="92">
        <f>_xlfn.XLOOKUP(B193, DATA_Moresby_2024_ALL!B:B, DATA_Moresby_2024_ALL!G:G, "")</f>
        <v>0</v>
      </c>
      <c r="G193" s="93"/>
      <c r="H193" s="92">
        <v>8</v>
      </c>
      <c r="I193" s="92" t="str">
        <f t="shared" si="13"/>
        <v>X</v>
      </c>
      <c r="J193" s="79" t="str">
        <f>IF(G193="","X",_xlfn.XLOOKUP(B193,DATA_Moresby_2024_ALL!B:B,DATA_Moresby_2024_ALL!K:K,""))</f>
        <v>X</v>
      </c>
      <c r="K193" s="28"/>
      <c r="L193" s="29"/>
      <c r="M193" s="28"/>
      <c r="N193" s="19" t="str">
        <f t="shared" si="14"/>
        <v/>
      </c>
      <c r="O193" s="19" t="str">
        <f t="shared" si="14"/>
        <v/>
      </c>
      <c r="P193" s="19" t="str">
        <f t="shared" si="14"/>
        <v/>
      </c>
      <c r="Q193" s="19" t="str">
        <f t="shared" si="14"/>
        <v/>
      </c>
      <c r="R193" s="21"/>
      <c r="T193" s="21"/>
      <c r="W193" s="46"/>
      <c r="X193" s="92" t="s">
        <v>78</v>
      </c>
      <c r="Y193" s="92" t="s">
        <v>78</v>
      </c>
      <c r="Z193" s="92" t="s">
        <v>78</v>
      </c>
    </row>
    <row r="194" spans="1:26" ht="16" hidden="1" x14ac:dyDescent="0.4">
      <c r="A194">
        <v>954</v>
      </c>
      <c r="B194" s="92">
        <v>955</v>
      </c>
      <c r="E194">
        <v>50</v>
      </c>
      <c r="F194" s="92">
        <f>_xlfn.XLOOKUP(B194, DATA_Moresby_2024_ALL!B:B, DATA_Moresby_2024_ALL!G:G, "")</f>
        <v>0</v>
      </c>
      <c r="G194" s="93"/>
      <c r="H194" s="92">
        <v>8</v>
      </c>
      <c r="I194" s="92" t="str">
        <f t="shared" si="13"/>
        <v>X</v>
      </c>
      <c r="J194" s="79" t="str">
        <f>IF(G194="","X",_xlfn.XLOOKUP(B194,DATA_Moresby_2024_ALL!B:B,DATA_Moresby_2024_ALL!K:K,""))</f>
        <v>X</v>
      </c>
      <c r="K194" s="28"/>
      <c r="L194" s="29"/>
      <c r="M194" s="28"/>
      <c r="N194" s="19" t="str">
        <f t="shared" si="14"/>
        <v/>
      </c>
      <c r="O194" s="19" t="str">
        <f t="shared" si="14"/>
        <v/>
      </c>
      <c r="P194" s="19" t="str">
        <f t="shared" si="14"/>
        <v/>
      </c>
      <c r="Q194" s="19" t="str">
        <f t="shared" si="14"/>
        <v/>
      </c>
      <c r="R194" s="21"/>
      <c r="T194" s="21"/>
      <c r="W194" s="46"/>
      <c r="X194" s="92" t="s">
        <v>78</v>
      </c>
      <c r="Y194" s="92" t="s">
        <v>78</v>
      </c>
      <c r="Z194" s="92" t="s">
        <v>78</v>
      </c>
    </row>
    <row r="195" spans="1:26" ht="16" hidden="1" x14ac:dyDescent="0.4">
      <c r="A195">
        <v>959</v>
      </c>
      <c r="B195" s="92">
        <v>960</v>
      </c>
      <c r="E195">
        <v>50</v>
      </c>
      <c r="F195" s="92">
        <f>_xlfn.XLOOKUP(B195, DATA_Moresby_2024_ALL!B:B, DATA_Moresby_2024_ALL!G:G, "")</f>
        <v>0</v>
      </c>
      <c r="G195" s="93"/>
      <c r="H195" s="92">
        <v>8</v>
      </c>
      <c r="I195" s="92" t="str">
        <f t="shared" si="13"/>
        <v>X</v>
      </c>
      <c r="J195" s="79" t="str">
        <f>IF(G195="","X",_xlfn.XLOOKUP(B195,DATA_Moresby_2024_ALL!B:B,DATA_Moresby_2024_ALL!K:K,""))</f>
        <v>X</v>
      </c>
      <c r="K195" s="28"/>
      <c r="L195" s="29"/>
      <c r="M195" s="28"/>
      <c r="N195" s="19" t="str">
        <f t="shared" si="14"/>
        <v/>
      </c>
      <c r="O195" s="19" t="str">
        <f t="shared" si="14"/>
        <v/>
      </c>
      <c r="P195" s="19" t="str">
        <f t="shared" si="14"/>
        <v/>
      </c>
      <c r="Q195" s="19" t="str">
        <f t="shared" si="14"/>
        <v/>
      </c>
      <c r="R195" s="21"/>
      <c r="T195" s="21"/>
      <c r="W195" s="46"/>
      <c r="X195" s="92" t="s">
        <v>78</v>
      </c>
      <c r="Y195" s="92" t="s">
        <v>78</v>
      </c>
      <c r="Z195" s="92" t="s">
        <v>78</v>
      </c>
    </row>
    <row r="196" spans="1:26" ht="16" hidden="1" x14ac:dyDescent="0.4">
      <c r="A196">
        <v>964</v>
      </c>
      <c r="B196" s="92">
        <v>965</v>
      </c>
      <c r="E196">
        <v>50</v>
      </c>
      <c r="F196" s="92">
        <f>_xlfn.XLOOKUP(B196, DATA_Moresby_2024_ALL!B:B, DATA_Moresby_2024_ALL!G:G, "")</f>
        <v>0</v>
      </c>
      <c r="G196" s="93"/>
      <c r="H196" s="92">
        <v>8</v>
      </c>
      <c r="I196" s="92" t="str">
        <f t="shared" si="13"/>
        <v>X</v>
      </c>
      <c r="J196" s="79" t="str">
        <f>IF(G196="","X",_xlfn.XLOOKUP(B196,DATA_Moresby_2024_ALL!B:B,DATA_Moresby_2024_ALL!K:K,""))</f>
        <v>X</v>
      </c>
      <c r="K196" s="28"/>
      <c r="L196" s="29"/>
      <c r="M196" s="28"/>
      <c r="N196" s="19" t="str">
        <f t="shared" si="14"/>
        <v/>
      </c>
      <c r="O196" s="19" t="str">
        <f t="shared" si="14"/>
        <v/>
      </c>
      <c r="P196" s="19" t="str">
        <f t="shared" si="14"/>
        <v/>
      </c>
      <c r="Q196" s="19" t="str">
        <f t="shared" si="14"/>
        <v/>
      </c>
      <c r="R196" s="21"/>
      <c r="T196" s="21"/>
      <c r="W196" s="46"/>
      <c r="X196" s="92" t="s">
        <v>78</v>
      </c>
      <c r="Y196" s="92" t="s">
        <v>78</v>
      </c>
      <c r="Z196" s="92" t="s">
        <v>78</v>
      </c>
    </row>
    <row r="197" spans="1:26" ht="16" hidden="1" x14ac:dyDescent="0.4">
      <c r="A197">
        <v>969</v>
      </c>
      <c r="B197" s="92">
        <v>970</v>
      </c>
      <c r="E197">
        <v>50</v>
      </c>
      <c r="F197" s="92">
        <f>_xlfn.XLOOKUP(B197, DATA_Moresby_2024_ALL!B:B, DATA_Moresby_2024_ALL!G:G, "")</f>
        <v>0</v>
      </c>
      <c r="G197" s="93"/>
      <c r="H197" s="92">
        <v>8</v>
      </c>
      <c r="I197" s="92" t="str">
        <f t="shared" si="13"/>
        <v>X</v>
      </c>
      <c r="J197" s="79" t="str">
        <f>IF(G197="","X",_xlfn.XLOOKUP(B197,DATA_Moresby_2024_ALL!B:B,DATA_Moresby_2024_ALL!K:K,""))</f>
        <v>X</v>
      </c>
      <c r="K197" s="28"/>
      <c r="L197" s="29"/>
      <c r="M197" s="28"/>
      <c r="N197" s="19" t="str">
        <f t="shared" si="14"/>
        <v/>
      </c>
      <c r="O197" s="19" t="str">
        <f t="shared" si="14"/>
        <v/>
      </c>
      <c r="P197" s="19" t="str">
        <f t="shared" si="14"/>
        <v/>
      </c>
      <c r="Q197" s="19" t="str">
        <f t="shared" si="14"/>
        <v/>
      </c>
      <c r="R197" s="21"/>
      <c r="T197" s="21"/>
      <c r="W197" s="46"/>
      <c r="X197" s="92" t="s">
        <v>78</v>
      </c>
      <c r="Y197" s="92" t="s">
        <v>78</v>
      </c>
      <c r="Z197" s="92" t="s">
        <v>78</v>
      </c>
    </row>
    <row r="198" spans="1:26" ht="16" hidden="1" x14ac:dyDescent="0.4">
      <c r="A198">
        <v>974</v>
      </c>
      <c r="B198" s="92">
        <v>975</v>
      </c>
      <c r="E198">
        <v>50</v>
      </c>
      <c r="F198" s="92">
        <f>_xlfn.XLOOKUP(B198, DATA_Moresby_2024_ALL!B:B, DATA_Moresby_2024_ALL!G:G, "")</f>
        <v>0</v>
      </c>
      <c r="G198" s="93"/>
      <c r="H198" s="92">
        <v>8</v>
      </c>
      <c r="I198" s="92" t="str">
        <f t="shared" si="13"/>
        <v>X</v>
      </c>
      <c r="J198" s="79" t="str">
        <f>IF(G198="","X",_xlfn.XLOOKUP(B198,DATA_Moresby_2024_ALL!B:B,DATA_Moresby_2024_ALL!K:K,""))</f>
        <v>X</v>
      </c>
      <c r="K198" s="28"/>
      <c r="L198" s="29"/>
      <c r="M198" s="28"/>
      <c r="N198" s="19" t="str">
        <f t="shared" si="14"/>
        <v/>
      </c>
      <c r="O198" s="19" t="str">
        <f t="shared" si="14"/>
        <v/>
      </c>
      <c r="P198" s="19" t="str">
        <f t="shared" si="14"/>
        <v/>
      </c>
      <c r="Q198" s="19" t="str">
        <f t="shared" si="14"/>
        <v/>
      </c>
      <c r="R198" s="21"/>
      <c r="T198" s="21"/>
      <c r="W198" s="46"/>
      <c r="X198" s="92" t="s">
        <v>78</v>
      </c>
      <c r="Y198" s="92" t="s">
        <v>78</v>
      </c>
      <c r="Z198" s="92" t="s">
        <v>78</v>
      </c>
    </row>
    <row r="199" spans="1:26" ht="16" hidden="1" x14ac:dyDescent="0.4">
      <c r="A199">
        <v>979</v>
      </c>
      <c r="B199" s="92">
        <v>980</v>
      </c>
      <c r="E199">
        <v>50</v>
      </c>
      <c r="F199" s="92">
        <f>_xlfn.XLOOKUP(B199, DATA_Moresby_2024_ALL!B:B, DATA_Moresby_2024_ALL!G:G, "")</f>
        <v>0</v>
      </c>
      <c r="G199" s="93"/>
      <c r="H199" s="92">
        <v>8</v>
      </c>
      <c r="I199" s="92" t="str">
        <f t="shared" si="13"/>
        <v>X</v>
      </c>
      <c r="J199" s="79" t="str">
        <f>IF(G199="","X",_xlfn.XLOOKUP(B199,DATA_Moresby_2024_ALL!B:B,DATA_Moresby_2024_ALL!K:K,""))</f>
        <v>X</v>
      </c>
      <c r="K199" s="28"/>
      <c r="L199" s="29"/>
      <c r="M199" s="28"/>
      <c r="N199" s="19" t="str">
        <f t="shared" si="14"/>
        <v/>
      </c>
      <c r="O199" s="19" t="str">
        <f t="shared" si="14"/>
        <v/>
      </c>
      <c r="P199" s="19" t="str">
        <f t="shared" si="14"/>
        <v/>
      </c>
      <c r="Q199" s="19" t="str">
        <f t="shared" si="14"/>
        <v/>
      </c>
      <c r="R199" s="21"/>
      <c r="T199" s="21"/>
      <c r="W199" s="46"/>
      <c r="X199" s="92" t="s">
        <v>78</v>
      </c>
      <c r="Y199" s="92" t="s">
        <v>78</v>
      </c>
      <c r="Z199" s="92" t="s">
        <v>78</v>
      </c>
    </row>
    <row r="200" spans="1:26" ht="16" hidden="1" x14ac:dyDescent="0.4">
      <c r="A200" s="92">
        <v>984</v>
      </c>
      <c r="B200" s="92">
        <v>985</v>
      </c>
      <c r="E200" s="92">
        <v>50</v>
      </c>
      <c r="F200" s="92">
        <f>_xlfn.XLOOKUP(B200, DATA_Moresby_2024_ALL!B:B, DATA_Moresby_2024_ALL!G:G, "")</f>
        <v>0</v>
      </c>
      <c r="G200" s="93"/>
      <c r="H200" s="92">
        <v>8</v>
      </c>
      <c r="I200" s="92" t="str">
        <f t="shared" si="13"/>
        <v>X</v>
      </c>
      <c r="J200" s="79" t="str">
        <f>IF(G200="","X",_xlfn.XLOOKUP(B200,DATA_Moresby_2024_ALL!B:B,DATA_Moresby_2024_ALL!K:K,""))</f>
        <v>X</v>
      </c>
      <c r="K200" s="28"/>
      <c r="L200" s="29"/>
      <c r="M200" s="28"/>
      <c r="N200" s="19" t="str">
        <f t="shared" si="14"/>
        <v/>
      </c>
      <c r="O200" s="19" t="str">
        <f t="shared" si="14"/>
        <v/>
      </c>
      <c r="P200" s="19" t="str">
        <f t="shared" si="14"/>
        <v/>
      </c>
      <c r="Q200" s="19" t="str">
        <f t="shared" si="14"/>
        <v/>
      </c>
      <c r="R200" s="21"/>
      <c r="T200" s="21"/>
      <c r="W200" s="46"/>
      <c r="X200" s="92" t="s">
        <v>78</v>
      </c>
      <c r="Y200" s="92" t="s">
        <v>78</v>
      </c>
      <c r="Z200" s="92" t="s">
        <v>78</v>
      </c>
    </row>
    <row r="201" spans="1:26" ht="16" hidden="1" x14ac:dyDescent="0.4">
      <c r="A201" s="92">
        <v>989</v>
      </c>
      <c r="B201" s="92">
        <v>990</v>
      </c>
      <c r="E201" s="92">
        <v>50</v>
      </c>
      <c r="F201" s="92">
        <f>_xlfn.XLOOKUP(B201, DATA_Moresby_2024_ALL!B:B, DATA_Moresby_2024_ALL!G:G, "")</f>
        <v>0</v>
      </c>
      <c r="G201" s="93"/>
      <c r="H201" s="92">
        <v>8</v>
      </c>
      <c r="I201" s="92" t="str">
        <f t="shared" si="13"/>
        <v>X</v>
      </c>
      <c r="J201" s="79" t="str">
        <f>IF(G201="","X",_xlfn.XLOOKUP(B201,DATA_Moresby_2024_ALL!B:B,DATA_Moresby_2024_ALL!K:K,""))</f>
        <v>X</v>
      </c>
      <c r="K201" s="28"/>
      <c r="L201" s="29"/>
      <c r="M201" s="28"/>
      <c r="N201" s="19" t="str">
        <f t="shared" si="14"/>
        <v/>
      </c>
      <c r="O201" s="19" t="str">
        <f t="shared" si="14"/>
        <v/>
      </c>
      <c r="P201" s="19" t="str">
        <f t="shared" si="14"/>
        <v/>
      </c>
      <c r="Q201" s="19" t="str">
        <f t="shared" si="14"/>
        <v/>
      </c>
      <c r="R201" s="21"/>
      <c r="T201" s="21"/>
      <c r="W201" s="46"/>
      <c r="X201" s="92" t="s">
        <v>78</v>
      </c>
      <c r="Y201" s="92" t="s">
        <v>78</v>
      </c>
      <c r="Z201" s="92" t="s">
        <v>78</v>
      </c>
    </row>
    <row r="202" spans="1:26" ht="16" hidden="1" x14ac:dyDescent="0.4">
      <c r="A202" s="92">
        <v>994</v>
      </c>
      <c r="B202" s="92">
        <v>995</v>
      </c>
      <c r="E202" s="92">
        <v>50</v>
      </c>
      <c r="F202" s="92">
        <f>_xlfn.XLOOKUP(B202, DATA_Moresby_2024_ALL!B:B, DATA_Moresby_2024_ALL!G:G, "")</f>
        <v>0</v>
      </c>
      <c r="G202" s="93"/>
      <c r="H202" s="92">
        <v>8</v>
      </c>
      <c r="I202" s="92" t="str">
        <f t="shared" si="13"/>
        <v>X</v>
      </c>
      <c r="J202" s="79" t="str">
        <f>IF(G202="","X",_xlfn.XLOOKUP(B202,DATA_Moresby_2024_ALL!B:B,DATA_Moresby_2024_ALL!K:K,""))</f>
        <v>X</v>
      </c>
      <c r="K202" s="28"/>
      <c r="L202" s="29"/>
      <c r="M202" s="28"/>
      <c r="N202" s="19" t="str">
        <f t="shared" si="14"/>
        <v/>
      </c>
      <c r="O202" s="19" t="str">
        <f t="shared" si="14"/>
        <v/>
      </c>
      <c r="P202" s="19" t="str">
        <f t="shared" si="14"/>
        <v/>
      </c>
      <c r="Q202" s="19" t="str">
        <f t="shared" si="14"/>
        <v/>
      </c>
      <c r="R202" s="21"/>
      <c r="T202" s="21"/>
      <c r="W202" s="46"/>
      <c r="X202" s="92" t="s">
        <v>78</v>
      </c>
      <c r="Y202" s="92" t="s">
        <v>78</v>
      </c>
      <c r="Z202" s="92" t="s">
        <v>78</v>
      </c>
    </row>
    <row r="203" spans="1:26" ht="16" hidden="1" x14ac:dyDescent="0.4">
      <c r="A203" s="92">
        <v>999</v>
      </c>
      <c r="B203" s="92">
        <v>1000</v>
      </c>
      <c r="E203" s="92">
        <v>50</v>
      </c>
      <c r="F203" s="92">
        <f>_xlfn.XLOOKUP(B203, DATA_Moresby_2024_ALL!B:B, DATA_Moresby_2024_ALL!G:G, "")</f>
        <v>0</v>
      </c>
      <c r="G203" s="93"/>
      <c r="H203" s="92">
        <v>8</v>
      </c>
      <c r="I203" s="92" t="str">
        <f t="shared" si="13"/>
        <v>X</v>
      </c>
      <c r="J203" s="79" t="str">
        <f>IF(G203="","X",_xlfn.XLOOKUP(B203,DATA_Moresby_2024_ALL!B:B,DATA_Moresby_2024_ALL!K:K,""))</f>
        <v>X</v>
      </c>
      <c r="K203" s="28"/>
      <c r="L203" s="29"/>
      <c r="M203" s="28"/>
      <c r="N203" s="19" t="str">
        <f t="shared" si="14"/>
        <v/>
      </c>
      <c r="O203" s="19" t="str">
        <f t="shared" si="14"/>
        <v/>
      </c>
      <c r="P203" s="19" t="str">
        <f t="shared" si="14"/>
        <v/>
      </c>
      <c r="Q203" s="19" t="str">
        <f t="shared" si="14"/>
        <v/>
      </c>
      <c r="R203" s="21"/>
      <c r="T203" s="21"/>
      <c r="W203" s="46"/>
      <c r="X203" s="92" t="s">
        <v>78</v>
      </c>
      <c r="Y203" s="92" t="s">
        <v>78</v>
      </c>
      <c r="Z203" s="92" t="s">
        <v>78</v>
      </c>
    </row>
    <row r="204" spans="1:26" ht="16" hidden="1" x14ac:dyDescent="0.4">
      <c r="A204" s="92">
        <v>1004</v>
      </c>
      <c r="B204" s="92">
        <v>1005</v>
      </c>
      <c r="E204" s="92">
        <v>50</v>
      </c>
      <c r="F204" s="92">
        <f>_xlfn.XLOOKUP(B204, DATA_Moresby_2024_ALL!B:B, DATA_Moresby_2024_ALL!G:G, "")</f>
        <v>0</v>
      </c>
      <c r="G204" s="93"/>
      <c r="H204" s="92">
        <v>8</v>
      </c>
      <c r="I204" s="92" t="str">
        <f t="shared" si="13"/>
        <v>X</v>
      </c>
      <c r="J204" s="79" t="str">
        <f>IF(G204="","X",_xlfn.XLOOKUP(B204,DATA_Moresby_2024_ALL!B:B,DATA_Moresby_2024_ALL!K:K,""))</f>
        <v>X</v>
      </c>
      <c r="K204" s="28"/>
      <c r="L204" s="29"/>
      <c r="M204" s="28"/>
      <c r="N204" s="19" t="str">
        <f t="shared" si="14"/>
        <v/>
      </c>
      <c r="O204" s="19" t="str">
        <f t="shared" si="14"/>
        <v/>
      </c>
      <c r="P204" s="19" t="str">
        <f t="shared" si="14"/>
        <v/>
      </c>
      <c r="Q204" s="19" t="str">
        <f t="shared" si="14"/>
        <v/>
      </c>
      <c r="R204" s="21"/>
      <c r="T204" s="21"/>
      <c r="W204" s="46"/>
      <c r="X204" s="92" t="s">
        <v>78</v>
      </c>
      <c r="Y204" s="92" t="s">
        <v>78</v>
      </c>
      <c r="Z204" s="92" t="s">
        <v>78</v>
      </c>
    </row>
    <row r="205" spans="1:26" ht="16" hidden="1" x14ac:dyDescent="0.4">
      <c r="A205" s="92">
        <v>1009</v>
      </c>
      <c r="B205" s="92">
        <v>1010</v>
      </c>
      <c r="E205" s="92">
        <v>50</v>
      </c>
      <c r="F205" s="92">
        <f>_xlfn.XLOOKUP(B205, DATA_Moresby_2024_ALL!B:B, DATA_Moresby_2024_ALL!G:G, "")</f>
        <v>0</v>
      </c>
      <c r="G205" s="93"/>
      <c r="H205" s="92">
        <v>8</v>
      </c>
      <c r="I205" s="92" t="str">
        <f t="shared" si="13"/>
        <v>X</v>
      </c>
      <c r="J205" s="79" t="str">
        <f>IF(G205="","X",_xlfn.XLOOKUP(B205,DATA_Moresby_2024_ALL!B:B,DATA_Moresby_2024_ALL!K:K,""))</f>
        <v>X</v>
      </c>
      <c r="K205" s="28"/>
      <c r="L205" s="29"/>
      <c r="M205" s="28"/>
      <c r="N205" s="19" t="str">
        <f t="shared" si="14"/>
        <v/>
      </c>
      <c r="O205" s="19" t="str">
        <f t="shared" si="14"/>
        <v/>
      </c>
      <c r="P205" s="19" t="str">
        <f t="shared" si="14"/>
        <v/>
      </c>
      <c r="Q205" s="19" t="str">
        <f t="shared" si="14"/>
        <v/>
      </c>
      <c r="R205" s="21"/>
      <c r="T205" s="21"/>
      <c r="W205" s="46"/>
      <c r="X205" s="92" t="s">
        <v>78</v>
      </c>
      <c r="Y205" s="92" t="s">
        <v>78</v>
      </c>
      <c r="Z205" s="92" t="s">
        <v>78</v>
      </c>
    </row>
    <row r="206" spans="1:26" ht="16" hidden="1" x14ac:dyDescent="0.4">
      <c r="A206" s="92">
        <v>1014</v>
      </c>
      <c r="B206" s="92">
        <v>1015</v>
      </c>
      <c r="E206" s="92">
        <v>50</v>
      </c>
      <c r="F206" s="92">
        <f>_xlfn.XLOOKUP(B206, DATA_Moresby_2024_ALL!B:B, DATA_Moresby_2024_ALL!G:G, "")</f>
        <v>0</v>
      </c>
      <c r="G206" s="93"/>
      <c r="H206" s="92">
        <v>8</v>
      </c>
      <c r="I206" s="92" t="str">
        <f t="shared" si="13"/>
        <v>X</v>
      </c>
      <c r="J206" s="79" t="str">
        <f>IF(G206="","X",_xlfn.XLOOKUP(B206,DATA_Moresby_2024_ALL!B:B,DATA_Moresby_2024_ALL!K:K,""))</f>
        <v>X</v>
      </c>
      <c r="K206" s="28"/>
      <c r="L206" s="29"/>
      <c r="M206" s="28"/>
      <c r="N206" s="19" t="str">
        <f t="shared" si="14"/>
        <v/>
      </c>
      <c r="O206" s="19" t="str">
        <f t="shared" si="14"/>
        <v/>
      </c>
      <c r="P206" s="19" t="str">
        <f t="shared" si="14"/>
        <v/>
      </c>
      <c r="Q206" s="19" t="str">
        <f t="shared" si="14"/>
        <v/>
      </c>
      <c r="R206" s="21"/>
      <c r="T206" s="21"/>
      <c r="W206" s="46"/>
      <c r="X206" s="92" t="s">
        <v>78</v>
      </c>
      <c r="Y206" s="92" t="s">
        <v>78</v>
      </c>
      <c r="Z206" s="92" t="s">
        <v>78</v>
      </c>
    </row>
    <row r="207" spans="1:26" ht="16" hidden="1" x14ac:dyDescent="0.4">
      <c r="A207" s="92">
        <v>1019</v>
      </c>
      <c r="B207" s="92">
        <v>1020</v>
      </c>
      <c r="E207" s="92">
        <v>50</v>
      </c>
      <c r="F207" s="92">
        <f>_xlfn.XLOOKUP(B207, DATA_Moresby_2024_ALL!B:B, DATA_Moresby_2024_ALL!G:G, "")</f>
        <v>0</v>
      </c>
      <c r="G207" s="93"/>
      <c r="H207" s="92">
        <v>8</v>
      </c>
      <c r="I207" s="92" t="str">
        <f t="shared" si="13"/>
        <v>X</v>
      </c>
      <c r="J207" s="79" t="str">
        <f>IF(G207="","X",_xlfn.XLOOKUP(B207,DATA_Moresby_2024_ALL!B:B,DATA_Moresby_2024_ALL!K:K,""))</f>
        <v>X</v>
      </c>
      <c r="K207" s="28"/>
      <c r="L207" s="29"/>
      <c r="M207" s="28"/>
      <c r="N207" s="19" t="str">
        <f t="shared" si="14"/>
        <v/>
      </c>
      <c r="O207" s="19" t="str">
        <f t="shared" si="14"/>
        <v/>
      </c>
      <c r="P207" s="19" t="str">
        <f t="shared" si="14"/>
        <v/>
      </c>
      <c r="Q207" s="19" t="str">
        <f t="shared" si="14"/>
        <v/>
      </c>
      <c r="R207" s="21"/>
      <c r="T207" s="21"/>
      <c r="W207" s="46"/>
      <c r="X207" s="92" t="s">
        <v>78</v>
      </c>
      <c r="Y207" s="92" t="s">
        <v>78</v>
      </c>
      <c r="Z207" s="92" t="s">
        <v>78</v>
      </c>
    </row>
    <row r="208" spans="1:26" ht="16" hidden="1" x14ac:dyDescent="0.4">
      <c r="A208" s="92">
        <v>1024</v>
      </c>
      <c r="B208" s="92">
        <v>1025</v>
      </c>
      <c r="E208" s="92">
        <v>50</v>
      </c>
      <c r="F208" s="92">
        <f>_xlfn.XLOOKUP(B208, DATA_Moresby_2024_ALL!B:B, DATA_Moresby_2024_ALL!G:G, "")</f>
        <v>0</v>
      </c>
      <c r="G208" s="93"/>
      <c r="H208" s="92">
        <v>8</v>
      </c>
      <c r="I208" s="92" t="str">
        <f t="shared" si="13"/>
        <v>X</v>
      </c>
      <c r="J208" s="79" t="str">
        <f>IF(G208="","X",_xlfn.XLOOKUP(B208,DATA_Moresby_2024_ALL!B:B,DATA_Moresby_2024_ALL!K:K,""))</f>
        <v>X</v>
      </c>
      <c r="K208" s="28"/>
      <c r="L208" s="29"/>
      <c r="M208" s="28"/>
      <c r="N208" s="19" t="str">
        <f t="shared" si="14"/>
        <v/>
      </c>
      <c r="O208" s="19" t="str">
        <f t="shared" si="14"/>
        <v/>
      </c>
      <c r="P208" s="19" t="str">
        <f t="shared" si="14"/>
        <v/>
      </c>
      <c r="Q208" s="19" t="str">
        <f t="shared" si="14"/>
        <v/>
      </c>
      <c r="R208" s="21"/>
      <c r="T208" s="21"/>
      <c r="W208" s="46"/>
      <c r="X208" s="92" t="s">
        <v>78</v>
      </c>
      <c r="Y208" s="92" t="s">
        <v>78</v>
      </c>
      <c r="Z208" s="92" t="s">
        <v>78</v>
      </c>
    </row>
    <row r="209" spans="1:26" ht="16" hidden="1" x14ac:dyDescent="0.4">
      <c r="A209" s="92">
        <v>1029</v>
      </c>
      <c r="B209" s="92">
        <v>1030</v>
      </c>
      <c r="E209" s="92">
        <v>50</v>
      </c>
      <c r="F209" s="92">
        <f>_xlfn.XLOOKUP(B209, DATA_Moresby_2024_ALL!B:B, DATA_Moresby_2024_ALL!G:G, "")</f>
        <v>0</v>
      </c>
      <c r="G209" s="93"/>
      <c r="H209" s="92">
        <v>8</v>
      </c>
      <c r="I209" s="92" t="str">
        <f t="shared" si="13"/>
        <v>X</v>
      </c>
      <c r="J209" s="79" t="str">
        <f>IF(G209="","X",_xlfn.XLOOKUP(B209,DATA_Moresby_2024_ALL!B:B,DATA_Moresby_2024_ALL!K:K,""))</f>
        <v>X</v>
      </c>
      <c r="K209" s="28"/>
      <c r="L209" s="29"/>
      <c r="M209" s="28"/>
      <c r="N209" s="19" t="str">
        <f t="shared" si="14"/>
        <v/>
      </c>
      <c r="O209" s="19" t="str">
        <f t="shared" si="14"/>
        <v/>
      </c>
      <c r="P209" s="19" t="str">
        <f t="shared" si="14"/>
        <v/>
      </c>
      <c r="Q209" s="19" t="str">
        <f t="shared" si="14"/>
        <v/>
      </c>
      <c r="R209" s="21"/>
      <c r="T209" s="21"/>
      <c r="W209" s="46"/>
      <c r="X209" s="92" t="s">
        <v>78</v>
      </c>
      <c r="Y209" s="92" t="s">
        <v>78</v>
      </c>
      <c r="Z209" s="92" t="s">
        <v>78</v>
      </c>
    </row>
    <row r="210" spans="1:26" ht="16" hidden="1" x14ac:dyDescent="0.4">
      <c r="A210" s="92">
        <v>1034</v>
      </c>
      <c r="B210" s="92">
        <v>1035</v>
      </c>
      <c r="E210" s="92">
        <v>50</v>
      </c>
      <c r="F210" s="92">
        <f>_xlfn.XLOOKUP(B210, DATA_Moresby_2024_ALL!B:B, DATA_Moresby_2024_ALL!G:G, "")</f>
        <v>0</v>
      </c>
      <c r="G210" s="93"/>
      <c r="H210" s="92">
        <v>8</v>
      </c>
      <c r="I210" s="92" t="str">
        <f t="shared" si="13"/>
        <v>X</v>
      </c>
      <c r="J210" s="79" t="str">
        <f>IF(G210="","X",_xlfn.XLOOKUP(B210,DATA_Moresby_2024_ALL!B:B,DATA_Moresby_2024_ALL!K:K,""))</f>
        <v>X</v>
      </c>
      <c r="K210" s="28"/>
      <c r="L210" s="29"/>
      <c r="M210" s="28"/>
      <c r="N210" s="19" t="str">
        <f t="shared" si="14"/>
        <v/>
      </c>
      <c r="O210" s="19" t="str">
        <f t="shared" si="14"/>
        <v/>
      </c>
      <c r="P210" s="19" t="str">
        <f t="shared" si="14"/>
        <v/>
      </c>
      <c r="Q210" s="19" t="str">
        <f t="shared" si="14"/>
        <v/>
      </c>
      <c r="R210" s="21"/>
      <c r="T210" s="21"/>
      <c r="W210" s="46"/>
      <c r="X210" s="92" t="s">
        <v>78</v>
      </c>
      <c r="Y210" s="92" t="s">
        <v>78</v>
      </c>
      <c r="Z210" s="92" t="s">
        <v>78</v>
      </c>
    </row>
    <row r="211" spans="1:26" ht="16" hidden="1" x14ac:dyDescent="0.4">
      <c r="A211" s="92">
        <v>1039</v>
      </c>
      <c r="B211" s="92">
        <v>1040</v>
      </c>
      <c r="E211" s="92">
        <v>50</v>
      </c>
      <c r="F211" s="92">
        <f>_xlfn.XLOOKUP(B211, DATA_Moresby_2024_ALL!B:B, DATA_Moresby_2024_ALL!G:G, "")</f>
        <v>0</v>
      </c>
      <c r="G211" s="93"/>
      <c r="H211" s="92">
        <v>8</v>
      </c>
      <c r="I211" s="92" t="str">
        <f t="shared" ref="I211:I274" si="15">IF(G211="","X","")</f>
        <v>X</v>
      </c>
      <c r="J211" s="79" t="str">
        <f>IF(G211="","X",_xlfn.XLOOKUP(B211,DATA_Moresby_2024_ALL!B:B,DATA_Moresby_2024_ALL!K:K,""))</f>
        <v>X</v>
      </c>
      <c r="K211" s="28"/>
      <c r="L211" s="29"/>
      <c r="M211" s="28"/>
      <c r="N211" s="19" t="str">
        <f t="shared" si="14"/>
        <v/>
      </c>
      <c r="O211" s="19" t="str">
        <f t="shared" si="14"/>
        <v/>
      </c>
      <c r="P211" s="19" t="str">
        <f t="shared" si="14"/>
        <v/>
      </c>
      <c r="Q211" s="19" t="str">
        <f t="shared" si="14"/>
        <v/>
      </c>
      <c r="R211" s="21"/>
      <c r="T211" s="21"/>
      <c r="W211" s="46"/>
      <c r="X211" s="92" t="s">
        <v>78</v>
      </c>
      <c r="Y211" s="92" t="s">
        <v>78</v>
      </c>
      <c r="Z211" s="92" t="s">
        <v>78</v>
      </c>
    </row>
    <row r="212" spans="1:26" ht="16" hidden="1" x14ac:dyDescent="0.4">
      <c r="A212" s="92">
        <v>1044</v>
      </c>
      <c r="B212" s="92">
        <v>1045</v>
      </c>
      <c r="E212" s="92">
        <v>50</v>
      </c>
      <c r="F212" s="92">
        <f>_xlfn.XLOOKUP(B212, DATA_Moresby_2024_ALL!B:B, DATA_Moresby_2024_ALL!G:G, "")</f>
        <v>0</v>
      </c>
      <c r="G212" s="93"/>
      <c r="H212" s="92">
        <v>8</v>
      </c>
      <c r="I212" s="92" t="str">
        <f t="shared" si="15"/>
        <v>X</v>
      </c>
      <c r="J212" s="79" t="str">
        <f>IF(G212="","X",_xlfn.XLOOKUP(B212,DATA_Moresby_2024_ALL!B:B,DATA_Moresby_2024_ALL!K:K,""))</f>
        <v>X</v>
      </c>
      <c r="K212" s="28"/>
      <c r="L212" s="29"/>
      <c r="M212" s="28"/>
      <c r="N212" s="19" t="str">
        <f t="shared" si="14"/>
        <v/>
      </c>
      <c r="O212" s="19" t="str">
        <f t="shared" si="14"/>
        <v/>
      </c>
      <c r="P212" s="19" t="str">
        <f t="shared" si="14"/>
        <v/>
      </c>
      <c r="Q212" s="19" t="str">
        <f t="shared" si="14"/>
        <v/>
      </c>
      <c r="R212" s="21"/>
      <c r="T212" s="21"/>
      <c r="W212" s="46"/>
      <c r="X212" s="92" t="s">
        <v>78</v>
      </c>
      <c r="Y212" s="92" t="s">
        <v>78</v>
      </c>
      <c r="Z212" s="92" t="s">
        <v>78</v>
      </c>
    </row>
    <row r="213" spans="1:26" ht="16" hidden="1" x14ac:dyDescent="0.4">
      <c r="A213" s="92">
        <v>1049</v>
      </c>
      <c r="B213" s="92">
        <v>1050</v>
      </c>
      <c r="E213" s="92">
        <v>50</v>
      </c>
      <c r="F213" s="92">
        <f>_xlfn.XLOOKUP(B213, DATA_Moresby_2024_ALL!B:B, DATA_Moresby_2024_ALL!G:G, "")</f>
        <v>0</v>
      </c>
      <c r="G213" s="93"/>
      <c r="H213" s="92">
        <v>8</v>
      </c>
      <c r="I213" s="92" t="str">
        <f t="shared" si="15"/>
        <v>X</v>
      </c>
      <c r="J213" s="79" t="str">
        <f>IF(G213="","X",_xlfn.XLOOKUP(B213,DATA_Moresby_2024_ALL!B:B,DATA_Moresby_2024_ALL!K:K,""))</f>
        <v>X</v>
      </c>
      <c r="K213" s="28"/>
      <c r="L213" s="29"/>
      <c r="M213" s="28"/>
      <c r="N213" s="19" t="str">
        <f t="shared" si="14"/>
        <v/>
      </c>
      <c r="O213" s="19" t="str">
        <f t="shared" si="14"/>
        <v/>
      </c>
      <c r="P213" s="19" t="str">
        <f t="shared" si="14"/>
        <v/>
      </c>
      <c r="Q213" s="19" t="str">
        <f t="shared" si="14"/>
        <v/>
      </c>
      <c r="R213" s="21"/>
      <c r="T213" s="21"/>
      <c r="W213" s="46"/>
      <c r="X213" s="92" t="s">
        <v>78</v>
      </c>
      <c r="Y213" s="92" t="s">
        <v>78</v>
      </c>
      <c r="Z213" s="92" t="s">
        <v>78</v>
      </c>
    </row>
    <row r="214" spans="1:26" ht="16" hidden="1" x14ac:dyDescent="0.4">
      <c r="A214" s="92">
        <v>1054</v>
      </c>
      <c r="B214" s="92">
        <v>1055</v>
      </c>
      <c r="E214" s="92">
        <v>50</v>
      </c>
      <c r="F214" s="92">
        <f>_xlfn.XLOOKUP(B214, DATA_Moresby_2024_ALL!B:B, DATA_Moresby_2024_ALL!G:G, "")</f>
        <v>0</v>
      </c>
      <c r="G214" s="93"/>
      <c r="H214" s="92">
        <v>8</v>
      </c>
      <c r="I214" s="92" t="str">
        <f t="shared" si="15"/>
        <v>X</v>
      </c>
      <c r="J214" s="79" t="str">
        <f>IF(G214="","X",_xlfn.XLOOKUP(B214,DATA_Moresby_2024_ALL!B:B,DATA_Moresby_2024_ALL!K:K,""))</f>
        <v>X</v>
      </c>
      <c r="K214" s="28"/>
      <c r="L214" s="29"/>
      <c r="M214" s="28"/>
      <c r="N214" s="19" t="str">
        <f t="shared" si="14"/>
        <v/>
      </c>
      <c r="O214" s="19" t="str">
        <f t="shared" si="14"/>
        <v/>
      </c>
      <c r="P214" s="19" t="str">
        <f t="shared" si="14"/>
        <v/>
      </c>
      <c r="Q214" s="19" t="str">
        <f t="shared" si="14"/>
        <v/>
      </c>
      <c r="R214" s="21"/>
      <c r="T214" s="21"/>
      <c r="W214" s="46"/>
      <c r="X214" s="92" t="s">
        <v>78</v>
      </c>
      <c r="Y214" s="92" t="s">
        <v>78</v>
      </c>
      <c r="Z214" s="92" t="s">
        <v>78</v>
      </c>
    </row>
    <row r="215" spans="1:26" ht="16" hidden="1" x14ac:dyDescent="0.4">
      <c r="A215" s="92">
        <v>1059</v>
      </c>
      <c r="B215" s="92">
        <v>1060</v>
      </c>
      <c r="E215" s="92">
        <v>50</v>
      </c>
      <c r="F215" s="92">
        <f>_xlfn.XLOOKUP(B215, DATA_Moresby_2024_ALL!B:B, DATA_Moresby_2024_ALL!G:G, "")</f>
        <v>0</v>
      </c>
      <c r="G215" s="93"/>
      <c r="H215" s="92">
        <v>8</v>
      </c>
      <c r="I215" s="92" t="str">
        <f t="shared" si="15"/>
        <v>X</v>
      </c>
      <c r="J215" s="79" t="str">
        <f>IF(G215="","X",_xlfn.XLOOKUP(B215,DATA_Moresby_2024_ALL!B:B,DATA_Moresby_2024_ALL!K:K,""))</f>
        <v>X</v>
      </c>
      <c r="K215" s="28"/>
      <c r="L215" s="29"/>
      <c r="M215" s="28"/>
      <c r="N215" s="19" t="str">
        <f t="shared" si="14"/>
        <v/>
      </c>
      <c r="O215" s="19" t="str">
        <f t="shared" si="14"/>
        <v/>
      </c>
      <c r="P215" s="19" t="str">
        <f t="shared" si="14"/>
        <v/>
      </c>
      <c r="Q215" s="19" t="str">
        <f t="shared" si="14"/>
        <v/>
      </c>
      <c r="R215" s="21"/>
      <c r="T215" s="21"/>
      <c r="W215" s="46"/>
      <c r="X215" s="92" t="s">
        <v>78</v>
      </c>
      <c r="Y215" s="92" t="s">
        <v>78</v>
      </c>
      <c r="Z215" s="92" t="s">
        <v>78</v>
      </c>
    </row>
    <row r="216" spans="1:26" ht="16" hidden="1" x14ac:dyDescent="0.4">
      <c r="A216" s="92">
        <v>1064</v>
      </c>
      <c r="B216" s="92">
        <v>1065</v>
      </c>
      <c r="E216" s="92">
        <v>50</v>
      </c>
      <c r="F216" s="92">
        <f>_xlfn.XLOOKUP(B216, DATA_Moresby_2024_ALL!B:B, DATA_Moresby_2024_ALL!G:G, "")</f>
        <v>0</v>
      </c>
      <c r="G216" s="93"/>
      <c r="H216" s="92">
        <v>8</v>
      </c>
      <c r="I216" s="92" t="str">
        <f t="shared" si="15"/>
        <v>X</v>
      </c>
      <c r="J216" s="79" t="str">
        <f>IF(G216="","X",_xlfn.XLOOKUP(B216,DATA_Moresby_2024_ALL!B:B,DATA_Moresby_2024_ALL!K:K,""))</f>
        <v>X</v>
      </c>
      <c r="K216" s="28"/>
      <c r="L216" s="29"/>
      <c r="M216" s="28"/>
      <c r="N216" s="19" t="str">
        <f t="shared" si="14"/>
        <v/>
      </c>
      <c r="O216" s="19" t="str">
        <f t="shared" si="14"/>
        <v/>
      </c>
      <c r="P216" s="19" t="str">
        <f t="shared" si="14"/>
        <v/>
      </c>
      <c r="Q216" s="19" t="str">
        <f t="shared" si="14"/>
        <v/>
      </c>
      <c r="R216" s="21"/>
      <c r="T216" s="21"/>
      <c r="W216" s="46"/>
      <c r="X216" s="92" t="s">
        <v>78</v>
      </c>
      <c r="Y216" s="92" t="s">
        <v>78</v>
      </c>
      <c r="Z216" s="92" t="s">
        <v>78</v>
      </c>
    </row>
    <row r="217" spans="1:26" ht="16" hidden="1" x14ac:dyDescent="0.4">
      <c r="A217" s="92">
        <v>1069</v>
      </c>
      <c r="B217" s="92">
        <v>1070</v>
      </c>
      <c r="E217" s="92">
        <v>50</v>
      </c>
      <c r="F217" s="92">
        <f>_xlfn.XLOOKUP(B217, DATA_Moresby_2024_ALL!B:B, DATA_Moresby_2024_ALL!G:G, "")</f>
        <v>0</v>
      </c>
      <c r="G217" s="93"/>
      <c r="H217" s="92">
        <v>8</v>
      </c>
      <c r="I217" s="92" t="str">
        <f t="shared" si="15"/>
        <v>X</v>
      </c>
      <c r="J217" s="79" t="str">
        <f>IF(G217="","X",_xlfn.XLOOKUP(B217,DATA_Moresby_2024_ALL!B:B,DATA_Moresby_2024_ALL!K:K,""))</f>
        <v>X</v>
      </c>
      <c r="K217" s="28"/>
      <c r="L217" s="29"/>
      <c r="M217" s="28"/>
      <c r="N217" s="19" t="str">
        <f t="shared" si="14"/>
        <v/>
      </c>
      <c r="O217" s="19" t="str">
        <f t="shared" si="14"/>
        <v/>
      </c>
      <c r="P217" s="19" t="str">
        <f t="shared" si="14"/>
        <v/>
      </c>
      <c r="Q217" s="19" t="str">
        <f t="shared" si="14"/>
        <v/>
      </c>
      <c r="R217" s="21"/>
      <c r="T217" s="21"/>
      <c r="W217" s="46"/>
      <c r="X217" s="92" t="s">
        <v>78</v>
      </c>
      <c r="Y217" s="92" t="s">
        <v>78</v>
      </c>
      <c r="Z217" s="92" t="s">
        <v>78</v>
      </c>
    </row>
    <row r="218" spans="1:26" ht="16" hidden="1" x14ac:dyDescent="0.4">
      <c r="A218" s="92">
        <v>1074</v>
      </c>
      <c r="B218" s="92">
        <v>1075</v>
      </c>
      <c r="E218" s="92">
        <v>50</v>
      </c>
      <c r="F218" s="92">
        <f>_xlfn.XLOOKUP(B218, DATA_Moresby_2024_ALL!B:B, DATA_Moresby_2024_ALL!G:G, "")</f>
        <v>0</v>
      </c>
      <c r="G218" s="93"/>
      <c r="H218" s="92">
        <v>8</v>
      </c>
      <c r="I218" s="92" t="str">
        <f t="shared" si="15"/>
        <v>X</v>
      </c>
      <c r="J218" s="79" t="str">
        <f>IF(G218="","X",_xlfn.XLOOKUP(B218,DATA_Moresby_2024_ALL!B:B,DATA_Moresby_2024_ALL!K:K,""))</f>
        <v>X</v>
      </c>
      <c r="K218" s="28"/>
      <c r="L218" s="29"/>
      <c r="M218" s="28"/>
      <c r="N218" s="19" t="str">
        <f t="shared" si="14"/>
        <v/>
      </c>
      <c r="O218" s="19" t="str">
        <f t="shared" si="14"/>
        <v/>
      </c>
      <c r="P218" s="19" t="str">
        <f t="shared" si="14"/>
        <v/>
      </c>
      <c r="Q218" s="19" t="str">
        <f t="shared" si="14"/>
        <v/>
      </c>
      <c r="R218" s="21"/>
      <c r="T218" s="21"/>
      <c r="W218" s="46"/>
      <c r="X218" s="92" t="s">
        <v>78</v>
      </c>
      <c r="Y218" s="92" t="s">
        <v>78</v>
      </c>
      <c r="Z218" s="92" t="s">
        <v>78</v>
      </c>
    </row>
    <row r="219" spans="1:26" ht="16" hidden="1" x14ac:dyDescent="0.4">
      <c r="A219" s="92">
        <v>1079</v>
      </c>
      <c r="B219" s="92">
        <v>1080</v>
      </c>
      <c r="E219" s="92">
        <v>50</v>
      </c>
      <c r="F219" s="92">
        <f>_xlfn.XLOOKUP(B219, DATA_Moresby_2024_ALL!B:B, DATA_Moresby_2024_ALL!G:G, "")</f>
        <v>0</v>
      </c>
      <c r="G219" s="93"/>
      <c r="H219" s="92">
        <v>8</v>
      </c>
      <c r="I219" s="92" t="str">
        <f t="shared" si="15"/>
        <v>X</v>
      </c>
      <c r="J219" s="79" t="str">
        <f>IF(G219="","X",_xlfn.XLOOKUP(B219,DATA_Moresby_2024_ALL!B:B,DATA_Moresby_2024_ALL!K:K,""))</f>
        <v>X</v>
      </c>
      <c r="K219" s="28"/>
      <c r="L219" s="29"/>
      <c r="M219" s="28"/>
      <c r="N219" s="19" t="str">
        <f t="shared" si="14"/>
        <v/>
      </c>
      <c r="O219" s="19" t="str">
        <f t="shared" si="14"/>
        <v/>
      </c>
      <c r="P219" s="19" t="str">
        <f t="shared" si="14"/>
        <v/>
      </c>
      <c r="Q219" s="19" t="str">
        <f t="shared" si="14"/>
        <v/>
      </c>
      <c r="R219" s="21"/>
      <c r="T219" s="21"/>
      <c r="W219" s="46"/>
      <c r="X219" s="92" t="s">
        <v>78</v>
      </c>
      <c r="Y219" s="92" t="s">
        <v>78</v>
      </c>
      <c r="Z219" s="92" t="s">
        <v>78</v>
      </c>
    </row>
    <row r="220" spans="1:26" ht="16" hidden="1" x14ac:dyDescent="0.4">
      <c r="A220" s="92">
        <v>1084</v>
      </c>
      <c r="B220" s="92">
        <v>1085</v>
      </c>
      <c r="E220" s="92">
        <v>50</v>
      </c>
      <c r="F220" s="92">
        <f>_xlfn.XLOOKUP(B220, DATA_Moresby_2024_ALL!B:B, DATA_Moresby_2024_ALL!G:G, "")</f>
        <v>0</v>
      </c>
      <c r="G220" s="93"/>
      <c r="H220" s="92">
        <v>8</v>
      </c>
      <c r="I220" s="92" t="str">
        <f t="shared" si="15"/>
        <v>X</v>
      </c>
      <c r="J220" s="79" t="str">
        <f>IF(G220="","X",_xlfn.XLOOKUP(B220,DATA_Moresby_2024_ALL!B:B,DATA_Moresby_2024_ALL!K:K,""))</f>
        <v>X</v>
      </c>
      <c r="K220" s="28"/>
      <c r="L220" s="29"/>
      <c r="M220" s="28"/>
      <c r="N220" s="19" t="str">
        <f t="shared" si="14"/>
        <v/>
      </c>
      <c r="O220" s="19" t="str">
        <f t="shared" si="14"/>
        <v/>
      </c>
      <c r="P220" s="19" t="str">
        <f t="shared" si="14"/>
        <v/>
      </c>
      <c r="Q220" s="19" t="str">
        <f t="shared" si="14"/>
        <v/>
      </c>
      <c r="R220" s="21"/>
      <c r="T220" s="21"/>
      <c r="W220" s="46"/>
      <c r="X220" s="92" t="s">
        <v>78</v>
      </c>
      <c r="Y220" s="92" t="s">
        <v>78</v>
      </c>
      <c r="Z220" s="92" t="s">
        <v>78</v>
      </c>
    </row>
    <row r="221" spans="1:26" ht="16" hidden="1" x14ac:dyDescent="0.4">
      <c r="A221" s="92">
        <v>1089</v>
      </c>
      <c r="B221" s="92">
        <v>1090</v>
      </c>
      <c r="E221" s="92">
        <v>50</v>
      </c>
      <c r="F221" s="92">
        <f>_xlfn.XLOOKUP(B221, DATA_Moresby_2024_ALL!B:B, DATA_Moresby_2024_ALL!G:G, "")</f>
        <v>0</v>
      </c>
      <c r="G221" s="93"/>
      <c r="H221" s="92">
        <v>8</v>
      </c>
      <c r="I221" s="92" t="str">
        <f t="shared" si="15"/>
        <v>X</v>
      </c>
      <c r="J221" s="79" t="str">
        <f>IF(G221="","X",_xlfn.XLOOKUP(B221,DATA_Moresby_2024_ALL!B:B,DATA_Moresby_2024_ALL!K:K,""))</f>
        <v>X</v>
      </c>
      <c r="K221" s="28"/>
      <c r="L221" s="29"/>
      <c r="M221" s="28"/>
      <c r="N221" s="19" t="str">
        <f t="shared" si="14"/>
        <v/>
      </c>
      <c r="O221" s="19" t="str">
        <f t="shared" si="14"/>
        <v/>
      </c>
      <c r="P221" s="19" t="str">
        <f t="shared" si="14"/>
        <v/>
      </c>
      <c r="Q221" s="19" t="str">
        <f t="shared" ref="O221:Q284" si="16">IF($J221=1,4,"")</f>
        <v/>
      </c>
      <c r="R221" s="21"/>
      <c r="T221" s="21"/>
      <c r="W221" s="46"/>
      <c r="X221" s="92" t="s">
        <v>78</v>
      </c>
      <c r="Y221" s="92" t="s">
        <v>78</v>
      </c>
      <c r="Z221" s="92" t="s">
        <v>78</v>
      </c>
    </row>
    <row r="222" spans="1:26" ht="16" hidden="1" x14ac:dyDescent="0.4">
      <c r="A222" s="92">
        <v>1094</v>
      </c>
      <c r="B222" s="92">
        <v>1095</v>
      </c>
      <c r="E222" s="92">
        <v>50</v>
      </c>
      <c r="F222" s="92">
        <f>_xlfn.XLOOKUP(B222, DATA_Moresby_2024_ALL!B:B, DATA_Moresby_2024_ALL!G:G, "")</f>
        <v>0</v>
      </c>
      <c r="G222" s="93"/>
      <c r="H222" s="92">
        <v>8</v>
      </c>
      <c r="I222" s="92" t="str">
        <f t="shared" si="15"/>
        <v>X</v>
      </c>
      <c r="J222" s="79" t="str">
        <f>IF(G222="","X",_xlfn.XLOOKUP(B222,DATA_Moresby_2024_ALL!B:B,DATA_Moresby_2024_ALL!K:K,""))</f>
        <v>X</v>
      </c>
      <c r="K222" s="28"/>
      <c r="L222" s="29"/>
      <c r="M222" s="28"/>
      <c r="N222" s="19" t="str">
        <f t="shared" ref="N222:Q285" si="17">IF($J222=1,4,"")</f>
        <v/>
      </c>
      <c r="O222" s="19" t="str">
        <f t="shared" si="16"/>
        <v/>
      </c>
      <c r="P222" s="19" t="str">
        <f t="shared" si="16"/>
        <v/>
      </c>
      <c r="Q222" s="19" t="str">
        <f t="shared" si="16"/>
        <v/>
      </c>
      <c r="R222" s="21"/>
      <c r="T222" s="21"/>
      <c r="W222" s="46"/>
      <c r="X222" s="92" t="s">
        <v>78</v>
      </c>
      <c r="Y222" s="92" t="s">
        <v>78</v>
      </c>
      <c r="Z222" s="92" t="s">
        <v>78</v>
      </c>
    </row>
    <row r="223" spans="1:26" ht="16" hidden="1" x14ac:dyDescent="0.4">
      <c r="A223" s="92">
        <v>1099</v>
      </c>
      <c r="B223" s="92">
        <v>1100</v>
      </c>
      <c r="E223" s="92">
        <v>50</v>
      </c>
      <c r="F223" s="92">
        <f>_xlfn.XLOOKUP(B223, DATA_Moresby_2024_ALL!B:B, DATA_Moresby_2024_ALL!G:G, "")</f>
        <v>0</v>
      </c>
      <c r="G223" s="93"/>
      <c r="H223" s="92">
        <v>8</v>
      </c>
      <c r="I223" s="92" t="str">
        <f t="shared" si="15"/>
        <v>X</v>
      </c>
      <c r="J223" s="79" t="str">
        <f>IF(G223="","X",_xlfn.XLOOKUP(B223,DATA_Moresby_2024_ALL!B:B,DATA_Moresby_2024_ALL!K:K,""))</f>
        <v>X</v>
      </c>
      <c r="K223" s="28"/>
      <c r="L223" s="29"/>
      <c r="M223" s="28"/>
      <c r="N223" s="19" t="str">
        <f t="shared" si="17"/>
        <v/>
      </c>
      <c r="O223" s="19" t="str">
        <f t="shared" si="16"/>
        <v/>
      </c>
      <c r="P223" s="19" t="str">
        <f t="shared" si="16"/>
        <v/>
      </c>
      <c r="Q223" s="19" t="str">
        <f t="shared" si="16"/>
        <v/>
      </c>
      <c r="R223" s="21"/>
      <c r="T223" s="21"/>
      <c r="W223" s="46"/>
      <c r="X223" s="92" t="s">
        <v>78</v>
      </c>
      <c r="Y223" s="92" t="s">
        <v>78</v>
      </c>
      <c r="Z223" s="92" t="s">
        <v>78</v>
      </c>
    </row>
    <row r="224" spans="1:26" ht="16" hidden="1" x14ac:dyDescent="0.4">
      <c r="A224" s="92">
        <v>1104</v>
      </c>
      <c r="B224" s="92">
        <v>1105</v>
      </c>
      <c r="E224" s="92">
        <v>50</v>
      </c>
      <c r="F224" s="92">
        <f>_xlfn.XLOOKUP(B224, DATA_Moresby_2024_ALL!B:B, DATA_Moresby_2024_ALL!G:G, "")</f>
        <v>0</v>
      </c>
      <c r="G224" s="93"/>
      <c r="H224" s="92">
        <v>8</v>
      </c>
      <c r="I224" s="92" t="str">
        <f t="shared" si="15"/>
        <v>X</v>
      </c>
      <c r="J224" s="79" t="str">
        <f>IF(G224="","X",_xlfn.XLOOKUP(B224,DATA_Moresby_2024_ALL!B:B,DATA_Moresby_2024_ALL!K:K,""))</f>
        <v>X</v>
      </c>
      <c r="K224" s="28"/>
      <c r="L224" s="29"/>
      <c r="M224" s="28"/>
      <c r="N224" s="19" t="str">
        <f t="shared" si="17"/>
        <v/>
      </c>
      <c r="O224" s="19" t="str">
        <f t="shared" si="16"/>
        <v/>
      </c>
      <c r="P224" s="19" t="str">
        <f t="shared" si="16"/>
        <v/>
      </c>
      <c r="Q224" s="19" t="str">
        <f t="shared" si="16"/>
        <v/>
      </c>
      <c r="R224" s="21"/>
      <c r="T224" s="21"/>
      <c r="W224" s="46"/>
      <c r="X224" s="92" t="s">
        <v>78</v>
      </c>
      <c r="Y224" s="92" t="s">
        <v>78</v>
      </c>
      <c r="Z224" s="92" t="s">
        <v>78</v>
      </c>
    </row>
    <row r="225" spans="1:26" ht="16" hidden="1" x14ac:dyDescent="0.4">
      <c r="A225" s="92">
        <v>1109</v>
      </c>
      <c r="B225" s="92">
        <v>1110</v>
      </c>
      <c r="E225" s="92">
        <v>50</v>
      </c>
      <c r="F225" s="92">
        <f>_xlfn.XLOOKUP(B225, DATA_Moresby_2024_ALL!B:B, DATA_Moresby_2024_ALL!G:G, "")</f>
        <v>0</v>
      </c>
      <c r="G225" s="93"/>
      <c r="H225" s="92">
        <v>8</v>
      </c>
      <c r="I225" s="92" t="str">
        <f t="shared" si="15"/>
        <v>X</v>
      </c>
      <c r="J225" s="79" t="str">
        <f>IF(G225="","X",_xlfn.XLOOKUP(B225,DATA_Moresby_2024_ALL!B:B,DATA_Moresby_2024_ALL!K:K,""))</f>
        <v>X</v>
      </c>
      <c r="K225" s="28"/>
      <c r="L225" s="29"/>
      <c r="M225" s="28"/>
      <c r="N225" s="19" t="str">
        <f t="shared" si="17"/>
        <v/>
      </c>
      <c r="O225" s="19" t="str">
        <f t="shared" si="16"/>
        <v/>
      </c>
      <c r="P225" s="19" t="str">
        <f t="shared" si="16"/>
        <v/>
      </c>
      <c r="Q225" s="19" t="str">
        <f t="shared" si="16"/>
        <v/>
      </c>
      <c r="R225" s="21"/>
      <c r="T225" s="21"/>
      <c r="W225" s="46"/>
      <c r="X225" s="92" t="s">
        <v>78</v>
      </c>
      <c r="Y225" s="92" t="s">
        <v>78</v>
      </c>
      <c r="Z225" s="92" t="s">
        <v>78</v>
      </c>
    </row>
    <row r="226" spans="1:26" ht="16" hidden="1" x14ac:dyDescent="0.4">
      <c r="A226" s="92">
        <v>1114</v>
      </c>
      <c r="B226" s="92">
        <v>1115</v>
      </c>
      <c r="E226" s="92">
        <v>50</v>
      </c>
      <c r="F226" s="92">
        <f>_xlfn.XLOOKUP(B226, DATA_Moresby_2024_ALL!B:B, DATA_Moresby_2024_ALL!G:G, "")</f>
        <v>0</v>
      </c>
      <c r="G226" s="93"/>
      <c r="H226" s="92">
        <v>8</v>
      </c>
      <c r="I226" s="92" t="str">
        <f t="shared" si="15"/>
        <v>X</v>
      </c>
      <c r="J226" s="79" t="str">
        <f>IF(G226="","X",_xlfn.XLOOKUP(B226,DATA_Moresby_2024_ALL!B:B,DATA_Moresby_2024_ALL!K:K,""))</f>
        <v>X</v>
      </c>
      <c r="K226" s="28"/>
      <c r="L226" s="29"/>
      <c r="M226" s="28"/>
      <c r="N226" s="19" t="str">
        <f t="shared" si="17"/>
        <v/>
      </c>
      <c r="O226" s="19" t="str">
        <f t="shared" si="16"/>
        <v/>
      </c>
      <c r="P226" s="19" t="str">
        <f t="shared" si="16"/>
        <v/>
      </c>
      <c r="Q226" s="19" t="str">
        <f t="shared" si="16"/>
        <v/>
      </c>
      <c r="R226" s="21"/>
      <c r="T226" s="21"/>
      <c r="W226" s="46"/>
      <c r="X226" s="92" t="s">
        <v>78</v>
      </c>
      <c r="Y226" s="92" t="s">
        <v>78</v>
      </c>
      <c r="Z226" s="92" t="s">
        <v>78</v>
      </c>
    </row>
    <row r="227" spans="1:26" ht="16" hidden="1" x14ac:dyDescent="0.4">
      <c r="A227" s="92">
        <v>1119</v>
      </c>
      <c r="B227" s="92">
        <v>1120</v>
      </c>
      <c r="E227" s="92">
        <v>50</v>
      </c>
      <c r="F227" s="92">
        <f>_xlfn.XLOOKUP(B227, DATA_Moresby_2024_ALL!B:B, DATA_Moresby_2024_ALL!G:G, "")</f>
        <v>0</v>
      </c>
      <c r="G227" s="93"/>
      <c r="H227" s="92">
        <v>8</v>
      </c>
      <c r="I227" s="92" t="str">
        <f t="shared" si="15"/>
        <v>X</v>
      </c>
      <c r="J227" s="79" t="str">
        <f>IF(G227="","X",_xlfn.XLOOKUP(B227,DATA_Moresby_2024_ALL!B:B,DATA_Moresby_2024_ALL!K:K,""))</f>
        <v>X</v>
      </c>
      <c r="K227" s="28"/>
      <c r="L227" s="29"/>
      <c r="M227" s="28"/>
      <c r="N227" s="19" t="str">
        <f t="shared" si="17"/>
        <v/>
      </c>
      <c r="O227" s="19" t="str">
        <f t="shared" si="16"/>
        <v/>
      </c>
      <c r="P227" s="19" t="str">
        <f t="shared" si="16"/>
        <v/>
      </c>
      <c r="Q227" s="19" t="str">
        <f t="shared" si="16"/>
        <v/>
      </c>
      <c r="R227" s="21"/>
      <c r="T227" s="21"/>
      <c r="W227" s="46"/>
      <c r="X227" s="92" t="s">
        <v>78</v>
      </c>
      <c r="Y227" s="92" t="s">
        <v>78</v>
      </c>
      <c r="Z227" s="92" t="s">
        <v>78</v>
      </c>
    </row>
    <row r="228" spans="1:26" ht="16" hidden="1" x14ac:dyDescent="0.4">
      <c r="A228" s="92">
        <v>1124</v>
      </c>
      <c r="B228" s="92">
        <v>1125</v>
      </c>
      <c r="E228" s="92">
        <v>50</v>
      </c>
      <c r="F228" s="92">
        <f>_xlfn.XLOOKUP(B228, DATA_Moresby_2024_ALL!B:B, DATA_Moresby_2024_ALL!G:G, "")</f>
        <v>0</v>
      </c>
      <c r="G228" s="93"/>
      <c r="H228" s="92">
        <v>8</v>
      </c>
      <c r="I228" s="92" t="str">
        <f t="shared" si="15"/>
        <v>X</v>
      </c>
      <c r="J228" s="79" t="str">
        <f>IF(G228="","X",_xlfn.XLOOKUP(B228,DATA_Moresby_2024_ALL!B:B,DATA_Moresby_2024_ALL!K:K,""))</f>
        <v>X</v>
      </c>
      <c r="K228" s="28"/>
      <c r="L228" s="29"/>
      <c r="M228" s="28"/>
      <c r="N228" s="19" t="str">
        <f t="shared" si="17"/>
        <v/>
      </c>
      <c r="O228" s="19" t="str">
        <f t="shared" si="16"/>
        <v/>
      </c>
      <c r="P228" s="19" t="str">
        <f t="shared" si="16"/>
        <v/>
      </c>
      <c r="Q228" s="19" t="str">
        <f t="shared" si="16"/>
        <v/>
      </c>
      <c r="R228" s="21"/>
      <c r="T228" s="21"/>
      <c r="W228" s="46"/>
      <c r="X228" s="92" t="s">
        <v>78</v>
      </c>
      <c r="Y228" s="92" t="s">
        <v>78</v>
      </c>
      <c r="Z228" s="92" t="s">
        <v>78</v>
      </c>
    </row>
    <row r="229" spans="1:26" ht="16" hidden="1" x14ac:dyDescent="0.4">
      <c r="A229" s="92">
        <v>1129</v>
      </c>
      <c r="B229" s="92">
        <v>1130</v>
      </c>
      <c r="E229" s="92">
        <v>50</v>
      </c>
      <c r="F229" s="92">
        <f>_xlfn.XLOOKUP(B229, DATA_Moresby_2024_ALL!B:B, DATA_Moresby_2024_ALL!G:G, "")</f>
        <v>0</v>
      </c>
      <c r="G229" s="93"/>
      <c r="H229" s="92">
        <v>8</v>
      </c>
      <c r="I229" s="92" t="str">
        <f t="shared" si="15"/>
        <v>X</v>
      </c>
      <c r="J229" s="79" t="str">
        <f>IF(G229="","X",_xlfn.XLOOKUP(B229,DATA_Moresby_2024_ALL!B:B,DATA_Moresby_2024_ALL!K:K,""))</f>
        <v>X</v>
      </c>
      <c r="K229" s="28"/>
      <c r="L229" s="29"/>
      <c r="M229" s="28"/>
      <c r="N229" s="19" t="str">
        <f t="shared" si="17"/>
        <v/>
      </c>
      <c r="O229" s="19" t="str">
        <f t="shared" si="16"/>
        <v/>
      </c>
      <c r="P229" s="19" t="str">
        <f t="shared" si="16"/>
        <v/>
      </c>
      <c r="Q229" s="19" t="str">
        <f t="shared" si="16"/>
        <v/>
      </c>
      <c r="R229" s="21"/>
      <c r="T229" s="21"/>
      <c r="W229" s="46"/>
      <c r="X229" s="92" t="s">
        <v>78</v>
      </c>
      <c r="Y229" s="92" t="s">
        <v>78</v>
      </c>
      <c r="Z229" s="92" t="s">
        <v>78</v>
      </c>
    </row>
    <row r="230" spans="1:26" ht="16" hidden="1" x14ac:dyDescent="0.4">
      <c r="A230" s="92">
        <v>1134</v>
      </c>
      <c r="B230" s="92">
        <v>1135</v>
      </c>
      <c r="E230" s="92">
        <v>50</v>
      </c>
      <c r="F230" s="92">
        <f>_xlfn.XLOOKUP(B230, DATA_Moresby_2024_ALL!B:B, DATA_Moresby_2024_ALL!G:G, "")</f>
        <v>0</v>
      </c>
      <c r="G230" s="93"/>
      <c r="H230" s="92">
        <v>8</v>
      </c>
      <c r="I230" s="92" t="str">
        <f t="shared" si="15"/>
        <v>X</v>
      </c>
      <c r="J230" s="79" t="str">
        <f>IF(G230="","X",_xlfn.XLOOKUP(B230,DATA_Moresby_2024_ALL!B:B,DATA_Moresby_2024_ALL!K:K,""))</f>
        <v>X</v>
      </c>
      <c r="K230" s="28"/>
      <c r="L230" s="29"/>
      <c r="M230" s="28"/>
      <c r="N230" s="19" t="str">
        <f t="shared" si="17"/>
        <v/>
      </c>
      <c r="O230" s="19" t="str">
        <f t="shared" si="16"/>
        <v/>
      </c>
      <c r="P230" s="19" t="str">
        <f t="shared" si="16"/>
        <v/>
      </c>
      <c r="Q230" s="19" t="str">
        <f t="shared" si="16"/>
        <v/>
      </c>
      <c r="R230" s="21"/>
      <c r="T230" s="21"/>
      <c r="W230" s="46"/>
      <c r="X230" s="92" t="s">
        <v>78</v>
      </c>
      <c r="Y230" s="92" t="s">
        <v>78</v>
      </c>
      <c r="Z230" s="92" t="s">
        <v>78</v>
      </c>
    </row>
    <row r="231" spans="1:26" ht="16" hidden="1" x14ac:dyDescent="0.4">
      <c r="A231" s="92">
        <v>1139</v>
      </c>
      <c r="B231" s="92">
        <v>1140</v>
      </c>
      <c r="E231" s="92">
        <v>50</v>
      </c>
      <c r="F231" s="92">
        <f>_xlfn.XLOOKUP(B231, DATA_Moresby_2024_ALL!B:B, DATA_Moresby_2024_ALL!G:G, "")</f>
        <v>0</v>
      </c>
      <c r="G231" s="93"/>
      <c r="H231" s="92">
        <v>8</v>
      </c>
      <c r="I231" s="92" t="str">
        <f t="shared" si="15"/>
        <v>X</v>
      </c>
      <c r="J231" s="79" t="str">
        <f>IF(G231="","X",_xlfn.XLOOKUP(B231,DATA_Moresby_2024_ALL!B:B,DATA_Moresby_2024_ALL!K:K,""))</f>
        <v>X</v>
      </c>
      <c r="K231" s="28"/>
      <c r="L231" s="29"/>
      <c r="M231" s="28"/>
      <c r="N231" s="19" t="str">
        <f t="shared" si="17"/>
        <v/>
      </c>
      <c r="O231" s="19" t="str">
        <f t="shared" si="16"/>
        <v/>
      </c>
      <c r="P231" s="19" t="str">
        <f t="shared" si="16"/>
        <v/>
      </c>
      <c r="Q231" s="19" t="str">
        <f t="shared" si="16"/>
        <v/>
      </c>
      <c r="R231" s="21"/>
      <c r="T231" s="21"/>
      <c r="W231" s="46"/>
      <c r="X231" s="92" t="s">
        <v>78</v>
      </c>
      <c r="Y231" s="92" t="s">
        <v>78</v>
      </c>
      <c r="Z231" s="92" t="s">
        <v>78</v>
      </c>
    </row>
    <row r="232" spans="1:26" ht="16" hidden="1" x14ac:dyDescent="0.4">
      <c r="A232" s="92">
        <v>1144</v>
      </c>
      <c r="B232" s="92">
        <v>1145</v>
      </c>
      <c r="E232" s="92">
        <v>50</v>
      </c>
      <c r="F232" s="92">
        <f>_xlfn.XLOOKUP(B232, DATA_Moresby_2024_ALL!B:B, DATA_Moresby_2024_ALL!G:G, "")</f>
        <v>0</v>
      </c>
      <c r="G232" s="93"/>
      <c r="H232" s="92">
        <v>8</v>
      </c>
      <c r="I232" s="92" t="str">
        <f t="shared" si="15"/>
        <v>X</v>
      </c>
      <c r="J232" s="79" t="str">
        <f>IF(G232="","X",_xlfn.XLOOKUP(B232,DATA_Moresby_2024_ALL!B:B,DATA_Moresby_2024_ALL!K:K,""))</f>
        <v>X</v>
      </c>
      <c r="K232" s="28"/>
      <c r="L232" s="29"/>
      <c r="M232" s="28"/>
      <c r="N232" s="19" t="str">
        <f t="shared" si="17"/>
        <v/>
      </c>
      <c r="O232" s="19" t="str">
        <f t="shared" si="16"/>
        <v/>
      </c>
      <c r="P232" s="19" t="str">
        <f t="shared" si="16"/>
        <v/>
      </c>
      <c r="Q232" s="19" t="str">
        <f t="shared" si="16"/>
        <v/>
      </c>
      <c r="R232" s="21"/>
      <c r="T232" s="21"/>
      <c r="W232" s="46"/>
      <c r="X232" s="92" t="s">
        <v>78</v>
      </c>
      <c r="Y232" s="92" t="s">
        <v>78</v>
      </c>
      <c r="Z232" s="92" t="s">
        <v>78</v>
      </c>
    </row>
    <row r="233" spans="1:26" ht="16" hidden="1" x14ac:dyDescent="0.4">
      <c r="A233" s="92">
        <v>1149</v>
      </c>
      <c r="B233" s="92">
        <v>1150</v>
      </c>
      <c r="E233" s="92">
        <v>50</v>
      </c>
      <c r="F233" s="92">
        <f>_xlfn.XLOOKUP(B233, DATA_Moresby_2024_ALL!B:B, DATA_Moresby_2024_ALL!G:G, "")</f>
        <v>0</v>
      </c>
      <c r="G233" s="93"/>
      <c r="H233" s="92">
        <v>8</v>
      </c>
      <c r="I233" s="92" t="str">
        <f t="shared" si="15"/>
        <v>X</v>
      </c>
      <c r="J233" s="79" t="str">
        <f>IF(G233="","X",_xlfn.XLOOKUP(B233,DATA_Moresby_2024_ALL!B:B,DATA_Moresby_2024_ALL!K:K,""))</f>
        <v>X</v>
      </c>
      <c r="K233" s="28"/>
      <c r="L233" s="29"/>
      <c r="M233" s="28"/>
      <c r="N233" s="19" t="str">
        <f t="shared" si="17"/>
        <v/>
      </c>
      <c r="O233" s="19" t="str">
        <f t="shared" si="16"/>
        <v/>
      </c>
      <c r="P233" s="19" t="str">
        <f t="shared" si="16"/>
        <v/>
      </c>
      <c r="Q233" s="19" t="str">
        <f t="shared" si="16"/>
        <v/>
      </c>
      <c r="R233" s="21"/>
      <c r="T233" s="21"/>
      <c r="W233" s="46"/>
      <c r="X233" s="92" t="s">
        <v>78</v>
      </c>
      <c r="Y233" s="92" t="s">
        <v>78</v>
      </c>
      <c r="Z233" s="92" t="s">
        <v>78</v>
      </c>
    </row>
    <row r="234" spans="1:26" ht="16" hidden="1" x14ac:dyDescent="0.4">
      <c r="A234" s="92">
        <v>1154</v>
      </c>
      <c r="B234" s="92">
        <v>1155</v>
      </c>
      <c r="E234" s="92">
        <v>50</v>
      </c>
      <c r="F234" s="92">
        <f>_xlfn.XLOOKUP(B234, DATA_Moresby_2024_ALL!B:B, DATA_Moresby_2024_ALL!G:G, "")</f>
        <v>0</v>
      </c>
      <c r="G234" s="93"/>
      <c r="H234" s="92">
        <v>8</v>
      </c>
      <c r="I234" s="92" t="str">
        <f t="shared" si="15"/>
        <v>X</v>
      </c>
      <c r="J234" s="79" t="str">
        <f>IF(G234="","X",_xlfn.XLOOKUP(B234,DATA_Moresby_2024_ALL!B:B,DATA_Moresby_2024_ALL!K:K,""))</f>
        <v>X</v>
      </c>
      <c r="K234" s="28"/>
      <c r="L234" s="29"/>
      <c r="M234" s="28"/>
      <c r="N234" s="19" t="str">
        <f t="shared" si="17"/>
        <v/>
      </c>
      <c r="O234" s="19" t="str">
        <f t="shared" si="16"/>
        <v/>
      </c>
      <c r="P234" s="19" t="str">
        <f t="shared" si="16"/>
        <v/>
      </c>
      <c r="Q234" s="19" t="str">
        <f t="shared" si="16"/>
        <v/>
      </c>
      <c r="R234" s="21"/>
      <c r="T234" s="21"/>
      <c r="W234" s="46"/>
      <c r="X234" s="92" t="s">
        <v>78</v>
      </c>
      <c r="Y234" s="92" t="s">
        <v>78</v>
      </c>
      <c r="Z234" s="92" t="s">
        <v>78</v>
      </c>
    </row>
    <row r="235" spans="1:26" ht="16" hidden="1" x14ac:dyDescent="0.4">
      <c r="A235" s="92">
        <v>1159</v>
      </c>
      <c r="B235" s="92">
        <v>1160</v>
      </c>
      <c r="E235" s="92">
        <v>50</v>
      </c>
      <c r="F235" s="92">
        <f>_xlfn.XLOOKUP(B235, DATA_Moresby_2024_ALL!B:B, DATA_Moresby_2024_ALL!G:G, "")</f>
        <v>0</v>
      </c>
      <c r="G235" s="93"/>
      <c r="H235" s="92">
        <v>8</v>
      </c>
      <c r="I235" s="92" t="str">
        <f t="shared" si="15"/>
        <v>X</v>
      </c>
      <c r="J235" s="79" t="str">
        <f>IF(G235="","X",_xlfn.XLOOKUP(B235,DATA_Moresby_2024_ALL!B:B,DATA_Moresby_2024_ALL!K:K,""))</f>
        <v>X</v>
      </c>
      <c r="K235" s="28"/>
      <c r="L235" s="29"/>
      <c r="M235" s="28"/>
      <c r="N235" s="19" t="str">
        <f t="shared" si="17"/>
        <v/>
      </c>
      <c r="O235" s="19" t="str">
        <f t="shared" si="16"/>
        <v/>
      </c>
      <c r="P235" s="19" t="str">
        <f t="shared" si="16"/>
        <v/>
      </c>
      <c r="Q235" s="19" t="str">
        <f t="shared" si="16"/>
        <v/>
      </c>
      <c r="R235" s="21"/>
      <c r="T235" s="21"/>
      <c r="W235" s="46"/>
      <c r="X235" s="92" t="s">
        <v>78</v>
      </c>
      <c r="Y235" s="92" t="s">
        <v>78</v>
      </c>
      <c r="Z235" s="92" t="s">
        <v>78</v>
      </c>
    </row>
    <row r="236" spans="1:26" ht="16" hidden="1" x14ac:dyDescent="0.4">
      <c r="A236" s="92">
        <v>1164</v>
      </c>
      <c r="B236" s="92">
        <v>1165</v>
      </c>
      <c r="E236" s="92">
        <v>50</v>
      </c>
      <c r="F236" s="92">
        <f>_xlfn.XLOOKUP(B236, DATA_Moresby_2024_ALL!B:B, DATA_Moresby_2024_ALL!G:G, "")</f>
        <v>0</v>
      </c>
      <c r="G236" s="93"/>
      <c r="H236" s="92">
        <v>8</v>
      </c>
      <c r="I236" s="92" t="str">
        <f t="shared" si="15"/>
        <v>X</v>
      </c>
      <c r="J236" s="79" t="str">
        <f>IF(G236="","X",_xlfn.XLOOKUP(B236,DATA_Moresby_2024_ALL!B:B,DATA_Moresby_2024_ALL!K:K,""))</f>
        <v>X</v>
      </c>
      <c r="K236" s="28"/>
      <c r="L236" s="29"/>
      <c r="M236" s="28"/>
      <c r="N236" s="19" t="str">
        <f t="shared" si="17"/>
        <v/>
      </c>
      <c r="O236" s="19" t="str">
        <f t="shared" si="16"/>
        <v/>
      </c>
      <c r="P236" s="19" t="str">
        <f t="shared" si="16"/>
        <v/>
      </c>
      <c r="Q236" s="19" t="str">
        <f t="shared" si="16"/>
        <v/>
      </c>
      <c r="R236" s="21"/>
      <c r="T236" s="21"/>
      <c r="W236" s="46"/>
      <c r="X236" s="92" t="s">
        <v>78</v>
      </c>
      <c r="Y236" s="92" t="s">
        <v>78</v>
      </c>
      <c r="Z236" s="92" t="s">
        <v>78</v>
      </c>
    </row>
    <row r="237" spans="1:26" ht="16" hidden="1" x14ac:dyDescent="0.4">
      <c r="A237" s="92">
        <v>1169</v>
      </c>
      <c r="B237" s="92">
        <v>1170</v>
      </c>
      <c r="E237" s="92">
        <v>50</v>
      </c>
      <c r="F237" s="92">
        <f>_xlfn.XLOOKUP(B237, DATA_Moresby_2024_ALL!B:B, DATA_Moresby_2024_ALL!G:G, "")</f>
        <v>0</v>
      </c>
      <c r="G237" s="93"/>
      <c r="H237" s="92">
        <v>8</v>
      </c>
      <c r="I237" s="92" t="str">
        <f t="shared" si="15"/>
        <v>X</v>
      </c>
      <c r="J237" s="79" t="str">
        <f>IF(G237="","X",_xlfn.XLOOKUP(B237,DATA_Moresby_2024_ALL!B:B,DATA_Moresby_2024_ALL!K:K,""))</f>
        <v>X</v>
      </c>
      <c r="K237" s="28"/>
      <c r="L237" s="29"/>
      <c r="M237" s="28"/>
      <c r="N237" s="19" t="str">
        <f t="shared" si="17"/>
        <v/>
      </c>
      <c r="O237" s="19" t="str">
        <f t="shared" si="16"/>
        <v/>
      </c>
      <c r="P237" s="19" t="str">
        <f t="shared" si="16"/>
        <v/>
      </c>
      <c r="Q237" s="19" t="str">
        <f t="shared" si="16"/>
        <v/>
      </c>
      <c r="R237" s="21"/>
      <c r="T237" s="21"/>
      <c r="W237" s="46"/>
      <c r="X237" s="92" t="s">
        <v>78</v>
      </c>
      <c r="Y237" s="92" t="s">
        <v>78</v>
      </c>
      <c r="Z237" s="92" t="s">
        <v>78</v>
      </c>
    </row>
    <row r="238" spans="1:26" ht="16" hidden="1" x14ac:dyDescent="0.4">
      <c r="A238" s="92">
        <v>1174</v>
      </c>
      <c r="B238" s="92">
        <v>1175</v>
      </c>
      <c r="E238" s="92">
        <v>50</v>
      </c>
      <c r="F238" s="92">
        <f>_xlfn.XLOOKUP(B238, DATA_Moresby_2024_ALL!B:B, DATA_Moresby_2024_ALL!G:G, "")</f>
        <v>0</v>
      </c>
      <c r="G238" s="93"/>
      <c r="H238" s="92">
        <v>8</v>
      </c>
      <c r="I238" s="92" t="str">
        <f t="shared" si="15"/>
        <v>X</v>
      </c>
      <c r="J238" s="79" t="str">
        <f>IF(G238="","X",_xlfn.XLOOKUP(B238,DATA_Moresby_2024_ALL!B:B,DATA_Moresby_2024_ALL!K:K,""))</f>
        <v>X</v>
      </c>
      <c r="K238" s="28"/>
      <c r="L238" s="29"/>
      <c r="M238" s="28"/>
      <c r="N238" s="19" t="str">
        <f t="shared" si="17"/>
        <v/>
      </c>
      <c r="O238" s="19" t="str">
        <f t="shared" si="16"/>
        <v/>
      </c>
      <c r="P238" s="19" t="str">
        <f t="shared" si="16"/>
        <v/>
      </c>
      <c r="Q238" s="19" t="str">
        <f t="shared" si="16"/>
        <v/>
      </c>
      <c r="R238" s="21"/>
      <c r="T238" s="21"/>
      <c r="W238" s="46"/>
      <c r="X238" s="92" t="s">
        <v>78</v>
      </c>
      <c r="Y238" s="92" t="s">
        <v>78</v>
      </c>
      <c r="Z238" s="92" t="s">
        <v>78</v>
      </c>
    </row>
    <row r="239" spans="1:26" ht="16" hidden="1" x14ac:dyDescent="0.4">
      <c r="A239" s="92">
        <v>1179</v>
      </c>
      <c r="B239" s="92">
        <v>1180</v>
      </c>
      <c r="E239" s="92">
        <v>50</v>
      </c>
      <c r="F239" s="92">
        <f>_xlfn.XLOOKUP(B239, DATA_Moresby_2024_ALL!B:B, DATA_Moresby_2024_ALL!G:G, "")</f>
        <v>0</v>
      </c>
      <c r="G239" s="93"/>
      <c r="H239" s="92">
        <v>8</v>
      </c>
      <c r="I239" s="92" t="str">
        <f t="shared" si="15"/>
        <v>X</v>
      </c>
      <c r="J239" s="79" t="str">
        <f>IF(G239="","X",_xlfn.XLOOKUP(B239,DATA_Moresby_2024_ALL!B:B,DATA_Moresby_2024_ALL!K:K,""))</f>
        <v>X</v>
      </c>
      <c r="K239" s="28"/>
      <c r="L239" s="29"/>
      <c r="M239" s="28"/>
      <c r="N239" s="19" t="str">
        <f t="shared" si="17"/>
        <v/>
      </c>
      <c r="O239" s="19" t="str">
        <f t="shared" si="16"/>
        <v/>
      </c>
      <c r="P239" s="19" t="str">
        <f t="shared" si="16"/>
        <v/>
      </c>
      <c r="Q239" s="19" t="str">
        <f t="shared" si="16"/>
        <v/>
      </c>
      <c r="R239" s="21"/>
      <c r="T239" s="21"/>
      <c r="W239" s="46"/>
      <c r="X239" s="92" t="s">
        <v>78</v>
      </c>
      <c r="Y239" s="92" t="s">
        <v>78</v>
      </c>
      <c r="Z239" s="92" t="s">
        <v>78</v>
      </c>
    </row>
    <row r="240" spans="1:26" ht="16" hidden="1" x14ac:dyDescent="0.4">
      <c r="A240" s="92">
        <v>1184</v>
      </c>
      <c r="B240" s="92">
        <v>1185</v>
      </c>
      <c r="E240" s="92">
        <v>50</v>
      </c>
      <c r="F240" s="92">
        <f>_xlfn.XLOOKUP(B240, DATA_Moresby_2024_ALL!B:B, DATA_Moresby_2024_ALL!G:G, "")</f>
        <v>0</v>
      </c>
      <c r="G240" s="93"/>
      <c r="H240" s="92">
        <v>8</v>
      </c>
      <c r="I240" s="92" t="str">
        <f t="shared" si="15"/>
        <v>X</v>
      </c>
      <c r="J240" s="79" t="str">
        <f>IF(G240="","X",_xlfn.XLOOKUP(B240,DATA_Moresby_2024_ALL!B:B,DATA_Moresby_2024_ALL!K:K,""))</f>
        <v>X</v>
      </c>
      <c r="K240" s="28"/>
      <c r="L240" s="29"/>
      <c r="M240" s="28"/>
      <c r="N240" s="19" t="str">
        <f t="shared" si="17"/>
        <v/>
      </c>
      <c r="O240" s="19" t="str">
        <f t="shared" si="16"/>
        <v/>
      </c>
      <c r="P240" s="19" t="str">
        <f t="shared" si="16"/>
        <v/>
      </c>
      <c r="Q240" s="19" t="str">
        <f t="shared" si="16"/>
        <v/>
      </c>
      <c r="R240" s="21"/>
      <c r="T240" s="21"/>
      <c r="W240" s="46"/>
      <c r="X240" s="92" t="s">
        <v>78</v>
      </c>
      <c r="Y240" s="92" t="s">
        <v>78</v>
      </c>
      <c r="Z240" s="92" t="s">
        <v>78</v>
      </c>
    </row>
    <row r="241" spans="1:26" ht="16" hidden="1" x14ac:dyDescent="0.4">
      <c r="A241" s="92">
        <v>1189</v>
      </c>
      <c r="B241" s="92">
        <v>1190</v>
      </c>
      <c r="E241" s="92">
        <v>50</v>
      </c>
      <c r="F241" s="92">
        <f>_xlfn.XLOOKUP(B241, DATA_Moresby_2024_ALL!B:B, DATA_Moresby_2024_ALL!G:G, "")</f>
        <v>0</v>
      </c>
      <c r="G241" s="93"/>
      <c r="H241" s="92">
        <v>8</v>
      </c>
      <c r="I241" s="92" t="str">
        <f t="shared" si="15"/>
        <v>X</v>
      </c>
      <c r="J241" s="79" t="str">
        <f>IF(G241="","X",_xlfn.XLOOKUP(B241,DATA_Moresby_2024_ALL!B:B,DATA_Moresby_2024_ALL!K:K,""))</f>
        <v>X</v>
      </c>
      <c r="K241" s="28"/>
      <c r="L241" s="29"/>
      <c r="M241" s="28"/>
      <c r="N241" s="19" t="str">
        <f t="shared" si="17"/>
        <v/>
      </c>
      <c r="O241" s="19" t="str">
        <f t="shared" si="16"/>
        <v/>
      </c>
      <c r="P241" s="19" t="str">
        <f t="shared" si="16"/>
        <v/>
      </c>
      <c r="Q241" s="19" t="str">
        <f t="shared" si="16"/>
        <v/>
      </c>
      <c r="R241" s="21"/>
      <c r="T241" s="21"/>
      <c r="W241" s="46"/>
      <c r="X241" s="92" t="s">
        <v>78</v>
      </c>
      <c r="Y241" s="92" t="s">
        <v>78</v>
      </c>
      <c r="Z241" s="92" t="s">
        <v>78</v>
      </c>
    </row>
    <row r="242" spans="1:26" ht="16" hidden="1" x14ac:dyDescent="0.4">
      <c r="A242" s="92">
        <v>1194</v>
      </c>
      <c r="B242" s="92">
        <v>1195</v>
      </c>
      <c r="E242" s="92">
        <v>50</v>
      </c>
      <c r="F242" s="92">
        <f>_xlfn.XLOOKUP(B242, DATA_Moresby_2024_ALL!B:B, DATA_Moresby_2024_ALL!G:G, "")</f>
        <v>0</v>
      </c>
      <c r="G242" s="93"/>
      <c r="H242" s="92">
        <v>8</v>
      </c>
      <c r="I242" s="92" t="str">
        <f t="shared" si="15"/>
        <v>X</v>
      </c>
      <c r="J242" s="79" t="str">
        <f>IF(G242="","X",_xlfn.XLOOKUP(B242,DATA_Moresby_2024_ALL!B:B,DATA_Moresby_2024_ALL!K:K,""))</f>
        <v>X</v>
      </c>
      <c r="K242" s="28"/>
      <c r="L242" s="29"/>
      <c r="M242" s="28"/>
      <c r="N242" s="19" t="str">
        <f t="shared" si="17"/>
        <v/>
      </c>
      <c r="O242" s="19" t="str">
        <f t="shared" si="16"/>
        <v/>
      </c>
      <c r="P242" s="19" t="str">
        <f t="shared" si="16"/>
        <v/>
      </c>
      <c r="Q242" s="19" t="str">
        <f t="shared" si="16"/>
        <v/>
      </c>
      <c r="R242" s="21"/>
      <c r="T242" s="21"/>
      <c r="W242" s="46"/>
      <c r="X242" s="92" t="s">
        <v>78</v>
      </c>
      <c r="Y242" s="92" t="s">
        <v>78</v>
      </c>
      <c r="Z242" s="92" t="s">
        <v>78</v>
      </c>
    </row>
    <row r="243" spans="1:26" ht="16" hidden="1" x14ac:dyDescent="0.4">
      <c r="A243" s="92">
        <v>1199</v>
      </c>
      <c r="B243" s="92">
        <v>1200</v>
      </c>
      <c r="E243" s="92">
        <v>50</v>
      </c>
      <c r="F243" s="92">
        <f>_xlfn.XLOOKUP(B243, DATA_Moresby_2024_ALL!B:B, DATA_Moresby_2024_ALL!G:G, "")</f>
        <v>0</v>
      </c>
      <c r="G243" s="93"/>
      <c r="H243" s="92">
        <v>8</v>
      </c>
      <c r="I243" s="92" t="str">
        <f t="shared" si="15"/>
        <v>X</v>
      </c>
      <c r="J243" s="79" t="str">
        <f>IF(G243="","X",_xlfn.XLOOKUP(B243,DATA_Moresby_2024_ALL!B:B,DATA_Moresby_2024_ALL!K:K,""))</f>
        <v>X</v>
      </c>
      <c r="K243" s="28"/>
      <c r="L243" s="29"/>
      <c r="M243" s="28"/>
      <c r="N243" s="19" t="str">
        <f t="shared" si="17"/>
        <v/>
      </c>
      <c r="O243" s="19" t="str">
        <f t="shared" si="16"/>
        <v/>
      </c>
      <c r="P243" s="19" t="str">
        <f t="shared" si="16"/>
        <v/>
      </c>
      <c r="Q243" s="19" t="str">
        <f t="shared" si="16"/>
        <v/>
      </c>
      <c r="R243" s="21"/>
      <c r="T243" s="21"/>
      <c r="W243" s="46"/>
      <c r="X243" s="92" t="s">
        <v>78</v>
      </c>
      <c r="Y243" s="92" t="s">
        <v>78</v>
      </c>
      <c r="Z243" s="92" t="s">
        <v>78</v>
      </c>
    </row>
    <row r="244" spans="1:26" ht="16" hidden="1" x14ac:dyDescent="0.4">
      <c r="A244" s="92">
        <v>1204</v>
      </c>
      <c r="B244" s="92">
        <v>1205</v>
      </c>
      <c r="E244" s="92">
        <v>50</v>
      </c>
      <c r="F244" s="92">
        <f>_xlfn.XLOOKUP(B244, DATA_Moresby_2024_ALL!B:B, DATA_Moresby_2024_ALL!G:G, "")</f>
        <v>0</v>
      </c>
      <c r="G244" s="93"/>
      <c r="H244" s="92">
        <v>8</v>
      </c>
      <c r="I244" s="92" t="str">
        <f t="shared" si="15"/>
        <v>X</v>
      </c>
      <c r="J244" s="79" t="str">
        <f>IF(G244="","X",_xlfn.XLOOKUP(B244,DATA_Moresby_2024_ALL!B:B,DATA_Moresby_2024_ALL!K:K,""))</f>
        <v>X</v>
      </c>
      <c r="K244" s="28"/>
      <c r="L244" s="29"/>
      <c r="M244" s="28"/>
      <c r="N244" s="19" t="str">
        <f t="shared" si="17"/>
        <v/>
      </c>
      <c r="O244" s="19" t="str">
        <f t="shared" si="16"/>
        <v/>
      </c>
      <c r="P244" s="19" t="str">
        <f t="shared" si="16"/>
        <v/>
      </c>
      <c r="Q244" s="19" t="str">
        <f t="shared" si="16"/>
        <v/>
      </c>
      <c r="R244" s="21"/>
      <c r="T244" s="21"/>
      <c r="W244" s="46"/>
      <c r="X244" s="92" t="s">
        <v>78</v>
      </c>
      <c r="Y244" s="92" t="s">
        <v>78</v>
      </c>
      <c r="Z244" s="92" t="s">
        <v>78</v>
      </c>
    </row>
    <row r="245" spans="1:26" ht="16" hidden="1" x14ac:dyDescent="0.4">
      <c r="A245" s="92">
        <v>1209</v>
      </c>
      <c r="B245" s="92">
        <v>1210</v>
      </c>
      <c r="E245" s="92">
        <v>50</v>
      </c>
      <c r="F245" s="92">
        <f>_xlfn.XLOOKUP(B245, DATA_Moresby_2024_ALL!B:B, DATA_Moresby_2024_ALL!G:G, "")</f>
        <v>0</v>
      </c>
      <c r="G245" s="93"/>
      <c r="H245" s="92">
        <v>8</v>
      </c>
      <c r="I245" s="92" t="str">
        <f t="shared" si="15"/>
        <v>X</v>
      </c>
      <c r="J245" s="79" t="str">
        <f>IF(G245="","X",_xlfn.XLOOKUP(B245,DATA_Moresby_2024_ALL!B:B,DATA_Moresby_2024_ALL!K:K,""))</f>
        <v>X</v>
      </c>
      <c r="K245" s="28"/>
      <c r="L245" s="29"/>
      <c r="M245" s="28"/>
      <c r="N245" s="19" t="str">
        <f t="shared" si="17"/>
        <v/>
      </c>
      <c r="O245" s="19" t="str">
        <f t="shared" si="16"/>
        <v/>
      </c>
      <c r="P245" s="19" t="str">
        <f t="shared" si="16"/>
        <v/>
      </c>
      <c r="Q245" s="19" t="str">
        <f t="shared" si="16"/>
        <v/>
      </c>
      <c r="R245" s="21"/>
      <c r="T245" s="21"/>
      <c r="W245" s="46"/>
      <c r="X245" s="92" t="s">
        <v>78</v>
      </c>
      <c r="Y245" s="92" t="s">
        <v>78</v>
      </c>
      <c r="Z245" s="92" t="s">
        <v>78</v>
      </c>
    </row>
    <row r="246" spans="1:26" ht="16" hidden="1" x14ac:dyDescent="0.4">
      <c r="A246" s="92">
        <v>1214</v>
      </c>
      <c r="B246" s="92">
        <v>1215</v>
      </c>
      <c r="E246" s="92">
        <v>50</v>
      </c>
      <c r="F246" s="92">
        <f>_xlfn.XLOOKUP(B246, DATA_Moresby_2024_ALL!B:B, DATA_Moresby_2024_ALL!G:G, "")</f>
        <v>0</v>
      </c>
      <c r="G246" s="93"/>
      <c r="H246" s="92">
        <v>8</v>
      </c>
      <c r="I246" s="92" t="str">
        <f t="shared" si="15"/>
        <v>X</v>
      </c>
      <c r="J246" s="79" t="str">
        <f>IF(G246="","X",_xlfn.XLOOKUP(B246,DATA_Moresby_2024_ALL!B:B,DATA_Moresby_2024_ALL!K:K,""))</f>
        <v>X</v>
      </c>
      <c r="K246" s="28"/>
      <c r="L246" s="29"/>
      <c r="M246" s="28"/>
      <c r="N246" s="19" t="str">
        <f t="shared" si="17"/>
        <v/>
      </c>
      <c r="O246" s="19" t="str">
        <f t="shared" si="16"/>
        <v/>
      </c>
      <c r="P246" s="19" t="str">
        <f t="shared" si="16"/>
        <v/>
      </c>
      <c r="Q246" s="19" t="str">
        <f t="shared" si="16"/>
        <v/>
      </c>
      <c r="R246" s="21"/>
      <c r="T246" s="21"/>
      <c r="W246" s="46"/>
      <c r="X246" s="92" t="s">
        <v>78</v>
      </c>
      <c r="Y246" s="92" t="s">
        <v>78</v>
      </c>
      <c r="Z246" s="92" t="s">
        <v>78</v>
      </c>
    </row>
    <row r="247" spans="1:26" ht="16" hidden="1" x14ac:dyDescent="0.4">
      <c r="A247" s="92">
        <v>1219</v>
      </c>
      <c r="B247" s="92">
        <v>1220</v>
      </c>
      <c r="E247" s="92">
        <v>50</v>
      </c>
      <c r="F247" s="92">
        <f>_xlfn.XLOOKUP(B247, DATA_Moresby_2024_ALL!B:B, DATA_Moresby_2024_ALL!G:G, "")</f>
        <v>0</v>
      </c>
      <c r="G247" s="93"/>
      <c r="H247" s="92">
        <v>8</v>
      </c>
      <c r="I247" s="92" t="str">
        <f t="shared" si="15"/>
        <v>X</v>
      </c>
      <c r="J247" s="79" t="str">
        <f>IF(G247="","X",_xlfn.XLOOKUP(B247,DATA_Moresby_2024_ALL!B:B,DATA_Moresby_2024_ALL!K:K,""))</f>
        <v>X</v>
      </c>
      <c r="K247" s="28"/>
      <c r="L247" s="29"/>
      <c r="M247" s="28"/>
      <c r="N247" s="19" t="str">
        <f t="shared" si="17"/>
        <v/>
      </c>
      <c r="O247" s="19" t="str">
        <f t="shared" si="16"/>
        <v/>
      </c>
      <c r="P247" s="19" t="str">
        <f t="shared" si="16"/>
        <v/>
      </c>
      <c r="Q247" s="19" t="str">
        <f t="shared" si="16"/>
        <v/>
      </c>
      <c r="R247" s="21"/>
      <c r="T247" s="21"/>
      <c r="W247" s="46"/>
      <c r="X247" s="92" t="s">
        <v>78</v>
      </c>
      <c r="Y247" s="92" t="s">
        <v>78</v>
      </c>
      <c r="Z247" s="92" t="s">
        <v>78</v>
      </c>
    </row>
    <row r="248" spans="1:26" ht="16" hidden="1" x14ac:dyDescent="0.4">
      <c r="A248" s="92">
        <v>1224</v>
      </c>
      <c r="B248" s="92">
        <v>1225</v>
      </c>
      <c r="E248" s="92">
        <v>50</v>
      </c>
      <c r="F248" s="92">
        <f>_xlfn.XLOOKUP(B248, DATA_Moresby_2024_ALL!B:B, DATA_Moresby_2024_ALL!G:G, "")</f>
        <v>0</v>
      </c>
      <c r="G248" s="93"/>
      <c r="H248" s="92">
        <v>8</v>
      </c>
      <c r="I248" s="92" t="str">
        <f t="shared" si="15"/>
        <v>X</v>
      </c>
      <c r="J248" s="79" t="str">
        <f>IF(G248="","X",_xlfn.XLOOKUP(B248,DATA_Moresby_2024_ALL!B:B,DATA_Moresby_2024_ALL!K:K,""))</f>
        <v>X</v>
      </c>
      <c r="K248" s="28"/>
      <c r="L248" s="29"/>
      <c r="M248" s="28"/>
      <c r="N248" s="19" t="str">
        <f t="shared" si="17"/>
        <v/>
      </c>
      <c r="O248" s="19" t="str">
        <f t="shared" si="16"/>
        <v/>
      </c>
      <c r="P248" s="19" t="str">
        <f t="shared" si="16"/>
        <v/>
      </c>
      <c r="Q248" s="19" t="str">
        <f t="shared" si="16"/>
        <v/>
      </c>
      <c r="R248" s="21"/>
      <c r="T248" s="21"/>
      <c r="W248" s="46"/>
      <c r="X248" s="92" t="s">
        <v>78</v>
      </c>
      <c r="Y248" s="92" t="s">
        <v>78</v>
      </c>
      <c r="Z248" s="92" t="s">
        <v>78</v>
      </c>
    </row>
    <row r="249" spans="1:26" ht="16" hidden="1" x14ac:dyDescent="0.4">
      <c r="A249" s="92">
        <v>1229</v>
      </c>
      <c r="B249" s="92">
        <v>1230</v>
      </c>
      <c r="E249" s="92">
        <v>50</v>
      </c>
      <c r="F249" s="92">
        <f>_xlfn.XLOOKUP(B249, DATA_Moresby_2024_ALL!B:B, DATA_Moresby_2024_ALL!G:G, "")</f>
        <v>0</v>
      </c>
      <c r="G249" s="93"/>
      <c r="H249" s="92">
        <v>8</v>
      </c>
      <c r="I249" s="92" t="str">
        <f t="shared" si="15"/>
        <v>X</v>
      </c>
      <c r="J249" s="79" t="str">
        <f>IF(G249="","X",_xlfn.XLOOKUP(B249,DATA_Moresby_2024_ALL!B:B,DATA_Moresby_2024_ALL!K:K,""))</f>
        <v>X</v>
      </c>
      <c r="K249" s="28"/>
      <c r="L249" s="29"/>
      <c r="M249" s="28"/>
      <c r="N249" s="19" t="str">
        <f t="shared" si="17"/>
        <v/>
      </c>
      <c r="O249" s="19" t="str">
        <f t="shared" si="16"/>
        <v/>
      </c>
      <c r="P249" s="19" t="str">
        <f t="shared" si="16"/>
        <v/>
      </c>
      <c r="Q249" s="19" t="str">
        <f t="shared" si="16"/>
        <v/>
      </c>
      <c r="R249" s="21"/>
      <c r="T249" s="21"/>
      <c r="W249" s="46"/>
      <c r="X249" s="92" t="s">
        <v>78</v>
      </c>
      <c r="Y249" s="92" t="s">
        <v>78</v>
      </c>
      <c r="Z249" s="92" t="s">
        <v>78</v>
      </c>
    </row>
    <row r="250" spans="1:26" ht="16" hidden="1" x14ac:dyDescent="0.4">
      <c r="A250" s="92">
        <v>1234</v>
      </c>
      <c r="B250" s="92">
        <v>1235</v>
      </c>
      <c r="E250" s="92">
        <v>50</v>
      </c>
      <c r="F250" s="92">
        <f>_xlfn.XLOOKUP(B250, DATA_Moresby_2024_ALL!B:B, DATA_Moresby_2024_ALL!G:G, "")</f>
        <v>0</v>
      </c>
      <c r="G250" s="93"/>
      <c r="H250" s="92">
        <v>8</v>
      </c>
      <c r="I250" s="92" t="str">
        <f t="shared" si="15"/>
        <v>X</v>
      </c>
      <c r="J250" s="79" t="str">
        <f>IF(G250="","X",_xlfn.XLOOKUP(B250,DATA_Moresby_2024_ALL!B:B,DATA_Moresby_2024_ALL!K:K,""))</f>
        <v>X</v>
      </c>
      <c r="K250" s="28"/>
      <c r="L250" s="29"/>
      <c r="M250" s="28"/>
      <c r="N250" s="19" t="str">
        <f t="shared" si="17"/>
        <v/>
      </c>
      <c r="O250" s="19" t="str">
        <f t="shared" si="16"/>
        <v/>
      </c>
      <c r="P250" s="19" t="str">
        <f t="shared" si="16"/>
        <v/>
      </c>
      <c r="Q250" s="19" t="str">
        <f t="shared" si="16"/>
        <v/>
      </c>
      <c r="R250" s="21"/>
      <c r="T250" s="21"/>
      <c r="W250" s="46"/>
      <c r="X250" s="92" t="s">
        <v>78</v>
      </c>
      <c r="Y250" s="92" t="s">
        <v>78</v>
      </c>
      <c r="Z250" s="92" t="s">
        <v>78</v>
      </c>
    </row>
    <row r="251" spans="1:26" ht="16" hidden="1" x14ac:dyDescent="0.4">
      <c r="A251" s="92">
        <v>1239</v>
      </c>
      <c r="B251" s="92">
        <v>1240</v>
      </c>
      <c r="E251" s="92">
        <v>50</v>
      </c>
      <c r="F251" s="92">
        <f>_xlfn.XLOOKUP(B251, DATA_Moresby_2024_ALL!B:B, DATA_Moresby_2024_ALL!G:G, "")</f>
        <v>0</v>
      </c>
      <c r="G251" s="93"/>
      <c r="H251" s="92">
        <v>8</v>
      </c>
      <c r="I251" s="92" t="str">
        <f t="shared" si="15"/>
        <v>X</v>
      </c>
      <c r="J251" s="79" t="str">
        <f>IF(G251="","X",_xlfn.XLOOKUP(B251,DATA_Moresby_2024_ALL!B:B,DATA_Moresby_2024_ALL!K:K,""))</f>
        <v>X</v>
      </c>
      <c r="K251" s="28"/>
      <c r="L251" s="29"/>
      <c r="M251" s="28"/>
      <c r="N251" s="19" t="str">
        <f t="shared" si="17"/>
        <v/>
      </c>
      <c r="O251" s="19" t="str">
        <f t="shared" si="16"/>
        <v/>
      </c>
      <c r="P251" s="19" t="str">
        <f t="shared" si="16"/>
        <v/>
      </c>
      <c r="Q251" s="19" t="str">
        <f t="shared" si="16"/>
        <v/>
      </c>
      <c r="R251" s="21"/>
      <c r="T251" s="21"/>
      <c r="W251" s="46"/>
      <c r="X251" s="92" t="s">
        <v>78</v>
      </c>
      <c r="Y251" s="92" t="s">
        <v>78</v>
      </c>
      <c r="Z251" s="92" t="s">
        <v>78</v>
      </c>
    </row>
    <row r="252" spans="1:26" ht="16" hidden="1" x14ac:dyDescent="0.4">
      <c r="A252" s="92">
        <v>1244</v>
      </c>
      <c r="B252" s="92">
        <v>1245</v>
      </c>
      <c r="E252" s="92">
        <v>50</v>
      </c>
      <c r="F252" s="92">
        <f>_xlfn.XLOOKUP(B252, DATA_Moresby_2024_ALL!B:B, DATA_Moresby_2024_ALL!G:G, "")</f>
        <v>0</v>
      </c>
      <c r="G252" s="93"/>
      <c r="H252" s="92">
        <v>8</v>
      </c>
      <c r="I252" s="92" t="str">
        <f t="shared" si="15"/>
        <v>X</v>
      </c>
      <c r="J252" s="79" t="str">
        <f>IF(G252="","X",_xlfn.XLOOKUP(B252,DATA_Moresby_2024_ALL!B:B,DATA_Moresby_2024_ALL!K:K,""))</f>
        <v>X</v>
      </c>
      <c r="K252" s="28"/>
      <c r="L252" s="29"/>
      <c r="M252" s="28"/>
      <c r="N252" s="19" t="str">
        <f t="shared" si="17"/>
        <v/>
      </c>
      <c r="O252" s="19" t="str">
        <f t="shared" si="16"/>
        <v/>
      </c>
      <c r="P252" s="19" t="str">
        <f t="shared" si="16"/>
        <v/>
      </c>
      <c r="Q252" s="19" t="str">
        <f t="shared" si="16"/>
        <v/>
      </c>
      <c r="R252" s="21"/>
      <c r="T252" s="21"/>
      <c r="W252" s="46"/>
      <c r="X252" s="92" t="s">
        <v>78</v>
      </c>
      <c r="Y252" s="92" t="s">
        <v>78</v>
      </c>
      <c r="Z252" s="92" t="s">
        <v>78</v>
      </c>
    </row>
    <row r="253" spans="1:26" ht="16" hidden="1" x14ac:dyDescent="0.4">
      <c r="A253" s="92">
        <v>1249</v>
      </c>
      <c r="B253" s="92">
        <v>1250</v>
      </c>
      <c r="E253" s="92">
        <v>50</v>
      </c>
      <c r="F253" s="92">
        <f>_xlfn.XLOOKUP(B253, DATA_Moresby_2024_ALL!B:B, DATA_Moresby_2024_ALL!G:G, "")</f>
        <v>0</v>
      </c>
      <c r="G253" s="93"/>
      <c r="H253" s="92">
        <v>8</v>
      </c>
      <c r="I253" s="92" t="str">
        <f t="shared" si="15"/>
        <v>X</v>
      </c>
      <c r="J253" s="79" t="str">
        <f>IF(G253="","X",_xlfn.XLOOKUP(B253,DATA_Moresby_2024_ALL!B:B,DATA_Moresby_2024_ALL!K:K,""))</f>
        <v>X</v>
      </c>
      <c r="K253" s="28"/>
      <c r="L253" s="29"/>
      <c r="M253" s="28"/>
      <c r="N253" s="19" t="str">
        <f t="shared" si="17"/>
        <v/>
      </c>
      <c r="O253" s="19" t="str">
        <f t="shared" si="16"/>
        <v/>
      </c>
      <c r="P253" s="19" t="str">
        <f t="shared" si="16"/>
        <v/>
      </c>
      <c r="Q253" s="19" t="str">
        <f t="shared" si="16"/>
        <v/>
      </c>
      <c r="R253" s="21"/>
      <c r="T253" s="21"/>
      <c r="W253" s="46"/>
      <c r="X253" s="92" t="s">
        <v>78</v>
      </c>
      <c r="Y253" s="92" t="s">
        <v>78</v>
      </c>
      <c r="Z253" s="92" t="s">
        <v>78</v>
      </c>
    </row>
    <row r="254" spans="1:26" ht="16" hidden="1" x14ac:dyDescent="0.4">
      <c r="A254" s="92">
        <v>1254</v>
      </c>
      <c r="B254" s="92">
        <v>1255</v>
      </c>
      <c r="E254" s="92">
        <v>50</v>
      </c>
      <c r="F254" s="92">
        <f>_xlfn.XLOOKUP(B254, DATA_Moresby_2024_ALL!B:B, DATA_Moresby_2024_ALL!G:G, "")</f>
        <v>0</v>
      </c>
      <c r="G254" s="93"/>
      <c r="H254" s="92">
        <v>8</v>
      </c>
      <c r="I254" s="92" t="str">
        <f t="shared" si="15"/>
        <v>X</v>
      </c>
      <c r="J254" s="79" t="str">
        <f>IF(G254="","X",_xlfn.XLOOKUP(B254,DATA_Moresby_2024_ALL!B:B,DATA_Moresby_2024_ALL!K:K,""))</f>
        <v>X</v>
      </c>
      <c r="K254" s="28"/>
      <c r="L254" s="29"/>
      <c r="M254" s="28"/>
      <c r="N254" s="19" t="str">
        <f t="shared" si="17"/>
        <v/>
      </c>
      <c r="O254" s="19" t="str">
        <f t="shared" si="16"/>
        <v/>
      </c>
      <c r="P254" s="19" t="str">
        <f t="shared" si="16"/>
        <v/>
      </c>
      <c r="Q254" s="19" t="str">
        <f t="shared" si="16"/>
        <v/>
      </c>
      <c r="R254" s="21"/>
      <c r="T254" s="21"/>
      <c r="W254" s="46"/>
      <c r="X254" s="92" t="s">
        <v>78</v>
      </c>
      <c r="Y254" s="92" t="s">
        <v>78</v>
      </c>
      <c r="Z254" s="92" t="s">
        <v>78</v>
      </c>
    </row>
    <row r="255" spans="1:26" ht="16" hidden="1" x14ac:dyDescent="0.4">
      <c r="A255" s="92">
        <v>1259</v>
      </c>
      <c r="B255" s="92">
        <v>1260</v>
      </c>
      <c r="E255" s="92">
        <v>50</v>
      </c>
      <c r="F255" s="92">
        <f>_xlfn.XLOOKUP(B255, DATA_Moresby_2024_ALL!B:B, DATA_Moresby_2024_ALL!G:G, "")</f>
        <v>0</v>
      </c>
      <c r="G255" s="93"/>
      <c r="H255" s="92">
        <v>8</v>
      </c>
      <c r="I255" s="92" t="str">
        <f t="shared" si="15"/>
        <v>X</v>
      </c>
      <c r="J255" s="79" t="str">
        <f>IF(G255="","X",_xlfn.XLOOKUP(B255,DATA_Moresby_2024_ALL!B:B,DATA_Moresby_2024_ALL!K:K,""))</f>
        <v>X</v>
      </c>
      <c r="K255" s="28"/>
      <c r="L255" s="29"/>
      <c r="M255" s="28"/>
      <c r="N255" s="19" t="str">
        <f t="shared" si="17"/>
        <v/>
      </c>
      <c r="O255" s="19" t="str">
        <f t="shared" si="16"/>
        <v/>
      </c>
      <c r="P255" s="19" t="str">
        <f t="shared" si="16"/>
        <v/>
      </c>
      <c r="Q255" s="19" t="str">
        <f t="shared" si="16"/>
        <v/>
      </c>
      <c r="R255" s="21"/>
      <c r="T255" s="21"/>
      <c r="W255" s="46"/>
      <c r="X255" s="92" t="s">
        <v>78</v>
      </c>
      <c r="Y255" s="92" t="s">
        <v>78</v>
      </c>
      <c r="Z255" s="92" t="s">
        <v>78</v>
      </c>
    </row>
    <row r="256" spans="1:26" ht="16" hidden="1" x14ac:dyDescent="0.4">
      <c r="A256" s="92">
        <v>1264</v>
      </c>
      <c r="B256" s="92">
        <v>1265</v>
      </c>
      <c r="E256" s="92">
        <v>50</v>
      </c>
      <c r="F256" s="92">
        <f>_xlfn.XLOOKUP(B256, DATA_Moresby_2024_ALL!B:B, DATA_Moresby_2024_ALL!G:G, "")</f>
        <v>0</v>
      </c>
      <c r="G256" s="93"/>
      <c r="H256" s="92">
        <v>8</v>
      </c>
      <c r="I256" s="92" t="str">
        <f t="shared" si="15"/>
        <v>X</v>
      </c>
      <c r="J256" s="79" t="str">
        <f>IF(G256="","X",_xlfn.XLOOKUP(B256,DATA_Moresby_2024_ALL!B:B,DATA_Moresby_2024_ALL!K:K,""))</f>
        <v>X</v>
      </c>
      <c r="K256" s="28"/>
      <c r="L256" s="29"/>
      <c r="M256" s="28"/>
      <c r="N256" s="19" t="str">
        <f t="shared" si="17"/>
        <v/>
      </c>
      <c r="O256" s="19" t="str">
        <f t="shared" si="16"/>
        <v/>
      </c>
      <c r="P256" s="19" t="str">
        <f t="shared" si="16"/>
        <v/>
      </c>
      <c r="Q256" s="19" t="str">
        <f t="shared" si="16"/>
        <v/>
      </c>
      <c r="R256" s="21"/>
      <c r="T256" s="21"/>
      <c r="W256" s="46"/>
      <c r="X256" s="92" t="s">
        <v>78</v>
      </c>
      <c r="Y256" s="92" t="s">
        <v>78</v>
      </c>
      <c r="Z256" s="92" t="s">
        <v>78</v>
      </c>
    </row>
    <row r="257" spans="1:26" ht="16" hidden="1" x14ac:dyDescent="0.4">
      <c r="A257" s="92">
        <v>1269</v>
      </c>
      <c r="B257" s="92">
        <v>1270</v>
      </c>
      <c r="E257" s="92">
        <v>50</v>
      </c>
      <c r="F257" s="92">
        <f>_xlfn.XLOOKUP(B257, DATA_Moresby_2024_ALL!B:B, DATA_Moresby_2024_ALL!G:G, "")</f>
        <v>0</v>
      </c>
      <c r="G257" s="93"/>
      <c r="H257" s="92">
        <v>8</v>
      </c>
      <c r="I257" s="92" t="str">
        <f t="shared" si="15"/>
        <v>X</v>
      </c>
      <c r="J257" s="79" t="str">
        <f>IF(G257="","X",_xlfn.XLOOKUP(B257,DATA_Moresby_2024_ALL!B:B,DATA_Moresby_2024_ALL!K:K,""))</f>
        <v>X</v>
      </c>
      <c r="K257" s="28"/>
      <c r="L257" s="29"/>
      <c r="M257" s="28"/>
      <c r="N257" s="19" t="str">
        <f t="shared" si="17"/>
        <v/>
      </c>
      <c r="O257" s="19" t="str">
        <f t="shared" si="16"/>
        <v/>
      </c>
      <c r="P257" s="19" t="str">
        <f t="shared" si="16"/>
        <v/>
      </c>
      <c r="Q257" s="19" t="str">
        <f t="shared" si="16"/>
        <v/>
      </c>
      <c r="R257" s="21"/>
      <c r="T257" s="21"/>
      <c r="W257" s="46"/>
      <c r="X257" s="92" t="s">
        <v>78</v>
      </c>
      <c r="Y257" s="92" t="s">
        <v>78</v>
      </c>
      <c r="Z257" s="92" t="s">
        <v>78</v>
      </c>
    </row>
    <row r="258" spans="1:26" ht="16" hidden="1" x14ac:dyDescent="0.4">
      <c r="A258" s="92">
        <v>1274</v>
      </c>
      <c r="B258" s="92">
        <v>1275</v>
      </c>
      <c r="E258" s="92">
        <v>50</v>
      </c>
      <c r="F258" s="92">
        <f>_xlfn.XLOOKUP(B258, DATA_Moresby_2024_ALL!B:B, DATA_Moresby_2024_ALL!G:G, "")</f>
        <v>0</v>
      </c>
      <c r="G258" s="93"/>
      <c r="H258" s="92">
        <v>8</v>
      </c>
      <c r="I258" s="92" t="str">
        <f t="shared" si="15"/>
        <v>X</v>
      </c>
      <c r="J258" s="79" t="str">
        <f>IF(G258="","X",_xlfn.XLOOKUP(B258,DATA_Moresby_2024_ALL!B:B,DATA_Moresby_2024_ALL!K:K,""))</f>
        <v>X</v>
      </c>
      <c r="K258" s="28"/>
      <c r="L258" s="29"/>
      <c r="M258" s="28"/>
      <c r="N258" s="19" t="str">
        <f t="shared" si="17"/>
        <v/>
      </c>
      <c r="O258" s="19" t="str">
        <f t="shared" si="16"/>
        <v/>
      </c>
      <c r="P258" s="19" t="str">
        <f t="shared" si="16"/>
        <v/>
      </c>
      <c r="Q258" s="19" t="str">
        <f t="shared" si="16"/>
        <v/>
      </c>
      <c r="R258" s="21"/>
      <c r="T258" s="21"/>
      <c r="W258" s="46"/>
      <c r="X258" s="92" t="s">
        <v>78</v>
      </c>
      <c r="Y258" s="92" t="s">
        <v>78</v>
      </c>
      <c r="Z258" s="92" t="s">
        <v>78</v>
      </c>
    </row>
    <row r="259" spans="1:26" ht="16" hidden="1" x14ac:dyDescent="0.4">
      <c r="A259" s="92">
        <v>1279</v>
      </c>
      <c r="B259" s="92">
        <v>1280</v>
      </c>
      <c r="E259" s="92">
        <v>50</v>
      </c>
      <c r="F259" s="92">
        <f>_xlfn.XLOOKUP(B259, DATA_Moresby_2024_ALL!B:B, DATA_Moresby_2024_ALL!G:G, "")</f>
        <v>0</v>
      </c>
      <c r="G259" s="93"/>
      <c r="H259" s="92">
        <v>8</v>
      </c>
      <c r="I259" s="92" t="str">
        <f t="shared" si="15"/>
        <v>X</v>
      </c>
      <c r="J259" s="79" t="str">
        <f>IF(G259="","X",_xlfn.XLOOKUP(B259,DATA_Moresby_2024_ALL!B:B,DATA_Moresby_2024_ALL!K:K,""))</f>
        <v>X</v>
      </c>
      <c r="K259" s="28"/>
      <c r="L259" s="29"/>
      <c r="M259" s="28"/>
      <c r="N259" s="19" t="str">
        <f t="shared" si="17"/>
        <v/>
      </c>
      <c r="O259" s="19" t="str">
        <f t="shared" si="16"/>
        <v/>
      </c>
      <c r="P259" s="19" t="str">
        <f t="shared" si="16"/>
        <v/>
      </c>
      <c r="Q259" s="19" t="str">
        <f t="shared" si="16"/>
        <v/>
      </c>
      <c r="R259" s="21"/>
      <c r="T259" s="21"/>
      <c r="W259" s="46"/>
      <c r="X259" s="92" t="s">
        <v>78</v>
      </c>
      <c r="Y259" s="92" t="s">
        <v>78</v>
      </c>
      <c r="Z259" s="92" t="s">
        <v>78</v>
      </c>
    </row>
    <row r="260" spans="1:26" ht="16" hidden="1" x14ac:dyDescent="0.4">
      <c r="A260" s="92">
        <v>1284</v>
      </c>
      <c r="B260" s="92">
        <v>1285</v>
      </c>
      <c r="E260" s="92">
        <v>50</v>
      </c>
      <c r="F260" s="92">
        <f>_xlfn.XLOOKUP(B260, DATA_Moresby_2024_ALL!B:B, DATA_Moresby_2024_ALL!G:G, "")</f>
        <v>0</v>
      </c>
      <c r="G260" s="93"/>
      <c r="H260" s="92">
        <v>8</v>
      </c>
      <c r="I260" s="92" t="str">
        <f t="shared" si="15"/>
        <v>X</v>
      </c>
      <c r="J260" s="79" t="str">
        <f>IF(G260="","X",_xlfn.XLOOKUP(B260,DATA_Moresby_2024_ALL!B:B,DATA_Moresby_2024_ALL!K:K,""))</f>
        <v>X</v>
      </c>
      <c r="K260" s="28"/>
      <c r="L260" s="29"/>
      <c r="M260" s="28"/>
      <c r="N260" s="19" t="str">
        <f t="shared" si="17"/>
        <v/>
      </c>
      <c r="O260" s="19" t="str">
        <f t="shared" si="16"/>
        <v/>
      </c>
      <c r="P260" s="19" t="str">
        <f t="shared" si="16"/>
        <v/>
      </c>
      <c r="Q260" s="19" t="str">
        <f t="shared" si="16"/>
        <v/>
      </c>
      <c r="R260" s="21"/>
      <c r="T260" s="21"/>
      <c r="W260" s="46"/>
      <c r="X260" s="92" t="s">
        <v>78</v>
      </c>
      <c r="Y260" s="92" t="s">
        <v>78</v>
      </c>
      <c r="Z260" s="92" t="s">
        <v>78</v>
      </c>
    </row>
    <row r="261" spans="1:26" ht="16" hidden="1" x14ac:dyDescent="0.4">
      <c r="A261" s="92">
        <v>1289</v>
      </c>
      <c r="B261" s="92">
        <v>1290</v>
      </c>
      <c r="E261" s="92">
        <v>50</v>
      </c>
      <c r="F261" s="92">
        <f>_xlfn.XLOOKUP(B261, DATA_Moresby_2024_ALL!B:B, DATA_Moresby_2024_ALL!G:G, "")</f>
        <v>0</v>
      </c>
      <c r="G261" s="93"/>
      <c r="H261" s="92">
        <v>8</v>
      </c>
      <c r="I261" s="92" t="str">
        <f t="shared" si="15"/>
        <v>X</v>
      </c>
      <c r="J261" s="79" t="str">
        <f>IF(G261="","X",_xlfn.XLOOKUP(B261,DATA_Moresby_2024_ALL!B:B,DATA_Moresby_2024_ALL!K:K,""))</f>
        <v>X</v>
      </c>
      <c r="K261" s="28"/>
      <c r="L261" s="29"/>
      <c r="M261" s="28"/>
      <c r="N261" s="19" t="str">
        <f t="shared" si="17"/>
        <v/>
      </c>
      <c r="O261" s="19" t="str">
        <f t="shared" si="16"/>
        <v/>
      </c>
      <c r="P261" s="19" t="str">
        <f t="shared" si="16"/>
        <v/>
      </c>
      <c r="Q261" s="19" t="str">
        <f t="shared" si="16"/>
        <v/>
      </c>
      <c r="R261" s="21"/>
      <c r="T261" s="21"/>
      <c r="W261" s="46"/>
      <c r="X261" s="92" t="s">
        <v>78</v>
      </c>
      <c r="Y261" s="92" t="s">
        <v>78</v>
      </c>
      <c r="Z261" s="92" t="s">
        <v>78</v>
      </c>
    </row>
    <row r="262" spans="1:26" ht="16" hidden="1" x14ac:dyDescent="0.4">
      <c r="A262" s="92">
        <v>1294</v>
      </c>
      <c r="B262" s="92">
        <v>1295</v>
      </c>
      <c r="E262" s="92">
        <v>50</v>
      </c>
      <c r="F262" s="92">
        <f>_xlfn.XLOOKUP(B262, DATA_Moresby_2024_ALL!B:B, DATA_Moresby_2024_ALL!G:G, "")</f>
        <v>0</v>
      </c>
      <c r="G262" s="93"/>
      <c r="H262" s="92">
        <v>8</v>
      </c>
      <c r="I262" s="92" t="str">
        <f t="shared" si="15"/>
        <v>X</v>
      </c>
      <c r="J262" s="79" t="str">
        <f>IF(G262="","X",_xlfn.XLOOKUP(B262,DATA_Moresby_2024_ALL!B:B,DATA_Moresby_2024_ALL!K:K,""))</f>
        <v>X</v>
      </c>
      <c r="K262" s="28"/>
      <c r="L262" s="29"/>
      <c r="M262" s="28"/>
      <c r="N262" s="19" t="str">
        <f t="shared" si="17"/>
        <v/>
      </c>
      <c r="O262" s="19" t="str">
        <f t="shared" si="16"/>
        <v/>
      </c>
      <c r="P262" s="19" t="str">
        <f t="shared" si="16"/>
        <v/>
      </c>
      <c r="Q262" s="19" t="str">
        <f t="shared" si="16"/>
        <v/>
      </c>
      <c r="R262" s="21"/>
      <c r="T262" s="21"/>
      <c r="W262" s="46"/>
      <c r="X262" s="92" t="s">
        <v>78</v>
      </c>
      <c r="Y262" s="92" t="s">
        <v>78</v>
      </c>
      <c r="Z262" s="92" t="s">
        <v>78</v>
      </c>
    </row>
    <row r="263" spans="1:26" ht="16" hidden="1" x14ac:dyDescent="0.4">
      <c r="A263" s="92">
        <v>1299</v>
      </c>
      <c r="B263" s="92">
        <v>1300</v>
      </c>
      <c r="E263" s="92">
        <v>50</v>
      </c>
      <c r="F263" s="92">
        <f>_xlfn.XLOOKUP(B263, DATA_Moresby_2024_ALL!B:B, DATA_Moresby_2024_ALL!G:G, "")</f>
        <v>0</v>
      </c>
      <c r="G263" s="93"/>
      <c r="H263" s="92">
        <v>8</v>
      </c>
      <c r="I263" s="92" t="str">
        <f t="shared" si="15"/>
        <v>X</v>
      </c>
      <c r="J263" s="79" t="str">
        <f>IF(G263="","X",_xlfn.XLOOKUP(B263,DATA_Moresby_2024_ALL!B:B,DATA_Moresby_2024_ALL!K:K,""))</f>
        <v>X</v>
      </c>
      <c r="K263" s="28"/>
      <c r="L263" s="29"/>
      <c r="M263" s="28"/>
      <c r="N263" s="19" t="str">
        <f t="shared" si="17"/>
        <v/>
      </c>
      <c r="O263" s="19" t="str">
        <f t="shared" si="16"/>
        <v/>
      </c>
      <c r="P263" s="19" t="str">
        <f t="shared" si="16"/>
        <v/>
      </c>
      <c r="Q263" s="19" t="str">
        <f t="shared" si="16"/>
        <v/>
      </c>
      <c r="R263" s="21"/>
      <c r="T263" s="21"/>
      <c r="W263" s="46"/>
      <c r="X263" s="92" t="s">
        <v>78</v>
      </c>
      <c r="Y263" s="92" t="s">
        <v>78</v>
      </c>
      <c r="Z263" s="92" t="s">
        <v>78</v>
      </c>
    </row>
    <row r="264" spans="1:26" ht="16" hidden="1" x14ac:dyDescent="0.4">
      <c r="A264" s="92">
        <v>1304</v>
      </c>
      <c r="B264" s="92">
        <v>1305</v>
      </c>
      <c r="E264" s="92">
        <v>50</v>
      </c>
      <c r="F264" s="92">
        <f>_xlfn.XLOOKUP(B264, DATA_Moresby_2024_ALL!B:B, DATA_Moresby_2024_ALL!G:G, "")</f>
        <v>0</v>
      </c>
      <c r="G264" s="93"/>
      <c r="H264" s="92">
        <v>8</v>
      </c>
      <c r="I264" s="92" t="str">
        <f t="shared" si="15"/>
        <v>X</v>
      </c>
      <c r="J264" s="79" t="str">
        <f>IF(G264="","X",_xlfn.XLOOKUP(B264,DATA_Moresby_2024_ALL!B:B,DATA_Moresby_2024_ALL!K:K,""))</f>
        <v>X</v>
      </c>
      <c r="K264" s="28"/>
      <c r="L264" s="29"/>
      <c r="M264" s="28"/>
      <c r="N264" s="19" t="str">
        <f t="shared" si="17"/>
        <v/>
      </c>
      <c r="O264" s="19" t="str">
        <f t="shared" si="16"/>
        <v/>
      </c>
      <c r="P264" s="19" t="str">
        <f t="shared" si="16"/>
        <v/>
      </c>
      <c r="Q264" s="19" t="str">
        <f t="shared" si="16"/>
        <v/>
      </c>
      <c r="R264" s="21"/>
      <c r="T264" s="21"/>
      <c r="W264" s="46"/>
      <c r="X264" s="92" t="s">
        <v>78</v>
      </c>
      <c r="Y264" s="92" t="s">
        <v>78</v>
      </c>
      <c r="Z264" s="92" t="s">
        <v>78</v>
      </c>
    </row>
    <row r="265" spans="1:26" ht="16" hidden="1" x14ac:dyDescent="0.4">
      <c r="A265" s="92">
        <v>1309</v>
      </c>
      <c r="B265" s="92">
        <v>1310</v>
      </c>
      <c r="E265" s="92">
        <v>50</v>
      </c>
      <c r="F265" s="92">
        <f>_xlfn.XLOOKUP(B265, DATA_Moresby_2024_ALL!B:B, DATA_Moresby_2024_ALL!G:G, "")</f>
        <v>0</v>
      </c>
      <c r="G265" s="93"/>
      <c r="H265" s="92">
        <v>8</v>
      </c>
      <c r="I265" s="92" t="str">
        <f t="shared" si="15"/>
        <v>X</v>
      </c>
      <c r="J265" s="79" t="str">
        <f>IF(G265="","X",_xlfn.XLOOKUP(B265,DATA_Moresby_2024_ALL!B:B,DATA_Moresby_2024_ALL!K:K,""))</f>
        <v>X</v>
      </c>
      <c r="K265" s="28"/>
      <c r="L265" s="29"/>
      <c r="M265" s="28"/>
      <c r="N265" s="19" t="str">
        <f t="shared" si="17"/>
        <v/>
      </c>
      <c r="O265" s="19" t="str">
        <f t="shared" si="16"/>
        <v/>
      </c>
      <c r="P265" s="19" t="str">
        <f t="shared" si="16"/>
        <v/>
      </c>
      <c r="Q265" s="19" t="str">
        <f t="shared" si="16"/>
        <v/>
      </c>
      <c r="R265" s="21"/>
      <c r="T265" s="21"/>
      <c r="W265" s="46"/>
      <c r="X265" s="92" t="s">
        <v>78</v>
      </c>
      <c r="Y265" s="92" t="s">
        <v>78</v>
      </c>
      <c r="Z265" s="92" t="s">
        <v>78</v>
      </c>
    </row>
    <row r="266" spans="1:26" ht="16" hidden="1" x14ac:dyDescent="0.4">
      <c r="A266" s="92">
        <v>1314</v>
      </c>
      <c r="B266" s="92">
        <v>1315</v>
      </c>
      <c r="E266" s="92">
        <v>50</v>
      </c>
      <c r="F266" s="92">
        <f>_xlfn.XLOOKUP(B266, DATA_Moresby_2024_ALL!B:B, DATA_Moresby_2024_ALL!G:G, "")</f>
        <v>0</v>
      </c>
      <c r="G266" s="93"/>
      <c r="H266" s="92">
        <v>8</v>
      </c>
      <c r="I266" s="92" t="str">
        <f t="shared" si="15"/>
        <v>X</v>
      </c>
      <c r="J266" s="79" t="str">
        <f>IF(G266="","X",_xlfn.XLOOKUP(B266,DATA_Moresby_2024_ALL!B:B,DATA_Moresby_2024_ALL!K:K,""))</f>
        <v>X</v>
      </c>
      <c r="K266" s="28"/>
      <c r="L266" s="29"/>
      <c r="M266" s="28"/>
      <c r="N266" s="19" t="str">
        <f t="shared" si="17"/>
        <v/>
      </c>
      <c r="O266" s="19" t="str">
        <f t="shared" si="16"/>
        <v/>
      </c>
      <c r="P266" s="19" t="str">
        <f t="shared" si="16"/>
        <v/>
      </c>
      <c r="Q266" s="19" t="str">
        <f t="shared" si="16"/>
        <v/>
      </c>
      <c r="R266" s="21"/>
      <c r="T266" s="21"/>
      <c r="W266" s="46"/>
      <c r="X266" s="92" t="s">
        <v>78</v>
      </c>
      <c r="Y266" s="92" t="s">
        <v>78</v>
      </c>
      <c r="Z266" s="92" t="s">
        <v>78</v>
      </c>
    </row>
    <row r="267" spans="1:26" ht="16" hidden="1" x14ac:dyDescent="0.4">
      <c r="A267" s="92">
        <v>1319</v>
      </c>
      <c r="B267" s="92">
        <v>1320</v>
      </c>
      <c r="E267" s="92">
        <v>50</v>
      </c>
      <c r="F267" s="92">
        <f>_xlfn.XLOOKUP(B267, DATA_Moresby_2024_ALL!B:B, DATA_Moresby_2024_ALL!G:G, "")</f>
        <v>0</v>
      </c>
      <c r="G267" s="93"/>
      <c r="H267" s="92">
        <v>8</v>
      </c>
      <c r="I267" s="92" t="str">
        <f t="shared" si="15"/>
        <v>X</v>
      </c>
      <c r="J267" s="79" t="str">
        <f>IF(G267="","X",_xlfn.XLOOKUP(B267,DATA_Moresby_2024_ALL!B:B,DATA_Moresby_2024_ALL!K:K,""))</f>
        <v>X</v>
      </c>
      <c r="K267" s="28"/>
      <c r="L267" s="29"/>
      <c r="M267" s="28"/>
      <c r="N267" s="19" t="str">
        <f t="shared" si="17"/>
        <v/>
      </c>
      <c r="O267" s="19" t="str">
        <f t="shared" si="16"/>
        <v/>
      </c>
      <c r="P267" s="19" t="str">
        <f t="shared" si="16"/>
        <v/>
      </c>
      <c r="Q267" s="19" t="str">
        <f t="shared" si="16"/>
        <v/>
      </c>
      <c r="R267" s="21"/>
      <c r="T267" s="21"/>
      <c r="W267" s="46"/>
      <c r="X267" s="92" t="s">
        <v>78</v>
      </c>
      <c r="Y267" s="92" t="s">
        <v>78</v>
      </c>
      <c r="Z267" s="92" t="s">
        <v>78</v>
      </c>
    </row>
    <row r="268" spans="1:26" ht="16" hidden="1" x14ac:dyDescent="0.4">
      <c r="A268" s="92">
        <v>1324</v>
      </c>
      <c r="B268" s="92">
        <v>1325</v>
      </c>
      <c r="E268" s="92">
        <v>50</v>
      </c>
      <c r="F268" s="92">
        <f>_xlfn.XLOOKUP(B268, DATA_Moresby_2024_ALL!B:B, DATA_Moresby_2024_ALL!G:G, "")</f>
        <v>0</v>
      </c>
      <c r="G268" s="93"/>
      <c r="H268" s="92">
        <v>8</v>
      </c>
      <c r="I268" s="92" t="str">
        <f t="shared" si="15"/>
        <v>X</v>
      </c>
      <c r="J268" s="79" t="str">
        <f>IF(G268="","X",_xlfn.XLOOKUP(B268,DATA_Moresby_2024_ALL!B:B,DATA_Moresby_2024_ALL!K:K,""))</f>
        <v>X</v>
      </c>
      <c r="K268" s="28"/>
      <c r="L268" s="29"/>
      <c r="M268" s="28"/>
      <c r="N268" s="19" t="str">
        <f t="shared" si="17"/>
        <v/>
      </c>
      <c r="O268" s="19" t="str">
        <f t="shared" si="16"/>
        <v/>
      </c>
      <c r="P268" s="19" t="str">
        <f t="shared" si="16"/>
        <v/>
      </c>
      <c r="Q268" s="19" t="str">
        <f t="shared" si="16"/>
        <v/>
      </c>
      <c r="R268" s="21"/>
      <c r="T268" s="21"/>
      <c r="W268" s="46"/>
      <c r="X268" s="92" t="s">
        <v>78</v>
      </c>
      <c r="Y268" s="92" t="s">
        <v>78</v>
      </c>
      <c r="Z268" s="92" t="s">
        <v>78</v>
      </c>
    </row>
    <row r="269" spans="1:26" ht="16" hidden="1" x14ac:dyDescent="0.4">
      <c r="A269" s="92">
        <v>1329</v>
      </c>
      <c r="B269" s="92">
        <v>1330</v>
      </c>
      <c r="E269" s="92">
        <v>50</v>
      </c>
      <c r="F269" s="92">
        <f>_xlfn.XLOOKUP(B269, DATA_Moresby_2024_ALL!B:B, DATA_Moresby_2024_ALL!G:G, "")</f>
        <v>0</v>
      </c>
      <c r="G269" s="93"/>
      <c r="H269" s="92">
        <v>8</v>
      </c>
      <c r="I269" s="92" t="str">
        <f t="shared" si="15"/>
        <v>X</v>
      </c>
      <c r="J269" s="79" t="str">
        <f>IF(G269="","X",_xlfn.XLOOKUP(B269,DATA_Moresby_2024_ALL!B:B,DATA_Moresby_2024_ALL!K:K,""))</f>
        <v>X</v>
      </c>
      <c r="K269" s="28"/>
      <c r="L269" s="29"/>
      <c r="M269" s="28"/>
      <c r="N269" s="19" t="str">
        <f t="shared" si="17"/>
        <v/>
      </c>
      <c r="O269" s="19" t="str">
        <f t="shared" si="16"/>
        <v/>
      </c>
      <c r="P269" s="19" t="str">
        <f t="shared" si="16"/>
        <v/>
      </c>
      <c r="Q269" s="19" t="str">
        <f t="shared" si="16"/>
        <v/>
      </c>
      <c r="R269" s="21"/>
      <c r="T269" s="21"/>
      <c r="W269" s="46"/>
      <c r="X269" s="92" t="s">
        <v>78</v>
      </c>
      <c r="Y269" s="92" t="s">
        <v>78</v>
      </c>
      <c r="Z269" s="92" t="s">
        <v>78</v>
      </c>
    </row>
    <row r="270" spans="1:26" ht="16" hidden="1" x14ac:dyDescent="0.4">
      <c r="A270" s="92">
        <v>1334</v>
      </c>
      <c r="B270" s="92">
        <v>1335</v>
      </c>
      <c r="E270" s="92">
        <v>50</v>
      </c>
      <c r="F270" s="92">
        <f>_xlfn.XLOOKUP(B270, DATA_Moresby_2024_ALL!B:B, DATA_Moresby_2024_ALL!G:G, "")</f>
        <v>0</v>
      </c>
      <c r="G270" s="93"/>
      <c r="H270" s="92">
        <v>8</v>
      </c>
      <c r="I270" s="92" t="str">
        <f t="shared" si="15"/>
        <v>X</v>
      </c>
      <c r="J270" s="79" t="str">
        <f>IF(G270="","X",_xlfn.XLOOKUP(B270,DATA_Moresby_2024_ALL!B:B,DATA_Moresby_2024_ALL!K:K,""))</f>
        <v>X</v>
      </c>
      <c r="K270" s="28"/>
      <c r="L270" s="29"/>
      <c r="M270" s="28"/>
      <c r="N270" s="19" t="str">
        <f t="shared" si="17"/>
        <v/>
      </c>
      <c r="O270" s="19" t="str">
        <f t="shared" si="16"/>
        <v/>
      </c>
      <c r="P270" s="19" t="str">
        <f t="shared" si="16"/>
        <v/>
      </c>
      <c r="Q270" s="19" t="str">
        <f t="shared" si="16"/>
        <v/>
      </c>
      <c r="R270" s="21"/>
      <c r="T270" s="21"/>
      <c r="W270" s="46"/>
      <c r="X270" s="92" t="s">
        <v>78</v>
      </c>
      <c r="Y270" s="92" t="s">
        <v>78</v>
      </c>
      <c r="Z270" s="92" t="s">
        <v>78</v>
      </c>
    </row>
    <row r="271" spans="1:26" ht="16" hidden="1" x14ac:dyDescent="0.4">
      <c r="A271" s="92">
        <v>1339</v>
      </c>
      <c r="B271" s="92">
        <v>1340</v>
      </c>
      <c r="E271" s="92">
        <v>50</v>
      </c>
      <c r="F271" s="92">
        <f>_xlfn.XLOOKUP(B271, DATA_Moresby_2024_ALL!B:B, DATA_Moresby_2024_ALL!G:G, "")</f>
        <v>0</v>
      </c>
      <c r="G271" s="93"/>
      <c r="H271" s="92">
        <v>8</v>
      </c>
      <c r="I271" s="92" t="str">
        <f t="shared" si="15"/>
        <v>X</v>
      </c>
      <c r="J271" s="79" t="str">
        <f>IF(G271="","X",_xlfn.XLOOKUP(B271,DATA_Moresby_2024_ALL!B:B,DATA_Moresby_2024_ALL!K:K,""))</f>
        <v>X</v>
      </c>
      <c r="K271" s="28"/>
      <c r="L271" s="29"/>
      <c r="M271" s="28"/>
      <c r="N271" s="19" t="str">
        <f t="shared" si="17"/>
        <v/>
      </c>
      <c r="O271" s="19" t="str">
        <f t="shared" si="16"/>
        <v/>
      </c>
      <c r="P271" s="19" t="str">
        <f t="shared" si="16"/>
        <v/>
      </c>
      <c r="Q271" s="19" t="str">
        <f t="shared" si="16"/>
        <v/>
      </c>
      <c r="R271" s="21"/>
      <c r="T271" s="21"/>
      <c r="W271" s="46"/>
      <c r="X271" s="92" t="s">
        <v>78</v>
      </c>
      <c r="Y271" s="92" t="s">
        <v>78</v>
      </c>
      <c r="Z271" s="92" t="s">
        <v>78</v>
      </c>
    </row>
    <row r="272" spans="1:26" ht="16" hidden="1" x14ac:dyDescent="0.4">
      <c r="A272" s="92">
        <v>1344</v>
      </c>
      <c r="B272" s="92">
        <v>1345</v>
      </c>
      <c r="E272" s="92">
        <v>50</v>
      </c>
      <c r="F272" s="92">
        <f>_xlfn.XLOOKUP(B272, DATA_Moresby_2024_ALL!B:B, DATA_Moresby_2024_ALL!G:G, "")</f>
        <v>0</v>
      </c>
      <c r="G272" s="93"/>
      <c r="H272" s="92">
        <v>8</v>
      </c>
      <c r="I272" s="92" t="str">
        <f t="shared" si="15"/>
        <v>X</v>
      </c>
      <c r="J272" s="79" t="str">
        <f>IF(G272="","X",_xlfn.XLOOKUP(B272,DATA_Moresby_2024_ALL!B:B,DATA_Moresby_2024_ALL!K:K,""))</f>
        <v>X</v>
      </c>
      <c r="K272" s="28"/>
      <c r="L272" s="29"/>
      <c r="M272" s="28"/>
      <c r="N272" s="19" t="str">
        <f t="shared" si="17"/>
        <v/>
      </c>
      <c r="O272" s="19" t="str">
        <f t="shared" si="16"/>
        <v/>
      </c>
      <c r="P272" s="19" t="str">
        <f t="shared" si="16"/>
        <v/>
      </c>
      <c r="Q272" s="19" t="str">
        <f t="shared" si="16"/>
        <v/>
      </c>
      <c r="R272" s="21"/>
      <c r="T272" s="21"/>
      <c r="W272" s="46"/>
      <c r="X272" s="92" t="s">
        <v>78</v>
      </c>
      <c r="Y272" s="92" t="s">
        <v>78</v>
      </c>
      <c r="Z272" s="92" t="s">
        <v>78</v>
      </c>
    </row>
    <row r="273" spans="1:26" ht="16" hidden="1" x14ac:dyDescent="0.4">
      <c r="A273" s="92">
        <v>1349</v>
      </c>
      <c r="B273" s="92">
        <v>1350</v>
      </c>
      <c r="E273" s="92">
        <v>50</v>
      </c>
      <c r="F273" s="92">
        <f>_xlfn.XLOOKUP(B273, DATA_Moresby_2024_ALL!B:B, DATA_Moresby_2024_ALL!G:G, "")</f>
        <v>0</v>
      </c>
      <c r="G273" s="93"/>
      <c r="H273" s="92">
        <v>8</v>
      </c>
      <c r="I273" s="92" t="str">
        <f t="shared" si="15"/>
        <v>X</v>
      </c>
      <c r="J273" s="79" t="str">
        <f>IF(G273="","X",_xlfn.XLOOKUP(B273,DATA_Moresby_2024_ALL!B:B,DATA_Moresby_2024_ALL!K:K,""))</f>
        <v>X</v>
      </c>
      <c r="K273" s="28"/>
      <c r="L273" s="29"/>
      <c r="M273" s="28"/>
      <c r="N273" s="19" t="str">
        <f t="shared" si="17"/>
        <v/>
      </c>
      <c r="O273" s="19" t="str">
        <f t="shared" si="16"/>
        <v/>
      </c>
      <c r="P273" s="19" t="str">
        <f t="shared" si="16"/>
        <v/>
      </c>
      <c r="Q273" s="19" t="str">
        <f t="shared" si="16"/>
        <v/>
      </c>
      <c r="R273" s="21"/>
      <c r="T273" s="21"/>
      <c r="W273" s="46"/>
      <c r="X273" s="92" t="s">
        <v>78</v>
      </c>
      <c r="Y273" s="92" t="s">
        <v>78</v>
      </c>
      <c r="Z273" s="92" t="s">
        <v>78</v>
      </c>
    </row>
    <row r="274" spans="1:26" ht="16" hidden="1" x14ac:dyDescent="0.4">
      <c r="A274" s="92">
        <v>1354</v>
      </c>
      <c r="B274" s="92">
        <v>1355</v>
      </c>
      <c r="E274" s="92">
        <v>50</v>
      </c>
      <c r="F274" s="92">
        <f>_xlfn.XLOOKUP(B274, DATA_Moresby_2024_ALL!B:B, DATA_Moresby_2024_ALL!G:G, "")</f>
        <v>0</v>
      </c>
      <c r="G274" s="93"/>
      <c r="H274" s="92">
        <v>8</v>
      </c>
      <c r="I274" s="92" t="str">
        <f t="shared" si="15"/>
        <v>X</v>
      </c>
      <c r="J274" s="79" t="str">
        <f>IF(G274="","X",_xlfn.XLOOKUP(B274,DATA_Moresby_2024_ALL!B:B,DATA_Moresby_2024_ALL!K:K,""))</f>
        <v>X</v>
      </c>
      <c r="K274" s="28"/>
      <c r="L274" s="29"/>
      <c r="M274" s="28"/>
      <c r="N274" s="19" t="str">
        <f t="shared" si="17"/>
        <v/>
      </c>
      <c r="O274" s="19" t="str">
        <f t="shared" si="16"/>
        <v/>
      </c>
      <c r="P274" s="19" t="str">
        <f t="shared" si="16"/>
        <v/>
      </c>
      <c r="Q274" s="19" t="str">
        <f t="shared" si="16"/>
        <v/>
      </c>
      <c r="R274" s="21"/>
      <c r="T274" s="21"/>
      <c r="W274" s="46"/>
      <c r="X274" s="92" t="s">
        <v>78</v>
      </c>
      <c r="Y274" s="92" t="s">
        <v>78</v>
      </c>
      <c r="Z274" s="92" t="s">
        <v>78</v>
      </c>
    </row>
    <row r="275" spans="1:26" ht="16" hidden="1" x14ac:dyDescent="0.4">
      <c r="A275" s="92">
        <v>1359</v>
      </c>
      <c r="B275" s="92">
        <v>1360</v>
      </c>
      <c r="E275" s="92">
        <v>50</v>
      </c>
      <c r="F275" s="92">
        <f>_xlfn.XLOOKUP(B275, DATA_Moresby_2024_ALL!B:B, DATA_Moresby_2024_ALL!G:G, "")</f>
        <v>0</v>
      </c>
      <c r="G275" s="93"/>
      <c r="H275" s="92">
        <v>8</v>
      </c>
      <c r="I275" s="92" t="str">
        <f t="shared" ref="I275:I338" si="18">IF(G275="","X","")</f>
        <v>X</v>
      </c>
      <c r="J275" s="79" t="str">
        <f>IF(G275="","X",_xlfn.XLOOKUP(B275,DATA_Moresby_2024_ALL!B:B,DATA_Moresby_2024_ALL!K:K,""))</f>
        <v>X</v>
      </c>
      <c r="K275" s="28"/>
      <c r="L275" s="29"/>
      <c r="M275" s="28"/>
      <c r="N275" s="19" t="str">
        <f t="shared" si="17"/>
        <v/>
      </c>
      <c r="O275" s="19" t="str">
        <f t="shared" si="16"/>
        <v/>
      </c>
      <c r="P275" s="19" t="str">
        <f t="shared" si="16"/>
        <v/>
      </c>
      <c r="Q275" s="19" t="str">
        <f t="shared" si="16"/>
        <v/>
      </c>
      <c r="R275" s="21"/>
      <c r="T275" s="21"/>
      <c r="W275" s="46"/>
      <c r="X275" s="92" t="s">
        <v>78</v>
      </c>
      <c r="Y275" s="92" t="s">
        <v>78</v>
      </c>
      <c r="Z275" s="92" t="s">
        <v>78</v>
      </c>
    </row>
    <row r="276" spans="1:26" ht="16" hidden="1" x14ac:dyDescent="0.4">
      <c r="A276" s="92">
        <v>1364</v>
      </c>
      <c r="B276" s="92">
        <v>1365</v>
      </c>
      <c r="E276" s="92">
        <v>50</v>
      </c>
      <c r="F276" s="92">
        <f>_xlfn.XLOOKUP(B276, DATA_Moresby_2024_ALL!B:B, DATA_Moresby_2024_ALL!G:G, "")</f>
        <v>0</v>
      </c>
      <c r="G276" s="93"/>
      <c r="H276" s="92">
        <v>8</v>
      </c>
      <c r="I276" s="92" t="str">
        <f t="shared" si="18"/>
        <v>X</v>
      </c>
      <c r="J276" s="79" t="str">
        <f>IF(G276="","X",_xlfn.XLOOKUP(B276,DATA_Moresby_2024_ALL!B:B,DATA_Moresby_2024_ALL!K:K,""))</f>
        <v>X</v>
      </c>
      <c r="K276" s="28"/>
      <c r="L276" s="29"/>
      <c r="M276" s="28"/>
      <c r="N276" s="19" t="str">
        <f t="shared" si="17"/>
        <v/>
      </c>
      <c r="O276" s="19" t="str">
        <f t="shared" si="16"/>
        <v/>
      </c>
      <c r="P276" s="19" t="str">
        <f t="shared" si="16"/>
        <v/>
      </c>
      <c r="Q276" s="19" t="str">
        <f t="shared" si="16"/>
        <v/>
      </c>
      <c r="R276" s="21"/>
      <c r="T276" s="21"/>
      <c r="W276" s="46"/>
      <c r="X276" s="92" t="s">
        <v>78</v>
      </c>
      <c r="Y276" s="92" t="s">
        <v>78</v>
      </c>
      <c r="Z276" s="92" t="s">
        <v>78</v>
      </c>
    </row>
    <row r="277" spans="1:26" ht="16" hidden="1" x14ac:dyDescent="0.4">
      <c r="A277" s="92">
        <v>1369</v>
      </c>
      <c r="B277" s="92">
        <v>1370</v>
      </c>
      <c r="E277" s="92">
        <v>50</v>
      </c>
      <c r="F277" s="92">
        <f>_xlfn.XLOOKUP(B277, DATA_Moresby_2024_ALL!B:B, DATA_Moresby_2024_ALL!G:G, "")</f>
        <v>0</v>
      </c>
      <c r="G277" s="93"/>
      <c r="H277" s="92">
        <v>8</v>
      </c>
      <c r="I277" s="92" t="str">
        <f t="shared" si="18"/>
        <v>X</v>
      </c>
      <c r="J277" s="79" t="str">
        <f>IF(G277="","X",_xlfn.XLOOKUP(B277,DATA_Moresby_2024_ALL!B:B,DATA_Moresby_2024_ALL!K:K,""))</f>
        <v>X</v>
      </c>
      <c r="K277" s="28"/>
      <c r="L277" s="29"/>
      <c r="M277" s="28"/>
      <c r="N277" s="19" t="str">
        <f t="shared" si="17"/>
        <v/>
      </c>
      <c r="O277" s="19" t="str">
        <f t="shared" si="16"/>
        <v/>
      </c>
      <c r="P277" s="19" t="str">
        <f t="shared" si="16"/>
        <v/>
      </c>
      <c r="Q277" s="19" t="str">
        <f t="shared" si="16"/>
        <v/>
      </c>
      <c r="R277" s="21"/>
      <c r="T277" s="21"/>
      <c r="W277" s="46"/>
      <c r="X277" s="92" t="s">
        <v>78</v>
      </c>
      <c r="Y277" s="92" t="s">
        <v>78</v>
      </c>
      <c r="Z277" s="92" t="s">
        <v>78</v>
      </c>
    </row>
    <row r="278" spans="1:26" ht="16" hidden="1" x14ac:dyDescent="0.4">
      <c r="A278" s="92">
        <v>1374</v>
      </c>
      <c r="B278" s="92">
        <v>1375</v>
      </c>
      <c r="E278" s="92">
        <v>50</v>
      </c>
      <c r="F278" s="92">
        <f>_xlfn.XLOOKUP(B278, DATA_Moresby_2024_ALL!B:B, DATA_Moresby_2024_ALL!G:G, "")</f>
        <v>0</v>
      </c>
      <c r="G278" s="93"/>
      <c r="H278" s="92">
        <v>8</v>
      </c>
      <c r="I278" s="92" t="str">
        <f t="shared" si="18"/>
        <v>X</v>
      </c>
      <c r="J278" s="79" t="str">
        <f>IF(G278="","X",_xlfn.XLOOKUP(B278,DATA_Moresby_2024_ALL!B:B,DATA_Moresby_2024_ALL!K:K,""))</f>
        <v>X</v>
      </c>
      <c r="K278" s="28"/>
      <c r="L278" s="29"/>
      <c r="M278" s="28"/>
      <c r="N278" s="19" t="str">
        <f t="shared" si="17"/>
        <v/>
      </c>
      <c r="O278" s="19" t="str">
        <f t="shared" si="16"/>
        <v/>
      </c>
      <c r="P278" s="19" t="str">
        <f t="shared" si="16"/>
        <v/>
      </c>
      <c r="Q278" s="19" t="str">
        <f t="shared" si="16"/>
        <v/>
      </c>
      <c r="R278" s="21"/>
      <c r="T278" s="21"/>
      <c r="W278" s="46"/>
      <c r="X278" s="92" t="s">
        <v>78</v>
      </c>
      <c r="Y278" s="92" t="s">
        <v>78</v>
      </c>
      <c r="Z278" s="92" t="s">
        <v>78</v>
      </c>
    </row>
    <row r="279" spans="1:26" ht="16" hidden="1" x14ac:dyDescent="0.4">
      <c r="A279" s="92">
        <v>1379</v>
      </c>
      <c r="B279" s="92">
        <v>1380</v>
      </c>
      <c r="E279" s="92">
        <v>50</v>
      </c>
      <c r="F279" s="92">
        <f>_xlfn.XLOOKUP(B279, DATA_Moresby_2024_ALL!B:B, DATA_Moresby_2024_ALL!G:G, "")</f>
        <v>0</v>
      </c>
      <c r="G279" s="93"/>
      <c r="H279" s="92">
        <v>8</v>
      </c>
      <c r="I279" s="92" t="str">
        <f t="shared" si="18"/>
        <v>X</v>
      </c>
      <c r="J279" s="79" t="str">
        <f>IF(G279="","X",_xlfn.XLOOKUP(B279,DATA_Moresby_2024_ALL!B:B,DATA_Moresby_2024_ALL!K:K,""))</f>
        <v>X</v>
      </c>
      <c r="K279" s="28"/>
      <c r="L279" s="29"/>
      <c r="M279" s="28"/>
      <c r="N279" s="19" t="str">
        <f t="shared" si="17"/>
        <v/>
      </c>
      <c r="O279" s="19" t="str">
        <f t="shared" si="16"/>
        <v/>
      </c>
      <c r="P279" s="19" t="str">
        <f t="shared" si="16"/>
        <v/>
      </c>
      <c r="Q279" s="19" t="str">
        <f t="shared" si="16"/>
        <v/>
      </c>
      <c r="R279" s="21"/>
      <c r="T279" s="21"/>
      <c r="W279" s="46"/>
      <c r="X279" s="92" t="s">
        <v>78</v>
      </c>
      <c r="Y279" s="92" t="s">
        <v>78</v>
      </c>
      <c r="Z279" s="92" t="s">
        <v>78</v>
      </c>
    </row>
    <row r="280" spans="1:26" ht="16" hidden="1" x14ac:dyDescent="0.4">
      <c r="A280" s="92">
        <v>1384</v>
      </c>
      <c r="B280" s="92">
        <v>1385</v>
      </c>
      <c r="E280" s="92">
        <v>50</v>
      </c>
      <c r="F280" s="92">
        <f>_xlfn.XLOOKUP(B280, DATA_Moresby_2024_ALL!B:B, DATA_Moresby_2024_ALL!G:G, "")</f>
        <v>0</v>
      </c>
      <c r="G280" s="93"/>
      <c r="H280" s="92">
        <v>8</v>
      </c>
      <c r="I280" s="92" t="str">
        <f t="shared" si="18"/>
        <v>X</v>
      </c>
      <c r="J280" s="79" t="str">
        <f>IF(G280="","X",_xlfn.XLOOKUP(B280,DATA_Moresby_2024_ALL!B:B,DATA_Moresby_2024_ALL!K:K,""))</f>
        <v>X</v>
      </c>
      <c r="K280" s="28"/>
      <c r="L280" s="29"/>
      <c r="M280" s="28"/>
      <c r="N280" s="19" t="str">
        <f t="shared" si="17"/>
        <v/>
      </c>
      <c r="O280" s="19" t="str">
        <f t="shared" si="16"/>
        <v/>
      </c>
      <c r="P280" s="19" t="str">
        <f t="shared" si="16"/>
        <v/>
      </c>
      <c r="Q280" s="19" t="str">
        <f t="shared" si="16"/>
        <v/>
      </c>
      <c r="R280" s="21"/>
      <c r="T280" s="21"/>
      <c r="W280" s="46"/>
      <c r="X280" s="92" t="s">
        <v>78</v>
      </c>
      <c r="Y280" s="92" t="s">
        <v>78</v>
      </c>
      <c r="Z280" s="92" t="s">
        <v>78</v>
      </c>
    </row>
    <row r="281" spans="1:26" ht="16" hidden="1" x14ac:dyDescent="0.4">
      <c r="A281" s="92">
        <v>1389</v>
      </c>
      <c r="B281" s="92">
        <v>1390</v>
      </c>
      <c r="E281" s="92">
        <v>50</v>
      </c>
      <c r="F281" s="92">
        <f>_xlfn.XLOOKUP(B281, DATA_Moresby_2024_ALL!B:B, DATA_Moresby_2024_ALL!G:G, "")</f>
        <v>0</v>
      </c>
      <c r="G281" s="93"/>
      <c r="H281" s="92">
        <v>8</v>
      </c>
      <c r="I281" s="92" t="str">
        <f t="shared" si="18"/>
        <v>X</v>
      </c>
      <c r="J281" s="79" t="str">
        <f>IF(G281="","X",_xlfn.XLOOKUP(B281,DATA_Moresby_2024_ALL!B:B,DATA_Moresby_2024_ALL!K:K,""))</f>
        <v>X</v>
      </c>
      <c r="K281" s="28"/>
      <c r="L281" s="29"/>
      <c r="M281" s="28"/>
      <c r="N281" s="19" t="str">
        <f t="shared" si="17"/>
        <v/>
      </c>
      <c r="O281" s="19" t="str">
        <f t="shared" si="16"/>
        <v/>
      </c>
      <c r="P281" s="19" t="str">
        <f t="shared" si="16"/>
        <v/>
      </c>
      <c r="Q281" s="19" t="str">
        <f t="shared" si="16"/>
        <v/>
      </c>
      <c r="R281" s="21"/>
      <c r="T281" s="21"/>
      <c r="W281" s="46"/>
      <c r="X281" s="92" t="s">
        <v>78</v>
      </c>
      <c r="Y281" s="92" t="s">
        <v>78</v>
      </c>
      <c r="Z281" s="92" t="s">
        <v>78</v>
      </c>
    </row>
    <row r="282" spans="1:26" ht="16" hidden="1" x14ac:dyDescent="0.4">
      <c r="A282" s="92">
        <v>1394</v>
      </c>
      <c r="B282" s="92">
        <v>1395</v>
      </c>
      <c r="E282" s="92">
        <v>50</v>
      </c>
      <c r="F282" s="92">
        <f>_xlfn.XLOOKUP(B282, DATA_Moresby_2024_ALL!B:B, DATA_Moresby_2024_ALL!G:G, "")</f>
        <v>0</v>
      </c>
      <c r="G282" s="93"/>
      <c r="H282" s="92">
        <v>8</v>
      </c>
      <c r="I282" s="92" t="str">
        <f t="shared" si="18"/>
        <v>X</v>
      </c>
      <c r="J282" s="79" t="str">
        <f>IF(G282="","X",_xlfn.XLOOKUP(B282,DATA_Moresby_2024_ALL!B:B,DATA_Moresby_2024_ALL!K:K,""))</f>
        <v>X</v>
      </c>
      <c r="K282" s="28"/>
      <c r="L282" s="29"/>
      <c r="M282" s="28"/>
      <c r="N282" s="19" t="str">
        <f t="shared" si="17"/>
        <v/>
      </c>
      <c r="O282" s="19" t="str">
        <f t="shared" si="16"/>
        <v/>
      </c>
      <c r="P282" s="19" t="str">
        <f t="shared" si="16"/>
        <v/>
      </c>
      <c r="Q282" s="19" t="str">
        <f t="shared" si="16"/>
        <v/>
      </c>
      <c r="R282" s="21"/>
      <c r="T282" s="21"/>
      <c r="W282" s="46"/>
      <c r="X282" s="92" t="s">
        <v>78</v>
      </c>
      <c r="Y282" s="92" t="s">
        <v>78</v>
      </c>
      <c r="Z282" s="92" t="s">
        <v>78</v>
      </c>
    </row>
    <row r="283" spans="1:26" ht="16" hidden="1" x14ac:dyDescent="0.4">
      <c r="A283" s="92">
        <v>1399</v>
      </c>
      <c r="B283" s="92">
        <v>1400</v>
      </c>
      <c r="E283" s="92">
        <v>50</v>
      </c>
      <c r="F283" s="92">
        <f>_xlfn.XLOOKUP(B283, DATA_Moresby_2024_ALL!B:B, DATA_Moresby_2024_ALL!G:G, "")</f>
        <v>0</v>
      </c>
      <c r="G283" s="93"/>
      <c r="H283" s="92">
        <v>8</v>
      </c>
      <c r="I283" s="92" t="str">
        <f t="shared" si="18"/>
        <v>X</v>
      </c>
      <c r="J283" s="79" t="str">
        <f>IF(G283="","X",_xlfn.XLOOKUP(B283,DATA_Moresby_2024_ALL!B:B,DATA_Moresby_2024_ALL!K:K,""))</f>
        <v>X</v>
      </c>
      <c r="K283" s="28"/>
      <c r="L283" s="29"/>
      <c r="M283" s="28"/>
      <c r="N283" s="19" t="str">
        <f t="shared" si="17"/>
        <v/>
      </c>
      <c r="O283" s="19" t="str">
        <f t="shared" si="16"/>
        <v/>
      </c>
      <c r="P283" s="19" t="str">
        <f t="shared" si="16"/>
        <v/>
      </c>
      <c r="Q283" s="19" t="str">
        <f t="shared" si="16"/>
        <v/>
      </c>
      <c r="R283" s="21"/>
      <c r="T283" s="21"/>
      <c r="W283" s="46"/>
      <c r="X283" s="92" t="s">
        <v>78</v>
      </c>
      <c r="Y283" s="92" t="s">
        <v>78</v>
      </c>
      <c r="Z283" s="92" t="s">
        <v>78</v>
      </c>
    </row>
    <row r="284" spans="1:26" ht="16" hidden="1" x14ac:dyDescent="0.4">
      <c r="A284" s="92">
        <v>1404</v>
      </c>
      <c r="B284" s="92">
        <v>1405</v>
      </c>
      <c r="E284" s="92">
        <v>50</v>
      </c>
      <c r="F284" s="92">
        <f>_xlfn.XLOOKUP(B284, DATA_Moresby_2024_ALL!B:B, DATA_Moresby_2024_ALL!G:G, "")</f>
        <v>0</v>
      </c>
      <c r="G284" s="93"/>
      <c r="H284" s="92">
        <v>8</v>
      </c>
      <c r="I284" s="92" t="str">
        <f t="shared" si="18"/>
        <v>X</v>
      </c>
      <c r="J284" s="79" t="str">
        <f>IF(G284="","X",_xlfn.XLOOKUP(B284,DATA_Moresby_2024_ALL!B:B,DATA_Moresby_2024_ALL!K:K,""))</f>
        <v>X</v>
      </c>
      <c r="K284" s="28"/>
      <c r="L284" s="29"/>
      <c r="M284" s="28"/>
      <c r="N284" s="19" t="str">
        <f t="shared" si="17"/>
        <v/>
      </c>
      <c r="O284" s="19" t="str">
        <f t="shared" si="16"/>
        <v/>
      </c>
      <c r="P284" s="19" t="str">
        <f t="shared" si="16"/>
        <v/>
      </c>
      <c r="Q284" s="19" t="str">
        <f t="shared" si="16"/>
        <v/>
      </c>
      <c r="R284" s="21"/>
      <c r="T284" s="21"/>
      <c r="W284" s="46"/>
      <c r="X284" s="92" t="s">
        <v>78</v>
      </c>
      <c r="Y284" s="92" t="s">
        <v>78</v>
      </c>
      <c r="Z284" s="92" t="s">
        <v>78</v>
      </c>
    </row>
    <row r="285" spans="1:26" ht="16" hidden="1" x14ac:dyDescent="0.4">
      <c r="A285" s="92">
        <v>1409</v>
      </c>
      <c r="B285" s="92">
        <v>1410</v>
      </c>
      <c r="E285" s="92">
        <v>50</v>
      </c>
      <c r="F285" s="92">
        <f>_xlfn.XLOOKUP(B285, DATA_Moresby_2024_ALL!B:B, DATA_Moresby_2024_ALL!G:G, "")</f>
        <v>0</v>
      </c>
      <c r="G285" s="93"/>
      <c r="H285" s="92">
        <v>8</v>
      </c>
      <c r="I285" s="92" t="str">
        <f t="shared" si="18"/>
        <v>X</v>
      </c>
      <c r="J285" s="79" t="str">
        <f>IF(G285="","X",_xlfn.XLOOKUP(B285,DATA_Moresby_2024_ALL!B:B,DATA_Moresby_2024_ALL!K:K,""))</f>
        <v>X</v>
      </c>
      <c r="K285" s="28"/>
      <c r="L285" s="29"/>
      <c r="M285" s="28"/>
      <c r="N285" s="19" t="str">
        <f t="shared" si="17"/>
        <v/>
      </c>
      <c r="O285" s="19" t="str">
        <f t="shared" si="17"/>
        <v/>
      </c>
      <c r="P285" s="19" t="str">
        <f t="shared" si="17"/>
        <v/>
      </c>
      <c r="Q285" s="19" t="str">
        <f t="shared" si="17"/>
        <v/>
      </c>
      <c r="R285" s="21"/>
      <c r="T285" s="21"/>
      <c r="W285" s="46"/>
      <c r="X285" s="92" t="s">
        <v>78</v>
      </c>
      <c r="Y285" s="92" t="s">
        <v>78</v>
      </c>
      <c r="Z285" s="92" t="s">
        <v>78</v>
      </c>
    </row>
    <row r="286" spans="1:26" ht="16" hidden="1" x14ac:dyDescent="0.4">
      <c r="A286" s="92">
        <v>1414</v>
      </c>
      <c r="B286" s="92">
        <v>1415</v>
      </c>
      <c r="E286" s="92">
        <v>50</v>
      </c>
      <c r="F286" s="92">
        <f>_xlfn.XLOOKUP(B286, DATA_Moresby_2024_ALL!B:B, DATA_Moresby_2024_ALL!G:G, "")</f>
        <v>0</v>
      </c>
      <c r="G286" s="93"/>
      <c r="H286" s="92">
        <v>8</v>
      </c>
      <c r="I286" s="92" t="str">
        <f t="shared" si="18"/>
        <v>X</v>
      </c>
      <c r="J286" s="79" t="str">
        <f>IF(G286="","X",_xlfn.XLOOKUP(B286,DATA_Moresby_2024_ALL!B:B,DATA_Moresby_2024_ALL!K:K,""))</f>
        <v>X</v>
      </c>
      <c r="K286" s="28"/>
      <c r="L286" s="29"/>
      <c r="M286" s="28"/>
      <c r="N286" s="19" t="str">
        <f t="shared" ref="N286:Q349" si="19">IF($J286=1,4,"")</f>
        <v/>
      </c>
      <c r="O286" s="19" t="str">
        <f t="shared" si="19"/>
        <v/>
      </c>
      <c r="P286" s="19" t="str">
        <f t="shared" si="19"/>
        <v/>
      </c>
      <c r="Q286" s="19" t="str">
        <f t="shared" si="19"/>
        <v/>
      </c>
      <c r="R286" s="21"/>
      <c r="T286" s="21"/>
      <c r="W286" s="46"/>
      <c r="X286" s="92" t="s">
        <v>78</v>
      </c>
      <c r="Y286" s="92" t="s">
        <v>78</v>
      </c>
      <c r="Z286" s="92" t="s">
        <v>78</v>
      </c>
    </row>
    <row r="287" spans="1:26" ht="16" hidden="1" x14ac:dyDescent="0.4">
      <c r="A287" s="92">
        <v>1419</v>
      </c>
      <c r="B287" s="92">
        <v>1420</v>
      </c>
      <c r="E287" s="92">
        <v>50</v>
      </c>
      <c r="F287" s="92">
        <f>_xlfn.XLOOKUP(B287, DATA_Moresby_2024_ALL!B:B, DATA_Moresby_2024_ALL!G:G, "")</f>
        <v>0</v>
      </c>
      <c r="G287" s="93"/>
      <c r="H287" s="92">
        <v>8</v>
      </c>
      <c r="I287" s="92" t="str">
        <f t="shared" si="18"/>
        <v>X</v>
      </c>
      <c r="J287" s="79" t="str">
        <f>IF(G287="","X",_xlfn.XLOOKUP(B287,DATA_Moresby_2024_ALL!B:B,DATA_Moresby_2024_ALL!K:K,""))</f>
        <v>X</v>
      </c>
      <c r="K287" s="28"/>
      <c r="L287" s="29"/>
      <c r="M287" s="28"/>
      <c r="N287" s="19" t="str">
        <f t="shared" si="19"/>
        <v/>
      </c>
      <c r="O287" s="19" t="str">
        <f t="shared" si="19"/>
        <v/>
      </c>
      <c r="P287" s="19" t="str">
        <f t="shared" si="19"/>
        <v/>
      </c>
      <c r="Q287" s="19" t="str">
        <f t="shared" si="19"/>
        <v/>
      </c>
      <c r="R287" s="21"/>
      <c r="T287" s="21"/>
      <c r="W287" s="46"/>
      <c r="X287" s="92" t="s">
        <v>78</v>
      </c>
      <c r="Y287" s="92" t="s">
        <v>78</v>
      </c>
      <c r="Z287" s="92" t="s">
        <v>78</v>
      </c>
    </row>
    <row r="288" spans="1:26" ht="16" hidden="1" x14ac:dyDescent="0.4">
      <c r="A288" s="92">
        <v>1424</v>
      </c>
      <c r="B288" s="92">
        <v>1425</v>
      </c>
      <c r="E288" s="92">
        <v>50</v>
      </c>
      <c r="F288" s="92">
        <f>_xlfn.XLOOKUP(B288, DATA_Moresby_2024_ALL!B:B, DATA_Moresby_2024_ALL!G:G, "")</f>
        <v>0</v>
      </c>
      <c r="G288" s="93"/>
      <c r="H288" s="92">
        <v>8</v>
      </c>
      <c r="I288" s="92" t="str">
        <f t="shared" si="18"/>
        <v>X</v>
      </c>
      <c r="J288" s="79" t="str">
        <f>IF(G288="","X",_xlfn.XLOOKUP(B288,DATA_Moresby_2024_ALL!B:B,DATA_Moresby_2024_ALL!K:K,""))</f>
        <v>X</v>
      </c>
      <c r="K288" s="28"/>
      <c r="L288" s="29"/>
      <c r="M288" s="28"/>
      <c r="N288" s="19" t="str">
        <f t="shared" si="19"/>
        <v/>
      </c>
      <c r="O288" s="19" t="str">
        <f t="shared" si="19"/>
        <v/>
      </c>
      <c r="P288" s="19" t="str">
        <f t="shared" si="19"/>
        <v/>
      </c>
      <c r="Q288" s="19" t="str">
        <f t="shared" si="19"/>
        <v/>
      </c>
      <c r="R288" s="21"/>
      <c r="T288" s="21"/>
      <c r="W288" s="46"/>
      <c r="X288" s="92" t="s">
        <v>78</v>
      </c>
      <c r="Y288" s="92" t="s">
        <v>78</v>
      </c>
      <c r="Z288" s="92" t="s">
        <v>78</v>
      </c>
    </row>
    <row r="289" spans="1:26" ht="16" hidden="1" x14ac:dyDescent="0.4">
      <c r="A289" s="92">
        <v>1429</v>
      </c>
      <c r="B289" s="92">
        <v>1430</v>
      </c>
      <c r="E289" s="92">
        <v>50</v>
      </c>
      <c r="F289" s="92">
        <f>_xlfn.XLOOKUP(B289, DATA_Moresby_2024_ALL!B:B, DATA_Moresby_2024_ALL!G:G, "")</f>
        <v>0</v>
      </c>
      <c r="G289" s="93"/>
      <c r="H289" s="92">
        <v>8</v>
      </c>
      <c r="I289" s="92" t="str">
        <f t="shared" si="18"/>
        <v>X</v>
      </c>
      <c r="J289" s="79" t="str">
        <f>IF(G289="","X",_xlfn.XLOOKUP(B289,DATA_Moresby_2024_ALL!B:B,DATA_Moresby_2024_ALL!K:K,""))</f>
        <v>X</v>
      </c>
      <c r="K289" s="28"/>
      <c r="L289" s="29"/>
      <c r="M289" s="28"/>
      <c r="N289" s="19" t="str">
        <f t="shared" si="19"/>
        <v/>
      </c>
      <c r="O289" s="19" t="str">
        <f t="shared" si="19"/>
        <v/>
      </c>
      <c r="P289" s="19" t="str">
        <f t="shared" si="19"/>
        <v/>
      </c>
      <c r="Q289" s="19" t="str">
        <f t="shared" si="19"/>
        <v/>
      </c>
      <c r="R289" s="21"/>
      <c r="T289" s="21"/>
      <c r="W289" s="46"/>
      <c r="X289" s="92" t="s">
        <v>78</v>
      </c>
      <c r="Y289" s="92" t="s">
        <v>78</v>
      </c>
      <c r="Z289" s="92" t="s">
        <v>78</v>
      </c>
    </row>
    <row r="290" spans="1:26" ht="16" hidden="1" x14ac:dyDescent="0.4">
      <c r="A290" s="92">
        <v>1434</v>
      </c>
      <c r="B290" s="92">
        <v>1435</v>
      </c>
      <c r="E290" s="92">
        <v>50</v>
      </c>
      <c r="F290" s="92">
        <f>_xlfn.XLOOKUP(B290, DATA_Moresby_2024_ALL!B:B, DATA_Moresby_2024_ALL!G:G, "")</f>
        <v>0</v>
      </c>
      <c r="G290" s="93"/>
      <c r="H290" s="92">
        <v>8</v>
      </c>
      <c r="I290" s="92" t="str">
        <f t="shared" si="18"/>
        <v>X</v>
      </c>
      <c r="J290" s="79" t="str">
        <f>IF(G290="","X",_xlfn.XLOOKUP(B290,DATA_Moresby_2024_ALL!B:B,DATA_Moresby_2024_ALL!K:K,""))</f>
        <v>X</v>
      </c>
      <c r="K290" s="28"/>
      <c r="L290" s="29"/>
      <c r="M290" s="28"/>
      <c r="N290" s="19" t="str">
        <f t="shared" si="19"/>
        <v/>
      </c>
      <c r="O290" s="19" t="str">
        <f t="shared" si="19"/>
        <v/>
      </c>
      <c r="P290" s="19" t="str">
        <f t="shared" si="19"/>
        <v/>
      </c>
      <c r="Q290" s="19" t="str">
        <f t="shared" si="19"/>
        <v/>
      </c>
      <c r="R290" s="21"/>
      <c r="T290" s="21"/>
      <c r="W290" s="46"/>
      <c r="X290" s="92" t="s">
        <v>78</v>
      </c>
      <c r="Y290" s="92" t="s">
        <v>78</v>
      </c>
      <c r="Z290" s="92" t="s">
        <v>78</v>
      </c>
    </row>
    <row r="291" spans="1:26" ht="16" hidden="1" x14ac:dyDescent="0.4">
      <c r="A291" s="92">
        <v>1439</v>
      </c>
      <c r="B291" s="92">
        <v>1440</v>
      </c>
      <c r="E291" s="92">
        <v>50</v>
      </c>
      <c r="F291" s="92">
        <f>_xlfn.XLOOKUP(B291, DATA_Moresby_2024_ALL!B:B, DATA_Moresby_2024_ALL!G:G, "")</f>
        <v>0</v>
      </c>
      <c r="G291" s="93"/>
      <c r="H291" s="92">
        <v>8</v>
      </c>
      <c r="I291" s="92" t="str">
        <f t="shared" si="18"/>
        <v>X</v>
      </c>
      <c r="J291" s="79" t="str">
        <f>IF(G291="","X",_xlfn.XLOOKUP(B291,DATA_Moresby_2024_ALL!B:B,DATA_Moresby_2024_ALL!K:K,""))</f>
        <v>X</v>
      </c>
      <c r="K291" s="28"/>
      <c r="L291" s="29"/>
      <c r="M291" s="28"/>
      <c r="N291" s="19" t="str">
        <f t="shared" si="19"/>
        <v/>
      </c>
      <c r="O291" s="19" t="str">
        <f t="shared" si="19"/>
        <v/>
      </c>
      <c r="P291" s="19" t="str">
        <f t="shared" si="19"/>
        <v/>
      </c>
      <c r="Q291" s="19" t="str">
        <f t="shared" si="19"/>
        <v/>
      </c>
      <c r="R291" s="21"/>
      <c r="T291" s="21"/>
      <c r="W291" s="46"/>
      <c r="X291" s="92" t="s">
        <v>78</v>
      </c>
      <c r="Y291" s="92" t="s">
        <v>78</v>
      </c>
      <c r="Z291" s="92" t="s">
        <v>78</v>
      </c>
    </row>
    <row r="292" spans="1:26" ht="16" hidden="1" x14ac:dyDescent="0.4">
      <c r="A292" s="92">
        <v>1444</v>
      </c>
      <c r="B292" s="92">
        <v>1445</v>
      </c>
      <c r="E292" s="92">
        <v>50</v>
      </c>
      <c r="F292" s="92">
        <f>_xlfn.XLOOKUP(B292, DATA_Moresby_2024_ALL!B:B, DATA_Moresby_2024_ALL!G:G, "")</f>
        <v>0</v>
      </c>
      <c r="G292" s="93"/>
      <c r="H292" s="92">
        <v>8</v>
      </c>
      <c r="I292" s="92" t="str">
        <f t="shared" si="18"/>
        <v>X</v>
      </c>
      <c r="J292" s="79" t="str">
        <f>IF(G292="","X",_xlfn.XLOOKUP(B292,DATA_Moresby_2024_ALL!B:B,DATA_Moresby_2024_ALL!K:K,""))</f>
        <v>X</v>
      </c>
      <c r="K292" s="28"/>
      <c r="L292" s="29"/>
      <c r="M292" s="28"/>
      <c r="N292" s="19" t="str">
        <f t="shared" si="19"/>
        <v/>
      </c>
      <c r="O292" s="19" t="str">
        <f t="shared" si="19"/>
        <v/>
      </c>
      <c r="P292" s="19" t="str">
        <f t="shared" si="19"/>
        <v/>
      </c>
      <c r="Q292" s="19" t="str">
        <f t="shared" si="19"/>
        <v/>
      </c>
      <c r="R292" s="21"/>
      <c r="T292" s="21"/>
      <c r="W292" s="46"/>
      <c r="X292" s="92" t="s">
        <v>78</v>
      </c>
      <c r="Y292" s="92" t="s">
        <v>78</v>
      </c>
      <c r="Z292" s="92" t="s">
        <v>78</v>
      </c>
    </row>
    <row r="293" spans="1:26" ht="16" hidden="1" x14ac:dyDescent="0.4">
      <c r="A293" s="92">
        <v>1449</v>
      </c>
      <c r="B293" s="92">
        <v>1450</v>
      </c>
      <c r="E293" s="92">
        <v>50</v>
      </c>
      <c r="F293" s="92">
        <f>_xlfn.XLOOKUP(B293, DATA_Moresby_2024_ALL!B:B, DATA_Moresby_2024_ALL!G:G, "")</f>
        <v>0</v>
      </c>
      <c r="G293" s="93"/>
      <c r="H293" s="92">
        <v>8</v>
      </c>
      <c r="I293" s="92" t="str">
        <f t="shared" si="18"/>
        <v>X</v>
      </c>
      <c r="J293" s="79" t="str">
        <f>IF(G293="","X",_xlfn.XLOOKUP(B293,DATA_Moresby_2024_ALL!B:B,DATA_Moresby_2024_ALL!K:K,""))</f>
        <v>X</v>
      </c>
      <c r="K293" s="28"/>
      <c r="L293" s="29"/>
      <c r="M293" s="28"/>
      <c r="N293" s="19" t="str">
        <f t="shared" si="19"/>
        <v/>
      </c>
      <c r="O293" s="19" t="str">
        <f t="shared" si="19"/>
        <v/>
      </c>
      <c r="P293" s="19" t="str">
        <f t="shared" si="19"/>
        <v/>
      </c>
      <c r="Q293" s="19" t="str">
        <f t="shared" si="19"/>
        <v/>
      </c>
      <c r="R293" s="21"/>
      <c r="T293" s="21"/>
      <c r="W293" s="46"/>
      <c r="X293" s="92" t="s">
        <v>78</v>
      </c>
      <c r="Y293" s="92" t="s">
        <v>78</v>
      </c>
      <c r="Z293" s="92" t="s">
        <v>78</v>
      </c>
    </row>
    <row r="294" spans="1:26" ht="16" hidden="1" x14ac:dyDescent="0.4">
      <c r="A294" s="92">
        <v>1454</v>
      </c>
      <c r="B294" s="92">
        <v>1455</v>
      </c>
      <c r="E294" s="92">
        <v>50</v>
      </c>
      <c r="F294" s="92">
        <f>_xlfn.XLOOKUP(B294, DATA_Moresby_2024_ALL!B:B, DATA_Moresby_2024_ALL!G:G, "")</f>
        <v>0</v>
      </c>
      <c r="G294" s="93"/>
      <c r="H294" s="92">
        <v>8</v>
      </c>
      <c r="I294" s="92" t="str">
        <f t="shared" si="18"/>
        <v>X</v>
      </c>
      <c r="J294" s="79" t="str">
        <f>IF(G294="","X",_xlfn.XLOOKUP(B294,DATA_Moresby_2024_ALL!B:B,DATA_Moresby_2024_ALL!K:K,""))</f>
        <v>X</v>
      </c>
      <c r="K294" s="28"/>
      <c r="L294" s="29"/>
      <c r="M294" s="28"/>
      <c r="N294" s="19" t="str">
        <f t="shared" si="19"/>
        <v/>
      </c>
      <c r="O294" s="19" t="str">
        <f t="shared" si="19"/>
        <v/>
      </c>
      <c r="P294" s="19" t="str">
        <f t="shared" si="19"/>
        <v/>
      </c>
      <c r="Q294" s="19" t="str">
        <f t="shared" si="19"/>
        <v/>
      </c>
      <c r="R294" s="21"/>
      <c r="T294" s="21"/>
      <c r="W294" s="46"/>
      <c r="X294" s="92" t="s">
        <v>78</v>
      </c>
      <c r="Y294" s="92" t="s">
        <v>78</v>
      </c>
      <c r="Z294" s="92" t="s">
        <v>78</v>
      </c>
    </row>
    <row r="295" spans="1:26" ht="16" hidden="1" x14ac:dyDescent="0.4">
      <c r="A295" s="92">
        <v>1459</v>
      </c>
      <c r="B295" s="92">
        <v>1460</v>
      </c>
      <c r="E295" s="92">
        <v>50</v>
      </c>
      <c r="F295" s="92">
        <f>_xlfn.XLOOKUP(B295, DATA_Moresby_2024_ALL!B:B, DATA_Moresby_2024_ALL!G:G, "")</f>
        <v>0</v>
      </c>
      <c r="G295" s="93"/>
      <c r="H295" s="92">
        <v>8</v>
      </c>
      <c r="I295" s="92" t="str">
        <f t="shared" si="18"/>
        <v>X</v>
      </c>
      <c r="J295" s="79" t="str">
        <f>IF(G295="","X",_xlfn.XLOOKUP(B295,DATA_Moresby_2024_ALL!B:B,DATA_Moresby_2024_ALL!K:K,""))</f>
        <v>X</v>
      </c>
      <c r="K295" s="28"/>
      <c r="L295" s="29"/>
      <c r="M295" s="28"/>
      <c r="N295" s="19" t="str">
        <f t="shared" si="19"/>
        <v/>
      </c>
      <c r="O295" s="19" t="str">
        <f t="shared" si="19"/>
        <v/>
      </c>
      <c r="P295" s="19" t="str">
        <f t="shared" si="19"/>
        <v/>
      </c>
      <c r="Q295" s="19" t="str">
        <f t="shared" si="19"/>
        <v/>
      </c>
      <c r="R295" s="21"/>
      <c r="T295" s="21"/>
      <c r="W295" s="46"/>
      <c r="X295" s="92" t="s">
        <v>78</v>
      </c>
      <c r="Y295" s="92" t="s">
        <v>78</v>
      </c>
      <c r="Z295" s="92" t="s">
        <v>78</v>
      </c>
    </row>
    <row r="296" spans="1:26" ht="16" hidden="1" x14ac:dyDescent="0.4">
      <c r="A296" s="92">
        <v>1464</v>
      </c>
      <c r="B296" s="92">
        <v>1465</v>
      </c>
      <c r="E296" s="92">
        <v>50</v>
      </c>
      <c r="F296" s="92">
        <f>_xlfn.XLOOKUP(B296, DATA_Moresby_2024_ALL!B:B, DATA_Moresby_2024_ALL!G:G, "")</f>
        <v>0</v>
      </c>
      <c r="G296" s="93"/>
      <c r="H296" s="92">
        <v>8</v>
      </c>
      <c r="I296" s="92" t="str">
        <f t="shared" si="18"/>
        <v>X</v>
      </c>
      <c r="J296" s="79" t="str">
        <f>IF(G296="","X",_xlfn.XLOOKUP(B296,DATA_Moresby_2024_ALL!B:B,DATA_Moresby_2024_ALL!K:K,""))</f>
        <v>X</v>
      </c>
      <c r="K296" s="28"/>
      <c r="L296" s="29"/>
      <c r="M296" s="28"/>
      <c r="N296" s="19" t="str">
        <f t="shared" si="19"/>
        <v/>
      </c>
      <c r="O296" s="19" t="str">
        <f t="shared" si="19"/>
        <v/>
      </c>
      <c r="P296" s="19" t="str">
        <f t="shared" si="19"/>
        <v/>
      </c>
      <c r="Q296" s="19" t="str">
        <f t="shared" si="19"/>
        <v/>
      </c>
      <c r="R296" s="21"/>
      <c r="T296" s="21"/>
      <c r="W296" s="46"/>
      <c r="X296" s="92" t="s">
        <v>78</v>
      </c>
      <c r="Y296" s="92" t="s">
        <v>78</v>
      </c>
      <c r="Z296" s="92" t="s">
        <v>78</v>
      </c>
    </row>
    <row r="297" spans="1:26" ht="16" hidden="1" x14ac:dyDescent="0.4">
      <c r="A297" s="92">
        <v>1469</v>
      </c>
      <c r="B297" s="92">
        <v>1470</v>
      </c>
      <c r="E297" s="92">
        <v>50</v>
      </c>
      <c r="F297" s="92">
        <f>_xlfn.XLOOKUP(B297, DATA_Moresby_2024_ALL!B:B, DATA_Moresby_2024_ALL!G:G, "")</f>
        <v>0</v>
      </c>
      <c r="G297" s="93"/>
      <c r="H297" s="92">
        <v>8</v>
      </c>
      <c r="I297" s="92" t="str">
        <f t="shared" si="18"/>
        <v>X</v>
      </c>
      <c r="J297" s="79" t="str">
        <f>IF(G297="","X",_xlfn.XLOOKUP(B297,DATA_Moresby_2024_ALL!B:B,DATA_Moresby_2024_ALL!K:K,""))</f>
        <v>X</v>
      </c>
      <c r="K297" s="28"/>
      <c r="L297" s="29"/>
      <c r="M297" s="28"/>
      <c r="N297" s="19" t="str">
        <f t="shared" si="19"/>
        <v/>
      </c>
      <c r="O297" s="19" t="str">
        <f t="shared" si="19"/>
        <v/>
      </c>
      <c r="P297" s="19" t="str">
        <f t="shared" si="19"/>
        <v/>
      </c>
      <c r="Q297" s="19" t="str">
        <f t="shared" si="19"/>
        <v/>
      </c>
      <c r="R297" s="21"/>
      <c r="T297" s="21"/>
      <c r="W297" s="46"/>
      <c r="X297" s="92" t="s">
        <v>78</v>
      </c>
      <c r="Y297" s="92" t="s">
        <v>78</v>
      </c>
      <c r="Z297" s="92" t="s">
        <v>78</v>
      </c>
    </row>
    <row r="298" spans="1:26" ht="16" hidden="1" x14ac:dyDescent="0.4">
      <c r="A298" s="92">
        <v>1474</v>
      </c>
      <c r="B298" s="92">
        <v>1475</v>
      </c>
      <c r="E298" s="92">
        <v>50</v>
      </c>
      <c r="F298" s="92">
        <f>_xlfn.XLOOKUP(B298, DATA_Moresby_2024_ALL!B:B, DATA_Moresby_2024_ALL!G:G, "")</f>
        <v>0</v>
      </c>
      <c r="G298" s="93"/>
      <c r="H298" s="92">
        <v>8</v>
      </c>
      <c r="I298" s="92" t="str">
        <f t="shared" si="18"/>
        <v>X</v>
      </c>
      <c r="J298" s="79" t="str">
        <f>IF(G298="","X",_xlfn.XLOOKUP(B298,DATA_Moresby_2024_ALL!B:B,DATA_Moresby_2024_ALL!K:K,""))</f>
        <v>X</v>
      </c>
      <c r="K298" s="28"/>
      <c r="L298" s="29"/>
      <c r="M298" s="28"/>
      <c r="N298" s="19" t="str">
        <f t="shared" si="19"/>
        <v/>
      </c>
      <c r="O298" s="19" t="str">
        <f t="shared" si="19"/>
        <v/>
      </c>
      <c r="P298" s="19" t="str">
        <f t="shared" si="19"/>
        <v/>
      </c>
      <c r="Q298" s="19" t="str">
        <f t="shared" si="19"/>
        <v/>
      </c>
      <c r="R298" s="21"/>
      <c r="T298" s="21"/>
      <c r="W298" s="46"/>
      <c r="X298" s="92" t="s">
        <v>78</v>
      </c>
      <c r="Y298" s="92" t="s">
        <v>78</v>
      </c>
      <c r="Z298" s="92" t="s">
        <v>78</v>
      </c>
    </row>
    <row r="299" spans="1:26" ht="16" hidden="1" x14ac:dyDescent="0.4">
      <c r="A299" s="92">
        <v>1479</v>
      </c>
      <c r="B299" s="92">
        <v>1480</v>
      </c>
      <c r="E299" s="92">
        <v>50</v>
      </c>
      <c r="F299" s="92">
        <f>_xlfn.XLOOKUP(B299, DATA_Moresby_2024_ALL!B:B, DATA_Moresby_2024_ALL!G:G, "")</f>
        <v>0</v>
      </c>
      <c r="G299" s="93"/>
      <c r="H299" s="92">
        <v>8</v>
      </c>
      <c r="I299" s="92" t="str">
        <f t="shared" si="18"/>
        <v>X</v>
      </c>
      <c r="J299" s="79" t="str">
        <f>IF(G299="","X",_xlfn.XLOOKUP(B299,DATA_Moresby_2024_ALL!B:B,DATA_Moresby_2024_ALL!K:K,""))</f>
        <v>X</v>
      </c>
      <c r="K299" s="28"/>
      <c r="L299" s="29"/>
      <c r="M299" s="28"/>
      <c r="N299" s="19" t="str">
        <f t="shared" si="19"/>
        <v/>
      </c>
      <c r="O299" s="19" t="str">
        <f t="shared" si="19"/>
        <v/>
      </c>
      <c r="P299" s="19" t="str">
        <f t="shared" si="19"/>
        <v/>
      </c>
      <c r="Q299" s="19" t="str">
        <f t="shared" si="19"/>
        <v/>
      </c>
      <c r="R299" s="21"/>
      <c r="T299" s="21"/>
      <c r="W299" s="46"/>
      <c r="X299" s="92" t="s">
        <v>78</v>
      </c>
      <c r="Y299" s="92" t="s">
        <v>78</v>
      </c>
      <c r="Z299" s="92" t="s">
        <v>78</v>
      </c>
    </row>
    <row r="300" spans="1:26" ht="16" hidden="1" x14ac:dyDescent="0.4">
      <c r="A300" s="92">
        <v>1484</v>
      </c>
      <c r="B300" s="92">
        <v>1485</v>
      </c>
      <c r="E300" s="92">
        <v>50</v>
      </c>
      <c r="F300" s="92">
        <f>_xlfn.XLOOKUP(B300, DATA_Moresby_2024_ALL!B:B, DATA_Moresby_2024_ALL!G:G, "")</f>
        <v>0</v>
      </c>
      <c r="G300" s="93"/>
      <c r="H300" s="92">
        <v>8</v>
      </c>
      <c r="I300" s="92" t="str">
        <f t="shared" si="18"/>
        <v>X</v>
      </c>
      <c r="J300" s="79" t="str">
        <f>IF(G300="","X",_xlfn.XLOOKUP(B300,DATA_Moresby_2024_ALL!B:B,DATA_Moresby_2024_ALL!K:K,""))</f>
        <v>X</v>
      </c>
      <c r="K300" s="28"/>
      <c r="L300" s="29"/>
      <c r="M300" s="28"/>
      <c r="N300" s="19" t="str">
        <f t="shared" si="19"/>
        <v/>
      </c>
      <c r="O300" s="19" t="str">
        <f t="shared" si="19"/>
        <v/>
      </c>
      <c r="P300" s="19" t="str">
        <f t="shared" si="19"/>
        <v/>
      </c>
      <c r="Q300" s="19" t="str">
        <f t="shared" si="19"/>
        <v/>
      </c>
      <c r="R300" s="21"/>
      <c r="T300" s="21"/>
      <c r="W300" s="46"/>
      <c r="X300" s="92" t="s">
        <v>78</v>
      </c>
      <c r="Y300" s="92" t="s">
        <v>78</v>
      </c>
      <c r="Z300" s="92" t="s">
        <v>78</v>
      </c>
    </row>
    <row r="301" spans="1:26" ht="16" hidden="1" x14ac:dyDescent="0.4">
      <c r="A301" s="92">
        <v>1489</v>
      </c>
      <c r="B301" s="92">
        <v>1490</v>
      </c>
      <c r="E301" s="92">
        <v>50</v>
      </c>
      <c r="F301" s="92">
        <f>_xlfn.XLOOKUP(B301, DATA_Moresby_2024_ALL!B:B, DATA_Moresby_2024_ALL!G:G, "")</f>
        <v>0</v>
      </c>
      <c r="G301" s="93"/>
      <c r="H301" s="92">
        <v>8</v>
      </c>
      <c r="I301" s="92" t="str">
        <f t="shared" si="18"/>
        <v>X</v>
      </c>
      <c r="J301" s="79" t="str">
        <f>IF(G301="","X",_xlfn.XLOOKUP(B301,DATA_Moresby_2024_ALL!B:B,DATA_Moresby_2024_ALL!K:K,""))</f>
        <v>X</v>
      </c>
      <c r="K301" s="28"/>
      <c r="L301" s="29"/>
      <c r="M301" s="28"/>
      <c r="N301" s="19" t="str">
        <f t="shared" si="19"/>
        <v/>
      </c>
      <c r="O301" s="19" t="str">
        <f t="shared" si="19"/>
        <v/>
      </c>
      <c r="P301" s="19" t="str">
        <f t="shared" si="19"/>
        <v/>
      </c>
      <c r="Q301" s="19" t="str">
        <f t="shared" si="19"/>
        <v/>
      </c>
      <c r="R301" s="21"/>
      <c r="T301" s="21"/>
      <c r="W301" s="46"/>
      <c r="X301" s="92" t="s">
        <v>78</v>
      </c>
      <c r="Y301" s="92" t="s">
        <v>78</v>
      </c>
      <c r="Z301" s="92" t="s">
        <v>78</v>
      </c>
    </row>
    <row r="302" spans="1:26" ht="16" hidden="1" x14ac:dyDescent="0.4">
      <c r="A302" s="92">
        <v>1494</v>
      </c>
      <c r="B302" s="92">
        <v>1495</v>
      </c>
      <c r="E302" s="92">
        <v>50</v>
      </c>
      <c r="F302" s="92">
        <f>_xlfn.XLOOKUP(B302, DATA_Moresby_2024_ALL!B:B, DATA_Moresby_2024_ALL!G:G, "")</f>
        <v>0</v>
      </c>
      <c r="G302" s="93"/>
      <c r="H302" s="92">
        <v>8</v>
      </c>
      <c r="I302" s="92" t="str">
        <f t="shared" si="18"/>
        <v>X</v>
      </c>
      <c r="J302" s="79" t="str">
        <f>IF(G302="","X",_xlfn.XLOOKUP(B302,DATA_Moresby_2024_ALL!B:B,DATA_Moresby_2024_ALL!K:K,""))</f>
        <v>X</v>
      </c>
      <c r="K302" s="28"/>
      <c r="L302" s="29"/>
      <c r="M302" s="28"/>
      <c r="N302" s="19" t="str">
        <f t="shared" si="19"/>
        <v/>
      </c>
      <c r="O302" s="19" t="str">
        <f t="shared" si="19"/>
        <v/>
      </c>
      <c r="P302" s="19" t="str">
        <f t="shared" si="19"/>
        <v/>
      </c>
      <c r="Q302" s="19" t="str">
        <f t="shared" si="19"/>
        <v/>
      </c>
      <c r="R302" s="21"/>
      <c r="T302" s="21"/>
      <c r="W302" s="46"/>
      <c r="X302" s="92" t="s">
        <v>78</v>
      </c>
      <c r="Y302" s="92" t="s">
        <v>78</v>
      </c>
      <c r="Z302" s="92" t="s">
        <v>78</v>
      </c>
    </row>
    <row r="303" spans="1:26" ht="16" hidden="1" x14ac:dyDescent="0.4">
      <c r="A303" s="92">
        <v>1499</v>
      </c>
      <c r="B303" s="92">
        <v>1500</v>
      </c>
      <c r="E303" s="92">
        <v>50</v>
      </c>
      <c r="F303" s="92">
        <f>_xlfn.XLOOKUP(B303, DATA_Moresby_2024_ALL!B:B, DATA_Moresby_2024_ALL!G:G, "")</f>
        <v>0</v>
      </c>
      <c r="G303" s="93"/>
      <c r="H303" s="92">
        <v>8</v>
      </c>
      <c r="I303" s="92" t="str">
        <f t="shared" si="18"/>
        <v>X</v>
      </c>
      <c r="J303" s="79" t="str">
        <f>IF(G303="","X",_xlfn.XLOOKUP(B303,DATA_Moresby_2024_ALL!B:B,DATA_Moresby_2024_ALL!K:K,""))</f>
        <v>X</v>
      </c>
      <c r="K303" s="28"/>
      <c r="L303" s="29"/>
      <c r="M303" s="28"/>
      <c r="N303" s="19" t="str">
        <f t="shared" si="19"/>
        <v/>
      </c>
      <c r="O303" s="19" t="str">
        <f t="shared" si="19"/>
        <v/>
      </c>
      <c r="P303" s="19" t="str">
        <f t="shared" si="19"/>
        <v/>
      </c>
      <c r="Q303" s="19" t="str">
        <f t="shared" si="19"/>
        <v/>
      </c>
      <c r="R303" s="21"/>
      <c r="T303" s="21"/>
      <c r="W303" s="46"/>
      <c r="X303" s="92" t="s">
        <v>78</v>
      </c>
      <c r="Y303" s="92" t="s">
        <v>78</v>
      </c>
      <c r="Z303" s="92" t="s">
        <v>78</v>
      </c>
    </row>
    <row r="304" spans="1:26" ht="16" hidden="1" x14ac:dyDescent="0.4">
      <c r="A304" s="92">
        <v>1504</v>
      </c>
      <c r="B304" s="92">
        <v>1505</v>
      </c>
      <c r="E304" s="92">
        <v>50</v>
      </c>
      <c r="F304" s="92">
        <f>_xlfn.XLOOKUP(B304, DATA_Moresby_2024_ALL!B:B, DATA_Moresby_2024_ALL!G:G, "")</f>
        <v>0</v>
      </c>
      <c r="G304" s="93"/>
      <c r="H304" s="92">
        <v>8</v>
      </c>
      <c r="I304" s="92" t="str">
        <f t="shared" si="18"/>
        <v>X</v>
      </c>
      <c r="J304" s="79" t="str">
        <f>IF(G304="","X",_xlfn.XLOOKUP(B304,DATA_Moresby_2024_ALL!B:B,DATA_Moresby_2024_ALL!K:K,""))</f>
        <v>X</v>
      </c>
      <c r="K304" s="28"/>
      <c r="L304" s="29"/>
      <c r="M304" s="28"/>
      <c r="N304" s="19" t="str">
        <f t="shared" si="19"/>
        <v/>
      </c>
      <c r="O304" s="19" t="str">
        <f t="shared" si="19"/>
        <v/>
      </c>
      <c r="P304" s="19" t="str">
        <f t="shared" si="19"/>
        <v/>
      </c>
      <c r="Q304" s="19" t="str">
        <f t="shared" si="19"/>
        <v/>
      </c>
      <c r="R304" s="21"/>
      <c r="T304" s="21"/>
      <c r="W304" s="46"/>
      <c r="X304" s="92" t="s">
        <v>78</v>
      </c>
      <c r="Y304" s="92" t="s">
        <v>78</v>
      </c>
      <c r="Z304" s="92" t="s">
        <v>78</v>
      </c>
    </row>
    <row r="305" spans="1:26" ht="16" hidden="1" x14ac:dyDescent="0.4">
      <c r="A305" s="92">
        <v>1509</v>
      </c>
      <c r="B305" s="92">
        <v>1510</v>
      </c>
      <c r="E305" s="92">
        <v>50</v>
      </c>
      <c r="F305" s="92">
        <f>_xlfn.XLOOKUP(B305, DATA_Moresby_2024_ALL!B:B, DATA_Moresby_2024_ALL!G:G, "")</f>
        <v>0</v>
      </c>
      <c r="G305" s="93"/>
      <c r="H305" s="92">
        <v>8</v>
      </c>
      <c r="I305" s="92" t="str">
        <f t="shared" si="18"/>
        <v>X</v>
      </c>
      <c r="J305" s="79" t="str">
        <f>IF(G305="","X",_xlfn.XLOOKUP(B305,DATA_Moresby_2024_ALL!B:B,DATA_Moresby_2024_ALL!K:K,""))</f>
        <v>X</v>
      </c>
      <c r="K305" s="28"/>
      <c r="L305" s="29"/>
      <c r="M305" s="28"/>
      <c r="N305" s="19" t="str">
        <f t="shared" si="19"/>
        <v/>
      </c>
      <c r="O305" s="19" t="str">
        <f t="shared" si="19"/>
        <v/>
      </c>
      <c r="P305" s="19" t="str">
        <f t="shared" si="19"/>
        <v/>
      </c>
      <c r="Q305" s="19" t="str">
        <f t="shared" si="19"/>
        <v/>
      </c>
      <c r="R305" s="21"/>
      <c r="T305" s="21"/>
      <c r="W305" s="46"/>
      <c r="X305" s="92" t="s">
        <v>78</v>
      </c>
      <c r="Y305" s="92" t="s">
        <v>78</v>
      </c>
      <c r="Z305" s="92" t="s">
        <v>78</v>
      </c>
    </row>
    <row r="306" spans="1:26" ht="16" hidden="1" x14ac:dyDescent="0.4">
      <c r="A306" s="92">
        <v>1514</v>
      </c>
      <c r="B306" s="92">
        <v>1515</v>
      </c>
      <c r="E306" s="92">
        <v>50</v>
      </c>
      <c r="F306" s="92">
        <f>_xlfn.XLOOKUP(B306, DATA_Moresby_2024_ALL!B:B, DATA_Moresby_2024_ALL!G:G, "")</f>
        <v>0</v>
      </c>
      <c r="G306" s="93"/>
      <c r="H306" s="92">
        <v>8</v>
      </c>
      <c r="I306" s="92" t="str">
        <f t="shared" si="18"/>
        <v>X</v>
      </c>
      <c r="J306" s="79" t="str">
        <f>IF(G306="","X",_xlfn.XLOOKUP(B306,DATA_Moresby_2024_ALL!B:B,DATA_Moresby_2024_ALL!K:K,""))</f>
        <v>X</v>
      </c>
      <c r="K306" s="28"/>
      <c r="L306" s="29"/>
      <c r="M306" s="28"/>
      <c r="N306" s="19" t="str">
        <f t="shared" si="19"/>
        <v/>
      </c>
      <c r="O306" s="19" t="str">
        <f t="shared" si="19"/>
        <v/>
      </c>
      <c r="P306" s="19" t="str">
        <f t="shared" si="19"/>
        <v/>
      </c>
      <c r="Q306" s="19" t="str">
        <f t="shared" si="19"/>
        <v/>
      </c>
      <c r="R306" s="21"/>
      <c r="T306" s="21"/>
      <c r="W306" s="46"/>
      <c r="X306" s="92" t="s">
        <v>78</v>
      </c>
      <c r="Y306" s="92" t="s">
        <v>78</v>
      </c>
      <c r="Z306" s="92" t="s">
        <v>78</v>
      </c>
    </row>
    <row r="307" spans="1:26" ht="16" hidden="1" x14ac:dyDescent="0.4">
      <c r="A307" s="92">
        <v>1519</v>
      </c>
      <c r="B307" s="92">
        <v>1520</v>
      </c>
      <c r="E307" s="92">
        <v>50</v>
      </c>
      <c r="F307" s="92">
        <f>_xlfn.XLOOKUP(B307, DATA_Moresby_2024_ALL!B:B, DATA_Moresby_2024_ALL!G:G, "")</f>
        <v>0</v>
      </c>
      <c r="G307" s="93"/>
      <c r="H307" s="92">
        <v>8</v>
      </c>
      <c r="I307" s="92" t="str">
        <f t="shared" si="18"/>
        <v>X</v>
      </c>
      <c r="J307" s="79" t="str">
        <f>IF(G307="","X",_xlfn.XLOOKUP(B307,DATA_Moresby_2024_ALL!B:B,DATA_Moresby_2024_ALL!K:K,""))</f>
        <v>X</v>
      </c>
      <c r="K307" s="28"/>
      <c r="L307" s="29"/>
      <c r="M307" s="28"/>
      <c r="N307" s="19" t="str">
        <f t="shared" si="19"/>
        <v/>
      </c>
      <c r="O307" s="19" t="str">
        <f t="shared" si="19"/>
        <v/>
      </c>
      <c r="P307" s="19" t="str">
        <f t="shared" si="19"/>
        <v/>
      </c>
      <c r="Q307" s="19" t="str">
        <f t="shared" si="19"/>
        <v/>
      </c>
      <c r="R307" s="21"/>
      <c r="T307" s="21"/>
      <c r="W307" s="46"/>
      <c r="X307" s="92" t="s">
        <v>78</v>
      </c>
      <c r="Y307" s="92" t="s">
        <v>78</v>
      </c>
      <c r="Z307" s="92" t="s">
        <v>78</v>
      </c>
    </row>
    <row r="308" spans="1:26" ht="16" hidden="1" x14ac:dyDescent="0.4">
      <c r="A308" s="92">
        <v>1524</v>
      </c>
      <c r="B308" s="92">
        <v>1525</v>
      </c>
      <c r="E308" s="92">
        <v>50</v>
      </c>
      <c r="F308" s="92">
        <f>_xlfn.XLOOKUP(B308, DATA_Moresby_2024_ALL!B:B, DATA_Moresby_2024_ALL!G:G, "")</f>
        <v>0</v>
      </c>
      <c r="G308" s="93"/>
      <c r="H308" s="92">
        <v>8</v>
      </c>
      <c r="I308" s="92" t="str">
        <f t="shared" si="18"/>
        <v>X</v>
      </c>
      <c r="J308" s="79" t="str">
        <f>IF(G308="","X",_xlfn.XLOOKUP(B308,DATA_Moresby_2024_ALL!B:B,DATA_Moresby_2024_ALL!K:K,""))</f>
        <v>X</v>
      </c>
      <c r="K308" s="28"/>
      <c r="L308" s="29"/>
      <c r="M308" s="28"/>
      <c r="N308" s="19" t="str">
        <f t="shared" si="19"/>
        <v/>
      </c>
      <c r="O308" s="19" t="str">
        <f t="shared" si="19"/>
        <v/>
      </c>
      <c r="P308" s="19" t="str">
        <f t="shared" si="19"/>
        <v/>
      </c>
      <c r="Q308" s="19" t="str">
        <f t="shared" si="19"/>
        <v/>
      </c>
      <c r="R308" s="21"/>
      <c r="T308" s="21"/>
      <c r="W308" s="46"/>
      <c r="X308" s="92" t="s">
        <v>78</v>
      </c>
      <c r="Y308" s="92" t="s">
        <v>78</v>
      </c>
      <c r="Z308" s="92" t="s">
        <v>78</v>
      </c>
    </row>
    <row r="309" spans="1:26" ht="16" hidden="1" x14ac:dyDescent="0.4">
      <c r="A309" s="92">
        <v>1529</v>
      </c>
      <c r="B309" s="92">
        <v>1530</v>
      </c>
      <c r="E309" s="92">
        <v>50</v>
      </c>
      <c r="F309" s="92">
        <f>_xlfn.XLOOKUP(B309, DATA_Moresby_2024_ALL!B:B, DATA_Moresby_2024_ALL!G:G, "")</f>
        <v>0</v>
      </c>
      <c r="G309" s="93"/>
      <c r="H309" s="92">
        <v>8</v>
      </c>
      <c r="I309" s="92" t="str">
        <f t="shared" si="18"/>
        <v>X</v>
      </c>
      <c r="J309" s="79" t="str">
        <f>IF(G309="","X",_xlfn.XLOOKUP(B309,DATA_Moresby_2024_ALL!B:B,DATA_Moresby_2024_ALL!K:K,""))</f>
        <v>X</v>
      </c>
      <c r="K309" s="28"/>
      <c r="L309" s="29"/>
      <c r="M309" s="28"/>
      <c r="N309" s="19" t="str">
        <f t="shared" si="19"/>
        <v/>
      </c>
      <c r="O309" s="19" t="str">
        <f t="shared" si="19"/>
        <v/>
      </c>
      <c r="P309" s="19" t="str">
        <f t="shared" si="19"/>
        <v/>
      </c>
      <c r="Q309" s="19" t="str">
        <f t="shared" si="19"/>
        <v/>
      </c>
      <c r="R309" s="21"/>
      <c r="T309" s="21"/>
      <c r="W309" s="46"/>
      <c r="X309" s="92" t="s">
        <v>78</v>
      </c>
      <c r="Y309" s="92" t="s">
        <v>78</v>
      </c>
      <c r="Z309" s="92" t="s">
        <v>78</v>
      </c>
    </row>
    <row r="310" spans="1:26" ht="16" hidden="1" x14ac:dyDescent="0.4">
      <c r="A310" s="92">
        <v>1534</v>
      </c>
      <c r="B310" s="92">
        <v>1535</v>
      </c>
      <c r="E310" s="92">
        <v>50</v>
      </c>
      <c r="F310" s="92">
        <f>_xlfn.XLOOKUP(B310, DATA_Moresby_2024_ALL!B:B, DATA_Moresby_2024_ALL!G:G, "")</f>
        <v>0</v>
      </c>
      <c r="G310" s="93"/>
      <c r="H310" s="92">
        <v>8</v>
      </c>
      <c r="I310" s="92" t="str">
        <f t="shared" si="18"/>
        <v>X</v>
      </c>
      <c r="J310" s="79" t="str">
        <f>IF(G310="","X",_xlfn.XLOOKUP(B310,DATA_Moresby_2024_ALL!B:B,DATA_Moresby_2024_ALL!K:K,""))</f>
        <v>X</v>
      </c>
      <c r="K310" s="28"/>
      <c r="L310" s="29"/>
      <c r="M310" s="28"/>
      <c r="N310" s="19" t="str">
        <f t="shared" si="19"/>
        <v/>
      </c>
      <c r="O310" s="19" t="str">
        <f t="shared" si="19"/>
        <v/>
      </c>
      <c r="P310" s="19" t="str">
        <f t="shared" si="19"/>
        <v/>
      </c>
      <c r="Q310" s="19" t="str">
        <f t="shared" si="19"/>
        <v/>
      </c>
      <c r="R310" s="21"/>
      <c r="T310" s="21"/>
      <c r="W310" s="46"/>
      <c r="X310" s="92" t="s">
        <v>78</v>
      </c>
      <c r="Y310" s="92" t="s">
        <v>78</v>
      </c>
      <c r="Z310" s="92" t="s">
        <v>78</v>
      </c>
    </row>
    <row r="311" spans="1:26" ht="16" hidden="1" x14ac:dyDescent="0.4">
      <c r="A311" s="92">
        <v>1539</v>
      </c>
      <c r="B311" s="92">
        <v>1540</v>
      </c>
      <c r="E311" s="92">
        <v>50</v>
      </c>
      <c r="F311" s="92">
        <f>_xlfn.XLOOKUP(B311, DATA_Moresby_2024_ALL!B:B, DATA_Moresby_2024_ALL!G:G, "")</f>
        <v>0</v>
      </c>
      <c r="G311" s="93"/>
      <c r="H311" s="92">
        <v>8</v>
      </c>
      <c r="I311" s="92" t="str">
        <f t="shared" si="18"/>
        <v>X</v>
      </c>
      <c r="J311" s="79" t="str">
        <f>IF(G311="","X",_xlfn.XLOOKUP(B311,DATA_Moresby_2024_ALL!B:B,DATA_Moresby_2024_ALL!K:K,""))</f>
        <v>X</v>
      </c>
      <c r="K311" s="28"/>
      <c r="L311" s="29"/>
      <c r="M311" s="28"/>
      <c r="N311" s="19" t="str">
        <f t="shared" si="19"/>
        <v/>
      </c>
      <c r="O311" s="19" t="str">
        <f t="shared" si="19"/>
        <v/>
      </c>
      <c r="P311" s="19" t="str">
        <f t="shared" si="19"/>
        <v/>
      </c>
      <c r="Q311" s="19" t="str">
        <f t="shared" si="19"/>
        <v/>
      </c>
      <c r="R311" s="21"/>
      <c r="T311" s="21"/>
      <c r="W311" s="46"/>
      <c r="X311" s="92" t="s">
        <v>78</v>
      </c>
      <c r="Y311" s="92" t="s">
        <v>78</v>
      </c>
      <c r="Z311" s="92" t="s">
        <v>78</v>
      </c>
    </row>
    <row r="312" spans="1:26" ht="16" hidden="1" x14ac:dyDescent="0.4">
      <c r="A312" s="92">
        <v>1544</v>
      </c>
      <c r="B312" s="92">
        <v>1545</v>
      </c>
      <c r="E312" s="92">
        <v>50</v>
      </c>
      <c r="F312" s="92">
        <f>_xlfn.XLOOKUP(B312, DATA_Moresby_2024_ALL!B:B, DATA_Moresby_2024_ALL!G:G, "")</f>
        <v>0</v>
      </c>
      <c r="G312" s="93"/>
      <c r="H312" s="92">
        <v>8</v>
      </c>
      <c r="I312" s="92" t="str">
        <f t="shared" si="18"/>
        <v>X</v>
      </c>
      <c r="J312" s="79" t="str">
        <f>IF(G312="","X",_xlfn.XLOOKUP(B312,DATA_Moresby_2024_ALL!B:B,DATA_Moresby_2024_ALL!K:K,""))</f>
        <v>X</v>
      </c>
      <c r="K312" s="28"/>
      <c r="L312" s="29"/>
      <c r="M312" s="28"/>
      <c r="N312" s="19" t="str">
        <f t="shared" si="19"/>
        <v/>
      </c>
      <c r="O312" s="19" t="str">
        <f t="shared" si="19"/>
        <v/>
      </c>
      <c r="P312" s="19" t="str">
        <f t="shared" si="19"/>
        <v/>
      </c>
      <c r="Q312" s="19" t="str">
        <f t="shared" si="19"/>
        <v/>
      </c>
      <c r="R312" s="21"/>
      <c r="T312" s="21"/>
      <c r="W312" s="46"/>
      <c r="X312" s="92" t="s">
        <v>78</v>
      </c>
      <c r="Y312" s="92" t="s">
        <v>78</v>
      </c>
      <c r="Z312" s="92" t="s">
        <v>78</v>
      </c>
    </row>
    <row r="313" spans="1:26" ht="16" hidden="1" x14ac:dyDescent="0.4">
      <c r="A313" s="92">
        <v>1549</v>
      </c>
      <c r="B313" s="92">
        <v>1550</v>
      </c>
      <c r="E313" s="92">
        <v>50</v>
      </c>
      <c r="F313" s="92">
        <f>_xlfn.XLOOKUP(B313, DATA_Moresby_2024_ALL!B:B, DATA_Moresby_2024_ALL!G:G, "")</f>
        <v>0</v>
      </c>
      <c r="G313" s="93"/>
      <c r="H313" s="92">
        <v>8</v>
      </c>
      <c r="I313" s="92" t="str">
        <f t="shared" si="18"/>
        <v>X</v>
      </c>
      <c r="J313" s="79" t="str">
        <f>IF(G313="","X",_xlfn.XLOOKUP(B313,DATA_Moresby_2024_ALL!B:B,DATA_Moresby_2024_ALL!K:K,""))</f>
        <v>X</v>
      </c>
      <c r="K313" s="28"/>
      <c r="L313" s="29"/>
      <c r="M313" s="28"/>
      <c r="N313" s="19" t="str">
        <f t="shared" si="19"/>
        <v/>
      </c>
      <c r="O313" s="19" t="str">
        <f t="shared" si="19"/>
        <v/>
      </c>
      <c r="P313" s="19" t="str">
        <f t="shared" si="19"/>
        <v/>
      </c>
      <c r="Q313" s="19" t="str">
        <f t="shared" si="19"/>
        <v/>
      </c>
      <c r="R313" s="21"/>
      <c r="T313" s="21"/>
      <c r="W313" s="46"/>
      <c r="X313" s="92" t="s">
        <v>78</v>
      </c>
      <c r="Y313" s="92" t="s">
        <v>78</v>
      </c>
      <c r="Z313" s="92" t="s">
        <v>78</v>
      </c>
    </row>
    <row r="314" spans="1:26" ht="16" hidden="1" x14ac:dyDescent="0.4">
      <c r="A314" s="92">
        <v>1554</v>
      </c>
      <c r="B314" s="92">
        <v>1555</v>
      </c>
      <c r="E314" s="92">
        <v>50</v>
      </c>
      <c r="F314" s="92">
        <f>_xlfn.XLOOKUP(B314, DATA_Moresby_2024_ALL!B:B, DATA_Moresby_2024_ALL!G:G, "")</f>
        <v>0</v>
      </c>
      <c r="G314" s="93"/>
      <c r="H314" s="92">
        <v>8</v>
      </c>
      <c r="I314" s="92" t="str">
        <f t="shared" si="18"/>
        <v>X</v>
      </c>
      <c r="J314" s="79" t="str">
        <f>IF(G314="","X",_xlfn.XLOOKUP(B314,DATA_Moresby_2024_ALL!B:B,DATA_Moresby_2024_ALL!K:K,""))</f>
        <v>X</v>
      </c>
      <c r="K314" s="28"/>
      <c r="L314" s="29"/>
      <c r="M314" s="28"/>
      <c r="N314" s="19" t="str">
        <f t="shared" si="19"/>
        <v/>
      </c>
      <c r="O314" s="19" t="str">
        <f t="shared" si="19"/>
        <v/>
      </c>
      <c r="P314" s="19" t="str">
        <f t="shared" si="19"/>
        <v/>
      </c>
      <c r="Q314" s="19" t="str">
        <f t="shared" si="19"/>
        <v/>
      </c>
      <c r="R314" s="21"/>
      <c r="T314" s="21"/>
      <c r="W314" s="46"/>
      <c r="X314" s="92" t="s">
        <v>78</v>
      </c>
      <c r="Y314" s="92" t="s">
        <v>78</v>
      </c>
      <c r="Z314" s="92" t="s">
        <v>78</v>
      </c>
    </row>
    <row r="315" spans="1:26" ht="16" hidden="1" x14ac:dyDescent="0.4">
      <c r="A315" s="92">
        <v>1559</v>
      </c>
      <c r="B315" s="92">
        <v>1560</v>
      </c>
      <c r="E315" s="92">
        <v>50</v>
      </c>
      <c r="F315" s="92">
        <f>_xlfn.XLOOKUP(B315, DATA_Moresby_2024_ALL!B:B, DATA_Moresby_2024_ALL!G:G, "")</f>
        <v>0</v>
      </c>
      <c r="G315" s="93"/>
      <c r="H315" s="92">
        <v>8</v>
      </c>
      <c r="I315" s="92" t="str">
        <f t="shared" si="18"/>
        <v>X</v>
      </c>
      <c r="J315" s="79" t="str">
        <f>IF(G315="","X",_xlfn.XLOOKUP(B315,DATA_Moresby_2024_ALL!B:B,DATA_Moresby_2024_ALL!K:K,""))</f>
        <v>X</v>
      </c>
      <c r="K315" s="28"/>
      <c r="L315" s="29"/>
      <c r="M315" s="28"/>
      <c r="N315" s="19" t="str">
        <f t="shared" si="19"/>
        <v/>
      </c>
      <c r="O315" s="19" t="str">
        <f t="shared" si="19"/>
        <v/>
      </c>
      <c r="P315" s="19" t="str">
        <f t="shared" si="19"/>
        <v/>
      </c>
      <c r="Q315" s="19" t="str">
        <f t="shared" si="19"/>
        <v/>
      </c>
      <c r="R315" s="21"/>
      <c r="T315" s="21"/>
      <c r="W315" s="46"/>
      <c r="X315" s="92" t="s">
        <v>78</v>
      </c>
      <c r="Y315" s="92" t="s">
        <v>78</v>
      </c>
      <c r="Z315" s="92" t="s">
        <v>78</v>
      </c>
    </row>
    <row r="316" spans="1:26" ht="16" hidden="1" x14ac:dyDescent="0.4">
      <c r="A316" s="92">
        <v>1564</v>
      </c>
      <c r="B316" s="92">
        <v>1565</v>
      </c>
      <c r="E316" s="92">
        <v>50</v>
      </c>
      <c r="F316" s="92">
        <f>_xlfn.XLOOKUP(B316, DATA_Moresby_2024_ALL!B:B, DATA_Moresby_2024_ALL!G:G, "")</f>
        <v>0</v>
      </c>
      <c r="G316" s="93"/>
      <c r="H316" s="92">
        <v>8</v>
      </c>
      <c r="I316" s="92" t="str">
        <f t="shared" si="18"/>
        <v>X</v>
      </c>
      <c r="J316" s="79" t="str">
        <f>IF(G316="","X",_xlfn.XLOOKUP(B316,DATA_Moresby_2024_ALL!B:B,DATA_Moresby_2024_ALL!K:K,""))</f>
        <v>X</v>
      </c>
      <c r="K316" s="28"/>
      <c r="L316" s="29"/>
      <c r="M316" s="28"/>
      <c r="N316" s="19" t="str">
        <f t="shared" si="19"/>
        <v/>
      </c>
      <c r="O316" s="19" t="str">
        <f t="shared" si="19"/>
        <v/>
      </c>
      <c r="P316" s="19" t="str">
        <f t="shared" si="19"/>
        <v/>
      </c>
      <c r="Q316" s="19" t="str">
        <f t="shared" si="19"/>
        <v/>
      </c>
      <c r="R316" s="21"/>
      <c r="T316" s="21"/>
      <c r="W316" s="46"/>
      <c r="X316" s="92" t="s">
        <v>78</v>
      </c>
      <c r="Y316" s="92" t="s">
        <v>78</v>
      </c>
      <c r="Z316" s="92" t="s">
        <v>78</v>
      </c>
    </row>
    <row r="317" spans="1:26" ht="16" hidden="1" x14ac:dyDescent="0.4">
      <c r="A317" s="92">
        <v>1569</v>
      </c>
      <c r="B317" s="92">
        <v>1570</v>
      </c>
      <c r="E317" s="92">
        <v>50</v>
      </c>
      <c r="F317" s="92">
        <f>_xlfn.XLOOKUP(B317, DATA_Moresby_2024_ALL!B:B, DATA_Moresby_2024_ALL!G:G, "")</f>
        <v>0</v>
      </c>
      <c r="G317" s="93"/>
      <c r="H317" s="92">
        <v>8</v>
      </c>
      <c r="I317" s="92" t="str">
        <f t="shared" si="18"/>
        <v>X</v>
      </c>
      <c r="J317" s="79" t="str">
        <f>IF(G317="","X",_xlfn.XLOOKUP(B317,DATA_Moresby_2024_ALL!B:B,DATA_Moresby_2024_ALL!K:K,""))</f>
        <v>X</v>
      </c>
      <c r="K317" s="28"/>
      <c r="L317" s="29"/>
      <c r="M317" s="28"/>
      <c r="N317" s="19" t="str">
        <f t="shared" si="19"/>
        <v/>
      </c>
      <c r="O317" s="19" t="str">
        <f t="shared" si="19"/>
        <v/>
      </c>
      <c r="P317" s="19" t="str">
        <f t="shared" si="19"/>
        <v/>
      </c>
      <c r="Q317" s="19" t="str">
        <f t="shared" si="19"/>
        <v/>
      </c>
      <c r="R317" s="21"/>
      <c r="T317" s="21"/>
      <c r="W317" s="46"/>
      <c r="X317" s="92" t="s">
        <v>78</v>
      </c>
      <c r="Y317" s="92" t="s">
        <v>78</v>
      </c>
      <c r="Z317" s="92" t="s">
        <v>78</v>
      </c>
    </row>
    <row r="318" spans="1:26" ht="16" hidden="1" x14ac:dyDescent="0.4">
      <c r="A318" s="92">
        <v>1574</v>
      </c>
      <c r="B318" s="92">
        <v>1575</v>
      </c>
      <c r="E318" s="92">
        <v>50</v>
      </c>
      <c r="F318" s="92">
        <f>_xlfn.XLOOKUP(B318, DATA_Moresby_2024_ALL!B:B, DATA_Moresby_2024_ALL!G:G, "")</f>
        <v>0</v>
      </c>
      <c r="G318" s="93"/>
      <c r="H318" s="92">
        <v>8</v>
      </c>
      <c r="I318" s="92" t="str">
        <f t="shared" si="18"/>
        <v>X</v>
      </c>
      <c r="J318" s="79" t="str">
        <f>IF(G318="","X",_xlfn.XLOOKUP(B318,DATA_Moresby_2024_ALL!B:B,DATA_Moresby_2024_ALL!K:K,""))</f>
        <v>X</v>
      </c>
      <c r="K318" s="28"/>
      <c r="L318" s="29"/>
      <c r="M318" s="28"/>
      <c r="N318" s="19" t="str">
        <f t="shared" si="19"/>
        <v/>
      </c>
      <c r="O318" s="19" t="str">
        <f t="shared" si="19"/>
        <v/>
      </c>
      <c r="P318" s="19" t="str">
        <f t="shared" si="19"/>
        <v/>
      </c>
      <c r="Q318" s="19" t="str">
        <f t="shared" si="19"/>
        <v/>
      </c>
      <c r="R318" s="21"/>
      <c r="T318" s="21"/>
      <c r="W318" s="46"/>
      <c r="X318" s="92" t="s">
        <v>78</v>
      </c>
      <c r="Y318" s="92" t="s">
        <v>78</v>
      </c>
      <c r="Z318" s="92" t="s">
        <v>78</v>
      </c>
    </row>
    <row r="319" spans="1:26" ht="16" hidden="1" x14ac:dyDescent="0.4">
      <c r="A319" s="92">
        <v>1579</v>
      </c>
      <c r="B319" s="92">
        <v>1580</v>
      </c>
      <c r="E319" s="92">
        <v>50</v>
      </c>
      <c r="F319" s="92">
        <f>_xlfn.XLOOKUP(B319, DATA_Moresby_2024_ALL!B:B, DATA_Moresby_2024_ALL!G:G, "")</f>
        <v>0</v>
      </c>
      <c r="G319" s="93"/>
      <c r="H319" s="92">
        <v>8</v>
      </c>
      <c r="I319" s="92" t="str">
        <f t="shared" si="18"/>
        <v>X</v>
      </c>
      <c r="J319" s="79" t="str">
        <f>IF(G319="","X",_xlfn.XLOOKUP(B319,DATA_Moresby_2024_ALL!B:B,DATA_Moresby_2024_ALL!K:K,""))</f>
        <v>X</v>
      </c>
      <c r="K319" s="28"/>
      <c r="L319" s="29"/>
      <c r="M319" s="28"/>
      <c r="N319" s="19" t="str">
        <f t="shared" si="19"/>
        <v/>
      </c>
      <c r="O319" s="19" t="str">
        <f t="shared" si="19"/>
        <v/>
      </c>
      <c r="P319" s="19" t="str">
        <f t="shared" si="19"/>
        <v/>
      </c>
      <c r="Q319" s="19" t="str">
        <f t="shared" si="19"/>
        <v/>
      </c>
      <c r="R319" s="21"/>
      <c r="T319" s="21"/>
      <c r="W319" s="46"/>
      <c r="X319" s="92" t="s">
        <v>78</v>
      </c>
      <c r="Y319" s="92" t="s">
        <v>78</v>
      </c>
      <c r="Z319" s="92" t="s">
        <v>78</v>
      </c>
    </row>
    <row r="320" spans="1:26" ht="16" hidden="1" x14ac:dyDescent="0.4">
      <c r="A320" s="92">
        <v>1584</v>
      </c>
      <c r="B320" s="92">
        <v>1585</v>
      </c>
      <c r="E320" s="92">
        <v>50</v>
      </c>
      <c r="F320" s="92">
        <f>_xlfn.XLOOKUP(B320, DATA_Moresby_2024_ALL!B:B, DATA_Moresby_2024_ALL!G:G, "")</f>
        <v>0</v>
      </c>
      <c r="G320" s="93"/>
      <c r="H320" s="92">
        <v>8</v>
      </c>
      <c r="I320" s="92" t="str">
        <f t="shared" si="18"/>
        <v>X</v>
      </c>
      <c r="J320" s="79" t="str">
        <f>IF(G320="","X",_xlfn.XLOOKUP(B320,DATA_Moresby_2024_ALL!B:B,DATA_Moresby_2024_ALL!K:K,""))</f>
        <v>X</v>
      </c>
      <c r="K320" s="28"/>
      <c r="L320" s="29"/>
      <c r="M320" s="28"/>
      <c r="N320" s="19" t="str">
        <f t="shared" si="19"/>
        <v/>
      </c>
      <c r="O320" s="19" t="str">
        <f t="shared" si="19"/>
        <v/>
      </c>
      <c r="P320" s="19" t="str">
        <f t="shared" si="19"/>
        <v/>
      </c>
      <c r="Q320" s="19" t="str">
        <f t="shared" si="19"/>
        <v/>
      </c>
      <c r="R320" s="21"/>
      <c r="T320" s="21"/>
      <c r="W320" s="46"/>
      <c r="X320" s="92" t="s">
        <v>78</v>
      </c>
      <c r="Y320" s="92" t="s">
        <v>78</v>
      </c>
      <c r="Z320" s="92" t="s">
        <v>78</v>
      </c>
    </row>
    <row r="321" spans="1:26" ht="16" hidden="1" x14ac:dyDescent="0.4">
      <c r="A321" s="92">
        <v>1589</v>
      </c>
      <c r="B321" s="92">
        <v>1590</v>
      </c>
      <c r="E321" s="92">
        <v>50</v>
      </c>
      <c r="F321" s="92">
        <f>_xlfn.XLOOKUP(B321, DATA_Moresby_2024_ALL!B:B, DATA_Moresby_2024_ALL!G:G, "")</f>
        <v>0</v>
      </c>
      <c r="G321" s="93"/>
      <c r="H321" s="92">
        <v>8</v>
      </c>
      <c r="I321" s="92" t="str">
        <f t="shared" si="18"/>
        <v>X</v>
      </c>
      <c r="J321" s="79" t="str">
        <f>IF(G321="","X",_xlfn.XLOOKUP(B321,DATA_Moresby_2024_ALL!B:B,DATA_Moresby_2024_ALL!K:K,""))</f>
        <v>X</v>
      </c>
      <c r="K321" s="28"/>
      <c r="L321" s="29"/>
      <c r="M321" s="28"/>
      <c r="N321" s="19" t="str">
        <f t="shared" si="19"/>
        <v/>
      </c>
      <c r="O321" s="19" t="str">
        <f t="shared" si="19"/>
        <v/>
      </c>
      <c r="P321" s="19" t="str">
        <f t="shared" si="19"/>
        <v/>
      </c>
      <c r="Q321" s="19" t="str">
        <f t="shared" si="19"/>
        <v/>
      </c>
      <c r="R321" s="21"/>
      <c r="T321" s="21"/>
      <c r="W321" s="46"/>
      <c r="X321" s="92" t="s">
        <v>78</v>
      </c>
      <c r="Y321" s="92" t="s">
        <v>78</v>
      </c>
      <c r="Z321" s="92" t="s">
        <v>78</v>
      </c>
    </row>
    <row r="322" spans="1:26" ht="16" hidden="1" x14ac:dyDescent="0.4">
      <c r="A322" s="92">
        <v>1594</v>
      </c>
      <c r="B322" s="92">
        <v>1595</v>
      </c>
      <c r="E322" s="92">
        <v>50</v>
      </c>
      <c r="F322" s="92">
        <f>_xlfn.XLOOKUP(B322, DATA_Moresby_2024_ALL!B:B, DATA_Moresby_2024_ALL!G:G, "")</f>
        <v>0</v>
      </c>
      <c r="G322" s="93"/>
      <c r="H322" s="92">
        <v>8</v>
      </c>
      <c r="I322" s="92" t="str">
        <f t="shared" si="18"/>
        <v>X</v>
      </c>
      <c r="J322" s="79" t="str">
        <f>IF(G322="","X",_xlfn.XLOOKUP(B322,DATA_Moresby_2024_ALL!B:B,DATA_Moresby_2024_ALL!K:K,""))</f>
        <v>X</v>
      </c>
      <c r="K322" s="28"/>
      <c r="L322" s="29"/>
      <c r="M322" s="28"/>
      <c r="N322" s="19" t="str">
        <f t="shared" si="19"/>
        <v/>
      </c>
      <c r="O322" s="19" t="str">
        <f t="shared" si="19"/>
        <v/>
      </c>
      <c r="P322" s="19" t="str">
        <f t="shared" si="19"/>
        <v/>
      </c>
      <c r="Q322" s="19" t="str">
        <f t="shared" si="19"/>
        <v/>
      </c>
      <c r="R322" s="21"/>
      <c r="T322" s="21"/>
      <c r="W322" s="46"/>
      <c r="X322" s="92" t="s">
        <v>78</v>
      </c>
      <c r="Y322" s="92" t="s">
        <v>78</v>
      </c>
      <c r="Z322" s="92" t="s">
        <v>78</v>
      </c>
    </row>
    <row r="323" spans="1:26" ht="16" hidden="1" x14ac:dyDescent="0.4">
      <c r="A323" s="92">
        <v>1599</v>
      </c>
      <c r="B323" s="92">
        <v>1600</v>
      </c>
      <c r="E323" s="92">
        <v>50</v>
      </c>
      <c r="F323" s="92">
        <f>_xlfn.XLOOKUP(B323, DATA_Moresby_2024_ALL!B:B, DATA_Moresby_2024_ALL!G:G, "")</f>
        <v>0</v>
      </c>
      <c r="G323" s="93"/>
      <c r="H323" s="92">
        <v>8</v>
      </c>
      <c r="I323" s="92" t="str">
        <f t="shared" si="18"/>
        <v>X</v>
      </c>
      <c r="J323" s="79" t="str">
        <f>IF(G323="","X",_xlfn.XLOOKUP(B323,DATA_Moresby_2024_ALL!B:B,DATA_Moresby_2024_ALL!K:K,""))</f>
        <v>X</v>
      </c>
      <c r="K323" s="28"/>
      <c r="L323" s="29"/>
      <c r="M323" s="28"/>
      <c r="N323" s="19" t="str">
        <f t="shared" si="19"/>
        <v/>
      </c>
      <c r="O323" s="19" t="str">
        <f t="shared" si="19"/>
        <v/>
      </c>
      <c r="P323" s="19" t="str">
        <f t="shared" si="19"/>
        <v/>
      </c>
      <c r="Q323" s="19" t="str">
        <f t="shared" si="19"/>
        <v/>
      </c>
      <c r="R323" s="21"/>
      <c r="T323" s="21"/>
      <c r="W323" s="46"/>
      <c r="X323" s="92" t="s">
        <v>78</v>
      </c>
      <c r="Y323" s="92" t="s">
        <v>78</v>
      </c>
      <c r="Z323" s="92" t="s">
        <v>78</v>
      </c>
    </row>
    <row r="324" spans="1:26" ht="16" hidden="1" x14ac:dyDescent="0.4">
      <c r="A324" s="92">
        <v>1604</v>
      </c>
      <c r="B324" s="92">
        <v>1605</v>
      </c>
      <c r="E324" s="92">
        <v>50</v>
      </c>
      <c r="F324" s="92">
        <f>_xlfn.XLOOKUP(B324, DATA_Moresby_2024_ALL!B:B, DATA_Moresby_2024_ALL!G:G, "")</f>
        <v>0</v>
      </c>
      <c r="G324" s="93"/>
      <c r="H324" s="92">
        <v>8</v>
      </c>
      <c r="I324" s="92" t="str">
        <f t="shared" si="18"/>
        <v>X</v>
      </c>
      <c r="J324" s="79" t="str">
        <f>IF(G324="","X",_xlfn.XLOOKUP(B324,DATA_Moresby_2024_ALL!B:B,DATA_Moresby_2024_ALL!K:K,""))</f>
        <v>X</v>
      </c>
      <c r="K324" s="28"/>
      <c r="L324" s="29"/>
      <c r="M324" s="28"/>
      <c r="N324" s="19" t="str">
        <f t="shared" si="19"/>
        <v/>
      </c>
      <c r="O324" s="19" t="str">
        <f t="shared" si="19"/>
        <v/>
      </c>
      <c r="P324" s="19" t="str">
        <f t="shared" si="19"/>
        <v/>
      </c>
      <c r="Q324" s="19" t="str">
        <f t="shared" si="19"/>
        <v/>
      </c>
      <c r="R324" s="21"/>
      <c r="T324" s="21"/>
      <c r="W324" s="46"/>
      <c r="X324" s="92" t="s">
        <v>78</v>
      </c>
      <c r="Y324" s="92" t="s">
        <v>78</v>
      </c>
      <c r="Z324" s="92" t="s">
        <v>78</v>
      </c>
    </row>
    <row r="325" spans="1:26" ht="16" hidden="1" x14ac:dyDescent="0.4">
      <c r="A325" s="92">
        <v>1609</v>
      </c>
      <c r="B325" s="92">
        <v>1610</v>
      </c>
      <c r="E325" s="92">
        <v>50</v>
      </c>
      <c r="F325" s="92">
        <f>_xlfn.XLOOKUP(B325, DATA_Moresby_2024_ALL!B:B, DATA_Moresby_2024_ALL!G:G, "")</f>
        <v>0</v>
      </c>
      <c r="G325" s="93"/>
      <c r="H325" s="92">
        <v>8</v>
      </c>
      <c r="I325" s="92" t="str">
        <f t="shared" si="18"/>
        <v>X</v>
      </c>
      <c r="J325" s="79" t="str">
        <f>IF(G325="","X",_xlfn.XLOOKUP(B325,DATA_Moresby_2024_ALL!B:B,DATA_Moresby_2024_ALL!K:K,""))</f>
        <v>X</v>
      </c>
      <c r="K325" s="28"/>
      <c r="L325" s="29"/>
      <c r="M325" s="28"/>
      <c r="N325" s="19" t="str">
        <f t="shared" si="19"/>
        <v/>
      </c>
      <c r="O325" s="19" t="str">
        <f t="shared" si="19"/>
        <v/>
      </c>
      <c r="P325" s="19" t="str">
        <f t="shared" si="19"/>
        <v/>
      </c>
      <c r="Q325" s="19" t="str">
        <f t="shared" si="19"/>
        <v/>
      </c>
      <c r="R325" s="21"/>
      <c r="T325" s="21"/>
      <c r="W325" s="46"/>
      <c r="X325" s="92" t="s">
        <v>78</v>
      </c>
      <c r="Y325" s="92" t="s">
        <v>78</v>
      </c>
      <c r="Z325" s="92" t="s">
        <v>78</v>
      </c>
    </row>
    <row r="326" spans="1:26" ht="16" hidden="1" x14ac:dyDescent="0.4">
      <c r="A326" s="92">
        <v>1614</v>
      </c>
      <c r="B326" s="92">
        <v>1615</v>
      </c>
      <c r="E326" s="92">
        <v>50</v>
      </c>
      <c r="F326" s="92">
        <f>_xlfn.XLOOKUP(B326, DATA_Moresby_2024_ALL!B:B, DATA_Moresby_2024_ALL!G:G, "")</f>
        <v>0</v>
      </c>
      <c r="G326" s="93"/>
      <c r="H326" s="92">
        <v>8</v>
      </c>
      <c r="I326" s="92" t="str">
        <f t="shared" si="18"/>
        <v>X</v>
      </c>
      <c r="J326" s="79" t="str">
        <f>IF(G326="","X",_xlfn.XLOOKUP(B326,DATA_Moresby_2024_ALL!B:B,DATA_Moresby_2024_ALL!K:K,""))</f>
        <v>X</v>
      </c>
      <c r="K326" s="28"/>
      <c r="L326" s="29"/>
      <c r="M326" s="28"/>
      <c r="N326" s="19" t="str">
        <f t="shared" si="19"/>
        <v/>
      </c>
      <c r="O326" s="19" t="str">
        <f t="shared" si="19"/>
        <v/>
      </c>
      <c r="P326" s="19" t="str">
        <f t="shared" si="19"/>
        <v/>
      </c>
      <c r="Q326" s="19" t="str">
        <f t="shared" si="19"/>
        <v/>
      </c>
      <c r="R326" s="21"/>
      <c r="T326" s="21"/>
      <c r="W326" s="46"/>
      <c r="X326" s="92" t="s">
        <v>78</v>
      </c>
      <c r="Y326" s="92" t="s">
        <v>78</v>
      </c>
      <c r="Z326" s="92" t="s">
        <v>78</v>
      </c>
    </row>
    <row r="327" spans="1:26" ht="16" hidden="1" x14ac:dyDescent="0.4">
      <c r="A327" s="92">
        <v>1619</v>
      </c>
      <c r="B327" s="92">
        <v>1620</v>
      </c>
      <c r="E327" s="92">
        <v>50</v>
      </c>
      <c r="F327" s="92">
        <f>_xlfn.XLOOKUP(B327, DATA_Moresby_2024_ALL!B:B, DATA_Moresby_2024_ALL!G:G, "")</f>
        <v>0</v>
      </c>
      <c r="G327" s="93"/>
      <c r="H327" s="92">
        <v>8</v>
      </c>
      <c r="I327" s="92" t="str">
        <f t="shared" si="18"/>
        <v>X</v>
      </c>
      <c r="J327" s="79" t="str">
        <f>IF(G327="","X",_xlfn.XLOOKUP(B327,DATA_Moresby_2024_ALL!B:B,DATA_Moresby_2024_ALL!K:K,""))</f>
        <v>X</v>
      </c>
      <c r="K327" s="28"/>
      <c r="L327" s="29"/>
      <c r="M327" s="28"/>
      <c r="N327" s="19" t="str">
        <f t="shared" si="19"/>
        <v/>
      </c>
      <c r="O327" s="19" t="str">
        <f t="shared" si="19"/>
        <v/>
      </c>
      <c r="P327" s="19" t="str">
        <f t="shared" si="19"/>
        <v/>
      </c>
      <c r="Q327" s="19" t="str">
        <f t="shared" si="19"/>
        <v/>
      </c>
      <c r="R327" s="21"/>
      <c r="T327" s="21"/>
      <c r="W327" s="46"/>
      <c r="X327" s="92" t="s">
        <v>78</v>
      </c>
      <c r="Y327" s="92" t="s">
        <v>78</v>
      </c>
      <c r="Z327" s="92" t="s">
        <v>78</v>
      </c>
    </row>
    <row r="328" spans="1:26" ht="16" hidden="1" x14ac:dyDescent="0.4">
      <c r="A328" s="92">
        <v>1624</v>
      </c>
      <c r="B328" s="92">
        <v>1625</v>
      </c>
      <c r="E328" s="92">
        <v>50</v>
      </c>
      <c r="F328" s="92">
        <f>_xlfn.XLOOKUP(B328, DATA_Moresby_2024_ALL!B:B, DATA_Moresby_2024_ALL!G:G, "")</f>
        <v>0</v>
      </c>
      <c r="G328" s="93"/>
      <c r="H328" s="92">
        <v>8</v>
      </c>
      <c r="I328" s="92" t="str">
        <f t="shared" si="18"/>
        <v>X</v>
      </c>
      <c r="J328" s="79" t="str">
        <f>IF(G328="","X",_xlfn.XLOOKUP(B328,DATA_Moresby_2024_ALL!B:B,DATA_Moresby_2024_ALL!K:K,""))</f>
        <v>X</v>
      </c>
      <c r="K328" s="28"/>
      <c r="L328" s="29"/>
      <c r="M328" s="28"/>
      <c r="N328" s="19" t="str">
        <f t="shared" si="19"/>
        <v/>
      </c>
      <c r="O328" s="19" t="str">
        <f t="shared" si="19"/>
        <v/>
      </c>
      <c r="P328" s="19" t="str">
        <f t="shared" si="19"/>
        <v/>
      </c>
      <c r="Q328" s="19" t="str">
        <f t="shared" si="19"/>
        <v/>
      </c>
      <c r="R328" s="21"/>
      <c r="T328" s="21"/>
      <c r="W328" s="46"/>
      <c r="X328" s="92" t="s">
        <v>78</v>
      </c>
      <c r="Y328" s="92" t="s">
        <v>78</v>
      </c>
      <c r="Z328" s="92" t="s">
        <v>78</v>
      </c>
    </row>
    <row r="329" spans="1:26" ht="16" hidden="1" x14ac:dyDescent="0.4">
      <c r="A329" s="92">
        <v>1629</v>
      </c>
      <c r="B329" s="92">
        <v>1630</v>
      </c>
      <c r="E329" s="92">
        <v>50</v>
      </c>
      <c r="F329" s="92">
        <f>_xlfn.XLOOKUP(B329, DATA_Moresby_2024_ALL!B:B, DATA_Moresby_2024_ALL!G:G, "")</f>
        <v>0</v>
      </c>
      <c r="G329" s="93"/>
      <c r="H329" s="92">
        <v>8</v>
      </c>
      <c r="I329" s="92" t="str">
        <f t="shared" si="18"/>
        <v>X</v>
      </c>
      <c r="J329" s="79" t="str">
        <f>IF(G329="","X",_xlfn.XLOOKUP(B329,DATA_Moresby_2024_ALL!B:B,DATA_Moresby_2024_ALL!K:K,""))</f>
        <v>X</v>
      </c>
      <c r="K329" s="28"/>
      <c r="L329" s="29"/>
      <c r="M329" s="28"/>
      <c r="N329" s="19" t="str">
        <f t="shared" si="19"/>
        <v/>
      </c>
      <c r="O329" s="19" t="str">
        <f t="shared" si="19"/>
        <v/>
      </c>
      <c r="P329" s="19" t="str">
        <f t="shared" si="19"/>
        <v/>
      </c>
      <c r="Q329" s="19" t="str">
        <f t="shared" si="19"/>
        <v/>
      </c>
      <c r="R329" s="21"/>
      <c r="T329" s="21"/>
      <c r="W329" s="46"/>
      <c r="X329" s="92" t="s">
        <v>78</v>
      </c>
      <c r="Y329" s="92" t="s">
        <v>78</v>
      </c>
      <c r="Z329" s="92" t="s">
        <v>78</v>
      </c>
    </row>
    <row r="330" spans="1:26" ht="16" hidden="1" x14ac:dyDescent="0.4">
      <c r="A330" s="92">
        <v>1634</v>
      </c>
      <c r="B330" s="92">
        <v>1635</v>
      </c>
      <c r="E330" s="92">
        <v>50</v>
      </c>
      <c r="F330" s="92">
        <f>_xlfn.XLOOKUP(B330, DATA_Moresby_2024_ALL!B:B, DATA_Moresby_2024_ALL!G:G, "")</f>
        <v>0</v>
      </c>
      <c r="G330" s="93"/>
      <c r="H330" s="92">
        <v>8</v>
      </c>
      <c r="I330" s="92" t="str">
        <f t="shared" si="18"/>
        <v>X</v>
      </c>
      <c r="J330" s="79" t="str">
        <f>IF(G330="","X",_xlfn.XLOOKUP(B330,DATA_Moresby_2024_ALL!B:B,DATA_Moresby_2024_ALL!K:K,""))</f>
        <v>X</v>
      </c>
      <c r="K330" s="28"/>
      <c r="L330" s="29"/>
      <c r="M330" s="28"/>
      <c r="N330" s="19" t="str">
        <f t="shared" si="19"/>
        <v/>
      </c>
      <c r="O330" s="19" t="str">
        <f t="shared" si="19"/>
        <v/>
      </c>
      <c r="P330" s="19" t="str">
        <f t="shared" si="19"/>
        <v/>
      </c>
      <c r="Q330" s="19" t="str">
        <f t="shared" si="19"/>
        <v/>
      </c>
      <c r="R330" s="21"/>
      <c r="T330" s="21"/>
      <c r="W330" s="46"/>
      <c r="X330" s="92" t="s">
        <v>78</v>
      </c>
      <c r="Y330" s="92" t="s">
        <v>78</v>
      </c>
      <c r="Z330" s="92" t="s">
        <v>78</v>
      </c>
    </row>
    <row r="331" spans="1:26" ht="16" hidden="1" x14ac:dyDescent="0.4">
      <c r="A331" s="92">
        <v>1639</v>
      </c>
      <c r="B331" s="92">
        <v>1640</v>
      </c>
      <c r="E331" s="92">
        <v>50</v>
      </c>
      <c r="F331" s="92">
        <f>_xlfn.XLOOKUP(B331, DATA_Moresby_2024_ALL!B:B, DATA_Moresby_2024_ALL!G:G, "")</f>
        <v>0</v>
      </c>
      <c r="G331" s="93"/>
      <c r="H331" s="92">
        <v>8</v>
      </c>
      <c r="I331" s="92" t="str">
        <f t="shared" si="18"/>
        <v>X</v>
      </c>
      <c r="J331" s="79" t="str">
        <f>IF(G331="","X",_xlfn.XLOOKUP(B331,DATA_Moresby_2024_ALL!B:B,DATA_Moresby_2024_ALL!K:K,""))</f>
        <v>X</v>
      </c>
      <c r="K331" s="28"/>
      <c r="L331" s="29"/>
      <c r="M331" s="28"/>
      <c r="N331" s="19" t="str">
        <f t="shared" si="19"/>
        <v/>
      </c>
      <c r="O331" s="19" t="str">
        <f t="shared" si="19"/>
        <v/>
      </c>
      <c r="P331" s="19" t="str">
        <f t="shared" si="19"/>
        <v/>
      </c>
      <c r="Q331" s="19" t="str">
        <f t="shared" si="19"/>
        <v/>
      </c>
      <c r="R331" s="21"/>
      <c r="T331" s="21"/>
      <c r="W331" s="46"/>
      <c r="X331" s="92" t="s">
        <v>78</v>
      </c>
      <c r="Y331" s="92" t="s">
        <v>78</v>
      </c>
      <c r="Z331" s="92" t="s">
        <v>78</v>
      </c>
    </row>
    <row r="332" spans="1:26" ht="16" hidden="1" x14ac:dyDescent="0.4">
      <c r="A332" s="92">
        <v>1644</v>
      </c>
      <c r="B332" s="92">
        <v>1645</v>
      </c>
      <c r="E332" s="92">
        <v>50</v>
      </c>
      <c r="F332" s="92">
        <f>_xlfn.XLOOKUP(B332, DATA_Moresby_2024_ALL!B:B, DATA_Moresby_2024_ALL!G:G, "")</f>
        <v>0</v>
      </c>
      <c r="G332" s="93"/>
      <c r="H332" s="92">
        <v>8</v>
      </c>
      <c r="I332" s="92" t="str">
        <f t="shared" si="18"/>
        <v>X</v>
      </c>
      <c r="J332" s="79" t="str">
        <f>IF(G332="","X",_xlfn.XLOOKUP(B332,DATA_Moresby_2024_ALL!B:B,DATA_Moresby_2024_ALL!K:K,""))</f>
        <v>X</v>
      </c>
      <c r="K332" s="28"/>
      <c r="L332" s="29"/>
      <c r="M332" s="28"/>
      <c r="N332" s="19" t="str">
        <f t="shared" si="19"/>
        <v/>
      </c>
      <c r="O332" s="19" t="str">
        <f t="shared" si="19"/>
        <v/>
      </c>
      <c r="P332" s="19" t="str">
        <f t="shared" si="19"/>
        <v/>
      </c>
      <c r="Q332" s="19" t="str">
        <f t="shared" si="19"/>
        <v/>
      </c>
      <c r="R332" s="21"/>
      <c r="T332" s="21"/>
      <c r="W332" s="46"/>
      <c r="X332" s="92" t="s">
        <v>78</v>
      </c>
      <c r="Y332" s="92" t="s">
        <v>78</v>
      </c>
      <c r="Z332" s="92" t="s">
        <v>78</v>
      </c>
    </row>
    <row r="333" spans="1:26" ht="16" hidden="1" x14ac:dyDescent="0.4">
      <c r="A333" s="92">
        <v>1649</v>
      </c>
      <c r="B333" s="92">
        <v>1650</v>
      </c>
      <c r="E333" s="92">
        <v>50</v>
      </c>
      <c r="F333" s="92">
        <f>_xlfn.XLOOKUP(B333, DATA_Moresby_2024_ALL!B:B, DATA_Moresby_2024_ALL!G:G, "")</f>
        <v>0</v>
      </c>
      <c r="G333" s="93"/>
      <c r="H333" s="92">
        <v>8</v>
      </c>
      <c r="I333" s="92" t="str">
        <f t="shared" si="18"/>
        <v>X</v>
      </c>
      <c r="J333" s="79" t="str">
        <f>IF(G333="","X",_xlfn.XLOOKUP(B333,DATA_Moresby_2024_ALL!B:B,DATA_Moresby_2024_ALL!K:K,""))</f>
        <v>X</v>
      </c>
      <c r="K333" s="28"/>
      <c r="L333" s="29"/>
      <c r="M333" s="28"/>
      <c r="N333" s="19" t="str">
        <f t="shared" si="19"/>
        <v/>
      </c>
      <c r="O333" s="19" t="str">
        <f t="shared" si="19"/>
        <v/>
      </c>
      <c r="P333" s="19" t="str">
        <f t="shared" si="19"/>
        <v/>
      </c>
      <c r="Q333" s="19" t="str">
        <f t="shared" si="19"/>
        <v/>
      </c>
      <c r="R333" s="21"/>
      <c r="T333" s="21"/>
      <c r="W333" s="46"/>
      <c r="X333" s="92" t="s">
        <v>78</v>
      </c>
      <c r="Y333" s="92" t="s">
        <v>78</v>
      </c>
      <c r="Z333" s="92" t="s">
        <v>78</v>
      </c>
    </row>
    <row r="334" spans="1:26" ht="16" hidden="1" x14ac:dyDescent="0.4">
      <c r="A334" s="92">
        <v>1654</v>
      </c>
      <c r="B334" s="92">
        <v>1655</v>
      </c>
      <c r="E334" s="92">
        <v>50</v>
      </c>
      <c r="F334" s="92">
        <f>_xlfn.XLOOKUP(B334, DATA_Moresby_2024_ALL!B:B, DATA_Moresby_2024_ALL!G:G, "")</f>
        <v>0</v>
      </c>
      <c r="G334" s="93"/>
      <c r="H334" s="92">
        <v>8</v>
      </c>
      <c r="I334" s="92" t="str">
        <f t="shared" si="18"/>
        <v>X</v>
      </c>
      <c r="J334" s="79" t="str">
        <f>IF(G334="","X",_xlfn.XLOOKUP(B334,DATA_Moresby_2024_ALL!B:B,DATA_Moresby_2024_ALL!K:K,""))</f>
        <v>X</v>
      </c>
      <c r="K334" s="28"/>
      <c r="L334" s="29"/>
      <c r="M334" s="28"/>
      <c r="N334" s="19" t="str">
        <f t="shared" si="19"/>
        <v/>
      </c>
      <c r="O334" s="19" t="str">
        <f t="shared" si="19"/>
        <v/>
      </c>
      <c r="P334" s="19" t="str">
        <f t="shared" si="19"/>
        <v/>
      </c>
      <c r="Q334" s="19" t="str">
        <f t="shared" si="19"/>
        <v/>
      </c>
      <c r="R334" s="21"/>
      <c r="T334" s="21"/>
      <c r="W334" s="46"/>
      <c r="X334" s="92" t="s">
        <v>78</v>
      </c>
      <c r="Y334" s="92" t="s">
        <v>78</v>
      </c>
      <c r="Z334" s="92" t="s">
        <v>78</v>
      </c>
    </row>
    <row r="335" spans="1:26" ht="16" hidden="1" x14ac:dyDescent="0.4">
      <c r="A335" s="92">
        <v>1659</v>
      </c>
      <c r="B335" s="92">
        <v>1660</v>
      </c>
      <c r="E335" s="92">
        <v>50</v>
      </c>
      <c r="F335" s="92">
        <f>_xlfn.XLOOKUP(B335, DATA_Moresby_2024_ALL!B:B, DATA_Moresby_2024_ALL!G:G, "")</f>
        <v>0</v>
      </c>
      <c r="G335" s="93"/>
      <c r="H335" s="92">
        <v>8</v>
      </c>
      <c r="I335" s="92" t="str">
        <f t="shared" si="18"/>
        <v>X</v>
      </c>
      <c r="J335" s="79" t="str">
        <f>IF(G335="","X",_xlfn.XLOOKUP(B335,DATA_Moresby_2024_ALL!B:B,DATA_Moresby_2024_ALL!K:K,""))</f>
        <v>X</v>
      </c>
      <c r="K335" s="28"/>
      <c r="L335" s="29"/>
      <c r="M335" s="28"/>
      <c r="N335" s="19" t="str">
        <f t="shared" si="19"/>
        <v/>
      </c>
      <c r="O335" s="19" t="str">
        <f t="shared" si="19"/>
        <v/>
      </c>
      <c r="P335" s="19" t="str">
        <f t="shared" si="19"/>
        <v/>
      </c>
      <c r="Q335" s="19" t="str">
        <f t="shared" si="19"/>
        <v/>
      </c>
      <c r="R335" s="21"/>
      <c r="T335" s="21"/>
      <c r="W335" s="46"/>
      <c r="X335" s="92" t="s">
        <v>78</v>
      </c>
      <c r="Y335" s="92" t="s">
        <v>78</v>
      </c>
      <c r="Z335" s="92" t="s">
        <v>78</v>
      </c>
    </row>
    <row r="336" spans="1:26" ht="16" hidden="1" x14ac:dyDescent="0.4">
      <c r="A336" s="92">
        <v>1664</v>
      </c>
      <c r="B336" s="92">
        <v>1665</v>
      </c>
      <c r="E336" s="92">
        <v>50</v>
      </c>
      <c r="F336" s="92">
        <f>_xlfn.XLOOKUP(B336, DATA_Moresby_2024_ALL!B:B, DATA_Moresby_2024_ALL!G:G, "")</f>
        <v>0</v>
      </c>
      <c r="G336" s="93"/>
      <c r="H336" s="92">
        <v>8</v>
      </c>
      <c r="I336" s="92" t="str">
        <f t="shared" si="18"/>
        <v>X</v>
      </c>
      <c r="J336" s="79" t="str">
        <f>IF(G336="","X",_xlfn.XLOOKUP(B336,DATA_Moresby_2024_ALL!B:B,DATA_Moresby_2024_ALL!K:K,""))</f>
        <v>X</v>
      </c>
      <c r="K336" s="28"/>
      <c r="L336" s="29"/>
      <c r="M336" s="28"/>
      <c r="N336" s="19" t="str">
        <f t="shared" si="19"/>
        <v/>
      </c>
      <c r="O336" s="19" t="str">
        <f t="shared" si="19"/>
        <v/>
      </c>
      <c r="P336" s="19" t="str">
        <f t="shared" si="19"/>
        <v/>
      </c>
      <c r="Q336" s="19" t="str">
        <f t="shared" si="19"/>
        <v/>
      </c>
      <c r="R336" s="21"/>
      <c r="T336" s="21"/>
      <c r="W336" s="46"/>
      <c r="X336" s="92" t="s">
        <v>78</v>
      </c>
      <c r="Y336" s="92" t="s">
        <v>78</v>
      </c>
      <c r="Z336" s="92" t="s">
        <v>78</v>
      </c>
    </row>
    <row r="337" spans="1:26" ht="16" hidden="1" x14ac:dyDescent="0.4">
      <c r="A337" s="92">
        <v>1669</v>
      </c>
      <c r="B337" s="92">
        <v>1670</v>
      </c>
      <c r="E337" s="92">
        <v>50</v>
      </c>
      <c r="F337" s="92">
        <f>_xlfn.XLOOKUP(B337, DATA_Moresby_2024_ALL!B:B, DATA_Moresby_2024_ALL!G:G, "")</f>
        <v>0</v>
      </c>
      <c r="G337" s="93"/>
      <c r="H337" s="92">
        <v>8</v>
      </c>
      <c r="I337" s="92" t="str">
        <f t="shared" si="18"/>
        <v>X</v>
      </c>
      <c r="J337" s="79" t="str">
        <f>IF(G337="","X",_xlfn.XLOOKUP(B337,DATA_Moresby_2024_ALL!B:B,DATA_Moresby_2024_ALL!K:K,""))</f>
        <v>X</v>
      </c>
      <c r="K337" s="28"/>
      <c r="L337" s="29"/>
      <c r="M337" s="28"/>
      <c r="N337" s="19" t="str">
        <f t="shared" si="19"/>
        <v/>
      </c>
      <c r="O337" s="19" t="str">
        <f t="shared" si="19"/>
        <v/>
      </c>
      <c r="P337" s="19" t="str">
        <f t="shared" si="19"/>
        <v/>
      </c>
      <c r="Q337" s="19" t="str">
        <f t="shared" si="19"/>
        <v/>
      </c>
      <c r="R337" s="21"/>
      <c r="T337" s="21"/>
      <c r="W337" s="46"/>
      <c r="X337" s="92" t="s">
        <v>78</v>
      </c>
      <c r="Y337" s="92" t="s">
        <v>78</v>
      </c>
      <c r="Z337" s="92" t="s">
        <v>78</v>
      </c>
    </row>
    <row r="338" spans="1:26" ht="16" hidden="1" x14ac:dyDescent="0.4">
      <c r="A338" s="92">
        <v>1674</v>
      </c>
      <c r="B338" s="92">
        <v>1675</v>
      </c>
      <c r="E338" s="92">
        <v>50</v>
      </c>
      <c r="F338" s="92">
        <f>_xlfn.XLOOKUP(B338, DATA_Moresby_2024_ALL!B:B, DATA_Moresby_2024_ALL!G:G, "")</f>
        <v>0</v>
      </c>
      <c r="G338" s="93"/>
      <c r="H338" s="92">
        <v>8</v>
      </c>
      <c r="I338" s="92" t="str">
        <f t="shared" si="18"/>
        <v>X</v>
      </c>
      <c r="J338" s="79" t="str">
        <f>IF(G338="","X",_xlfn.XLOOKUP(B338,DATA_Moresby_2024_ALL!B:B,DATA_Moresby_2024_ALL!K:K,""))</f>
        <v>X</v>
      </c>
      <c r="K338" s="28"/>
      <c r="L338" s="29"/>
      <c r="M338" s="28"/>
      <c r="N338" s="19" t="str">
        <f t="shared" si="19"/>
        <v/>
      </c>
      <c r="O338" s="19" t="str">
        <f t="shared" si="19"/>
        <v/>
      </c>
      <c r="P338" s="19" t="str">
        <f t="shared" si="19"/>
        <v/>
      </c>
      <c r="Q338" s="19" t="str">
        <f t="shared" si="19"/>
        <v/>
      </c>
      <c r="R338" s="21"/>
      <c r="T338" s="21"/>
      <c r="W338" s="46"/>
      <c r="X338" s="92" t="s">
        <v>78</v>
      </c>
      <c r="Y338" s="92" t="s">
        <v>78</v>
      </c>
      <c r="Z338" s="92" t="s">
        <v>78</v>
      </c>
    </row>
    <row r="339" spans="1:26" ht="16" hidden="1" x14ac:dyDescent="0.4">
      <c r="A339" s="92">
        <v>1679</v>
      </c>
      <c r="B339" s="92">
        <v>1680</v>
      </c>
      <c r="E339" s="92">
        <v>50</v>
      </c>
      <c r="F339" s="92">
        <f>_xlfn.XLOOKUP(B339, DATA_Moresby_2024_ALL!B:B, DATA_Moresby_2024_ALL!G:G, "")</f>
        <v>0</v>
      </c>
      <c r="G339" s="93"/>
      <c r="H339" s="92">
        <v>8</v>
      </c>
      <c r="I339" s="92" t="str">
        <f t="shared" ref="I339:I402" si="20">IF(G339="","X","")</f>
        <v>X</v>
      </c>
      <c r="J339" s="79" t="str">
        <f>IF(G339="","X",_xlfn.XLOOKUP(B339,DATA_Moresby_2024_ALL!B:B,DATA_Moresby_2024_ALL!K:K,""))</f>
        <v>X</v>
      </c>
      <c r="K339" s="28"/>
      <c r="L339" s="29"/>
      <c r="M339" s="28"/>
      <c r="N339" s="19" t="str">
        <f t="shared" si="19"/>
        <v/>
      </c>
      <c r="O339" s="19" t="str">
        <f t="shared" si="19"/>
        <v/>
      </c>
      <c r="P339" s="19" t="str">
        <f t="shared" si="19"/>
        <v/>
      </c>
      <c r="Q339" s="19" t="str">
        <f t="shared" si="19"/>
        <v/>
      </c>
      <c r="R339" s="21"/>
      <c r="T339" s="21"/>
      <c r="W339" s="46"/>
      <c r="X339" s="92" t="s">
        <v>78</v>
      </c>
      <c r="Y339" s="92" t="s">
        <v>78</v>
      </c>
      <c r="Z339" s="92" t="s">
        <v>78</v>
      </c>
    </row>
    <row r="340" spans="1:26" ht="16" hidden="1" x14ac:dyDescent="0.4">
      <c r="A340" s="92">
        <v>1684</v>
      </c>
      <c r="B340" s="92">
        <v>1685</v>
      </c>
      <c r="E340" s="92">
        <v>50</v>
      </c>
      <c r="F340" s="92">
        <f>_xlfn.XLOOKUP(B340, DATA_Moresby_2024_ALL!B:B, DATA_Moresby_2024_ALL!G:G, "")</f>
        <v>0</v>
      </c>
      <c r="G340" s="93"/>
      <c r="H340" s="92">
        <v>8</v>
      </c>
      <c r="I340" s="92" t="str">
        <f t="shared" si="20"/>
        <v>X</v>
      </c>
      <c r="J340" s="79" t="str">
        <f>IF(G340="","X",_xlfn.XLOOKUP(B340,DATA_Moresby_2024_ALL!B:B,DATA_Moresby_2024_ALL!K:K,""))</f>
        <v>X</v>
      </c>
      <c r="K340" s="28"/>
      <c r="L340" s="29"/>
      <c r="M340" s="28"/>
      <c r="N340" s="19" t="str">
        <f t="shared" si="19"/>
        <v/>
      </c>
      <c r="O340" s="19" t="str">
        <f t="shared" si="19"/>
        <v/>
      </c>
      <c r="P340" s="19" t="str">
        <f t="shared" si="19"/>
        <v/>
      </c>
      <c r="Q340" s="19" t="str">
        <f t="shared" si="19"/>
        <v/>
      </c>
      <c r="R340" s="21"/>
      <c r="T340" s="21"/>
      <c r="W340" s="46"/>
      <c r="X340" s="92" t="s">
        <v>78</v>
      </c>
      <c r="Y340" s="92" t="s">
        <v>78</v>
      </c>
      <c r="Z340" s="92" t="s">
        <v>78</v>
      </c>
    </row>
    <row r="341" spans="1:26" ht="16" hidden="1" x14ac:dyDescent="0.4">
      <c r="A341" s="92">
        <v>1689</v>
      </c>
      <c r="B341" s="92">
        <v>1690</v>
      </c>
      <c r="E341" s="92">
        <v>50</v>
      </c>
      <c r="F341" s="92">
        <f>_xlfn.XLOOKUP(B341, DATA_Moresby_2024_ALL!B:B, DATA_Moresby_2024_ALL!G:G, "")</f>
        <v>0</v>
      </c>
      <c r="G341" s="93"/>
      <c r="H341" s="92">
        <v>8</v>
      </c>
      <c r="I341" s="92" t="str">
        <f t="shared" si="20"/>
        <v>X</v>
      </c>
      <c r="J341" s="79" t="str">
        <f>IF(G341="","X",_xlfn.XLOOKUP(B341,DATA_Moresby_2024_ALL!B:B,DATA_Moresby_2024_ALL!K:K,""))</f>
        <v>X</v>
      </c>
      <c r="K341" s="28"/>
      <c r="L341" s="29"/>
      <c r="M341" s="28"/>
      <c r="N341" s="19" t="str">
        <f t="shared" si="19"/>
        <v/>
      </c>
      <c r="O341" s="19" t="str">
        <f t="shared" si="19"/>
        <v/>
      </c>
      <c r="P341" s="19" t="str">
        <f t="shared" si="19"/>
        <v/>
      </c>
      <c r="Q341" s="19" t="str">
        <f t="shared" si="19"/>
        <v/>
      </c>
      <c r="R341" s="21"/>
      <c r="T341" s="21"/>
      <c r="W341" s="46"/>
      <c r="X341" s="92" t="s">
        <v>78</v>
      </c>
      <c r="Y341" s="92" t="s">
        <v>78</v>
      </c>
      <c r="Z341" s="92" t="s">
        <v>78</v>
      </c>
    </row>
    <row r="342" spans="1:26" ht="16" hidden="1" x14ac:dyDescent="0.4">
      <c r="A342" s="92">
        <v>1694</v>
      </c>
      <c r="B342" s="92">
        <v>1695</v>
      </c>
      <c r="E342" s="92">
        <v>50</v>
      </c>
      <c r="F342" s="92">
        <f>_xlfn.XLOOKUP(B342, DATA_Moresby_2024_ALL!B:B, DATA_Moresby_2024_ALL!G:G, "")</f>
        <v>0</v>
      </c>
      <c r="G342" s="93"/>
      <c r="H342" s="92">
        <v>8</v>
      </c>
      <c r="I342" s="92" t="str">
        <f t="shared" si="20"/>
        <v>X</v>
      </c>
      <c r="J342" s="79" t="str">
        <f>IF(G342="","X",_xlfn.XLOOKUP(B342,DATA_Moresby_2024_ALL!B:B,DATA_Moresby_2024_ALL!K:K,""))</f>
        <v>X</v>
      </c>
      <c r="K342" s="28"/>
      <c r="L342" s="29"/>
      <c r="M342" s="28"/>
      <c r="N342" s="19" t="str">
        <f t="shared" si="19"/>
        <v/>
      </c>
      <c r="O342" s="19" t="str">
        <f t="shared" si="19"/>
        <v/>
      </c>
      <c r="P342" s="19" t="str">
        <f t="shared" si="19"/>
        <v/>
      </c>
      <c r="Q342" s="19" t="str">
        <f t="shared" si="19"/>
        <v/>
      </c>
      <c r="R342" s="21"/>
      <c r="T342" s="21"/>
      <c r="W342" s="46"/>
      <c r="X342" s="92" t="s">
        <v>78</v>
      </c>
      <c r="Y342" s="92" t="s">
        <v>78</v>
      </c>
      <c r="Z342" s="92" t="s">
        <v>78</v>
      </c>
    </row>
    <row r="343" spans="1:26" ht="16" hidden="1" x14ac:dyDescent="0.4">
      <c r="A343" s="92">
        <v>1699</v>
      </c>
      <c r="B343" s="92">
        <v>1700</v>
      </c>
      <c r="E343" s="92">
        <v>50</v>
      </c>
      <c r="F343" s="92">
        <f>_xlfn.XLOOKUP(B343, DATA_Moresby_2024_ALL!B:B, DATA_Moresby_2024_ALL!G:G, "")</f>
        <v>0</v>
      </c>
      <c r="G343" s="93"/>
      <c r="H343" s="92">
        <v>8</v>
      </c>
      <c r="I343" s="92" t="str">
        <f t="shared" si="20"/>
        <v>X</v>
      </c>
      <c r="J343" s="79" t="str">
        <f>IF(G343="","X",_xlfn.XLOOKUP(B343,DATA_Moresby_2024_ALL!B:B,DATA_Moresby_2024_ALL!K:K,""))</f>
        <v>X</v>
      </c>
      <c r="K343" s="28"/>
      <c r="L343" s="29"/>
      <c r="M343" s="28"/>
      <c r="N343" s="19" t="str">
        <f t="shared" si="19"/>
        <v/>
      </c>
      <c r="O343" s="19" t="str">
        <f t="shared" si="19"/>
        <v/>
      </c>
      <c r="P343" s="19" t="str">
        <f t="shared" si="19"/>
        <v/>
      </c>
      <c r="Q343" s="19" t="str">
        <f t="shared" si="19"/>
        <v/>
      </c>
      <c r="R343" s="21"/>
      <c r="T343" s="21"/>
      <c r="W343" s="46"/>
      <c r="X343" s="92" t="s">
        <v>78</v>
      </c>
      <c r="Y343" s="92" t="s">
        <v>78</v>
      </c>
      <c r="Z343" s="92" t="s">
        <v>78</v>
      </c>
    </row>
    <row r="344" spans="1:26" ht="16" hidden="1" x14ac:dyDescent="0.4">
      <c r="A344" s="92">
        <v>1704</v>
      </c>
      <c r="B344" s="92">
        <v>1705</v>
      </c>
      <c r="E344" s="92">
        <v>50</v>
      </c>
      <c r="F344" s="92">
        <f>_xlfn.XLOOKUP(B344, DATA_Moresby_2024_ALL!B:B, DATA_Moresby_2024_ALL!G:G, "")</f>
        <v>0</v>
      </c>
      <c r="G344" s="93"/>
      <c r="H344" s="92">
        <v>8</v>
      </c>
      <c r="I344" s="92" t="str">
        <f t="shared" si="20"/>
        <v>X</v>
      </c>
      <c r="J344" s="79" t="str">
        <f>IF(G344="","X",_xlfn.XLOOKUP(B344,DATA_Moresby_2024_ALL!B:B,DATA_Moresby_2024_ALL!K:K,""))</f>
        <v>X</v>
      </c>
      <c r="K344" s="28"/>
      <c r="L344" s="29"/>
      <c r="M344" s="28"/>
      <c r="N344" s="19" t="str">
        <f t="shared" si="19"/>
        <v/>
      </c>
      <c r="O344" s="19" t="str">
        <f t="shared" si="19"/>
        <v/>
      </c>
      <c r="P344" s="19" t="str">
        <f t="shared" si="19"/>
        <v/>
      </c>
      <c r="Q344" s="19" t="str">
        <f t="shared" si="19"/>
        <v/>
      </c>
      <c r="R344" s="21"/>
      <c r="T344" s="21"/>
      <c r="W344" s="46"/>
      <c r="X344" s="92" t="s">
        <v>78</v>
      </c>
      <c r="Y344" s="92" t="s">
        <v>78</v>
      </c>
      <c r="Z344" s="92" t="s">
        <v>78</v>
      </c>
    </row>
    <row r="345" spans="1:26" ht="16" hidden="1" x14ac:dyDescent="0.4">
      <c r="A345" s="92">
        <v>1709</v>
      </c>
      <c r="B345" s="92">
        <v>1710</v>
      </c>
      <c r="E345" s="92">
        <v>50</v>
      </c>
      <c r="F345" s="92">
        <f>_xlfn.XLOOKUP(B345, DATA_Moresby_2024_ALL!B:B, DATA_Moresby_2024_ALL!G:G, "")</f>
        <v>0</v>
      </c>
      <c r="G345" s="93"/>
      <c r="H345" s="92">
        <v>8</v>
      </c>
      <c r="I345" s="92" t="str">
        <f t="shared" si="20"/>
        <v>X</v>
      </c>
      <c r="J345" s="79" t="str">
        <f>IF(G345="","X",_xlfn.XLOOKUP(B345,DATA_Moresby_2024_ALL!B:B,DATA_Moresby_2024_ALL!K:K,""))</f>
        <v>X</v>
      </c>
      <c r="K345" s="28"/>
      <c r="L345" s="29"/>
      <c r="M345" s="28"/>
      <c r="N345" s="19" t="str">
        <f t="shared" si="19"/>
        <v/>
      </c>
      <c r="O345" s="19" t="str">
        <f t="shared" si="19"/>
        <v/>
      </c>
      <c r="P345" s="19" t="str">
        <f t="shared" si="19"/>
        <v/>
      </c>
      <c r="Q345" s="19" t="str">
        <f t="shared" si="19"/>
        <v/>
      </c>
      <c r="R345" s="21"/>
      <c r="T345" s="21"/>
      <c r="W345" s="46"/>
      <c r="X345" s="92" t="s">
        <v>78</v>
      </c>
      <c r="Y345" s="92" t="s">
        <v>78</v>
      </c>
      <c r="Z345" s="92" t="s">
        <v>78</v>
      </c>
    </row>
    <row r="346" spans="1:26" ht="16" hidden="1" x14ac:dyDescent="0.4">
      <c r="A346" s="92">
        <v>1714</v>
      </c>
      <c r="B346" s="92">
        <v>1715</v>
      </c>
      <c r="E346" s="92">
        <v>50</v>
      </c>
      <c r="F346" s="92">
        <f>_xlfn.XLOOKUP(B346, DATA_Moresby_2024_ALL!B:B, DATA_Moresby_2024_ALL!G:G, "")</f>
        <v>0</v>
      </c>
      <c r="G346" s="93"/>
      <c r="H346" s="92">
        <v>8</v>
      </c>
      <c r="I346" s="92" t="str">
        <f t="shared" si="20"/>
        <v>X</v>
      </c>
      <c r="J346" s="79" t="str">
        <f>IF(G346="","X",_xlfn.XLOOKUP(B346,DATA_Moresby_2024_ALL!B:B,DATA_Moresby_2024_ALL!K:K,""))</f>
        <v>X</v>
      </c>
      <c r="K346" s="28"/>
      <c r="L346" s="29"/>
      <c r="M346" s="28"/>
      <c r="N346" s="19" t="str">
        <f t="shared" si="19"/>
        <v/>
      </c>
      <c r="O346" s="19" t="str">
        <f t="shared" si="19"/>
        <v/>
      </c>
      <c r="P346" s="19" t="str">
        <f t="shared" si="19"/>
        <v/>
      </c>
      <c r="Q346" s="19" t="str">
        <f t="shared" si="19"/>
        <v/>
      </c>
      <c r="R346" s="21"/>
      <c r="T346" s="21"/>
      <c r="W346" s="46"/>
      <c r="X346" s="92" t="s">
        <v>78</v>
      </c>
      <c r="Y346" s="92" t="s">
        <v>78</v>
      </c>
      <c r="Z346" s="92" t="s">
        <v>78</v>
      </c>
    </row>
    <row r="347" spans="1:26" ht="16" hidden="1" x14ac:dyDescent="0.4">
      <c r="A347" s="92">
        <v>1719</v>
      </c>
      <c r="B347" s="92">
        <v>1720</v>
      </c>
      <c r="E347" s="92">
        <v>50</v>
      </c>
      <c r="F347" s="92">
        <f>_xlfn.XLOOKUP(B347, DATA_Moresby_2024_ALL!B:B, DATA_Moresby_2024_ALL!G:G, "")</f>
        <v>0</v>
      </c>
      <c r="G347" s="93"/>
      <c r="H347" s="92">
        <v>8</v>
      </c>
      <c r="I347" s="92" t="str">
        <f t="shared" si="20"/>
        <v>X</v>
      </c>
      <c r="J347" s="79" t="str">
        <f>IF(G347="","X",_xlfn.XLOOKUP(B347,DATA_Moresby_2024_ALL!B:B,DATA_Moresby_2024_ALL!K:K,""))</f>
        <v>X</v>
      </c>
      <c r="K347" s="28"/>
      <c r="L347" s="29"/>
      <c r="M347" s="28"/>
      <c r="N347" s="19" t="str">
        <f t="shared" si="19"/>
        <v/>
      </c>
      <c r="O347" s="19" t="str">
        <f t="shared" si="19"/>
        <v/>
      </c>
      <c r="P347" s="19" t="str">
        <f t="shared" si="19"/>
        <v/>
      </c>
      <c r="Q347" s="19" t="str">
        <f t="shared" si="19"/>
        <v/>
      </c>
      <c r="R347" s="21"/>
      <c r="T347" s="21"/>
      <c r="W347" s="46"/>
      <c r="X347" s="92" t="s">
        <v>78</v>
      </c>
      <c r="Y347" s="92" t="s">
        <v>78</v>
      </c>
      <c r="Z347" s="92" t="s">
        <v>78</v>
      </c>
    </row>
    <row r="348" spans="1:26" ht="16" hidden="1" x14ac:dyDescent="0.4">
      <c r="A348" s="92">
        <v>1724</v>
      </c>
      <c r="B348" s="92">
        <v>1725</v>
      </c>
      <c r="E348" s="92">
        <v>50</v>
      </c>
      <c r="F348" s="92">
        <f>_xlfn.XLOOKUP(B348, DATA_Moresby_2024_ALL!B:B, DATA_Moresby_2024_ALL!G:G, "")</f>
        <v>0</v>
      </c>
      <c r="G348" s="93"/>
      <c r="H348" s="92">
        <v>8</v>
      </c>
      <c r="I348" s="92" t="str">
        <f t="shared" si="20"/>
        <v>X</v>
      </c>
      <c r="J348" s="79" t="str">
        <f>IF(G348="","X",_xlfn.XLOOKUP(B348,DATA_Moresby_2024_ALL!B:B,DATA_Moresby_2024_ALL!K:K,""))</f>
        <v>X</v>
      </c>
      <c r="K348" s="28"/>
      <c r="L348" s="29"/>
      <c r="M348" s="28"/>
      <c r="N348" s="19" t="str">
        <f t="shared" si="19"/>
        <v/>
      </c>
      <c r="O348" s="19" t="str">
        <f t="shared" si="19"/>
        <v/>
      </c>
      <c r="P348" s="19" t="str">
        <f t="shared" si="19"/>
        <v/>
      </c>
      <c r="Q348" s="19" t="str">
        <f t="shared" si="19"/>
        <v/>
      </c>
      <c r="R348" s="21"/>
      <c r="T348" s="21"/>
      <c r="W348" s="46"/>
      <c r="X348" s="92" t="s">
        <v>78</v>
      </c>
      <c r="Y348" s="92" t="s">
        <v>78</v>
      </c>
      <c r="Z348" s="92" t="s">
        <v>78</v>
      </c>
    </row>
    <row r="349" spans="1:26" ht="16" hidden="1" x14ac:dyDescent="0.4">
      <c r="A349" s="92">
        <v>1729</v>
      </c>
      <c r="B349" s="92">
        <v>1730</v>
      </c>
      <c r="E349" s="92">
        <v>50</v>
      </c>
      <c r="F349" s="92">
        <f>_xlfn.XLOOKUP(B349, DATA_Moresby_2024_ALL!B:B, DATA_Moresby_2024_ALL!G:G, "")</f>
        <v>0</v>
      </c>
      <c r="G349" s="93"/>
      <c r="H349" s="92">
        <v>8</v>
      </c>
      <c r="I349" s="92" t="str">
        <f t="shared" si="20"/>
        <v>X</v>
      </c>
      <c r="J349" s="79" t="str">
        <f>IF(G349="","X",_xlfn.XLOOKUP(B349,DATA_Moresby_2024_ALL!B:B,DATA_Moresby_2024_ALL!K:K,""))</f>
        <v>X</v>
      </c>
      <c r="K349" s="28"/>
      <c r="L349" s="29"/>
      <c r="M349" s="28"/>
      <c r="N349" s="19" t="str">
        <f t="shared" si="19"/>
        <v/>
      </c>
      <c r="O349" s="19" t="str">
        <f t="shared" si="19"/>
        <v/>
      </c>
      <c r="P349" s="19" t="str">
        <f t="shared" si="19"/>
        <v/>
      </c>
      <c r="Q349" s="19" t="str">
        <f t="shared" ref="O349:Q412" si="21">IF($J349=1,4,"")</f>
        <v/>
      </c>
      <c r="R349" s="21"/>
      <c r="T349" s="21"/>
      <c r="W349" s="46"/>
      <c r="X349" s="92" t="s">
        <v>78</v>
      </c>
      <c r="Y349" s="92" t="s">
        <v>78</v>
      </c>
      <c r="Z349" s="92" t="s">
        <v>78</v>
      </c>
    </row>
    <row r="350" spans="1:26" ht="16" hidden="1" x14ac:dyDescent="0.4">
      <c r="A350" s="92">
        <v>1734</v>
      </c>
      <c r="B350" s="92">
        <v>1735</v>
      </c>
      <c r="E350" s="92">
        <v>50</v>
      </c>
      <c r="F350" s="92">
        <f>_xlfn.XLOOKUP(B350, DATA_Moresby_2024_ALL!B:B, DATA_Moresby_2024_ALL!G:G, "")</f>
        <v>0</v>
      </c>
      <c r="G350" s="93"/>
      <c r="H350" s="92">
        <v>8</v>
      </c>
      <c r="I350" s="92" t="str">
        <f t="shared" si="20"/>
        <v>X</v>
      </c>
      <c r="J350" s="79" t="str">
        <f>IF(G350="","X",_xlfn.XLOOKUP(B350,DATA_Moresby_2024_ALL!B:B,DATA_Moresby_2024_ALL!K:K,""))</f>
        <v>X</v>
      </c>
      <c r="K350" s="28"/>
      <c r="L350" s="29"/>
      <c r="M350" s="28"/>
      <c r="N350" s="19" t="str">
        <f t="shared" ref="N350:Q413" si="22">IF($J350=1,4,"")</f>
        <v/>
      </c>
      <c r="O350" s="19" t="str">
        <f t="shared" si="21"/>
        <v/>
      </c>
      <c r="P350" s="19" t="str">
        <f t="shared" si="21"/>
        <v/>
      </c>
      <c r="Q350" s="19" t="str">
        <f t="shared" si="21"/>
        <v/>
      </c>
      <c r="R350" s="21"/>
      <c r="T350" s="21"/>
      <c r="W350" s="46"/>
      <c r="X350" s="92" t="s">
        <v>78</v>
      </c>
      <c r="Y350" s="92" t="s">
        <v>78</v>
      </c>
      <c r="Z350" s="92" t="s">
        <v>78</v>
      </c>
    </row>
    <row r="351" spans="1:26" ht="16" hidden="1" x14ac:dyDescent="0.4">
      <c r="A351" s="92">
        <v>1739</v>
      </c>
      <c r="B351" s="92">
        <v>1740</v>
      </c>
      <c r="E351" s="92">
        <v>50</v>
      </c>
      <c r="F351" s="92">
        <f>_xlfn.XLOOKUP(B351, DATA_Moresby_2024_ALL!B:B, DATA_Moresby_2024_ALL!G:G, "")</f>
        <v>0</v>
      </c>
      <c r="G351" s="93"/>
      <c r="H351" s="92">
        <v>8</v>
      </c>
      <c r="I351" s="92" t="str">
        <f t="shared" si="20"/>
        <v>X</v>
      </c>
      <c r="J351" s="79" t="str">
        <f>IF(G351="","X",_xlfn.XLOOKUP(B351,DATA_Moresby_2024_ALL!B:B,DATA_Moresby_2024_ALL!K:K,""))</f>
        <v>X</v>
      </c>
      <c r="K351" s="28"/>
      <c r="L351" s="29"/>
      <c r="M351" s="28"/>
      <c r="N351" s="19" t="str">
        <f t="shared" si="22"/>
        <v/>
      </c>
      <c r="O351" s="19" t="str">
        <f t="shared" si="21"/>
        <v/>
      </c>
      <c r="P351" s="19" t="str">
        <f t="shared" si="21"/>
        <v/>
      </c>
      <c r="Q351" s="19" t="str">
        <f t="shared" si="21"/>
        <v/>
      </c>
      <c r="R351" s="21"/>
      <c r="T351" s="21"/>
      <c r="W351" s="46"/>
      <c r="X351" s="92" t="s">
        <v>78</v>
      </c>
      <c r="Y351" s="92" t="s">
        <v>78</v>
      </c>
      <c r="Z351" s="92" t="s">
        <v>78</v>
      </c>
    </row>
    <row r="352" spans="1:26" ht="16" hidden="1" x14ac:dyDescent="0.4">
      <c r="A352" s="92">
        <v>1744</v>
      </c>
      <c r="B352" s="92">
        <v>1745</v>
      </c>
      <c r="E352" s="92">
        <v>50</v>
      </c>
      <c r="F352" s="92">
        <f>_xlfn.XLOOKUP(B352, DATA_Moresby_2024_ALL!B:B, DATA_Moresby_2024_ALL!G:G, "")</f>
        <v>0</v>
      </c>
      <c r="G352" s="93"/>
      <c r="H352" s="92">
        <v>8</v>
      </c>
      <c r="I352" s="92" t="str">
        <f t="shared" si="20"/>
        <v>X</v>
      </c>
      <c r="J352" s="79" t="str">
        <f>IF(G352="","X",_xlfn.XLOOKUP(B352,DATA_Moresby_2024_ALL!B:B,DATA_Moresby_2024_ALL!K:K,""))</f>
        <v>X</v>
      </c>
      <c r="K352" s="28"/>
      <c r="L352" s="29"/>
      <c r="M352" s="28"/>
      <c r="N352" s="19" t="str">
        <f t="shared" si="22"/>
        <v/>
      </c>
      <c r="O352" s="19" t="str">
        <f t="shared" si="21"/>
        <v/>
      </c>
      <c r="P352" s="19" t="str">
        <f t="shared" si="21"/>
        <v/>
      </c>
      <c r="Q352" s="19" t="str">
        <f t="shared" si="21"/>
        <v/>
      </c>
      <c r="R352" s="21"/>
      <c r="T352" s="21"/>
      <c r="W352" s="46"/>
      <c r="X352" s="92" t="s">
        <v>78</v>
      </c>
      <c r="Y352" s="92" t="s">
        <v>78</v>
      </c>
      <c r="Z352" s="92" t="s">
        <v>78</v>
      </c>
    </row>
    <row r="353" spans="1:26" ht="16" hidden="1" x14ac:dyDescent="0.4">
      <c r="A353" s="92">
        <v>1749</v>
      </c>
      <c r="B353" s="92">
        <v>1750</v>
      </c>
      <c r="E353" s="92">
        <v>50</v>
      </c>
      <c r="F353" s="92">
        <f>_xlfn.XLOOKUP(B353, DATA_Moresby_2024_ALL!B:B, DATA_Moresby_2024_ALL!G:G, "")</f>
        <v>0</v>
      </c>
      <c r="G353" s="93"/>
      <c r="H353" s="92">
        <v>8</v>
      </c>
      <c r="I353" s="92" t="str">
        <f t="shared" si="20"/>
        <v>X</v>
      </c>
      <c r="J353" s="79" t="str">
        <f>IF(G353="","X",_xlfn.XLOOKUP(B353,DATA_Moresby_2024_ALL!B:B,DATA_Moresby_2024_ALL!K:K,""))</f>
        <v>X</v>
      </c>
      <c r="K353" s="28"/>
      <c r="L353" s="29"/>
      <c r="M353" s="28"/>
      <c r="N353" s="19" t="str">
        <f t="shared" si="22"/>
        <v/>
      </c>
      <c r="O353" s="19" t="str">
        <f t="shared" si="21"/>
        <v/>
      </c>
      <c r="P353" s="19" t="str">
        <f t="shared" si="21"/>
        <v/>
      </c>
      <c r="Q353" s="19" t="str">
        <f t="shared" si="21"/>
        <v/>
      </c>
      <c r="R353" s="21"/>
      <c r="T353" s="21"/>
      <c r="W353" s="46"/>
      <c r="X353" s="92" t="s">
        <v>78</v>
      </c>
      <c r="Y353" s="92" t="s">
        <v>78</v>
      </c>
      <c r="Z353" s="92" t="s">
        <v>78</v>
      </c>
    </row>
    <row r="354" spans="1:26" ht="16" hidden="1" x14ac:dyDescent="0.4">
      <c r="A354" s="92">
        <v>1754</v>
      </c>
      <c r="B354" s="92">
        <v>1755</v>
      </c>
      <c r="E354" s="92">
        <v>50</v>
      </c>
      <c r="F354" s="92">
        <f>_xlfn.XLOOKUP(B354, DATA_Moresby_2024_ALL!B:B, DATA_Moresby_2024_ALL!G:G, "")</f>
        <v>0</v>
      </c>
      <c r="G354" s="93"/>
      <c r="H354" s="92">
        <v>8</v>
      </c>
      <c r="I354" s="92" t="str">
        <f t="shared" si="20"/>
        <v>X</v>
      </c>
      <c r="J354" s="79" t="str">
        <f>IF(G354="","X",_xlfn.XLOOKUP(B354,DATA_Moresby_2024_ALL!B:B,DATA_Moresby_2024_ALL!K:K,""))</f>
        <v>X</v>
      </c>
      <c r="K354" s="28"/>
      <c r="L354" s="29"/>
      <c r="M354" s="28"/>
      <c r="N354" s="19" t="str">
        <f t="shared" si="22"/>
        <v/>
      </c>
      <c r="O354" s="19" t="str">
        <f t="shared" si="21"/>
        <v/>
      </c>
      <c r="P354" s="19" t="str">
        <f t="shared" si="21"/>
        <v/>
      </c>
      <c r="Q354" s="19" t="str">
        <f t="shared" si="21"/>
        <v/>
      </c>
      <c r="R354" s="21"/>
      <c r="T354" s="21"/>
      <c r="W354" s="46"/>
      <c r="X354" s="92" t="s">
        <v>78</v>
      </c>
      <c r="Y354" s="92" t="s">
        <v>78</v>
      </c>
      <c r="Z354" s="92" t="s">
        <v>78</v>
      </c>
    </row>
    <row r="355" spans="1:26" ht="16" hidden="1" x14ac:dyDescent="0.4">
      <c r="A355" s="92">
        <v>1759</v>
      </c>
      <c r="B355" s="92">
        <v>1760</v>
      </c>
      <c r="E355" s="92">
        <v>50</v>
      </c>
      <c r="F355" s="92">
        <f>_xlfn.XLOOKUP(B355, DATA_Moresby_2024_ALL!B:B, DATA_Moresby_2024_ALL!G:G, "")</f>
        <v>0</v>
      </c>
      <c r="G355" s="93"/>
      <c r="H355" s="92">
        <v>8</v>
      </c>
      <c r="I355" s="92" t="str">
        <f t="shared" si="20"/>
        <v>X</v>
      </c>
      <c r="J355" s="79" t="str">
        <f>IF(G355="","X",_xlfn.XLOOKUP(B355,DATA_Moresby_2024_ALL!B:B,DATA_Moresby_2024_ALL!K:K,""))</f>
        <v>X</v>
      </c>
      <c r="K355" s="28"/>
      <c r="L355" s="29"/>
      <c r="M355" s="28"/>
      <c r="N355" s="19" t="str">
        <f t="shared" si="22"/>
        <v/>
      </c>
      <c r="O355" s="19" t="str">
        <f t="shared" si="21"/>
        <v/>
      </c>
      <c r="P355" s="19" t="str">
        <f t="shared" si="21"/>
        <v/>
      </c>
      <c r="Q355" s="19" t="str">
        <f t="shared" si="21"/>
        <v/>
      </c>
      <c r="R355" s="21"/>
      <c r="T355" s="21"/>
      <c r="W355" s="46"/>
      <c r="X355" s="92" t="s">
        <v>78</v>
      </c>
      <c r="Y355" s="92" t="s">
        <v>78</v>
      </c>
      <c r="Z355" s="92" t="s">
        <v>78</v>
      </c>
    </row>
    <row r="356" spans="1:26" ht="16" hidden="1" x14ac:dyDescent="0.4">
      <c r="A356" s="92">
        <v>1764</v>
      </c>
      <c r="B356" s="92">
        <v>1765</v>
      </c>
      <c r="E356" s="92">
        <v>50</v>
      </c>
      <c r="F356" s="92">
        <f>_xlfn.XLOOKUP(B356, DATA_Moresby_2024_ALL!B:B, DATA_Moresby_2024_ALL!G:G, "")</f>
        <v>0</v>
      </c>
      <c r="G356" s="93"/>
      <c r="H356" s="92">
        <v>8</v>
      </c>
      <c r="I356" s="92" t="str">
        <f t="shared" si="20"/>
        <v>X</v>
      </c>
      <c r="J356" s="79" t="str">
        <f>IF(G356="","X",_xlfn.XLOOKUP(B356,DATA_Moresby_2024_ALL!B:B,DATA_Moresby_2024_ALL!K:K,""))</f>
        <v>X</v>
      </c>
      <c r="K356" s="28"/>
      <c r="L356" s="29"/>
      <c r="M356" s="28"/>
      <c r="N356" s="19" t="str">
        <f t="shared" si="22"/>
        <v/>
      </c>
      <c r="O356" s="19" t="str">
        <f t="shared" si="21"/>
        <v/>
      </c>
      <c r="P356" s="19" t="str">
        <f t="shared" si="21"/>
        <v/>
      </c>
      <c r="Q356" s="19" t="str">
        <f t="shared" si="21"/>
        <v/>
      </c>
      <c r="R356" s="21"/>
      <c r="T356" s="21"/>
      <c r="W356" s="46"/>
      <c r="X356" s="92" t="s">
        <v>78</v>
      </c>
      <c r="Y356" s="92" t="s">
        <v>78</v>
      </c>
      <c r="Z356" s="92" t="s">
        <v>78</v>
      </c>
    </row>
    <row r="357" spans="1:26" ht="16" hidden="1" x14ac:dyDescent="0.4">
      <c r="A357" s="92">
        <v>1769</v>
      </c>
      <c r="B357" s="92">
        <v>1770</v>
      </c>
      <c r="E357" s="92">
        <v>50</v>
      </c>
      <c r="F357" s="92">
        <f>_xlfn.XLOOKUP(B357, DATA_Moresby_2024_ALL!B:B, DATA_Moresby_2024_ALL!G:G, "")</f>
        <v>0</v>
      </c>
      <c r="G357" s="93"/>
      <c r="H357" s="92">
        <v>8</v>
      </c>
      <c r="I357" s="92" t="str">
        <f t="shared" si="20"/>
        <v>X</v>
      </c>
      <c r="J357" s="79" t="str">
        <f>IF(G357="","X",_xlfn.XLOOKUP(B357,DATA_Moresby_2024_ALL!B:B,DATA_Moresby_2024_ALL!K:K,""))</f>
        <v>X</v>
      </c>
      <c r="K357" s="28"/>
      <c r="L357" s="29"/>
      <c r="M357" s="28"/>
      <c r="N357" s="19" t="str">
        <f t="shared" si="22"/>
        <v/>
      </c>
      <c r="O357" s="19" t="str">
        <f t="shared" si="21"/>
        <v/>
      </c>
      <c r="P357" s="19" t="str">
        <f t="shared" si="21"/>
        <v/>
      </c>
      <c r="Q357" s="19" t="str">
        <f t="shared" si="21"/>
        <v/>
      </c>
      <c r="R357" s="21"/>
      <c r="T357" s="21"/>
      <c r="W357" s="46"/>
      <c r="X357" s="92" t="s">
        <v>78</v>
      </c>
      <c r="Y357" s="92" t="s">
        <v>78</v>
      </c>
      <c r="Z357" s="92" t="s">
        <v>78</v>
      </c>
    </row>
    <row r="358" spans="1:26" ht="16" hidden="1" x14ac:dyDescent="0.4">
      <c r="A358" s="92">
        <v>1774</v>
      </c>
      <c r="B358" s="92">
        <v>1775</v>
      </c>
      <c r="E358" s="92">
        <v>50</v>
      </c>
      <c r="F358" s="92">
        <f>_xlfn.XLOOKUP(B358, DATA_Moresby_2024_ALL!B:B, DATA_Moresby_2024_ALL!G:G, "")</f>
        <v>0</v>
      </c>
      <c r="G358" s="93"/>
      <c r="H358" s="92">
        <v>8</v>
      </c>
      <c r="I358" s="92" t="str">
        <f t="shared" si="20"/>
        <v>X</v>
      </c>
      <c r="J358" s="79" t="str">
        <f>IF(G358="","X",_xlfn.XLOOKUP(B358,DATA_Moresby_2024_ALL!B:B,DATA_Moresby_2024_ALL!K:K,""))</f>
        <v>X</v>
      </c>
      <c r="K358" s="28"/>
      <c r="L358" s="29"/>
      <c r="M358" s="28"/>
      <c r="N358" s="19" t="str">
        <f t="shared" si="22"/>
        <v/>
      </c>
      <c r="O358" s="19" t="str">
        <f t="shared" si="21"/>
        <v/>
      </c>
      <c r="P358" s="19" t="str">
        <f t="shared" si="21"/>
        <v/>
      </c>
      <c r="Q358" s="19" t="str">
        <f t="shared" si="21"/>
        <v/>
      </c>
      <c r="R358" s="21"/>
      <c r="T358" s="21"/>
      <c r="W358" s="46"/>
      <c r="X358" s="92" t="s">
        <v>78</v>
      </c>
      <c r="Y358" s="92" t="s">
        <v>78</v>
      </c>
      <c r="Z358" s="92" t="s">
        <v>78</v>
      </c>
    </row>
    <row r="359" spans="1:26" ht="16" hidden="1" x14ac:dyDescent="0.4">
      <c r="A359" s="92">
        <v>1779</v>
      </c>
      <c r="B359" s="92">
        <v>1780</v>
      </c>
      <c r="E359" s="92">
        <v>50</v>
      </c>
      <c r="F359" s="92">
        <f>_xlfn.XLOOKUP(B359, DATA_Moresby_2024_ALL!B:B, DATA_Moresby_2024_ALL!G:G, "")</f>
        <v>0</v>
      </c>
      <c r="G359" s="93"/>
      <c r="H359" s="92">
        <v>8</v>
      </c>
      <c r="I359" s="92" t="str">
        <f t="shared" si="20"/>
        <v>X</v>
      </c>
      <c r="J359" s="79" t="str">
        <f>IF(G359="","X",_xlfn.XLOOKUP(B359,DATA_Moresby_2024_ALL!B:B,DATA_Moresby_2024_ALL!K:K,""))</f>
        <v>X</v>
      </c>
      <c r="K359" s="28"/>
      <c r="L359" s="29"/>
      <c r="M359" s="28"/>
      <c r="N359" s="19" t="str">
        <f t="shared" si="22"/>
        <v/>
      </c>
      <c r="O359" s="19" t="str">
        <f t="shared" si="21"/>
        <v/>
      </c>
      <c r="P359" s="19" t="str">
        <f t="shared" si="21"/>
        <v/>
      </c>
      <c r="Q359" s="19" t="str">
        <f t="shared" si="21"/>
        <v/>
      </c>
      <c r="R359" s="21"/>
      <c r="T359" s="21"/>
      <c r="W359" s="46"/>
      <c r="X359" s="92" t="s">
        <v>78</v>
      </c>
      <c r="Y359" s="92" t="s">
        <v>78</v>
      </c>
      <c r="Z359" s="92" t="s">
        <v>78</v>
      </c>
    </row>
    <row r="360" spans="1:26" ht="16" hidden="1" x14ac:dyDescent="0.4">
      <c r="A360" s="92">
        <v>1784</v>
      </c>
      <c r="B360" s="92">
        <v>1785</v>
      </c>
      <c r="E360" s="92">
        <v>50</v>
      </c>
      <c r="F360" s="92">
        <f>_xlfn.XLOOKUP(B360, DATA_Moresby_2024_ALL!B:B, DATA_Moresby_2024_ALL!G:G, "")</f>
        <v>0</v>
      </c>
      <c r="G360" s="93"/>
      <c r="H360" s="92">
        <v>8</v>
      </c>
      <c r="I360" s="92" t="str">
        <f t="shared" si="20"/>
        <v>X</v>
      </c>
      <c r="J360" s="79" t="str">
        <f>IF(G360="","X",_xlfn.XLOOKUP(B360,DATA_Moresby_2024_ALL!B:B,DATA_Moresby_2024_ALL!K:K,""))</f>
        <v>X</v>
      </c>
      <c r="K360" s="28"/>
      <c r="L360" s="29"/>
      <c r="M360" s="28"/>
      <c r="N360" s="19" t="str">
        <f t="shared" si="22"/>
        <v/>
      </c>
      <c r="O360" s="19" t="str">
        <f t="shared" si="21"/>
        <v/>
      </c>
      <c r="P360" s="19" t="str">
        <f t="shared" si="21"/>
        <v/>
      </c>
      <c r="Q360" s="19" t="str">
        <f t="shared" si="21"/>
        <v/>
      </c>
      <c r="R360" s="21"/>
      <c r="T360" s="21"/>
      <c r="W360" s="46"/>
      <c r="X360" s="92" t="s">
        <v>78</v>
      </c>
      <c r="Y360" s="92" t="s">
        <v>78</v>
      </c>
      <c r="Z360" s="92" t="s">
        <v>78</v>
      </c>
    </row>
    <row r="361" spans="1:26" ht="16" hidden="1" x14ac:dyDescent="0.4">
      <c r="A361" s="92">
        <v>1789</v>
      </c>
      <c r="B361" s="92">
        <v>1790</v>
      </c>
      <c r="E361" s="92">
        <v>50</v>
      </c>
      <c r="F361" s="92">
        <f>_xlfn.XLOOKUP(B361, DATA_Moresby_2024_ALL!B:B, DATA_Moresby_2024_ALL!G:G, "")</f>
        <v>0</v>
      </c>
      <c r="G361" s="93"/>
      <c r="H361" s="92">
        <v>8</v>
      </c>
      <c r="I361" s="92" t="str">
        <f t="shared" si="20"/>
        <v>X</v>
      </c>
      <c r="J361" s="79" t="str">
        <f>IF(G361="","X",_xlfn.XLOOKUP(B361,DATA_Moresby_2024_ALL!B:B,DATA_Moresby_2024_ALL!K:K,""))</f>
        <v>X</v>
      </c>
      <c r="K361" s="28"/>
      <c r="L361" s="29"/>
      <c r="M361" s="28"/>
      <c r="N361" s="19" t="str">
        <f t="shared" si="22"/>
        <v/>
      </c>
      <c r="O361" s="19" t="str">
        <f t="shared" si="21"/>
        <v/>
      </c>
      <c r="P361" s="19" t="str">
        <f t="shared" si="21"/>
        <v/>
      </c>
      <c r="Q361" s="19" t="str">
        <f t="shared" si="21"/>
        <v/>
      </c>
      <c r="R361" s="21"/>
      <c r="T361" s="21"/>
      <c r="W361" s="46"/>
      <c r="X361" s="92" t="s">
        <v>78</v>
      </c>
      <c r="Y361" s="92" t="s">
        <v>78</v>
      </c>
      <c r="Z361" s="92" t="s">
        <v>78</v>
      </c>
    </row>
    <row r="362" spans="1:26" ht="16" hidden="1" x14ac:dyDescent="0.4">
      <c r="A362" s="92">
        <v>1794</v>
      </c>
      <c r="B362" s="92">
        <v>1795</v>
      </c>
      <c r="E362" s="92">
        <v>50</v>
      </c>
      <c r="F362" s="92">
        <f>_xlfn.XLOOKUP(B362, DATA_Moresby_2024_ALL!B:B, DATA_Moresby_2024_ALL!G:G, "")</f>
        <v>0</v>
      </c>
      <c r="G362" s="93"/>
      <c r="H362" s="92">
        <v>8</v>
      </c>
      <c r="I362" s="92" t="str">
        <f t="shared" si="20"/>
        <v>X</v>
      </c>
      <c r="J362" s="79" t="str">
        <f>IF(G362="","X",_xlfn.XLOOKUP(B362,DATA_Moresby_2024_ALL!B:B,DATA_Moresby_2024_ALL!K:K,""))</f>
        <v>X</v>
      </c>
      <c r="K362" s="28"/>
      <c r="L362" s="29"/>
      <c r="M362" s="28"/>
      <c r="N362" s="19" t="str">
        <f t="shared" si="22"/>
        <v/>
      </c>
      <c r="O362" s="19" t="str">
        <f t="shared" si="21"/>
        <v/>
      </c>
      <c r="P362" s="19" t="str">
        <f t="shared" si="21"/>
        <v/>
      </c>
      <c r="Q362" s="19" t="str">
        <f t="shared" si="21"/>
        <v/>
      </c>
      <c r="R362" s="21"/>
      <c r="T362" s="21"/>
      <c r="W362" s="46"/>
      <c r="X362" s="92" t="s">
        <v>78</v>
      </c>
      <c r="Y362" s="92" t="s">
        <v>78</v>
      </c>
      <c r="Z362" s="92" t="s">
        <v>78</v>
      </c>
    </row>
    <row r="363" spans="1:26" ht="16" hidden="1" x14ac:dyDescent="0.4">
      <c r="A363" s="92">
        <v>1799</v>
      </c>
      <c r="B363" s="92">
        <v>1800</v>
      </c>
      <c r="E363" s="92">
        <v>50</v>
      </c>
      <c r="F363" s="92">
        <f>_xlfn.XLOOKUP(B363, DATA_Moresby_2024_ALL!B:B, DATA_Moresby_2024_ALL!G:G, "")</f>
        <v>0</v>
      </c>
      <c r="G363" s="93"/>
      <c r="H363" s="92">
        <v>8</v>
      </c>
      <c r="I363" s="92" t="str">
        <f t="shared" si="20"/>
        <v>X</v>
      </c>
      <c r="J363" s="79" t="str">
        <f>IF(G363="","X",_xlfn.XLOOKUP(B363,DATA_Moresby_2024_ALL!B:B,DATA_Moresby_2024_ALL!K:K,""))</f>
        <v>X</v>
      </c>
      <c r="K363" s="28"/>
      <c r="L363" s="29"/>
      <c r="M363" s="28"/>
      <c r="N363" s="19" t="str">
        <f t="shared" si="22"/>
        <v/>
      </c>
      <c r="O363" s="19" t="str">
        <f t="shared" si="21"/>
        <v/>
      </c>
      <c r="P363" s="19" t="str">
        <f t="shared" si="21"/>
        <v/>
      </c>
      <c r="Q363" s="19" t="str">
        <f t="shared" si="21"/>
        <v/>
      </c>
      <c r="R363" s="21"/>
      <c r="T363" s="21"/>
      <c r="W363" s="46"/>
      <c r="X363" s="92" t="s">
        <v>78</v>
      </c>
      <c r="Y363" s="92" t="s">
        <v>78</v>
      </c>
      <c r="Z363" s="92" t="s">
        <v>78</v>
      </c>
    </row>
    <row r="364" spans="1:26" ht="16" hidden="1" x14ac:dyDescent="0.4">
      <c r="A364" s="92">
        <v>1804</v>
      </c>
      <c r="B364" s="92">
        <v>1805</v>
      </c>
      <c r="E364" s="92">
        <v>50</v>
      </c>
      <c r="F364" s="92">
        <f>_xlfn.XLOOKUP(B364, DATA_Moresby_2024_ALL!B:B, DATA_Moresby_2024_ALL!G:G, "")</f>
        <v>0</v>
      </c>
      <c r="G364" s="93"/>
      <c r="H364" s="92">
        <v>8</v>
      </c>
      <c r="I364" s="92" t="str">
        <f t="shared" si="20"/>
        <v>X</v>
      </c>
      <c r="J364" s="79" t="str">
        <f>IF(G364="","X",_xlfn.XLOOKUP(B364,DATA_Moresby_2024_ALL!B:B,DATA_Moresby_2024_ALL!K:K,""))</f>
        <v>X</v>
      </c>
      <c r="K364" s="28"/>
      <c r="L364" s="29"/>
      <c r="M364" s="28"/>
      <c r="N364" s="19" t="str">
        <f t="shared" si="22"/>
        <v/>
      </c>
      <c r="O364" s="19" t="str">
        <f t="shared" si="21"/>
        <v/>
      </c>
      <c r="P364" s="19" t="str">
        <f t="shared" si="21"/>
        <v/>
      </c>
      <c r="Q364" s="19" t="str">
        <f t="shared" si="21"/>
        <v/>
      </c>
      <c r="R364" s="21"/>
      <c r="T364" s="21"/>
      <c r="W364" s="46"/>
      <c r="X364" s="92" t="s">
        <v>78</v>
      </c>
      <c r="Y364" s="92" t="s">
        <v>78</v>
      </c>
      <c r="Z364" s="92" t="s">
        <v>78</v>
      </c>
    </row>
    <row r="365" spans="1:26" ht="16" hidden="1" x14ac:dyDescent="0.4">
      <c r="A365" s="92">
        <v>1809</v>
      </c>
      <c r="B365" s="92">
        <v>1810</v>
      </c>
      <c r="E365" s="92">
        <v>50</v>
      </c>
      <c r="F365" s="92">
        <f>_xlfn.XLOOKUP(B365, DATA_Moresby_2024_ALL!B:B, DATA_Moresby_2024_ALL!G:G, "")</f>
        <v>0</v>
      </c>
      <c r="G365" s="93"/>
      <c r="H365" s="92">
        <v>8</v>
      </c>
      <c r="I365" s="92" t="str">
        <f t="shared" si="20"/>
        <v>X</v>
      </c>
      <c r="J365" s="79" t="str">
        <f>IF(G365="","X",_xlfn.XLOOKUP(B365,DATA_Moresby_2024_ALL!B:B,DATA_Moresby_2024_ALL!K:K,""))</f>
        <v>X</v>
      </c>
      <c r="K365" s="28"/>
      <c r="L365" s="29"/>
      <c r="M365" s="28"/>
      <c r="N365" s="19" t="str">
        <f t="shared" si="22"/>
        <v/>
      </c>
      <c r="O365" s="19" t="str">
        <f t="shared" si="21"/>
        <v/>
      </c>
      <c r="P365" s="19" t="str">
        <f t="shared" si="21"/>
        <v/>
      </c>
      <c r="Q365" s="19" t="str">
        <f t="shared" si="21"/>
        <v/>
      </c>
      <c r="R365" s="21"/>
      <c r="T365" s="21"/>
      <c r="W365" s="46"/>
      <c r="X365" s="92" t="s">
        <v>78</v>
      </c>
      <c r="Y365" s="92" t="s">
        <v>78</v>
      </c>
      <c r="Z365" s="92" t="s">
        <v>78</v>
      </c>
    </row>
    <row r="366" spans="1:26" ht="16" hidden="1" x14ac:dyDescent="0.4">
      <c r="A366" s="92">
        <v>1814</v>
      </c>
      <c r="B366" s="92">
        <v>1815</v>
      </c>
      <c r="E366" s="92">
        <v>50</v>
      </c>
      <c r="F366" s="92">
        <f>_xlfn.XLOOKUP(B366, DATA_Moresby_2024_ALL!B:B, DATA_Moresby_2024_ALL!G:G, "")</f>
        <v>0</v>
      </c>
      <c r="G366" s="93"/>
      <c r="H366" s="92">
        <v>8</v>
      </c>
      <c r="I366" s="92" t="str">
        <f t="shared" si="20"/>
        <v>X</v>
      </c>
      <c r="J366" s="79" t="str">
        <f>IF(G366="","X",_xlfn.XLOOKUP(B366,DATA_Moresby_2024_ALL!B:B,DATA_Moresby_2024_ALL!K:K,""))</f>
        <v>X</v>
      </c>
      <c r="K366" s="28"/>
      <c r="L366" s="29"/>
      <c r="M366" s="28"/>
      <c r="N366" s="19" t="str">
        <f t="shared" si="22"/>
        <v/>
      </c>
      <c r="O366" s="19" t="str">
        <f t="shared" si="21"/>
        <v/>
      </c>
      <c r="P366" s="19" t="str">
        <f t="shared" si="21"/>
        <v/>
      </c>
      <c r="Q366" s="19" t="str">
        <f t="shared" si="21"/>
        <v/>
      </c>
      <c r="R366" s="21"/>
      <c r="T366" s="21"/>
      <c r="W366" s="46"/>
      <c r="X366" s="92" t="s">
        <v>78</v>
      </c>
      <c r="Y366" s="92" t="s">
        <v>78</v>
      </c>
      <c r="Z366" s="92" t="s">
        <v>78</v>
      </c>
    </row>
    <row r="367" spans="1:26" ht="16" hidden="1" x14ac:dyDescent="0.4">
      <c r="A367" s="92">
        <v>1819</v>
      </c>
      <c r="B367" s="92">
        <v>1820</v>
      </c>
      <c r="E367" s="92">
        <v>50</v>
      </c>
      <c r="F367" s="92">
        <f>_xlfn.XLOOKUP(B367, DATA_Moresby_2024_ALL!B:B, DATA_Moresby_2024_ALL!G:G, "")</f>
        <v>0</v>
      </c>
      <c r="G367" s="93"/>
      <c r="H367" s="92">
        <v>8</v>
      </c>
      <c r="I367" s="92" t="str">
        <f t="shared" si="20"/>
        <v>X</v>
      </c>
      <c r="J367" s="79" t="str">
        <f>IF(G367="","X",_xlfn.XLOOKUP(B367,DATA_Moresby_2024_ALL!B:B,DATA_Moresby_2024_ALL!K:K,""))</f>
        <v>X</v>
      </c>
      <c r="K367" s="28"/>
      <c r="L367" s="29"/>
      <c r="M367" s="28"/>
      <c r="N367" s="19" t="str">
        <f t="shared" si="22"/>
        <v/>
      </c>
      <c r="O367" s="19" t="str">
        <f t="shared" si="21"/>
        <v/>
      </c>
      <c r="P367" s="19" t="str">
        <f t="shared" si="21"/>
        <v/>
      </c>
      <c r="Q367" s="19" t="str">
        <f t="shared" si="21"/>
        <v/>
      </c>
      <c r="R367" s="21"/>
      <c r="T367" s="21"/>
      <c r="W367" s="46"/>
      <c r="X367" s="92" t="s">
        <v>78</v>
      </c>
      <c r="Y367" s="92" t="s">
        <v>78</v>
      </c>
      <c r="Z367" s="92" t="s">
        <v>78</v>
      </c>
    </row>
    <row r="368" spans="1:26" ht="16" hidden="1" x14ac:dyDescent="0.4">
      <c r="A368" s="92">
        <v>1824</v>
      </c>
      <c r="B368" s="92">
        <v>1825</v>
      </c>
      <c r="E368" s="92">
        <v>50</v>
      </c>
      <c r="F368" s="92">
        <f>_xlfn.XLOOKUP(B368, DATA_Moresby_2024_ALL!B:B, DATA_Moresby_2024_ALL!G:G, "")</f>
        <v>0</v>
      </c>
      <c r="G368" s="93"/>
      <c r="H368" s="92">
        <v>8</v>
      </c>
      <c r="I368" s="92" t="str">
        <f t="shared" si="20"/>
        <v>X</v>
      </c>
      <c r="J368" s="79" t="str">
        <f>IF(G368="","X",_xlfn.XLOOKUP(B368,DATA_Moresby_2024_ALL!B:B,DATA_Moresby_2024_ALL!K:K,""))</f>
        <v>X</v>
      </c>
      <c r="K368" s="28"/>
      <c r="L368" s="29"/>
      <c r="M368" s="28"/>
      <c r="N368" s="19" t="str">
        <f t="shared" si="22"/>
        <v/>
      </c>
      <c r="O368" s="19" t="str">
        <f t="shared" si="21"/>
        <v/>
      </c>
      <c r="P368" s="19" t="str">
        <f t="shared" si="21"/>
        <v/>
      </c>
      <c r="Q368" s="19" t="str">
        <f t="shared" si="21"/>
        <v/>
      </c>
      <c r="R368" s="21"/>
      <c r="T368" s="21"/>
      <c r="W368" s="46"/>
      <c r="X368" s="92" t="s">
        <v>78</v>
      </c>
      <c r="Y368" s="92" t="s">
        <v>78</v>
      </c>
      <c r="Z368" s="92" t="s">
        <v>78</v>
      </c>
    </row>
    <row r="369" spans="1:26" ht="16" hidden="1" x14ac:dyDescent="0.4">
      <c r="A369" s="92">
        <v>1829</v>
      </c>
      <c r="B369" s="92">
        <v>1830</v>
      </c>
      <c r="E369" s="92">
        <v>50</v>
      </c>
      <c r="F369" s="92">
        <f>_xlfn.XLOOKUP(B369, DATA_Moresby_2024_ALL!B:B, DATA_Moresby_2024_ALL!G:G, "")</f>
        <v>0</v>
      </c>
      <c r="G369" s="93"/>
      <c r="H369" s="92">
        <v>8</v>
      </c>
      <c r="I369" s="92" t="str">
        <f t="shared" si="20"/>
        <v>X</v>
      </c>
      <c r="J369" s="79" t="str">
        <f>IF(G369="","X",_xlfn.XLOOKUP(B369,DATA_Moresby_2024_ALL!B:B,DATA_Moresby_2024_ALL!K:K,""))</f>
        <v>X</v>
      </c>
      <c r="K369" s="28"/>
      <c r="L369" s="29"/>
      <c r="M369" s="28"/>
      <c r="N369" s="19" t="str">
        <f t="shared" si="22"/>
        <v/>
      </c>
      <c r="O369" s="19" t="str">
        <f t="shared" si="21"/>
        <v/>
      </c>
      <c r="P369" s="19" t="str">
        <f t="shared" si="21"/>
        <v/>
      </c>
      <c r="Q369" s="19" t="str">
        <f t="shared" si="21"/>
        <v/>
      </c>
      <c r="R369" s="21"/>
      <c r="T369" s="21"/>
      <c r="W369" s="46"/>
      <c r="X369" s="92" t="s">
        <v>78</v>
      </c>
      <c r="Y369" s="92" t="s">
        <v>78</v>
      </c>
      <c r="Z369" s="92" t="s">
        <v>78</v>
      </c>
    </row>
    <row r="370" spans="1:26" ht="16" hidden="1" x14ac:dyDescent="0.4">
      <c r="A370" s="92">
        <v>1834</v>
      </c>
      <c r="B370" s="92">
        <v>1835</v>
      </c>
      <c r="E370" s="92">
        <v>50</v>
      </c>
      <c r="F370" s="92">
        <f>_xlfn.XLOOKUP(B370, DATA_Moresby_2024_ALL!B:B, DATA_Moresby_2024_ALL!G:G, "")</f>
        <v>0</v>
      </c>
      <c r="G370" s="93"/>
      <c r="H370" s="92">
        <v>8</v>
      </c>
      <c r="I370" s="92" t="str">
        <f t="shared" si="20"/>
        <v>X</v>
      </c>
      <c r="J370" s="79" t="str">
        <f>IF(G370="","X",_xlfn.XLOOKUP(B370,DATA_Moresby_2024_ALL!B:B,DATA_Moresby_2024_ALL!K:K,""))</f>
        <v>X</v>
      </c>
      <c r="K370" s="28"/>
      <c r="L370" s="29"/>
      <c r="M370" s="28"/>
      <c r="N370" s="19" t="str">
        <f t="shared" si="22"/>
        <v/>
      </c>
      <c r="O370" s="19" t="str">
        <f t="shared" si="21"/>
        <v/>
      </c>
      <c r="P370" s="19" t="str">
        <f t="shared" si="21"/>
        <v/>
      </c>
      <c r="Q370" s="19" t="str">
        <f t="shared" si="21"/>
        <v/>
      </c>
      <c r="R370" s="21"/>
      <c r="T370" s="21"/>
      <c r="W370" s="46"/>
      <c r="X370" s="92" t="s">
        <v>78</v>
      </c>
      <c r="Y370" s="92" t="s">
        <v>78</v>
      </c>
      <c r="Z370" s="92" t="s">
        <v>78</v>
      </c>
    </row>
    <row r="371" spans="1:26" ht="16" hidden="1" x14ac:dyDescent="0.4">
      <c r="A371" s="92">
        <v>1839</v>
      </c>
      <c r="B371" s="92">
        <v>1840</v>
      </c>
      <c r="E371" s="92">
        <v>50</v>
      </c>
      <c r="F371" s="92">
        <f>_xlfn.XLOOKUP(B371, DATA_Moresby_2024_ALL!B:B, DATA_Moresby_2024_ALL!G:G, "")</f>
        <v>0</v>
      </c>
      <c r="G371" s="93"/>
      <c r="H371" s="92">
        <v>8</v>
      </c>
      <c r="I371" s="92" t="str">
        <f t="shared" si="20"/>
        <v>X</v>
      </c>
      <c r="J371" s="79" t="str">
        <f>IF(G371="","X",_xlfn.XLOOKUP(B371,DATA_Moresby_2024_ALL!B:B,DATA_Moresby_2024_ALL!K:K,""))</f>
        <v>X</v>
      </c>
      <c r="K371" s="28"/>
      <c r="L371" s="29"/>
      <c r="M371" s="28"/>
      <c r="N371" s="19" t="str">
        <f t="shared" si="22"/>
        <v/>
      </c>
      <c r="O371" s="19" t="str">
        <f t="shared" si="21"/>
        <v/>
      </c>
      <c r="P371" s="19" t="str">
        <f t="shared" si="21"/>
        <v/>
      </c>
      <c r="Q371" s="19" t="str">
        <f t="shared" si="21"/>
        <v/>
      </c>
      <c r="R371" s="21"/>
      <c r="T371" s="21"/>
      <c r="W371" s="46"/>
      <c r="X371" s="92" t="s">
        <v>78</v>
      </c>
      <c r="Y371" s="92" t="s">
        <v>78</v>
      </c>
      <c r="Z371" s="92" t="s">
        <v>78</v>
      </c>
    </row>
    <row r="372" spans="1:26" ht="16" hidden="1" x14ac:dyDescent="0.4">
      <c r="A372" s="92">
        <v>1844</v>
      </c>
      <c r="B372" s="92">
        <v>1845</v>
      </c>
      <c r="E372" s="92">
        <v>50</v>
      </c>
      <c r="F372" s="92">
        <f>_xlfn.XLOOKUP(B372, DATA_Moresby_2024_ALL!B:B, DATA_Moresby_2024_ALL!G:G, "")</f>
        <v>0</v>
      </c>
      <c r="G372" s="93"/>
      <c r="H372" s="92">
        <v>8</v>
      </c>
      <c r="I372" s="92" t="str">
        <f t="shared" si="20"/>
        <v>X</v>
      </c>
      <c r="J372" s="79" t="str">
        <f>IF(G372="","X",_xlfn.XLOOKUP(B372,DATA_Moresby_2024_ALL!B:B,DATA_Moresby_2024_ALL!K:K,""))</f>
        <v>X</v>
      </c>
      <c r="K372" s="28"/>
      <c r="L372" s="29"/>
      <c r="M372" s="28"/>
      <c r="N372" s="19" t="str">
        <f t="shared" si="22"/>
        <v/>
      </c>
      <c r="O372" s="19" t="str">
        <f t="shared" si="21"/>
        <v/>
      </c>
      <c r="P372" s="19" t="str">
        <f t="shared" si="21"/>
        <v/>
      </c>
      <c r="Q372" s="19" t="str">
        <f t="shared" si="21"/>
        <v/>
      </c>
      <c r="R372" s="21"/>
      <c r="T372" s="21"/>
      <c r="W372" s="46"/>
      <c r="X372" s="92" t="s">
        <v>78</v>
      </c>
      <c r="Y372" s="92" t="s">
        <v>78</v>
      </c>
      <c r="Z372" s="92" t="s">
        <v>78</v>
      </c>
    </row>
    <row r="373" spans="1:26" ht="16" hidden="1" x14ac:dyDescent="0.4">
      <c r="A373" s="92">
        <v>1849</v>
      </c>
      <c r="B373" s="92">
        <v>1850</v>
      </c>
      <c r="E373" s="92">
        <v>50</v>
      </c>
      <c r="F373" s="92">
        <f>_xlfn.XLOOKUP(B373, DATA_Moresby_2024_ALL!B:B, DATA_Moresby_2024_ALL!G:G, "")</f>
        <v>0</v>
      </c>
      <c r="G373" s="93"/>
      <c r="H373" s="92">
        <v>8</v>
      </c>
      <c r="I373" s="92" t="str">
        <f t="shared" si="20"/>
        <v>X</v>
      </c>
      <c r="J373" s="79" t="str">
        <f>IF(G373="","X",_xlfn.XLOOKUP(B373,DATA_Moresby_2024_ALL!B:B,DATA_Moresby_2024_ALL!K:K,""))</f>
        <v>X</v>
      </c>
      <c r="K373" s="28"/>
      <c r="L373" s="29"/>
      <c r="M373" s="28"/>
      <c r="N373" s="19" t="str">
        <f t="shared" si="22"/>
        <v/>
      </c>
      <c r="O373" s="19" t="str">
        <f t="shared" si="21"/>
        <v/>
      </c>
      <c r="P373" s="19" t="str">
        <f t="shared" si="21"/>
        <v/>
      </c>
      <c r="Q373" s="19" t="str">
        <f t="shared" si="21"/>
        <v/>
      </c>
      <c r="R373" s="21"/>
      <c r="T373" s="21"/>
      <c r="W373" s="46"/>
      <c r="X373" s="92" t="s">
        <v>78</v>
      </c>
      <c r="Y373" s="92" t="s">
        <v>78</v>
      </c>
      <c r="Z373" s="92" t="s">
        <v>78</v>
      </c>
    </row>
    <row r="374" spans="1:26" ht="16" hidden="1" x14ac:dyDescent="0.4">
      <c r="A374" s="92">
        <v>1854</v>
      </c>
      <c r="B374" s="92">
        <v>1855</v>
      </c>
      <c r="E374" s="92">
        <v>50</v>
      </c>
      <c r="F374" s="92">
        <f>_xlfn.XLOOKUP(B374, DATA_Moresby_2024_ALL!B:B, DATA_Moresby_2024_ALL!G:G, "")</f>
        <v>0</v>
      </c>
      <c r="G374" s="93"/>
      <c r="H374" s="92">
        <v>8</v>
      </c>
      <c r="I374" s="92" t="str">
        <f t="shared" si="20"/>
        <v>X</v>
      </c>
      <c r="J374" s="79" t="str">
        <f>IF(G374="","X",_xlfn.XLOOKUP(B374,DATA_Moresby_2024_ALL!B:B,DATA_Moresby_2024_ALL!K:K,""))</f>
        <v>X</v>
      </c>
      <c r="K374" s="28"/>
      <c r="L374" s="29"/>
      <c r="M374" s="28"/>
      <c r="N374" s="19" t="str">
        <f t="shared" si="22"/>
        <v/>
      </c>
      <c r="O374" s="19" t="str">
        <f t="shared" si="21"/>
        <v/>
      </c>
      <c r="P374" s="19" t="str">
        <f t="shared" si="21"/>
        <v/>
      </c>
      <c r="Q374" s="19" t="str">
        <f t="shared" si="21"/>
        <v/>
      </c>
      <c r="R374" s="21"/>
      <c r="T374" s="21"/>
      <c r="W374" s="46"/>
      <c r="X374" s="92" t="s">
        <v>78</v>
      </c>
      <c r="Y374" s="92" t="s">
        <v>78</v>
      </c>
      <c r="Z374" s="92" t="s">
        <v>78</v>
      </c>
    </row>
    <row r="375" spans="1:26" ht="16" hidden="1" x14ac:dyDescent="0.4">
      <c r="A375" s="92">
        <v>1859</v>
      </c>
      <c r="B375" s="92">
        <v>1860</v>
      </c>
      <c r="E375" s="92">
        <v>50</v>
      </c>
      <c r="F375" s="92">
        <f>_xlfn.XLOOKUP(B375, DATA_Moresby_2024_ALL!B:B, DATA_Moresby_2024_ALL!G:G, "")</f>
        <v>0</v>
      </c>
      <c r="G375" s="93"/>
      <c r="H375" s="92">
        <v>8</v>
      </c>
      <c r="I375" s="92" t="str">
        <f t="shared" si="20"/>
        <v>X</v>
      </c>
      <c r="J375" s="79" t="str">
        <f>IF(G375="","X",_xlfn.XLOOKUP(B375,DATA_Moresby_2024_ALL!B:B,DATA_Moresby_2024_ALL!K:K,""))</f>
        <v>X</v>
      </c>
      <c r="K375" s="28"/>
      <c r="L375" s="29"/>
      <c r="M375" s="28"/>
      <c r="N375" s="19" t="str">
        <f t="shared" si="22"/>
        <v/>
      </c>
      <c r="O375" s="19" t="str">
        <f t="shared" si="21"/>
        <v/>
      </c>
      <c r="P375" s="19" t="str">
        <f t="shared" si="21"/>
        <v/>
      </c>
      <c r="Q375" s="19" t="str">
        <f t="shared" si="21"/>
        <v/>
      </c>
      <c r="R375" s="21"/>
      <c r="T375" s="21"/>
      <c r="W375" s="46"/>
      <c r="X375" s="92" t="s">
        <v>78</v>
      </c>
      <c r="Y375" s="92" t="s">
        <v>78</v>
      </c>
      <c r="Z375" s="92" t="s">
        <v>78</v>
      </c>
    </row>
    <row r="376" spans="1:26" ht="16" hidden="1" x14ac:dyDescent="0.4">
      <c r="A376" s="92">
        <v>1864</v>
      </c>
      <c r="B376" s="92">
        <v>1865</v>
      </c>
      <c r="E376" s="92">
        <v>50</v>
      </c>
      <c r="F376" s="92">
        <f>_xlfn.XLOOKUP(B376, DATA_Moresby_2024_ALL!B:B, DATA_Moresby_2024_ALL!G:G, "")</f>
        <v>0</v>
      </c>
      <c r="G376" s="93"/>
      <c r="H376" s="92">
        <v>8</v>
      </c>
      <c r="I376" s="92" t="str">
        <f t="shared" si="20"/>
        <v>X</v>
      </c>
      <c r="J376" s="79" t="str">
        <f>IF(G376="","X",_xlfn.XLOOKUP(B376,DATA_Moresby_2024_ALL!B:B,DATA_Moresby_2024_ALL!K:K,""))</f>
        <v>X</v>
      </c>
      <c r="K376" s="28"/>
      <c r="L376" s="29"/>
      <c r="M376" s="28"/>
      <c r="N376" s="19" t="str">
        <f t="shared" si="22"/>
        <v/>
      </c>
      <c r="O376" s="19" t="str">
        <f t="shared" si="21"/>
        <v/>
      </c>
      <c r="P376" s="19" t="str">
        <f t="shared" si="21"/>
        <v/>
      </c>
      <c r="Q376" s="19" t="str">
        <f t="shared" si="21"/>
        <v/>
      </c>
      <c r="R376" s="21"/>
      <c r="T376" s="21"/>
      <c r="W376" s="46"/>
      <c r="X376" s="92" t="s">
        <v>78</v>
      </c>
      <c r="Y376" s="92" t="s">
        <v>78</v>
      </c>
      <c r="Z376" s="92" t="s">
        <v>78</v>
      </c>
    </row>
    <row r="377" spans="1:26" ht="16" hidden="1" x14ac:dyDescent="0.4">
      <c r="A377" s="92">
        <v>1869</v>
      </c>
      <c r="B377" s="92">
        <v>1870</v>
      </c>
      <c r="E377" s="92">
        <v>50</v>
      </c>
      <c r="F377" s="92">
        <f>_xlfn.XLOOKUP(B377, DATA_Moresby_2024_ALL!B:B, DATA_Moresby_2024_ALL!G:G, "")</f>
        <v>0</v>
      </c>
      <c r="G377" s="93"/>
      <c r="H377" s="92">
        <v>8</v>
      </c>
      <c r="I377" s="92" t="str">
        <f t="shared" si="20"/>
        <v>X</v>
      </c>
      <c r="J377" s="79" t="str">
        <f>IF(G377="","X",_xlfn.XLOOKUP(B377,DATA_Moresby_2024_ALL!B:B,DATA_Moresby_2024_ALL!K:K,""))</f>
        <v>X</v>
      </c>
      <c r="K377" s="28"/>
      <c r="L377" s="29"/>
      <c r="M377" s="28"/>
      <c r="N377" s="19" t="str">
        <f t="shared" si="22"/>
        <v/>
      </c>
      <c r="O377" s="19" t="str">
        <f t="shared" si="21"/>
        <v/>
      </c>
      <c r="P377" s="19" t="str">
        <f t="shared" si="21"/>
        <v/>
      </c>
      <c r="Q377" s="19" t="str">
        <f t="shared" si="21"/>
        <v/>
      </c>
      <c r="R377" s="21"/>
      <c r="T377" s="21"/>
      <c r="W377" s="46"/>
      <c r="X377" s="92" t="s">
        <v>78</v>
      </c>
      <c r="Y377" s="92" t="s">
        <v>78</v>
      </c>
      <c r="Z377" s="92" t="s">
        <v>78</v>
      </c>
    </row>
    <row r="378" spans="1:26" ht="16" hidden="1" x14ac:dyDescent="0.4">
      <c r="A378" s="92">
        <v>1874</v>
      </c>
      <c r="B378" s="92">
        <v>1875</v>
      </c>
      <c r="E378" s="92">
        <v>50</v>
      </c>
      <c r="F378" s="92">
        <f>_xlfn.XLOOKUP(B378, DATA_Moresby_2024_ALL!B:B, DATA_Moresby_2024_ALL!G:G, "")</f>
        <v>0</v>
      </c>
      <c r="G378" s="93"/>
      <c r="H378" s="92">
        <v>8</v>
      </c>
      <c r="I378" s="92" t="str">
        <f t="shared" si="20"/>
        <v>X</v>
      </c>
      <c r="J378" s="79" t="str">
        <f>IF(G378="","X",_xlfn.XLOOKUP(B378,DATA_Moresby_2024_ALL!B:B,DATA_Moresby_2024_ALL!K:K,""))</f>
        <v>X</v>
      </c>
      <c r="K378" s="28"/>
      <c r="L378" s="29"/>
      <c r="M378" s="28"/>
      <c r="N378" s="19" t="str">
        <f t="shared" si="22"/>
        <v/>
      </c>
      <c r="O378" s="19" t="str">
        <f t="shared" si="21"/>
        <v/>
      </c>
      <c r="P378" s="19" t="str">
        <f t="shared" si="21"/>
        <v/>
      </c>
      <c r="Q378" s="19" t="str">
        <f t="shared" si="21"/>
        <v/>
      </c>
      <c r="R378" s="21"/>
      <c r="T378" s="21"/>
      <c r="W378" s="46"/>
      <c r="X378" s="92" t="s">
        <v>78</v>
      </c>
      <c r="Y378" s="92" t="s">
        <v>78</v>
      </c>
      <c r="Z378" s="92" t="s">
        <v>78</v>
      </c>
    </row>
    <row r="379" spans="1:26" ht="16" hidden="1" x14ac:dyDescent="0.4">
      <c r="A379" s="92">
        <v>1879</v>
      </c>
      <c r="B379" s="92">
        <v>1880</v>
      </c>
      <c r="E379" s="92">
        <v>50</v>
      </c>
      <c r="F379" s="92">
        <f>_xlfn.XLOOKUP(B379, DATA_Moresby_2024_ALL!B:B, DATA_Moresby_2024_ALL!G:G, "")</f>
        <v>0</v>
      </c>
      <c r="G379" s="93"/>
      <c r="H379" s="92">
        <v>8</v>
      </c>
      <c r="I379" s="92" t="str">
        <f t="shared" si="20"/>
        <v>X</v>
      </c>
      <c r="J379" s="79" t="str">
        <f>IF(G379="","X",_xlfn.XLOOKUP(B379,DATA_Moresby_2024_ALL!B:B,DATA_Moresby_2024_ALL!K:K,""))</f>
        <v>X</v>
      </c>
      <c r="K379" s="28"/>
      <c r="L379" s="29"/>
      <c r="M379" s="28"/>
      <c r="N379" s="19" t="str">
        <f t="shared" si="22"/>
        <v/>
      </c>
      <c r="O379" s="19" t="str">
        <f t="shared" si="21"/>
        <v/>
      </c>
      <c r="P379" s="19" t="str">
        <f t="shared" si="21"/>
        <v/>
      </c>
      <c r="Q379" s="19" t="str">
        <f t="shared" si="21"/>
        <v/>
      </c>
      <c r="R379" s="21"/>
      <c r="T379" s="21"/>
      <c r="W379" s="46"/>
      <c r="X379" s="92" t="s">
        <v>78</v>
      </c>
      <c r="Y379" s="92" t="s">
        <v>78</v>
      </c>
      <c r="Z379" s="92" t="s">
        <v>78</v>
      </c>
    </row>
    <row r="380" spans="1:26" ht="16" hidden="1" x14ac:dyDescent="0.4">
      <c r="A380" s="92">
        <v>1884</v>
      </c>
      <c r="B380" s="92">
        <v>1885</v>
      </c>
      <c r="E380" s="92">
        <v>50</v>
      </c>
      <c r="F380" s="92">
        <f>_xlfn.XLOOKUP(B380, DATA_Moresby_2024_ALL!B:B, DATA_Moresby_2024_ALL!G:G, "")</f>
        <v>0</v>
      </c>
      <c r="G380" s="93"/>
      <c r="H380" s="92">
        <v>8</v>
      </c>
      <c r="I380" s="92" t="str">
        <f t="shared" si="20"/>
        <v>X</v>
      </c>
      <c r="J380" s="79" t="str">
        <f>IF(G380="","X",_xlfn.XLOOKUP(B380,DATA_Moresby_2024_ALL!B:B,DATA_Moresby_2024_ALL!K:K,""))</f>
        <v>X</v>
      </c>
      <c r="K380" s="28"/>
      <c r="L380" s="29"/>
      <c r="M380" s="28"/>
      <c r="N380" s="19" t="str">
        <f t="shared" si="22"/>
        <v/>
      </c>
      <c r="O380" s="19" t="str">
        <f t="shared" si="21"/>
        <v/>
      </c>
      <c r="P380" s="19" t="str">
        <f t="shared" si="21"/>
        <v/>
      </c>
      <c r="Q380" s="19" t="str">
        <f t="shared" si="21"/>
        <v/>
      </c>
      <c r="R380" s="21"/>
      <c r="T380" s="21"/>
      <c r="W380" s="46"/>
      <c r="X380" s="92" t="s">
        <v>78</v>
      </c>
      <c r="Y380" s="92" t="s">
        <v>78</v>
      </c>
      <c r="Z380" s="92" t="s">
        <v>78</v>
      </c>
    </row>
    <row r="381" spans="1:26" ht="16" hidden="1" x14ac:dyDescent="0.4">
      <c r="A381" s="92">
        <v>1889</v>
      </c>
      <c r="B381" s="92">
        <v>1890</v>
      </c>
      <c r="E381" s="92">
        <v>50</v>
      </c>
      <c r="F381" s="92">
        <f>_xlfn.XLOOKUP(B381, DATA_Moresby_2024_ALL!B:B, DATA_Moresby_2024_ALL!G:G, "")</f>
        <v>0</v>
      </c>
      <c r="G381" s="93"/>
      <c r="H381" s="92">
        <v>8</v>
      </c>
      <c r="I381" s="92" t="str">
        <f t="shared" si="20"/>
        <v>X</v>
      </c>
      <c r="J381" s="79" t="str">
        <f>IF(G381="","X",_xlfn.XLOOKUP(B381,DATA_Moresby_2024_ALL!B:B,DATA_Moresby_2024_ALL!K:K,""))</f>
        <v>X</v>
      </c>
      <c r="K381" s="28"/>
      <c r="L381" s="29"/>
      <c r="M381" s="28"/>
      <c r="N381" s="19" t="str">
        <f t="shared" si="22"/>
        <v/>
      </c>
      <c r="O381" s="19" t="str">
        <f t="shared" si="21"/>
        <v/>
      </c>
      <c r="P381" s="19" t="str">
        <f t="shared" si="21"/>
        <v/>
      </c>
      <c r="Q381" s="19" t="str">
        <f t="shared" si="21"/>
        <v/>
      </c>
      <c r="R381" s="21"/>
      <c r="T381" s="21"/>
      <c r="W381" s="46"/>
      <c r="X381" s="92" t="s">
        <v>78</v>
      </c>
      <c r="Y381" s="92" t="s">
        <v>78</v>
      </c>
      <c r="Z381" s="92" t="s">
        <v>78</v>
      </c>
    </row>
    <row r="382" spans="1:26" ht="16" hidden="1" x14ac:dyDescent="0.4">
      <c r="A382" s="92">
        <v>1894</v>
      </c>
      <c r="B382" s="92">
        <v>1895</v>
      </c>
      <c r="E382" s="92">
        <v>50</v>
      </c>
      <c r="F382" s="92">
        <f>_xlfn.XLOOKUP(B382, DATA_Moresby_2024_ALL!B:B, DATA_Moresby_2024_ALL!G:G, "")</f>
        <v>0</v>
      </c>
      <c r="G382" s="93"/>
      <c r="H382" s="92">
        <v>8</v>
      </c>
      <c r="I382" s="92" t="str">
        <f t="shared" si="20"/>
        <v>X</v>
      </c>
      <c r="J382" s="79" t="str">
        <f>IF(G382="","X",_xlfn.XLOOKUP(B382,DATA_Moresby_2024_ALL!B:B,DATA_Moresby_2024_ALL!K:K,""))</f>
        <v>X</v>
      </c>
      <c r="K382" s="28"/>
      <c r="L382" s="29"/>
      <c r="M382" s="28"/>
      <c r="N382" s="19" t="str">
        <f t="shared" si="22"/>
        <v/>
      </c>
      <c r="O382" s="19" t="str">
        <f t="shared" si="21"/>
        <v/>
      </c>
      <c r="P382" s="19" t="str">
        <f t="shared" si="21"/>
        <v/>
      </c>
      <c r="Q382" s="19" t="str">
        <f t="shared" si="21"/>
        <v/>
      </c>
      <c r="R382" s="21"/>
      <c r="T382" s="21"/>
      <c r="W382" s="46"/>
      <c r="X382" s="92" t="s">
        <v>78</v>
      </c>
      <c r="Y382" s="92" t="s">
        <v>78</v>
      </c>
      <c r="Z382" s="92" t="s">
        <v>78</v>
      </c>
    </row>
    <row r="383" spans="1:26" ht="16" hidden="1" x14ac:dyDescent="0.4">
      <c r="A383" s="92">
        <v>1899</v>
      </c>
      <c r="B383" s="92">
        <v>1900</v>
      </c>
      <c r="E383" s="92">
        <v>50</v>
      </c>
      <c r="F383" s="92">
        <f>_xlfn.XLOOKUP(B383, DATA_Moresby_2024_ALL!B:B, DATA_Moresby_2024_ALL!G:G, "")</f>
        <v>0</v>
      </c>
      <c r="G383" s="93"/>
      <c r="H383" s="92">
        <v>8</v>
      </c>
      <c r="I383" s="92" t="str">
        <f t="shared" si="20"/>
        <v>X</v>
      </c>
      <c r="J383" s="79" t="str">
        <f>IF(G383="","X",_xlfn.XLOOKUP(B383,DATA_Moresby_2024_ALL!B:B,DATA_Moresby_2024_ALL!K:K,""))</f>
        <v>X</v>
      </c>
      <c r="K383" s="28"/>
      <c r="L383" s="29"/>
      <c r="M383" s="28"/>
      <c r="N383" s="19" t="str">
        <f t="shared" si="22"/>
        <v/>
      </c>
      <c r="O383" s="19" t="str">
        <f t="shared" si="21"/>
        <v/>
      </c>
      <c r="P383" s="19" t="str">
        <f t="shared" si="21"/>
        <v/>
      </c>
      <c r="Q383" s="19" t="str">
        <f t="shared" si="21"/>
        <v/>
      </c>
      <c r="R383" s="21"/>
      <c r="T383" s="21"/>
      <c r="W383" s="46"/>
      <c r="X383" s="92" t="s">
        <v>78</v>
      </c>
      <c r="Y383" s="92" t="s">
        <v>78</v>
      </c>
      <c r="Z383" s="92" t="s">
        <v>78</v>
      </c>
    </row>
    <row r="384" spans="1:26" ht="16" hidden="1" x14ac:dyDescent="0.4">
      <c r="A384" s="92">
        <v>1904</v>
      </c>
      <c r="B384" s="92">
        <v>1905</v>
      </c>
      <c r="E384" s="92">
        <v>50</v>
      </c>
      <c r="F384" s="92">
        <f>_xlfn.XLOOKUP(B384, DATA_Moresby_2024_ALL!B:B, DATA_Moresby_2024_ALL!G:G, "")</f>
        <v>0</v>
      </c>
      <c r="G384" s="93"/>
      <c r="H384" s="92">
        <v>8</v>
      </c>
      <c r="I384" s="92" t="str">
        <f t="shared" si="20"/>
        <v>X</v>
      </c>
      <c r="J384" s="79" t="str">
        <f>IF(G384="","X",_xlfn.XLOOKUP(B384,DATA_Moresby_2024_ALL!B:B,DATA_Moresby_2024_ALL!K:K,""))</f>
        <v>X</v>
      </c>
      <c r="K384" s="28"/>
      <c r="L384" s="29"/>
      <c r="M384" s="28"/>
      <c r="N384" s="19" t="str">
        <f t="shared" si="22"/>
        <v/>
      </c>
      <c r="O384" s="19" t="str">
        <f t="shared" si="21"/>
        <v/>
      </c>
      <c r="P384" s="19" t="str">
        <f t="shared" si="21"/>
        <v/>
      </c>
      <c r="Q384" s="19" t="str">
        <f t="shared" si="21"/>
        <v/>
      </c>
      <c r="R384" s="21"/>
      <c r="T384" s="21"/>
      <c r="W384" s="46"/>
      <c r="X384" s="92" t="s">
        <v>78</v>
      </c>
      <c r="Y384" s="92" t="s">
        <v>78</v>
      </c>
      <c r="Z384" s="92" t="s">
        <v>78</v>
      </c>
    </row>
    <row r="385" spans="1:26" ht="16" hidden="1" x14ac:dyDescent="0.4">
      <c r="A385" s="92">
        <v>1909</v>
      </c>
      <c r="B385" s="92">
        <v>1910</v>
      </c>
      <c r="E385" s="92">
        <v>50</v>
      </c>
      <c r="F385" s="92">
        <f>_xlfn.XLOOKUP(B385, DATA_Moresby_2024_ALL!B:B, DATA_Moresby_2024_ALL!G:G, "")</f>
        <v>0</v>
      </c>
      <c r="G385" s="93"/>
      <c r="H385" s="92">
        <v>8</v>
      </c>
      <c r="I385" s="92" t="str">
        <f t="shared" si="20"/>
        <v>X</v>
      </c>
      <c r="J385" s="79" t="str">
        <f>IF(G385="","X",_xlfn.XLOOKUP(B385,DATA_Moresby_2024_ALL!B:B,DATA_Moresby_2024_ALL!K:K,""))</f>
        <v>X</v>
      </c>
      <c r="K385" s="28"/>
      <c r="L385" s="29"/>
      <c r="M385" s="28"/>
      <c r="N385" s="19" t="str">
        <f t="shared" si="22"/>
        <v/>
      </c>
      <c r="O385" s="19" t="str">
        <f t="shared" si="21"/>
        <v/>
      </c>
      <c r="P385" s="19" t="str">
        <f t="shared" si="21"/>
        <v/>
      </c>
      <c r="Q385" s="19" t="str">
        <f t="shared" si="21"/>
        <v/>
      </c>
      <c r="R385" s="21"/>
      <c r="T385" s="21"/>
      <c r="W385" s="46"/>
      <c r="X385" s="92" t="s">
        <v>78</v>
      </c>
      <c r="Y385" s="92" t="s">
        <v>78</v>
      </c>
      <c r="Z385" s="92" t="s">
        <v>78</v>
      </c>
    </row>
    <row r="386" spans="1:26" ht="16" hidden="1" x14ac:dyDescent="0.4">
      <c r="A386" s="92">
        <v>1914</v>
      </c>
      <c r="B386" s="92">
        <v>1915</v>
      </c>
      <c r="E386" s="92">
        <v>50</v>
      </c>
      <c r="F386" s="92">
        <f>_xlfn.XLOOKUP(B386, DATA_Moresby_2024_ALL!B:B, DATA_Moresby_2024_ALL!G:G, "")</f>
        <v>0</v>
      </c>
      <c r="G386" s="93"/>
      <c r="H386" s="92">
        <v>8</v>
      </c>
      <c r="I386" s="92" t="str">
        <f t="shared" si="20"/>
        <v>X</v>
      </c>
      <c r="J386" s="79" t="str">
        <f>IF(G386="","X",_xlfn.XLOOKUP(B386,DATA_Moresby_2024_ALL!B:B,DATA_Moresby_2024_ALL!K:K,""))</f>
        <v>X</v>
      </c>
      <c r="K386" s="28"/>
      <c r="L386" s="29"/>
      <c r="M386" s="28"/>
      <c r="N386" s="19" t="str">
        <f t="shared" si="22"/>
        <v/>
      </c>
      <c r="O386" s="19" t="str">
        <f t="shared" si="21"/>
        <v/>
      </c>
      <c r="P386" s="19" t="str">
        <f t="shared" si="21"/>
        <v/>
      </c>
      <c r="Q386" s="19" t="str">
        <f t="shared" si="21"/>
        <v/>
      </c>
      <c r="R386" s="21"/>
      <c r="T386" s="21"/>
      <c r="W386" s="46"/>
      <c r="X386" s="92" t="s">
        <v>78</v>
      </c>
      <c r="Y386" s="92" t="s">
        <v>78</v>
      </c>
      <c r="Z386" s="92" t="s">
        <v>78</v>
      </c>
    </row>
    <row r="387" spans="1:26" ht="16" hidden="1" x14ac:dyDescent="0.4">
      <c r="A387" s="92">
        <v>1919</v>
      </c>
      <c r="B387" s="92">
        <v>1920</v>
      </c>
      <c r="E387" s="92">
        <v>50</v>
      </c>
      <c r="F387" s="92">
        <f>_xlfn.XLOOKUP(B387, DATA_Moresby_2024_ALL!B:B, DATA_Moresby_2024_ALL!G:G, "")</f>
        <v>0</v>
      </c>
      <c r="G387" s="93"/>
      <c r="H387" s="92">
        <v>8</v>
      </c>
      <c r="I387" s="92" t="str">
        <f t="shared" si="20"/>
        <v>X</v>
      </c>
      <c r="J387" s="79" t="str">
        <f>IF(G387="","X",_xlfn.XLOOKUP(B387,DATA_Moresby_2024_ALL!B:B,DATA_Moresby_2024_ALL!K:K,""))</f>
        <v>X</v>
      </c>
      <c r="K387" s="28"/>
      <c r="L387" s="29"/>
      <c r="M387" s="28"/>
      <c r="N387" s="19" t="str">
        <f t="shared" si="22"/>
        <v/>
      </c>
      <c r="O387" s="19" t="str">
        <f t="shared" si="21"/>
        <v/>
      </c>
      <c r="P387" s="19" t="str">
        <f t="shared" si="21"/>
        <v/>
      </c>
      <c r="Q387" s="19" t="str">
        <f t="shared" si="21"/>
        <v/>
      </c>
      <c r="R387" s="21"/>
      <c r="T387" s="21"/>
      <c r="W387" s="46"/>
      <c r="X387" s="92" t="s">
        <v>78</v>
      </c>
      <c r="Y387" s="92" t="s">
        <v>78</v>
      </c>
      <c r="Z387" s="92" t="s">
        <v>78</v>
      </c>
    </row>
    <row r="388" spans="1:26" ht="16" hidden="1" x14ac:dyDescent="0.4">
      <c r="A388" s="92">
        <v>1924</v>
      </c>
      <c r="B388" s="92">
        <v>1925</v>
      </c>
      <c r="E388" s="92">
        <v>50</v>
      </c>
      <c r="F388" s="92">
        <f>_xlfn.XLOOKUP(B388, DATA_Moresby_2024_ALL!B:B, DATA_Moresby_2024_ALL!G:G, "")</f>
        <v>0</v>
      </c>
      <c r="G388" s="93"/>
      <c r="H388" s="92">
        <v>8</v>
      </c>
      <c r="I388" s="92" t="str">
        <f t="shared" si="20"/>
        <v>X</v>
      </c>
      <c r="J388" s="79" t="str">
        <f>IF(G388="","X",_xlfn.XLOOKUP(B388,DATA_Moresby_2024_ALL!B:B,DATA_Moresby_2024_ALL!K:K,""))</f>
        <v>X</v>
      </c>
      <c r="K388" s="28"/>
      <c r="L388" s="29"/>
      <c r="M388" s="28"/>
      <c r="N388" s="19" t="str">
        <f t="shared" si="22"/>
        <v/>
      </c>
      <c r="O388" s="19" t="str">
        <f t="shared" si="21"/>
        <v/>
      </c>
      <c r="P388" s="19" t="str">
        <f t="shared" si="21"/>
        <v/>
      </c>
      <c r="Q388" s="19" t="str">
        <f t="shared" si="21"/>
        <v/>
      </c>
      <c r="R388" s="21"/>
      <c r="T388" s="21"/>
      <c r="W388" s="46"/>
      <c r="X388" s="92" t="s">
        <v>78</v>
      </c>
      <c r="Y388" s="92" t="s">
        <v>78</v>
      </c>
      <c r="Z388" s="92" t="s">
        <v>78</v>
      </c>
    </row>
    <row r="389" spans="1:26" ht="16" hidden="1" x14ac:dyDescent="0.4">
      <c r="A389" s="92">
        <v>1929</v>
      </c>
      <c r="B389" s="92">
        <v>1930</v>
      </c>
      <c r="E389" s="92">
        <v>50</v>
      </c>
      <c r="F389" s="92">
        <f>_xlfn.XLOOKUP(B389, DATA_Moresby_2024_ALL!B:B, DATA_Moresby_2024_ALL!G:G, "")</f>
        <v>0</v>
      </c>
      <c r="G389" s="93"/>
      <c r="H389" s="92">
        <v>8</v>
      </c>
      <c r="I389" s="92" t="str">
        <f t="shared" si="20"/>
        <v>X</v>
      </c>
      <c r="J389" s="79" t="str">
        <f>IF(G389="","X",_xlfn.XLOOKUP(B389,DATA_Moresby_2024_ALL!B:B,DATA_Moresby_2024_ALL!K:K,""))</f>
        <v>X</v>
      </c>
      <c r="K389" s="28"/>
      <c r="L389" s="29"/>
      <c r="M389" s="28"/>
      <c r="N389" s="19" t="str">
        <f t="shared" si="22"/>
        <v/>
      </c>
      <c r="O389" s="19" t="str">
        <f t="shared" si="21"/>
        <v/>
      </c>
      <c r="P389" s="19" t="str">
        <f t="shared" si="21"/>
        <v/>
      </c>
      <c r="Q389" s="19" t="str">
        <f t="shared" si="21"/>
        <v/>
      </c>
      <c r="R389" s="21"/>
      <c r="T389" s="21"/>
      <c r="W389" s="46"/>
      <c r="X389" s="92" t="s">
        <v>78</v>
      </c>
      <c r="Y389" s="92" t="s">
        <v>78</v>
      </c>
      <c r="Z389" s="92" t="s">
        <v>78</v>
      </c>
    </row>
    <row r="390" spans="1:26" ht="16" hidden="1" x14ac:dyDescent="0.4">
      <c r="A390" s="92">
        <v>1934</v>
      </c>
      <c r="B390" s="92">
        <v>1935</v>
      </c>
      <c r="E390" s="92">
        <v>50</v>
      </c>
      <c r="F390" s="92">
        <f>_xlfn.XLOOKUP(B390, DATA_Moresby_2024_ALL!B:B, DATA_Moresby_2024_ALL!G:G, "")</f>
        <v>0</v>
      </c>
      <c r="G390" s="93"/>
      <c r="H390" s="92">
        <v>8</v>
      </c>
      <c r="I390" s="92" t="str">
        <f t="shared" si="20"/>
        <v>X</v>
      </c>
      <c r="J390" s="79" t="str">
        <f>IF(G390="","X",_xlfn.XLOOKUP(B390,DATA_Moresby_2024_ALL!B:B,DATA_Moresby_2024_ALL!K:K,""))</f>
        <v>X</v>
      </c>
      <c r="K390" s="28"/>
      <c r="L390" s="29"/>
      <c r="M390" s="28"/>
      <c r="N390" s="19" t="str">
        <f t="shared" si="22"/>
        <v/>
      </c>
      <c r="O390" s="19" t="str">
        <f t="shared" si="21"/>
        <v/>
      </c>
      <c r="P390" s="19" t="str">
        <f t="shared" si="21"/>
        <v/>
      </c>
      <c r="Q390" s="19" t="str">
        <f t="shared" si="21"/>
        <v/>
      </c>
      <c r="R390" s="21"/>
      <c r="T390" s="21"/>
      <c r="W390" s="46"/>
      <c r="X390" s="92" t="s">
        <v>78</v>
      </c>
      <c r="Y390" s="92" t="s">
        <v>78</v>
      </c>
      <c r="Z390" s="92" t="s">
        <v>78</v>
      </c>
    </row>
    <row r="391" spans="1:26" ht="16" hidden="1" x14ac:dyDescent="0.4">
      <c r="A391" s="92">
        <v>1939</v>
      </c>
      <c r="B391" s="92">
        <v>1940</v>
      </c>
      <c r="E391" s="92">
        <v>50</v>
      </c>
      <c r="F391" s="92">
        <f>_xlfn.XLOOKUP(B391, DATA_Moresby_2024_ALL!B:B, DATA_Moresby_2024_ALL!G:G, "")</f>
        <v>0</v>
      </c>
      <c r="G391" s="93"/>
      <c r="H391" s="92">
        <v>8</v>
      </c>
      <c r="I391" s="92" t="str">
        <f t="shared" si="20"/>
        <v>X</v>
      </c>
      <c r="J391" s="79" t="str">
        <f>IF(G391="","X",_xlfn.XLOOKUP(B391,DATA_Moresby_2024_ALL!B:B,DATA_Moresby_2024_ALL!K:K,""))</f>
        <v>X</v>
      </c>
      <c r="K391" s="28"/>
      <c r="L391" s="29"/>
      <c r="M391" s="28"/>
      <c r="N391" s="19" t="str">
        <f t="shared" si="22"/>
        <v/>
      </c>
      <c r="O391" s="19" t="str">
        <f t="shared" si="21"/>
        <v/>
      </c>
      <c r="P391" s="19" t="str">
        <f t="shared" si="21"/>
        <v/>
      </c>
      <c r="Q391" s="19" t="str">
        <f t="shared" si="21"/>
        <v/>
      </c>
      <c r="R391" s="21"/>
      <c r="T391" s="21"/>
      <c r="W391" s="46"/>
      <c r="X391" s="92" t="s">
        <v>78</v>
      </c>
      <c r="Y391" s="92" t="s">
        <v>78</v>
      </c>
      <c r="Z391" s="92" t="s">
        <v>78</v>
      </c>
    </row>
    <row r="392" spans="1:26" ht="16" hidden="1" x14ac:dyDescent="0.4">
      <c r="A392" s="92">
        <v>1944</v>
      </c>
      <c r="B392" s="92">
        <v>1945</v>
      </c>
      <c r="E392" s="92">
        <v>50</v>
      </c>
      <c r="F392" s="92">
        <f>_xlfn.XLOOKUP(B392, DATA_Moresby_2024_ALL!B:B, DATA_Moresby_2024_ALL!G:G, "")</f>
        <v>0</v>
      </c>
      <c r="G392" s="93"/>
      <c r="H392" s="92">
        <v>8</v>
      </c>
      <c r="I392" s="92" t="str">
        <f t="shared" si="20"/>
        <v>X</v>
      </c>
      <c r="J392" s="79" t="str">
        <f>IF(G392="","X",_xlfn.XLOOKUP(B392,DATA_Moresby_2024_ALL!B:B,DATA_Moresby_2024_ALL!K:K,""))</f>
        <v>X</v>
      </c>
      <c r="K392" s="28"/>
      <c r="L392" s="29"/>
      <c r="M392" s="28"/>
      <c r="N392" s="19" t="str">
        <f t="shared" si="22"/>
        <v/>
      </c>
      <c r="O392" s="19" t="str">
        <f t="shared" si="21"/>
        <v/>
      </c>
      <c r="P392" s="19" t="str">
        <f t="shared" si="21"/>
        <v/>
      </c>
      <c r="Q392" s="19" t="str">
        <f t="shared" si="21"/>
        <v/>
      </c>
      <c r="R392" s="21"/>
      <c r="T392" s="21"/>
      <c r="W392" s="46"/>
      <c r="X392" s="92" t="s">
        <v>78</v>
      </c>
      <c r="Y392" s="92" t="s">
        <v>78</v>
      </c>
      <c r="Z392" s="92" t="s">
        <v>78</v>
      </c>
    </row>
    <row r="393" spans="1:26" ht="16" hidden="1" x14ac:dyDescent="0.4">
      <c r="A393" s="92">
        <v>1949</v>
      </c>
      <c r="B393" s="92">
        <v>1950</v>
      </c>
      <c r="E393" s="92">
        <v>50</v>
      </c>
      <c r="F393" s="92">
        <f>_xlfn.XLOOKUP(B393, DATA_Moresby_2024_ALL!B:B, DATA_Moresby_2024_ALL!G:G, "")</f>
        <v>0</v>
      </c>
      <c r="G393" s="93"/>
      <c r="H393" s="92">
        <v>8</v>
      </c>
      <c r="I393" s="92" t="str">
        <f t="shared" si="20"/>
        <v>X</v>
      </c>
      <c r="J393" s="79" t="str">
        <f>IF(G393="","X",_xlfn.XLOOKUP(B393,DATA_Moresby_2024_ALL!B:B,DATA_Moresby_2024_ALL!K:K,""))</f>
        <v>X</v>
      </c>
      <c r="K393" s="28"/>
      <c r="L393" s="29"/>
      <c r="M393" s="28"/>
      <c r="N393" s="19" t="str">
        <f t="shared" si="22"/>
        <v/>
      </c>
      <c r="O393" s="19" t="str">
        <f t="shared" si="21"/>
        <v/>
      </c>
      <c r="P393" s="19" t="str">
        <f t="shared" si="21"/>
        <v/>
      </c>
      <c r="Q393" s="19" t="str">
        <f t="shared" si="21"/>
        <v/>
      </c>
      <c r="R393" s="21"/>
      <c r="T393" s="21"/>
      <c r="W393" s="46"/>
      <c r="X393" s="92" t="s">
        <v>78</v>
      </c>
      <c r="Y393" s="92" t="s">
        <v>78</v>
      </c>
      <c r="Z393" s="92" t="s">
        <v>78</v>
      </c>
    </row>
    <row r="394" spans="1:26" ht="16" hidden="1" x14ac:dyDescent="0.4">
      <c r="A394" s="92">
        <v>1954</v>
      </c>
      <c r="B394" s="92">
        <v>1955</v>
      </c>
      <c r="E394" s="92">
        <v>50</v>
      </c>
      <c r="F394" s="92">
        <f>_xlfn.XLOOKUP(B394, DATA_Moresby_2024_ALL!B:B, DATA_Moresby_2024_ALL!G:G, "")</f>
        <v>0</v>
      </c>
      <c r="G394" s="93"/>
      <c r="H394" s="92">
        <v>8</v>
      </c>
      <c r="I394" s="92" t="str">
        <f t="shared" si="20"/>
        <v>X</v>
      </c>
      <c r="J394" s="79" t="str">
        <f>IF(G394="","X",_xlfn.XLOOKUP(B394,DATA_Moresby_2024_ALL!B:B,DATA_Moresby_2024_ALL!K:K,""))</f>
        <v>X</v>
      </c>
      <c r="K394" s="28"/>
      <c r="L394" s="29"/>
      <c r="M394" s="28"/>
      <c r="N394" s="19" t="str">
        <f t="shared" si="22"/>
        <v/>
      </c>
      <c r="O394" s="19" t="str">
        <f t="shared" si="21"/>
        <v/>
      </c>
      <c r="P394" s="19" t="str">
        <f t="shared" si="21"/>
        <v/>
      </c>
      <c r="Q394" s="19" t="str">
        <f t="shared" si="21"/>
        <v/>
      </c>
      <c r="R394" s="21"/>
      <c r="T394" s="21"/>
      <c r="W394" s="46"/>
      <c r="X394" s="92" t="s">
        <v>78</v>
      </c>
      <c r="Y394" s="92" t="s">
        <v>78</v>
      </c>
      <c r="Z394" s="92" t="s">
        <v>78</v>
      </c>
    </row>
    <row r="395" spans="1:26" ht="16" hidden="1" x14ac:dyDescent="0.4">
      <c r="A395" s="92">
        <v>1959</v>
      </c>
      <c r="B395" s="92">
        <v>1960</v>
      </c>
      <c r="E395" s="92">
        <v>50</v>
      </c>
      <c r="F395" s="92">
        <f>_xlfn.XLOOKUP(B395, DATA_Moresby_2024_ALL!B:B, DATA_Moresby_2024_ALL!G:G, "")</f>
        <v>0</v>
      </c>
      <c r="G395" s="93"/>
      <c r="H395" s="92">
        <v>8</v>
      </c>
      <c r="I395" s="92" t="str">
        <f t="shared" si="20"/>
        <v>X</v>
      </c>
      <c r="J395" s="79" t="str">
        <f>IF(G395="","X",_xlfn.XLOOKUP(B395,DATA_Moresby_2024_ALL!B:B,DATA_Moresby_2024_ALL!K:K,""))</f>
        <v>X</v>
      </c>
      <c r="K395" s="28"/>
      <c r="L395" s="29"/>
      <c r="M395" s="28"/>
      <c r="N395" s="19" t="str">
        <f t="shared" si="22"/>
        <v/>
      </c>
      <c r="O395" s="19" t="str">
        <f t="shared" si="21"/>
        <v/>
      </c>
      <c r="P395" s="19" t="str">
        <f t="shared" si="21"/>
        <v/>
      </c>
      <c r="Q395" s="19" t="str">
        <f t="shared" si="21"/>
        <v/>
      </c>
      <c r="R395" s="21"/>
      <c r="T395" s="21"/>
      <c r="W395" s="46"/>
      <c r="X395" s="92" t="s">
        <v>78</v>
      </c>
      <c r="Y395" s="92" t="s">
        <v>78</v>
      </c>
      <c r="Z395" s="92" t="s">
        <v>78</v>
      </c>
    </row>
    <row r="396" spans="1:26" ht="16" hidden="1" x14ac:dyDescent="0.4">
      <c r="A396" s="92">
        <v>1964</v>
      </c>
      <c r="B396" s="92">
        <v>1965</v>
      </c>
      <c r="E396" s="92">
        <v>50</v>
      </c>
      <c r="F396" s="92">
        <f>_xlfn.XLOOKUP(B396, DATA_Moresby_2024_ALL!B:B, DATA_Moresby_2024_ALL!G:G, "")</f>
        <v>0</v>
      </c>
      <c r="G396" s="93"/>
      <c r="H396" s="92">
        <v>8</v>
      </c>
      <c r="I396" s="92" t="str">
        <f t="shared" si="20"/>
        <v>X</v>
      </c>
      <c r="J396" s="79" t="str">
        <f>IF(G396="","X",_xlfn.XLOOKUP(B396,DATA_Moresby_2024_ALL!B:B,DATA_Moresby_2024_ALL!K:K,""))</f>
        <v>X</v>
      </c>
      <c r="K396" s="28"/>
      <c r="L396" s="29"/>
      <c r="M396" s="28"/>
      <c r="N396" s="19" t="str">
        <f t="shared" si="22"/>
        <v/>
      </c>
      <c r="O396" s="19" t="str">
        <f t="shared" si="21"/>
        <v/>
      </c>
      <c r="P396" s="19" t="str">
        <f t="shared" si="21"/>
        <v/>
      </c>
      <c r="Q396" s="19" t="str">
        <f t="shared" si="21"/>
        <v/>
      </c>
      <c r="R396" s="21"/>
      <c r="T396" s="21"/>
      <c r="W396" s="46"/>
      <c r="X396" s="92" t="s">
        <v>78</v>
      </c>
      <c r="Y396" s="92" t="s">
        <v>78</v>
      </c>
      <c r="Z396" s="92" t="s">
        <v>78</v>
      </c>
    </row>
    <row r="397" spans="1:26" ht="16" hidden="1" x14ac:dyDescent="0.4">
      <c r="A397" s="92">
        <v>1969</v>
      </c>
      <c r="B397" s="92">
        <v>1970</v>
      </c>
      <c r="E397" s="92">
        <v>50</v>
      </c>
      <c r="F397" s="92">
        <f>_xlfn.XLOOKUP(B397, DATA_Moresby_2024_ALL!B:B, DATA_Moresby_2024_ALL!G:G, "")</f>
        <v>0</v>
      </c>
      <c r="G397" s="93"/>
      <c r="H397" s="92">
        <v>8</v>
      </c>
      <c r="I397" s="92" t="str">
        <f t="shared" si="20"/>
        <v>X</v>
      </c>
      <c r="J397" s="79" t="str">
        <f>IF(G397="","X",_xlfn.XLOOKUP(B397,DATA_Moresby_2024_ALL!B:B,DATA_Moresby_2024_ALL!K:K,""))</f>
        <v>X</v>
      </c>
      <c r="K397" s="28"/>
      <c r="L397" s="29"/>
      <c r="M397" s="28"/>
      <c r="N397" s="19" t="str">
        <f t="shared" si="22"/>
        <v/>
      </c>
      <c r="O397" s="19" t="str">
        <f t="shared" si="21"/>
        <v/>
      </c>
      <c r="P397" s="19" t="str">
        <f t="shared" si="21"/>
        <v/>
      </c>
      <c r="Q397" s="19" t="str">
        <f t="shared" si="21"/>
        <v/>
      </c>
      <c r="R397" s="21"/>
      <c r="T397" s="21"/>
      <c r="W397" s="46"/>
      <c r="X397" s="92" t="s">
        <v>78</v>
      </c>
      <c r="Y397" s="92" t="s">
        <v>78</v>
      </c>
      <c r="Z397" s="92" t="s">
        <v>78</v>
      </c>
    </row>
    <row r="398" spans="1:26" ht="16" hidden="1" x14ac:dyDescent="0.4">
      <c r="A398" s="92">
        <v>1974</v>
      </c>
      <c r="B398" s="92">
        <v>1975</v>
      </c>
      <c r="E398" s="92">
        <v>50</v>
      </c>
      <c r="F398" s="92">
        <f>_xlfn.XLOOKUP(B398, DATA_Moresby_2024_ALL!B:B, DATA_Moresby_2024_ALL!G:G, "")</f>
        <v>0</v>
      </c>
      <c r="G398" s="93"/>
      <c r="H398" s="92">
        <v>8</v>
      </c>
      <c r="I398" s="92" t="str">
        <f t="shared" si="20"/>
        <v>X</v>
      </c>
      <c r="J398" s="79" t="str">
        <f>IF(G398="","X",_xlfn.XLOOKUP(B398,DATA_Moresby_2024_ALL!B:B,DATA_Moresby_2024_ALL!K:K,""))</f>
        <v>X</v>
      </c>
      <c r="K398" s="28"/>
      <c r="L398" s="29"/>
      <c r="M398" s="28"/>
      <c r="N398" s="19" t="str">
        <f t="shared" si="22"/>
        <v/>
      </c>
      <c r="O398" s="19" t="str">
        <f t="shared" si="21"/>
        <v/>
      </c>
      <c r="P398" s="19" t="str">
        <f t="shared" si="21"/>
        <v/>
      </c>
      <c r="Q398" s="19" t="str">
        <f t="shared" si="21"/>
        <v/>
      </c>
      <c r="R398" s="21"/>
      <c r="T398" s="21"/>
      <c r="W398" s="46"/>
      <c r="X398" s="92" t="s">
        <v>78</v>
      </c>
      <c r="Y398" s="92" t="s">
        <v>78</v>
      </c>
      <c r="Z398" s="92" t="s">
        <v>78</v>
      </c>
    </row>
    <row r="399" spans="1:26" ht="16" hidden="1" x14ac:dyDescent="0.4">
      <c r="A399" s="92">
        <v>1979</v>
      </c>
      <c r="B399" s="92">
        <v>1980</v>
      </c>
      <c r="E399" s="92">
        <v>50</v>
      </c>
      <c r="F399" s="92">
        <f>_xlfn.XLOOKUP(B399, DATA_Moresby_2024_ALL!B:B, DATA_Moresby_2024_ALL!G:G, "")</f>
        <v>0</v>
      </c>
      <c r="G399" s="93"/>
      <c r="H399" s="92">
        <v>8</v>
      </c>
      <c r="I399" s="92" t="str">
        <f t="shared" si="20"/>
        <v>X</v>
      </c>
      <c r="J399" s="79" t="str">
        <f>IF(G399="","X",_xlfn.XLOOKUP(B399,DATA_Moresby_2024_ALL!B:B,DATA_Moresby_2024_ALL!K:K,""))</f>
        <v>X</v>
      </c>
      <c r="K399" s="28"/>
      <c r="L399" s="29"/>
      <c r="M399" s="28"/>
      <c r="N399" s="19" t="str">
        <f t="shared" si="22"/>
        <v/>
      </c>
      <c r="O399" s="19" t="str">
        <f t="shared" si="21"/>
        <v/>
      </c>
      <c r="P399" s="19" t="str">
        <f t="shared" si="21"/>
        <v/>
      </c>
      <c r="Q399" s="19" t="str">
        <f t="shared" si="21"/>
        <v/>
      </c>
      <c r="R399" s="21"/>
      <c r="T399" s="21"/>
      <c r="W399" s="46"/>
      <c r="X399" s="92" t="s">
        <v>78</v>
      </c>
      <c r="Y399" s="92" t="s">
        <v>78</v>
      </c>
      <c r="Z399" s="92" t="s">
        <v>78</v>
      </c>
    </row>
    <row r="400" spans="1:26" ht="16" hidden="1" x14ac:dyDescent="0.4">
      <c r="A400" s="92">
        <v>1984</v>
      </c>
      <c r="B400" s="92">
        <v>1985</v>
      </c>
      <c r="E400" s="92">
        <v>50</v>
      </c>
      <c r="F400" s="92">
        <f>_xlfn.XLOOKUP(B400, DATA_Moresby_2024_ALL!B:B, DATA_Moresby_2024_ALL!G:G, "")</f>
        <v>0</v>
      </c>
      <c r="G400" s="93"/>
      <c r="H400" s="92">
        <v>8</v>
      </c>
      <c r="I400" s="92" t="str">
        <f t="shared" si="20"/>
        <v>X</v>
      </c>
      <c r="J400" s="79" t="str">
        <f>IF(G400="","X",_xlfn.XLOOKUP(B400,DATA_Moresby_2024_ALL!B:B,DATA_Moresby_2024_ALL!K:K,""))</f>
        <v>X</v>
      </c>
      <c r="K400" s="28"/>
      <c r="L400" s="29"/>
      <c r="M400" s="28"/>
      <c r="N400" s="19" t="str">
        <f t="shared" si="22"/>
        <v/>
      </c>
      <c r="O400" s="19" t="str">
        <f t="shared" si="21"/>
        <v/>
      </c>
      <c r="P400" s="19" t="str">
        <f t="shared" si="21"/>
        <v/>
      </c>
      <c r="Q400" s="19" t="str">
        <f t="shared" si="21"/>
        <v/>
      </c>
      <c r="R400" s="21"/>
      <c r="T400" s="21"/>
      <c r="W400" s="46"/>
      <c r="X400" s="92" t="s">
        <v>78</v>
      </c>
      <c r="Y400" s="92" t="s">
        <v>78</v>
      </c>
      <c r="Z400" s="92" t="s">
        <v>78</v>
      </c>
    </row>
    <row r="401" spans="1:26" ht="16" hidden="1" x14ac:dyDescent="0.4">
      <c r="A401" s="92">
        <v>1989</v>
      </c>
      <c r="B401" s="92">
        <v>1990</v>
      </c>
      <c r="E401" s="92">
        <v>50</v>
      </c>
      <c r="F401" s="92">
        <f>_xlfn.XLOOKUP(B401, DATA_Moresby_2024_ALL!B:B, DATA_Moresby_2024_ALL!G:G, "")</f>
        <v>0</v>
      </c>
      <c r="G401" s="93"/>
      <c r="H401" s="92">
        <v>8</v>
      </c>
      <c r="I401" s="92" t="str">
        <f t="shared" si="20"/>
        <v>X</v>
      </c>
      <c r="J401" s="79" t="str">
        <f>IF(G401="","X",_xlfn.XLOOKUP(B401,DATA_Moresby_2024_ALL!B:B,DATA_Moresby_2024_ALL!K:K,""))</f>
        <v>X</v>
      </c>
      <c r="K401" s="28"/>
      <c r="L401" s="29"/>
      <c r="M401" s="28"/>
      <c r="N401" s="19" t="str">
        <f t="shared" si="22"/>
        <v/>
      </c>
      <c r="O401" s="19" t="str">
        <f t="shared" si="21"/>
        <v/>
      </c>
      <c r="P401" s="19" t="str">
        <f t="shared" si="21"/>
        <v/>
      </c>
      <c r="Q401" s="19" t="str">
        <f t="shared" si="21"/>
        <v/>
      </c>
      <c r="R401" s="21"/>
      <c r="T401" s="21"/>
      <c r="W401" s="46"/>
      <c r="X401" s="92" t="s">
        <v>78</v>
      </c>
      <c r="Y401" s="92" t="s">
        <v>78</v>
      </c>
      <c r="Z401" s="92" t="s">
        <v>78</v>
      </c>
    </row>
    <row r="402" spans="1:26" ht="16" hidden="1" x14ac:dyDescent="0.4">
      <c r="A402" s="92">
        <v>1994</v>
      </c>
      <c r="B402" s="92">
        <v>1995</v>
      </c>
      <c r="E402" s="92">
        <v>50</v>
      </c>
      <c r="F402" s="92">
        <f>_xlfn.XLOOKUP(B402, DATA_Moresby_2024_ALL!B:B, DATA_Moresby_2024_ALL!G:G, "")</f>
        <v>0</v>
      </c>
      <c r="G402" s="93"/>
      <c r="H402" s="92">
        <v>8</v>
      </c>
      <c r="I402" s="92" t="str">
        <f t="shared" si="20"/>
        <v>X</v>
      </c>
      <c r="J402" s="79" t="str">
        <f>IF(G402="","X",_xlfn.XLOOKUP(B402,DATA_Moresby_2024_ALL!B:B,DATA_Moresby_2024_ALL!K:K,""))</f>
        <v>X</v>
      </c>
      <c r="K402" s="28"/>
      <c r="L402" s="29"/>
      <c r="M402" s="28"/>
      <c r="N402" s="19" t="str">
        <f t="shared" si="22"/>
        <v/>
      </c>
      <c r="O402" s="19" t="str">
        <f t="shared" si="21"/>
        <v/>
      </c>
      <c r="P402" s="19" t="str">
        <f t="shared" si="21"/>
        <v/>
      </c>
      <c r="Q402" s="19" t="str">
        <f t="shared" si="21"/>
        <v/>
      </c>
      <c r="R402" s="21"/>
      <c r="T402" s="21"/>
      <c r="W402" s="46"/>
      <c r="X402" s="92" t="s">
        <v>78</v>
      </c>
      <c r="Y402" s="92" t="s">
        <v>78</v>
      </c>
      <c r="Z402" s="92" t="s">
        <v>78</v>
      </c>
    </row>
    <row r="403" spans="1:26" ht="16" hidden="1" x14ac:dyDescent="0.4">
      <c r="A403" s="92">
        <v>1999</v>
      </c>
      <c r="B403" s="92">
        <v>2000</v>
      </c>
      <c r="E403" s="92">
        <v>50</v>
      </c>
      <c r="F403" s="92">
        <f>_xlfn.XLOOKUP(B403, DATA_Moresby_2024_ALL!B:B, DATA_Moresby_2024_ALL!G:G, "")</f>
        <v>0</v>
      </c>
      <c r="G403" s="93"/>
      <c r="H403" s="92">
        <v>8</v>
      </c>
      <c r="I403" s="92" t="str">
        <f t="shared" ref="I403:I466" si="23">IF(G403="","X","")</f>
        <v>X</v>
      </c>
      <c r="J403" s="79" t="str">
        <f>IF(G403="","X",_xlfn.XLOOKUP(B403,DATA_Moresby_2024_ALL!B:B,DATA_Moresby_2024_ALL!K:K,""))</f>
        <v>X</v>
      </c>
      <c r="K403" s="28"/>
      <c r="L403" s="29"/>
      <c r="M403" s="28"/>
      <c r="N403" s="19" t="str">
        <f t="shared" si="22"/>
        <v/>
      </c>
      <c r="O403" s="19" t="str">
        <f t="shared" si="21"/>
        <v/>
      </c>
      <c r="P403" s="19" t="str">
        <f t="shared" si="21"/>
        <v/>
      </c>
      <c r="Q403" s="19" t="str">
        <f t="shared" si="21"/>
        <v/>
      </c>
      <c r="R403" s="21"/>
      <c r="T403" s="21"/>
      <c r="W403" s="46"/>
      <c r="X403" s="92" t="s">
        <v>78</v>
      </c>
      <c r="Y403" s="92" t="s">
        <v>78</v>
      </c>
      <c r="Z403" s="92" t="s">
        <v>78</v>
      </c>
    </row>
    <row r="404" spans="1:26" ht="16" hidden="1" x14ac:dyDescent="0.4">
      <c r="A404" s="92">
        <v>2004</v>
      </c>
      <c r="B404" s="92">
        <v>2005</v>
      </c>
      <c r="E404" s="92">
        <v>50</v>
      </c>
      <c r="F404" s="92">
        <f>_xlfn.XLOOKUP(B404, DATA_Moresby_2024_ALL!B:B, DATA_Moresby_2024_ALL!G:G, "")</f>
        <v>0</v>
      </c>
      <c r="G404" s="93"/>
      <c r="H404" s="92">
        <v>8</v>
      </c>
      <c r="I404" s="92" t="str">
        <f t="shared" si="23"/>
        <v>X</v>
      </c>
      <c r="J404" s="79" t="str">
        <f>IF(G404="","X",_xlfn.XLOOKUP(B404,DATA_Moresby_2024_ALL!B:B,DATA_Moresby_2024_ALL!K:K,""))</f>
        <v>X</v>
      </c>
      <c r="K404" s="28"/>
      <c r="L404" s="29"/>
      <c r="M404" s="28"/>
      <c r="N404" s="19" t="str">
        <f t="shared" si="22"/>
        <v/>
      </c>
      <c r="O404" s="19" t="str">
        <f t="shared" si="21"/>
        <v/>
      </c>
      <c r="P404" s="19" t="str">
        <f t="shared" si="21"/>
        <v/>
      </c>
      <c r="Q404" s="19" t="str">
        <f t="shared" si="21"/>
        <v/>
      </c>
      <c r="R404" s="21"/>
      <c r="T404" s="21"/>
      <c r="W404" s="46"/>
      <c r="X404" s="92" t="s">
        <v>78</v>
      </c>
      <c r="Y404" s="92" t="s">
        <v>78</v>
      </c>
      <c r="Z404" s="92" t="s">
        <v>78</v>
      </c>
    </row>
    <row r="405" spans="1:26" ht="16" hidden="1" x14ac:dyDescent="0.4">
      <c r="A405" s="92">
        <v>2009</v>
      </c>
      <c r="B405" s="92">
        <v>2010</v>
      </c>
      <c r="E405" s="92">
        <v>50</v>
      </c>
      <c r="F405" s="92">
        <f>_xlfn.XLOOKUP(B405, DATA_Moresby_2024_ALL!B:B, DATA_Moresby_2024_ALL!G:G, "")</f>
        <v>0</v>
      </c>
      <c r="G405" s="93"/>
      <c r="H405" s="92">
        <v>8</v>
      </c>
      <c r="I405" s="92" t="str">
        <f t="shared" si="23"/>
        <v>X</v>
      </c>
      <c r="J405" s="79" t="str">
        <f>IF(G405="","X",_xlfn.XLOOKUP(B405,DATA_Moresby_2024_ALL!B:B,DATA_Moresby_2024_ALL!K:K,""))</f>
        <v>X</v>
      </c>
      <c r="K405" s="28"/>
      <c r="L405" s="29"/>
      <c r="M405" s="28"/>
      <c r="N405" s="19" t="str">
        <f t="shared" si="22"/>
        <v/>
      </c>
      <c r="O405" s="19" t="str">
        <f t="shared" si="21"/>
        <v/>
      </c>
      <c r="P405" s="19" t="str">
        <f t="shared" si="21"/>
        <v/>
      </c>
      <c r="Q405" s="19" t="str">
        <f t="shared" si="21"/>
        <v/>
      </c>
      <c r="R405" s="21"/>
      <c r="T405" s="21"/>
      <c r="W405" s="46"/>
      <c r="X405" s="92" t="s">
        <v>78</v>
      </c>
      <c r="Y405" s="92" t="s">
        <v>78</v>
      </c>
      <c r="Z405" s="92" t="s">
        <v>78</v>
      </c>
    </row>
    <row r="406" spans="1:26" ht="16" hidden="1" x14ac:dyDescent="0.4">
      <c r="A406" s="92">
        <v>2014</v>
      </c>
      <c r="B406" s="92">
        <v>2015</v>
      </c>
      <c r="E406" s="92">
        <v>50</v>
      </c>
      <c r="F406" s="92">
        <f>_xlfn.XLOOKUP(B406, DATA_Moresby_2024_ALL!B:B, DATA_Moresby_2024_ALL!G:G, "")</f>
        <v>0</v>
      </c>
      <c r="G406" s="93"/>
      <c r="H406" s="92">
        <v>8</v>
      </c>
      <c r="I406" s="92" t="str">
        <f t="shared" si="23"/>
        <v>X</v>
      </c>
      <c r="J406" s="79" t="str">
        <f>IF(G406="","X",_xlfn.XLOOKUP(B406,DATA_Moresby_2024_ALL!B:B,DATA_Moresby_2024_ALL!K:K,""))</f>
        <v>X</v>
      </c>
      <c r="K406" s="28"/>
      <c r="L406" s="29"/>
      <c r="M406" s="28"/>
      <c r="N406" s="19" t="str">
        <f t="shared" si="22"/>
        <v/>
      </c>
      <c r="O406" s="19" t="str">
        <f t="shared" si="21"/>
        <v/>
      </c>
      <c r="P406" s="19" t="str">
        <f t="shared" si="21"/>
        <v/>
      </c>
      <c r="Q406" s="19" t="str">
        <f t="shared" si="21"/>
        <v/>
      </c>
      <c r="R406" s="21"/>
      <c r="T406" s="21"/>
      <c r="W406" s="46"/>
      <c r="X406" s="92" t="s">
        <v>78</v>
      </c>
      <c r="Y406" s="92" t="s">
        <v>78</v>
      </c>
      <c r="Z406" s="92" t="s">
        <v>78</v>
      </c>
    </row>
    <row r="407" spans="1:26" ht="16" hidden="1" x14ac:dyDescent="0.4">
      <c r="A407" s="92">
        <v>2019</v>
      </c>
      <c r="B407" s="92">
        <v>2020</v>
      </c>
      <c r="E407" s="92">
        <v>50</v>
      </c>
      <c r="F407" s="92">
        <f>_xlfn.XLOOKUP(B407, DATA_Moresby_2024_ALL!B:B, DATA_Moresby_2024_ALL!G:G, "")</f>
        <v>0</v>
      </c>
      <c r="G407" s="93"/>
      <c r="H407" s="92">
        <v>8</v>
      </c>
      <c r="I407" s="92" t="str">
        <f t="shared" si="23"/>
        <v>X</v>
      </c>
      <c r="J407" s="79" t="str">
        <f>IF(G407="","X",_xlfn.XLOOKUP(B407,DATA_Moresby_2024_ALL!B:B,DATA_Moresby_2024_ALL!K:K,""))</f>
        <v>X</v>
      </c>
      <c r="K407" s="28"/>
      <c r="L407" s="29"/>
      <c r="M407" s="28"/>
      <c r="N407" s="19" t="str">
        <f t="shared" si="22"/>
        <v/>
      </c>
      <c r="O407" s="19" t="str">
        <f t="shared" si="21"/>
        <v/>
      </c>
      <c r="P407" s="19" t="str">
        <f t="shared" si="21"/>
        <v/>
      </c>
      <c r="Q407" s="19" t="str">
        <f t="shared" si="21"/>
        <v/>
      </c>
      <c r="R407" s="21"/>
      <c r="T407" s="21"/>
      <c r="W407" s="46"/>
      <c r="X407" s="92" t="s">
        <v>78</v>
      </c>
      <c r="Y407" s="92" t="s">
        <v>78</v>
      </c>
      <c r="Z407" s="92" t="s">
        <v>78</v>
      </c>
    </row>
    <row r="408" spans="1:26" ht="16" hidden="1" x14ac:dyDescent="0.4">
      <c r="A408" s="92">
        <v>2024</v>
      </c>
      <c r="B408" s="92">
        <v>2025</v>
      </c>
      <c r="E408" s="92">
        <v>50</v>
      </c>
      <c r="F408" s="92">
        <f>_xlfn.XLOOKUP(B408, DATA_Moresby_2024_ALL!B:B, DATA_Moresby_2024_ALL!G:G, "")</f>
        <v>0</v>
      </c>
      <c r="G408" s="93"/>
      <c r="H408" s="92">
        <v>8</v>
      </c>
      <c r="I408" s="92" t="str">
        <f t="shared" si="23"/>
        <v>X</v>
      </c>
      <c r="J408" s="79" t="str">
        <f>IF(G408="","X",_xlfn.XLOOKUP(B408,DATA_Moresby_2024_ALL!B:B,DATA_Moresby_2024_ALL!K:K,""))</f>
        <v>X</v>
      </c>
      <c r="K408" s="28"/>
      <c r="L408" s="29"/>
      <c r="M408" s="28"/>
      <c r="N408" s="19" t="str">
        <f t="shared" si="22"/>
        <v/>
      </c>
      <c r="O408" s="19" t="str">
        <f t="shared" si="21"/>
        <v/>
      </c>
      <c r="P408" s="19" t="str">
        <f t="shared" si="21"/>
        <v/>
      </c>
      <c r="Q408" s="19" t="str">
        <f t="shared" si="21"/>
        <v/>
      </c>
      <c r="R408" s="21"/>
      <c r="T408" s="21"/>
      <c r="W408" s="46"/>
      <c r="X408" s="92" t="s">
        <v>78</v>
      </c>
      <c r="Y408" s="92" t="s">
        <v>78</v>
      </c>
      <c r="Z408" s="92" t="s">
        <v>78</v>
      </c>
    </row>
    <row r="409" spans="1:26" ht="16" hidden="1" x14ac:dyDescent="0.4">
      <c r="A409" s="92">
        <v>2029</v>
      </c>
      <c r="B409" s="92">
        <v>2030</v>
      </c>
      <c r="E409" s="92">
        <v>50</v>
      </c>
      <c r="F409" s="92">
        <f>_xlfn.XLOOKUP(B409, DATA_Moresby_2024_ALL!B:B, DATA_Moresby_2024_ALL!G:G, "")</f>
        <v>0</v>
      </c>
      <c r="G409" s="93"/>
      <c r="H409" s="92">
        <v>8</v>
      </c>
      <c r="I409" s="92" t="str">
        <f t="shared" si="23"/>
        <v>X</v>
      </c>
      <c r="J409" s="79" t="str">
        <f>IF(G409="","X",_xlfn.XLOOKUP(B409,DATA_Moresby_2024_ALL!B:B,DATA_Moresby_2024_ALL!K:K,""))</f>
        <v>X</v>
      </c>
      <c r="K409" s="28"/>
      <c r="L409" s="29"/>
      <c r="M409" s="28"/>
      <c r="N409" s="19" t="str">
        <f t="shared" si="22"/>
        <v/>
      </c>
      <c r="O409" s="19" t="str">
        <f t="shared" si="21"/>
        <v/>
      </c>
      <c r="P409" s="19" t="str">
        <f t="shared" si="21"/>
        <v/>
      </c>
      <c r="Q409" s="19" t="str">
        <f t="shared" si="21"/>
        <v/>
      </c>
      <c r="R409" s="21"/>
      <c r="T409" s="21"/>
      <c r="W409" s="46"/>
      <c r="X409" s="92" t="s">
        <v>78</v>
      </c>
      <c r="Y409" s="92" t="s">
        <v>78</v>
      </c>
      <c r="Z409" s="92" t="s">
        <v>78</v>
      </c>
    </row>
    <row r="410" spans="1:26" ht="16" hidden="1" x14ac:dyDescent="0.4">
      <c r="A410" s="92">
        <v>2034</v>
      </c>
      <c r="B410" s="92">
        <v>2035</v>
      </c>
      <c r="E410" s="92">
        <v>50</v>
      </c>
      <c r="F410" s="92">
        <f>_xlfn.XLOOKUP(B410, DATA_Moresby_2024_ALL!B:B, DATA_Moresby_2024_ALL!G:G, "")</f>
        <v>0</v>
      </c>
      <c r="G410" s="93"/>
      <c r="H410" s="92">
        <v>8</v>
      </c>
      <c r="I410" s="92" t="str">
        <f t="shared" si="23"/>
        <v>X</v>
      </c>
      <c r="J410" s="79" t="str">
        <f>IF(G410="","X",_xlfn.XLOOKUP(B410,DATA_Moresby_2024_ALL!B:B,DATA_Moresby_2024_ALL!K:K,""))</f>
        <v>X</v>
      </c>
      <c r="K410" s="28"/>
      <c r="L410" s="29"/>
      <c r="M410" s="28"/>
      <c r="N410" s="19" t="str">
        <f t="shared" si="22"/>
        <v/>
      </c>
      <c r="O410" s="19" t="str">
        <f t="shared" si="21"/>
        <v/>
      </c>
      <c r="P410" s="19" t="str">
        <f t="shared" si="21"/>
        <v/>
      </c>
      <c r="Q410" s="19" t="str">
        <f t="shared" si="21"/>
        <v/>
      </c>
      <c r="R410" s="21"/>
      <c r="T410" s="21"/>
      <c r="W410" s="46"/>
      <c r="X410" s="92" t="s">
        <v>78</v>
      </c>
      <c r="Y410" s="92" t="s">
        <v>78</v>
      </c>
      <c r="Z410" s="92" t="s">
        <v>78</v>
      </c>
    </row>
    <row r="411" spans="1:26" ht="16" hidden="1" x14ac:dyDescent="0.4">
      <c r="A411" s="92">
        <v>2039</v>
      </c>
      <c r="B411" s="92">
        <v>2040</v>
      </c>
      <c r="E411" s="92">
        <v>50</v>
      </c>
      <c r="F411" s="92">
        <f>_xlfn.XLOOKUP(B411, DATA_Moresby_2024_ALL!B:B, DATA_Moresby_2024_ALL!G:G, "")</f>
        <v>0</v>
      </c>
      <c r="G411" s="93"/>
      <c r="H411" s="92">
        <v>8</v>
      </c>
      <c r="I411" s="92" t="str">
        <f t="shared" si="23"/>
        <v>X</v>
      </c>
      <c r="J411" s="79" t="str">
        <f>IF(G411="","X",_xlfn.XLOOKUP(B411,DATA_Moresby_2024_ALL!B:B,DATA_Moresby_2024_ALL!K:K,""))</f>
        <v>X</v>
      </c>
      <c r="K411" s="28"/>
      <c r="L411" s="29"/>
      <c r="M411" s="28"/>
      <c r="N411" s="19" t="str">
        <f t="shared" si="22"/>
        <v/>
      </c>
      <c r="O411" s="19" t="str">
        <f t="shared" si="21"/>
        <v/>
      </c>
      <c r="P411" s="19" t="str">
        <f t="shared" si="21"/>
        <v/>
      </c>
      <c r="Q411" s="19" t="str">
        <f t="shared" si="21"/>
        <v/>
      </c>
      <c r="R411" s="21"/>
      <c r="T411" s="21"/>
      <c r="W411" s="46"/>
      <c r="X411" s="92" t="s">
        <v>78</v>
      </c>
      <c r="Y411" s="92" t="s">
        <v>78</v>
      </c>
      <c r="Z411" s="92" t="s">
        <v>78</v>
      </c>
    </row>
    <row r="412" spans="1:26" ht="16" hidden="1" x14ac:dyDescent="0.4">
      <c r="A412" s="92">
        <v>2044</v>
      </c>
      <c r="B412" s="92">
        <v>2045</v>
      </c>
      <c r="E412" s="92">
        <v>50</v>
      </c>
      <c r="F412" s="92">
        <f>_xlfn.XLOOKUP(B412, DATA_Moresby_2024_ALL!B:B, DATA_Moresby_2024_ALL!G:G, "")</f>
        <v>0</v>
      </c>
      <c r="G412" s="93"/>
      <c r="H412" s="92">
        <v>8</v>
      </c>
      <c r="I412" s="92" t="str">
        <f t="shared" si="23"/>
        <v>X</v>
      </c>
      <c r="J412" s="79" t="str">
        <f>IF(G412="","X",_xlfn.XLOOKUP(B412,DATA_Moresby_2024_ALL!B:B,DATA_Moresby_2024_ALL!K:K,""))</f>
        <v>X</v>
      </c>
      <c r="K412" s="28"/>
      <c r="L412" s="29"/>
      <c r="M412" s="28"/>
      <c r="N412" s="19" t="str">
        <f t="shared" si="22"/>
        <v/>
      </c>
      <c r="O412" s="19" t="str">
        <f t="shared" si="21"/>
        <v/>
      </c>
      <c r="P412" s="19" t="str">
        <f t="shared" si="21"/>
        <v/>
      </c>
      <c r="Q412" s="19" t="str">
        <f t="shared" si="21"/>
        <v/>
      </c>
      <c r="R412" s="21"/>
      <c r="T412" s="21"/>
      <c r="W412" s="46"/>
      <c r="X412" s="92" t="s">
        <v>78</v>
      </c>
      <c r="Y412" s="92" t="s">
        <v>78</v>
      </c>
      <c r="Z412" s="92" t="s">
        <v>78</v>
      </c>
    </row>
    <row r="413" spans="1:26" ht="16" hidden="1" x14ac:dyDescent="0.4">
      <c r="A413" s="92">
        <v>2049</v>
      </c>
      <c r="B413" s="92">
        <v>2050</v>
      </c>
      <c r="E413" s="92">
        <v>50</v>
      </c>
      <c r="F413" s="92">
        <f>_xlfn.XLOOKUP(B413, DATA_Moresby_2024_ALL!B:B, DATA_Moresby_2024_ALL!G:G, "")</f>
        <v>0</v>
      </c>
      <c r="G413" s="93"/>
      <c r="H413" s="92">
        <v>8</v>
      </c>
      <c r="I413" s="92" t="str">
        <f t="shared" si="23"/>
        <v>X</v>
      </c>
      <c r="J413" s="79" t="str">
        <f>IF(G413="","X",_xlfn.XLOOKUP(B413,DATA_Moresby_2024_ALL!B:B,DATA_Moresby_2024_ALL!K:K,""))</f>
        <v>X</v>
      </c>
      <c r="K413" s="28"/>
      <c r="L413" s="29"/>
      <c r="M413" s="28"/>
      <c r="N413" s="19" t="str">
        <f t="shared" si="22"/>
        <v/>
      </c>
      <c r="O413" s="19" t="str">
        <f t="shared" si="22"/>
        <v/>
      </c>
      <c r="P413" s="19" t="str">
        <f t="shared" si="22"/>
        <v/>
      </c>
      <c r="Q413" s="19" t="str">
        <f t="shared" si="22"/>
        <v/>
      </c>
      <c r="R413" s="21"/>
      <c r="T413" s="21"/>
      <c r="W413" s="46"/>
      <c r="X413" s="92" t="s">
        <v>78</v>
      </c>
      <c r="Y413" s="92" t="s">
        <v>78</v>
      </c>
      <c r="Z413" s="92" t="s">
        <v>78</v>
      </c>
    </row>
    <row r="414" spans="1:26" ht="16" hidden="1" x14ac:dyDescent="0.4">
      <c r="A414" s="92">
        <v>2054</v>
      </c>
      <c r="B414" s="92">
        <v>2055</v>
      </c>
      <c r="E414" s="92">
        <v>50</v>
      </c>
      <c r="F414" s="92">
        <f>_xlfn.XLOOKUP(B414, DATA_Moresby_2024_ALL!B:B, DATA_Moresby_2024_ALL!G:G, "")</f>
        <v>0</v>
      </c>
      <c r="G414" s="93"/>
      <c r="H414" s="92">
        <v>8</v>
      </c>
      <c r="I414" s="92" t="str">
        <f t="shared" si="23"/>
        <v>X</v>
      </c>
      <c r="J414" s="79" t="str">
        <f>IF(G414="","X",_xlfn.XLOOKUP(B414,DATA_Moresby_2024_ALL!B:B,DATA_Moresby_2024_ALL!K:K,""))</f>
        <v>X</v>
      </c>
      <c r="K414" s="28"/>
      <c r="L414" s="29"/>
      <c r="M414" s="28"/>
      <c r="N414" s="19" t="str">
        <f t="shared" ref="N414:Q477" si="24">IF($J414=1,4,"")</f>
        <v/>
      </c>
      <c r="O414" s="19" t="str">
        <f t="shared" si="24"/>
        <v/>
      </c>
      <c r="P414" s="19" t="str">
        <f t="shared" si="24"/>
        <v/>
      </c>
      <c r="Q414" s="19" t="str">
        <f t="shared" si="24"/>
        <v/>
      </c>
      <c r="R414" s="21"/>
      <c r="T414" s="21"/>
      <c r="W414" s="46"/>
      <c r="X414" s="92" t="s">
        <v>78</v>
      </c>
      <c r="Y414" s="92" t="s">
        <v>78</v>
      </c>
      <c r="Z414" s="92" t="s">
        <v>78</v>
      </c>
    </row>
    <row r="415" spans="1:26" ht="16" hidden="1" x14ac:dyDescent="0.4">
      <c r="A415" s="92">
        <v>2059</v>
      </c>
      <c r="B415" s="92">
        <v>2060</v>
      </c>
      <c r="E415" s="92">
        <v>50</v>
      </c>
      <c r="F415" s="92">
        <f>_xlfn.XLOOKUP(B415, DATA_Moresby_2024_ALL!B:B, DATA_Moresby_2024_ALL!G:G, "")</f>
        <v>0</v>
      </c>
      <c r="G415" s="93"/>
      <c r="H415" s="92">
        <v>8</v>
      </c>
      <c r="I415" s="92" t="str">
        <f t="shared" si="23"/>
        <v>X</v>
      </c>
      <c r="J415" s="79" t="str">
        <f>IF(G415="","X",_xlfn.XLOOKUP(B415,DATA_Moresby_2024_ALL!B:B,DATA_Moresby_2024_ALL!K:K,""))</f>
        <v>X</v>
      </c>
      <c r="K415" s="28"/>
      <c r="L415" s="29"/>
      <c r="M415" s="28"/>
      <c r="N415" s="19" t="str">
        <f t="shared" si="24"/>
        <v/>
      </c>
      <c r="O415" s="19" t="str">
        <f t="shared" si="24"/>
        <v/>
      </c>
      <c r="P415" s="19" t="str">
        <f t="shared" si="24"/>
        <v/>
      </c>
      <c r="Q415" s="19" t="str">
        <f t="shared" si="24"/>
        <v/>
      </c>
      <c r="R415" s="21"/>
      <c r="T415" s="21"/>
      <c r="W415" s="46"/>
      <c r="X415" s="92" t="s">
        <v>78</v>
      </c>
      <c r="Y415" s="92" t="s">
        <v>78</v>
      </c>
      <c r="Z415" s="92" t="s">
        <v>78</v>
      </c>
    </row>
    <row r="416" spans="1:26" ht="16" hidden="1" x14ac:dyDescent="0.4">
      <c r="A416" s="92">
        <v>2064</v>
      </c>
      <c r="B416" s="92">
        <v>2065</v>
      </c>
      <c r="E416" s="92">
        <v>50</v>
      </c>
      <c r="F416" s="92">
        <f>_xlfn.XLOOKUP(B416, DATA_Moresby_2024_ALL!B:B, DATA_Moresby_2024_ALL!G:G, "")</f>
        <v>0</v>
      </c>
      <c r="G416" s="93"/>
      <c r="H416" s="92">
        <v>8</v>
      </c>
      <c r="I416" s="92" t="str">
        <f t="shared" si="23"/>
        <v>X</v>
      </c>
      <c r="J416" s="79" t="str">
        <f>IF(G416="","X",_xlfn.XLOOKUP(B416,DATA_Moresby_2024_ALL!B:B,DATA_Moresby_2024_ALL!K:K,""))</f>
        <v>X</v>
      </c>
      <c r="K416" s="28"/>
      <c r="L416" s="29"/>
      <c r="M416" s="28"/>
      <c r="N416" s="19" t="str">
        <f t="shared" si="24"/>
        <v/>
      </c>
      <c r="O416" s="19" t="str">
        <f t="shared" si="24"/>
        <v/>
      </c>
      <c r="P416" s="19" t="str">
        <f t="shared" si="24"/>
        <v/>
      </c>
      <c r="Q416" s="19" t="str">
        <f t="shared" si="24"/>
        <v/>
      </c>
      <c r="R416" s="21"/>
      <c r="T416" s="21"/>
      <c r="W416" s="46"/>
      <c r="X416" s="92" t="s">
        <v>78</v>
      </c>
      <c r="Y416" s="92" t="s">
        <v>78</v>
      </c>
      <c r="Z416" s="92" t="s">
        <v>78</v>
      </c>
    </row>
    <row r="417" spans="1:26" ht="16" hidden="1" x14ac:dyDescent="0.4">
      <c r="A417" s="92">
        <v>2069</v>
      </c>
      <c r="B417" s="92">
        <v>2070</v>
      </c>
      <c r="E417" s="92">
        <v>50</v>
      </c>
      <c r="F417" s="92">
        <f>_xlfn.XLOOKUP(B417, DATA_Moresby_2024_ALL!B:B, DATA_Moresby_2024_ALL!G:G, "")</f>
        <v>0</v>
      </c>
      <c r="G417" s="93"/>
      <c r="H417" s="92">
        <v>8</v>
      </c>
      <c r="I417" s="92" t="str">
        <f t="shared" si="23"/>
        <v>X</v>
      </c>
      <c r="J417" s="79" t="str">
        <f>IF(G417="","X",_xlfn.XLOOKUP(B417,DATA_Moresby_2024_ALL!B:B,DATA_Moresby_2024_ALL!K:K,""))</f>
        <v>X</v>
      </c>
      <c r="K417" s="28"/>
      <c r="L417" s="29"/>
      <c r="M417" s="28"/>
      <c r="N417" s="19" t="str">
        <f t="shared" si="24"/>
        <v/>
      </c>
      <c r="O417" s="19" t="str">
        <f t="shared" si="24"/>
        <v/>
      </c>
      <c r="P417" s="19" t="str">
        <f t="shared" si="24"/>
        <v/>
      </c>
      <c r="Q417" s="19" t="str">
        <f t="shared" si="24"/>
        <v/>
      </c>
      <c r="R417" s="21"/>
      <c r="T417" s="21"/>
      <c r="W417" s="46"/>
      <c r="X417" s="92" t="s">
        <v>78</v>
      </c>
      <c r="Y417" s="92" t="s">
        <v>78</v>
      </c>
      <c r="Z417" s="92" t="s">
        <v>78</v>
      </c>
    </row>
    <row r="418" spans="1:26" ht="16" hidden="1" x14ac:dyDescent="0.4">
      <c r="A418" s="92">
        <v>2074</v>
      </c>
      <c r="B418" s="92">
        <v>2075</v>
      </c>
      <c r="E418" s="92">
        <v>50</v>
      </c>
      <c r="F418" s="92">
        <f>_xlfn.XLOOKUP(B418, DATA_Moresby_2024_ALL!B:B, DATA_Moresby_2024_ALL!G:G, "")</f>
        <v>0</v>
      </c>
      <c r="G418" s="93"/>
      <c r="H418" s="92">
        <v>8</v>
      </c>
      <c r="I418" s="92" t="str">
        <f t="shared" si="23"/>
        <v>X</v>
      </c>
      <c r="J418" s="79" t="str">
        <f>IF(G418="","X",_xlfn.XLOOKUP(B418,DATA_Moresby_2024_ALL!B:B,DATA_Moresby_2024_ALL!K:K,""))</f>
        <v>X</v>
      </c>
      <c r="K418" s="28"/>
      <c r="L418" s="29"/>
      <c r="M418" s="28"/>
      <c r="N418" s="19" t="str">
        <f t="shared" si="24"/>
        <v/>
      </c>
      <c r="O418" s="19" t="str">
        <f t="shared" si="24"/>
        <v/>
      </c>
      <c r="P418" s="19" t="str">
        <f t="shared" si="24"/>
        <v/>
      </c>
      <c r="Q418" s="19" t="str">
        <f t="shared" si="24"/>
        <v/>
      </c>
      <c r="R418" s="21"/>
      <c r="T418" s="21"/>
      <c r="W418" s="46"/>
      <c r="X418" s="92" t="s">
        <v>78</v>
      </c>
      <c r="Y418" s="92" t="s">
        <v>78</v>
      </c>
      <c r="Z418" s="92" t="s">
        <v>78</v>
      </c>
    </row>
    <row r="419" spans="1:26" ht="16" hidden="1" x14ac:dyDescent="0.4">
      <c r="A419" s="92">
        <v>2079</v>
      </c>
      <c r="B419" s="92">
        <v>2080</v>
      </c>
      <c r="E419" s="92">
        <v>50</v>
      </c>
      <c r="F419" s="92">
        <f>_xlfn.XLOOKUP(B419, DATA_Moresby_2024_ALL!B:B, DATA_Moresby_2024_ALL!G:G, "")</f>
        <v>0</v>
      </c>
      <c r="G419" s="93"/>
      <c r="H419" s="92">
        <v>8</v>
      </c>
      <c r="I419" s="92" t="str">
        <f t="shared" si="23"/>
        <v>X</v>
      </c>
      <c r="J419" s="79" t="str">
        <f>IF(G419="","X",_xlfn.XLOOKUP(B419,DATA_Moresby_2024_ALL!B:B,DATA_Moresby_2024_ALL!K:K,""))</f>
        <v>X</v>
      </c>
      <c r="K419" s="28"/>
      <c r="L419" s="29"/>
      <c r="M419" s="28"/>
      <c r="N419" s="19" t="str">
        <f t="shared" si="24"/>
        <v/>
      </c>
      <c r="O419" s="19" t="str">
        <f t="shared" si="24"/>
        <v/>
      </c>
      <c r="P419" s="19" t="str">
        <f t="shared" si="24"/>
        <v/>
      </c>
      <c r="Q419" s="19" t="str">
        <f t="shared" si="24"/>
        <v/>
      </c>
      <c r="R419" s="21"/>
      <c r="T419" s="21"/>
      <c r="W419" s="46"/>
      <c r="X419" s="92" t="s">
        <v>78</v>
      </c>
      <c r="Y419" s="92" t="s">
        <v>78</v>
      </c>
      <c r="Z419" s="92" t="s">
        <v>78</v>
      </c>
    </row>
    <row r="420" spans="1:26" ht="16" hidden="1" x14ac:dyDescent="0.4">
      <c r="A420" s="92">
        <v>2084</v>
      </c>
      <c r="B420" s="92">
        <v>2085</v>
      </c>
      <c r="E420" s="92">
        <v>50</v>
      </c>
      <c r="F420" s="92">
        <f>_xlfn.XLOOKUP(B420, DATA_Moresby_2024_ALL!B:B, DATA_Moresby_2024_ALL!G:G, "")</f>
        <v>0</v>
      </c>
      <c r="G420" s="93"/>
      <c r="H420" s="92">
        <v>8</v>
      </c>
      <c r="I420" s="92" t="str">
        <f t="shared" si="23"/>
        <v>X</v>
      </c>
      <c r="J420" s="79" t="str">
        <f>IF(G420="","X",_xlfn.XLOOKUP(B420,DATA_Moresby_2024_ALL!B:B,DATA_Moresby_2024_ALL!K:K,""))</f>
        <v>X</v>
      </c>
      <c r="K420" s="28"/>
      <c r="L420" s="29"/>
      <c r="M420" s="28"/>
      <c r="N420" s="19" t="str">
        <f t="shared" si="24"/>
        <v/>
      </c>
      <c r="O420" s="19" t="str">
        <f t="shared" si="24"/>
        <v/>
      </c>
      <c r="P420" s="19" t="str">
        <f t="shared" si="24"/>
        <v/>
      </c>
      <c r="Q420" s="19" t="str">
        <f t="shared" si="24"/>
        <v/>
      </c>
      <c r="R420" s="21"/>
      <c r="T420" s="21"/>
      <c r="W420" s="46"/>
      <c r="X420" s="92" t="s">
        <v>78</v>
      </c>
      <c r="Y420" s="92" t="s">
        <v>78</v>
      </c>
      <c r="Z420" s="92" t="s">
        <v>78</v>
      </c>
    </row>
    <row r="421" spans="1:26" ht="16" hidden="1" x14ac:dyDescent="0.4">
      <c r="A421" s="92">
        <v>2089</v>
      </c>
      <c r="B421" s="92">
        <v>2090</v>
      </c>
      <c r="E421" s="92">
        <v>50</v>
      </c>
      <c r="F421" s="92">
        <f>_xlfn.XLOOKUP(B421, DATA_Moresby_2024_ALL!B:B, DATA_Moresby_2024_ALL!G:G, "")</f>
        <v>0</v>
      </c>
      <c r="G421" s="93"/>
      <c r="H421" s="92">
        <v>8</v>
      </c>
      <c r="I421" s="92" t="str">
        <f t="shared" si="23"/>
        <v>X</v>
      </c>
      <c r="J421" s="79" t="str">
        <f>IF(G421="","X",_xlfn.XLOOKUP(B421,DATA_Moresby_2024_ALL!B:B,DATA_Moresby_2024_ALL!K:K,""))</f>
        <v>X</v>
      </c>
      <c r="K421" s="28"/>
      <c r="L421" s="29"/>
      <c r="M421" s="28"/>
      <c r="N421" s="19" t="str">
        <f t="shared" si="24"/>
        <v/>
      </c>
      <c r="O421" s="19" t="str">
        <f t="shared" si="24"/>
        <v/>
      </c>
      <c r="P421" s="19" t="str">
        <f t="shared" si="24"/>
        <v/>
      </c>
      <c r="Q421" s="19" t="str">
        <f t="shared" si="24"/>
        <v/>
      </c>
      <c r="R421" s="21"/>
      <c r="T421" s="21"/>
      <c r="W421" s="46"/>
      <c r="X421" s="92" t="s">
        <v>78</v>
      </c>
      <c r="Y421" s="92" t="s">
        <v>78</v>
      </c>
      <c r="Z421" s="92" t="s">
        <v>78</v>
      </c>
    </row>
    <row r="422" spans="1:26" ht="16" hidden="1" x14ac:dyDescent="0.4">
      <c r="A422" s="92">
        <v>2094</v>
      </c>
      <c r="B422" s="92">
        <v>2095</v>
      </c>
      <c r="E422" s="92">
        <v>50</v>
      </c>
      <c r="F422" s="92">
        <f>_xlfn.XLOOKUP(B422, DATA_Moresby_2024_ALL!B:B, DATA_Moresby_2024_ALL!G:G, "")</f>
        <v>0</v>
      </c>
      <c r="G422" s="93"/>
      <c r="H422" s="92">
        <v>8</v>
      </c>
      <c r="I422" s="92" t="str">
        <f t="shared" si="23"/>
        <v>X</v>
      </c>
      <c r="J422" s="79" t="str">
        <f>IF(G422="","X",_xlfn.XLOOKUP(B422,DATA_Moresby_2024_ALL!B:B,DATA_Moresby_2024_ALL!K:K,""))</f>
        <v>X</v>
      </c>
      <c r="K422" s="28"/>
      <c r="L422" s="29"/>
      <c r="M422" s="28"/>
      <c r="N422" s="19" t="str">
        <f t="shared" si="24"/>
        <v/>
      </c>
      <c r="O422" s="19" t="str">
        <f t="shared" si="24"/>
        <v/>
      </c>
      <c r="P422" s="19" t="str">
        <f t="shared" si="24"/>
        <v/>
      </c>
      <c r="Q422" s="19" t="str">
        <f t="shared" si="24"/>
        <v/>
      </c>
      <c r="R422" s="21"/>
      <c r="T422" s="21"/>
      <c r="W422" s="46"/>
      <c r="X422" s="92" t="s">
        <v>78</v>
      </c>
      <c r="Y422" s="92" t="s">
        <v>78</v>
      </c>
      <c r="Z422" s="92" t="s">
        <v>78</v>
      </c>
    </row>
    <row r="423" spans="1:26" ht="16" hidden="1" x14ac:dyDescent="0.4">
      <c r="A423" s="92">
        <v>2099</v>
      </c>
      <c r="B423" s="92">
        <v>2100</v>
      </c>
      <c r="E423" s="92">
        <v>50</v>
      </c>
      <c r="F423" s="92">
        <f>_xlfn.XLOOKUP(B423, DATA_Moresby_2024_ALL!B:B, DATA_Moresby_2024_ALL!G:G, "")</f>
        <v>0</v>
      </c>
      <c r="G423" s="93"/>
      <c r="H423" s="92">
        <v>8</v>
      </c>
      <c r="I423" s="92" t="str">
        <f t="shared" si="23"/>
        <v>X</v>
      </c>
      <c r="J423" s="79" t="str">
        <f>IF(G423="","X",_xlfn.XLOOKUP(B423,DATA_Moresby_2024_ALL!B:B,DATA_Moresby_2024_ALL!K:K,""))</f>
        <v>X</v>
      </c>
      <c r="K423" s="28"/>
      <c r="L423" s="29"/>
      <c r="M423" s="28"/>
      <c r="N423" s="19" t="str">
        <f t="shared" si="24"/>
        <v/>
      </c>
      <c r="O423" s="19" t="str">
        <f t="shared" si="24"/>
        <v/>
      </c>
      <c r="P423" s="19" t="str">
        <f t="shared" si="24"/>
        <v/>
      </c>
      <c r="Q423" s="19" t="str">
        <f t="shared" si="24"/>
        <v/>
      </c>
      <c r="R423" s="21"/>
      <c r="T423" s="21"/>
      <c r="W423" s="46"/>
      <c r="X423" s="92" t="s">
        <v>78</v>
      </c>
      <c r="Y423" s="92" t="s">
        <v>78</v>
      </c>
      <c r="Z423" s="92" t="s">
        <v>78</v>
      </c>
    </row>
    <row r="424" spans="1:26" ht="16" hidden="1" x14ac:dyDescent="0.4">
      <c r="A424" s="92">
        <v>2104</v>
      </c>
      <c r="B424" s="92">
        <v>2105</v>
      </c>
      <c r="E424" s="92">
        <v>50</v>
      </c>
      <c r="F424" s="92">
        <f>_xlfn.XLOOKUP(B424, DATA_Moresby_2024_ALL!B:B, DATA_Moresby_2024_ALL!G:G, "")</f>
        <v>0</v>
      </c>
      <c r="G424" s="93"/>
      <c r="H424" s="92">
        <v>8</v>
      </c>
      <c r="I424" s="92" t="str">
        <f t="shared" si="23"/>
        <v>X</v>
      </c>
      <c r="J424" s="79" t="str">
        <f>IF(G424="","X",_xlfn.XLOOKUP(B424,DATA_Moresby_2024_ALL!B:B,DATA_Moresby_2024_ALL!K:K,""))</f>
        <v>X</v>
      </c>
      <c r="K424" s="28"/>
      <c r="L424" s="29"/>
      <c r="M424" s="28"/>
      <c r="N424" s="19" t="str">
        <f t="shared" si="24"/>
        <v/>
      </c>
      <c r="O424" s="19" t="str">
        <f t="shared" si="24"/>
        <v/>
      </c>
      <c r="P424" s="19" t="str">
        <f t="shared" si="24"/>
        <v/>
      </c>
      <c r="Q424" s="19" t="str">
        <f t="shared" si="24"/>
        <v/>
      </c>
      <c r="R424" s="21"/>
      <c r="T424" s="21"/>
      <c r="W424" s="46"/>
      <c r="X424" s="92" t="s">
        <v>78</v>
      </c>
      <c r="Y424" s="92" t="s">
        <v>78</v>
      </c>
      <c r="Z424" s="92" t="s">
        <v>78</v>
      </c>
    </row>
    <row r="425" spans="1:26" ht="16" hidden="1" x14ac:dyDescent="0.4">
      <c r="A425" s="92">
        <v>2109</v>
      </c>
      <c r="B425" s="92">
        <v>2110</v>
      </c>
      <c r="E425" s="92">
        <v>50</v>
      </c>
      <c r="F425" s="92">
        <f>_xlfn.XLOOKUP(B425, DATA_Moresby_2024_ALL!B:B, DATA_Moresby_2024_ALL!G:G, "")</f>
        <v>0</v>
      </c>
      <c r="G425" s="93"/>
      <c r="H425" s="92">
        <v>8</v>
      </c>
      <c r="I425" s="92" t="str">
        <f t="shared" si="23"/>
        <v>X</v>
      </c>
      <c r="J425" s="79" t="str">
        <f>IF(G425="","X",_xlfn.XLOOKUP(B425,DATA_Moresby_2024_ALL!B:B,DATA_Moresby_2024_ALL!K:K,""))</f>
        <v>X</v>
      </c>
      <c r="K425" s="28"/>
      <c r="L425" s="29"/>
      <c r="M425" s="28"/>
      <c r="N425" s="19" t="str">
        <f t="shared" si="24"/>
        <v/>
      </c>
      <c r="O425" s="19" t="str">
        <f t="shared" si="24"/>
        <v/>
      </c>
      <c r="P425" s="19" t="str">
        <f t="shared" si="24"/>
        <v/>
      </c>
      <c r="Q425" s="19" t="str">
        <f t="shared" si="24"/>
        <v/>
      </c>
      <c r="R425" s="21"/>
      <c r="T425" s="21"/>
      <c r="W425" s="46"/>
      <c r="X425" s="92" t="s">
        <v>78</v>
      </c>
      <c r="Y425" s="92" t="s">
        <v>78</v>
      </c>
      <c r="Z425" s="92" t="s">
        <v>78</v>
      </c>
    </row>
    <row r="426" spans="1:26" ht="16" hidden="1" x14ac:dyDescent="0.4">
      <c r="A426" s="92">
        <v>2114</v>
      </c>
      <c r="B426" s="92">
        <v>2115</v>
      </c>
      <c r="E426" s="92">
        <v>50</v>
      </c>
      <c r="F426" s="92">
        <f>_xlfn.XLOOKUP(B426, DATA_Moresby_2024_ALL!B:B, DATA_Moresby_2024_ALL!G:G, "")</f>
        <v>0</v>
      </c>
      <c r="G426" s="93"/>
      <c r="H426" s="92">
        <v>8</v>
      </c>
      <c r="I426" s="92" t="str">
        <f t="shared" si="23"/>
        <v>X</v>
      </c>
      <c r="J426" s="79" t="str">
        <f>IF(G426="","X",_xlfn.XLOOKUP(B426,DATA_Moresby_2024_ALL!B:B,DATA_Moresby_2024_ALL!K:K,""))</f>
        <v>X</v>
      </c>
      <c r="K426" s="28"/>
      <c r="L426" s="29"/>
      <c r="M426" s="28"/>
      <c r="N426" s="19" t="str">
        <f t="shared" si="24"/>
        <v/>
      </c>
      <c r="O426" s="19" t="str">
        <f t="shared" si="24"/>
        <v/>
      </c>
      <c r="P426" s="19" t="str">
        <f t="shared" si="24"/>
        <v/>
      </c>
      <c r="Q426" s="19" t="str">
        <f t="shared" si="24"/>
        <v/>
      </c>
      <c r="R426" s="21"/>
      <c r="T426" s="21"/>
      <c r="W426" s="46"/>
      <c r="X426" s="92" t="s">
        <v>78</v>
      </c>
      <c r="Y426" s="92" t="s">
        <v>78</v>
      </c>
      <c r="Z426" s="92" t="s">
        <v>78</v>
      </c>
    </row>
    <row r="427" spans="1:26" ht="16" hidden="1" x14ac:dyDescent="0.4">
      <c r="A427" s="92">
        <v>2119</v>
      </c>
      <c r="B427" s="92">
        <v>2120</v>
      </c>
      <c r="E427" s="92">
        <v>50</v>
      </c>
      <c r="F427" s="92">
        <f>_xlfn.XLOOKUP(B427, DATA_Moresby_2024_ALL!B:B, DATA_Moresby_2024_ALL!G:G, "")</f>
        <v>0</v>
      </c>
      <c r="G427" s="93"/>
      <c r="H427" s="92">
        <v>8</v>
      </c>
      <c r="I427" s="92" t="str">
        <f t="shared" si="23"/>
        <v>X</v>
      </c>
      <c r="J427" s="79" t="str">
        <f>IF(G427="","X",_xlfn.XLOOKUP(B427,DATA_Moresby_2024_ALL!B:B,DATA_Moresby_2024_ALL!K:K,""))</f>
        <v>X</v>
      </c>
      <c r="K427" s="28"/>
      <c r="L427" s="29"/>
      <c r="M427" s="28"/>
      <c r="N427" s="19" t="str">
        <f t="shared" si="24"/>
        <v/>
      </c>
      <c r="O427" s="19" t="str">
        <f t="shared" si="24"/>
        <v/>
      </c>
      <c r="P427" s="19" t="str">
        <f t="shared" si="24"/>
        <v/>
      </c>
      <c r="Q427" s="19" t="str">
        <f t="shared" si="24"/>
        <v/>
      </c>
      <c r="R427" s="21"/>
      <c r="T427" s="21"/>
      <c r="W427" s="46"/>
      <c r="X427" s="92" t="s">
        <v>78</v>
      </c>
      <c r="Y427" s="92" t="s">
        <v>78</v>
      </c>
      <c r="Z427" s="92" t="s">
        <v>78</v>
      </c>
    </row>
    <row r="428" spans="1:26" ht="16" hidden="1" x14ac:dyDescent="0.4">
      <c r="A428" s="92">
        <v>2124</v>
      </c>
      <c r="B428" s="92">
        <v>2125</v>
      </c>
      <c r="E428" s="92">
        <v>50</v>
      </c>
      <c r="F428" s="92">
        <f>_xlfn.XLOOKUP(B428, DATA_Moresby_2024_ALL!B:B, DATA_Moresby_2024_ALL!G:G, "")</f>
        <v>0</v>
      </c>
      <c r="G428" s="93"/>
      <c r="H428" s="92">
        <v>8</v>
      </c>
      <c r="I428" s="92" t="str">
        <f t="shared" si="23"/>
        <v>X</v>
      </c>
      <c r="J428" s="79" t="str">
        <f>IF(G428="","X",_xlfn.XLOOKUP(B428,DATA_Moresby_2024_ALL!B:B,DATA_Moresby_2024_ALL!K:K,""))</f>
        <v>X</v>
      </c>
      <c r="K428" s="28"/>
      <c r="L428" s="29"/>
      <c r="M428" s="28"/>
      <c r="N428" s="19" t="str">
        <f t="shared" si="24"/>
        <v/>
      </c>
      <c r="O428" s="19" t="str">
        <f t="shared" si="24"/>
        <v/>
      </c>
      <c r="P428" s="19" t="str">
        <f t="shared" si="24"/>
        <v/>
      </c>
      <c r="Q428" s="19" t="str">
        <f t="shared" si="24"/>
        <v/>
      </c>
      <c r="R428" s="21"/>
      <c r="T428" s="21"/>
      <c r="W428" s="46"/>
      <c r="X428" s="92" t="s">
        <v>78</v>
      </c>
      <c r="Y428" s="92" t="s">
        <v>78</v>
      </c>
      <c r="Z428" s="92" t="s">
        <v>78</v>
      </c>
    </row>
    <row r="429" spans="1:26" ht="16" hidden="1" x14ac:dyDescent="0.4">
      <c r="A429" s="92">
        <v>2129</v>
      </c>
      <c r="B429" s="92">
        <v>2130</v>
      </c>
      <c r="E429" s="92">
        <v>50</v>
      </c>
      <c r="F429" s="92">
        <f>_xlfn.XLOOKUP(B429, DATA_Moresby_2024_ALL!B:B, DATA_Moresby_2024_ALL!G:G, "")</f>
        <v>0</v>
      </c>
      <c r="G429" s="93"/>
      <c r="H429" s="92">
        <v>8</v>
      </c>
      <c r="I429" s="92" t="str">
        <f t="shared" si="23"/>
        <v>X</v>
      </c>
      <c r="J429" s="79" t="str">
        <f>IF(G429="","X",_xlfn.XLOOKUP(B429,DATA_Moresby_2024_ALL!B:B,DATA_Moresby_2024_ALL!K:K,""))</f>
        <v>X</v>
      </c>
      <c r="K429" s="28"/>
      <c r="L429" s="29"/>
      <c r="M429" s="28"/>
      <c r="N429" s="19" t="str">
        <f t="shared" si="24"/>
        <v/>
      </c>
      <c r="O429" s="19" t="str">
        <f t="shared" si="24"/>
        <v/>
      </c>
      <c r="P429" s="19" t="str">
        <f t="shared" si="24"/>
        <v/>
      </c>
      <c r="Q429" s="19" t="str">
        <f t="shared" si="24"/>
        <v/>
      </c>
      <c r="R429" s="21"/>
      <c r="T429" s="21"/>
      <c r="W429" s="46"/>
      <c r="X429" s="92" t="s">
        <v>78</v>
      </c>
      <c r="Y429" s="92" t="s">
        <v>78</v>
      </c>
      <c r="Z429" s="92" t="s">
        <v>78</v>
      </c>
    </row>
    <row r="430" spans="1:26" ht="16" hidden="1" x14ac:dyDescent="0.4">
      <c r="A430" s="92">
        <v>2134</v>
      </c>
      <c r="B430" s="92">
        <v>2135</v>
      </c>
      <c r="E430" s="92">
        <v>50</v>
      </c>
      <c r="F430" s="92">
        <f>_xlfn.XLOOKUP(B430, DATA_Moresby_2024_ALL!B:B, DATA_Moresby_2024_ALL!G:G, "")</f>
        <v>0</v>
      </c>
      <c r="G430" s="93"/>
      <c r="H430" s="92">
        <v>8</v>
      </c>
      <c r="I430" s="92" t="str">
        <f t="shared" si="23"/>
        <v>X</v>
      </c>
      <c r="J430" s="79" t="str">
        <f>IF(G430="","X",_xlfn.XLOOKUP(B430,DATA_Moresby_2024_ALL!B:B,DATA_Moresby_2024_ALL!K:K,""))</f>
        <v>X</v>
      </c>
      <c r="K430" s="28"/>
      <c r="L430" s="29"/>
      <c r="M430" s="28"/>
      <c r="N430" s="19" t="str">
        <f t="shared" si="24"/>
        <v/>
      </c>
      <c r="O430" s="19" t="str">
        <f t="shared" si="24"/>
        <v/>
      </c>
      <c r="P430" s="19" t="str">
        <f t="shared" si="24"/>
        <v/>
      </c>
      <c r="Q430" s="19" t="str">
        <f t="shared" si="24"/>
        <v/>
      </c>
      <c r="R430" s="21"/>
      <c r="T430" s="21"/>
      <c r="W430" s="46"/>
      <c r="X430" s="92" t="s">
        <v>78</v>
      </c>
      <c r="Y430" s="92" t="s">
        <v>78</v>
      </c>
      <c r="Z430" s="92" t="s">
        <v>78</v>
      </c>
    </row>
    <row r="431" spans="1:26" ht="16" hidden="1" x14ac:dyDescent="0.4">
      <c r="A431" s="92">
        <v>2139</v>
      </c>
      <c r="B431" s="92">
        <v>2140</v>
      </c>
      <c r="E431" s="92">
        <v>50</v>
      </c>
      <c r="F431" s="92">
        <f>_xlfn.XLOOKUP(B431, DATA_Moresby_2024_ALL!B:B, DATA_Moresby_2024_ALL!G:G, "")</f>
        <v>0</v>
      </c>
      <c r="G431" s="93"/>
      <c r="H431" s="92">
        <v>8</v>
      </c>
      <c r="I431" s="92" t="str">
        <f t="shared" si="23"/>
        <v>X</v>
      </c>
      <c r="J431" s="79" t="str">
        <f>IF(G431="","X",_xlfn.XLOOKUP(B431,DATA_Moresby_2024_ALL!B:B,DATA_Moresby_2024_ALL!K:K,""))</f>
        <v>X</v>
      </c>
      <c r="K431" s="28"/>
      <c r="L431" s="29"/>
      <c r="M431" s="28"/>
      <c r="N431" s="19" t="str">
        <f t="shared" si="24"/>
        <v/>
      </c>
      <c r="O431" s="19" t="str">
        <f t="shared" si="24"/>
        <v/>
      </c>
      <c r="P431" s="19" t="str">
        <f t="shared" si="24"/>
        <v/>
      </c>
      <c r="Q431" s="19" t="str">
        <f t="shared" si="24"/>
        <v/>
      </c>
      <c r="R431" s="21"/>
      <c r="T431" s="21"/>
      <c r="W431" s="46"/>
      <c r="X431" s="92" t="s">
        <v>78</v>
      </c>
      <c r="Y431" s="92" t="s">
        <v>78</v>
      </c>
      <c r="Z431" s="92" t="s">
        <v>78</v>
      </c>
    </row>
    <row r="432" spans="1:26" ht="16" hidden="1" x14ac:dyDescent="0.4">
      <c r="A432" s="92">
        <v>2144</v>
      </c>
      <c r="B432" s="92">
        <v>2145</v>
      </c>
      <c r="E432" s="92">
        <v>50</v>
      </c>
      <c r="F432" s="92">
        <f>_xlfn.XLOOKUP(B432, DATA_Moresby_2024_ALL!B:B, DATA_Moresby_2024_ALL!G:G, "")</f>
        <v>0</v>
      </c>
      <c r="G432" s="93"/>
      <c r="H432" s="92">
        <v>8</v>
      </c>
      <c r="I432" s="92" t="str">
        <f t="shared" si="23"/>
        <v>X</v>
      </c>
      <c r="J432" s="79" t="str">
        <f>IF(G432="","X",_xlfn.XLOOKUP(B432,DATA_Moresby_2024_ALL!B:B,DATA_Moresby_2024_ALL!K:K,""))</f>
        <v>X</v>
      </c>
      <c r="K432" s="28"/>
      <c r="L432" s="29"/>
      <c r="M432" s="28"/>
      <c r="N432" s="19" t="str">
        <f t="shared" si="24"/>
        <v/>
      </c>
      <c r="O432" s="19" t="str">
        <f t="shared" si="24"/>
        <v/>
      </c>
      <c r="P432" s="19" t="str">
        <f t="shared" si="24"/>
        <v/>
      </c>
      <c r="Q432" s="19" t="str">
        <f t="shared" si="24"/>
        <v/>
      </c>
      <c r="R432" s="21"/>
      <c r="T432" s="21"/>
      <c r="W432" s="46"/>
      <c r="X432" s="92" t="s">
        <v>78</v>
      </c>
      <c r="Y432" s="92" t="s">
        <v>78</v>
      </c>
      <c r="Z432" s="92" t="s">
        <v>78</v>
      </c>
    </row>
    <row r="433" spans="1:26" ht="16" hidden="1" x14ac:dyDescent="0.4">
      <c r="A433" s="92">
        <v>2149</v>
      </c>
      <c r="B433" s="92">
        <v>2150</v>
      </c>
      <c r="E433" s="92">
        <v>50</v>
      </c>
      <c r="F433" s="92">
        <f>_xlfn.XLOOKUP(B433, DATA_Moresby_2024_ALL!B:B, DATA_Moresby_2024_ALL!G:G, "")</f>
        <v>0</v>
      </c>
      <c r="G433" s="93"/>
      <c r="H433" s="92">
        <v>8</v>
      </c>
      <c r="I433" s="92" t="str">
        <f t="shared" si="23"/>
        <v>X</v>
      </c>
      <c r="J433" s="79" t="str">
        <f>IF(G433="","X",_xlfn.XLOOKUP(B433,DATA_Moresby_2024_ALL!B:B,DATA_Moresby_2024_ALL!K:K,""))</f>
        <v>X</v>
      </c>
      <c r="K433" s="28"/>
      <c r="L433" s="29"/>
      <c r="M433" s="28"/>
      <c r="N433" s="19" t="str">
        <f t="shared" si="24"/>
        <v/>
      </c>
      <c r="O433" s="19" t="str">
        <f t="shared" si="24"/>
        <v/>
      </c>
      <c r="P433" s="19" t="str">
        <f t="shared" si="24"/>
        <v/>
      </c>
      <c r="Q433" s="19" t="str">
        <f t="shared" si="24"/>
        <v/>
      </c>
      <c r="R433" s="21"/>
      <c r="T433" s="21"/>
      <c r="W433" s="46"/>
      <c r="X433" s="92" t="s">
        <v>78</v>
      </c>
      <c r="Y433" s="92" t="s">
        <v>78</v>
      </c>
      <c r="Z433" s="92" t="s">
        <v>78</v>
      </c>
    </row>
    <row r="434" spans="1:26" ht="16" hidden="1" x14ac:dyDescent="0.4">
      <c r="A434" s="92">
        <v>2154</v>
      </c>
      <c r="B434" s="92">
        <v>2155</v>
      </c>
      <c r="E434" s="92">
        <v>50</v>
      </c>
      <c r="F434" s="92">
        <f>_xlfn.XLOOKUP(B434, DATA_Moresby_2024_ALL!B:B, DATA_Moresby_2024_ALL!G:G, "")</f>
        <v>0</v>
      </c>
      <c r="G434" s="93"/>
      <c r="H434" s="92">
        <v>8</v>
      </c>
      <c r="I434" s="92" t="str">
        <f t="shared" si="23"/>
        <v>X</v>
      </c>
      <c r="J434" s="79" t="str">
        <f>IF(G434="","X",_xlfn.XLOOKUP(B434,DATA_Moresby_2024_ALL!B:B,DATA_Moresby_2024_ALL!K:K,""))</f>
        <v>X</v>
      </c>
      <c r="K434" s="28"/>
      <c r="L434" s="29"/>
      <c r="M434" s="28"/>
      <c r="N434" s="19" t="str">
        <f t="shared" si="24"/>
        <v/>
      </c>
      <c r="O434" s="19" t="str">
        <f t="shared" si="24"/>
        <v/>
      </c>
      <c r="P434" s="19" t="str">
        <f t="shared" si="24"/>
        <v/>
      </c>
      <c r="Q434" s="19" t="str">
        <f t="shared" si="24"/>
        <v/>
      </c>
      <c r="R434" s="21"/>
      <c r="T434" s="21"/>
      <c r="W434" s="46"/>
      <c r="X434" s="92" t="s">
        <v>78</v>
      </c>
      <c r="Y434" s="92" t="s">
        <v>78</v>
      </c>
      <c r="Z434" s="92" t="s">
        <v>78</v>
      </c>
    </row>
    <row r="435" spans="1:26" ht="16" hidden="1" x14ac:dyDescent="0.4">
      <c r="A435" s="92">
        <v>2159</v>
      </c>
      <c r="B435" s="92">
        <v>2160</v>
      </c>
      <c r="E435" s="92">
        <v>50</v>
      </c>
      <c r="F435" s="92">
        <f>_xlfn.XLOOKUP(B435, DATA_Moresby_2024_ALL!B:B, DATA_Moresby_2024_ALL!G:G, "")</f>
        <v>0</v>
      </c>
      <c r="G435" s="93"/>
      <c r="H435" s="92">
        <v>8</v>
      </c>
      <c r="I435" s="92" t="str">
        <f t="shared" si="23"/>
        <v>X</v>
      </c>
      <c r="J435" s="79" t="str">
        <f>IF(G435="","X",_xlfn.XLOOKUP(B435,DATA_Moresby_2024_ALL!B:B,DATA_Moresby_2024_ALL!K:K,""))</f>
        <v>X</v>
      </c>
      <c r="K435" s="28"/>
      <c r="L435" s="29"/>
      <c r="M435" s="28"/>
      <c r="N435" s="19" t="str">
        <f t="shared" si="24"/>
        <v/>
      </c>
      <c r="O435" s="19" t="str">
        <f t="shared" si="24"/>
        <v/>
      </c>
      <c r="P435" s="19" t="str">
        <f t="shared" si="24"/>
        <v/>
      </c>
      <c r="Q435" s="19" t="str">
        <f t="shared" si="24"/>
        <v/>
      </c>
      <c r="R435" s="21"/>
      <c r="T435" s="21"/>
      <c r="W435" s="46"/>
      <c r="X435" s="92" t="s">
        <v>78</v>
      </c>
      <c r="Y435" s="92" t="s">
        <v>78</v>
      </c>
      <c r="Z435" s="92" t="s">
        <v>78</v>
      </c>
    </row>
    <row r="436" spans="1:26" ht="16" hidden="1" x14ac:dyDescent="0.4">
      <c r="A436" s="92">
        <v>2164</v>
      </c>
      <c r="B436" s="92">
        <v>2165</v>
      </c>
      <c r="E436" s="92">
        <v>50</v>
      </c>
      <c r="F436" s="92">
        <f>_xlfn.XLOOKUP(B436, DATA_Moresby_2024_ALL!B:B, DATA_Moresby_2024_ALL!G:G, "")</f>
        <v>0</v>
      </c>
      <c r="G436" s="93"/>
      <c r="H436" s="92">
        <v>8</v>
      </c>
      <c r="I436" s="92" t="str">
        <f t="shared" si="23"/>
        <v>X</v>
      </c>
      <c r="J436" s="79" t="str">
        <f>IF(G436="","X",_xlfn.XLOOKUP(B436,DATA_Moresby_2024_ALL!B:B,DATA_Moresby_2024_ALL!K:K,""))</f>
        <v>X</v>
      </c>
      <c r="K436" s="28"/>
      <c r="L436" s="29"/>
      <c r="M436" s="28"/>
      <c r="N436" s="19" t="str">
        <f t="shared" si="24"/>
        <v/>
      </c>
      <c r="O436" s="19" t="str">
        <f t="shared" si="24"/>
        <v/>
      </c>
      <c r="P436" s="19" t="str">
        <f t="shared" si="24"/>
        <v/>
      </c>
      <c r="Q436" s="19" t="str">
        <f t="shared" si="24"/>
        <v/>
      </c>
      <c r="R436" s="21"/>
      <c r="T436" s="21"/>
      <c r="W436" s="46"/>
      <c r="X436" s="92" t="s">
        <v>78</v>
      </c>
      <c r="Y436" s="92" t="s">
        <v>78</v>
      </c>
      <c r="Z436" s="92" t="s">
        <v>78</v>
      </c>
    </row>
    <row r="437" spans="1:26" ht="16" hidden="1" x14ac:dyDescent="0.4">
      <c r="A437" s="92">
        <v>2169</v>
      </c>
      <c r="B437" s="92">
        <v>2170</v>
      </c>
      <c r="E437" s="92">
        <v>50</v>
      </c>
      <c r="F437" s="92">
        <f>_xlfn.XLOOKUP(B437, DATA_Moresby_2024_ALL!B:B, DATA_Moresby_2024_ALL!G:G, "")</f>
        <v>0</v>
      </c>
      <c r="G437" s="93"/>
      <c r="H437" s="92">
        <v>8</v>
      </c>
      <c r="I437" s="92" t="str">
        <f t="shared" si="23"/>
        <v>X</v>
      </c>
      <c r="J437" s="79" t="str">
        <f>IF(G437="","X",_xlfn.XLOOKUP(B437,DATA_Moresby_2024_ALL!B:B,DATA_Moresby_2024_ALL!K:K,""))</f>
        <v>X</v>
      </c>
      <c r="K437" s="28"/>
      <c r="L437" s="29"/>
      <c r="M437" s="28"/>
      <c r="N437" s="19" t="str">
        <f t="shared" si="24"/>
        <v/>
      </c>
      <c r="O437" s="19" t="str">
        <f t="shared" si="24"/>
        <v/>
      </c>
      <c r="P437" s="19" t="str">
        <f t="shared" si="24"/>
        <v/>
      </c>
      <c r="Q437" s="19" t="str">
        <f t="shared" si="24"/>
        <v/>
      </c>
      <c r="R437" s="21"/>
      <c r="T437" s="21"/>
      <c r="W437" s="46"/>
      <c r="X437" s="92" t="s">
        <v>78</v>
      </c>
      <c r="Y437" s="92" t="s">
        <v>78</v>
      </c>
      <c r="Z437" s="92" t="s">
        <v>78</v>
      </c>
    </row>
    <row r="438" spans="1:26" ht="16" hidden="1" x14ac:dyDescent="0.4">
      <c r="A438" s="92">
        <v>2174</v>
      </c>
      <c r="B438" s="92">
        <v>2175</v>
      </c>
      <c r="E438" s="92">
        <v>50</v>
      </c>
      <c r="F438" s="92">
        <f>_xlfn.XLOOKUP(B438, DATA_Moresby_2024_ALL!B:B, DATA_Moresby_2024_ALL!G:G, "")</f>
        <v>0</v>
      </c>
      <c r="G438" s="93"/>
      <c r="H438" s="92">
        <v>8</v>
      </c>
      <c r="I438" s="92" t="str">
        <f t="shared" si="23"/>
        <v>X</v>
      </c>
      <c r="J438" s="79" t="str">
        <f>IF(G438="","X",_xlfn.XLOOKUP(B438,DATA_Moresby_2024_ALL!B:B,DATA_Moresby_2024_ALL!K:K,""))</f>
        <v>X</v>
      </c>
      <c r="K438" s="28"/>
      <c r="L438" s="29"/>
      <c r="M438" s="28"/>
      <c r="N438" s="19" t="str">
        <f t="shared" si="24"/>
        <v/>
      </c>
      <c r="O438" s="19" t="str">
        <f t="shared" si="24"/>
        <v/>
      </c>
      <c r="P438" s="19" t="str">
        <f t="shared" si="24"/>
        <v/>
      </c>
      <c r="Q438" s="19" t="str">
        <f t="shared" si="24"/>
        <v/>
      </c>
      <c r="R438" s="21"/>
      <c r="T438" s="21"/>
      <c r="W438" s="46"/>
      <c r="X438" s="92" t="s">
        <v>78</v>
      </c>
      <c r="Y438" s="92" t="s">
        <v>78</v>
      </c>
      <c r="Z438" s="92" t="s">
        <v>78</v>
      </c>
    </row>
    <row r="439" spans="1:26" ht="16" hidden="1" x14ac:dyDescent="0.4">
      <c r="A439" s="92">
        <v>2179</v>
      </c>
      <c r="B439" s="92">
        <v>2180</v>
      </c>
      <c r="E439" s="92">
        <v>50</v>
      </c>
      <c r="F439" s="92">
        <f>_xlfn.XLOOKUP(B439, DATA_Moresby_2024_ALL!B:B, DATA_Moresby_2024_ALL!G:G, "")</f>
        <v>0</v>
      </c>
      <c r="G439" s="93"/>
      <c r="H439" s="92">
        <v>8</v>
      </c>
      <c r="I439" s="92" t="str">
        <f t="shared" si="23"/>
        <v>X</v>
      </c>
      <c r="J439" s="79" t="str">
        <f>IF(G439="","X",_xlfn.XLOOKUP(B439,DATA_Moresby_2024_ALL!B:B,DATA_Moresby_2024_ALL!K:K,""))</f>
        <v>X</v>
      </c>
      <c r="K439" s="28"/>
      <c r="L439" s="29"/>
      <c r="M439" s="28"/>
      <c r="N439" s="19" t="str">
        <f t="shared" si="24"/>
        <v/>
      </c>
      <c r="O439" s="19" t="str">
        <f t="shared" si="24"/>
        <v/>
      </c>
      <c r="P439" s="19" t="str">
        <f t="shared" si="24"/>
        <v/>
      </c>
      <c r="Q439" s="19" t="str">
        <f t="shared" si="24"/>
        <v/>
      </c>
      <c r="R439" s="21"/>
      <c r="T439" s="21"/>
      <c r="W439" s="46"/>
      <c r="X439" s="92" t="s">
        <v>78</v>
      </c>
      <c r="Y439" s="92" t="s">
        <v>78</v>
      </c>
      <c r="Z439" s="92" t="s">
        <v>78</v>
      </c>
    </row>
    <row r="440" spans="1:26" ht="16" hidden="1" x14ac:dyDescent="0.4">
      <c r="A440" s="92">
        <v>2184</v>
      </c>
      <c r="B440" s="92">
        <v>2185</v>
      </c>
      <c r="E440" s="92">
        <v>50</v>
      </c>
      <c r="F440" s="92">
        <f>_xlfn.XLOOKUP(B440, DATA_Moresby_2024_ALL!B:B, DATA_Moresby_2024_ALL!G:G, "")</f>
        <v>0</v>
      </c>
      <c r="G440" s="93"/>
      <c r="H440" s="92">
        <v>8</v>
      </c>
      <c r="I440" s="92" t="str">
        <f t="shared" si="23"/>
        <v>X</v>
      </c>
      <c r="J440" s="79" t="str">
        <f>IF(G440="","X",_xlfn.XLOOKUP(B440,DATA_Moresby_2024_ALL!B:B,DATA_Moresby_2024_ALL!K:K,""))</f>
        <v>X</v>
      </c>
      <c r="K440" s="28"/>
      <c r="L440" s="29"/>
      <c r="M440" s="28"/>
      <c r="N440" s="19" t="str">
        <f t="shared" si="24"/>
        <v/>
      </c>
      <c r="O440" s="19" t="str">
        <f t="shared" si="24"/>
        <v/>
      </c>
      <c r="P440" s="19" t="str">
        <f t="shared" si="24"/>
        <v/>
      </c>
      <c r="Q440" s="19" t="str">
        <f t="shared" si="24"/>
        <v/>
      </c>
      <c r="R440" s="21"/>
      <c r="T440" s="21"/>
      <c r="W440" s="46"/>
      <c r="X440" s="92" t="s">
        <v>78</v>
      </c>
      <c r="Y440" s="92" t="s">
        <v>78</v>
      </c>
      <c r="Z440" s="92" t="s">
        <v>78</v>
      </c>
    </row>
    <row r="441" spans="1:26" ht="16" hidden="1" x14ac:dyDescent="0.4">
      <c r="A441" s="92">
        <v>2189</v>
      </c>
      <c r="B441" s="92">
        <v>2190</v>
      </c>
      <c r="E441" s="92">
        <v>50</v>
      </c>
      <c r="F441" s="92">
        <f>_xlfn.XLOOKUP(B441, DATA_Moresby_2024_ALL!B:B, DATA_Moresby_2024_ALL!G:G, "")</f>
        <v>0</v>
      </c>
      <c r="G441" s="93"/>
      <c r="H441" s="92">
        <v>8</v>
      </c>
      <c r="I441" s="92" t="str">
        <f t="shared" si="23"/>
        <v>X</v>
      </c>
      <c r="J441" s="79" t="str">
        <f>IF(G441="","X",_xlfn.XLOOKUP(B441,DATA_Moresby_2024_ALL!B:B,DATA_Moresby_2024_ALL!K:K,""))</f>
        <v>X</v>
      </c>
      <c r="K441" s="28"/>
      <c r="L441" s="29"/>
      <c r="M441" s="28"/>
      <c r="N441" s="19" t="str">
        <f t="shared" si="24"/>
        <v/>
      </c>
      <c r="O441" s="19" t="str">
        <f t="shared" si="24"/>
        <v/>
      </c>
      <c r="P441" s="19" t="str">
        <f t="shared" si="24"/>
        <v/>
      </c>
      <c r="Q441" s="19" t="str">
        <f t="shared" si="24"/>
        <v/>
      </c>
      <c r="R441" s="21"/>
      <c r="T441" s="21"/>
      <c r="W441" s="46"/>
      <c r="X441" s="92" t="s">
        <v>78</v>
      </c>
      <c r="Y441" s="92" t="s">
        <v>78</v>
      </c>
      <c r="Z441" s="92" t="s">
        <v>78</v>
      </c>
    </row>
    <row r="442" spans="1:26" ht="16" hidden="1" x14ac:dyDescent="0.4">
      <c r="A442" s="92">
        <v>2194</v>
      </c>
      <c r="B442" s="92">
        <v>2195</v>
      </c>
      <c r="E442" s="92">
        <v>50</v>
      </c>
      <c r="F442" s="92">
        <f>_xlfn.XLOOKUP(B442, DATA_Moresby_2024_ALL!B:B, DATA_Moresby_2024_ALL!G:G, "")</f>
        <v>0</v>
      </c>
      <c r="G442" s="93"/>
      <c r="H442" s="92">
        <v>8</v>
      </c>
      <c r="I442" s="92" t="str">
        <f t="shared" si="23"/>
        <v>X</v>
      </c>
      <c r="J442" s="79" t="str">
        <f>IF(G442="","X",_xlfn.XLOOKUP(B442,DATA_Moresby_2024_ALL!B:B,DATA_Moresby_2024_ALL!K:K,""))</f>
        <v>X</v>
      </c>
      <c r="K442" s="28"/>
      <c r="L442" s="29"/>
      <c r="M442" s="28"/>
      <c r="N442" s="19" t="str">
        <f t="shared" si="24"/>
        <v/>
      </c>
      <c r="O442" s="19" t="str">
        <f t="shared" si="24"/>
        <v/>
      </c>
      <c r="P442" s="19" t="str">
        <f t="shared" si="24"/>
        <v/>
      </c>
      <c r="Q442" s="19" t="str">
        <f t="shared" si="24"/>
        <v/>
      </c>
      <c r="R442" s="21"/>
      <c r="T442" s="21"/>
      <c r="W442" s="46"/>
      <c r="X442" s="92" t="s">
        <v>78</v>
      </c>
      <c r="Y442" s="92" t="s">
        <v>78</v>
      </c>
      <c r="Z442" s="92" t="s">
        <v>78</v>
      </c>
    </row>
    <row r="443" spans="1:26" ht="16" hidden="1" x14ac:dyDescent="0.4">
      <c r="A443" s="92">
        <v>2199</v>
      </c>
      <c r="B443" s="92">
        <v>2200</v>
      </c>
      <c r="E443" s="92">
        <v>50</v>
      </c>
      <c r="F443" s="92">
        <f>_xlfn.XLOOKUP(B443, DATA_Moresby_2024_ALL!B:B, DATA_Moresby_2024_ALL!G:G, "")</f>
        <v>0</v>
      </c>
      <c r="G443" s="93"/>
      <c r="H443" s="92">
        <v>8</v>
      </c>
      <c r="I443" s="92" t="str">
        <f t="shared" si="23"/>
        <v>X</v>
      </c>
      <c r="J443" s="79" t="str">
        <f>IF(G443="","X",_xlfn.XLOOKUP(B443,DATA_Moresby_2024_ALL!B:B,DATA_Moresby_2024_ALL!K:K,""))</f>
        <v>X</v>
      </c>
      <c r="K443" s="28"/>
      <c r="L443" s="29"/>
      <c r="M443" s="28"/>
      <c r="N443" s="19" t="str">
        <f t="shared" si="24"/>
        <v/>
      </c>
      <c r="O443" s="19" t="str">
        <f t="shared" si="24"/>
        <v/>
      </c>
      <c r="P443" s="19" t="str">
        <f t="shared" si="24"/>
        <v/>
      </c>
      <c r="Q443" s="19" t="str">
        <f t="shared" si="24"/>
        <v/>
      </c>
      <c r="R443" s="21"/>
      <c r="T443" s="21"/>
      <c r="W443" s="46"/>
      <c r="X443" s="92" t="s">
        <v>78</v>
      </c>
      <c r="Y443" s="92" t="s">
        <v>78</v>
      </c>
      <c r="Z443" s="92" t="s">
        <v>78</v>
      </c>
    </row>
    <row r="444" spans="1:26" ht="16" hidden="1" x14ac:dyDescent="0.4">
      <c r="A444" s="92">
        <v>2204</v>
      </c>
      <c r="B444" s="92">
        <v>2205</v>
      </c>
      <c r="E444" s="92">
        <v>50</v>
      </c>
      <c r="F444" s="92">
        <f>_xlfn.XLOOKUP(B444, DATA_Moresby_2024_ALL!B:B, DATA_Moresby_2024_ALL!G:G, "")</f>
        <v>0</v>
      </c>
      <c r="G444" s="93"/>
      <c r="H444" s="92">
        <v>8</v>
      </c>
      <c r="I444" s="92" t="str">
        <f t="shared" si="23"/>
        <v>X</v>
      </c>
      <c r="J444" s="79" t="str">
        <f>IF(G444="","X",_xlfn.XLOOKUP(B444,DATA_Moresby_2024_ALL!B:B,DATA_Moresby_2024_ALL!K:K,""))</f>
        <v>X</v>
      </c>
      <c r="K444" s="28"/>
      <c r="L444" s="29"/>
      <c r="M444" s="28"/>
      <c r="N444" s="19" t="str">
        <f t="shared" si="24"/>
        <v/>
      </c>
      <c r="O444" s="19" t="str">
        <f t="shared" si="24"/>
        <v/>
      </c>
      <c r="P444" s="19" t="str">
        <f t="shared" si="24"/>
        <v/>
      </c>
      <c r="Q444" s="19" t="str">
        <f t="shared" si="24"/>
        <v/>
      </c>
      <c r="R444" s="21"/>
      <c r="T444" s="21"/>
      <c r="W444" s="46"/>
      <c r="X444" s="92" t="s">
        <v>78</v>
      </c>
      <c r="Y444" s="92" t="s">
        <v>78</v>
      </c>
      <c r="Z444" s="92" t="s">
        <v>78</v>
      </c>
    </row>
    <row r="445" spans="1:26" ht="16" hidden="1" x14ac:dyDescent="0.4">
      <c r="A445" s="92">
        <v>2209</v>
      </c>
      <c r="B445" s="92">
        <v>2210</v>
      </c>
      <c r="E445" s="92">
        <v>50</v>
      </c>
      <c r="F445" s="92">
        <f>_xlfn.XLOOKUP(B445, DATA_Moresby_2024_ALL!B:B, DATA_Moresby_2024_ALL!G:G, "")</f>
        <v>0</v>
      </c>
      <c r="G445" s="93"/>
      <c r="H445" s="92">
        <v>8</v>
      </c>
      <c r="I445" s="92" t="str">
        <f t="shared" si="23"/>
        <v>X</v>
      </c>
      <c r="J445" s="79" t="str">
        <f>IF(G445="","X",_xlfn.XLOOKUP(B445,DATA_Moresby_2024_ALL!B:B,DATA_Moresby_2024_ALL!K:K,""))</f>
        <v>X</v>
      </c>
      <c r="K445" s="28"/>
      <c r="L445" s="29"/>
      <c r="M445" s="28"/>
      <c r="N445" s="19" t="str">
        <f t="shared" si="24"/>
        <v/>
      </c>
      <c r="O445" s="19" t="str">
        <f t="shared" si="24"/>
        <v/>
      </c>
      <c r="P445" s="19" t="str">
        <f t="shared" si="24"/>
        <v/>
      </c>
      <c r="Q445" s="19" t="str">
        <f t="shared" si="24"/>
        <v/>
      </c>
      <c r="R445" s="21"/>
      <c r="T445" s="21"/>
      <c r="W445" s="46"/>
      <c r="X445" s="92" t="s">
        <v>78</v>
      </c>
      <c r="Y445" s="92" t="s">
        <v>78</v>
      </c>
      <c r="Z445" s="92" t="s">
        <v>78</v>
      </c>
    </row>
    <row r="446" spans="1:26" ht="16" hidden="1" x14ac:dyDescent="0.4">
      <c r="A446" s="92">
        <v>2214</v>
      </c>
      <c r="B446" s="92">
        <v>2215</v>
      </c>
      <c r="E446" s="92">
        <v>50</v>
      </c>
      <c r="F446" s="92">
        <f>_xlfn.XLOOKUP(B446, DATA_Moresby_2024_ALL!B:B, DATA_Moresby_2024_ALL!G:G, "")</f>
        <v>0</v>
      </c>
      <c r="G446" s="93"/>
      <c r="H446" s="92">
        <v>8</v>
      </c>
      <c r="I446" s="92" t="str">
        <f t="shared" si="23"/>
        <v>X</v>
      </c>
      <c r="J446" s="79" t="str">
        <f>IF(G446="","X",_xlfn.XLOOKUP(B446,DATA_Moresby_2024_ALL!B:B,DATA_Moresby_2024_ALL!K:K,""))</f>
        <v>X</v>
      </c>
      <c r="K446" s="28"/>
      <c r="L446" s="29"/>
      <c r="M446" s="28"/>
      <c r="N446" s="19" t="str">
        <f t="shared" si="24"/>
        <v/>
      </c>
      <c r="O446" s="19" t="str">
        <f t="shared" si="24"/>
        <v/>
      </c>
      <c r="P446" s="19" t="str">
        <f t="shared" si="24"/>
        <v/>
      </c>
      <c r="Q446" s="19" t="str">
        <f t="shared" si="24"/>
        <v/>
      </c>
      <c r="R446" s="21"/>
      <c r="T446" s="21"/>
      <c r="W446" s="46"/>
      <c r="X446" s="92" t="s">
        <v>78</v>
      </c>
      <c r="Y446" s="92" t="s">
        <v>78</v>
      </c>
      <c r="Z446" s="92" t="s">
        <v>78</v>
      </c>
    </row>
    <row r="447" spans="1:26" ht="16" hidden="1" x14ac:dyDescent="0.4">
      <c r="A447" s="92">
        <v>2219</v>
      </c>
      <c r="B447" s="92">
        <v>2220</v>
      </c>
      <c r="E447" s="92">
        <v>50</v>
      </c>
      <c r="F447" s="92">
        <f>_xlfn.XLOOKUP(B447, DATA_Moresby_2024_ALL!B:B, DATA_Moresby_2024_ALL!G:G, "")</f>
        <v>0</v>
      </c>
      <c r="G447" s="93"/>
      <c r="H447" s="92">
        <v>8</v>
      </c>
      <c r="I447" s="92" t="str">
        <f t="shared" si="23"/>
        <v>X</v>
      </c>
      <c r="J447" s="79" t="str">
        <f>IF(G447="","X",_xlfn.XLOOKUP(B447,DATA_Moresby_2024_ALL!B:B,DATA_Moresby_2024_ALL!K:K,""))</f>
        <v>X</v>
      </c>
      <c r="K447" s="28"/>
      <c r="L447" s="29"/>
      <c r="M447" s="28"/>
      <c r="N447" s="19" t="str">
        <f t="shared" si="24"/>
        <v/>
      </c>
      <c r="O447" s="19" t="str">
        <f t="shared" si="24"/>
        <v/>
      </c>
      <c r="P447" s="19" t="str">
        <f t="shared" si="24"/>
        <v/>
      </c>
      <c r="Q447" s="19" t="str">
        <f t="shared" si="24"/>
        <v/>
      </c>
      <c r="R447" s="21"/>
      <c r="T447" s="21"/>
      <c r="W447" s="46"/>
      <c r="X447" s="92" t="s">
        <v>78</v>
      </c>
      <c r="Y447" s="92" t="s">
        <v>78</v>
      </c>
      <c r="Z447" s="92" t="s">
        <v>78</v>
      </c>
    </row>
    <row r="448" spans="1:26" ht="16" hidden="1" x14ac:dyDescent="0.4">
      <c r="A448" s="92">
        <v>2224</v>
      </c>
      <c r="B448" s="92">
        <v>2225</v>
      </c>
      <c r="E448" s="92">
        <v>50</v>
      </c>
      <c r="F448" s="92">
        <f>_xlfn.XLOOKUP(B448, DATA_Moresby_2024_ALL!B:B, DATA_Moresby_2024_ALL!G:G, "")</f>
        <v>0</v>
      </c>
      <c r="G448" s="93"/>
      <c r="H448" s="92">
        <v>8</v>
      </c>
      <c r="I448" s="92" t="str">
        <f t="shared" si="23"/>
        <v>X</v>
      </c>
      <c r="J448" s="79" t="str">
        <f>IF(G448="","X",_xlfn.XLOOKUP(B448,DATA_Moresby_2024_ALL!B:B,DATA_Moresby_2024_ALL!K:K,""))</f>
        <v>X</v>
      </c>
      <c r="K448" s="28"/>
      <c r="L448" s="29"/>
      <c r="M448" s="28"/>
      <c r="N448" s="19" t="str">
        <f t="shared" si="24"/>
        <v/>
      </c>
      <c r="O448" s="19" t="str">
        <f t="shared" si="24"/>
        <v/>
      </c>
      <c r="P448" s="19" t="str">
        <f t="shared" si="24"/>
        <v/>
      </c>
      <c r="Q448" s="19" t="str">
        <f t="shared" si="24"/>
        <v/>
      </c>
      <c r="R448" s="21"/>
      <c r="T448" s="21"/>
      <c r="W448" s="46"/>
      <c r="X448" s="92" t="s">
        <v>78</v>
      </c>
      <c r="Y448" s="92" t="s">
        <v>78</v>
      </c>
      <c r="Z448" s="92" t="s">
        <v>78</v>
      </c>
    </row>
    <row r="449" spans="1:26" ht="16" hidden="1" x14ac:dyDescent="0.4">
      <c r="A449" s="92">
        <v>2229</v>
      </c>
      <c r="B449" s="92">
        <v>2230</v>
      </c>
      <c r="E449" s="92">
        <v>50</v>
      </c>
      <c r="F449" s="92">
        <f>_xlfn.XLOOKUP(B449, DATA_Moresby_2024_ALL!B:B, DATA_Moresby_2024_ALL!G:G, "")</f>
        <v>0</v>
      </c>
      <c r="G449" s="93"/>
      <c r="H449" s="92">
        <v>8</v>
      </c>
      <c r="I449" s="92" t="str">
        <f t="shared" si="23"/>
        <v>X</v>
      </c>
      <c r="J449" s="79" t="str">
        <f>IF(G449="","X",_xlfn.XLOOKUP(B449,DATA_Moresby_2024_ALL!B:B,DATA_Moresby_2024_ALL!K:K,""))</f>
        <v>X</v>
      </c>
      <c r="K449" s="28"/>
      <c r="L449" s="29"/>
      <c r="M449" s="28"/>
      <c r="N449" s="19" t="str">
        <f t="shared" si="24"/>
        <v/>
      </c>
      <c r="O449" s="19" t="str">
        <f t="shared" si="24"/>
        <v/>
      </c>
      <c r="P449" s="19" t="str">
        <f t="shared" si="24"/>
        <v/>
      </c>
      <c r="Q449" s="19" t="str">
        <f t="shared" si="24"/>
        <v/>
      </c>
      <c r="R449" s="21"/>
      <c r="T449" s="21"/>
      <c r="W449" s="46"/>
      <c r="X449" s="92" t="s">
        <v>78</v>
      </c>
      <c r="Y449" s="92" t="s">
        <v>78</v>
      </c>
      <c r="Z449" s="92" t="s">
        <v>78</v>
      </c>
    </row>
    <row r="450" spans="1:26" ht="16" hidden="1" x14ac:dyDescent="0.4">
      <c r="A450" s="92">
        <v>2234</v>
      </c>
      <c r="B450" s="92">
        <v>2235</v>
      </c>
      <c r="E450" s="92">
        <v>50</v>
      </c>
      <c r="F450" s="92">
        <f>_xlfn.XLOOKUP(B450, DATA_Moresby_2024_ALL!B:B, DATA_Moresby_2024_ALL!G:G, "")</f>
        <v>0</v>
      </c>
      <c r="G450" s="93"/>
      <c r="H450" s="92">
        <v>8</v>
      </c>
      <c r="I450" s="92" t="str">
        <f t="shared" si="23"/>
        <v>X</v>
      </c>
      <c r="J450" s="79" t="str">
        <f>IF(G450="","X",_xlfn.XLOOKUP(B450,DATA_Moresby_2024_ALL!B:B,DATA_Moresby_2024_ALL!K:K,""))</f>
        <v>X</v>
      </c>
      <c r="K450" s="28"/>
      <c r="L450" s="29"/>
      <c r="M450" s="28"/>
      <c r="N450" s="19" t="str">
        <f t="shared" si="24"/>
        <v/>
      </c>
      <c r="O450" s="19" t="str">
        <f t="shared" si="24"/>
        <v/>
      </c>
      <c r="P450" s="19" t="str">
        <f t="shared" si="24"/>
        <v/>
      </c>
      <c r="Q450" s="19" t="str">
        <f t="shared" si="24"/>
        <v/>
      </c>
      <c r="R450" s="21"/>
      <c r="T450" s="21"/>
      <c r="W450" s="46"/>
      <c r="X450" s="92" t="s">
        <v>78</v>
      </c>
      <c r="Y450" s="92" t="s">
        <v>78</v>
      </c>
      <c r="Z450" s="92" t="s">
        <v>78</v>
      </c>
    </row>
    <row r="451" spans="1:26" ht="16" hidden="1" x14ac:dyDescent="0.4">
      <c r="A451" s="92">
        <v>2239</v>
      </c>
      <c r="B451" s="92">
        <v>2240</v>
      </c>
      <c r="E451" s="92">
        <v>50</v>
      </c>
      <c r="F451" s="92">
        <f>_xlfn.XLOOKUP(B451, DATA_Moresby_2024_ALL!B:B, DATA_Moresby_2024_ALL!G:G, "")</f>
        <v>0</v>
      </c>
      <c r="G451" s="93"/>
      <c r="H451" s="92">
        <v>8</v>
      </c>
      <c r="I451" s="92" t="str">
        <f t="shared" si="23"/>
        <v>X</v>
      </c>
      <c r="J451" s="79" t="str">
        <f>IF(G451="","X",_xlfn.XLOOKUP(B451,DATA_Moresby_2024_ALL!B:B,DATA_Moresby_2024_ALL!K:K,""))</f>
        <v>X</v>
      </c>
      <c r="K451" s="28"/>
      <c r="L451" s="29"/>
      <c r="M451" s="28"/>
      <c r="N451" s="19" t="str">
        <f t="shared" si="24"/>
        <v/>
      </c>
      <c r="O451" s="19" t="str">
        <f t="shared" si="24"/>
        <v/>
      </c>
      <c r="P451" s="19" t="str">
        <f t="shared" si="24"/>
        <v/>
      </c>
      <c r="Q451" s="19" t="str">
        <f t="shared" si="24"/>
        <v/>
      </c>
      <c r="R451" s="21"/>
      <c r="T451" s="21"/>
      <c r="W451" s="46"/>
      <c r="X451" s="92" t="s">
        <v>78</v>
      </c>
      <c r="Y451" s="92" t="s">
        <v>78</v>
      </c>
      <c r="Z451" s="92" t="s">
        <v>78</v>
      </c>
    </row>
    <row r="452" spans="1:26" ht="16" hidden="1" x14ac:dyDescent="0.4">
      <c r="A452" s="92">
        <v>2244</v>
      </c>
      <c r="B452" s="92">
        <v>2245</v>
      </c>
      <c r="E452" s="92">
        <v>50</v>
      </c>
      <c r="F452" s="92">
        <f>_xlfn.XLOOKUP(B452, DATA_Moresby_2024_ALL!B:B, DATA_Moresby_2024_ALL!G:G, "")</f>
        <v>0</v>
      </c>
      <c r="G452" s="93"/>
      <c r="H452" s="92">
        <v>8</v>
      </c>
      <c r="I452" s="92" t="str">
        <f t="shared" si="23"/>
        <v>X</v>
      </c>
      <c r="J452" s="79" t="str">
        <f>IF(G452="","X",_xlfn.XLOOKUP(B452,DATA_Moresby_2024_ALL!B:B,DATA_Moresby_2024_ALL!K:K,""))</f>
        <v>X</v>
      </c>
      <c r="K452" s="28"/>
      <c r="L452" s="29"/>
      <c r="M452" s="28"/>
      <c r="N452" s="19" t="str">
        <f t="shared" si="24"/>
        <v/>
      </c>
      <c r="O452" s="19" t="str">
        <f t="shared" si="24"/>
        <v/>
      </c>
      <c r="P452" s="19" t="str">
        <f t="shared" si="24"/>
        <v/>
      </c>
      <c r="Q452" s="19" t="str">
        <f t="shared" si="24"/>
        <v/>
      </c>
      <c r="R452" s="21"/>
      <c r="T452" s="21"/>
      <c r="W452" s="46"/>
      <c r="X452" s="92" t="s">
        <v>78</v>
      </c>
      <c r="Y452" s="92" t="s">
        <v>78</v>
      </c>
      <c r="Z452" s="92" t="s">
        <v>78</v>
      </c>
    </row>
    <row r="453" spans="1:26" ht="16" hidden="1" x14ac:dyDescent="0.4">
      <c r="A453" s="92">
        <v>2249</v>
      </c>
      <c r="B453" s="92">
        <v>2250</v>
      </c>
      <c r="E453" s="92">
        <v>50</v>
      </c>
      <c r="F453" s="92">
        <f>_xlfn.XLOOKUP(B453, DATA_Moresby_2024_ALL!B:B, DATA_Moresby_2024_ALL!G:G, "")</f>
        <v>0</v>
      </c>
      <c r="G453" s="93"/>
      <c r="H453" s="92">
        <v>8</v>
      </c>
      <c r="I453" s="92" t="str">
        <f t="shared" si="23"/>
        <v>X</v>
      </c>
      <c r="J453" s="79" t="str">
        <f>IF(G453="","X",_xlfn.XLOOKUP(B453,DATA_Moresby_2024_ALL!B:B,DATA_Moresby_2024_ALL!K:K,""))</f>
        <v>X</v>
      </c>
      <c r="K453" s="28"/>
      <c r="L453" s="29"/>
      <c r="M453" s="28"/>
      <c r="N453" s="19" t="str">
        <f t="shared" si="24"/>
        <v/>
      </c>
      <c r="O453" s="19" t="str">
        <f t="shared" si="24"/>
        <v/>
      </c>
      <c r="P453" s="19" t="str">
        <f t="shared" si="24"/>
        <v/>
      </c>
      <c r="Q453" s="19" t="str">
        <f t="shared" si="24"/>
        <v/>
      </c>
      <c r="R453" s="21"/>
      <c r="T453" s="21"/>
      <c r="W453" s="46"/>
      <c r="X453" s="92" t="s">
        <v>78</v>
      </c>
      <c r="Y453" s="92" t="s">
        <v>78</v>
      </c>
      <c r="Z453" s="92" t="s">
        <v>78</v>
      </c>
    </row>
    <row r="454" spans="1:26" ht="16" hidden="1" x14ac:dyDescent="0.4">
      <c r="A454" s="92">
        <v>2254</v>
      </c>
      <c r="B454" s="92">
        <v>2255</v>
      </c>
      <c r="E454" s="92">
        <v>50</v>
      </c>
      <c r="F454" s="92">
        <f>_xlfn.XLOOKUP(B454, DATA_Moresby_2024_ALL!B:B, DATA_Moresby_2024_ALL!G:G, "")</f>
        <v>0</v>
      </c>
      <c r="G454" s="93"/>
      <c r="H454" s="92">
        <v>8</v>
      </c>
      <c r="I454" s="92" t="str">
        <f t="shared" si="23"/>
        <v>X</v>
      </c>
      <c r="J454" s="79" t="str">
        <f>IF(G454="","X",_xlfn.XLOOKUP(B454,DATA_Moresby_2024_ALL!B:B,DATA_Moresby_2024_ALL!K:K,""))</f>
        <v>X</v>
      </c>
      <c r="K454" s="28"/>
      <c r="L454" s="29"/>
      <c r="M454" s="28"/>
      <c r="N454" s="19" t="str">
        <f t="shared" si="24"/>
        <v/>
      </c>
      <c r="O454" s="19" t="str">
        <f t="shared" si="24"/>
        <v/>
      </c>
      <c r="P454" s="19" t="str">
        <f t="shared" si="24"/>
        <v/>
      </c>
      <c r="Q454" s="19" t="str">
        <f t="shared" si="24"/>
        <v/>
      </c>
      <c r="R454" s="21"/>
      <c r="T454" s="21"/>
      <c r="W454" s="46"/>
      <c r="X454" s="92" t="s">
        <v>78</v>
      </c>
      <c r="Y454" s="92" t="s">
        <v>78</v>
      </c>
      <c r="Z454" s="92" t="s">
        <v>78</v>
      </c>
    </row>
    <row r="455" spans="1:26" ht="16" hidden="1" x14ac:dyDescent="0.4">
      <c r="A455" s="92">
        <v>2259</v>
      </c>
      <c r="B455" s="92">
        <v>2260</v>
      </c>
      <c r="E455" s="92">
        <v>50</v>
      </c>
      <c r="F455" s="92">
        <f>_xlfn.XLOOKUP(B455, DATA_Moresby_2024_ALL!B:B, DATA_Moresby_2024_ALL!G:G, "")</f>
        <v>0</v>
      </c>
      <c r="G455" s="93"/>
      <c r="H455" s="92">
        <v>8</v>
      </c>
      <c r="I455" s="92" t="str">
        <f t="shared" si="23"/>
        <v>X</v>
      </c>
      <c r="J455" s="79" t="str">
        <f>IF(G455="","X",_xlfn.XLOOKUP(B455,DATA_Moresby_2024_ALL!B:B,DATA_Moresby_2024_ALL!K:K,""))</f>
        <v>X</v>
      </c>
      <c r="K455" s="28"/>
      <c r="L455" s="29"/>
      <c r="M455" s="28"/>
      <c r="N455" s="19" t="str">
        <f t="shared" si="24"/>
        <v/>
      </c>
      <c r="O455" s="19" t="str">
        <f t="shared" si="24"/>
        <v/>
      </c>
      <c r="P455" s="19" t="str">
        <f t="shared" si="24"/>
        <v/>
      </c>
      <c r="Q455" s="19" t="str">
        <f t="shared" si="24"/>
        <v/>
      </c>
      <c r="R455" s="21"/>
      <c r="T455" s="21"/>
      <c r="W455" s="46"/>
      <c r="X455" s="92" t="s">
        <v>78</v>
      </c>
      <c r="Y455" s="92" t="s">
        <v>78</v>
      </c>
      <c r="Z455" s="92" t="s">
        <v>78</v>
      </c>
    </row>
    <row r="456" spans="1:26" ht="16" hidden="1" x14ac:dyDescent="0.4">
      <c r="A456" s="92">
        <v>2264</v>
      </c>
      <c r="B456" s="92">
        <v>2265</v>
      </c>
      <c r="E456" s="92">
        <v>50</v>
      </c>
      <c r="F456" s="92">
        <f>_xlfn.XLOOKUP(B456, DATA_Moresby_2024_ALL!B:B, DATA_Moresby_2024_ALL!G:G, "")</f>
        <v>0</v>
      </c>
      <c r="G456" s="93"/>
      <c r="H456" s="92">
        <v>8</v>
      </c>
      <c r="I456" s="92" t="str">
        <f t="shared" si="23"/>
        <v>X</v>
      </c>
      <c r="J456" s="79" t="str">
        <f>IF(G456="","X",_xlfn.XLOOKUP(B456,DATA_Moresby_2024_ALL!B:B,DATA_Moresby_2024_ALL!K:K,""))</f>
        <v>X</v>
      </c>
      <c r="K456" s="28"/>
      <c r="L456" s="29"/>
      <c r="M456" s="28"/>
      <c r="N456" s="19" t="str">
        <f t="shared" si="24"/>
        <v/>
      </c>
      <c r="O456" s="19" t="str">
        <f t="shared" si="24"/>
        <v/>
      </c>
      <c r="P456" s="19" t="str">
        <f t="shared" si="24"/>
        <v/>
      </c>
      <c r="Q456" s="19" t="str">
        <f t="shared" si="24"/>
        <v/>
      </c>
      <c r="R456" s="21"/>
      <c r="T456" s="21"/>
      <c r="W456" s="46"/>
      <c r="X456" s="92" t="s">
        <v>78</v>
      </c>
      <c r="Y456" s="92" t="s">
        <v>78</v>
      </c>
      <c r="Z456" s="92" t="s">
        <v>78</v>
      </c>
    </row>
    <row r="457" spans="1:26" ht="16" hidden="1" x14ac:dyDescent="0.4">
      <c r="A457" s="92">
        <v>2269</v>
      </c>
      <c r="B457" s="92">
        <v>2270</v>
      </c>
      <c r="E457" s="92">
        <v>50</v>
      </c>
      <c r="F457" s="92">
        <f>_xlfn.XLOOKUP(B457, DATA_Moresby_2024_ALL!B:B, DATA_Moresby_2024_ALL!G:G, "")</f>
        <v>0</v>
      </c>
      <c r="G457" s="93"/>
      <c r="H457" s="92">
        <v>8</v>
      </c>
      <c r="I457" s="92" t="str">
        <f t="shared" si="23"/>
        <v>X</v>
      </c>
      <c r="J457" s="79" t="str">
        <f>IF(G457="","X",_xlfn.XLOOKUP(B457,DATA_Moresby_2024_ALL!B:B,DATA_Moresby_2024_ALL!K:K,""))</f>
        <v>X</v>
      </c>
      <c r="K457" s="28"/>
      <c r="L457" s="29"/>
      <c r="M457" s="28"/>
      <c r="N457" s="19" t="str">
        <f t="shared" si="24"/>
        <v/>
      </c>
      <c r="O457" s="19" t="str">
        <f t="shared" si="24"/>
        <v/>
      </c>
      <c r="P457" s="19" t="str">
        <f t="shared" si="24"/>
        <v/>
      </c>
      <c r="Q457" s="19" t="str">
        <f t="shared" si="24"/>
        <v/>
      </c>
      <c r="R457" s="21"/>
      <c r="T457" s="21"/>
      <c r="W457" s="46"/>
      <c r="X457" s="92" t="s">
        <v>78</v>
      </c>
      <c r="Y457" s="92" t="s">
        <v>78</v>
      </c>
      <c r="Z457" s="92" t="s">
        <v>78</v>
      </c>
    </row>
    <row r="458" spans="1:26" ht="16" hidden="1" x14ac:dyDescent="0.4">
      <c r="A458" s="92">
        <v>2274</v>
      </c>
      <c r="B458" s="92">
        <v>2275</v>
      </c>
      <c r="E458" s="92">
        <v>50</v>
      </c>
      <c r="F458" s="92">
        <f>_xlfn.XLOOKUP(B458, DATA_Moresby_2024_ALL!B:B, DATA_Moresby_2024_ALL!G:G, "")</f>
        <v>0</v>
      </c>
      <c r="G458" s="93"/>
      <c r="H458" s="92">
        <v>8</v>
      </c>
      <c r="I458" s="92" t="str">
        <f t="shared" si="23"/>
        <v>X</v>
      </c>
      <c r="J458" s="79" t="str">
        <f>IF(G458="","X",_xlfn.XLOOKUP(B458,DATA_Moresby_2024_ALL!B:B,DATA_Moresby_2024_ALL!K:K,""))</f>
        <v>X</v>
      </c>
      <c r="K458" s="28"/>
      <c r="L458" s="29"/>
      <c r="M458" s="28"/>
      <c r="N458" s="19" t="str">
        <f t="shared" si="24"/>
        <v/>
      </c>
      <c r="O458" s="19" t="str">
        <f t="shared" si="24"/>
        <v/>
      </c>
      <c r="P458" s="19" t="str">
        <f t="shared" si="24"/>
        <v/>
      </c>
      <c r="Q458" s="19" t="str">
        <f t="shared" si="24"/>
        <v/>
      </c>
      <c r="R458" s="21"/>
      <c r="T458" s="21"/>
      <c r="W458" s="46"/>
      <c r="X458" s="92" t="s">
        <v>78</v>
      </c>
      <c r="Y458" s="92" t="s">
        <v>78</v>
      </c>
      <c r="Z458" s="92" t="s">
        <v>78</v>
      </c>
    </row>
    <row r="459" spans="1:26" ht="16" hidden="1" x14ac:dyDescent="0.4">
      <c r="A459" s="92">
        <v>2279</v>
      </c>
      <c r="B459" s="92">
        <v>2280</v>
      </c>
      <c r="E459" s="92">
        <v>50</v>
      </c>
      <c r="F459" s="92">
        <f>_xlfn.XLOOKUP(B459, DATA_Moresby_2024_ALL!B:B, DATA_Moresby_2024_ALL!G:G, "")</f>
        <v>0</v>
      </c>
      <c r="G459" s="93"/>
      <c r="H459" s="92">
        <v>8</v>
      </c>
      <c r="I459" s="92" t="str">
        <f t="shared" si="23"/>
        <v>X</v>
      </c>
      <c r="J459" s="79" t="str">
        <f>IF(G459="","X",_xlfn.XLOOKUP(B459,DATA_Moresby_2024_ALL!B:B,DATA_Moresby_2024_ALL!K:K,""))</f>
        <v>X</v>
      </c>
      <c r="K459" s="28"/>
      <c r="L459" s="29"/>
      <c r="M459" s="28"/>
      <c r="N459" s="19" t="str">
        <f t="shared" si="24"/>
        <v/>
      </c>
      <c r="O459" s="19" t="str">
        <f t="shared" si="24"/>
        <v/>
      </c>
      <c r="P459" s="19" t="str">
        <f t="shared" si="24"/>
        <v/>
      </c>
      <c r="Q459" s="19" t="str">
        <f t="shared" si="24"/>
        <v/>
      </c>
      <c r="R459" s="21"/>
      <c r="T459" s="21"/>
      <c r="W459" s="46"/>
      <c r="X459" s="92" t="s">
        <v>78</v>
      </c>
      <c r="Y459" s="92" t="s">
        <v>78</v>
      </c>
      <c r="Z459" s="92" t="s">
        <v>78</v>
      </c>
    </row>
    <row r="460" spans="1:26" ht="16" hidden="1" x14ac:dyDescent="0.4">
      <c r="A460" s="92">
        <v>2284</v>
      </c>
      <c r="B460" s="92">
        <v>2285</v>
      </c>
      <c r="E460" s="92">
        <v>50</v>
      </c>
      <c r="F460" s="92">
        <f>_xlfn.XLOOKUP(B460, DATA_Moresby_2024_ALL!B:B, DATA_Moresby_2024_ALL!G:G, "")</f>
        <v>0</v>
      </c>
      <c r="G460" s="93"/>
      <c r="H460" s="92">
        <v>8</v>
      </c>
      <c r="I460" s="92" t="str">
        <f t="shared" si="23"/>
        <v>X</v>
      </c>
      <c r="J460" s="79" t="str">
        <f>IF(G460="","X",_xlfn.XLOOKUP(B460,DATA_Moresby_2024_ALL!B:B,DATA_Moresby_2024_ALL!K:K,""))</f>
        <v>X</v>
      </c>
      <c r="K460" s="28"/>
      <c r="L460" s="29"/>
      <c r="M460" s="28"/>
      <c r="N460" s="19" t="str">
        <f t="shared" si="24"/>
        <v/>
      </c>
      <c r="O460" s="19" t="str">
        <f t="shared" si="24"/>
        <v/>
      </c>
      <c r="P460" s="19" t="str">
        <f t="shared" si="24"/>
        <v/>
      </c>
      <c r="Q460" s="19" t="str">
        <f t="shared" si="24"/>
        <v/>
      </c>
      <c r="R460" s="21"/>
      <c r="T460" s="21"/>
      <c r="W460" s="46"/>
      <c r="X460" s="92" t="s">
        <v>78</v>
      </c>
      <c r="Y460" s="92" t="s">
        <v>78</v>
      </c>
      <c r="Z460" s="92" t="s">
        <v>78</v>
      </c>
    </row>
    <row r="461" spans="1:26" ht="16" hidden="1" x14ac:dyDescent="0.4">
      <c r="A461" s="92">
        <v>2289</v>
      </c>
      <c r="B461" s="92">
        <v>2290</v>
      </c>
      <c r="E461" s="92">
        <v>50</v>
      </c>
      <c r="F461" s="92">
        <f>_xlfn.XLOOKUP(B461, DATA_Moresby_2024_ALL!B:B, DATA_Moresby_2024_ALL!G:G, "")</f>
        <v>0</v>
      </c>
      <c r="G461" s="93"/>
      <c r="H461" s="92">
        <v>8</v>
      </c>
      <c r="I461" s="92" t="str">
        <f t="shared" si="23"/>
        <v>X</v>
      </c>
      <c r="J461" s="79" t="str">
        <f>IF(G461="","X",_xlfn.XLOOKUP(B461,DATA_Moresby_2024_ALL!B:B,DATA_Moresby_2024_ALL!K:K,""))</f>
        <v>X</v>
      </c>
      <c r="K461" s="28"/>
      <c r="L461" s="29"/>
      <c r="M461" s="28"/>
      <c r="N461" s="19" t="str">
        <f t="shared" si="24"/>
        <v/>
      </c>
      <c r="O461" s="19" t="str">
        <f t="shared" si="24"/>
        <v/>
      </c>
      <c r="P461" s="19" t="str">
        <f t="shared" si="24"/>
        <v/>
      </c>
      <c r="Q461" s="19" t="str">
        <f t="shared" si="24"/>
        <v/>
      </c>
      <c r="R461" s="21"/>
      <c r="T461" s="21"/>
      <c r="W461" s="46"/>
      <c r="X461" s="92" t="s">
        <v>78</v>
      </c>
      <c r="Y461" s="92" t="s">
        <v>78</v>
      </c>
      <c r="Z461" s="92" t="s">
        <v>78</v>
      </c>
    </row>
    <row r="462" spans="1:26" ht="16" hidden="1" x14ac:dyDescent="0.4">
      <c r="A462" s="92">
        <v>2294</v>
      </c>
      <c r="B462" s="92">
        <v>2295</v>
      </c>
      <c r="E462" s="92">
        <v>50</v>
      </c>
      <c r="F462" s="92">
        <f>_xlfn.XLOOKUP(B462, DATA_Moresby_2024_ALL!B:B, DATA_Moresby_2024_ALL!G:G, "")</f>
        <v>0</v>
      </c>
      <c r="G462" s="93"/>
      <c r="H462" s="92">
        <v>8</v>
      </c>
      <c r="I462" s="92" t="str">
        <f t="shared" si="23"/>
        <v>X</v>
      </c>
      <c r="J462" s="79" t="str">
        <f>IF(G462="","X",_xlfn.XLOOKUP(B462,DATA_Moresby_2024_ALL!B:B,DATA_Moresby_2024_ALL!K:K,""))</f>
        <v>X</v>
      </c>
      <c r="K462" s="28"/>
      <c r="L462" s="29"/>
      <c r="M462" s="28"/>
      <c r="N462" s="19" t="str">
        <f t="shared" si="24"/>
        <v/>
      </c>
      <c r="O462" s="19" t="str">
        <f t="shared" si="24"/>
        <v/>
      </c>
      <c r="P462" s="19" t="str">
        <f t="shared" si="24"/>
        <v/>
      </c>
      <c r="Q462" s="19" t="str">
        <f t="shared" si="24"/>
        <v/>
      </c>
      <c r="R462" s="21"/>
      <c r="T462" s="21"/>
      <c r="W462" s="46"/>
      <c r="X462" s="92" t="s">
        <v>78</v>
      </c>
      <c r="Y462" s="92" t="s">
        <v>78</v>
      </c>
      <c r="Z462" s="92" t="s">
        <v>78</v>
      </c>
    </row>
    <row r="463" spans="1:26" ht="16" hidden="1" x14ac:dyDescent="0.4">
      <c r="A463" s="92">
        <v>2299</v>
      </c>
      <c r="B463" s="92">
        <v>2300</v>
      </c>
      <c r="E463" s="92">
        <v>50</v>
      </c>
      <c r="F463" s="92">
        <f>_xlfn.XLOOKUP(B463, DATA_Moresby_2024_ALL!B:B, DATA_Moresby_2024_ALL!G:G, "")</f>
        <v>0</v>
      </c>
      <c r="G463" s="93"/>
      <c r="H463" s="92">
        <v>8</v>
      </c>
      <c r="I463" s="92" t="str">
        <f t="shared" si="23"/>
        <v>X</v>
      </c>
      <c r="J463" s="79" t="str">
        <f>IF(G463="","X",_xlfn.XLOOKUP(B463,DATA_Moresby_2024_ALL!B:B,DATA_Moresby_2024_ALL!K:K,""))</f>
        <v>X</v>
      </c>
      <c r="K463" s="28"/>
      <c r="L463" s="29"/>
      <c r="M463" s="28"/>
      <c r="N463" s="19" t="str">
        <f t="shared" si="24"/>
        <v/>
      </c>
      <c r="O463" s="19" t="str">
        <f t="shared" si="24"/>
        <v/>
      </c>
      <c r="P463" s="19" t="str">
        <f t="shared" si="24"/>
        <v/>
      </c>
      <c r="Q463" s="19" t="str">
        <f t="shared" si="24"/>
        <v/>
      </c>
      <c r="R463" s="21"/>
      <c r="T463" s="21"/>
      <c r="W463" s="46"/>
      <c r="X463" s="92" t="s">
        <v>78</v>
      </c>
      <c r="Y463" s="92" t="s">
        <v>78</v>
      </c>
      <c r="Z463" s="92" t="s">
        <v>78</v>
      </c>
    </row>
    <row r="464" spans="1:26" ht="16" hidden="1" x14ac:dyDescent="0.4">
      <c r="A464" s="92">
        <v>2304</v>
      </c>
      <c r="B464" s="92">
        <v>2305</v>
      </c>
      <c r="E464" s="92">
        <v>50</v>
      </c>
      <c r="F464" s="92">
        <f>_xlfn.XLOOKUP(B464, DATA_Moresby_2024_ALL!B:B, DATA_Moresby_2024_ALL!G:G, "")</f>
        <v>0</v>
      </c>
      <c r="G464" s="93"/>
      <c r="H464" s="92">
        <v>8</v>
      </c>
      <c r="I464" s="92" t="str">
        <f t="shared" si="23"/>
        <v>X</v>
      </c>
      <c r="J464" s="79" t="str">
        <f>IF(G464="","X",_xlfn.XLOOKUP(B464,DATA_Moresby_2024_ALL!B:B,DATA_Moresby_2024_ALL!K:K,""))</f>
        <v>X</v>
      </c>
      <c r="K464" s="28"/>
      <c r="L464" s="29"/>
      <c r="M464" s="28"/>
      <c r="N464" s="19" t="str">
        <f t="shared" si="24"/>
        <v/>
      </c>
      <c r="O464" s="19" t="str">
        <f t="shared" si="24"/>
        <v/>
      </c>
      <c r="P464" s="19" t="str">
        <f t="shared" si="24"/>
        <v/>
      </c>
      <c r="Q464" s="19" t="str">
        <f t="shared" si="24"/>
        <v/>
      </c>
      <c r="R464" s="21"/>
      <c r="T464" s="21"/>
      <c r="W464" s="46"/>
      <c r="X464" s="92" t="s">
        <v>78</v>
      </c>
      <c r="Y464" s="92" t="s">
        <v>78</v>
      </c>
      <c r="Z464" s="92" t="s">
        <v>78</v>
      </c>
    </row>
    <row r="465" spans="1:26" ht="16" hidden="1" x14ac:dyDescent="0.4">
      <c r="A465" s="92">
        <v>2309</v>
      </c>
      <c r="B465" s="92">
        <v>2310</v>
      </c>
      <c r="E465" s="92">
        <v>50</v>
      </c>
      <c r="F465" s="92">
        <f>_xlfn.XLOOKUP(B465, DATA_Moresby_2024_ALL!B:B, DATA_Moresby_2024_ALL!G:G, "")</f>
        <v>0</v>
      </c>
      <c r="G465" s="93"/>
      <c r="H465" s="92">
        <v>8</v>
      </c>
      <c r="I465" s="92" t="str">
        <f t="shared" si="23"/>
        <v>X</v>
      </c>
      <c r="J465" s="79" t="str">
        <f>IF(G465="","X",_xlfn.XLOOKUP(B465,DATA_Moresby_2024_ALL!B:B,DATA_Moresby_2024_ALL!K:K,""))</f>
        <v>X</v>
      </c>
      <c r="K465" s="28"/>
      <c r="L465" s="29"/>
      <c r="M465" s="28"/>
      <c r="N465" s="19" t="str">
        <f t="shared" si="24"/>
        <v/>
      </c>
      <c r="O465" s="19" t="str">
        <f t="shared" si="24"/>
        <v/>
      </c>
      <c r="P465" s="19" t="str">
        <f t="shared" si="24"/>
        <v/>
      </c>
      <c r="Q465" s="19" t="str">
        <f t="shared" si="24"/>
        <v/>
      </c>
      <c r="R465" s="21"/>
      <c r="T465" s="21"/>
      <c r="W465" s="46"/>
      <c r="X465" s="92" t="s">
        <v>78</v>
      </c>
      <c r="Y465" s="92" t="s">
        <v>78</v>
      </c>
      <c r="Z465" s="92" t="s">
        <v>78</v>
      </c>
    </row>
    <row r="466" spans="1:26" ht="16" hidden="1" x14ac:dyDescent="0.4">
      <c r="A466" s="92">
        <v>2314</v>
      </c>
      <c r="B466" s="92">
        <v>2315</v>
      </c>
      <c r="E466" s="92">
        <v>50</v>
      </c>
      <c r="F466" s="92">
        <f>_xlfn.XLOOKUP(B466, DATA_Moresby_2024_ALL!B:B, DATA_Moresby_2024_ALL!G:G, "")</f>
        <v>0</v>
      </c>
      <c r="G466" s="93"/>
      <c r="H466" s="92">
        <v>8</v>
      </c>
      <c r="I466" s="92" t="str">
        <f t="shared" si="23"/>
        <v>X</v>
      </c>
      <c r="J466" s="79" t="str">
        <f>IF(G466="","X",_xlfn.XLOOKUP(B466,DATA_Moresby_2024_ALL!B:B,DATA_Moresby_2024_ALL!K:K,""))</f>
        <v>X</v>
      </c>
      <c r="K466" s="28"/>
      <c r="L466" s="29"/>
      <c r="M466" s="28"/>
      <c r="N466" s="19" t="str">
        <f t="shared" si="24"/>
        <v/>
      </c>
      <c r="O466" s="19" t="str">
        <f t="shared" si="24"/>
        <v/>
      </c>
      <c r="P466" s="19" t="str">
        <f t="shared" si="24"/>
        <v/>
      </c>
      <c r="Q466" s="19" t="str">
        <f t="shared" si="24"/>
        <v/>
      </c>
      <c r="R466" s="21"/>
      <c r="T466" s="21"/>
      <c r="W466" s="46"/>
      <c r="X466" s="92" t="s">
        <v>78</v>
      </c>
      <c r="Y466" s="92" t="s">
        <v>78</v>
      </c>
      <c r="Z466" s="92" t="s">
        <v>78</v>
      </c>
    </row>
    <row r="467" spans="1:26" ht="16" hidden="1" x14ac:dyDescent="0.4">
      <c r="A467" s="92">
        <v>2319</v>
      </c>
      <c r="B467" s="92">
        <v>2320</v>
      </c>
      <c r="E467" s="92">
        <v>50</v>
      </c>
      <c r="F467" s="92">
        <f>_xlfn.XLOOKUP(B467, DATA_Moresby_2024_ALL!B:B, DATA_Moresby_2024_ALL!G:G, "")</f>
        <v>0</v>
      </c>
      <c r="G467" s="93"/>
      <c r="H467" s="92">
        <v>8</v>
      </c>
      <c r="I467" s="92" t="str">
        <f t="shared" ref="I467:I530" si="25">IF(G467="","X","")</f>
        <v>X</v>
      </c>
      <c r="J467" s="79" t="str">
        <f>IF(G467="","X",_xlfn.XLOOKUP(B467,DATA_Moresby_2024_ALL!B:B,DATA_Moresby_2024_ALL!K:K,""))</f>
        <v>X</v>
      </c>
      <c r="K467" s="28"/>
      <c r="L467" s="29"/>
      <c r="M467" s="28"/>
      <c r="N467" s="19" t="str">
        <f t="shared" si="24"/>
        <v/>
      </c>
      <c r="O467" s="19" t="str">
        <f t="shared" si="24"/>
        <v/>
      </c>
      <c r="P467" s="19" t="str">
        <f t="shared" si="24"/>
        <v/>
      </c>
      <c r="Q467" s="19" t="str">
        <f t="shared" si="24"/>
        <v/>
      </c>
      <c r="R467" s="21"/>
      <c r="T467" s="21"/>
      <c r="W467" s="46"/>
      <c r="X467" s="92" t="s">
        <v>78</v>
      </c>
      <c r="Y467" s="92" t="s">
        <v>78</v>
      </c>
      <c r="Z467" s="92" t="s">
        <v>78</v>
      </c>
    </row>
    <row r="468" spans="1:26" ht="16" hidden="1" x14ac:dyDescent="0.4">
      <c r="A468" s="92">
        <v>2324</v>
      </c>
      <c r="B468" s="92">
        <v>2325</v>
      </c>
      <c r="E468" s="92">
        <v>50</v>
      </c>
      <c r="F468" s="92">
        <f>_xlfn.XLOOKUP(B468, DATA_Moresby_2024_ALL!B:B, DATA_Moresby_2024_ALL!G:G, "")</f>
        <v>0</v>
      </c>
      <c r="G468" s="93"/>
      <c r="H468" s="92">
        <v>8</v>
      </c>
      <c r="I468" s="92" t="str">
        <f t="shared" si="25"/>
        <v>X</v>
      </c>
      <c r="J468" s="79" t="str">
        <f>IF(G468="","X",_xlfn.XLOOKUP(B468,DATA_Moresby_2024_ALL!B:B,DATA_Moresby_2024_ALL!K:K,""))</f>
        <v>X</v>
      </c>
      <c r="K468" s="28"/>
      <c r="L468" s="29"/>
      <c r="M468" s="28"/>
      <c r="N468" s="19" t="str">
        <f t="shared" si="24"/>
        <v/>
      </c>
      <c r="O468" s="19" t="str">
        <f t="shared" si="24"/>
        <v/>
      </c>
      <c r="P468" s="19" t="str">
        <f t="shared" si="24"/>
        <v/>
      </c>
      <c r="Q468" s="19" t="str">
        <f t="shared" si="24"/>
        <v/>
      </c>
      <c r="R468" s="21"/>
      <c r="T468" s="21"/>
      <c r="W468" s="46"/>
      <c r="X468" s="92" t="s">
        <v>78</v>
      </c>
      <c r="Y468" s="92" t="s">
        <v>78</v>
      </c>
      <c r="Z468" s="92" t="s">
        <v>78</v>
      </c>
    </row>
    <row r="469" spans="1:26" ht="16" hidden="1" x14ac:dyDescent="0.4">
      <c r="A469" s="92">
        <v>2329</v>
      </c>
      <c r="B469" s="92">
        <v>2330</v>
      </c>
      <c r="E469" s="92">
        <v>50</v>
      </c>
      <c r="F469" s="92">
        <f>_xlfn.XLOOKUP(B469, DATA_Moresby_2024_ALL!B:B, DATA_Moresby_2024_ALL!G:G, "")</f>
        <v>0</v>
      </c>
      <c r="G469" s="93"/>
      <c r="H469" s="92">
        <v>8</v>
      </c>
      <c r="I469" s="92" t="str">
        <f t="shared" si="25"/>
        <v>X</v>
      </c>
      <c r="J469" s="79" t="str">
        <f>IF(G469="","X",_xlfn.XLOOKUP(B469,DATA_Moresby_2024_ALL!B:B,DATA_Moresby_2024_ALL!K:K,""))</f>
        <v>X</v>
      </c>
      <c r="K469" s="28"/>
      <c r="L469" s="29"/>
      <c r="M469" s="28"/>
      <c r="N469" s="19" t="str">
        <f t="shared" si="24"/>
        <v/>
      </c>
      <c r="O469" s="19" t="str">
        <f t="shared" si="24"/>
        <v/>
      </c>
      <c r="P469" s="19" t="str">
        <f t="shared" si="24"/>
        <v/>
      </c>
      <c r="Q469" s="19" t="str">
        <f t="shared" si="24"/>
        <v/>
      </c>
      <c r="R469" s="21"/>
      <c r="T469" s="21"/>
      <c r="W469" s="46"/>
      <c r="X469" s="92" t="s">
        <v>78</v>
      </c>
      <c r="Y469" s="92" t="s">
        <v>78</v>
      </c>
      <c r="Z469" s="92" t="s">
        <v>78</v>
      </c>
    </row>
    <row r="470" spans="1:26" ht="16" hidden="1" x14ac:dyDescent="0.4">
      <c r="A470" s="92">
        <v>2334</v>
      </c>
      <c r="B470" s="92">
        <v>2335</v>
      </c>
      <c r="E470" s="92">
        <v>50</v>
      </c>
      <c r="F470" s="92">
        <f>_xlfn.XLOOKUP(B470, DATA_Moresby_2024_ALL!B:B, DATA_Moresby_2024_ALL!G:G, "")</f>
        <v>0</v>
      </c>
      <c r="G470" s="93"/>
      <c r="H470" s="92">
        <v>8</v>
      </c>
      <c r="I470" s="92" t="str">
        <f t="shared" si="25"/>
        <v>X</v>
      </c>
      <c r="J470" s="79" t="str">
        <f>IF(G470="","X",_xlfn.XLOOKUP(B470,DATA_Moresby_2024_ALL!B:B,DATA_Moresby_2024_ALL!K:K,""))</f>
        <v>X</v>
      </c>
      <c r="K470" s="28"/>
      <c r="L470" s="29"/>
      <c r="M470" s="28"/>
      <c r="N470" s="19" t="str">
        <f t="shared" si="24"/>
        <v/>
      </c>
      <c r="O470" s="19" t="str">
        <f t="shared" si="24"/>
        <v/>
      </c>
      <c r="P470" s="19" t="str">
        <f t="shared" si="24"/>
        <v/>
      </c>
      <c r="Q470" s="19" t="str">
        <f t="shared" si="24"/>
        <v/>
      </c>
      <c r="R470" s="21"/>
      <c r="T470" s="21"/>
      <c r="W470" s="46"/>
      <c r="X470" s="92" t="s">
        <v>78</v>
      </c>
      <c r="Y470" s="92" t="s">
        <v>78</v>
      </c>
      <c r="Z470" s="92" t="s">
        <v>78</v>
      </c>
    </row>
    <row r="471" spans="1:26" ht="16" hidden="1" x14ac:dyDescent="0.4">
      <c r="A471" s="92">
        <v>2339</v>
      </c>
      <c r="B471" s="92">
        <v>2340</v>
      </c>
      <c r="E471" s="92">
        <v>50</v>
      </c>
      <c r="F471" s="92">
        <f>_xlfn.XLOOKUP(B471, DATA_Moresby_2024_ALL!B:B, DATA_Moresby_2024_ALL!G:G, "")</f>
        <v>0</v>
      </c>
      <c r="G471" s="93"/>
      <c r="H471" s="92">
        <v>8</v>
      </c>
      <c r="I471" s="92" t="str">
        <f t="shared" si="25"/>
        <v>X</v>
      </c>
      <c r="J471" s="79" t="str">
        <f>IF(G471="","X",_xlfn.XLOOKUP(B471,DATA_Moresby_2024_ALL!B:B,DATA_Moresby_2024_ALL!K:K,""))</f>
        <v>X</v>
      </c>
      <c r="K471" s="28"/>
      <c r="L471" s="29"/>
      <c r="M471" s="28"/>
      <c r="N471" s="19" t="str">
        <f t="shared" si="24"/>
        <v/>
      </c>
      <c r="O471" s="19" t="str">
        <f t="shared" si="24"/>
        <v/>
      </c>
      <c r="P471" s="19" t="str">
        <f t="shared" si="24"/>
        <v/>
      </c>
      <c r="Q471" s="19" t="str">
        <f t="shared" si="24"/>
        <v/>
      </c>
      <c r="R471" s="21"/>
      <c r="T471" s="21"/>
      <c r="W471" s="46"/>
      <c r="X471" s="92" t="s">
        <v>78</v>
      </c>
      <c r="Y471" s="92" t="s">
        <v>78</v>
      </c>
      <c r="Z471" s="92" t="s">
        <v>78</v>
      </c>
    </row>
    <row r="472" spans="1:26" ht="16" hidden="1" x14ac:dyDescent="0.4">
      <c r="A472" s="92">
        <v>2344</v>
      </c>
      <c r="B472" s="92">
        <v>2345</v>
      </c>
      <c r="E472" s="92">
        <v>50</v>
      </c>
      <c r="F472" s="92">
        <f>_xlfn.XLOOKUP(B472, DATA_Moresby_2024_ALL!B:B, DATA_Moresby_2024_ALL!G:G, "")</f>
        <v>0</v>
      </c>
      <c r="G472" s="93"/>
      <c r="H472" s="92">
        <v>8</v>
      </c>
      <c r="I472" s="92" t="str">
        <f t="shared" si="25"/>
        <v>X</v>
      </c>
      <c r="J472" s="79" t="str">
        <f>IF(G472="","X",_xlfn.XLOOKUP(B472,DATA_Moresby_2024_ALL!B:B,DATA_Moresby_2024_ALL!K:K,""))</f>
        <v>X</v>
      </c>
      <c r="K472" s="28"/>
      <c r="L472" s="29"/>
      <c r="M472" s="28"/>
      <c r="N472" s="19" t="str">
        <f t="shared" si="24"/>
        <v/>
      </c>
      <c r="O472" s="19" t="str">
        <f t="shared" si="24"/>
        <v/>
      </c>
      <c r="P472" s="19" t="str">
        <f t="shared" si="24"/>
        <v/>
      </c>
      <c r="Q472" s="19" t="str">
        <f t="shared" si="24"/>
        <v/>
      </c>
      <c r="R472" s="21"/>
      <c r="T472" s="21"/>
      <c r="W472" s="46"/>
      <c r="X472" s="92" t="s">
        <v>78</v>
      </c>
      <c r="Y472" s="92" t="s">
        <v>78</v>
      </c>
      <c r="Z472" s="92" t="s">
        <v>78</v>
      </c>
    </row>
    <row r="473" spans="1:26" ht="16" hidden="1" x14ac:dyDescent="0.4">
      <c r="A473" s="92">
        <v>2349</v>
      </c>
      <c r="B473" s="92">
        <v>2350</v>
      </c>
      <c r="E473" s="92">
        <v>50</v>
      </c>
      <c r="F473" s="92">
        <f>_xlfn.XLOOKUP(B473, DATA_Moresby_2024_ALL!B:B, DATA_Moresby_2024_ALL!G:G, "")</f>
        <v>0</v>
      </c>
      <c r="G473" s="93"/>
      <c r="H473" s="92">
        <v>8</v>
      </c>
      <c r="I473" s="92" t="str">
        <f t="shared" si="25"/>
        <v>X</v>
      </c>
      <c r="J473" s="79" t="str">
        <f>IF(G473="","X",_xlfn.XLOOKUP(B473,DATA_Moresby_2024_ALL!B:B,DATA_Moresby_2024_ALL!K:K,""))</f>
        <v>X</v>
      </c>
      <c r="K473" s="28"/>
      <c r="L473" s="29"/>
      <c r="M473" s="28"/>
      <c r="N473" s="19" t="str">
        <f t="shared" si="24"/>
        <v/>
      </c>
      <c r="O473" s="19" t="str">
        <f t="shared" si="24"/>
        <v/>
      </c>
      <c r="P473" s="19" t="str">
        <f t="shared" si="24"/>
        <v/>
      </c>
      <c r="Q473" s="19" t="str">
        <f t="shared" si="24"/>
        <v/>
      </c>
      <c r="R473" s="21"/>
      <c r="T473" s="21"/>
      <c r="W473" s="46"/>
      <c r="X473" s="92" t="s">
        <v>78</v>
      </c>
      <c r="Y473" s="92" t="s">
        <v>78</v>
      </c>
      <c r="Z473" s="92" t="s">
        <v>78</v>
      </c>
    </row>
    <row r="474" spans="1:26" ht="16" hidden="1" x14ac:dyDescent="0.4">
      <c r="A474" s="92">
        <v>2354</v>
      </c>
      <c r="B474" s="92">
        <v>2355</v>
      </c>
      <c r="E474" s="92">
        <v>50</v>
      </c>
      <c r="F474" s="92">
        <f>_xlfn.XLOOKUP(B474, DATA_Moresby_2024_ALL!B:B, DATA_Moresby_2024_ALL!G:G, "")</f>
        <v>0</v>
      </c>
      <c r="G474" s="93"/>
      <c r="H474" s="92">
        <v>8</v>
      </c>
      <c r="I474" s="92" t="str">
        <f t="shared" si="25"/>
        <v>X</v>
      </c>
      <c r="J474" s="79" t="str">
        <f>IF(G474="","X",_xlfn.XLOOKUP(B474,DATA_Moresby_2024_ALL!B:B,DATA_Moresby_2024_ALL!K:K,""))</f>
        <v>X</v>
      </c>
      <c r="K474" s="28"/>
      <c r="L474" s="29"/>
      <c r="M474" s="28"/>
      <c r="N474" s="19" t="str">
        <f t="shared" si="24"/>
        <v/>
      </c>
      <c r="O474" s="19" t="str">
        <f t="shared" si="24"/>
        <v/>
      </c>
      <c r="P474" s="19" t="str">
        <f t="shared" si="24"/>
        <v/>
      </c>
      <c r="Q474" s="19" t="str">
        <f t="shared" si="24"/>
        <v/>
      </c>
      <c r="R474" s="21"/>
      <c r="T474" s="21"/>
      <c r="W474" s="46"/>
      <c r="X474" s="92" t="s">
        <v>78</v>
      </c>
      <c r="Y474" s="92" t="s">
        <v>78</v>
      </c>
      <c r="Z474" s="92" t="s">
        <v>78</v>
      </c>
    </row>
    <row r="475" spans="1:26" ht="16" hidden="1" x14ac:dyDescent="0.4">
      <c r="A475" s="92">
        <v>2359</v>
      </c>
      <c r="B475" s="92">
        <v>2360</v>
      </c>
      <c r="E475" s="92">
        <v>50</v>
      </c>
      <c r="F475" s="92">
        <f>_xlfn.XLOOKUP(B475, DATA_Moresby_2024_ALL!B:B, DATA_Moresby_2024_ALL!G:G, "")</f>
        <v>0</v>
      </c>
      <c r="G475" s="93"/>
      <c r="H475" s="92">
        <v>8</v>
      </c>
      <c r="I475" s="92" t="str">
        <f t="shared" si="25"/>
        <v>X</v>
      </c>
      <c r="J475" s="79" t="str">
        <f>IF(G475="","X",_xlfn.XLOOKUP(B475,DATA_Moresby_2024_ALL!B:B,DATA_Moresby_2024_ALL!K:K,""))</f>
        <v>X</v>
      </c>
      <c r="K475" s="28"/>
      <c r="L475" s="29"/>
      <c r="M475" s="28"/>
      <c r="N475" s="19" t="str">
        <f t="shared" si="24"/>
        <v/>
      </c>
      <c r="O475" s="19" t="str">
        <f t="shared" si="24"/>
        <v/>
      </c>
      <c r="P475" s="19" t="str">
        <f t="shared" si="24"/>
        <v/>
      </c>
      <c r="Q475" s="19" t="str">
        <f t="shared" si="24"/>
        <v/>
      </c>
      <c r="R475" s="21"/>
      <c r="T475" s="21"/>
      <c r="W475" s="46"/>
      <c r="X475" s="92" t="s">
        <v>78</v>
      </c>
      <c r="Y475" s="92" t="s">
        <v>78</v>
      </c>
      <c r="Z475" s="92" t="s">
        <v>78</v>
      </c>
    </row>
    <row r="476" spans="1:26" ht="16" hidden="1" x14ac:dyDescent="0.4">
      <c r="A476" s="92">
        <v>2364</v>
      </c>
      <c r="B476" s="92">
        <v>2365</v>
      </c>
      <c r="E476" s="92">
        <v>50</v>
      </c>
      <c r="F476" s="92">
        <f>_xlfn.XLOOKUP(B476, DATA_Moresby_2024_ALL!B:B, DATA_Moresby_2024_ALL!G:G, "")</f>
        <v>0</v>
      </c>
      <c r="G476" s="93"/>
      <c r="H476" s="92">
        <v>8</v>
      </c>
      <c r="I476" s="92" t="str">
        <f t="shared" si="25"/>
        <v>X</v>
      </c>
      <c r="J476" s="79" t="str">
        <f>IF(G476="","X",_xlfn.XLOOKUP(B476,DATA_Moresby_2024_ALL!B:B,DATA_Moresby_2024_ALL!K:K,""))</f>
        <v>X</v>
      </c>
      <c r="K476" s="28"/>
      <c r="L476" s="29"/>
      <c r="M476" s="28"/>
      <c r="N476" s="19" t="str">
        <f t="shared" si="24"/>
        <v/>
      </c>
      <c r="O476" s="19" t="str">
        <f t="shared" si="24"/>
        <v/>
      </c>
      <c r="P476" s="19" t="str">
        <f t="shared" si="24"/>
        <v/>
      </c>
      <c r="Q476" s="19" t="str">
        <f t="shared" si="24"/>
        <v/>
      </c>
      <c r="R476" s="21"/>
      <c r="T476" s="21"/>
      <c r="W476" s="46"/>
      <c r="X476" s="92" t="s">
        <v>78</v>
      </c>
      <c r="Y476" s="92" t="s">
        <v>78</v>
      </c>
      <c r="Z476" s="92" t="s">
        <v>78</v>
      </c>
    </row>
    <row r="477" spans="1:26" ht="16" hidden="1" x14ac:dyDescent="0.4">
      <c r="A477" s="92">
        <v>2369</v>
      </c>
      <c r="B477" s="92">
        <v>2370</v>
      </c>
      <c r="E477" s="92">
        <v>50</v>
      </c>
      <c r="F477" s="92">
        <f>_xlfn.XLOOKUP(B477, DATA_Moresby_2024_ALL!B:B, DATA_Moresby_2024_ALL!G:G, "")</f>
        <v>0</v>
      </c>
      <c r="G477" s="93"/>
      <c r="H477" s="92">
        <v>8</v>
      </c>
      <c r="I477" s="92" t="str">
        <f t="shared" si="25"/>
        <v>X</v>
      </c>
      <c r="J477" s="79" t="str">
        <f>IF(G477="","X",_xlfn.XLOOKUP(B477,DATA_Moresby_2024_ALL!B:B,DATA_Moresby_2024_ALL!K:K,""))</f>
        <v>X</v>
      </c>
      <c r="K477" s="28"/>
      <c r="L477" s="29"/>
      <c r="M477" s="28"/>
      <c r="N477" s="19" t="str">
        <f t="shared" si="24"/>
        <v/>
      </c>
      <c r="O477" s="19" t="str">
        <f t="shared" si="24"/>
        <v/>
      </c>
      <c r="P477" s="19" t="str">
        <f t="shared" si="24"/>
        <v/>
      </c>
      <c r="Q477" s="19" t="str">
        <f t="shared" ref="O477:Q540" si="26">IF($J477=1,4,"")</f>
        <v/>
      </c>
      <c r="R477" s="21"/>
      <c r="T477" s="21"/>
      <c r="W477" s="46"/>
      <c r="X477" s="92" t="s">
        <v>78</v>
      </c>
      <c r="Y477" s="92" t="s">
        <v>78</v>
      </c>
      <c r="Z477" s="92" t="s">
        <v>78</v>
      </c>
    </row>
    <row r="478" spans="1:26" ht="16" hidden="1" x14ac:dyDescent="0.4">
      <c r="A478" s="92">
        <v>2374</v>
      </c>
      <c r="B478" s="92">
        <v>2375</v>
      </c>
      <c r="E478" s="92">
        <v>50</v>
      </c>
      <c r="F478" s="92">
        <f>_xlfn.XLOOKUP(B478, DATA_Moresby_2024_ALL!B:B, DATA_Moresby_2024_ALL!G:G, "")</f>
        <v>0</v>
      </c>
      <c r="G478" s="93"/>
      <c r="H478" s="92">
        <v>8</v>
      </c>
      <c r="I478" s="92" t="str">
        <f t="shared" si="25"/>
        <v>X</v>
      </c>
      <c r="J478" s="79" t="str">
        <f>IF(G478="","X",_xlfn.XLOOKUP(B478,DATA_Moresby_2024_ALL!B:B,DATA_Moresby_2024_ALL!K:K,""))</f>
        <v>X</v>
      </c>
      <c r="K478" s="28"/>
      <c r="L478" s="29"/>
      <c r="M478" s="28"/>
      <c r="N478" s="19" t="str">
        <f t="shared" ref="N478:Q541" si="27">IF($J478=1,4,"")</f>
        <v/>
      </c>
      <c r="O478" s="19" t="str">
        <f t="shared" si="26"/>
        <v/>
      </c>
      <c r="P478" s="19" t="str">
        <f t="shared" si="26"/>
        <v/>
      </c>
      <c r="Q478" s="19" t="str">
        <f t="shared" si="26"/>
        <v/>
      </c>
      <c r="R478" s="21"/>
      <c r="T478" s="21"/>
      <c r="W478" s="46"/>
      <c r="X478" s="92" t="s">
        <v>78</v>
      </c>
      <c r="Y478" s="92" t="s">
        <v>78</v>
      </c>
      <c r="Z478" s="92" t="s">
        <v>78</v>
      </c>
    </row>
    <row r="479" spans="1:26" ht="16" hidden="1" x14ac:dyDescent="0.4">
      <c r="A479" s="92">
        <v>2379</v>
      </c>
      <c r="B479" s="92">
        <v>2380</v>
      </c>
      <c r="E479" s="92">
        <v>50</v>
      </c>
      <c r="F479" s="92">
        <f>_xlfn.XLOOKUP(B479, DATA_Moresby_2024_ALL!B:B, DATA_Moresby_2024_ALL!G:G, "")</f>
        <v>0</v>
      </c>
      <c r="G479" s="93"/>
      <c r="H479" s="92">
        <v>8</v>
      </c>
      <c r="I479" s="92" t="str">
        <f t="shared" si="25"/>
        <v>X</v>
      </c>
      <c r="J479" s="79" t="str">
        <f>IF(G479="","X",_xlfn.XLOOKUP(B479,DATA_Moresby_2024_ALL!B:B,DATA_Moresby_2024_ALL!K:K,""))</f>
        <v>X</v>
      </c>
      <c r="K479" s="28"/>
      <c r="L479" s="29"/>
      <c r="M479" s="28"/>
      <c r="N479" s="19" t="str">
        <f t="shared" si="27"/>
        <v/>
      </c>
      <c r="O479" s="19" t="str">
        <f t="shared" si="26"/>
        <v/>
      </c>
      <c r="P479" s="19" t="str">
        <f t="shared" si="26"/>
        <v/>
      </c>
      <c r="Q479" s="19" t="str">
        <f t="shared" si="26"/>
        <v/>
      </c>
      <c r="R479" s="21"/>
      <c r="T479" s="21"/>
      <c r="W479" s="46"/>
      <c r="X479" s="92" t="s">
        <v>78</v>
      </c>
      <c r="Y479" s="92" t="s">
        <v>78</v>
      </c>
      <c r="Z479" s="92" t="s">
        <v>78</v>
      </c>
    </row>
    <row r="480" spans="1:26" ht="16" hidden="1" x14ac:dyDescent="0.4">
      <c r="A480" s="92">
        <v>2384</v>
      </c>
      <c r="B480" s="92">
        <v>2385</v>
      </c>
      <c r="E480" s="92">
        <v>50</v>
      </c>
      <c r="F480" s="92">
        <f>_xlfn.XLOOKUP(B480, DATA_Moresby_2024_ALL!B:B, DATA_Moresby_2024_ALL!G:G, "")</f>
        <v>0</v>
      </c>
      <c r="G480" s="93"/>
      <c r="H480" s="92">
        <v>8</v>
      </c>
      <c r="I480" s="92" t="str">
        <f t="shared" si="25"/>
        <v>X</v>
      </c>
      <c r="J480" s="79" t="str">
        <f>IF(G480="","X",_xlfn.XLOOKUP(B480,DATA_Moresby_2024_ALL!B:B,DATA_Moresby_2024_ALL!K:K,""))</f>
        <v>X</v>
      </c>
      <c r="K480" s="28"/>
      <c r="L480" s="29"/>
      <c r="M480" s="28"/>
      <c r="N480" s="19" t="str">
        <f t="shared" si="27"/>
        <v/>
      </c>
      <c r="O480" s="19" t="str">
        <f t="shared" si="26"/>
        <v/>
      </c>
      <c r="P480" s="19" t="str">
        <f t="shared" si="26"/>
        <v/>
      </c>
      <c r="Q480" s="19" t="str">
        <f t="shared" si="26"/>
        <v/>
      </c>
      <c r="R480" s="21"/>
      <c r="T480" s="21"/>
      <c r="W480" s="46"/>
      <c r="X480" s="92" t="s">
        <v>78</v>
      </c>
      <c r="Y480" s="92" t="s">
        <v>78</v>
      </c>
      <c r="Z480" s="92" t="s">
        <v>78</v>
      </c>
    </row>
    <row r="481" spans="1:26" ht="16" hidden="1" x14ac:dyDescent="0.4">
      <c r="A481" s="92">
        <v>2389</v>
      </c>
      <c r="B481" s="92">
        <v>2390</v>
      </c>
      <c r="E481" s="92">
        <v>50</v>
      </c>
      <c r="F481" s="92">
        <f>_xlfn.XLOOKUP(B481, DATA_Moresby_2024_ALL!B:B, DATA_Moresby_2024_ALL!G:G, "")</f>
        <v>0</v>
      </c>
      <c r="G481" s="93"/>
      <c r="H481" s="92">
        <v>8</v>
      </c>
      <c r="I481" s="92" t="str">
        <f t="shared" si="25"/>
        <v>X</v>
      </c>
      <c r="J481" s="79" t="str">
        <f>IF(G481="","X",_xlfn.XLOOKUP(B481,DATA_Moresby_2024_ALL!B:B,DATA_Moresby_2024_ALL!K:K,""))</f>
        <v>X</v>
      </c>
      <c r="K481" s="28"/>
      <c r="L481" s="29"/>
      <c r="M481" s="28"/>
      <c r="N481" s="19" t="str">
        <f t="shared" si="27"/>
        <v/>
      </c>
      <c r="O481" s="19" t="str">
        <f t="shared" si="26"/>
        <v/>
      </c>
      <c r="P481" s="19" t="str">
        <f t="shared" si="26"/>
        <v/>
      </c>
      <c r="Q481" s="19" t="str">
        <f t="shared" si="26"/>
        <v/>
      </c>
      <c r="R481" s="21"/>
      <c r="T481" s="21"/>
      <c r="W481" s="46"/>
      <c r="X481" s="92" t="s">
        <v>78</v>
      </c>
      <c r="Y481" s="92" t="s">
        <v>78</v>
      </c>
      <c r="Z481" s="92" t="s">
        <v>78</v>
      </c>
    </row>
    <row r="482" spans="1:26" ht="16" hidden="1" x14ac:dyDescent="0.4">
      <c r="A482" s="92">
        <v>2394</v>
      </c>
      <c r="B482" s="92">
        <v>2395</v>
      </c>
      <c r="E482" s="92">
        <v>50</v>
      </c>
      <c r="F482" s="92">
        <f>_xlfn.XLOOKUP(B482, DATA_Moresby_2024_ALL!B:B, DATA_Moresby_2024_ALL!G:G, "")</f>
        <v>0</v>
      </c>
      <c r="G482" s="93"/>
      <c r="H482" s="92">
        <v>8</v>
      </c>
      <c r="I482" s="92" t="str">
        <f t="shared" si="25"/>
        <v>X</v>
      </c>
      <c r="J482" s="79" t="str">
        <f>IF(G482="","X",_xlfn.XLOOKUP(B482,DATA_Moresby_2024_ALL!B:B,DATA_Moresby_2024_ALL!K:K,""))</f>
        <v>X</v>
      </c>
      <c r="K482" s="28"/>
      <c r="L482" s="29"/>
      <c r="M482" s="28"/>
      <c r="N482" s="19" t="str">
        <f t="shared" si="27"/>
        <v/>
      </c>
      <c r="O482" s="19" t="str">
        <f t="shared" si="26"/>
        <v/>
      </c>
      <c r="P482" s="19" t="str">
        <f t="shared" si="26"/>
        <v/>
      </c>
      <c r="Q482" s="19" t="str">
        <f t="shared" si="26"/>
        <v/>
      </c>
      <c r="R482" s="21"/>
      <c r="T482" s="21"/>
      <c r="W482" s="46"/>
      <c r="X482" s="92" t="s">
        <v>78</v>
      </c>
      <c r="Y482" s="92" t="s">
        <v>78</v>
      </c>
      <c r="Z482" s="92" t="s">
        <v>78</v>
      </c>
    </row>
    <row r="483" spans="1:26" ht="16" hidden="1" x14ac:dyDescent="0.4">
      <c r="A483" s="92">
        <v>2399</v>
      </c>
      <c r="B483" s="92">
        <v>2400</v>
      </c>
      <c r="E483" s="92">
        <v>50</v>
      </c>
      <c r="F483" s="92">
        <f>_xlfn.XLOOKUP(B483, DATA_Moresby_2024_ALL!B:B, DATA_Moresby_2024_ALL!G:G, "")</f>
        <v>0</v>
      </c>
      <c r="G483" s="93"/>
      <c r="H483" s="92">
        <v>8</v>
      </c>
      <c r="I483" s="92" t="str">
        <f t="shared" si="25"/>
        <v>X</v>
      </c>
      <c r="J483" s="79" t="str">
        <f>IF(G483="","X",_xlfn.XLOOKUP(B483,DATA_Moresby_2024_ALL!B:B,DATA_Moresby_2024_ALL!K:K,""))</f>
        <v>X</v>
      </c>
      <c r="K483" s="28"/>
      <c r="L483" s="29"/>
      <c r="M483" s="28"/>
      <c r="N483" s="19" t="str">
        <f t="shared" si="27"/>
        <v/>
      </c>
      <c r="O483" s="19" t="str">
        <f t="shared" si="26"/>
        <v/>
      </c>
      <c r="P483" s="19" t="str">
        <f t="shared" si="26"/>
        <v/>
      </c>
      <c r="Q483" s="19" t="str">
        <f t="shared" si="26"/>
        <v/>
      </c>
      <c r="R483" s="21"/>
      <c r="T483" s="21"/>
      <c r="W483" s="46"/>
      <c r="X483" s="92" t="s">
        <v>78</v>
      </c>
      <c r="Y483" s="92" t="s">
        <v>78</v>
      </c>
      <c r="Z483" s="92" t="s">
        <v>78</v>
      </c>
    </row>
    <row r="484" spans="1:26" ht="16" hidden="1" x14ac:dyDescent="0.4">
      <c r="A484" s="92">
        <v>2404</v>
      </c>
      <c r="B484" s="92">
        <v>2405</v>
      </c>
      <c r="E484" s="92">
        <v>50</v>
      </c>
      <c r="F484" s="92">
        <f>_xlfn.XLOOKUP(B484, DATA_Moresby_2024_ALL!B:B, DATA_Moresby_2024_ALL!G:G, "")</f>
        <v>0</v>
      </c>
      <c r="G484" s="93"/>
      <c r="H484" s="92">
        <v>8</v>
      </c>
      <c r="I484" s="92" t="str">
        <f t="shared" si="25"/>
        <v>X</v>
      </c>
      <c r="J484" s="79" t="str">
        <f>IF(G484="","X",_xlfn.XLOOKUP(B484,DATA_Moresby_2024_ALL!B:B,DATA_Moresby_2024_ALL!K:K,""))</f>
        <v>X</v>
      </c>
      <c r="K484" s="28"/>
      <c r="L484" s="29"/>
      <c r="M484" s="28"/>
      <c r="N484" s="19" t="str">
        <f t="shared" si="27"/>
        <v/>
      </c>
      <c r="O484" s="19" t="str">
        <f t="shared" si="26"/>
        <v/>
      </c>
      <c r="P484" s="19" t="str">
        <f t="shared" si="26"/>
        <v/>
      </c>
      <c r="Q484" s="19" t="str">
        <f t="shared" si="26"/>
        <v/>
      </c>
      <c r="R484" s="21"/>
      <c r="T484" s="21"/>
      <c r="W484" s="46"/>
      <c r="X484" s="92" t="s">
        <v>78</v>
      </c>
      <c r="Y484" s="92" t="s">
        <v>78</v>
      </c>
      <c r="Z484" s="92" t="s">
        <v>78</v>
      </c>
    </row>
    <row r="485" spans="1:26" ht="16" hidden="1" x14ac:dyDescent="0.4">
      <c r="A485" s="92">
        <v>2409</v>
      </c>
      <c r="B485" s="92">
        <v>2410</v>
      </c>
      <c r="E485" s="92">
        <v>50</v>
      </c>
      <c r="F485" s="92">
        <f>_xlfn.XLOOKUP(B485, DATA_Moresby_2024_ALL!B:B, DATA_Moresby_2024_ALL!G:G, "")</f>
        <v>0</v>
      </c>
      <c r="G485" s="93"/>
      <c r="H485" s="92">
        <v>8</v>
      </c>
      <c r="I485" s="92" t="str">
        <f t="shared" si="25"/>
        <v>X</v>
      </c>
      <c r="J485" s="79" t="str">
        <f>IF(G485="","X",_xlfn.XLOOKUP(B485,DATA_Moresby_2024_ALL!B:B,DATA_Moresby_2024_ALL!K:K,""))</f>
        <v>X</v>
      </c>
      <c r="K485" s="28"/>
      <c r="L485" s="29"/>
      <c r="M485" s="28"/>
      <c r="N485" s="19" t="str">
        <f t="shared" si="27"/>
        <v/>
      </c>
      <c r="O485" s="19" t="str">
        <f t="shared" si="26"/>
        <v/>
      </c>
      <c r="P485" s="19" t="str">
        <f t="shared" si="26"/>
        <v/>
      </c>
      <c r="Q485" s="19" t="str">
        <f t="shared" si="26"/>
        <v/>
      </c>
      <c r="R485" s="21"/>
      <c r="T485" s="21"/>
      <c r="W485" s="46"/>
      <c r="X485" s="92" t="s">
        <v>78</v>
      </c>
      <c r="Y485" s="92" t="s">
        <v>78</v>
      </c>
      <c r="Z485" s="92" t="s">
        <v>78</v>
      </c>
    </row>
    <row r="486" spans="1:26" ht="16" hidden="1" x14ac:dyDescent="0.4">
      <c r="A486" s="92">
        <v>2414</v>
      </c>
      <c r="B486" s="92">
        <v>2415</v>
      </c>
      <c r="E486" s="92">
        <v>50</v>
      </c>
      <c r="F486" s="92">
        <f>_xlfn.XLOOKUP(B486, DATA_Moresby_2024_ALL!B:B, DATA_Moresby_2024_ALL!G:G, "")</f>
        <v>0</v>
      </c>
      <c r="G486" s="93"/>
      <c r="H486" s="92">
        <v>8</v>
      </c>
      <c r="I486" s="92" t="str">
        <f t="shared" si="25"/>
        <v>X</v>
      </c>
      <c r="J486" s="79" t="str">
        <f>IF(G486="","X",_xlfn.XLOOKUP(B486,DATA_Moresby_2024_ALL!B:B,DATA_Moresby_2024_ALL!K:K,""))</f>
        <v>X</v>
      </c>
      <c r="K486" s="28"/>
      <c r="L486" s="29"/>
      <c r="M486" s="28"/>
      <c r="N486" s="19" t="str">
        <f t="shared" si="27"/>
        <v/>
      </c>
      <c r="O486" s="19" t="str">
        <f t="shared" si="26"/>
        <v/>
      </c>
      <c r="P486" s="19" t="str">
        <f t="shared" si="26"/>
        <v/>
      </c>
      <c r="Q486" s="19" t="str">
        <f t="shared" si="26"/>
        <v/>
      </c>
      <c r="R486" s="21"/>
      <c r="T486" s="21"/>
      <c r="W486" s="46"/>
      <c r="X486" s="92" t="s">
        <v>78</v>
      </c>
      <c r="Y486" s="92" t="s">
        <v>78</v>
      </c>
      <c r="Z486" s="92" t="s">
        <v>78</v>
      </c>
    </row>
    <row r="487" spans="1:26" ht="16" hidden="1" x14ac:dyDescent="0.4">
      <c r="A487" s="92">
        <v>2419</v>
      </c>
      <c r="B487" s="92">
        <v>2420</v>
      </c>
      <c r="E487" s="92">
        <v>50</v>
      </c>
      <c r="F487" s="92">
        <f>_xlfn.XLOOKUP(B487, DATA_Moresby_2024_ALL!B:B, DATA_Moresby_2024_ALL!G:G, "")</f>
        <v>0</v>
      </c>
      <c r="G487" s="93"/>
      <c r="H487" s="92">
        <v>8</v>
      </c>
      <c r="I487" s="92" t="str">
        <f t="shared" si="25"/>
        <v>X</v>
      </c>
      <c r="J487" s="79" t="str">
        <f>IF(G487="","X",_xlfn.XLOOKUP(B487,DATA_Moresby_2024_ALL!B:B,DATA_Moresby_2024_ALL!K:K,""))</f>
        <v>X</v>
      </c>
      <c r="K487" s="28"/>
      <c r="L487" s="29"/>
      <c r="M487" s="28"/>
      <c r="N487" s="19" t="str">
        <f t="shared" si="27"/>
        <v/>
      </c>
      <c r="O487" s="19" t="str">
        <f t="shared" si="26"/>
        <v/>
      </c>
      <c r="P487" s="19" t="str">
        <f t="shared" si="26"/>
        <v/>
      </c>
      <c r="Q487" s="19" t="str">
        <f t="shared" si="26"/>
        <v/>
      </c>
      <c r="R487" s="21"/>
      <c r="T487" s="21"/>
      <c r="W487" s="46"/>
      <c r="X487" s="92" t="s">
        <v>78</v>
      </c>
      <c r="Y487" s="92" t="s">
        <v>78</v>
      </c>
      <c r="Z487" s="92" t="s">
        <v>78</v>
      </c>
    </row>
    <row r="488" spans="1:26" ht="16" hidden="1" x14ac:dyDescent="0.4">
      <c r="A488" s="92">
        <v>2424</v>
      </c>
      <c r="B488" s="92">
        <v>2425</v>
      </c>
      <c r="E488" s="92">
        <v>50</v>
      </c>
      <c r="F488" s="92">
        <f>_xlfn.XLOOKUP(B488, DATA_Moresby_2024_ALL!B:B, DATA_Moresby_2024_ALL!G:G, "")</f>
        <v>0</v>
      </c>
      <c r="G488" s="93"/>
      <c r="H488" s="92">
        <v>8</v>
      </c>
      <c r="I488" s="92" t="str">
        <f t="shared" si="25"/>
        <v>X</v>
      </c>
      <c r="J488" s="79" t="str">
        <f>IF(G488="","X",_xlfn.XLOOKUP(B488,DATA_Moresby_2024_ALL!B:B,DATA_Moresby_2024_ALL!K:K,""))</f>
        <v>X</v>
      </c>
      <c r="K488" s="28"/>
      <c r="L488" s="29"/>
      <c r="M488" s="28"/>
      <c r="N488" s="19" t="str">
        <f t="shared" si="27"/>
        <v/>
      </c>
      <c r="O488" s="19" t="str">
        <f t="shared" si="26"/>
        <v/>
      </c>
      <c r="P488" s="19" t="str">
        <f t="shared" si="26"/>
        <v/>
      </c>
      <c r="Q488" s="19" t="str">
        <f t="shared" si="26"/>
        <v/>
      </c>
      <c r="R488" s="21"/>
      <c r="T488" s="21"/>
      <c r="W488" s="46"/>
      <c r="X488" s="92" t="s">
        <v>78</v>
      </c>
      <c r="Y488" s="92" t="s">
        <v>78</v>
      </c>
      <c r="Z488" s="92" t="s">
        <v>78</v>
      </c>
    </row>
    <row r="489" spans="1:26" ht="16" hidden="1" x14ac:dyDescent="0.4">
      <c r="A489" s="92">
        <v>2429</v>
      </c>
      <c r="B489" s="92">
        <v>2430</v>
      </c>
      <c r="E489" s="92">
        <v>50</v>
      </c>
      <c r="F489" s="92">
        <f>_xlfn.XLOOKUP(B489, DATA_Moresby_2024_ALL!B:B, DATA_Moresby_2024_ALL!G:G, "")</f>
        <v>0</v>
      </c>
      <c r="G489" s="93"/>
      <c r="H489" s="92">
        <v>8</v>
      </c>
      <c r="I489" s="92" t="str">
        <f t="shared" si="25"/>
        <v>X</v>
      </c>
      <c r="J489" s="79" t="str">
        <f>IF(G489="","X",_xlfn.XLOOKUP(B489,DATA_Moresby_2024_ALL!B:B,DATA_Moresby_2024_ALL!K:K,""))</f>
        <v>X</v>
      </c>
      <c r="K489" s="28"/>
      <c r="L489" s="29"/>
      <c r="M489" s="28"/>
      <c r="N489" s="19" t="str">
        <f t="shared" si="27"/>
        <v/>
      </c>
      <c r="O489" s="19" t="str">
        <f t="shared" si="26"/>
        <v/>
      </c>
      <c r="P489" s="19" t="str">
        <f t="shared" si="26"/>
        <v/>
      </c>
      <c r="Q489" s="19" t="str">
        <f t="shared" si="26"/>
        <v/>
      </c>
      <c r="R489" s="21"/>
      <c r="T489" s="21"/>
      <c r="W489" s="46"/>
      <c r="X489" s="92" t="s">
        <v>78</v>
      </c>
      <c r="Y489" s="92" t="s">
        <v>78</v>
      </c>
      <c r="Z489" s="92" t="s">
        <v>78</v>
      </c>
    </row>
    <row r="490" spans="1:26" ht="16" hidden="1" x14ac:dyDescent="0.4">
      <c r="A490" s="92">
        <v>2434</v>
      </c>
      <c r="B490" s="92">
        <v>2435</v>
      </c>
      <c r="E490" s="92">
        <v>50</v>
      </c>
      <c r="F490" s="92">
        <f>_xlfn.XLOOKUP(B490, DATA_Moresby_2024_ALL!B:B, DATA_Moresby_2024_ALL!G:G, "")</f>
        <v>0</v>
      </c>
      <c r="G490" s="93"/>
      <c r="H490" s="92">
        <v>8</v>
      </c>
      <c r="I490" s="92" t="str">
        <f t="shared" si="25"/>
        <v>X</v>
      </c>
      <c r="J490" s="79" t="str">
        <f>IF(G490="","X",_xlfn.XLOOKUP(B490,DATA_Moresby_2024_ALL!B:B,DATA_Moresby_2024_ALL!K:K,""))</f>
        <v>X</v>
      </c>
      <c r="K490" s="28"/>
      <c r="L490" s="29"/>
      <c r="M490" s="28"/>
      <c r="N490" s="19" t="str">
        <f t="shared" si="27"/>
        <v/>
      </c>
      <c r="O490" s="19" t="str">
        <f t="shared" si="26"/>
        <v/>
      </c>
      <c r="P490" s="19" t="str">
        <f t="shared" si="26"/>
        <v/>
      </c>
      <c r="Q490" s="19" t="str">
        <f t="shared" si="26"/>
        <v/>
      </c>
      <c r="R490" s="21"/>
      <c r="T490" s="21"/>
      <c r="W490" s="46"/>
      <c r="X490" s="92" t="s">
        <v>78</v>
      </c>
      <c r="Y490" s="92" t="s">
        <v>78</v>
      </c>
      <c r="Z490" s="92" t="s">
        <v>78</v>
      </c>
    </row>
    <row r="491" spans="1:26" ht="16" hidden="1" x14ac:dyDescent="0.4">
      <c r="A491" s="92">
        <v>2439</v>
      </c>
      <c r="B491" s="92">
        <v>2440</v>
      </c>
      <c r="E491" s="92">
        <v>50</v>
      </c>
      <c r="F491" s="92">
        <f>_xlfn.XLOOKUP(B491, DATA_Moresby_2024_ALL!B:B, DATA_Moresby_2024_ALL!G:G, "")</f>
        <v>0</v>
      </c>
      <c r="G491" s="93"/>
      <c r="H491" s="92">
        <v>8</v>
      </c>
      <c r="I491" s="92" t="str">
        <f t="shared" si="25"/>
        <v>X</v>
      </c>
      <c r="J491" s="79" t="str">
        <f>IF(G491="","X",_xlfn.XLOOKUP(B491,DATA_Moresby_2024_ALL!B:B,DATA_Moresby_2024_ALL!K:K,""))</f>
        <v>X</v>
      </c>
      <c r="K491" s="28"/>
      <c r="L491" s="29"/>
      <c r="M491" s="28"/>
      <c r="N491" s="19" t="str">
        <f t="shared" si="27"/>
        <v/>
      </c>
      <c r="O491" s="19" t="str">
        <f t="shared" si="26"/>
        <v/>
      </c>
      <c r="P491" s="19" t="str">
        <f t="shared" si="26"/>
        <v/>
      </c>
      <c r="Q491" s="19" t="str">
        <f t="shared" si="26"/>
        <v/>
      </c>
      <c r="R491" s="21"/>
      <c r="T491" s="21"/>
      <c r="W491" s="46"/>
      <c r="X491" s="92" t="s">
        <v>78</v>
      </c>
      <c r="Y491" s="92" t="s">
        <v>78</v>
      </c>
      <c r="Z491" s="92" t="s">
        <v>78</v>
      </c>
    </row>
    <row r="492" spans="1:26" ht="16" hidden="1" x14ac:dyDescent="0.4">
      <c r="A492" s="92">
        <v>2444</v>
      </c>
      <c r="B492" s="92">
        <v>2445</v>
      </c>
      <c r="E492" s="92">
        <v>50</v>
      </c>
      <c r="F492" s="92">
        <f>_xlfn.XLOOKUP(B492, DATA_Moresby_2024_ALL!B:B, DATA_Moresby_2024_ALL!G:G, "")</f>
        <v>0</v>
      </c>
      <c r="G492" s="93"/>
      <c r="H492" s="92">
        <v>8</v>
      </c>
      <c r="I492" s="92" t="str">
        <f t="shared" si="25"/>
        <v>X</v>
      </c>
      <c r="J492" s="79" t="str">
        <f>IF(G492="","X",_xlfn.XLOOKUP(B492,DATA_Moresby_2024_ALL!B:B,DATA_Moresby_2024_ALL!K:K,""))</f>
        <v>X</v>
      </c>
      <c r="K492" s="28"/>
      <c r="L492" s="29"/>
      <c r="M492" s="28"/>
      <c r="N492" s="19" t="str">
        <f t="shared" si="27"/>
        <v/>
      </c>
      <c r="O492" s="19" t="str">
        <f t="shared" si="26"/>
        <v/>
      </c>
      <c r="P492" s="19" t="str">
        <f t="shared" si="26"/>
        <v/>
      </c>
      <c r="Q492" s="19" t="str">
        <f t="shared" si="26"/>
        <v/>
      </c>
      <c r="R492" s="21"/>
      <c r="T492" s="21"/>
      <c r="W492" s="46"/>
      <c r="X492" s="92" t="s">
        <v>78</v>
      </c>
      <c r="Y492" s="92" t="s">
        <v>78</v>
      </c>
      <c r="Z492" s="92" t="s">
        <v>78</v>
      </c>
    </row>
    <row r="493" spans="1:26" ht="16" hidden="1" x14ac:dyDescent="0.4">
      <c r="A493" s="92">
        <v>2449</v>
      </c>
      <c r="B493" s="92">
        <v>2450</v>
      </c>
      <c r="E493" s="92">
        <v>50</v>
      </c>
      <c r="F493" s="92">
        <f>_xlfn.XLOOKUP(B493, DATA_Moresby_2024_ALL!B:B, DATA_Moresby_2024_ALL!G:G, "")</f>
        <v>0</v>
      </c>
      <c r="G493" s="93"/>
      <c r="H493" s="92">
        <v>8</v>
      </c>
      <c r="I493" s="92" t="str">
        <f t="shared" si="25"/>
        <v>X</v>
      </c>
      <c r="J493" s="79" t="str">
        <f>IF(G493="","X",_xlfn.XLOOKUP(B493,DATA_Moresby_2024_ALL!B:B,DATA_Moresby_2024_ALL!K:K,""))</f>
        <v>X</v>
      </c>
      <c r="K493" s="28"/>
      <c r="L493" s="29"/>
      <c r="M493" s="28"/>
      <c r="N493" s="19" t="str">
        <f t="shared" si="27"/>
        <v/>
      </c>
      <c r="O493" s="19" t="str">
        <f t="shared" si="26"/>
        <v/>
      </c>
      <c r="P493" s="19" t="str">
        <f t="shared" si="26"/>
        <v/>
      </c>
      <c r="Q493" s="19" t="str">
        <f t="shared" si="26"/>
        <v/>
      </c>
      <c r="R493" s="21"/>
      <c r="T493" s="21"/>
      <c r="W493" s="46"/>
      <c r="X493" s="92" t="s">
        <v>78</v>
      </c>
      <c r="Y493" s="92" t="s">
        <v>78</v>
      </c>
      <c r="Z493" s="92" t="s">
        <v>78</v>
      </c>
    </row>
    <row r="494" spans="1:26" ht="16" hidden="1" x14ac:dyDescent="0.4">
      <c r="A494" s="92">
        <v>2454</v>
      </c>
      <c r="B494" s="92">
        <v>2455</v>
      </c>
      <c r="E494" s="92">
        <v>50</v>
      </c>
      <c r="F494" s="92">
        <f>_xlfn.XLOOKUP(B494, DATA_Moresby_2024_ALL!B:B, DATA_Moresby_2024_ALL!G:G, "")</f>
        <v>0</v>
      </c>
      <c r="G494" s="93"/>
      <c r="H494" s="92">
        <v>8</v>
      </c>
      <c r="I494" s="92" t="str">
        <f t="shared" si="25"/>
        <v>X</v>
      </c>
      <c r="J494" s="79" t="str">
        <f>IF(G494="","X",_xlfn.XLOOKUP(B494,DATA_Moresby_2024_ALL!B:B,DATA_Moresby_2024_ALL!K:K,""))</f>
        <v>X</v>
      </c>
      <c r="K494" s="28"/>
      <c r="L494" s="29"/>
      <c r="M494" s="28"/>
      <c r="N494" s="19" t="str">
        <f t="shared" si="27"/>
        <v/>
      </c>
      <c r="O494" s="19" t="str">
        <f t="shared" si="26"/>
        <v/>
      </c>
      <c r="P494" s="19" t="str">
        <f t="shared" si="26"/>
        <v/>
      </c>
      <c r="Q494" s="19" t="str">
        <f t="shared" si="26"/>
        <v/>
      </c>
      <c r="R494" s="21"/>
      <c r="T494" s="21"/>
      <c r="W494" s="46"/>
      <c r="X494" s="92" t="s">
        <v>78</v>
      </c>
      <c r="Y494" s="92" t="s">
        <v>78</v>
      </c>
      <c r="Z494" s="92" t="s">
        <v>78</v>
      </c>
    </row>
    <row r="495" spans="1:26" ht="16" hidden="1" x14ac:dyDescent="0.4">
      <c r="A495" s="92">
        <v>2459</v>
      </c>
      <c r="B495" s="92">
        <v>2460</v>
      </c>
      <c r="E495" s="92">
        <v>50</v>
      </c>
      <c r="F495" s="92">
        <f>_xlfn.XLOOKUP(B495, DATA_Moresby_2024_ALL!B:B, DATA_Moresby_2024_ALL!G:G, "")</f>
        <v>0</v>
      </c>
      <c r="G495" s="93"/>
      <c r="H495" s="92">
        <v>8</v>
      </c>
      <c r="I495" s="92" t="str">
        <f t="shared" si="25"/>
        <v>X</v>
      </c>
      <c r="J495" s="79" t="str">
        <f>IF(G495="","X",_xlfn.XLOOKUP(B495,DATA_Moresby_2024_ALL!B:B,DATA_Moresby_2024_ALL!K:K,""))</f>
        <v>X</v>
      </c>
      <c r="K495" s="28"/>
      <c r="L495" s="29"/>
      <c r="M495" s="28"/>
      <c r="N495" s="19" t="str">
        <f t="shared" si="27"/>
        <v/>
      </c>
      <c r="O495" s="19" t="str">
        <f t="shared" si="26"/>
        <v/>
      </c>
      <c r="P495" s="19" t="str">
        <f t="shared" si="26"/>
        <v/>
      </c>
      <c r="Q495" s="19" t="str">
        <f t="shared" si="26"/>
        <v/>
      </c>
      <c r="R495" s="21"/>
      <c r="T495" s="21"/>
      <c r="W495" s="46"/>
      <c r="X495" s="92" t="s">
        <v>78</v>
      </c>
      <c r="Y495" s="92" t="s">
        <v>78</v>
      </c>
      <c r="Z495" s="92" t="s">
        <v>78</v>
      </c>
    </row>
    <row r="496" spans="1:26" ht="16" hidden="1" x14ac:dyDescent="0.4">
      <c r="A496" s="92">
        <v>2464</v>
      </c>
      <c r="B496" s="92">
        <v>2465</v>
      </c>
      <c r="E496" s="92">
        <v>50</v>
      </c>
      <c r="F496" s="92">
        <f>_xlfn.XLOOKUP(B496, DATA_Moresby_2024_ALL!B:B, DATA_Moresby_2024_ALL!G:G, "")</f>
        <v>0</v>
      </c>
      <c r="G496" s="93"/>
      <c r="H496" s="92">
        <v>8</v>
      </c>
      <c r="I496" s="92" t="str">
        <f t="shared" si="25"/>
        <v>X</v>
      </c>
      <c r="J496" s="79" t="str">
        <f>IF(G496="","X",_xlfn.XLOOKUP(B496,DATA_Moresby_2024_ALL!B:B,DATA_Moresby_2024_ALL!K:K,""))</f>
        <v>X</v>
      </c>
      <c r="K496" s="28"/>
      <c r="L496" s="29"/>
      <c r="M496" s="28"/>
      <c r="N496" s="19" t="str">
        <f t="shared" si="27"/>
        <v/>
      </c>
      <c r="O496" s="19" t="str">
        <f t="shared" si="26"/>
        <v/>
      </c>
      <c r="P496" s="19" t="str">
        <f t="shared" si="26"/>
        <v/>
      </c>
      <c r="Q496" s="19" t="str">
        <f t="shared" si="26"/>
        <v/>
      </c>
      <c r="R496" s="21"/>
      <c r="T496" s="21"/>
      <c r="W496" s="46"/>
      <c r="X496" s="92" t="s">
        <v>78</v>
      </c>
      <c r="Y496" s="92" t="s">
        <v>78</v>
      </c>
      <c r="Z496" s="92" t="s">
        <v>78</v>
      </c>
    </row>
    <row r="497" spans="1:26" ht="16" hidden="1" x14ac:dyDescent="0.4">
      <c r="A497" s="92">
        <v>2469</v>
      </c>
      <c r="B497" s="92">
        <v>2470</v>
      </c>
      <c r="E497" s="92">
        <v>50</v>
      </c>
      <c r="F497" s="92">
        <f>_xlfn.XLOOKUP(B497, DATA_Moresby_2024_ALL!B:B, DATA_Moresby_2024_ALL!G:G, "")</f>
        <v>0</v>
      </c>
      <c r="G497" s="93"/>
      <c r="H497" s="92">
        <v>8</v>
      </c>
      <c r="I497" s="92" t="str">
        <f t="shared" si="25"/>
        <v>X</v>
      </c>
      <c r="J497" s="79" t="str">
        <f>IF(G497="","X",_xlfn.XLOOKUP(B497,DATA_Moresby_2024_ALL!B:B,DATA_Moresby_2024_ALL!K:K,""))</f>
        <v>X</v>
      </c>
      <c r="K497" s="28"/>
      <c r="L497" s="29"/>
      <c r="M497" s="28"/>
      <c r="N497" s="19" t="str">
        <f t="shared" si="27"/>
        <v/>
      </c>
      <c r="O497" s="19" t="str">
        <f t="shared" si="26"/>
        <v/>
      </c>
      <c r="P497" s="19" t="str">
        <f t="shared" si="26"/>
        <v/>
      </c>
      <c r="Q497" s="19" t="str">
        <f t="shared" si="26"/>
        <v/>
      </c>
      <c r="R497" s="21"/>
      <c r="T497" s="21"/>
      <c r="W497" s="46"/>
      <c r="X497" s="92" t="s">
        <v>78</v>
      </c>
      <c r="Y497" s="92" t="s">
        <v>78</v>
      </c>
      <c r="Z497" s="92" t="s">
        <v>78</v>
      </c>
    </row>
    <row r="498" spans="1:26" ht="16" hidden="1" x14ac:dyDescent="0.4">
      <c r="A498" s="92">
        <v>2474</v>
      </c>
      <c r="B498" s="92">
        <v>2475</v>
      </c>
      <c r="E498" s="92">
        <v>50</v>
      </c>
      <c r="F498" s="92">
        <f>_xlfn.XLOOKUP(B498, DATA_Moresby_2024_ALL!B:B, DATA_Moresby_2024_ALL!G:G, "")</f>
        <v>0</v>
      </c>
      <c r="G498" s="93"/>
      <c r="H498" s="92">
        <v>8</v>
      </c>
      <c r="I498" s="92" t="str">
        <f t="shared" si="25"/>
        <v>X</v>
      </c>
      <c r="J498" s="79" t="str">
        <f>IF(G498="","X",_xlfn.XLOOKUP(B498,DATA_Moresby_2024_ALL!B:B,DATA_Moresby_2024_ALL!K:K,""))</f>
        <v>X</v>
      </c>
      <c r="K498" s="28"/>
      <c r="L498" s="29"/>
      <c r="M498" s="28"/>
      <c r="N498" s="19" t="str">
        <f t="shared" si="27"/>
        <v/>
      </c>
      <c r="O498" s="19" t="str">
        <f t="shared" si="26"/>
        <v/>
      </c>
      <c r="P498" s="19" t="str">
        <f t="shared" si="26"/>
        <v/>
      </c>
      <c r="Q498" s="19" t="str">
        <f t="shared" si="26"/>
        <v/>
      </c>
      <c r="R498" s="21"/>
      <c r="T498" s="21"/>
      <c r="W498" s="46"/>
      <c r="X498" s="92" t="s">
        <v>78</v>
      </c>
      <c r="Y498" s="92" t="s">
        <v>78</v>
      </c>
      <c r="Z498" s="92" t="s">
        <v>78</v>
      </c>
    </row>
    <row r="499" spans="1:26" ht="16" hidden="1" x14ac:dyDescent="0.4">
      <c r="A499" s="92">
        <v>2479</v>
      </c>
      <c r="B499" s="92">
        <v>2480</v>
      </c>
      <c r="E499" s="92">
        <v>50</v>
      </c>
      <c r="F499" s="92">
        <f>_xlfn.XLOOKUP(B499, DATA_Moresby_2024_ALL!B:B, DATA_Moresby_2024_ALL!G:G, "")</f>
        <v>0</v>
      </c>
      <c r="G499" s="93"/>
      <c r="H499" s="92">
        <v>8</v>
      </c>
      <c r="I499" s="92" t="str">
        <f t="shared" si="25"/>
        <v>X</v>
      </c>
      <c r="J499" s="79" t="str">
        <f>IF(G499="","X",_xlfn.XLOOKUP(B499,DATA_Moresby_2024_ALL!B:B,DATA_Moresby_2024_ALL!K:K,""))</f>
        <v>X</v>
      </c>
      <c r="K499" s="28"/>
      <c r="L499" s="29"/>
      <c r="M499" s="28"/>
      <c r="N499" s="19" t="str">
        <f t="shared" si="27"/>
        <v/>
      </c>
      <c r="O499" s="19" t="str">
        <f t="shared" si="26"/>
        <v/>
      </c>
      <c r="P499" s="19" t="str">
        <f t="shared" si="26"/>
        <v/>
      </c>
      <c r="Q499" s="19" t="str">
        <f t="shared" si="26"/>
        <v/>
      </c>
      <c r="R499" s="21"/>
      <c r="T499" s="21"/>
      <c r="W499" s="46"/>
      <c r="X499" s="92" t="s">
        <v>78</v>
      </c>
      <c r="Y499" s="92" t="s">
        <v>78</v>
      </c>
      <c r="Z499" s="92" t="s">
        <v>78</v>
      </c>
    </row>
    <row r="500" spans="1:26" ht="16" hidden="1" x14ac:dyDescent="0.4">
      <c r="A500" s="92">
        <v>2484</v>
      </c>
      <c r="B500" s="92">
        <v>2485</v>
      </c>
      <c r="E500" s="92">
        <v>50</v>
      </c>
      <c r="F500" s="92">
        <f>_xlfn.XLOOKUP(B500, DATA_Moresby_2024_ALL!B:B, DATA_Moresby_2024_ALL!G:G, "")</f>
        <v>0</v>
      </c>
      <c r="G500" s="93"/>
      <c r="H500" s="92">
        <v>8</v>
      </c>
      <c r="I500" s="92" t="str">
        <f t="shared" si="25"/>
        <v>X</v>
      </c>
      <c r="J500" s="79" t="str">
        <f>IF(G500="","X",_xlfn.XLOOKUP(B500,DATA_Moresby_2024_ALL!B:B,DATA_Moresby_2024_ALL!K:K,""))</f>
        <v>X</v>
      </c>
      <c r="K500" s="28"/>
      <c r="L500" s="29"/>
      <c r="M500" s="28"/>
      <c r="N500" s="19" t="str">
        <f t="shared" si="27"/>
        <v/>
      </c>
      <c r="O500" s="19" t="str">
        <f t="shared" si="26"/>
        <v/>
      </c>
      <c r="P500" s="19" t="str">
        <f t="shared" si="26"/>
        <v/>
      </c>
      <c r="Q500" s="19" t="str">
        <f t="shared" si="26"/>
        <v/>
      </c>
      <c r="R500" s="21"/>
      <c r="T500" s="21"/>
      <c r="W500" s="46"/>
      <c r="X500" s="92" t="s">
        <v>78</v>
      </c>
      <c r="Y500" s="92" t="s">
        <v>78</v>
      </c>
      <c r="Z500" s="92" t="s">
        <v>78</v>
      </c>
    </row>
    <row r="501" spans="1:26" ht="16" hidden="1" x14ac:dyDescent="0.4">
      <c r="A501" s="92">
        <v>2489</v>
      </c>
      <c r="B501" s="92">
        <v>2490</v>
      </c>
      <c r="E501" s="92">
        <v>50</v>
      </c>
      <c r="F501" s="92">
        <f>_xlfn.XLOOKUP(B501, DATA_Moresby_2024_ALL!B:B, DATA_Moresby_2024_ALL!G:G, "")</f>
        <v>0</v>
      </c>
      <c r="G501" s="93"/>
      <c r="H501" s="92">
        <v>8</v>
      </c>
      <c r="I501" s="92" t="str">
        <f t="shared" si="25"/>
        <v>X</v>
      </c>
      <c r="J501" s="79" t="str">
        <f>IF(G501="","X",_xlfn.XLOOKUP(B501,DATA_Moresby_2024_ALL!B:B,DATA_Moresby_2024_ALL!K:K,""))</f>
        <v>X</v>
      </c>
      <c r="K501" s="28"/>
      <c r="L501" s="29"/>
      <c r="M501" s="28"/>
      <c r="N501" s="19" t="str">
        <f t="shared" si="27"/>
        <v/>
      </c>
      <c r="O501" s="19" t="str">
        <f t="shared" si="26"/>
        <v/>
      </c>
      <c r="P501" s="19" t="str">
        <f t="shared" si="26"/>
        <v/>
      </c>
      <c r="Q501" s="19" t="str">
        <f t="shared" si="26"/>
        <v/>
      </c>
      <c r="R501" s="21"/>
      <c r="T501" s="21"/>
      <c r="W501" s="46"/>
      <c r="X501" s="92" t="s">
        <v>78</v>
      </c>
      <c r="Y501" s="92" t="s">
        <v>78</v>
      </c>
      <c r="Z501" s="92" t="s">
        <v>78</v>
      </c>
    </row>
    <row r="502" spans="1:26" ht="16" hidden="1" x14ac:dyDescent="0.4">
      <c r="A502" s="92">
        <v>2494</v>
      </c>
      <c r="B502" s="92">
        <v>2495</v>
      </c>
      <c r="E502" s="92">
        <v>50</v>
      </c>
      <c r="F502" s="92">
        <f>_xlfn.XLOOKUP(B502, DATA_Moresby_2024_ALL!B:B, DATA_Moresby_2024_ALL!G:G, "")</f>
        <v>0</v>
      </c>
      <c r="G502" s="93"/>
      <c r="H502" s="92">
        <v>8</v>
      </c>
      <c r="I502" s="92" t="str">
        <f t="shared" si="25"/>
        <v>X</v>
      </c>
      <c r="J502" s="79" t="str">
        <f>IF(G502="","X",_xlfn.XLOOKUP(B502,DATA_Moresby_2024_ALL!B:B,DATA_Moresby_2024_ALL!K:K,""))</f>
        <v>X</v>
      </c>
      <c r="K502" s="28"/>
      <c r="L502" s="29"/>
      <c r="M502" s="28"/>
      <c r="N502" s="19" t="str">
        <f t="shared" si="27"/>
        <v/>
      </c>
      <c r="O502" s="19" t="str">
        <f t="shared" si="26"/>
        <v/>
      </c>
      <c r="P502" s="19" t="str">
        <f t="shared" si="26"/>
        <v/>
      </c>
      <c r="Q502" s="19" t="str">
        <f t="shared" si="26"/>
        <v/>
      </c>
      <c r="R502" s="21"/>
      <c r="T502" s="21"/>
      <c r="W502" s="46"/>
      <c r="X502" s="92" t="s">
        <v>78</v>
      </c>
      <c r="Y502" s="92" t="s">
        <v>78</v>
      </c>
      <c r="Z502" s="92" t="s">
        <v>78</v>
      </c>
    </row>
    <row r="503" spans="1:26" ht="16" hidden="1" x14ac:dyDescent="0.4">
      <c r="A503" s="92">
        <v>2499</v>
      </c>
      <c r="B503" s="92">
        <v>2500</v>
      </c>
      <c r="E503" s="92">
        <v>50</v>
      </c>
      <c r="F503" s="92">
        <f>_xlfn.XLOOKUP(B503, DATA_Moresby_2024_ALL!B:B, DATA_Moresby_2024_ALL!G:G, "")</f>
        <v>0</v>
      </c>
      <c r="G503" s="93"/>
      <c r="H503" s="92">
        <v>8</v>
      </c>
      <c r="I503" s="92" t="str">
        <f t="shared" si="25"/>
        <v>X</v>
      </c>
      <c r="J503" s="79" t="str">
        <f>IF(G503="","X",_xlfn.XLOOKUP(B503,DATA_Moresby_2024_ALL!B:B,DATA_Moresby_2024_ALL!K:K,""))</f>
        <v>X</v>
      </c>
      <c r="K503" s="28"/>
      <c r="L503" s="29"/>
      <c r="M503" s="28"/>
      <c r="N503" s="19" t="str">
        <f t="shared" si="27"/>
        <v/>
      </c>
      <c r="O503" s="19" t="str">
        <f t="shared" si="26"/>
        <v/>
      </c>
      <c r="P503" s="19" t="str">
        <f t="shared" si="26"/>
        <v/>
      </c>
      <c r="Q503" s="19" t="str">
        <f t="shared" si="26"/>
        <v/>
      </c>
      <c r="R503" s="21"/>
      <c r="T503" s="21"/>
      <c r="W503" s="46"/>
      <c r="X503" s="92" t="s">
        <v>78</v>
      </c>
      <c r="Y503" s="92" t="s">
        <v>78</v>
      </c>
      <c r="Z503" s="92" t="s">
        <v>78</v>
      </c>
    </row>
    <row r="504" spans="1:26" ht="16" hidden="1" x14ac:dyDescent="0.4">
      <c r="A504" s="92">
        <v>2504</v>
      </c>
      <c r="B504" s="92">
        <v>2505</v>
      </c>
      <c r="E504" s="92">
        <v>50</v>
      </c>
      <c r="F504" s="92">
        <f>_xlfn.XLOOKUP(B504, DATA_Moresby_2024_ALL!B:B, DATA_Moresby_2024_ALL!G:G, "")</f>
        <v>0</v>
      </c>
      <c r="G504" s="93"/>
      <c r="H504" s="92">
        <v>8</v>
      </c>
      <c r="I504" s="92" t="str">
        <f t="shared" si="25"/>
        <v>X</v>
      </c>
      <c r="J504" s="79" t="str">
        <f>IF(G504="","X",_xlfn.XLOOKUP(B504,DATA_Moresby_2024_ALL!B:B,DATA_Moresby_2024_ALL!K:K,""))</f>
        <v>X</v>
      </c>
      <c r="K504" s="28"/>
      <c r="L504" s="29"/>
      <c r="M504" s="28"/>
      <c r="N504" s="19" t="str">
        <f t="shared" si="27"/>
        <v/>
      </c>
      <c r="O504" s="19" t="str">
        <f t="shared" si="26"/>
        <v/>
      </c>
      <c r="P504" s="19" t="str">
        <f t="shared" si="26"/>
        <v/>
      </c>
      <c r="Q504" s="19" t="str">
        <f t="shared" si="26"/>
        <v/>
      </c>
      <c r="R504" s="21"/>
      <c r="T504" s="21"/>
      <c r="W504" s="46"/>
      <c r="X504" s="92" t="s">
        <v>78</v>
      </c>
      <c r="Y504" s="92" t="s">
        <v>78</v>
      </c>
      <c r="Z504" s="92" t="s">
        <v>78</v>
      </c>
    </row>
    <row r="505" spans="1:26" ht="16" hidden="1" x14ac:dyDescent="0.4">
      <c r="A505" s="92">
        <v>2509</v>
      </c>
      <c r="B505" s="92">
        <v>2510</v>
      </c>
      <c r="E505" s="92">
        <v>50</v>
      </c>
      <c r="F505" s="92">
        <f>_xlfn.XLOOKUP(B505, DATA_Moresby_2024_ALL!B:B, DATA_Moresby_2024_ALL!G:G, "")</f>
        <v>0</v>
      </c>
      <c r="G505" s="93"/>
      <c r="H505" s="92">
        <v>8</v>
      </c>
      <c r="I505" s="92" t="str">
        <f t="shared" si="25"/>
        <v>X</v>
      </c>
      <c r="J505" s="79" t="str">
        <f>IF(G505="","X",_xlfn.XLOOKUP(B505,DATA_Moresby_2024_ALL!B:B,DATA_Moresby_2024_ALL!K:K,""))</f>
        <v>X</v>
      </c>
      <c r="K505" s="28"/>
      <c r="L505" s="29"/>
      <c r="M505" s="28"/>
      <c r="N505" s="19" t="str">
        <f t="shared" si="27"/>
        <v/>
      </c>
      <c r="O505" s="19" t="str">
        <f t="shared" si="26"/>
        <v/>
      </c>
      <c r="P505" s="19" t="str">
        <f t="shared" si="26"/>
        <v/>
      </c>
      <c r="Q505" s="19" t="str">
        <f t="shared" si="26"/>
        <v/>
      </c>
      <c r="R505" s="21"/>
      <c r="T505" s="21"/>
      <c r="W505" s="46"/>
      <c r="X505" s="92" t="s">
        <v>78</v>
      </c>
      <c r="Y505" s="92" t="s">
        <v>78</v>
      </c>
      <c r="Z505" s="92" t="s">
        <v>78</v>
      </c>
    </row>
    <row r="506" spans="1:26" ht="16" hidden="1" x14ac:dyDescent="0.4">
      <c r="A506" s="92">
        <v>2514</v>
      </c>
      <c r="B506" s="92">
        <v>2515</v>
      </c>
      <c r="E506" s="92">
        <v>50</v>
      </c>
      <c r="F506" s="92">
        <f>_xlfn.XLOOKUP(B506, DATA_Moresby_2024_ALL!B:B, DATA_Moresby_2024_ALL!G:G, "")</f>
        <v>0</v>
      </c>
      <c r="G506" s="93"/>
      <c r="H506" s="92">
        <v>8</v>
      </c>
      <c r="I506" s="92" t="str">
        <f t="shared" si="25"/>
        <v>X</v>
      </c>
      <c r="J506" s="79" t="str">
        <f>IF(G506="","X",_xlfn.XLOOKUP(B506,DATA_Moresby_2024_ALL!B:B,DATA_Moresby_2024_ALL!K:K,""))</f>
        <v>X</v>
      </c>
      <c r="K506" s="28"/>
      <c r="L506" s="29"/>
      <c r="M506" s="28"/>
      <c r="N506" s="19" t="str">
        <f t="shared" si="27"/>
        <v/>
      </c>
      <c r="O506" s="19" t="str">
        <f t="shared" si="26"/>
        <v/>
      </c>
      <c r="P506" s="19" t="str">
        <f t="shared" si="26"/>
        <v/>
      </c>
      <c r="Q506" s="19" t="str">
        <f t="shared" si="26"/>
        <v/>
      </c>
      <c r="R506" s="21"/>
      <c r="T506" s="21"/>
      <c r="W506" s="46"/>
      <c r="X506" s="92" t="s">
        <v>78</v>
      </c>
      <c r="Y506" s="92" t="s">
        <v>78</v>
      </c>
      <c r="Z506" s="92" t="s">
        <v>78</v>
      </c>
    </row>
    <row r="507" spans="1:26" ht="16" hidden="1" x14ac:dyDescent="0.4">
      <c r="A507" s="92">
        <v>2519</v>
      </c>
      <c r="B507" s="92">
        <v>2520</v>
      </c>
      <c r="E507" s="92">
        <v>50</v>
      </c>
      <c r="F507" s="92">
        <f>_xlfn.XLOOKUP(B507, DATA_Moresby_2024_ALL!B:B, DATA_Moresby_2024_ALL!G:G, "")</f>
        <v>0</v>
      </c>
      <c r="G507" s="93"/>
      <c r="H507" s="92">
        <v>8</v>
      </c>
      <c r="I507" s="92" t="str">
        <f t="shared" si="25"/>
        <v>X</v>
      </c>
      <c r="J507" s="79" t="str">
        <f>IF(G507="","X",_xlfn.XLOOKUP(B507,DATA_Moresby_2024_ALL!B:B,DATA_Moresby_2024_ALL!K:K,""))</f>
        <v>X</v>
      </c>
      <c r="K507" s="28"/>
      <c r="L507" s="29"/>
      <c r="M507" s="28"/>
      <c r="N507" s="19" t="str">
        <f t="shared" si="27"/>
        <v/>
      </c>
      <c r="O507" s="19" t="str">
        <f t="shared" si="26"/>
        <v/>
      </c>
      <c r="P507" s="19" t="str">
        <f t="shared" si="26"/>
        <v/>
      </c>
      <c r="Q507" s="19" t="str">
        <f t="shared" si="26"/>
        <v/>
      </c>
      <c r="R507" s="21"/>
      <c r="T507" s="21"/>
      <c r="W507" s="46"/>
      <c r="X507" s="92" t="s">
        <v>78</v>
      </c>
      <c r="Y507" s="92" t="s">
        <v>78</v>
      </c>
      <c r="Z507" s="92" t="s">
        <v>78</v>
      </c>
    </row>
    <row r="508" spans="1:26" ht="16" hidden="1" x14ac:dyDescent="0.4">
      <c r="A508" s="92">
        <v>2524</v>
      </c>
      <c r="B508" s="92">
        <v>2525</v>
      </c>
      <c r="E508" s="92">
        <v>50</v>
      </c>
      <c r="F508" s="92">
        <f>_xlfn.XLOOKUP(B508, DATA_Moresby_2024_ALL!B:B, DATA_Moresby_2024_ALL!G:G, "")</f>
        <v>0</v>
      </c>
      <c r="G508" s="93"/>
      <c r="H508" s="92">
        <v>8</v>
      </c>
      <c r="I508" s="92" t="str">
        <f t="shared" si="25"/>
        <v>X</v>
      </c>
      <c r="J508" s="79" t="str">
        <f>IF(G508="","X",_xlfn.XLOOKUP(B508,DATA_Moresby_2024_ALL!B:B,DATA_Moresby_2024_ALL!K:K,""))</f>
        <v>X</v>
      </c>
      <c r="K508" s="28"/>
      <c r="L508" s="29"/>
      <c r="M508" s="28"/>
      <c r="N508" s="19" t="str">
        <f t="shared" si="27"/>
        <v/>
      </c>
      <c r="O508" s="19" t="str">
        <f t="shared" si="26"/>
        <v/>
      </c>
      <c r="P508" s="19" t="str">
        <f t="shared" si="26"/>
        <v/>
      </c>
      <c r="Q508" s="19" t="str">
        <f t="shared" si="26"/>
        <v/>
      </c>
      <c r="R508" s="21"/>
      <c r="T508" s="21"/>
      <c r="W508" s="46"/>
      <c r="X508" s="92" t="s">
        <v>78</v>
      </c>
      <c r="Y508" s="92" t="s">
        <v>78</v>
      </c>
      <c r="Z508" s="92" t="s">
        <v>78</v>
      </c>
    </row>
    <row r="509" spans="1:26" ht="16" hidden="1" x14ac:dyDescent="0.4">
      <c r="A509" s="92">
        <v>2529</v>
      </c>
      <c r="B509" s="92">
        <v>2530</v>
      </c>
      <c r="E509" s="92">
        <v>50</v>
      </c>
      <c r="F509" s="92">
        <f>_xlfn.XLOOKUP(B509, DATA_Moresby_2024_ALL!B:B, DATA_Moresby_2024_ALL!G:G, "")</f>
        <v>0</v>
      </c>
      <c r="G509" s="93"/>
      <c r="H509" s="92">
        <v>8</v>
      </c>
      <c r="I509" s="92" t="str">
        <f t="shared" si="25"/>
        <v>X</v>
      </c>
      <c r="J509" s="79" t="str">
        <f>IF(G509="","X",_xlfn.XLOOKUP(B509,DATA_Moresby_2024_ALL!B:B,DATA_Moresby_2024_ALL!K:K,""))</f>
        <v>X</v>
      </c>
      <c r="K509" s="28"/>
      <c r="L509" s="29"/>
      <c r="M509" s="28"/>
      <c r="N509" s="19" t="str">
        <f t="shared" si="27"/>
        <v/>
      </c>
      <c r="O509" s="19" t="str">
        <f t="shared" si="26"/>
        <v/>
      </c>
      <c r="P509" s="19" t="str">
        <f t="shared" si="26"/>
        <v/>
      </c>
      <c r="Q509" s="19" t="str">
        <f t="shared" si="26"/>
        <v/>
      </c>
      <c r="R509" s="21"/>
      <c r="T509" s="21"/>
      <c r="W509" s="46"/>
      <c r="X509" s="92" t="s">
        <v>78</v>
      </c>
      <c r="Y509" s="92" t="s">
        <v>78</v>
      </c>
      <c r="Z509" s="92" t="s">
        <v>78</v>
      </c>
    </row>
    <row r="510" spans="1:26" ht="16" hidden="1" x14ac:dyDescent="0.4">
      <c r="A510" s="92">
        <v>2534</v>
      </c>
      <c r="B510" s="92">
        <v>2535</v>
      </c>
      <c r="E510" s="92">
        <v>50</v>
      </c>
      <c r="F510" s="92">
        <f>_xlfn.XLOOKUP(B510, DATA_Moresby_2024_ALL!B:B, DATA_Moresby_2024_ALL!G:G, "")</f>
        <v>0</v>
      </c>
      <c r="G510" s="93"/>
      <c r="H510" s="92">
        <v>8</v>
      </c>
      <c r="I510" s="92" t="str">
        <f t="shared" si="25"/>
        <v>X</v>
      </c>
      <c r="J510" s="79" t="str">
        <f>IF(G510="","X",_xlfn.XLOOKUP(B510,DATA_Moresby_2024_ALL!B:B,DATA_Moresby_2024_ALL!K:K,""))</f>
        <v>X</v>
      </c>
      <c r="K510" s="28"/>
      <c r="L510" s="29"/>
      <c r="M510" s="28"/>
      <c r="N510" s="19" t="str">
        <f t="shared" si="27"/>
        <v/>
      </c>
      <c r="O510" s="19" t="str">
        <f t="shared" si="26"/>
        <v/>
      </c>
      <c r="P510" s="19" t="str">
        <f t="shared" si="26"/>
        <v/>
      </c>
      <c r="Q510" s="19" t="str">
        <f t="shared" si="26"/>
        <v/>
      </c>
      <c r="R510" s="21"/>
      <c r="T510" s="21"/>
      <c r="W510" s="46"/>
      <c r="X510" s="92" t="s">
        <v>78</v>
      </c>
      <c r="Y510" s="92" t="s">
        <v>78</v>
      </c>
      <c r="Z510" s="92" t="s">
        <v>78</v>
      </c>
    </row>
    <row r="511" spans="1:26" ht="16" hidden="1" x14ac:dyDescent="0.4">
      <c r="A511" s="92">
        <v>2539</v>
      </c>
      <c r="B511" s="92">
        <v>2540</v>
      </c>
      <c r="E511" s="92">
        <v>50</v>
      </c>
      <c r="F511" s="92">
        <f>_xlfn.XLOOKUP(B511, DATA_Moresby_2024_ALL!B:B, DATA_Moresby_2024_ALL!G:G, "")</f>
        <v>0</v>
      </c>
      <c r="G511" s="93"/>
      <c r="H511" s="92">
        <v>8</v>
      </c>
      <c r="I511" s="92" t="str">
        <f t="shared" si="25"/>
        <v>X</v>
      </c>
      <c r="J511" s="79" t="str">
        <f>IF(G511="","X",_xlfn.XLOOKUP(B511,DATA_Moresby_2024_ALL!B:B,DATA_Moresby_2024_ALL!K:K,""))</f>
        <v>X</v>
      </c>
      <c r="K511" s="28"/>
      <c r="L511" s="29"/>
      <c r="M511" s="28"/>
      <c r="N511" s="19" t="str">
        <f t="shared" si="27"/>
        <v/>
      </c>
      <c r="O511" s="19" t="str">
        <f t="shared" si="26"/>
        <v/>
      </c>
      <c r="P511" s="19" t="str">
        <f t="shared" si="26"/>
        <v/>
      </c>
      <c r="Q511" s="19" t="str">
        <f t="shared" si="26"/>
        <v/>
      </c>
      <c r="R511" s="21"/>
      <c r="T511" s="21"/>
      <c r="W511" s="46"/>
      <c r="X511" s="92" t="s">
        <v>78</v>
      </c>
      <c r="Y511" s="92" t="s">
        <v>78</v>
      </c>
      <c r="Z511" s="92" t="s">
        <v>78</v>
      </c>
    </row>
    <row r="512" spans="1:26" ht="16" hidden="1" x14ac:dyDescent="0.4">
      <c r="A512" s="92">
        <v>2544</v>
      </c>
      <c r="B512" s="92">
        <v>2545</v>
      </c>
      <c r="E512" s="92">
        <v>50</v>
      </c>
      <c r="F512" s="92">
        <f>_xlfn.XLOOKUP(B512, DATA_Moresby_2024_ALL!B:B, DATA_Moresby_2024_ALL!G:G, "")</f>
        <v>0</v>
      </c>
      <c r="G512" s="93"/>
      <c r="H512" s="92">
        <v>8</v>
      </c>
      <c r="I512" s="92" t="str">
        <f t="shared" si="25"/>
        <v>X</v>
      </c>
      <c r="J512" s="79" t="str">
        <f>IF(G512="","X",_xlfn.XLOOKUP(B512,DATA_Moresby_2024_ALL!B:B,DATA_Moresby_2024_ALL!K:K,""))</f>
        <v>X</v>
      </c>
      <c r="K512" s="28"/>
      <c r="L512" s="29"/>
      <c r="M512" s="28"/>
      <c r="N512" s="19" t="str">
        <f t="shared" si="27"/>
        <v/>
      </c>
      <c r="O512" s="19" t="str">
        <f t="shared" si="26"/>
        <v/>
      </c>
      <c r="P512" s="19" t="str">
        <f t="shared" si="26"/>
        <v/>
      </c>
      <c r="Q512" s="19" t="str">
        <f t="shared" si="26"/>
        <v/>
      </c>
      <c r="R512" s="21"/>
      <c r="T512" s="21"/>
      <c r="W512" s="46"/>
      <c r="X512" s="92" t="s">
        <v>78</v>
      </c>
      <c r="Y512" s="92" t="s">
        <v>78</v>
      </c>
      <c r="Z512" s="92" t="s">
        <v>78</v>
      </c>
    </row>
    <row r="513" spans="1:26" ht="16" hidden="1" x14ac:dyDescent="0.4">
      <c r="A513" s="92">
        <v>2549</v>
      </c>
      <c r="B513" s="92">
        <v>2550</v>
      </c>
      <c r="E513" s="92">
        <v>50</v>
      </c>
      <c r="F513" s="92">
        <f>_xlfn.XLOOKUP(B513, DATA_Moresby_2024_ALL!B:B, DATA_Moresby_2024_ALL!G:G, "")</f>
        <v>0</v>
      </c>
      <c r="G513" s="93"/>
      <c r="H513" s="92">
        <v>8</v>
      </c>
      <c r="I513" s="92" t="str">
        <f t="shared" si="25"/>
        <v>X</v>
      </c>
      <c r="J513" s="79" t="str">
        <f>IF(G513="","X",_xlfn.XLOOKUP(B513,DATA_Moresby_2024_ALL!B:B,DATA_Moresby_2024_ALL!K:K,""))</f>
        <v>X</v>
      </c>
      <c r="K513" s="28"/>
      <c r="L513" s="29"/>
      <c r="M513" s="28"/>
      <c r="N513" s="19" t="str">
        <f t="shared" si="27"/>
        <v/>
      </c>
      <c r="O513" s="19" t="str">
        <f t="shared" si="26"/>
        <v/>
      </c>
      <c r="P513" s="19" t="str">
        <f t="shared" si="26"/>
        <v/>
      </c>
      <c r="Q513" s="19" t="str">
        <f t="shared" si="26"/>
        <v/>
      </c>
      <c r="R513" s="21"/>
      <c r="T513" s="21"/>
      <c r="W513" s="46"/>
      <c r="X513" s="92" t="s">
        <v>78</v>
      </c>
      <c r="Y513" s="92" t="s">
        <v>78</v>
      </c>
      <c r="Z513" s="92" t="s">
        <v>78</v>
      </c>
    </row>
    <row r="514" spans="1:26" ht="16" hidden="1" x14ac:dyDescent="0.4">
      <c r="A514" s="92">
        <v>2554</v>
      </c>
      <c r="B514" s="92">
        <v>2555</v>
      </c>
      <c r="E514" s="92">
        <v>50</v>
      </c>
      <c r="F514" s="92">
        <f>_xlfn.XLOOKUP(B514, DATA_Moresby_2024_ALL!B:B, DATA_Moresby_2024_ALL!G:G, "")</f>
        <v>0</v>
      </c>
      <c r="G514" s="93"/>
      <c r="H514" s="92">
        <v>8</v>
      </c>
      <c r="I514" s="92" t="str">
        <f t="shared" si="25"/>
        <v>X</v>
      </c>
      <c r="J514" s="79" t="str">
        <f>IF(G514="","X",_xlfn.XLOOKUP(B514,DATA_Moresby_2024_ALL!B:B,DATA_Moresby_2024_ALL!K:K,""))</f>
        <v>X</v>
      </c>
      <c r="K514" s="28"/>
      <c r="L514" s="29"/>
      <c r="M514" s="28"/>
      <c r="N514" s="19" t="str">
        <f t="shared" si="27"/>
        <v/>
      </c>
      <c r="O514" s="19" t="str">
        <f t="shared" si="26"/>
        <v/>
      </c>
      <c r="P514" s="19" t="str">
        <f t="shared" si="26"/>
        <v/>
      </c>
      <c r="Q514" s="19" t="str">
        <f t="shared" si="26"/>
        <v/>
      </c>
      <c r="R514" s="21"/>
      <c r="T514" s="21"/>
      <c r="W514" s="46"/>
      <c r="X514" s="92" t="s">
        <v>78</v>
      </c>
      <c r="Y514" s="92" t="s">
        <v>78</v>
      </c>
      <c r="Z514" s="92" t="s">
        <v>78</v>
      </c>
    </row>
    <row r="515" spans="1:26" ht="16" hidden="1" x14ac:dyDescent="0.4">
      <c r="A515" s="92">
        <v>2559</v>
      </c>
      <c r="B515" s="92">
        <v>2560</v>
      </c>
      <c r="E515" s="92">
        <v>50</v>
      </c>
      <c r="F515" s="92">
        <f>_xlfn.XLOOKUP(B515, DATA_Moresby_2024_ALL!B:B, DATA_Moresby_2024_ALL!G:G, "")</f>
        <v>0</v>
      </c>
      <c r="G515" s="93"/>
      <c r="H515" s="92">
        <v>8</v>
      </c>
      <c r="I515" s="92" t="str">
        <f t="shared" si="25"/>
        <v>X</v>
      </c>
      <c r="J515" s="79" t="str">
        <f>IF(G515="","X",_xlfn.XLOOKUP(B515,DATA_Moresby_2024_ALL!B:B,DATA_Moresby_2024_ALL!K:K,""))</f>
        <v>X</v>
      </c>
      <c r="K515" s="28"/>
      <c r="L515" s="29"/>
      <c r="M515" s="28"/>
      <c r="N515" s="19" t="str">
        <f t="shared" si="27"/>
        <v/>
      </c>
      <c r="O515" s="19" t="str">
        <f t="shared" si="26"/>
        <v/>
      </c>
      <c r="P515" s="19" t="str">
        <f t="shared" si="26"/>
        <v/>
      </c>
      <c r="Q515" s="19" t="str">
        <f t="shared" si="26"/>
        <v/>
      </c>
      <c r="R515" s="21"/>
      <c r="T515" s="21"/>
      <c r="W515" s="46"/>
      <c r="X515" s="92" t="s">
        <v>78</v>
      </c>
      <c r="Y515" s="92" t="s">
        <v>78</v>
      </c>
      <c r="Z515" s="92" t="s">
        <v>78</v>
      </c>
    </row>
    <row r="516" spans="1:26" ht="16" hidden="1" x14ac:dyDescent="0.4">
      <c r="A516" s="92">
        <v>2564</v>
      </c>
      <c r="B516" s="92">
        <v>2565</v>
      </c>
      <c r="E516" s="92">
        <v>50</v>
      </c>
      <c r="F516" s="92">
        <f>_xlfn.XLOOKUP(B516, DATA_Moresby_2024_ALL!B:B, DATA_Moresby_2024_ALL!G:G, "")</f>
        <v>0</v>
      </c>
      <c r="G516" s="93"/>
      <c r="H516" s="92">
        <v>8</v>
      </c>
      <c r="I516" s="92" t="str">
        <f t="shared" si="25"/>
        <v>X</v>
      </c>
      <c r="J516" s="79" t="str">
        <f>IF(G516="","X",_xlfn.XLOOKUP(B516,DATA_Moresby_2024_ALL!B:B,DATA_Moresby_2024_ALL!K:K,""))</f>
        <v>X</v>
      </c>
      <c r="K516" s="28"/>
      <c r="L516" s="29"/>
      <c r="M516" s="28"/>
      <c r="N516" s="19" t="str">
        <f t="shared" si="27"/>
        <v/>
      </c>
      <c r="O516" s="19" t="str">
        <f t="shared" si="26"/>
        <v/>
      </c>
      <c r="P516" s="19" t="str">
        <f t="shared" si="26"/>
        <v/>
      </c>
      <c r="Q516" s="19" t="str">
        <f t="shared" si="26"/>
        <v/>
      </c>
      <c r="R516" s="21"/>
      <c r="T516" s="21"/>
      <c r="W516" s="46"/>
      <c r="X516" s="92" t="s">
        <v>78</v>
      </c>
      <c r="Y516" s="92" t="s">
        <v>78</v>
      </c>
      <c r="Z516" s="92" t="s">
        <v>78</v>
      </c>
    </row>
    <row r="517" spans="1:26" ht="16" hidden="1" x14ac:dyDescent="0.4">
      <c r="A517" s="92">
        <v>2569</v>
      </c>
      <c r="B517" s="92">
        <v>2570</v>
      </c>
      <c r="E517" s="92">
        <v>50</v>
      </c>
      <c r="F517" s="92">
        <f>_xlfn.XLOOKUP(B517, DATA_Moresby_2024_ALL!B:B, DATA_Moresby_2024_ALL!G:G, "")</f>
        <v>0</v>
      </c>
      <c r="G517" s="93"/>
      <c r="H517" s="92">
        <v>8</v>
      </c>
      <c r="I517" s="92" t="str">
        <f t="shared" si="25"/>
        <v>X</v>
      </c>
      <c r="J517" s="79" t="str">
        <f>IF(G517="","X",_xlfn.XLOOKUP(B517,DATA_Moresby_2024_ALL!B:B,DATA_Moresby_2024_ALL!K:K,""))</f>
        <v>X</v>
      </c>
      <c r="K517" s="28"/>
      <c r="L517" s="29"/>
      <c r="M517" s="28"/>
      <c r="N517" s="19" t="str">
        <f t="shared" si="27"/>
        <v/>
      </c>
      <c r="O517" s="19" t="str">
        <f t="shared" si="26"/>
        <v/>
      </c>
      <c r="P517" s="19" t="str">
        <f t="shared" si="26"/>
        <v/>
      </c>
      <c r="Q517" s="19" t="str">
        <f t="shared" si="26"/>
        <v/>
      </c>
      <c r="R517" s="21"/>
      <c r="T517" s="21"/>
      <c r="W517" s="46"/>
      <c r="X517" s="92" t="s">
        <v>78</v>
      </c>
      <c r="Y517" s="92" t="s">
        <v>78</v>
      </c>
      <c r="Z517" s="92" t="s">
        <v>78</v>
      </c>
    </row>
    <row r="518" spans="1:26" ht="16" hidden="1" x14ac:dyDescent="0.4">
      <c r="A518" s="92">
        <v>2574</v>
      </c>
      <c r="B518" s="92">
        <v>2575</v>
      </c>
      <c r="E518" s="92">
        <v>50</v>
      </c>
      <c r="F518" s="92">
        <f>_xlfn.XLOOKUP(B518, DATA_Moresby_2024_ALL!B:B, DATA_Moresby_2024_ALL!G:G, "")</f>
        <v>0</v>
      </c>
      <c r="G518" s="93"/>
      <c r="H518" s="92">
        <v>8</v>
      </c>
      <c r="I518" s="92" t="str">
        <f t="shared" si="25"/>
        <v>X</v>
      </c>
      <c r="J518" s="79" t="str">
        <f>IF(G518="","X",_xlfn.XLOOKUP(B518,DATA_Moresby_2024_ALL!B:B,DATA_Moresby_2024_ALL!K:K,""))</f>
        <v>X</v>
      </c>
      <c r="K518" s="28"/>
      <c r="L518" s="29"/>
      <c r="M518" s="28"/>
      <c r="N518" s="19" t="str">
        <f t="shared" si="27"/>
        <v/>
      </c>
      <c r="O518" s="19" t="str">
        <f t="shared" si="26"/>
        <v/>
      </c>
      <c r="P518" s="19" t="str">
        <f t="shared" si="26"/>
        <v/>
      </c>
      <c r="Q518" s="19" t="str">
        <f t="shared" si="26"/>
        <v/>
      </c>
      <c r="R518" s="21"/>
      <c r="T518" s="21"/>
      <c r="W518" s="46"/>
      <c r="X518" s="92" t="s">
        <v>78</v>
      </c>
      <c r="Y518" s="92" t="s">
        <v>78</v>
      </c>
      <c r="Z518" s="92" t="s">
        <v>78</v>
      </c>
    </row>
    <row r="519" spans="1:26" ht="16" hidden="1" x14ac:dyDescent="0.4">
      <c r="A519" s="92">
        <v>2579</v>
      </c>
      <c r="B519" s="92">
        <v>2580</v>
      </c>
      <c r="E519" s="92">
        <v>50</v>
      </c>
      <c r="F519" s="92">
        <f>_xlfn.XLOOKUP(B519, DATA_Moresby_2024_ALL!B:B, DATA_Moresby_2024_ALL!G:G, "")</f>
        <v>0</v>
      </c>
      <c r="G519" s="93"/>
      <c r="H519" s="92">
        <v>8</v>
      </c>
      <c r="I519" s="92" t="str">
        <f t="shared" si="25"/>
        <v>X</v>
      </c>
      <c r="J519" s="79" t="str">
        <f>IF(G519="","X",_xlfn.XLOOKUP(B519,DATA_Moresby_2024_ALL!B:B,DATA_Moresby_2024_ALL!K:K,""))</f>
        <v>X</v>
      </c>
      <c r="K519" s="28"/>
      <c r="L519" s="29"/>
      <c r="M519" s="28"/>
      <c r="N519" s="19" t="str">
        <f t="shared" si="27"/>
        <v/>
      </c>
      <c r="O519" s="19" t="str">
        <f t="shared" si="26"/>
        <v/>
      </c>
      <c r="P519" s="19" t="str">
        <f t="shared" si="26"/>
        <v/>
      </c>
      <c r="Q519" s="19" t="str">
        <f t="shared" si="26"/>
        <v/>
      </c>
      <c r="R519" s="21"/>
      <c r="T519" s="21"/>
      <c r="W519" s="46"/>
      <c r="X519" s="92" t="s">
        <v>78</v>
      </c>
      <c r="Y519" s="92" t="s">
        <v>78</v>
      </c>
      <c r="Z519" s="92" t="s">
        <v>78</v>
      </c>
    </row>
    <row r="520" spans="1:26" ht="16" hidden="1" x14ac:dyDescent="0.4">
      <c r="A520" s="92">
        <v>2584</v>
      </c>
      <c r="B520" s="92">
        <v>2585</v>
      </c>
      <c r="E520" s="92">
        <v>50</v>
      </c>
      <c r="F520" s="92">
        <f>_xlfn.XLOOKUP(B520, DATA_Moresby_2024_ALL!B:B, DATA_Moresby_2024_ALL!G:G, "")</f>
        <v>0</v>
      </c>
      <c r="G520" s="93"/>
      <c r="H520" s="92">
        <v>8</v>
      </c>
      <c r="I520" s="92" t="str">
        <f t="shared" si="25"/>
        <v>X</v>
      </c>
      <c r="J520" s="79" t="str">
        <f>IF(G520="","X",_xlfn.XLOOKUP(B520,DATA_Moresby_2024_ALL!B:B,DATA_Moresby_2024_ALL!K:K,""))</f>
        <v>X</v>
      </c>
      <c r="K520" s="28"/>
      <c r="L520" s="29"/>
      <c r="M520" s="28"/>
      <c r="N520" s="19" t="str">
        <f t="shared" si="27"/>
        <v/>
      </c>
      <c r="O520" s="19" t="str">
        <f t="shared" si="26"/>
        <v/>
      </c>
      <c r="P520" s="19" t="str">
        <f t="shared" si="26"/>
        <v/>
      </c>
      <c r="Q520" s="19" t="str">
        <f t="shared" si="26"/>
        <v/>
      </c>
      <c r="R520" s="21"/>
      <c r="T520" s="21"/>
      <c r="W520" s="46"/>
      <c r="X520" s="92" t="s">
        <v>78</v>
      </c>
      <c r="Y520" s="92" t="s">
        <v>78</v>
      </c>
      <c r="Z520" s="92" t="s">
        <v>78</v>
      </c>
    </row>
    <row r="521" spans="1:26" ht="16" hidden="1" x14ac:dyDescent="0.4">
      <c r="A521" s="92">
        <v>2589</v>
      </c>
      <c r="B521" s="92">
        <v>2590</v>
      </c>
      <c r="E521" s="92">
        <v>50</v>
      </c>
      <c r="F521" s="92">
        <f>_xlfn.XLOOKUP(B521, DATA_Moresby_2024_ALL!B:B, DATA_Moresby_2024_ALL!G:G, "")</f>
        <v>0</v>
      </c>
      <c r="G521" s="93"/>
      <c r="H521" s="92">
        <v>8</v>
      </c>
      <c r="I521" s="92" t="str">
        <f t="shared" si="25"/>
        <v>X</v>
      </c>
      <c r="J521" s="79" t="str">
        <f>IF(G521="","X",_xlfn.XLOOKUP(B521,DATA_Moresby_2024_ALL!B:B,DATA_Moresby_2024_ALL!K:K,""))</f>
        <v>X</v>
      </c>
      <c r="K521" s="28"/>
      <c r="L521" s="29"/>
      <c r="M521" s="28"/>
      <c r="N521" s="19" t="str">
        <f t="shared" si="27"/>
        <v/>
      </c>
      <c r="O521" s="19" t="str">
        <f t="shared" si="26"/>
        <v/>
      </c>
      <c r="P521" s="19" t="str">
        <f t="shared" si="26"/>
        <v/>
      </c>
      <c r="Q521" s="19" t="str">
        <f t="shared" si="26"/>
        <v/>
      </c>
      <c r="R521" s="21"/>
      <c r="T521" s="21"/>
      <c r="W521" s="46"/>
      <c r="X521" s="92" t="s">
        <v>78</v>
      </c>
      <c r="Y521" s="92" t="s">
        <v>78</v>
      </c>
      <c r="Z521" s="92" t="s">
        <v>78</v>
      </c>
    </row>
    <row r="522" spans="1:26" ht="16" hidden="1" x14ac:dyDescent="0.4">
      <c r="A522" s="92">
        <v>2594</v>
      </c>
      <c r="B522" s="92">
        <v>2595</v>
      </c>
      <c r="E522" s="92">
        <v>50</v>
      </c>
      <c r="F522" s="92">
        <f>_xlfn.XLOOKUP(B522, DATA_Moresby_2024_ALL!B:B, DATA_Moresby_2024_ALL!G:G, "")</f>
        <v>0</v>
      </c>
      <c r="G522" s="93"/>
      <c r="H522" s="92">
        <v>8</v>
      </c>
      <c r="I522" s="92" t="str">
        <f t="shared" si="25"/>
        <v>X</v>
      </c>
      <c r="J522" s="79" t="str">
        <f>IF(G522="","X",_xlfn.XLOOKUP(B522,DATA_Moresby_2024_ALL!B:B,DATA_Moresby_2024_ALL!K:K,""))</f>
        <v>X</v>
      </c>
      <c r="K522" s="28"/>
      <c r="L522" s="29"/>
      <c r="M522" s="28"/>
      <c r="N522" s="19" t="str">
        <f t="shared" si="27"/>
        <v/>
      </c>
      <c r="O522" s="19" t="str">
        <f t="shared" si="26"/>
        <v/>
      </c>
      <c r="P522" s="19" t="str">
        <f t="shared" si="26"/>
        <v/>
      </c>
      <c r="Q522" s="19" t="str">
        <f t="shared" si="26"/>
        <v/>
      </c>
      <c r="R522" s="21"/>
      <c r="T522" s="21"/>
      <c r="W522" s="46"/>
      <c r="X522" s="92" t="s">
        <v>78</v>
      </c>
      <c r="Y522" s="92" t="s">
        <v>78</v>
      </c>
      <c r="Z522" s="92" t="s">
        <v>78</v>
      </c>
    </row>
    <row r="523" spans="1:26" ht="16" hidden="1" x14ac:dyDescent="0.4">
      <c r="A523" s="92">
        <v>2599</v>
      </c>
      <c r="B523" s="92">
        <v>2600</v>
      </c>
      <c r="E523" s="92">
        <v>50</v>
      </c>
      <c r="F523" s="92">
        <f>_xlfn.XLOOKUP(B523, DATA_Moresby_2024_ALL!B:B, DATA_Moresby_2024_ALL!G:G, "")</f>
        <v>0</v>
      </c>
      <c r="G523" s="93"/>
      <c r="H523" s="92">
        <v>8</v>
      </c>
      <c r="I523" s="92" t="str">
        <f t="shared" si="25"/>
        <v>X</v>
      </c>
      <c r="J523" s="79" t="str">
        <f>IF(G523="","X",_xlfn.XLOOKUP(B523,DATA_Moresby_2024_ALL!B:B,DATA_Moresby_2024_ALL!K:K,""))</f>
        <v>X</v>
      </c>
      <c r="K523" s="28"/>
      <c r="L523" s="29"/>
      <c r="M523" s="28"/>
      <c r="N523" s="19" t="str">
        <f t="shared" si="27"/>
        <v/>
      </c>
      <c r="O523" s="19" t="str">
        <f t="shared" si="26"/>
        <v/>
      </c>
      <c r="P523" s="19" t="str">
        <f t="shared" si="26"/>
        <v/>
      </c>
      <c r="Q523" s="19" t="str">
        <f t="shared" si="26"/>
        <v/>
      </c>
      <c r="R523" s="21"/>
      <c r="T523" s="21"/>
      <c r="W523" s="46"/>
      <c r="X523" s="92" t="s">
        <v>78</v>
      </c>
      <c r="Y523" s="92" t="s">
        <v>78</v>
      </c>
      <c r="Z523" s="92" t="s">
        <v>78</v>
      </c>
    </row>
    <row r="524" spans="1:26" ht="16" hidden="1" x14ac:dyDescent="0.4">
      <c r="A524" s="92">
        <v>2604</v>
      </c>
      <c r="B524" s="92">
        <v>2605</v>
      </c>
      <c r="E524" s="92">
        <v>50</v>
      </c>
      <c r="F524" s="92">
        <f>_xlfn.XLOOKUP(B524, DATA_Moresby_2024_ALL!B:B, DATA_Moresby_2024_ALL!G:G, "")</f>
        <v>0</v>
      </c>
      <c r="G524" s="93"/>
      <c r="H524" s="92">
        <v>8</v>
      </c>
      <c r="I524" s="92" t="str">
        <f t="shared" si="25"/>
        <v>X</v>
      </c>
      <c r="J524" s="79" t="str">
        <f>IF(G524="","X",_xlfn.XLOOKUP(B524,DATA_Moresby_2024_ALL!B:B,DATA_Moresby_2024_ALL!K:K,""))</f>
        <v>X</v>
      </c>
      <c r="K524" s="28"/>
      <c r="L524" s="29"/>
      <c r="M524" s="28"/>
      <c r="N524" s="19" t="str">
        <f t="shared" si="27"/>
        <v/>
      </c>
      <c r="O524" s="19" t="str">
        <f t="shared" si="26"/>
        <v/>
      </c>
      <c r="P524" s="19" t="str">
        <f t="shared" si="26"/>
        <v/>
      </c>
      <c r="Q524" s="19" t="str">
        <f t="shared" si="26"/>
        <v/>
      </c>
      <c r="R524" s="21"/>
      <c r="T524" s="21"/>
      <c r="W524" s="46"/>
      <c r="X524" s="92" t="s">
        <v>78</v>
      </c>
      <c r="Y524" s="92" t="s">
        <v>78</v>
      </c>
      <c r="Z524" s="92" t="s">
        <v>78</v>
      </c>
    </row>
    <row r="525" spans="1:26" ht="16" hidden="1" x14ac:dyDescent="0.4">
      <c r="A525" s="92">
        <v>2609</v>
      </c>
      <c r="B525" s="92">
        <v>2610</v>
      </c>
      <c r="E525" s="92">
        <v>50</v>
      </c>
      <c r="F525" s="92">
        <f>_xlfn.XLOOKUP(B525, DATA_Moresby_2024_ALL!B:B, DATA_Moresby_2024_ALL!G:G, "")</f>
        <v>0</v>
      </c>
      <c r="G525" s="93"/>
      <c r="H525" s="92">
        <v>8</v>
      </c>
      <c r="I525" s="92" t="str">
        <f t="shared" si="25"/>
        <v>X</v>
      </c>
      <c r="J525" s="79" t="str">
        <f>IF(G525="","X",_xlfn.XLOOKUP(B525,DATA_Moresby_2024_ALL!B:B,DATA_Moresby_2024_ALL!K:K,""))</f>
        <v>X</v>
      </c>
      <c r="K525" s="28"/>
      <c r="L525" s="29"/>
      <c r="M525" s="28"/>
      <c r="N525" s="19" t="str">
        <f t="shared" si="27"/>
        <v/>
      </c>
      <c r="O525" s="19" t="str">
        <f t="shared" si="26"/>
        <v/>
      </c>
      <c r="P525" s="19" t="str">
        <f t="shared" si="26"/>
        <v/>
      </c>
      <c r="Q525" s="19" t="str">
        <f t="shared" si="26"/>
        <v/>
      </c>
      <c r="R525" s="21"/>
      <c r="T525" s="21"/>
      <c r="W525" s="46"/>
      <c r="X525" s="92" t="s">
        <v>78</v>
      </c>
      <c r="Y525" s="92" t="s">
        <v>78</v>
      </c>
      <c r="Z525" s="92" t="s">
        <v>78</v>
      </c>
    </row>
    <row r="526" spans="1:26" ht="16" hidden="1" x14ac:dyDescent="0.4">
      <c r="A526" s="92">
        <v>2614</v>
      </c>
      <c r="B526" s="92">
        <v>2615</v>
      </c>
      <c r="E526" s="92">
        <v>50</v>
      </c>
      <c r="F526" s="92">
        <f>_xlfn.XLOOKUP(B526, DATA_Moresby_2024_ALL!B:B, DATA_Moresby_2024_ALL!G:G, "")</f>
        <v>0</v>
      </c>
      <c r="G526" s="93"/>
      <c r="H526" s="92">
        <v>8</v>
      </c>
      <c r="I526" s="92" t="str">
        <f t="shared" si="25"/>
        <v>X</v>
      </c>
      <c r="J526" s="79" t="str">
        <f>IF(G526="","X",_xlfn.XLOOKUP(B526,DATA_Moresby_2024_ALL!B:B,DATA_Moresby_2024_ALL!K:K,""))</f>
        <v>X</v>
      </c>
      <c r="K526" s="28"/>
      <c r="L526" s="29"/>
      <c r="M526" s="28"/>
      <c r="N526" s="19" t="str">
        <f t="shared" si="27"/>
        <v/>
      </c>
      <c r="O526" s="19" t="str">
        <f t="shared" si="26"/>
        <v/>
      </c>
      <c r="P526" s="19" t="str">
        <f t="shared" si="26"/>
        <v/>
      </c>
      <c r="Q526" s="19" t="str">
        <f t="shared" si="26"/>
        <v/>
      </c>
      <c r="R526" s="21"/>
      <c r="T526" s="21"/>
      <c r="W526" s="46"/>
      <c r="X526" s="92" t="s">
        <v>78</v>
      </c>
      <c r="Y526" s="92" t="s">
        <v>78</v>
      </c>
      <c r="Z526" s="92" t="s">
        <v>78</v>
      </c>
    </row>
    <row r="527" spans="1:26" ht="16" hidden="1" x14ac:dyDescent="0.4">
      <c r="A527" s="92">
        <v>2619</v>
      </c>
      <c r="B527" s="92">
        <v>2620</v>
      </c>
      <c r="E527" s="92">
        <v>50</v>
      </c>
      <c r="F527" s="92">
        <f>_xlfn.XLOOKUP(B527, DATA_Moresby_2024_ALL!B:B, DATA_Moresby_2024_ALL!G:G, "")</f>
        <v>0</v>
      </c>
      <c r="G527" s="93"/>
      <c r="H527" s="92">
        <v>8</v>
      </c>
      <c r="I527" s="92" t="str">
        <f t="shared" si="25"/>
        <v>X</v>
      </c>
      <c r="J527" s="79" t="str">
        <f>IF(G527="","X",_xlfn.XLOOKUP(B527,DATA_Moresby_2024_ALL!B:B,DATA_Moresby_2024_ALL!K:K,""))</f>
        <v>X</v>
      </c>
      <c r="K527" s="28"/>
      <c r="L527" s="29"/>
      <c r="M527" s="28"/>
      <c r="N527" s="19" t="str">
        <f t="shared" si="27"/>
        <v/>
      </c>
      <c r="O527" s="19" t="str">
        <f t="shared" si="26"/>
        <v/>
      </c>
      <c r="P527" s="19" t="str">
        <f t="shared" si="26"/>
        <v/>
      </c>
      <c r="Q527" s="19" t="str">
        <f t="shared" si="26"/>
        <v/>
      </c>
      <c r="R527" s="21"/>
      <c r="T527" s="21"/>
      <c r="W527" s="46"/>
      <c r="X527" s="92" t="s">
        <v>78</v>
      </c>
      <c r="Y527" s="92" t="s">
        <v>78</v>
      </c>
      <c r="Z527" s="92" t="s">
        <v>78</v>
      </c>
    </row>
    <row r="528" spans="1:26" ht="16" hidden="1" x14ac:dyDescent="0.4">
      <c r="A528" s="92">
        <v>2624</v>
      </c>
      <c r="B528" s="92">
        <v>2625</v>
      </c>
      <c r="E528" s="92">
        <v>50</v>
      </c>
      <c r="F528" s="92">
        <f>_xlfn.XLOOKUP(B528, DATA_Moresby_2024_ALL!B:B, DATA_Moresby_2024_ALL!G:G, "")</f>
        <v>0</v>
      </c>
      <c r="G528" s="93"/>
      <c r="H528" s="92">
        <v>8</v>
      </c>
      <c r="I528" s="92" t="str">
        <f t="shared" si="25"/>
        <v>X</v>
      </c>
      <c r="J528" s="79" t="str">
        <f>IF(G528="","X",_xlfn.XLOOKUP(B528,DATA_Moresby_2024_ALL!B:B,DATA_Moresby_2024_ALL!K:K,""))</f>
        <v>X</v>
      </c>
      <c r="K528" s="28"/>
      <c r="L528" s="29"/>
      <c r="M528" s="28"/>
      <c r="N528" s="19" t="str">
        <f t="shared" si="27"/>
        <v/>
      </c>
      <c r="O528" s="19" t="str">
        <f t="shared" si="26"/>
        <v/>
      </c>
      <c r="P528" s="19" t="str">
        <f t="shared" si="26"/>
        <v/>
      </c>
      <c r="Q528" s="19" t="str">
        <f t="shared" si="26"/>
        <v/>
      </c>
      <c r="R528" s="21"/>
      <c r="T528" s="21"/>
      <c r="W528" s="46"/>
      <c r="X528" s="92" t="s">
        <v>78</v>
      </c>
      <c r="Y528" s="92" t="s">
        <v>78</v>
      </c>
      <c r="Z528" s="92" t="s">
        <v>78</v>
      </c>
    </row>
    <row r="529" spans="1:26" ht="16" hidden="1" x14ac:dyDescent="0.4">
      <c r="A529" s="92">
        <v>2629</v>
      </c>
      <c r="B529" s="92">
        <v>2630</v>
      </c>
      <c r="E529" s="92">
        <v>50</v>
      </c>
      <c r="F529" s="92">
        <f>_xlfn.XLOOKUP(B529, DATA_Moresby_2024_ALL!B:B, DATA_Moresby_2024_ALL!G:G, "")</f>
        <v>0</v>
      </c>
      <c r="G529" s="93"/>
      <c r="H529" s="92">
        <v>8</v>
      </c>
      <c r="I529" s="92" t="str">
        <f t="shared" si="25"/>
        <v>X</v>
      </c>
      <c r="J529" s="79" t="str">
        <f>IF(G529="","X",_xlfn.XLOOKUP(B529,DATA_Moresby_2024_ALL!B:B,DATA_Moresby_2024_ALL!K:K,""))</f>
        <v>X</v>
      </c>
      <c r="K529" s="28"/>
      <c r="L529" s="29"/>
      <c r="M529" s="28"/>
      <c r="N529" s="19" t="str">
        <f t="shared" si="27"/>
        <v/>
      </c>
      <c r="O529" s="19" t="str">
        <f t="shared" si="26"/>
        <v/>
      </c>
      <c r="P529" s="19" t="str">
        <f t="shared" si="26"/>
        <v/>
      </c>
      <c r="Q529" s="19" t="str">
        <f t="shared" si="26"/>
        <v/>
      </c>
      <c r="R529" s="21"/>
      <c r="T529" s="21"/>
      <c r="W529" s="46"/>
      <c r="X529" s="92" t="s">
        <v>78</v>
      </c>
      <c r="Y529" s="92" t="s">
        <v>78</v>
      </c>
      <c r="Z529" s="92" t="s">
        <v>78</v>
      </c>
    </row>
    <row r="530" spans="1:26" ht="16" hidden="1" x14ac:dyDescent="0.4">
      <c r="A530" s="92">
        <v>2634</v>
      </c>
      <c r="B530" s="92">
        <v>2635</v>
      </c>
      <c r="E530" s="92">
        <v>50</v>
      </c>
      <c r="F530" s="92">
        <f>_xlfn.XLOOKUP(B530, DATA_Moresby_2024_ALL!B:B, DATA_Moresby_2024_ALL!G:G, "")</f>
        <v>0</v>
      </c>
      <c r="G530" s="93"/>
      <c r="H530" s="92">
        <v>8</v>
      </c>
      <c r="I530" s="92" t="str">
        <f t="shared" si="25"/>
        <v>X</v>
      </c>
      <c r="J530" s="79" t="str">
        <f>IF(G530="","X",_xlfn.XLOOKUP(B530,DATA_Moresby_2024_ALL!B:B,DATA_Moresby_2024_ALL!K:K,""))</f>
        <v>X</v>
      </c>
      <c r="K530" s="28"/>
      <c r="L530" s="29"/>
      <c r="M530" s="28"/>
      <c r="N530" s="19" t="str">
        <f t="shared" si="27"/>
        <v/>
      </c>
      <c r="O530" s="19" t="str">
        <f t="shared" si="26"/>
        <v/>
      </c>
      <c r="P530" s="19" t="str">
        <f t="shared" si="26"/>
        <v/>
      </c>
      <c r="Q530" s="19" t="str">
        <f t="shared" si="26"/>
        <v/>
      </c>
      <c r="R530" s="21"/>
      <c r="T530" s="21"/>
      <c r="W530" s="46"/>
      <c r="X530" s="92" t="s">
        <v>78</v>
      </c>
      <c r="Y530" s="92" t="s">
        <v>78</v>
      </c>
      <c r="Z530" s="92" t="s">
        <v>78</v>
      </c>
    </row>
    <row r="531" spans="1:26" ht="16" hidden="1" x14ac:dyDescent="0.4">
      <c r="A531" s="92">
        <v>2639</v>
      </c>
      <c r="B531" s="92">
        <v>2640</v>
      </c>
      <c r="E531" s="92">
        <v>50</v>
      </c>
      <c r="F531" s="92">
        <f>_xlfn.XLOOKUP(B531, DATA_Moresby_2024_ALL!B:B, DATA_Moresby_2024_ALL!G:G, "")</f>
        <v>0</v>
      </c>
      <c r="G531" s="93"/>
      <c r="H531" s="92">
        <v>8</v>
      </c>
      <c r="I531" s="92" t="str">
        <f t="shared" ref="I531:I594" si="28">IF(G531="","X","")</f>
        <v>X</v>
      </c>
      <c r="J531" s="79" t="str">
        <f>IF(G531="","X",_xlfn.XLOOKUP(B531,DATA_Moresby_2024_ALL!B:B,DATA_Moresby_2024_ALL!K:K,""))</f>
        <v>X</v>
      </c>
      <c r="K531" s="28"/>
      <c r="L531" s="29"/>
      <c r="M531" s="28"/>
      <c r="N531" s="19" t="str">
        <f t="shared" si="27"/>
        <v/>
      </c>
      <c r="O531" s="19" t="str">
        <f t="shared" si="26"/>
        <v/>
      </c>
      <c r="P531" s="19" t="str">
        <f t="shared" si="26"/>
        <v/>
      </c>
      <c r="Q531" s="19" t="str">
        <f t="shared" si="26"/>
        <v/>
      </c>
      <c r="R531" s="21"/>
      <c r="T531" s="21"/>
      <c r="W531" s="46"/>
      <c r="X531" s="92" t="s">
        <v>78</v>
      </c>
      <c r="Y531" s="92" t="s">
        <v>78</v>
      </c>
      <c r="Z531" s="92" t="s">
        <v>78</v>
      </c>
    </row>
    <row r="532" spans="1:26" ht="16" hidden="1" x14ac:dyDescent="0.4">
      <c r="A532" s="92">
        <v>2644</v>
      </c>
      <c r="B532" s="92">
        <v>2645</v>
      </c>
      <c r="E532" s="92">
        <v>50</v>
      </c>
      <c r="F532" s="92">
        <f>_xlfn.XLOOKUP(B532, DATA_Moresby_2024_ALL!B:B, DATA_Moresby_2024_ALL!G:G, "")</f>
        <v>0</v>
      </c>
      <c r="G532" s="93"/>
      <c r="H532" s="92">
        <v>8</v>
      </c>
      <c r="I532" s="92" t="str">
        <f t="shared" si="28"/>
        <v>X</v>
      </c>
      <c r="J532" s="79" t="str">
        <f>IF(G532="","X",_xlfn.XLOOKUP(B532,DATA_Moresby_2024_ALL!B:B,DATA_Moresby_2024_ALL!K:K,""))</f>
        <v>X</v>
      </c>
      <c r="K532" s="28"/>
      <c r="L532" s="29"/>
      <c r="M532" s="28"/>
      <c r="N532" s="19" t="str">
        <f t="shared" si="27"/>
        <v/>
      </c>
      <c r="O532" s="19" t="str">
        <f t="shared" si="26"/>
        <v/>
      </c>
      <c r="P532" s="19" t="str">
        <f t="shared" si="26"/>
        <v/>
      </c>
      <c r="Q532" s="19" t="str">
        <f t="shared" si="26"/>
        <v/>
      </c>
      <c r="R532" s="21"/>
      <c r="T532" s="21"/>
      <c r="W532" s="46"/>
      <c r="X532" s="92" t="s">
        <v>78</v>
      </c>
      <c r="Y532" s="92" t="s">
        <v>78</v>
      </c>
      <c r="Z532" s="92" t="s">
        <v>78</v>
      </c>
    </row>
    <row r="533" spans="1:26" ht="16" hidden="1" x14ac:dyDescent="0.4">
      <c r="A533" s="92">
        <v>2649</v>
      </c>
      <c r="B533" s="92">
        <v>2650</v>
      </c>
      <c r="E533" s="92">
        <v>50</v>
      </c>
      <c r="F533" s="92">
        <f>_xlfn.XLOOKUP(B533, DATA_Moresby_2024_ALL!B:B, DATA_Moresby_2024_ALL!G:G, "")</f>
        <v>0</v>
      </c>
      <c r="G533" s="93"/>
      <c r="H533" s="92">
        <v>8</v>
      </c>
      <c r="I533" s="92" t="str">
        <f t="shared" si="28"/>
        <v>X</v>
      </c>
      <c r="J533" s="79" t="str">
        <f>IF(G533="","X",_xlfn.XLOOKUP(B533,DATA_Moresby_2024_ALL!B:B,DATA_Moresby_2024_ALL!K:K,""))</f>
        <v>X</v>
      </c>
      <c r="K533" s="28"/>
      <c r="L533" s="29"/>
      <c r="M533" s="28"/>
      <c r="N533" s="19" t="str">
        <f t="shared" si="27"/>
        <v/>
      </c>
      <c r="O533" s="19" t="str">
        <f t="shared" si="26"/>
        <v/>
      </c>
      <c r="P533" s="19" t="str">
        <f t="shared" si="26"/>
        <v/>
      </c>
      <c r="Q533" s="19" t="str">
        <f t="shared" si="26"/>
        <v/>
      </c>
      <c r="R533" s="21"/>
      <c r="T533" s="21"/>
      <c r="W533" s="46"/>
      <c r="X533" s="92" t="s">
        <v>78</v>
      </c>
      <c r="Y533" s="92" t="s">
        <v>78</v>
      </c>
      <c r="Z533" s="92" t="s">
        <v>78</v>
      </c>
    </row>
    <row r="534" spans="1:26" ht="16" hidden="1" x14ac:dyDescent="0.4">
      <c r="A534" s="92">
        <v>2654</v>
      </c>
      <c r="B534" s="92">
        <v>2655</v>
      </c>
      <c r="E534" s="92">
        <v>50</v>
      </c>
      <c r="F534" s="92">
        <f>_xlfn.XLOOKUP(B534, DATA_Moresby_2024_ALL!B:B, DATA_Moresby_2024_ALL!G:G, "")</f>
        <v>0</v>
      </c>
      <c r="G534" s="93"/>
      <c r="H534" s="92">
        <v>8</v>
      </c>
      <c r="I534" s="92" t="str">
        <f t="shared" si="28"/>
        <v>X</v>
      </c>
      <c r="J534" s="79" t="str">
        <f>IF(G534="","X",_xlfn.XLOOKUP(B534,DATA_Moresby_2024_ALL!B:B,DATA_Moresby_2024_ALL!K:K,""))</f>
        <v>X</v>
      </c>
      <c r="K534" s="28"/>
      <c r="L534" s="29"/>
      <c r="M534" s="28"/>
      <c r="N534" s="19" t="str">
        <f t="shared" si="27"/>
        <v/>
      </c>
      <c r="O534" s="19" t="str">
        <f t="shared" si="26"/>
        <v/>
      </c>
      <c r="P534" s="19" t="str">
        <f t="shared" si="26"/>
        <v/>
      </c>
      <c r="Q534" s="19" t="str">
        <f t="shared" si="26"/>
        <v/>
      </c>
      <c r="R534" s="21"/>
      <c r="T534" s="21"/>
      <c r="W534" s="46"/>
      <c r="X534" s="92" t="s">
        <v>78</v>
      </c>
      <c r="Y534" s="92" t="s">
        <v>78</v>
      </c>
      <c r="Z534" s="92" t="s">
        <v>78</v>
      </c>
    </row>
    <row r="535" spans="1:26" ht="16" hidden="1" x14ac:dyDescent="0.4">
      <c r="A535" s="92">
        <v>2659</v>
      </c>
      <c r="B535" s="92">
        <v>2660</v>
      </c>
      <c r="E535" s="92">
        <v>50</v>
      </c>
      <c r="F535" s="92">
        <f>_xlfn.XLOOKUP(B535, DATA_Moresby_2024_ALL!B:B, DATA_Moresby_2024_ALL!G:G, "")</f>
        <v>0</v>
      </c>
      <c r="G535" s="93"/>
      <c r="H535" s="92">
        <v>8</v>
      </c>
      <c r="I535" s="92" t="str">
        <f t="shared" si="28"/>
        <v>X</v>
      </c>
      <c r="J535" s="79" t="str">
        <f>IF(G535="","X",_xlfn.XLOOKUP(B535,DATA_Moresby_2024_ALL!B:B,DATA_Moresby_2024_ALL!K:K,""))</f>
        <v>X</v>
      </c>
      <c r="K535" s="28"/>
      <c r="L535" s="29"/>
      <c r="M535" s="28"/>
      <c r="N535" s="19" t="str">
        <f t="shared" si="27"/>
        <v/>
      </c>
      <c r="O535" s="19" t="str">
        <f t="shared" si="26"/>
        <v/>
      </c>
      <c r="P535" s="19" t="str">
        <f t="shared" si="26"/>
        <v/>
      </c>
      <c r="Q535" s="19" t="str">
        <f t="shared" si="26"/>
        <v/>
      </c>
      <c r="R535" s="21"/>
      <c r="T535" s="21"/>
      <c r="W535" s="46"/>
      <c r="X535" s="92" t="s">
        <v>78</v>
      </c>
      <c r="Y535" s="92" t="s">
        <v>78</v>
      </c>
      <c r="Z535" s="92" t="s">
        <v>78</v>
      </c>
    </row>
    <row r="536" spans="1:26" ht="16" hidden="1" x14ac:dyDescent="0.4">
      <c r="A536" s="92">
        <v>2664</v>
      </c>
      <c r="B536" s="92">
        <v>2665</v>
      </c>
      <c r="E536" s="92">
        <v>50</v>
      </c>
      <c r="F536" s="92">
        <f>_xlfn.XLOOKUP(B536, DATA_Moresby_2024_ALL!B:B, DATA_Moresby_2024_ALL!G:G, "")</f>
        <v>0</v>
      </c>
      <c r="G536" s="93"/>
      <c r="H536" s="92">
        <v>8</v>
      </c>
      <c r="I536" s="92" t="str">
        <f t="shared" si="28"/>
        <v>X</v>
      </c>
      <c r="J536" s="79" t="str">
        <f>IF(G536="","X",_xlfn.XLOOKUP(B536,DATA_Moresby_2024_ALL!B:B,DATA_Moresby_2024_ALL!K:K,""))</f>
        <v>X</v>
      </c>
      <c r="K536" s="28"/>
      <c r="L536" s="29"/>
      <c r="M536" s="28"/>
      <c r="N536" s="19" t="str">
        <f t="shared" si="27"/>
        <v/>
      </c>
      <c r="O536" s="19" t="str">
        <f t="shared" si="26"/>
        <v/>
      </c>
      <c r="P536" s="19" t="str">
        <f t="shared" si="26"/>
        <v/>
      </c>
      <c r="Q536" s="19" t="str">
        <f t="shared" si="26"/>
        <v/>
      </c>
      <c r="R536" s="21"/>
      <c r="T536" s="21"/>
      <c r="W536" s="46"/>
      <c r="X536" s="92" t="s">
        <v>78</v>
      </c>
      <c r="Y536" s="92" t="s">
        <v>78</v>
      </c>
      <c r="Z536" s="92" t="s">
        <v>78</v>
      </c>
    </row>
    <row r="537" spans="1:26" ht="16" hidden="1" x14ac:dyDescent="0.4">
      <c r="A537" s="92">
        <v>2669</v>
      </c>
      <c r="B537" s="92">
        <v>2670</v>
      </c>
      <c r="E537" s="92">
        <v>50</v>
      </c>
      <c r="F537" s="92">
        <f>_xlfn.XLOOKUP(B537, DATA_Moresby_2024_ALL!B:B, DATA_Moresby_2024_ALL!G:G, "")</f>
        <v>0</v>
      </c>
      <c r="G537" s="93"/>
      <c r="H537" s="92">
        <v>8</v>
      </c>
      <c r="I537" s="92" t="str">
        <f t="shared" si="28"/>
        <v>X</v>
      </c>
      <c r="J537" s="79" t="str">
        <f>IF(G537="","X",_xlfn.XLOOKUP(B537,DATA_Moresby_2024_ALL!B:B,DATA_Moresby_2024_ALL!K:K,""))</f>
        <v>X</v>
      </c>
      <c r="K537" s="28"/>
      <c r="L537" s="29"/>
      <c r="M537" s="28"/>
      <c r="N537" s="19" t="str">
        <f t="shared" si="27"/>
        <v/>
      </c>
      <c r="O537" s="19" t="str">
        <f t="shared" si="26"/>
        <v/>
      </c>
      <c r="P537" s="19" t="str">
        <f t="shared" si="26"/>
        <v/>
      </c>
      <c r="Q537" s="19" t="str">
        <f t="shared" si="26"/>
        <v/>
      </c>
      <c r="R537" s="21"/>
      <c r="T537" s="21"/>
      <c r="W537" s="46"/>
      <c r="X537" s="92" t="s">
        <v>78</v>
      </c>
      <c r="Y537" s="92" t="s">
        <v>78</v>
      </c>
      <c r="Z537" s="92" t="s">
        <v>78</v>
      </c>
    </row>
    <row r="538" spans="1:26" ht="16" hidden="1" x14ac:dyDescent="0.4">
      <c r="A538" s="92">
        <v>2674</v>
      </c>
      <c r="B538" s="92">
        <v>2675</v>
      </c>
      <c r="E538" s="92">
        <v>50</v>
      </c>
      <c r="F538" s="92">
        <f>_xlfn.XLOOKUP(B538, DATA_Moresby_2024_ALL!B:B, DATA_Moresby_2024_ALL!G:G, "")</f>
        <v>0</v>
      </c>
      <c r="G538" s="93"/>
      <c r="H538" s="92">
        <v>8</v>
      </c>
      <c r="I538" s="92" t="str">
        <f t="shared" si="28"/>
        <v>X</v>
      </c>
      <c r="J538" s="79" t="str">
        <f>IF(G538="","X",_xlfn.XLOOKUP(B538,DATA_Moresby_2024_ALL!B:B,DATA_Moresby_2024_ALL!K:K,""))</f>
        <v>X</v>
      </c>
      <c r="K538" s="28"/>
      <c r="L538" s="29"/>
      <c r="M538" s="28"/>
      <c r="N538" s="19" t="str">
        <f t="shared" si="27"/>
        <v/>
      </c>
      <c r="O538" s="19" t="str">
        <f t="shared" si="26"/>
        <v/>
      </c>
      <c r="P538" s="19" t="str">
        <f t="shared" si="26"/>
        <v/>
      </c>
      <c r="Q538" s="19" t="str">
        <f t="shared" si="26"/>
        <v/>
      </c>
      <c r="R538" s="21"/>
      <c r="T538" s="21"/>
      <c r="W538" s="46"/>
      <c r="X538" s="92" t="s">
        <v>78</v>
      </c>
      <c r="Y538" s="92" t="s">
        <v>78</v>
      </c>
      <c r="Z538" s="92" t="s">
        <v>78</v>
      </c>
    </row>
    <row r="539" spans="1:26" ht="16" hidden="1" x14ac:dyDescent="0.4">
      <c r="A539" s="92">
        <v>2679</v>
      </c>
      <c r="B539" s="92">
        <v>2680</v>
      </c>
      <c r="E539" s="92">
        <v>50</v>
      </c>
      <c r="F539" s="92">
        <f>_xlfn.XLOOKUP(B539, DATA_Moresby_2024_ALL!B:B, DATA_Moresby_2024_ALL!G:G, "")</f>
        <v>0</v>
      </c>
      <c r="G539" s="93"/>
      <c r="H539" s="92">
        <v>8</v>
      </c>
      <c r="I539" s="92" t="str">
        <f t="shared" si="28"/>
        <v>X</v>
      </c>
      <c r="J539" s="79" t="str">
        <f>IF(G539="","X",_xlfn.XLOOKUP(B539,DATA_Moresby_2024_ALL!B:B,DATA_Moresby_2024_ALL!K:K,""))</f>
        <v>X</v>
      </c>
      <c r="K539" s="28"/>
      <c r="L539" s="29"/>
      <c r="M539" s="28"/>
      <c r="N539" s="19" t="str">
        <f t="shared" si="27"/>
        <v/>
      </c>
      <c r="O539" s="19" t="str">
        <f t="shared" si="26"/>
        <v/>
      </c>
      <c r="P539" s="19" t="str">
        <f t="shared" si="26"/>
        <v/>
      </c>
      <c r="Q539" s="19" t="str">
        <f t="shared" si="26"/>
        <v/>
      </c>
      <c r="R539" s="21"/>
      <c r="T539" s="21"/>
      <c r="W539" s="46"/>
      <c r="X539" s="92" t="s">
        <v>78</v>
      </c>
      <c r="Y539" s="92" t="s">
        <v>78</v>
      </c>
      <c r="Z539" s="92" t="s">
        <v>78</v>
      </c>
    </row>
    <row r="540" spans="1:26" ht="16" hidden="1" x14ac:dyDescent="0.4">
      <c r="A540" s="92">
        <v>2684</v>
      </c>
      <c r="B540" s="92">
        <v>2685</v>
      </c>
      <c r="E540" s="92">
        <v>50</v>
      </c>
      <c r="F540" s="92">
        <f>_xlfn.XLOOKUP(B540, DATA_Moresby_2024_ALL!B:B, DATA_Moresby_2024_ALL!G:G, "")</f>
        <v>0</v>
      </c>
      <c r="G540" s="93"/>
      <c r="H540" s="92">
        <v>8</v>
      </c>
      <c r="I540" s="92" t="str">
        <f t="shared" si="28"/>
        <v>X</v>
      </c>
      <c r="J540" s="79" t="str">
        <f>IF(G540="","X",_xlfn.XLOOKUP(B540,DATA_Moresby_2024_ALL!B:B,DATA_Moresby_2024_ALL!K:K,""))</f>
        <v>X</v>
      </c>
      <c r="K540" s="28"/>
      <c r="L540" s="29"/>
      <c r="M540" s="28"/>
      <c r="N540" s="19" t="str">
        <f t="shared" si="27"/>
        <v/>
      </c>
      <c r="O540" s="19" t="str">
        <f t="shared" si="26"/>
        <v/>
      </c>
      <c r="P540" s="19" t="str">
        <f t="shared" si="26"/>
        <v/>
      </c>
      <c r="Q540" s="19" t="str">
        <f t="shared" si="26"/>
        <v/>
      </c>
      <c r="R540" s="21"/>
      <c r="T540" s="21"/>
      <c r="W540" s="46"/>
      <c r="X540" s="92" t="s">
        <v>78</v>
      </c>
      <c r="Y540" s="92" t="s">
        <v>78</v>
      </c>
      <c r="Z540" s="92" t="s">
        <v>78</v>
      </c>
    </row>
    <row r="541" spans="1:26" ht="16" hidden="1" x14ac:dyDescent="0.4">
      <c r="A541" s="92">
        <v>2689</v>
      </c>
      <c r="B541" s="92">
        <v>2690</v>
      </c>
      <c r="E541" s="92">
        <v>50</v>
      </c>
      <c r="F541" s="92">
        <f>_xlfn.XLOOKUP(B541, DATA_Moresby_2024_ALL!B:B, DATA_Moresby_2024_ALL!G:G, "")</f>
        <v>0</v>
      </c>
      <c r="G541" s="93"/>
      <c r="H541" s="92">
        <v>8</v>
      </c>
      <c r="I541" s="92" t="str">
        <f t="shared" si="28"/>
        <v>X</v>
      </c>
      <c r="J541" s="79" t="str">
        <f>IF(G541="","X",_xlfn.XLOOKUP(B541,DATA_Moresby_2024_ALL!B:B,DATA_Moresby_2024_ALL!K:K,""))</f>
        <v>X</v>
      </c>
      <c r="K541" s="28"/>
      <c r="L541" s="29"/>
      <c r="M541" s="28"/>
      <c r="N541" s="19" t="str">
        <f t="shared" si="27"/>
        <v/>
      </c>
      <c r="O541" s="19" t="str">
        <f t="shared" si="27"/>
        <v/>
      </c>
      <c r="P541" s="19" t="str">
        <f t="shared" si="27"/>
        <v/>
      </c>
      <c r="Q541" s="19" t="str">
        <f t="shared" si="27"/>
        <v/>
      </c>
      <c r="R541" s="21"/>
      <c r="T541" s="21"/>
      <c r="W541" s="46"/>
      <c r="X541" s="92" t="s">
        <v>78</v>
      </c>
      <c r="Y541" s="92" t="s">
        <v>78</v>
      </c>
      <c r="Z541" s="92" t="s">
        <v>78</v>
      </c>
    </row>
    <row r="542" spans="1:26" ht="16" hidden="1" x14ac:dyDescent="0.4">
      <c r="A542" s="92">
        <v>2694</v>
      </c>
      <c r="B542" s="92">
        <v>2695</v>
      </c>
      <c r="E542" s="92">
        <v>50</v>
      </c>
      <c r="F542" s="92">
        <f>_xlfn.XLOOKUP(B542, DATA_Moresby_2024_ALL!B:B, DATA_Moresby_2024_ALL!G:G, "")</f>
        <v>0</v>
      </c>
      <c r="G542" s="93"/>
      <c r="H542" s="92">
        <v>8</v>
      </c>
      <c r="I542" s="92" t="str">
        <f t="shared" si="28"/>
        <v>X</v>
      </c>
      <c r="J542" s="79" t="str">
        <f>IF(G542="","X",_xlfn.XLOOKUP(B542,DATA_Moresby_2024_ALL!B:B,DATA_Moresby_2024_ALL!K:K,""))</f>
        <v>X</v>
      </c>
      <c r="K542" s="28"/>
      <c r="L542" s="29"/>
      <c r="M542" s="28"/>
      <c r="N542" s="19" t="str">
        <f t="shared" ref="N542:Q605" si="29">IF($J542=1,4,"")</f>
        <v/>
      </c>
      <c r="O542" s="19" t="str">
        <f t="shared" si="29"/>
        <v/>
      </c>
      <c r="P542" s="19" t="str">
        <f t="shared" si="29"/>
        <v/>
      </c>
      <c r="Q542" s="19" t="str">
        <f t="shared" si="29"/>
        <v/>
      </c>
      <c r="R542" s="21"/>
      <c r="T542" s="21"/>
      <c r="W542" s="46"/>
      <c r="X542" s="92" t="s">
        <v>78</v>
      </c>
      <c r="Y542" s="92" t="s">
        <v>78</v>
      </c>
      <c r="Z542" s="92" t="s">
        <v>78</v>
      </c>
    </row>
    <row r="543" spans="1:26" ht="16" hidden="1" x14ac:dyDescent="0.4">
      <c r="A543" s="92">
        <v>2699</v>
      </c>
      <c r="B543" s="92">
        <v>2700</v>
      </c>
      <c r="E543" s="92">
        <v>50</v>
      </c>
      <c r="F543" s="92">
        <f>_xlfn.XLOOKUP(B543, DATA_Moresby_2024_ALL!B:B, DATA_Moresby_2024_ALL!G:G, "")</f>
        <v>0</v>
      </c>
      <c r="G543" s="93"/>
      <c r="H543" s="92">
        <v>8</v>
      </c>
      <c r="I543" s="92" t="str">
        <f t="shared" si="28"/>
        <v>X</v>
      </c>
      <c r="J543" s="79" t="str">
        <f>IF(G543="","X",_xlfn.XLOOKUP(B543,DATA_Moresby_2024_ALL!B:B,DATA_Moresby_2024_ALL!K:K,""))</f>
        <v>X</v>
      </c>
      <c r="K543" s="28"/>
      <c r="L543" s="29"/>
      <c r="M543" s="28"/>
      <c r="N543" s="19" t="str">
        <f t="shared" si="29"/>
        <v/>
      </c>
      <c r="O543" s="19" t="str">
        <f t="shared" si="29"/>
        <v/>
      </c>
      <c r="P543" s="19" t="str">
        <f t="shared" si="29"/>
        <v/>
      </c>
      <c r="Q543" s="19" t="str">
        <f t="shared" si="29"/>
        <v/>
      </c>
      <c r="R543" s="21"/>
      <c r="T543" s="21"/>
      <c r="W543" s="46"/>
      <c r="X543" s="92" t="s">
        <v>78</v>
      </c>
      <c r="Y543" s="92" t="s">
        <v>78</v>
      </c>
      <c r="Z543" s="92" t="s">
        <v>78</v>
      </c>
    </row>
    <row r="544" spans="1:26" ht="16" hidden="1" x14ac:dyDescent="0.4">
      <c r="A544" s="92">
        <v>2704</v>
      </c>
      <c r="B544" s="92">
        <v>2705</v>
      </c>
      <c r="E544" s="92">
        <v>50</v>
      </c>
      <c r="F544" s="92">
        <f>_xlfn.XLOOKUP(B544, DATA_Moresby_2024_ALL!B:B, DATA_Moresby_2024_ALL!G:G, "")</f>
        <v>0</v>
      </c>
      <c r="G544" s="93"/>
      <c r="H544" s="92">
        <v>8</v>
      </c>
      <c r="I544" s="92" t="str">
        <f t="shared" si="28"/>
        <v>X</v>
      </c>
      <c r="J544" s="79" t="str">
        <f>IF(G544="","X",_xlfn.XLOOKUP(B544,DATA_Moresby_2024_ALL!B:B,DATA_Moresby_2024_ALL!K:K,""))</f>
        <v>X</v>
      </c>
      <c r="K544" s="28"/>
      <c r="L544" s="29"/>
      <c r="M544" s="28"/>
      <c r="N544" s="19" t="str">
        <f t="shared" si="29"/>
        <v/>
      </c>
      <c r="O544" s="19" t="str">
        <f t="shared" si="29"/>
        <v/>
      </c>
      <c r="P544" s="19" t="str">
        <f t="shared" si="29"/>
        <v/>
      </c>
      <c r="Q544" s="19" t="str">
        <f t="shared" si="29"/>
        <v/>
      </c>
      <c r="R544" s="21"/>
      <c r="T544" s="21"/>
      <c r="W544" s="46"/>
      <c r="X544" s="92" t="s">
        <v>78</v>
      </c>
      <c r="Y544" s="92" t="s">
        <v>78</v>
      </c>
      <c r="Z544" s="92" t="s">
        <v>78</v>
      </c>
    </row>
    <row r="545" spans="1:26" ht="16" hidden="1" x14ac:dyDescent="0.4">
      <c r="A545" s="92">
        <v>2709</v>
      </c>
      <c r="B545" s="92">
        <v>2710</v>
      </c>
      <c r="E545" s="92">
        <v>50</v>
      </c>
      <c r="F545" s="92">
        <f>_xlfn.XLOOKUP(B545, DATA_Moresby_2024_ALL!B:B, DATA_Moresby_2024_ALL!G:G, "")</f>
        <v>0</v>
      </c>
      <c r="G545" s="93"/>
      <c r="H545" s="92">
        <v>8</v>
      </c>
      <c r="I545" s="92" t="str">
        <f t="shared" si="28"/>
        <v>X</v>
      </c>
      <c r="J545" s="79" t="str">
        <f>IF(G545="","X",_xlfn.XLOOKUP(B545,DATA_Moresby_2024_ALL!B:B,DATA_Moresby_2024_ALL!K:K,""))</f>
        <v>X</v>
      </c>
      <c r="K545" s="28"/>
      <c r="L545" s="29"/>
      <c r="M545" s="28"/>
      <c r="N545" s="19" t="str">
        <f t="shared" si="29"/>
        <v/>
      </c>
      <c r="O545" s="19" t="str">
        <f t="shared" si="29"/>
        <v/>
      </c>
      <c r="P545" s="19" t="str">
        <f t="shared" si="29"/>
        <v/>
      </c>
      <c r="Q545" s="19" t="str">
        <f t="shared" si="29"/>
        <v/>
      </c>
      <c r="R545" s="21"/>
      <c r="T545" s="21"/>
      <c r="W545" s="46"/>
      <c r="X545" s="92" t="s">
        <v>78</v>
      </c>
      <c r="Y545" s="92" t="s">
        <v>78</v>
      </c>
      <c r="Z545" s="92" t="s">
        <v>78</v>
      </c>
    </row>
    <row r="546" spans="1:26" ht="16" hidden="1" x14ac:dyDescent="0.4">
      <c r="A546" s="92">
        <v>2714</v>
      </c>
      <c r="B546" s="92">
        <v>2715</v>
      </c>
      <c r="E546" s="92">
        <v>50</v>
      </c>
      <c r="F546" s="92">
        <f>_xlfn.XLOOKUP(B546, DATA_Moresby_2024_ALL!B:B, DATA_Moresby_2024_ALL!G:G, "")</f>
        <v>0</v>
      </c>
      <c r="G546" s="93"/>
      <c r="H546" s="92">
        <v>8</v>
      </c>
      <c r="I546" s="92" t="str">
        <f t="shared" si="28"/>
        <v>X</v>
      </c>
      <c r="J546" s="79" t="str">
        <f>IF(G546="","X",_xlfn.XLOOKUP(B546,DATA_Moresby_2024_ALL!B:B,DATA_Moresby_2024_ALL!K:K,""))</f>
        <v>X</v>
      </c>
      <c r="K546" s="28"/>
      <c r="L546" s="29"/>
      <c r="M546" s="28"/>
      <c r="N546" s="19" t="str">
        <f t="shared" si="29"/>
        <v/>
      </c>
      <c r="O546" s="19" t="str">
        <f t="shared" si="29"/>
        <v/>
      </c>
      <c r="P546" s="19" t="str">
        <f t="shared" si="29"/>
        <v/>
      </c>
      <c r="Q546" s="19" t="str">
        <f t="shared" si="29"/>
        <v/>
      </c>
      <c r="R546" s="21"/>
      <c r="T546" s="21"/>
      <c r="W546" s="46"/>
      <c r="X546" s="92" t="s">
        <v>78</v>
      </c>
      <c r="Y546" s="92" t="s">
        <v>78</v>
      </c>
      <c r="Z546" s="92" t="s">
        <v>78</v>
      </c>
    </row>
    <row r="547" spans="1:26" ht="16" hidden="1" x14ac:dyDescent="0.4">
      <c r="A547" s="92">
        <v>2719</v>
      </c>
      <c r="B547" s="92">
        <v>2720</v>
      </c>
      <c r="E547" s="92">
        <v>50</v>
      </c>
      <c r="F547" s="92">
        <f>_xlfn.XLOOKUP(B547, DATA_Moresby_2024_ALL!B:B, DATA_Moresby_2024_ALL!G:G, "")</f>
        <v>0</v>
      </c>
      <c r="G547" s="93"/>
      <c r="H547" s="92">
        <v>8</v>
      </c>
      <c r="I547" s="92" t="str">
        <f t="shared" si="28"/>
        <v>X</v>
      </c>
      <c r="J547" s="79" t="str">
        <f>IF(G547="","X",_xlfn.XLOOKUP(B547,DATA_Moresby_2024_ALL!B:B,DATA_Moresby_2024_ALL!K:K,""))</f>
        <v>X</v>
      </c>
      <c r="K547" s="28"/>
      <c r="L547" s="29"/>
      <c r="M547" s="28"/>
      <c r="N547" s="19" t="str">
        <f t="shared" si="29"/>
        <v/>
      </c>
      <c r="O547" s="19" t="str">
        <f t="shared" si="29"/>
        <v/>
      </c>
      <c r="P547" s="19" t="str">
        <f t="shared" si="29"/>
        <v/>
      </c>
      <c r="Q547" s="19" t="str">
        <f t="shared" si="29"/>
        <v/>
      </c>
      <c r="R547" s="21"/>
      <c r="T547" s="21"/>
      <c r="W547" s="46"/>
      <c r="X547" s="92" t="s">
        <v>78</v>
      </c>
      <c r="Y547" s="92" t="s">
        <v>78</v>
      </c>
      <c r="Z547" s="92" t="s">
        <v>78</v>
      </c>
    </row>
    <row r="548" spans="1:26" ht="16" hidden="1" x14ac:dyDescent="0.4">
      <c r="A548" s="92">
        <v>2724</v>
      </c>
      <c r="B548" s="92">
        <v>2725</v>
      </c>
      <c r="E548" s="92">
        <v>50</v>
      </c>
      <c r="F548" s="92">
        <f>_xlfn.XLOOKUP(B548, DATA_Moresby_2024_ALL!B:B, DATA_Moresby_2024_ALL!G:G, "")</f>
        <v>0</v>
      </c>
      <c r="G548" s="93"/>
      <c r="H548" s="92">
        <v>8</v>
      </c>
      <c r="I548" s="92" t="str">
        <f t="shared" si="28"/>
        <v>X</v>
      </c>
      <c r="J548" s="79" t="str">
        <f>IF(G548="","X",_xlfn.XLOOKUP(B548,DATA_Moresby_2024_ALL!B:B,DATA_Moresby_2024_ALL!K:K,""))</f>
        <v>X</v>
      </c>
      <c r="K548" s="28"/>
      <c r="L548" s="29"/>
      <c r="M548" s="28"/>
      <c r="N548" s="19" t="str">
        <f t="shared" si="29"/>
        <v/>
      </c>
      <c r="O548" s="19" t="str">
        <f t="shared" si="29"/>
        <v/>
      </c>
      <c r="P548" s="19" t="str">
        <f t="shared" si="29"/>
        <v/>
      </c>
      <c r="Q548" s="19" t="str">
        <f t="shared" si="29"/>
        <v/>
      </c>
      <c r="R548" s="21"/>
      <c r="T548" s="21"/>
      <c r="W548" s="46"/>
      <c r="X548" s="92" t="s">
        <v>78</v>
      </c>
      <c r="Y548" s="92" t="s">
        <v>78</v>
      </c>
      <c r="Z548" s="92" t="s">
        <v>78</v>
      </c>
    </row>
    <row r="549" spans="1:26" ht="16" hidden="1" x14ac:dyDescent="0.4">
      <c r="A549" s="92">
        <v>2729</v>
      </c>
      <c r="B549" s="92">
        <v>2730</v>
      </c>
      <c r="E549" s="92">
        <v>50</v>
      </c>
      <c r="F549" s="92">
        <f>_xlfn.XLOOKUP(B549, DATA_Moresby_2024_ALL!B:B, DATA_Moresby_2024_ALL!G:G, "")</f>
        <v>0</v>
      </c>
      <c r="G549" s="93"/>
      <c r="H549" s="92">
        <v>8</v>
      </c>
      <c r="I549" s="92" t="str">
        <f t="shared" si="28"/>
        <v>X</v>
      </c>
      <c r="J549" s="79" t="str">
        <f>IF(G549="","X",_xlfn.XLOOKUP(B549,DATA_Moresby_2024_ALL!B:B,DATA_Moresby_2024_ALL!K:K,""))</f>
        <v>X</v>
      </c>
      <c r="K549" s="28"/>
      <c r="L549" s="29"/>
      <c r="M549" s="28"/>
      <c r="N549" s="19" t="str">
        <f t="shared" si="29"/>
        <v/>
      </c>
      <c r="O549" s="19" t="str">
        <f t="shared" si="29"/>
        <v/>
      </c>
      <c r="P549" s="19" t="str">
        <f t="shared" si="29"/>
        <v/>
      </c>
      <c r="Q549" s="19" t="str">
        <f t="shared" si="29"/>
        <v/>
      </c>
      <c r="R549" s="21"/>
      <c r="T549" s="21"/>
      <c r="W549" s="46"/>
      <c r="X549" s="92" t="s">
        <v>78</v>
      </c>
      <c r="Y549" s="92" t="s">
        <v>78</v>
      </c>
      <c r="Z549" s="92" t="s">
        <v>78</v>
      </c>
    </row>
    <row r="550" spans="1:26" ht="16" hidden="1" x14ac:dyDescent="0.4">
      <c r="A550" s="92">
        <v>2734</v>
      </c>
      <c r="B550" s="92">
        <v>2735</v>
      </c>
      <c r="E550" s="92">
        <v>50</v>
      </c>
      <c r="F550" s="92">
        <f>_xlfn.XLOOKUP(B550, DATA_Moresby_2024_ALL!B:B, DATA_Moresby_2024_ALL!G:G, "")</f>
        <v>0</v>
      </c>
      <c r="G550" s="93"/>
      <c r="H550" s="92">
        <v>8</v>
      </c>
      <c r="I550" s="92" t="str">
        <f t="shared" si="28"/>
        <v>X</v>
      </c>
      <c r="J550" s="79" t="str">
        <f>IF(G550="","X",_xlfn.XLOOKUP(B550,DATA_Moresby_2024_ALL!B:B,DATA_Moresby_2024_ALL!K:K,""))</f>
        <v>X</v>
      </c>
      <c r="K550" s="28"/>
      <c r="L550" s="29"/>
      <c r="M550" s="28"/>
      <c r="N550" s="19" t="str">
        <f t="shared" si="29"/>
        <v/>
      </c>
      <c r="O550" s="19" t="str">
        <f t="shared" si="29"/>
        <v/>
      </c>
      <c r="P550" s="19" t="str">
        <f t="shared" si="29"/>
        <v/>
      </c>
      <c r="Q550" s="19" t="str">
        <f t="shared" si="29"/>
        <v/>
      </c>
      <c r="R550" s="21"/>
      <c r="T550" s="21"/>
      <c r="W550" s="46"/>
      <c r="X550" s="92" t="s">
        <v>78</v>
      </c>
      <c r="Y550" s="92" t="s">
        <v>78</v>
      </c>
      <c r="Z550" s="92" t="s">
        <v>78</v>
      </c>
    </row>
    <row r="551" spans="1:26" ht="16" hidden="1" x14ac:dyDescent="0.4">
      <c r="A551" s="92">
        <v>2739</v>
      </c>
      <c r="B551" s="92">
        <v>2740</v>
      </c>
      <c r="E551" s="92">
        <v>50</v>
      </c>
      <c r="F551" s="92">
        <f>_xlfn.XLOOKUP(B551, DATA_Moresby_2024_ALL!B:B, DATA_Moresby_2024_ALL!G:G, "")</f>
        <v>0</v>
      </c>
      <c r="G551" s="93"/>
      <c r="H551" s="92">
        <v>8</v>
      </c>
      <c r="I551" s="92" t="str">
        <f t="shared" si="28"/>
        <v>X</v>
      </c>
      <c r="J551" s="79" t="str">
        <f>IF(G551="","X",_xlfn.XLOOKUP(B551,DATA_Moresby_2024_ALL!B:B,DATA_Moresby_2024_ALL!K:K,""))</f>
        <v>X</v>
      </c>
      <c r="K551" s="28"/>
      <c r="L551" s="29"/>
      <c r="M551" s="28"/>
      <c r="N551" s="19" t="str">
        <f t="shared" si="29"/>
        <v/>
      </c>
      <c r="O551" s="19" t="str">
        <f t="shared" si="29"/>
        <v/>
      </c>
      <c r="P551" s="19" t="str">
        <f t="shared" si="29"/>
        <v/>
      </c>
      <c r="Q551" s="19" t="str">
        <f t="shared" si="29"/>
        <v/>
      </c>
      <c r="R551" s="21"/>
      <c r="T551" s="21"/>
      <c r="W551" s="46"/>
      <c r="X551" s="92" t="s">
        <v>78</v>
      </c>
      <c r="Y551" s="92" t="s">
        <v>78</v>
      </c>
      <c r="Z551" s="92" t="s">
        <v>78</v>
      </c>
    </row>
    <row r="552" spans="1:26" ht="16" hidden="1" x14ac:dyDescent="0.4">
      <c r="A552" s="92">
        <v>2744</v>
      </c>
      <c r="B552" s="92">
        <v>2745</v>
      </c>
      <c r="E552" s="92">
        <v>50</v>
      </c>
      <c r="F552" s="92">
        <f>_xlfn.XLOOKUP(B552, DATA_Moresby_2024_ALL!B:B, DATA_Moresby_2024_ALL!G:G, "")</f>
        <v>0</v>
      </c>
      <c r="G552" s="93"/>
      <c r="H552" s="92">
        <v>8</v>
      </c>
      <c r="I552" s="92" t="str">
        <f t="shared" si="28"/>
        <v>X</v>
      </c>
      <c r="J552" s="79" t="str">
        <f>IF(G552="","X",_xlfn.XLOOKUP(B552,DATA_Moresby_2024_ALL!B:B,DATA_Moresby_2024_ALL!K:K,""))</f>
        <v>X</v>
      </c>
      <c r="K552" s="28"/>
      <c r="L552" s="29"/>
      <c r="M552" s="28"/>
      <c r="N552" s="19" t="str">
        <f t="shared" si="29"/>
        <v/>
      </c>
      <c r="O552" s="19" t="str">
        <f t="shared" si="29"/>
        <v/>
      </c>
      <c r="P552" s="19" t="str">
        <f t="shared" si="29"/>
        <v/>
      </c>
      <c r="Q552" s="19" t="str">
        <f t="shared" si="29"/>
        <v/>
      </c>
      <c r="R552" s="21"/>
      <c r="T552" s="21"/>
      <c r="W552" s="46"/>
      <c r="X552" s="92" t="s">
        <v>78</v>
      </c>
      <c r="Y552" s="92" t="s">
        <v>78</v>
      </c>
      <c r="Z552" s="92" t="s">
        <v>78</v>
      </c>
    </row>
    <row r="553" spans="1:26" ht="16" hidden="1" x14ac:dyDescent="0.4">
      <c r="A553" s="92">
        <v>2749</v>
      </c>
      <c r="B553" s="92">
        <v>2750</v>
      </c>
      <c r="E553" s="92">
        <v>50</v>
      </c>
      <c r="F553" s="92">
        <f>_xlfn.XLOOKUP(B553, DATA_Moresby_2024_ALL!B:B, DATA_Moresby_2024_ALL!G:G, "")</f>
        <v>0</v>
      </c>
      <c r="G553" s="93"/>
      <c r="H553" s="92">
        <v>8</v>
      </c>
      <c r="I553" s="92" t="str">
        <f t="shared" si="28"/>
        <v>X</v>
      </c>
      <c r="J553" s="79" t="str">
        <f>IF(G553="","X",_xlfn.XLOOKUP(B553,DATA_Moresby_2024_ALL!B:B,DATA_Moresby_2024_ALL!K:K,""))</f>
        <v>X</v>
      </c>
      <c r="K553" s="28"/>
      <c r="L553" s="29"/>
      <c r="M553" s="28"/>
      <c r="N553" s="19" t="str">
        <f t="shared" si="29"/>
        <v/>
      </c>
      <c r="O553" s="19" t="str">
        <f t="shared" si="29"/>
        <v/>
      </c>
      <c r="P553" s="19" t="str">
        <f t="shared" si="29"/>
        <v/>
      </c>
      <c r="Q553" s="19" t="str">
        <f t="shared" si="29"/>
        <v/>
      </c>
      <c r="R553" s="21"/>
      <c r="T553" s="21"/>
      <c r="W553" s="46"/>
      <c r="X553" s="92" t="s">
        <v>78</v>
      </c>
      <c r="Y553" s="92" t="s">
        <v>78</v>
      </c>
      <c r="Z553" s="92" t="s">
        <v>78</v>
      </c>
    </row>
    <row r="554" spans="1:26" ht="16" hidden="1" x14ac:dyDescent="0.4">
      <c r="A554" s="92">
        <v>2754</v>
      </c>
      <c r="B554" s="92">
        <v>2755</v>
      </c>
      <c r="E554" s="92">
        <v>50</v>
      </c>
      <c r="F554" s="92">
        <f>_xlfn.XLOOKUP(B554, DATA_Moresby_2024_ALL!B:B, DATA_Moresby_2024_ALL!G:G, "")</f>
        <v>0</v>
      </c>
      <c r="G554" s="93"/>
      <c r="H554" s="92">
        <v>8</v>
      </c>
      <c r="I554" s="92" t="str">
        <f t="shared" si="28"/>
        <v>X</v>
      </c>
      <c r="J554" s="79" t="str">
        <f>IF(G554="","X",_xlfn.XLOOKUP(B554,DATA_Moresby_2024_ALL!B:B,DATA_Moresby_2024_ALL!K:K,""))</f>
        <v>X</v>
      </c>
      <c r="K554" s="28"/>
      <c r="L554" s="29"/>
      <c r="M554" s="28"/>
      <c r="N554" s="19" t="str">
        <f t="shared" si="29"/>
        <v/>
      </c>
      <c r="O554" s="19" t="str">
        <f t="shared" si="29"/>
        <v/>
      </c>
      <c r="P554" s="19" t="str">
        <f t="shared" si="29"/>
        <v/>
      </c>
      <c r="Q554" s="19" t="str">
        <f t="shared" si="29"/>
        <v/>
      </c>
      <c r="R554" s="21"/>
      <c r="T554" s="21"/>
      <c r="W554" s="46"/>
      <c r="X554" s="92" t="s">
        <v>78</v>
      </c>
      <c r="Y554" s="92" t="s">
        <v>78</v>
      </c>
      <c r="Z554" s="92" t="s">
        <v>78</v>
      </c>
    </row>
    <row r="555" spans="1:26" ht="16" hidden="1" x14ac:dyDescent="0.4">
      <c r="A555" s="92">
        <v>2759</v>
      </c>
      <c r="B555" s="92">
        <v>2760</v>
      </c>
      <c r="E555" s="92">
        <v>50</v>
      </c>
      <c r="F555" s="92">
        <f>_xlfn.XLOOKUP(B555, DATA_Moresby_2024_ALL!B:B, DATA_Moresby_2024_ALL!G:G, "")</f>
        <v>0</v>
      </c>
      <c r="G555" s="93"/>
      <c r="H555" s="92">
        <v>8</v>
      </c>
      <c r="I555" s="92" t="str">
        <f t="shared" si="28"/>
        <v>X</v>
      </c>
      <c r="J555" s="79" t="str">
        <f>IF(G555="","X",_xlfn.XLOOKUP(B555,DATA_Moresby_2024_ALL!B:B,DATA_Moresby_2024_ALL!K:K,""))</f>
        <v>X</v>
      </c>
      <c r="K555" s="28"/>
      <c r="L555" s="29"/>
      <c r="M555" s="28"/>
      <c r="N555" s="19" t="str">
        <f t="shared" si="29"/>
        <v/>
      </c>
      <c r="O555" s="19" t="str">
        <f t="shared" si="29"/>
        <v/>
      </c>
      <c r="P555" s="19" t="str">
        <f t="shared" si="29"/>
        <v/>
      </c>
      <c r="Q555" s="19" t="str">
        <f t="shared" si="29"/>
        <v/>
      </c>
      <c r="R555" s="21"/>
      <c r="T555" s="21"/>
      <c r="W555" s="46"/>
      <c r="X555" s="92" t="s">
        <v>78</v>
      </c>
      <c r="Y555" s="92" t="s">
        <v>78</v>
      </c>
      <c r="Z555" s="92" t="s">
        <v>78</v>
      </c>
    </row>
    <row r="556" spans="1:26" ht="16" hidden="1" x14ac:dyDescent="0.4">
      <c r="A556" s="92">
        <v>2764</v>
      </c>
      <c r="B556" s="92">
        <v>2765</v>
      </c>
      <c r="E556" s="92">
        <v>50</v>
      </c>
      <c r="F556" s="92">
        <f>_xlfn.XLOOKUP(B556, DATA_Moresby_2024_ALL!B:B, DATA_Moresby_2024_ALL!G:G, "")</f>
        <v>0</v>
      </c>
      <c r="G556" s="93"/>
      <c r="H556" s="92">
        <v>8</v>
      </c>
      <c r="I556" s="92" t="str">
        <f t="shared" si="28"/>
        <v>X</v>
      </c>
      <c r="J556" s="79" t="str">
        <f>IF(G556="","X",_xlfn.XLOOKUP(B556,DATA_Moresby_2024_ALL!B:B,DATA_Moresby_2024_ALL!K:K,""))</f>
        <v>X</v>
      </c>
      <c r="K556" s="28"/>
      <c r="L556" s="29"/>
      <c r="M556" s="28"/>
      <c r="N556" s="19" t="str">
        <f t="shared" si="29"/>
        <v/>
      </c>
      <c r="O556" s="19" t="str">
        <f t="shared" si="29"/>
        <v/>
      </c>
      <c r="P556" s="19" t="str">
        <f t="shared" si="29"/>
        <v/>
      </c>
      <c r="Q556" s="19" t="str">
        <f t="shared" si="29"/>
        <v/>
      </c>
      <c r="R556" s="21"/>
      <c r="T556" s="21"/>
      <c r="W556" s="46"/>
      <c r="X556" s="92" t="s">
        <v>78</v>
      </c>
      <c r="Y556" s="92" t="s">
        <v>78</v>
      </c>
      <c r="Z556" s="92" t="s">
        <v>78</v>
      </c>
    </row>
    <row r="557" spans="1:26" ht="16" hidden="1" x14ac:dyDescent="0.4">
      <c r="A557" s="92">
        <v>2769</v>
      </c>
      <c r="B557" s="92">
        <v>2770</v>
      </c>
      <c r="E557" s="92">
        <v>50</v>
      </c>
      <c r="F557" s="92">
        <f>_xlfn.XLOOKUP(B557, DATA_Moresby_2024_ALL!B:B, DATA_Moresby_2024_ALL!G:G, "")</f>
        <v>0</v>
      </c>
      <c r="G557" s="93"/>
      <c r="H557" s="92">
        <v>8</v>
      </c>
      <c r="I557" s="92" t="str">
        <f t="shared" si="28"/>
        <v>X</v>
      </c>
      <c r="J557" s="79" t="str">
        <f>IF(G557="","X",_xlfn.XLOOKUP(B557,DATA_Moresby_2024_ALL!B:B,DATA_Moresby_2024_ALL!K:K,""))</f>
        <v>X</v>
      </c>
      <c r="K557" s="28"/>
      <c r="L557" s="29"/>
      <c r="M557" s="28"/>
      <c r="N557" s="19" t="str">
        <f t="shared" si="29"/>
        <v/>
      </c>
      <c r="O557" s="19" t="str">
        <f t="shared" si="29"/>
        <v/>
      </c>
      <c r="P557" s="19" t="str">
        <f t="shared" si="29"/>
        <v/>
      </c>
      <c r="Q557" s="19" t="str">
        <f t="shared" si="29"/>
        <v/>
      </c>
      <c r="R557" s="21"/>
      <c r="T557" s="21"/>
      <c r="W557" s="46"/>
      <c r="X557" s="92" t="s">
        <v>78</v>
      </c>
      <c r="Y557" s="92" t="s">
        <v>78</v>
      </c>
      <c r="Z557" s="92" t="s">
        <v>78</v>
      </c>
    </row>
    <row r="558" spans="1:26" ht="16" hidden="1" x14ac:dyDescent="0.4">
      <c r="A558" s="92">
        <v>2774</v>
      </c>
      <c r="B558" s="92">
        <v>2775</v>
      </c>
      <c r="E558" s="92">
        <v>50</v>
      </c>
      <c r="F558" s="92">
        <f>_xlfn.XLOOKUP(B558, DATA_Moresby_2024_ALL!B:B, DATA_Moresby_2024_ALL!G:G, "")</f>
        <v>0</v>
      </c>
      <c r="G558" s="93"/>
      <c r="H558" s="92">
        <v>8</v>
      </c>
      <c r="I558" s="92" t="str">
        <f t="shared" si="28"/>
        <v>X</v>
      </c>
      <c r="J558" s="79" t="str">
        <f>IF(G558="","X",_xlfn.XLOOKUP(B558,DATA_Moresby_2024_ALL!B:B,DATA_Moresby_2024_ALL!K:K,""))</f>
        <v>X</v>
      </c>
      <c r="K558" s="28"/>
      <c r="L558" s="29"/>
      <c r="M558" s="28"/>
      <c r="N558" s="19" t="str">
        <f t="shared" si="29"/>
        <v/>
      </c>
      <c r="O558" s="19" t="str">
        <f t="shared" si="29"/>
        <v/>
      </c>
      <c r="P558" s="19" t="str">
        <f t="shared" si="29"/>
        <v/>
      </c>
      <c r="Q558" s="19" t="str">
        <f t="shared" si="29"/>
        <v/>
      </c>
      <c r="R558" s="21"/>
      <c r="T558" s="21"/>
      <c r="W558" s="46"/>
      <c r="X558" s="92" t="s">
        <v>78</v>
      </c>
      <c r="Y558" s="92" t="s">
        <v>78</v>
      </c>
      <c r="Z558" s="92" t="s">
        <v>78</v>
      </c>
    </row>
    <row r="559" spans="1:26" ht="16" hidden="1" x14ac:dyDescent="0.4">
      <c r="A559" s="92">
        <v>2779</v>
      </c>
      <c r="B559" s="92">
        <v>2780</v>
      </c>
      <c r="E559" s="92">
        <v>50</v>
      </c>
      <c r="F559" s="92">
        <f>_xlfn.XLOOKUP(B559, DATA_Moresby_2024_ALL!B:B, DATA_Moresby_2024_ALL!G:G, "")</f>
        <v>0</v>
      </c>
      <c r="G559" s="93"/>
      <c r="H559" s="92">
        <v>8</v>
      </c>
      <c r="I559" s="92" t="str">
        <f t="shared" si="28"/>
        <v>X</v>
      </c>
      <c r="J559" s="79" t="str">
        <f>IF(G559="","X",_xlfn.XLOOKUP(B559,DATA_Moresby_2024_ALL!B:B,DATA_Moresby_2024_ALL!K:K,""))</f>
        <v>X</v>
      </c>
      <c r="K559" s="28"/>
      <c r="L559" s="29"/>
      <c r="M559" s="28"/>
      <c r="N559" s="19" t="str">
        <f t="shared" si="29"/>
        <v/>
      </c>
      <c r="O559" s="19" t="str">
        <f t="shared" si="29"/>
        <v/>
      </c>
      <c r="P559" s="19" t="str">
        <f t="shared" si="29"/>
        <v/>
      </c>
      <c r="Q559" s="19" t="str">
        <f t="shared" si="29"/>
        <v/>
      </c>
      <c r="R559" s="21"/>
      <c r="T559" s="21"/>
      <c r="W559" s="46"/>
      <c r="X559" s="92" t="s">
        <v>78</v>
      </c>
      <c r="Y559" s="92" t="s">
        <v>78</v>
      </c>
      <c r="Z559" s="92" t="s">
        <v>78</v>
      </c>
    </row>
    <row r="560" spans="1:26" ht="16" hidden="1" x14ac:dyDescent="0.4">
      <c r="A560" s="92">
        <v>2784</v>
      </c>
      <c r="B560" s="92">
        <v>2785</v>
      </c>
      <c r="E560" s="92">
        <v>50</v>
      </c>
      <c r="F560" s="92">
        <f>_xlfn.XLOOKUP(B560, DATA_Moresby_2024_ALL!B:B, DATA_Moresby_2024_ALL!G:G, "")</f>
        <v>0</v>
      </c>
      <c r="G560" s="93"/>
      <c r="H560" s="92">
        <v>8</v>
      </c>
      <c r="I560" s="92" t="str">
        <f t="shared" si="28"/>
        <v>X</v>
      </c>
      <c r="J560" s="79" t="str">
        <f>IF(G560="","X",_xlfn.XLOOKUP(B560,DATA_Moresby_2024_ALL!B:B,DATA_Moresby_2024_ALL!K:K,""))</f>
        <v>X</v>
      </c>
      <c r="K560" s="28"/>
      <c r="L560" s="29"/>
      <c r="M560" s="28"/>
      <c r="N560" s="19" t="str">
        <f t="shared" si="29"/>
        <v/>
      </c>
      <c r="O560" s="19" t="str">
        <f t="shared" si="29"/>
        <v/>
      </c>
      <c r="P560" s="19" t="str">
        <f t="shared" si="29"/>
        <v/>
      </c>
      <c r="Q560" s="19" t="str">
        <f t="shared" si="29"/>
        <v/>
      </c>
      <c r="R560" s="21"/>
      <c r="T560" s="21"/>
      <c r="W560" s="46"/>
      <c r="X560" s="92" t="s">
        <v>78</v>
      </c>
      <c r="Y560" s="92" t="s">
        <v>78</v>
      </c>
      <c r="Z560" s="92" t="s">
        <v>78</v>
      </c>
    </row>
    <row r="561" spans="1:26" ht="16" hidden="1" x14ac:dyDescent="0.4">
      <c r="A561" s="92">
        <v>2789</v>
      </c>
      <c r="B561" s="92">
        <v>2790</v>
      </c>
      <c r="E561" s="92">
        <v>50</v>
      </c>
      <c r="F561" s="92">
        <f>_xlfn.XLOOKUP(B561, DATA_Moresby_2024_ALL!B:B, DATA_Moresby_2024_ALL!G:G, "")</f>
        <v>0</v>
      </c>
      <c r="G561" s="93"/>
      <c r="H561" s="92">
        <v>8</v>
      </c>
      <c r="I561" s="92" t="str">
        <f t="shared" si="28"/>
        <v>X</v>
      </c>
      <c r="J561" s="79" t="str">
        <f>IF(G561="","X",_xlfn.XLOOKUP(B561,DATA_Moresby_2024_ALL!B:B,DATA_Moresby_2024_ALL!K:K,""))</f>
        <v>X</v>
      </c>
      <c r="K561" s="28"/>
      <c r="L561" s="29"/>
      <c r="M561" s="28"/>
      <c r="N561" s="19" t="str">
        <f t="shared" si="29"/>
        <v/>
      </c>
      <c r="O561" s="19" t="str">
        <f t="shared" si="29"/>
        <v/>
      </c>
      <c r="P561" s="19" t="str">
        <f t="shared" si="29"/>
        <v/>
      </c>
      <c r="Q561" s="19" t="str">
        <f t="shared" si="29"/>
        <v/>
      </c>
      <c r="R561" s="21"/>
      <c r="T561" s="21"/>
      <c r="W561" s="46"/>
      <c r="X561" s="92" t="s">
        <v>78</v>
      </c>
      <c r="Y561" s="92" t="s">
        <v>78</v>
      </c>
      <c r="Z561" s="92" t="s">
        <v>78</v>
      </c>
    </row>
    <row r="562" spans="1:26" ht="16" hidden="1" x14ac:dyDescent="0.4">
      <c r="A562" s="92">
        <v>2794</v>
      </c>
      <c r="B562" s="92">
        <v>2795</v>
      </c>
      <c r="E562" s="92">
        <v>50</v>
      </c>
      <c r="F562" s="92">
        <f>_xlfn.XLOOKUP(B562, DATA_Moresby_2024_ALL!B:B, DATA_Moresby_2024_ALL!G:G, "")</f>
        <v>0</v>
      </c>
      <c r="G562" s="93"/>
      <c r="H562" s="92">
        <v>8</v>
      </c>
      <c r="I562" s="92" t="str">
        <f t="shared" si="28"/>
        <v>X</v>
      </c>
      <c r="J562" s="79" t="str">
        <f>IF(G562="","X",_xlfn.XLOOKUP(B562,DATA_Moresby_2024_ALL!B:B,DATA_Moresby_2024_ALL!K:K,""))</f>
        <v>X</v>
      </c>
      <c r="K562" s="28"/>
      <c r="L562" s="29"/>
      <c r="M562" s="28"/>
      <c r="N562" s="19" t="str">
        <f t="shared" si="29"/>
        <v/>
      </c>
      <c r="O562" s="19" t="str">
        <f t="shared" si="29"/>
        <v/>
      </c>
      <c r="P562" s="19" t="str">
        <f t="shared" si="29"/>
        <v/>
      </c>
      <c r="Q562" s="19" t="str">
        <f t="shared" si="29"/>
        <v/>
      </c>
      <c r="R562" s="21"/>
      <c r="T562" s="21"/>
      <c r="W562" s="46"/>
      <c r="X562" s="92" t="s">
        <v>78</v>
      </c>
      <c r="Y562" s="92" t="s">
        <v>78</v>
      </c>
      <c r="Z562" s="92" t="s">
        <v>78</v>
      </c>
    </row>
    <row r="563" spans="1:26" ht="16" hidden="1" x14ac:dyDescent="0.4">
      <c r="A563" s="92">
        <v>2799</v>
      </c>
      <c r="B563" s="92">
        <v>2800</v>
      </c>
      <c r="E563" s="92">
        <v>50</v>
      </c>
      <c r="F563" s="92">
        <f>_xlfn.XLOOKUP(B563, DATA_Moresby_2024_ALL!B:B, DATA_Moresby_2024_ALL!G:G, "")</f>
        <v>0</v>
      </c>
      <c r="G563" s="93"/>
      <c r="H563" s="92">
        <v>8</v>
      </c>
      <c r="I563" s="92" t="str">
        <f t="shared" si="28"/>
        <v>X</v>
      </c>
      <c r="J563" s="79" t="str">
        <f>IF(G563="","X",_xlfn.XLOOKUP(B563,DATA_Moresby_2024_ALL!B:B,DATA_Moresby_2024_ALL!K:K,""))</f>
        <v>X</v>
      </c>
      <c r="K563" s="28"/>
      <c r="L563" s="29"/>
      <c r="M563" s="28"/>
      <c r="N563" s="19" t="str">
        <f t="shared" si="29"/>
        <v/>
      </c>
      <c r="O563" s="19" t="str">
        <f t="shared" si="29"/>
        <v/>
      </c>
      <c r="P563" s="19" t="str">
        <f t="shared" si="29"/>
        <v/>
      </c>
      <c r="Q563" s="19" t="str">
        <f t="shared" si="29"/>
        <v/>
      </c>
      <c r="R563" s="21"/>
      <c r="T563" s="21"/>
      <c r="W563" s="46"/>
      <c r="X563" s="92" t="s">
        <v>78</v>
      </c>
      <c r="Y563" s="92" t="s">
        <v>78</v>
      </c>
      <c r="Z563" s="92" t="s">
        <v>78</v>
      </c>
    </row>
    <row r="564" spans="1:26" ht="16" hidden="1" x14ac:dyDescent="0.4">
      <c r="A564" s="92">
        <v>2804</v>
      </c>
      <c r="B564" s="92">
        <v>2805</v>
      </c>
      <c r="E564" s="92">
        <v>50</v>
      </c>
      <c r="F564" s="92">
        <f>_xlfn.XLOOKUP(B564, DATA_Moresby_2024_ALL!B:B, DATA_Moresby_2024_ALL!G:G, "")</f>
        <v>0</v>
      </c>
      <c r="G564" s="93"/>
      <c r="H564" s="92">
        <v>8</v>
      </c>
      <c r="I564" s="92" t="str">
        <f t="shared" si="28"/>
        <v>X</v>
      </c>
      <c r="J564" s="79" t="str">
        <f>IF(G564="","X",_xlfn.XLOOKUP(B564,DATA_Moresby_2024_ALL!B:B,DATA_Moresby_2024_ALL!K:K,""))</f>
        <v>X</v>
      </c>
      <c r="K564" s="28"/>
      <c r="L564" s="29"/>
      <c r="M564" s="28"/>
      <c r="N564" s="19" t="str">
        <f t="shared" si="29"/>
        <v/>
      </c>
      <c r="O564" s="19" t="str">
        <f t="shared" si="29"/>
        <v/>
      </c>
      <c r="P564" s="19" t="str">
        <f t="shared" si="29"/>
        <v/>
      </c>
      <c r="Q564" s="19" t="str">
        <f t="shared" si="29"/>
        <v/>
      </c>
      <c r="R564" s="21"/>
      <c r="T564" s="21"/>
      <c r="W564" s="46"/>
      <c r="X564" s="92" t="s">
        <v>78</v>
      </c>
      <c r="Y564" s="92" t="s">
        <v>78</v>
      </c>
      <c r="Z564" s="92" t="s">
        <v>78</v>
      </c>
    </row>
    <row r="565" spans="1:26" ht="16" hidden="1" x14ac:dyDescent="0.4">
      <c r="A565" s="92">
        <v>2809</v>
      </c>
      <c r="B565" s="92">
        <v>2810</v>
      </c>
      <c r="E565" s="92">
        <v>50</v>
      </c>
      <c r="F565" s="92">
        <f>_xlfn.XLOOKUP(B565, DATA_Moresby_2024_ALL!B:B, DATA_Moresby_2024_ALL!G:G, "")</f>
        <v>0</v>
      </c>
      <c r="G565" s="93"/>
      <c r="H565" s="92">
        <v>8</v>
      </c>
      <c r="I565" s="92" t="str">
        <f t="shared" si="28"/>
        <v>X</v>
      </c>
      <c r="J565" s="79" t="str">
        <f>IF(G565="","X",_xlfn.XLOOKUP(B565,DATA_Moresby_2024_ALL!B:B,DATA_Moresby_2024_ALL!K:K,""))</f>
        <v>X</v>
      </c>
      <c r="K565" s="28"/>
      <c r="L565" s="29"/>
      <c r="M565" s="28"/>
      <c r="N565" s="19" t="str">
        <f t="shared" si="29"/>
        <v/>
      </c>
      <c r="O565" s="19" t="str">
        <f t="shared" si="29"/>
        <v/>
      </c>
      <c r="P565" s="19" t="str">
        <f t="shared" si="29"/>
        <v/>
      </c>
      <c r="Q565" s="19" t="str">
        <f t="shared" si="29"/>
        <v/>
      </c>
      <c r="R565" s="21"/>
      <c r="T565" s="21"/>
      <c r="W565" s="46"/>
      <c r="X565" s="92" t="s">
        <v>78</v>
      </c>
      <c r="Y565" s="92" t="s">
        <v>78</v>
      </c>
      <c r="Z565" s="92" t="s">
        <v>78</v>
      </c>
    </row>
    <row r="566" spans="1:26" ht="16" hidden="1" x14ac:dyDescent="0.4">
      <c r="A566" s="92">
        <v>2814</v>
      </c>
      <c r="B566" s="92">
        <v>2815</v>
      </c>
      <c r="E566" s="92">
        <v>50</v>
      </c>
      <c r="F566" s="92">
        <f>_xlfn.XLOOKUP(B566, DATA_Moresby_2024_ALL!B:B, DATA_Moresby_2024_ALL!G:G, "")</f>
        <v>0</v>
      </c>
      <c r="G566" s="93"/>
      <c r="H566" s="92">
        <v>8</v>
      </c>
      <c r="I566" s="92" t="str">
        <f t="shared" si="28"/>
        <v>X</v>
      </c>
      <c r="J566" s="79" t="str">
        <f>IF(G566="","X",_xlfn.XLOOKUP(B566,DATA_Moresby_2024_ALL!B:B,DATA_Moresby_2024_ALL!K:K,""))</f>
        <v>X</v>
      </c>
      <c r="K566" s="28"/>
      <c r="L566" s="29"/>
      <c r="M566" s="28"/>
      <c r="N566" s="19" t="str">
        <f t="shared" si="29"/>
        <v/>
      </c>
      <c r="O566" s="19" t="str">
        <f t="shared" si="29"/>
        <v/>
      </c>
      <c r="P566" s="19" t="str">
        <f t="shared" si="29"/>
        <v/>
      </c>
      <c r="Q566" s="19" t="str">
        <f t="shared" si="29"/>
        <v/>
      </c>
      <c r="R566" s="21"/>
      <c r="T566" s="21"/>
      <c r="W566" s="46"/>
      <c r="X566" s="92" t="s">
        <v>78</v>
      </c>
      <c r="Y566" s="92" t="s">
        <v>78</v>
      </c>
      <c r="Z566" s="92" t="s">
        <v>78</v>
      </c>
    </row>
    <row r="567" spans="1:26" ht="16" hidden="1" x14ac:dyDescent="0.4">
      <c r="A567" s="92">
        <v>2819</v>
      </c>
      <c r="B567" s="92">
        <v>2820</v>
      </c>
      <c r="E567" s="92">
        <v>50</v>
      </c>
      <c r="F567" s="92">
        <f>_xlfn.XLOOKUP(B567, DATA_Moresby_2024_ALL!B:B, DATA_Moresby_2024_ALL!G:G, "")</f>
        <v>0</v>
      </c>
      <c r="G567" s="93"/>
      <c r="H567" s="92">
        <v>8</v>
      </c>
      <c r="I567" s="92" t="str">
        <f t="shared" si="28"/>
        <v>X</v>
      </c>
      <c r="J567" s="79" t="str">
        <f>IF(G567="","X",_xlfn.XLOOKUP(B567,DATA_Moresby_2024_ALL!B:B,DATA_Moresby_2024_ALL!K:K,""))</f>
        <v>X</v>
      </c>
      <c r="K567" s="28"/>
      <c r="L567" s="29"/>
      <c r="M567" s="28"/>
      <c r="N567" s="19" t="str">
        <f t="shared" si="29"/>
        <v/>
      </c>
      <c r="O567" s="19" t="str">
        <f t="shared" si="29"/>
        <v/>
      </c>
      <c r="P567" s="19" t="str">
        <f t="shared" si="29"/>
        <v/>
      </c>
      <c r="Q567" s="19" t="str">
        <f t="shared" si="29"/>
        <v/>
      </c>
      <c r="R567" s="21"/>
      <c r="T567" s="21"/>
      <c r="W567" s="46"/>
      <c r="X567" s="92" t="s">
        <v>78</v>
      </c>
      <c r="Y567" s="92" t="s">
        <v>78</v>
      </c>
      <c r="Z567" s="92" t="s">
        <v>78</v>
      </c>
    </row>
    <row r="568" spans="1:26" ht="16" hidden="1" x14ac:dyDescent="0.4">
      <c r="A568" s="92">
        <v>2824</v>
      </c>
      <c r="B568" s="92">
        <v>2825</v>
      </c>
      <c r="E568" s="92">
        <v>50</v>
      </c>
      <c r="F568" s="92">
        <f>_xlfn.XLOOKUP(B568, DATA_Moresby_2024_ALL!B:B, DATA_Moresby_2024_ALL!G:G, "")</f>
        <v>0</v>
      </c>
      <c r="G568" s="93"/>
      <c r="H568" s="92">
        <v>8</v>
      </c>
      <c r="I568" s="92" t="str">
        <f t="shared" si="28"/>
        <v>X</v>
      </c>
      <c r="J568" s="79" t="str">
        <f>IF(G568="","X",_xlfn.XLOOKUP(B568,DATA_Moresby_2024_ALL!B:B,DATA_Moresby_2024_ALL!K:K,""))</f>
        <v>X</v>
      </c>
      <c r="K568" s="28"/>
      <c r="L568" s="29"/>
      <c r="M568" s="28"/>
      <c r="N568" s="19" t="str">
        <f t="shared" si="29"/>
        <v/>
      </c>
      <c r="O568" s="19" t="str">
        <f t="shared" si="29"/>
        <v/>
      </c>
      <c r="P568" s="19" t="str">
        <f t="shared" si="29"/>
        <v/>
      </c>
      <c r="Q568" s="19" t="str">
        <f t="shared" si="29"/>
        <v/>
      </c>
      <c r="R568" s="21"/>
      <c r="T568" s="21"/>
      <c r="W568" s="46"/>
      <c r="X568" s="92" t="s">
        <v>78</v>
      </c>
      <c r="Y568" s="92" t="s">
        <v>78</v>
      </c>
      <c r="Z568" s="92" t="s">
        <v>78</v>
      </c>
    </row>
    <row r="569" spans="1:26" ht="16" hidden="1" x14ac:dyDescent="0.4">
      <c r="A569" s="92">
        <v>2829</v>
      </c>
      <c r="B569" s="92">
        <v>2830</v>
      </c>
      <c r="E569" s="92">
        <v>50</v>
      </c>
      <c r="F569" s="92">
        <f>_xlfn.XLOOKUP(B569, DATA_Moresby_2024_ALL!B:B, DATA_Moresby_2024_ALL!G:G, "")</f>
        <v>0</v>
      </c>
      <c r="G569" s="93"/>
      <c r="H569" s="92">
        <v>8</v>
      </c>
      <c r="I569" s="92" t="str">
        <f t="shared" si="28"/>
        <v>X</v>
      </c>
      <c r="J569" s="79" t="str">
        <f>IF(G569="","X",_xlfn.XLOOKUP(B569,DATA_Moresby_2024_ALL!B:B,DATA_Moresby_2024_ALL!K:K,""))</f>
        <v>X</v>
      </c>
      <c r="K569" s="28"/>
      <c r="L569" s="29"/>
      <c r="M569" s="28"/>
      <c r="N569" s="19" t="str">
        <f t="shared" si="29"/>
        <v/>
      </c>
      <c r="O569" s="19" t="str">
        <f t="shared" si="29"/>
        <v/>
      </c>
      <c r="P569" s="19" t="str">
        <f t="shared" si="29"/>
        <v/>
      </c>
      <c r="Q569" s="19" t="str">
        <f t="shared" si="29"/>
        <v/>
      </c>
      <c r="R569" s="21"/>
      <c r="T569" s="21"/>
      <c r="W569" s="46"/>
      <c r="X569" s="92" t="s">
        <v>78</v>
      </c>
      <c r="Y569" s="92" t="s">
        <v>78</v>
      </c>
      <c r="Z569" s="92" t="s">
        <v>78</v>
      </c>
    </row>
    <row r="570" spans="1:26" ht="16" hidden="1" x14ac:dyDescent="0.4">
      <c r="A570" s="92">
        <v>2834</v>
      </c>
      <c r="B570" s="92">
        <v>2835</v>
      </c>
      <c r="E570" s="92">
        <v>50</v>
      </c>
      <c r="F570" s="92">
        <f>_xlfn.XLOOKUP(B570, DATA_Moresby_2024_ALL!B:B, DATA_Moresby_2024_ALL!G:G, "")</f>
        <v>0</v>
      </c>
      <c r="G570" s="93"/>
      <c r="H570" s="92">
        <v>8</v>
      </c>
      <c r="I570" s="92" t="str">
        <f t="shared" si="28"/>
        <v>X</v>
      </c>
      <c r="J570" s="79" t="str">
        <f>IF(G570="","X",_xlfn.XLOOKUP(B570,DATA_Moresby_2024_ALL!B:B,DATA_Moresby_2024_ALL!K:K,""))</f>
        <v>X</v>
      </c>
      <c r="K570" s="28"/>
      <c r="L570" s="29"/>
      <c r="M570" s="28"/>
      <c r="N570" s="19" t="str">
        <f t="shared" si="29"/>
        <v/>
      </c>
      <c r="O570" s="19" t="str">
        <f t="shared" si="29"/>
        <v/>
      </c>
      <c r="P570" s="19" t="str">
        <f t="shared" si="29"/>
        <v/>
      </c>
      <c r="Q570" s="19" t="str">
        <f t="shared" si="29"/>
        <v/>
      </c>
      <c r="R570" s="21"/>
      <c r="T570" s="21"/>
      <c r="W570" s="46"/>
      <c r="X570" s="92" t="s">
        <v>78</v>
      </c>
      <c r="Y570" s="92" t="s">
        <v>78</v>
      </c>
      <c r="Z570" s="92" t="s">
        <v>78</v>
      </c>
    </row>
    <row r="571" spans="1:26" ht="16" hidden="1" x14ac:dyDescent="0.4">
      <c r="A571" s="92">
        <v>2839</v>
      </c>
      <c r="B571" s="92">
        <v>2840</v>
      </c>
      <c r="E571" s="92">
        <v>50</v>
      </c>
      <c r="F571" s="92">
        <f>_xlfn.XLOOKUP(B571, DATA_Moresby_2024_ALL!B:B, DATA_Moresby_2024_ALL!G:G, "")</f>
        <v>0</v>
      </c>
      <c r="G571" s="93"/>
      <c r="H571" s="92">
        <v>8</v>
      </c>
      <c r="I571" s="92" t="str">
        <f t="shared" si="28"/>
        <v>X</v>
      </c>
      <c r="J571" s="79" t="str">
        <f>IF(G571="","X",_xlfn.XLOOKUP(B571,DATA_Moresby_2024_ALL!B:B,DATA_Moresby_2024_ALL!K:K,""))</f>
        <v>X</v>
      </c>
      <c r="K571" s="28"/>
      <c r="L571" s="29"/>
      <c r="M571" s="28"/>
      <c r="N571" s="19" t="str">
        <f t="shared" si="29"/>
        <v/>
      </c>
      <c r="O571" s="19" t="str">
        <f t="shared" si="29"/>
        <v/>
      </c>
      <c r="P571" s="19" t="str">
        <f t="shared" si="29"/>
        <v/>
      </c>
      <c r="Q571" s="19" t="str">
        <f t="shared" si="29"/>
        <v/>
      </c>
      <c r="R571" s="21"/>
      <c r="T571" s="21"/>
      <c r="W571" s="46"/>
      <c r="X571" s="92" t="s">
        <v>78</v>
      </c>
      <c r="Y571" s="92" t="s">
        <v>78</v>
      </c>
      <c r="Z571" s="92" t="s">
        <v>78</v>
      </c>
    </row>
    <row r="572" spans="1:26" ht="16" hidden="1" x14ac:dyDescent="0.4">
      <c r="A572" s="92">
        <v>2844</v>
      </c>
      <c r="B572" s="92">
        <v>2845</v>
      </c>
      <c r="E572" s="92">
        <v>50</v>
      </c>
      <c r="F572" s="92">
        <f>_xlfn.XLOOKUP(B572, DATA_Moresby_2024_ALL!B:B, DATA_Moresby_2024_ALL!G:G, "")</f>
        <v>0</v>
      </c>
      <c r="G572" s="93"/>
      <c r="H572" s="92">
        <v>8</v>
      </c>
      <c r="I572" s="92" t="str">
        <f t="shared" si="28"/>
        <v>X</v>
      </c>
      <c r="J572" s="79" t="str">
        <f>IF(G572="","X",_xlfn.XLOOKUP(B572,DATA_Moresby_2024_ALL!B:B,DATA_Moresby_2024_ALL!K:K,""))</f>
        <v>X</v>
      </c>
      <c r="K572" s="28"/>
      <c r="L572" s="29"/>
      <c r="M572" s="28"/>
      <c r="N572" s="19" t="str">
        <f t="shared" si="29"/>
        <v/>
      </c>
      <c r="O572" s="19" t="str">
        <f t="shared" si="29"/>
        <v/>
      </c>
      <c r="P572" s="19" t="str">
        <f t="shared" si="29"/>
        <v/>
      </c>
      <c r="Q572" s="19" t="str">
        <f t="shared" si="29"/>
        <v/>
      </c>
      <c r="R572" s="21"/>
      <c r="T572" s="21"/>
      <c r="W572" s="46"/>
      <c r="X572" s="92" t="s">
        <v>78</v>
      </c>
      <c r="Y572" s="92" t="s">
        <v>78</v>
      </c>
      <c r="Z572" s="92" t="s">
        <v>78</v>
      </c>
    </row>
    <row r="573" spans="1:26" ht="16" hidden="1" x14ac:dyDescent="0.4">
      <c r="A573" s="92">
        <v>2849</v>
      </c>
      <c r="B573" s="92">
        <v>2850</v>
      </c>
      <c r="E573" s="92">
        <v>50</v>
      </c>
      <c r="F573" s="92">
        <f>_xlfn.XLOOKUP(B573, DATA_Moresby_2024_ALL!B:B, DATA_Moresby_2024_ALL!G:G, "")</f>
        <v>0</v>
      </c>
      <c r="G573" s="93"/>
      <c r="H573" s="92">
        <v>8</v>
      </c>
      <c r="I573" s="92" t="str">
        <f t="shared" si="28"/>
        <v>X</v>
      </c>
      <c r="J573" s="79" t="str">
        <f>IF(G573="","X",_xlfn.XLOOKUP(B573,DATA_Moresby_2024_ALL!B:B,DATA_Moresby_2024_ALL!K:K,""))</f>
        <v>X</v>
      </c>
      <c r="K573" s="28"/>
      <c r="L573" s="29"/>
      <c r="M573" s="28"/>
      <c r="N573" s="19" t="str">
        <f t="shared" si="29"/>
        <v/>
      </c>
      <c r="O573" s="19" t="str">
        <f t="shared" si="29"/>
        <v/>
      </c>
      <c r="P573" s="19" t="str">
        <f t="shared" si="29"/>
        <v/>
      </c>
      <c r="Q573" s="19" t="str">
        <f t="shared" si="29"/>
        <v/>
      </c>
      <c r="R573" s="21"/>
      <c r="T573" s="21"/>
      <c r="W573" s="46"/>
      <c r="X573" s="92" t="s">
        <v>78</v>
      </c>
      <c r="Y573" s="92" t="s">
        <v>78</v>
      </c>
      <c r="Z573" s="92" t="s">
        <v>78</v>
      </c>
    </row>
    <row r="574" spans="1:26" ht="16" hidden="1" x14ac:dyDescent="0.4">
      <c r="A574" s="92">
        <v>2854</v>
      </c>
      <c r="B574" s="92">
        <v>2855</v>
      </c>
      <c r="E574" s="92">
        <v>50</v>
      </c>
      <c r="F574" s="92">
        <f>_xlfn.XLOOKUP(B574, DATA_Moresby_2024_ALL!B:B, DATA_Moresby_2024_ALL!G:G, "")</f>
        <v>0</v>
      </c>
      <c r="G574" s="93"/>
      <c r="H574" s="92">
        <v>8</v>
      </c>
      <c r="I574" s="92" t="str">
        <f t="shared" si="28"/>
        <v>X</v>
      </c>
      <c r="J574" s="79" t="str">
        <f>IF(G574="","X",_xlfn.XLOOKUP(B574,DATA_Moresby_2024_ALL!B:B,DATA_Moresby_2024_ALL!K:K,""))</f>
        <v>X</v>
      </c>
      <c r="K574" s="28"/>
      <c r="L574" s="29"/>
      <c r="M574" s="28"/>
      <c r="N574" s="19" t="str">
        <f t="shared" si="29"/>
        <v/>
      </c>
      <c r="O574" s="19" t="str">
        <f t="shared" si="29"/>
        <v/>
      </c>
      <c r="P574" s="19" t="str">
        <f t="shared" si="29"/>
        <v/>
      </c>
      <c r="Q574" s="19" t="str">
        <f t="shared" si="29"/>
        <v/>
      </c>
      <c r="R574" s="21"/>
      <c r="T574" s="21"/>
      <c r="W574" s="46"/>
      <c r="X574" s="92" t="s">
        <v>78</v>
      </c>
      <c r="Y574" s="92" t="s">
        <v>78</v>
      </c>
      <c r="Z574" s="92" t="s">
        <v>78</v>
      </c>
    </row>
    <row r="575" spans="1:26" ht="16" hidden="1" x14ac:dyDescent="0.4">
      <c r="A575" s="92">
        <v>2859</v>
      </c>
      <c r="B575" s="92">
        <v>2860</v>
      </c>
      <c r="E575" s="92">
        <v>50</v>
      </c>
      <c r="F575" s="92">
        <f>_xlfn.XLOOKUP(B575, DATA_Moresby_2024_ALL!B:B, DATA_Moresby_2024_ALL!G:G, "")</f>
        <v>0</v>
      </c>
      <c r="G575" s="93"/>
      <c r="H575" s="92">
        <v>8</v>
      </c>
      <c r="I575" s="92" t="str">
        <f t="shared" si="28"/>
        <v>X</v>
      </c>
      <c r="J575" s="79" t="str">
        <f>IF(G575="","X",_xlfn.XLOOKUP(B575,DATA_Moresby_2024_ALL!B:B,DATA_Moresby_2024_ALL!K:K,""))</f>
        <v>X</v>
      </c>
      <c r="K575" s="28"/>
      <c r="L575" s="29"/>
      <c r="M575" s="28"/>
      <c r="N575" s="19" t="str">
        <f t="shared" si="29"/>
        <v/>
      </c>
      <c r="O575" s="19" t="str">
        <f t="shared" si="29"/>
        <v/>
      </c>
      <c r="P575" s="19" t="str">
        <f t="shared" si="29"/>
        <v/>
      </c>
      <c r="Q575" s="19" t="str">
        <f t="shared" si="29"/>
        <v/>
      </c>
      <c r="R575" s="21"/>
      <c r="T575" s="21"/>
      <c r="W575" s="46"/>
      <c r="X575" s="92" t="s">
        <v>78</v>
      </c>
      <c r="Y575" s="92" t="s">
        <v>78</v>
      </c>
      <c r="Z575" s="92" t="s">
        <v>78</v>
      </c>
    </row>
    <row r="576" spans="1:26" ht="16" hidden="1" x14ac:dyDescent="0.4">
      <c r="A576" s="92">
        <v>2864</v>
      </c>
      <c r="B576" s="92">
        <v>2865</v>
      </c>
      <c r="E576" s="92">
        <v>50</v>
      </c>
      <c r="F576" s="92">
        <f>_xlfn.XLOOKUP(B576, DATA_Moresby_2024_ALL!B:B, DATA_Moresby_2024_ALL!G:G, "")</f>
        <v>0</v>
      </c>
      <c r="G576" s="93"/>
      <c r="H576" s="92">
        <v>8</v>
      </c>
      <c r="I576" s="92" t="str">
        <f t="shared" si="28"/>
        <v>X</v>
      </c>
      <c r="J576" s="79" t="str">
        <f>IF(G576="","X",_xlfn.XLOOKUP(B576,DATA_Moresby_2024_ALL!B:B,DATA_Moresby_2024_ALL!K:K,""))</f>
        <v>X</v>
      </c>
      <c r="K576" s="28"/>
      <c r="L576" s="29"/>
      <c r="M576" s="28"/>
      <c r="N576" s="19" t="str">
        <f t="shared" si="29"/>
        <v/>
      </c>
      <c r="O576" s="19" t="str">
        <f t="shared" si="29"/>
        <v/>
      </c>
      <c r="P576" s="19" t="str">
        <f t="shared" si="29"/>
        <v/>
      </c>
      <c r="Q576" s="19" t="str">
        <f t="shared" si="29"/>
        <v/>
      </c>
      <c r="R576" s="21"/>
      <c r="T576" s="21"/>
      <c r="W576" s="46"/>
      <c r="X576" s="92" t="s">
        <v>78</v>
      </c>
      <c r="Y576" s="92" t="s">
        <v>78</v>
      </c>
      <c r="Z576" s="92" t="s">
        <v>78</v>
      </c>
    </row>
    <row r="577" spans="1:26" ht="16" hidden="1" x14ac:dyDescent="0.4">
      <c r="A577" s="92">
        <v>2869</v>
      </c>
      <c r="B577" s="92">
        <v>2870</v>
      </c>
      <c r="E577" s="92">
        <v>50</v>
      </c>
      <c r="F577" s="92">
        <f>_xlfn.XLOOKUP(B577, DATA_Moresby_2024_ALL!B:B, DATA_Moresby_2024_ALL!G:G, "")</f>
        <v>0</v>
      </c>
      <c r="G577" s="93"/>
      <c r="H577" s="92">
        <v>8</v>
      </c>
      <c r="I577" s="92" t="str">
        <f t="shared" si="28"/>
        <v>X</v>
      </c>
      <c r="J577" s="79" t="str">
        <f>IF(G577="","X",_xlfn.XLOOKUP(B577,DATA_Moresby_2024_ALL!B:B,DATA_Moresby_2024_ALL!K:K,""))</f>
        <v>X</v>
      </c>
      <c r="K577" s="28"/>
      <c r="L577" s="29"/>
      <c r="M577" s="28"/>
      <c r="N577" s="19" t="str">
        <f t="shared" si="29"/>
        <v/>
      </c>
      <c r="O577" s="19" t="str">
        <f t="shared" si="29"/>
        <v/>
      </c>
      <c r="P577" s="19" t="str">
        <f t="shared" si="29"/>
        <v/>
      </c>
      <c r="Q577" s="19" t="str">
        <f t="shared" si="29"/>
        <v/>
      </c>
      <c r="R577" s="21"/>
      <c r="T577" s="21"/>
      <c r="W577" s="46"/>
      <c r="X577" s="92" t="s">
        <v>78</v>
      </c>
      <c r="Y577" s="92" t="s">
        <v>78</v>
      </c>
      <c r="Z577" s="92" t="s">
        <v>78</v>
      </c>
    </row>
    <row r="578" spans="1:26" ht="16" hidden="1" x14ac:dyDescent="0.4">
      <c r="A578" s="92">
        <v>2874</v>
      </c>
      <c r="B578" s="92">
        <v>2875</v>
      </c>
      <c r="E578" s="92">
        <v>50</v>
      </c>
      <c r="F578" s="92">
        <f>_xlfn.XLOOKUP(B578, DATA_Moresby_2024_ALL!B:B, DATA_Moresby_2024_ALL!G:G, "")</f>
        <v>0</v>
      </c>
      <c r="G578" s="93"/>
      <c r="H578" s="92">
        <v>8</v>
      </c>
      <c r="I578" s="92" t="str">
        <f t="shared" si="28"/>
        <v>X</v>
      </c>
      <c r="J578" s="79" t="str">
        <f>IF(G578="","X",_xlfn.XLOOKUP(B578,DATA_Moresby_2024_ALL!B:B,DATA_Moresby_2024_ALL!K:K,""))</f>
        <v>X</v>
      </c>
      <c r="K578" s="28"/>
      <c r="L578" s="29"/>
      <c r="M578" s="28"/>
      <c r="N578" s="19" t="str">
        <f t="shared" si="29"/>
        <v/>
      </c>
      <c r="O578" s="19" t="str">
        <f t="shared" si="29"/>
        <v/>
      </c>
      <c r="P578" s="19" t="str">
        <f t="shared" si="29"/>
        <v/>
      </c>
      <c r="Q578" s="19" t="str">
        <f t="shared" si="29"/>
        <v/>
      </c>
      <c r="R578" s="21"/>
      <c r="T578" s="21"/>
      <c r="W578" s="46"/>
      <c r="X578" s="92" t="s">
        <v>78</v>
      </c>
      <c r="Y578" s="92" t="s">
        <v>78</v>
      </c>
      <c r="Z578" s="92" t="s">
        <v>78</v>
      </c>
    </row>
    <row r="579" spans="1:26" ht="16" hidden="1" x14ac:dyDescent="0.4">
      <c r="A579" s="92">
        <v>2879</v>
      </c>
      <c r="B579" s="92">
        <v>2880</v>
      </c>
      <c r="E579" s="92">
        <v>50</v>
      </c>
      <c r="F579" s="92">
        <f>_xlfn.XLOOKUP(B579, DATA_Moresby_2024_ALL!B:B, DATA_Moresby_2024_ALL!G:G, "")</f>
        <v>0</v>
      </c>
      <c r="G579" s="93"/>
      <c r="H579" s="92">
        <v>8</v>
      </c>
      <c r="I579" s="92" t="str">
        <f t="shared" si="28"/>
        <v>X</v>
      </c>
      <c r="J579" s="79" t="str">
        <f>IF(G579="","X",_xlfn.XLOOKUP(B579,DATA_Moresby_2024_ALL!B:B,DATA_Moresby_2024_ALL!K:K,""))</f>
        <v>X</v>
      </c>
      <c r="K579" s="28"/>
      <c r="L579" s="29"/>
      <c r="M579" s="28"/>
      <c r="N579" s="19" t="str">
        <f t="shared" si="29"/>
        <v/>
      </c>
      <c r="O579" s="19" t="str">
        <f t="shared" si="29"/>
        <v/>
      </c>
      <c r="P579" s="19" t="str">
        <f t="shared" si="29"/>
        <v/>
      </c>
      <c r="Q579" s="19" t="str">
        <f t="shared" si="29"/>
        <v/>
      </c>
      <c r="R579" s="21"/>
      <c r="T579" s="21"/>
      <c r="W579" s="46"/>
      <c r="X579" s="92" t="s">
        <v>78</v>
      </c>
      <c r="Y579" s="92" t="s">
        <v>78</v>
      </c>
      <c r="Z579" s="92" t="s">
        <v>78</v>
      </c>
    </row>
    <row r="580" spans="1:26" ht="16" hidden="1" x14ac:dyDescent="0.4">
      <c r="A580" s="92">
        <v>2884</v>
      </c>
      <c r="B580" s="92">
        <v>2885</v>
      </c>
      <c r="E580" s="92">
        <v>50</v>
      </c>
      <c r="F580" s="92">
        <f>_xlfn.XLOOKUP(B580, DATA_Moresby_2024_ALL!B:B, DATA_Moresby_2024_ALL!G:G, "")</f>
        <v>0</v>
      </c>
      <c r="G580" s="93"/>
      <c r="H580" s="92">
        <v>8</v>
      </c>
      <c r="I580" s="92" t="str">
        <f t="shared" si="28"/>
        <v>X</v>
      </c>
      <c r="J580" s="79" t="str">
        <f>IF(G580="","X",_xlfn.XLOOKUP(B580,DATA_Moresby_2024_ALL!B:B,DATA_Moresby_2024_ALL!K:K,""))</f>
        <v>X</v>
      </c>
      <c r="K580" s="28"/>
      <c r="L580" s="29"/>
      <c r="M580" s="28"/>
      <c r="N580" s="19" t="str">
        <f t="shared" si="29"/>
        <v/>
      </c>
      <c r="O580" s="19" t="str">
        <f t="shared" si="29"/>
        <v/>
      </c>
      <c r="P580" s="19" t="str">
        <f t="shared" si="29"/>
        <v/>
      </c>
      <c r="Q580" s="19" t="str">
        <f t="shared" si="29"/>
        <v/>
      </c>
      <c r="R580" s="21"/>
      <c r="T580" s="21"/>
      <c r="W580" s="46"/>
      <c r="X580" s="92" t="s">
        <v>78</v>
      </c>
      <c r="Y580" s="92" t="s">
        <v>78</v>
      </c>
      <c r="Z580" s="92" t="s">
        <v>78</v>
      </c>
    </row>
    <row r="581" spans="1:26" ht="16" hidden="1" x14ac:dyDescent="0.4">
      <c r="A581" s="92">
        <v>2889</v>
      </c>
      <c r="B581" s="92">
        <v>2890</v>
      </c>
      <c r="E581" s="92">
        <v>50</v>
      </c>
      <c r="F581" s="92">
        <f>_xlfn.XLOOKUP(B581, DATA_Moresby_2024_ALL!B:B, DATA_Moresby_2024_ALL!G:G, "")</f>
        <v>0</v>
      </c>
      <c r="G581" s="93"/>
      <c r="H581" s="92">
        <v>8</v>
      </c>
      <c r="I581" s="92" t="str">
        <f t="shared" si="28"/>
        <v>X</v>
      </c>
      <c r="J581" s="79" t="str">
        <f>IF(G581="","X",_xlfn.XLOOKUP(B581,DATA_Moresby_2024_ALL!B:B,DATA_Moresby_2024_ALL!K:K,""))</f>
        <v>X</v>
      </c>
      <c r="K581" s="28"/>
      <c r="L581" s="29"/>
      <c r="M581" s="28"/>
      <c r="N581" s="19" t="str">
        <f t="shared" si="29"/>
        <v/>
      </c>
      <c r="O581" s="19" t="str">
        <f t="shared" si="29"/>
        <v/>
      </c>
      <c r="P581" s="19" t="str">
        <f t="shared" si="29"/>
        <v/>
      </c>
      <c r="Q581" s="19" t="str">
        <f t="shared" si="29"/>
        <v/>
      </c>
      <c r="R581" s="21"/>
      <c r="T581" s="21"/>
      <c r="W581" s="46"/>
      <c r="X581" s="92" t="s">
        <v>78</v>
      </c>
      <c r="Y581" s="92" t="s">
        <v>78</v>
      </c>
      <c r="Z581" s="92" t="s">
        <v>78</v>
      </c>
    </row>
    <row r="582" spans="1:26" ht="16" hidden="1" x14ac:dyDescent="0.4">
      <c r="A582" s="92">
        <v>2894</v>
      </c>
      <c r="B582" s="92">
        <v>2895</v>
      </c>
      <c r="E582" s="92">
        <v>50</v>
      </c>
      <c r="F582" s="92">
        <f>_xlfn.XLOOKUP(B582, DATA_Moresby_2024_ALL!B:B, DATA_Moresby_2024_ALL!G:G, "")</f>
        <v>0</v>
      </c>
      <c r="G582" s="93"/>
      <c r="H582" s="92">
        <v>8</v>
      </c>
      <c r="I582" s="92" t="str">
        <f t="shared" si="28"/>
        <v>X</v>
      </c>
      <c r="J582" s="79" t="str">
        <f>IF(G582="","X",_xlfn.XLOOKUP(B582,DATA_Moresby_2024_ALL!B:B,DATA_Moresby_2024_ALL!K:K,""))</f>
        <v>X</v>
      </c>
      <c r="K582" s="28"/>
      <c r="L582" s="29"/>
      <c r="M582" s="28"/>
      <c r="N582" s="19" t="str">
        <f t="shared" si="29"/>
        <v/>
      </c>
      <c r="O582" s="19" t="str">
        <f t="shared" si="29"/>
        <v/>
      </c>
      <c r="P582" s="19" t="str">
        <f t="shared" si="29"/>
        <v/>
      </c>
      <c r="Q582" s="19" t="str">
        <f t="shared" si="29"/>
        <v/>
      </c>
      <c r="R582" s="21"/>
      <c r="T582" s="21"/>
      <c r="W582" s="46"/>
      <c r="X582" s="92" t="s">
        <v>78</v>
      </c>
      <c r="Y582" s="92" t="s">
        <v>78</v>
      </c>
      <c r="Z582" s="92" t="s">
        <v>78</v>
      </c>
    </row>
    <row r="583" spans="1:26" ht="16" hidden="1" x14ac:dyDescent="0.4">
      <c r="A583" s="92">
        <v>2899</v>
      </c>
      <c r="B583" s="92">
        <v>2900</v>
      </c>
      <c r="E583" s="92">
        <v>50</v>
      </c>
      <c r="F583" s="92">
        <f>_xlfn.XLOOKUP(B583, DATA_Moresby_2024_ALL!B:B, DATA_Moresby_2024_ALL!G:G, "")</f>
        <v>0</v>
      </c>
      <c r="G583" s="93"/>
      <c r="H583" s="92">
        <v>8</v>
      </c>
      <c r="I583" s="92" t="str">
        <f t="shared" si="28"/>
        <v>X</v>
      </c>
      <c r="J583" s="79" t="str">
        <f>IF(G583="","X",_xlfn.XLOOKUP(B583,DATA_Moresby_2024_ALL!B:B,DATA_Moresby_2024_ALL!K:K,""))</f>
        <v>X</v>
      </c>
      <c r="K583" s="28"/>
      <c r="L583" s="29"/>
      <c r="M583" s="28"/>
      <c r="N583" s="19" t="str">
        <f t="shared" si="29"/>
        <v/>
      </c>
      <c r="O583" s="19" t="str">
        <f t="shared" si="29"/>
        <v/>
      </c>
      <c r="P583" s="19" t="str">
        <f t="shared" si="29"/>
        <v/>
      </c>
      <c r="Q583" s="19" t="str">
        <f t="shared" si="29"/>
        <v/>
      </c>
      <c r="R583" s="21"/>
      <c r="T583" s="21"/>
      <c r="W583" s="46"/>
      <c r="X583" s="92" t="s">
        <v>78</v>
      </c>
      <c r="Y583" s="92" t="s">
        <v>78</v>
      </c>
      <c r="Z583" s="92" t="s">
        <v>78</v>
      </c>
    </row>
    <row r="584" spans="1:26" ht="16" hidden="1" x14ac:dyDescent="0.4">
      <c r="A584" s="92">
        <v>2904</v>
      </c>
      <c r="B584" s="92">
        <v>2905</v>
      </c>
      <c r="E584" s="92">
        <v>50</v>
      </c>
      <c r="F584" s="92">
        <f>_xlfn.XLOOKUP(B584, DATA_Moresby_2024_ALL!B:B, DATA_Moresby_2024_ALL!G:G, "")</f>
        <v>0</v>
      </c>
      <c r="G584" s="93"/>
      <c r="H584" s="92">
        <v>8</v>
      </c>
      <c r="I584" s="92" t="str">
        <f t="shared" si="28"/>
        <v>X</v>
      </c>
      <c r="J584" s="79" t="str">
        <f>IF(G584="","X",_xlfn.XLOOKUP(B584,DATA_Moresby_2024_ALL!B:B,DATA_Moresby_2024_ALL!K:K,""))</f>
        <v>X</v>
      </c>
      <c r="K584" s="28"/>
      <c r="L584" s="29"/>
      <c r="M584" s="28"/>
      <c r="N584" s="19" t="str">
        <f t="shared" si="29"/>
        <v/>
      </c>
      <c r="O584" s="19" t="str">
        <f t="shared" si="29"/>
        <v/>
      </c>
      <c r="P584" s="19" t="str">
        <f t="shared" si="29"/>
        <v/>
      </c>
      <c r="Q584" s="19" t="str">
        <f t="shared" si="29"/>
        <v/>
      </c>
      <c r="R584" s="21"/>
      <c r="T584" s="21"/>
      <c r="W584" s="46"/>
      <c r="X584" s="92" t="s">
        <v>78</v>
      </c>
      <c r="Y584" s="92" t="s">
        <v>78</v>
      </c>
      <c r="Z584" s="92" t="s">
        <v>78</v>
      </c>
    </row>
    <row r="585" spans="1:26" ht="16" hidden="1" x14ac:dyDescent="0.4">
      <c r="A585" s="92">
        <v>2909</v>
      </c>
      <c r="B585" s="92">
        <v>2910</v>
      </c>
      <c r="E585" s="92">
        <v>50</v>
      </c>
      <c r="F585" s="92">
        <f>_xlfn.XLOOKUP(B585, DATA_Moresby_2024_ALL!B:B, DATA_Moresby_2024_ALL!G:G, "")</f>
        <v>0</v>
      </c>
      <c r="G585" s="93"/>
      <c r="H585" s="92">
        <v>8</v>
      </c>
      <c r="I585" s="92" t="str">
        <f t="shared" si="28"/>
        <v>X</v>
      </c>
      <c r="J585" s="79" t="str">
        <f>IF(G585="","X",_xlfn.XLOOKUP(B585,DATA_Moresby_2024_ALL!B:B,DATA_Moresby_2024_ALL!K:K,""))</f>
        <v>X</v>
      </c>
      <c r="K585" s="28"/>
      <c r="L585" s="29"/>
      <c r="M585" s="28"/>
      <c r="N585" s="19" t="str">
        <f t="shared" si="29"/>
        <v/>
      </c>
      <c r="O585" s="19" t="str">
        <f t="shared" si="29"/>
        <v/>
      </c>
      <c r="P585" s="19" t="str">
        <f t="shared" si="29"/>
        <v/>
      </c>
      <c r="Q585" s="19" t="str">
        <f t="shared" si="29"/>
        <v/>
      </c>
      <c r="R585" s="21"/>
      <c r="T585" s="21"/>
      <c r="W585" s="46"/>
      <c r="X585" s="92" t="s">
        <v>78</v>
      </c>
      <c r="Y585" s="92" t="s">
        <v>78</v>
      </c>
      <c r="Z585" s="92" t="s">
        <v>78</v>
      </c>
    </row>
    <row r="586" spans="1:26" ht="16" hidden="1" x14ac:dyDescent="0.4">
      <c r="A586" s="92">
        <v>2914</v>
      </c>
      <c r="B586" s="92">
        <v>2915</v>
      </c>
      <c r="E586" s="92">
        <v>50</v>
      </c>
      <c r="F586" s="92">
        <f>_xlfn.XLOOKUP(B586, DATA_Moresby_2024_ALL!B:B, DATA_Moresby_2024_ALL!G:G, "")</f>
        <v>0</v>
      </c>
      <c r="G586" s="93"/>
      <c r="H586" s="92">
        <v>8</v>
      </c>
      <c r="I586" s="92" t="str">
        <f t="shared" si="28"/>
        <v>X</v>
      </c>
      <c r="J586" s="79" t="str">
        <f>IF(G586="","X",_xlfn.XLOOKUP(B586,DATA_Moresby_2024_ALL!B:B,DATA_Moresby_2024_ALL!K:K,""))</f>
        <v>X</v>
      </c>
      <c r="K586" s="28"/>
      <c r="L586" s="29"/>
      <c r="M586" s="28"/>
      <c r="N586" s="19" t="str">
        <f t="shared" si="29"/>
        <v/>
      </c>
      <c r="O586" s="19" t="str">
        <f t="shared" si="29"/>
        <v/>
      </c>
      <c r="P586" s="19" t="str">
        <f t="shared" si="29"/>
        <v/>
      </c>
      <c r="Q586" s="19" t="str">
        <f t="shared" si="29"/>
        <v/>
      </c>
      <c r="R586" s="21"/>
      <c r="T586" s="21"/>
      <c r="W586" s="46"/>
      <c r="X586" s="92" t="s">
        <v>78</v>
      </c>
      <c r="Y586" s="92" t="s">
        <v>78</v>
      </c>
      <c r="Z586" s="92" t="s">
        <v>78</v>
      </c>
    </row>
    <row r="587" spans="1:26" ht="16" hidden="1" x14ac:dyDescent="0.4">
      <c r="A587" s="92">
        <v>2919</v>
      </c>
      <c r="B587" s="92">
        <v>2920</v>
      </c>
      <c r="E587" s="92">
        <v>50</v>
      </c>
      <c r="F587" s="92">
        <f>_xlfn.XLOOKUP(B587, DATA_Moresby_2024_ALL!B:B, DATA_Moresby_2024_ALL!G:G, "")</f>
        <v>0</v>
      </c>
      <c r="G587" s="93"/>
      <c r="H587" s="92">
        <v>8</v>
      </c>
      <c r="I587" s="92" t="str">
        <f t="shared" si="28"/>
        <v>X</v>
      </c>
      <c r="J587" s="79" t="str">
        <f>IF(G587="","X",_xlfn.XLOOKUP(B587,DATA_Moresby_2024_ALL!B:B,DATA_Moresby_2024_ALL!K:K,""))</f>
        <v>X</v>
      </c>
      <c r="K587" s="28"/>
      <c r="L587" s="29"/>
      <c r="M587" s="28"/>
      <c r="N587" s="19" t="str">
        <f t="shared" si="29"/>
        <v/>
      </c>
      <c r="O587" s="19" t="str">
        <f t="shared" si="29"/>
        <v/>
      </c>
      <c r="P587" s="19" t="str">
        <f t="shared" si="29"/>
        <v/>
      </c>
      <c r="Q587" s="19" t="str">
        <f t="shared" si="29"/>
        <v/>
      </c>
      <c r="R587" s="21"/>
      <c r="T587" s="21"/>
      <c r="W587" s="46"/>
      <c r="X587" s="92" t="s">
        <v>78</v>
      </c>
      <c r="Y587" s="92" t="s">
        <v>78</v>
      </c>
      <c r="Z587" s="92" t="s">
        <v>78</v>
      </c>
    </row>
    <row r="588" spans="1:26" ht="16" hidden="1" x14ac:dyDescent="0.4">
      <c r="A588" s="92">
        <v>2924</v>
      </c>
      <c r="B588" s="92">
        <v>2925</v>
      </c>
      <c r="E588" s="92">
        <v>50</v>
      </c>
      <c r="F588" s="92">
        <f>_xlfn.XLOOKUP(B588, DATA_Moresby_2024_ALL!B:B, DATA_Moresby_2024_ALL!G:G, "")</f>
        <v>0</v>
      </c>
      <c r="G588" s="93"/>
      <c r="H588" s="92">
        <v>8</v>
      </c>
      <c r="I588" s="92" t="str">
        <f t="shared" si="28"/>
        <v>X</v>
      </c>
      <c r="J588" s="79" t="str">
        <f>IF(G588="","X",_xlfn.XLOOKUP(B588,DATA_Moresby_2024_ALL!B:B,DATA_Moresby_2024_ALL!K:K,""))</f>
        <v>X</v>
      </c>
      <c r="K588" s="28"/>
      <c r="L588" s="29"/>
      <c r="M588" s="28"/>
      <c r="N588" s="19" t="str">
        <f t="shared" si="29"/>
        <v/>
      </c>
      <c r="O588" s="19" t="str">
        <f t="shared" si="29"/>
        <v/>
      </c>
      <c r="P588" s="19" t="str">
        <f t="shared" si="29"/>
        <v/>
      </c>
      <c r="Q588" s="19" t="str">
        <f t="shared" si="29"/>
        <v/>
      </c>
      <c r="R588" s="21"/>
      <c r="T588" s="21"/>
      <c r="W588" s="46"/>
      <c r="X588" s="92" t="s">
        <v>78</v>
      </c>
      <c r="Y588" s="92" t="s">
        <v>78</v>
      </c>
      <c r="Z588" s="92" t="s">
        <v>78</v>
      </c>
    </row>
    <row r="589" spans="1:26" ht="16" hidden="1" x14ac:dyDescent="0.4">
      <c r="A589" s="92">
        <v>2929</v>
      </c>
      <c r="B589" s="92">
        <v>2930</v>
      </c>
      <c r="E589" s="92">
        <v>50</v>
      </c>
      <c r="F589" s="92">
        <f>_xlfn.XLOOKUP(B589, DATA_Moresby_2024_ALL!B:B, DATA_Moresby_2024_ALL!G:G, "")</f>
        <v>0</v>
      </c>
      <c r="G589" s="93"/>
      <c r="H589" s="92">
        <v>8</v>
      </c>
      <c r="I589" s="92" t="str">
        <f t="shared" si="28"/>
        <v>X</v>
      </c>
      <c r="J589" s="79" t="str">
        <f>IF(G589="","X",_xlfn.XLOOKUP(B589,DATA_Moresby_2024_ALL!B:B,DATA_Moresby_2024_ALL!K:K,""))</f>
        <v>X</v>
      </c>
      <c r="K589" s="28"/>
      <c r="L589" s="29"/>
      <c r="M589" s="28"/>
      <c r="N589" s="19" t="str">
        <f t="shared" si="29"/>
        <v/>
      </c>
      <c r="O589" s="19" t="str">
        <f t="shared" si="29"/>
        <v/>
      </c>
      <c r="P589" s="19" t="str">
        <f t="shared" si="29"/>
        <v/>
      </c>
      <c r="Q589" s="19" t="str">
        <f t="shared" si="29"/>
        <v/>
      </c>
      <c r="R589" s="21"/>
      <c r="T589" s="21"/>
      <c r="W589" s="46"/>
      <c r="X589" s="92" t="s">
        <v>78</v>
      </c>
      <c r="Y589" s="92" t="s">
        <v>78</v>
      </c>
      <c r="Z589" s="92" t="s">
        <v>78</v>
      </c>
    </row>
    <row r="590" spans="1:26" ht="16" hidden="1" x14ac:dyDescent="0.4">
      <c r="A590" s="92">
        <v>2934</v>
      </c>
      <c r="B590" s="92">
        <v>2935</v>
      </c>
      <c r="E590" s="92">
        <v>50</v>
      </c>
      <c r="F590" s="92">
        <f>_xlfn.XLOOKUP(B590, DATA_Moresby_2024_ALL!B:B, DATA_Moresby_2024_ALL!G:G, "")</f>
        <v>0</v>
      </c>
      <c r="G590" s="93"/>
      <c r="H590" s="92">
        <v>8</v>
      </c>
      <c r="I590" s="92" t="str">
        <f t="shared" si="28"/>
        <v>X</v>
      </c>
      <c r="J590" s="79" t="str">
        <f>IF(G590="","X",_xlfn.XLOOKUP(B590,DATA_Moresby_2024_ALL!B:B,DATA_Moresby_2024_ALL!K:K,""))</f>
        <v>X</v>
      </c>
      <c r="K590" s="28"/>
      <c r="L590" s="29"/>
      <c r="M590" s="28"/>
      <c r="N590" s="19" t="str">
        <f t="shared" si="29"/>
        <v/>
      </c>
      <c r="O590" s="19" t="str">
        <f t="shared" si="29"/>
        <v/>
      </c>
      <c r="P590" s="19" t="str">
        <f t="shared" si="29"/>
        <v/>
      </c>
      <c r="Q590" s="19" t="str">
        <f t="shared" si="29"/>
        <v/>
      </c>
      <c r="R590" s="21"/>
      <c r="T590" s="21"/>
      <c r="W590" s="46"/>
      <c r="X590" s="92" t="s">
        <v>78</v>
      </c>
      <c r="Y590" s="92" t="s">
        <v>78</v>
      </c>
      <c r="Z590" s="92" t="s">
        <v>78</v>
      </c>
    </row>
    <row r="591" spans="1:26" ht="16" hidden="1" x14ac:dyDescent="0.4">
      <c r="A591" s="92">
        <v>2939</v>
      </c>
      <c r="B591" s="92">
        <v>2940</v>
      </c>
      <c r="E591" s="92">
        <v>50</v>
      </c>
      <c r="F591" s="92">
        <f>_xlfn.XLOOKUP(B591, DATA_Moresby_2024_ALL!B:B, DATA_Moresby_2024_ALL!G:G, "")</f>
        <v>0</v>
      </c>
      <c r="G591" s="93"/>
      <c r="H591" s="92">
        <v>8</v>
      </c>
      <c r="I591" s="92" t="str">
        <f t="shared" si="28"/>
        <v>X</v>
      </c>
      <c r="J591" s="79" t="str">
        <f>IF(G591="","X",_xlfn.XLOOKUP(B591,DATA_Moresby_2024_ALL!B:B,DATA_Moresby_2024_ALL!K:K,""))</f>
        <v>X</v>
      </c>
      <c r="K591" s="28"/>
      <c r="L591" s="29"/>
      <c r="M591" s="28"/>
      <c r="N591" s="19" t="str">
        <f t="shared" si="29"/>
        <v/>
      </c>
      <c r="O591" s="19" t="str">
        <f t="shared" si="29"/>
        <v/>
      </c>
      <c r="P591" s="19" t="str">
        <f t="shared" si="29"/>
        <v/>
      </c>
      <c r="Q591" s="19" t="str">
        <f t="shared" si="29"/>
        <v/>
      </c>
      <c r="R591" s="21"/>
      <c r="T591" s="21"/>
      <c r="W591" s="46"/>
      <c r="X591" s="92" t="s">
        <v>78</v>
      </c>
      <c r="Y591" s="92" t="s">
        <v>78</v>
      </c>
      <c r="Z591" s="92" t="s">
        <v>78</v>
      </c>
    </row>
    <row r="592" spans="1:26" ht="16" hidden="1" x14ac:dyDescent="0.4">
      <c r="A592" s="92">
        <v>2944</v>
      </c>
      <c r="B592" s="92">
        <v>2945</v>
      </c>
      <c r="E592" s="92">
        <v>50</v>
      </c>
      <c r="F592" s="92">
        <f>_xlfn.XLOOKUP(B592, DATA_Moresby_2024_ALL!B:B, DATA_Moresby_2024_ALL!G:G, "")</f>
        <v>0</v>
      </c>
      <c r="G592" s="93"/>
      <c r="H592" s="92">
        <v>8</v>
      </c>
      <c r="I592" s="92" t="str">
        <f t="shared" si="28"/>
        <v>X</v>
      </c>
      <c r="J592" s="79" t="str">
        <f>IF(G592="","X",_xlfn.XLOOKUP(B592,DATA_Moresby_2024_ALL!B:B,DATA_Moresby_2024_ALL!K:K,""))</f>
        <v>X</v>
      </c>
      <c r="K592" s="28"/>
      <c r="L592" s="29"/>
      <c r="M592" s="28"/>
      <c r="N592" s="19" t="str">
        <f t="shared" si="29"/>
        <v/>
      </c>
      <c r="O592" s="19" t="str">
        <f t="shared" si="29"/>
        <v/>
      </c>
      <c r="P592" s="19" t="str">
        <f t="shared" si="29"/>
        <v/>
      </c>
      <c r="Q592" s="19" t="str">
        <f t="shared" si="29"/>
        <v/>
      </c>
      <c r="R592" s="21"/>
      <c r="T592" s="21"/>
      <c r="W592" s="46"/>
      <c r="X592" s="92" t="s">
        <v>78</v>
      </c>
      <c r="Y592" s="92" t="s">
        <v>78</v>
      </c>
      <c r="Z592" s="92" t="s">
        <v>78</v>
      </c>
    </row>
    <row r="593" spans="1:26" ht="16" hidden="1" x14ac:dyDescent="0.4">
      <c r="A593" s="92">
        <v>2949</v>
      </c>
      <c r="B593" s="92">
        <v>2950</v>
      </c>
      <c r="E593" s="92">
        <v>50</v>
      </c>
      <c r="F593" s="92">
        <f>_xlfn.XLOOKUP(B593, DATA_Moresby_2024_ALL!B:B, DATA_Moresby_2024_ALL!G:G, "")</f>
        <v>0</v>
      </c>
      <c r="G593" s="93"/>
      <c r="H593" s="92">
        <v>8</v>
      </c>
      <c r="I593" s="92" t="str">
        <f t="shared" si="28"/>
        <v>X</v>
      </c>
      <c r="J593" s="79" t="str">
        <f>IF(G593="","X",_xlfn.XLOOKUP(B593,DATA_Moresby_2024_ALL!B:B,DATA_Moresby_2024_ALL!K:K,""))</f>
        <v>X</v>
      </c>
      <c r="K593" s="28"/>
      <c r="L593" s="29"/>
      <c r="M593" s="28"/>
      <c r="N593" s="19" t="str">
        <f t="shared" si="29"/>
        <v/>
      </c>
      <c r="O593" s="19" t="str">
        <f t="shared" si="29"/>
        <v/>
      </c>
      <c r="P593" s="19" t="str">
        <f t="shared" si="29"/>
        <v/>
      </c>
      <c r="Q593" s="19" t="str">
        <f t="shared" si="29"/>
        <v/>
      </c>
      <c r="R593" s="21"/>
      <c r="T593" s="21"/>
      <c r="W593" s="46"/>
      <c r="X593" s="92" t="s">
        <v>78</v>
      </c>
      <c r="Y593" s="92" t="s">
        <v>78</v>
      </c>
      <c r="Z593" s="92" t="s">
        <v>78</v>
      </c>
    </row>
    <row r="594" spans="1:26" ht="16" hidden="1" x14ac:dyDescent="0.4">
      <c r="A594" s="92">
        <v>2954</v>
      </c>
      <c r="B594" s="92">
        <v>2955</v>
      </c>
      <c r="E594" s="92">
        <v>50</v>
      </c>
      <c r="F594" s="92">
        <f>_xlfn.XLOOKUP(B594, DATA_Moresby_2024_ALL!B:B, DATA_Moresby_2024_ALL!G:G, "")</f>
        <v>0</v>
      </c>
      <c r="G594" s="93"/>
      <c r="H594" s="92">
        <v>8</v>
      </c>
      <c r="I594" s="92" t="str">
        <f t="shared" si="28"/>
        <v>X</v>
      </c>
      <c r="J594" s="79" t="str">
        <f>IF(G594="","X",_xlfn.XLOOKUP(B594,DATA_Moresby_2024_ALL!B:B,DATA_Moresby_2024_ALL!K:K,""))</f>
        <v>X</v>
      </c>
      <c r="K594" s="28"/>
      <c r="L594" s="29"/>
      <c r="M594" s="28"/>
      <c r="N594" s="19" t="str">
        <f t="shared" si="29"/>
        <v/>
      </c>
      <c r="O594" s="19" t="str">
        <f t="shared" si="29"/>
        <v/>
      </c>
      <c r="P594" s="19" t="str">
        <f t="shared" si="29"/>
        <v/>
      </c>
      <c r="Q594" s="19" t="str">
        <f t="shared" si="29"/>
        <v/>
      </c>
      <c r="R594" s="21"/>
      <c r="T594" s="21"/>
      <c r="W594" s="46"/>
      <c r="X594" s="92" t="s">
        <v>78</v>
      </c>
      <c r="Y594" s="92" t="s">
        <v>78</v>
      </c>
      <c r="Z594" s="92" t="s">
        <v>78</v>
      </c>
    </row>
    <row r="595" spans="1:26" ht="16" hidden="1" x14ac:dyDescent="0.4">
      <c r="A595" s="92">
        <v>2959</v>
      </c>
      <c r="B595" s="92">
        <v>2960</v>
      </c>
      <c r="E595" s="92">
        <v>50</v>
      </c>
      <c r="F595" s="92">
        <f>_xlfn.XLOOKUP(B595, DATA_Moresby_2024_ALL!B:B, DATA_Moresby_2024_ALL!G:G, "")</f>
        <v>0</v>
      </c>
      <c r="G595" s="93"/>
      <c r="H595" s="92">
        <v>8</v>
      </c>
      <c r="I595" s="92" t="str">
        <f t="shared" ref="I595:I600" si="30">IF(G595="","X","")</f>
        <v>X</v>
      </c>
      <c r="J595" s="79" t="str">
        <f>IF(G595="","X",_xlfn.XLOOKUP(B595,DATA_Moresby_2024_ALL!B:B,DATA_Moresby_2024_ALL!K:K,""))</f>
        <v>X</v>
      </c>
      <c r="K595" s="28"/>
      <c r="L595" s="29"/>
      <c r="M595" s="28"/>
      <c r="N595" s="19" t="str">
        <f t="shared" si="29"/>
        <v/>
      </c>
      <c r="O595" s="19" t="str">
        <f t="shared" si="29"/>
        <v/>
      </c>
      <c r="P595" s="19" t="str">
        <f t="shared" si="29"/>
        <v/>
      </c>
      <c r="Q595" s="19" t="str">
        <f t="shared" si="29"/>
        <v/>
      </c>
      <c r="R595" s="21"/>
      <c r="T595" s="21"/>
      <c r="W595" s="46"/>
      <c r="X595" s="92" t="s">
        <v>78</v>
      </c>
      <c r="Y595" s="92" t="s">
        <v>78</v>
      </c>
      <c r="Z595" s="92" t="s">
        <v>78</v>
      </c>
    </row>
    <row r="596" spans="1:26" ht="16" hidden="1" x14ac:dyDescent="0.4">
      <c r="A596" s="92">
        <v>2964</v>
      </c>
      <c r="B596" s="92">
        <v>2965</v>
      </c>
      <c r="E596" s="92">
        <v>50</v>
      </c>
      <c r="F596" s="92">
        <f>_xlfn.XLOOKUP(B596, DATA_Moresby_2024_ALL!B:B, DATA_Moresby_2024_ALL!G:G, "")</f>
        <v>0</v>
      </c>
      <c r="G596" s="93"/>
      <c r="H596" s="92">
        <v>8</v>
      </c>
      <c r="I596" s="92" t="str">
        <f t="shared" si="30"/>
        <v>X</v>
      </c>
      <c r="J596" s="79" t="str">
        <f>IF(G596="","X",_xlfn.XLOOKUP(B596,DATA_Moresby_2024_ALL!B:B,DATA_Moresby_2024_ALL!K:K,""))</f>
        <v>X</v>
      </c>
      <c r="K596" s="28"/>
      <c r="L596" s="29"/>
      <c r="M596" s="28"/>
      <c r="N596" s="19" t="str">
        <f t="shared" si="29"/>
        <v/>
      </c>
      <c r="O596" s="19" t="str">
        <f t="shared" si="29"/>
        <v/>
      </c>
      <c r="P596" s="19" t="str">
        <f t="shared" si="29"/>
        <v/>
      </c>
      <c r="Q596" s="19" t="str">
        <f t="shared" si="29"/>
        <v/>
      </c>
      <c r="R596" s="21"/>
      <c r="T596" s="21"/>
      <c r="W596" s="46"/>
      <c r="X596" s="92" t="s">
        <v>78</v>
      </c>
      <c r="Y596" s="92" t="s">
        <v>78</v>
      </c>
      <c r="Z596" s="92" t="s">
        <v>78</v>
      </c>
    </row>
    <row r="597" spans="1:26" ht="16" hidden="1" x14ac:dyDescent="0.4">
      <c r="A597" s="92">
        <v>2969</v>
      </c>
      <c r="B597" s="92">
        <v>2970</v>
      </c>
      <c r="E597" s="92">
        <v>50</v>
      </c>
      <c r="F597" s="92">
        <f>_xlfn.XLOOKUP(B597, DATA_Moresby_2024_ALL!B:B, DATA_Moresby_2024_ALL!G:G, "")</f>
        <v>0</v>
      </c>
      <c r="G597" s="93"/>
      <c r="H597" s="92">
        <v>8</v>
      </c>
      <c r="I597" s="92" t="str">
        <f t="shared" si="30"/>
        <v>X</v>
      </c>
      <c r="J597" s="79" t="str">
        <f>IF(G597="","X",_xlfn.XLOOKUP(B597,DATA_Moresby_2024_ALL!B:B,DATA_Moresby_2024_ALL!K:K,""))</f>
        <v>X</v>
      </c>
      <c r="K597" s="28"/>
      <c r="L597" s="29"/>
      <c r="M597" s="28"/>
      <c r="N597" s="19" t="str">
        <f t="shared" si="29"/>
        <v/>
      </c>
      <c r="O597" s="19" t="str">
        <f t="shared" si="29"/>
        <v/>
      </c>
      <c r="P597" s="19" t="str">
        <f t="shared" si="29"/>
        <v/>
      </c>
      <c r="Q597" s="19" t="str">
        <f t="shared" si="29"/>
        <v/>
      </c>
      <c r="R597" s="21"/>
      <c r="T597" s="21"/>
      <c r="W597" s="46"/>
      <c r="X597" s="92" t="s">
        <v>78</v>
      </c>
      <c r="Y597" s="92" t="s">
        <v>78</v>
      </c>
      <c r="Z597" s="92" t="s">
        <v>78</v>
      </c>
    </row>
    <row r="598" spans="1:26" ht="16" hidden="1" x14ac:dyDescent="0.4">
      <c r="A598" s="92">
        <v>2974</v>
      </c>
      <c r="B598" s="92">
        <v>2975</v>
      </c>
      <c r="E598" s="92">
        <v>50</v>
      </c>
      <c r="F598" s="92">
        <f>_xlfn.XLOOKUP(B598, DATA_Moresby_2024_ALL!B:B, DATA_Moresby_2024_ALL!G:G, "")</f>
        <v>0</v>
      </c>
      <c r="G598" s="93"/>
      <c r="H598" s="92">
        <v>8</v>
      </c>
      <c r="I598" s="92" t="str">
        <f t="shared" si="30"/>
        <v>X</v>
      </c>
      <c r="J598" s="79" t="str">
        <f>IF(G598="","X",_xlfn.XLOOKUP(B598,DATA_Moresby_2024_ALL!B:B,DATA_Moresby_2024_ALL!K:K,""))</f>
        <v>X</v>
      </c>
      <c r="K598" s="28"/>
      <c r="L598" s="29"/>
      <c r="M598" s="28"/>
      <c r="N598" s="19" t="str">
        <f t="shared" si="29"/>
        <v/>
      </c>
      <c r="O598" s="19" t="str">
        <f t="shared" si="29"/>
        <v/>
      </c>
      <c r="P598" s="19" t="str">
        <f t="shared" si="29"/>
        <v/>
      </c>
      <c r="Q598" s="19" t="str">
        <f t="shared" si="29"/>
        <v/>
      </c>
      <c r="R598" s="21"/>
      <c r="T598" s="21"/>
      <c r="W598" s="46"/>
      <c r="X598" s="92" t="s">
        <v>78</v>
      </c>
      <c r="Y598" s="92" t="s">
        <v>78</v>
      </c>
      <c r="Z598" s="92" t="s">
        <v>78</v>
      </c>
    </row>
    <row r="599" spans="1:26" ht="16" hidden="1" x14ac:dyDescent="0.4">
      <c r="A599" s="92">
        <v>2979</v>
      </c>
      <c r="B599" s="92">
        <v>2980</v>
      </c>
      <c r="E599" s="92">
        <v>50</v>
      </c>
      <c r="F599" s="92">
        <f>_xlfn.XLOOKUP(B599, DATA_Moresby_2024_ALL!B:B, DATA_Moresby_2024_ALL!G:G, "")</f>
        <v>0</v>
      </c>
      <c r="G599" s="93"/>
      <c r="H599" s="92">
        <v>8</v>
      </c>
      <c r="I599" s="92" t="str">
        <f t="shared" si="30"/>
        <v>X</v>
      </c>
      <c r="J599" s="79" t="str">
        <f>IF(G599="","X",_xlfn.XLOOKUP(B599,DATA_Moresby_2024_ALL!B:B,DATA_Moresby_2024_ALL!K:K,""))</f>
        <v>X</v>
      </c>
      <c r="K599" s="28"/>
      <c r="L599" s="29"/>
      <c r="M599" s="28"/>
      <c r="N599" s="19" t="str">
        <f t="shared" si="29"/>
        <v/>
      </c>
      <c r="O599" s="19" t="str">
        <f t="shared" si="29"/>
        <v/>
      </c>
      <c r="P599" s="19" t="str">
        <f t="shared" si="29"/>
        <v/>
      </c>
      <c r="Q599" s="19" t="str">
        <f t="shared" si="29"/>
        <v/>
      </c>
      <c r="R599" s="21"/>
      <c r="T599" s="21"/>
      <c r="W599" s="46"/>
      <c r="X599" s="92" t="s">
        <v>78</v>
      </c>
      <c r="Y599" s="92" t="s">
        <v>78</v>
      </c>
      <c r="Z599" s="92" t="s">
        <v>78</v>
      </c>
    </row>
    <row r="600" spans="1:26" ht="16" hidden="1" x14ac:dyDescent="0.4">
      <c r="A600" s="92">
        <v>2984</v>
      </c>
      <c r="B600" s="92">
        <v>2985</v>
      </c>
      <c r="E600" s="92">
        <v>50</v>
      </c>
      <c r="F600" s="92">
        <f>_xlfn.XLOOKUP(B600, DATA_Moresby_2024_ALL!B:B, DATA_Moresby_2024_ALL!G:G, "")</f>
        <v>0</v>
      </c>
      <c r="G600" s="93"/>
      <c r="H600" s="92">
        <v>8</v>
      </c>
      <c r="I600" s="92" t="str">
        <f t="shared" si="30"/>
        <v>X</v>
      </c>
      <c r="J600" s="79" t="str">
        <f>IF(G600="","X",_xlfn.XLOOKUP(B600,DATA_Moresby_2024_ALL!B:B,DATA_Moresby_2024_ALL!K:K,""))</f>
        <v>X</v>
      </c>
      <c r="K600" s="28"/>
      <c r="L600" s="29"/>
      <c r="M600" s="28"/>
      <c r="N600" s="19" t="str">
        <f t="shared" si="29"/>
        <v/>
      </c>
      <c r="O600" s="19" t="str">
        <f t="shared" si="29"/>
        <v/>
      </c>
      <c r="P600" s="19" t="str">
        <f t="shared" si="29"/>
        <v/>
      </c>
      <c r="Q600" s="19" t="str">
        <f t="shared" si="29"/>
        <v/>
      </c>
      <c r="R600" s="21"/>
      <c r="T600" s="21"/>
      <c r="W600" s="46"/>
      <c r="X600" s="92" t="s">
        <v>78</v>
      </c>
      <c r="Y600" s="92" t="s">
        <v>78</v>
      </c>
      <c r="Z600" s="92" t="s">
        <v>78</v>
      </c>
    </row>
    <row r="601" spans="1:26" ht="16" hidden="1" x14ac:dyDescent="0.4">
      <c r="A601" s="92">
        <v>2989</v>
      </c>
      <c r="B601" s="92">
        <v>2990</v>
      </c>
      <c r="E601" s="92">
        <v>50</v>
      </c>
      <c r="F601" s="92" t="str">
        <f>_xlfn.XLOOKUP(B601, DATA_Moresby_2024_ALL!B:B, DATA_Moresby_2024_ALL!G:G, "")</f>
        <v>2990_20240611_0003_L_0199.jpg</v>
      </c>
      <c r="G601" s="93" t="str">
        <f t="shared" ref="G601:G653" si="31">HYPERLINK("D:\Data From Lucan\2024\Moresby\Frames_for_Analysis_50\" &amp; F601,F601)</f>
        <v>2990_20240611_0003_L_0199.jpg</v>
      </c>
      <c r="H601" s="92">
        <v>8</v>
      </c>
      <c r="J601" s="79">
        <f>IF(G601="","X",_xlfn.XLOOKUP(B601,DATA_Moresby_2024_ALL!B:B,DATA_Moresby_2024_ALL!K:K,""))</f>
        <v>1</v>
      </c>
      <c r="K601" s="28"/>
      <c r="L601" s="29"/>
      <c r="M601" s="28"/>
      <c r="N601" s="19">
        <v>4</v>
      </c>
      <c r="O601" s="19">
        <v>3</v>
      </c>
      <c r="P601" s="19">
        <f t="shared" si="29"/>
        <v>4</v>
      </c>
      <c r="Q601" s="19">
        <v>4</v>
      </c>
      <c r="R601" s="21"/>
      <c r="T601" s="21"/>
      <c r="W601" s="46"/>
      <c r="X601" s="92" t="s">
        <v>78</v>
      </c>
      <c r="Y601" s="92" t="s">
        <v>78</v>
      </c>
      <c r="Z601" s="92" t="s">
        <v>78</v>
      </c>
    </row>
    <row r="602" spans="1:26" ht="16" hidden="1" x14ac:dyDescent="0.4">
      <c r="A602" s="92">
        <v>2994</v>
      </c>
      <c r="B602" s="92">
        <v>2995</v>
      </c>
      <c r="E602" s="92">
        <v>50</v>
      </c>
      <c r="F602" s="92" t="str">
        <f>_xlfn.XLOOKUP(B602, DATA_Moresby_2024_ALL!B:B, DATA_Moresby_2024_ALL!G:G, "")</f>
        <v>2995_20240611_0003_L_0205.jpg</v>
      </c>
      <c r="G602" s="93" t="str">
        <f t="shared" si="31"/>
        <v>2995_20240611_0003_L_0205.jpg</v>
      </c>
      <c r="H602" s="92">
        <v>8</v>
      </c>
      <c r="J602" s="79">
        <f>IF(G602="","X",_xlfn.XLOOKUP(B602,DATA_Moresby_2024_ALL!B:B,DATA_Moresby_2024_ALL!K:K,""))</f>
        <v>1</v>
      </c>
      <c r="K602" s="28"/>
      <c r="L602" s="29"/>
      <c r="M602" s="28"/>
      <c r="N602" s="19">
        <v>4</v>
      </c>
      <c r="O602" s="19">
        <v>4</v>
      </c>
      <c r="P602" s="19">
        <f t="shared" si="29"/>
        <v>4</v>
      </c>
      <c r="Q602" s="19">
        <v>4</v>
      </c>
      <c r="R602" s="21"/>
      <c r="T602" s="21"/>
      <c r="W602" s="46"/>
      <c r="X602" s="92" t="s">
        <v>78</v>
      </c>
      <c r="Y602" s="92" t="s">
        <v>78</v>
      </c>
      <c r="Z602" s="92" t="s">
        <v>78</v>
      </c>
    </row>
    <row r="603" spans="1:26" ht="16" hidden="1" x14ac:dyDescent="0.4">
      <c r="A603" s="92">
        <v>2999</v>
      </c>
      <c r="B603" s="92">
        <v>3000</v>
      </c>
      <c r="E603" s="92">
        <v>50</v>
      </c>
      <c r="F603" s="92">
        <f>_xlfn.XLOOKUP(B603, DATA_Moresby_2024_ALL!B:B, DATA_Moresby_2024_ALL!G:G, "")</f>
        <v>0</v>
      </c>
      <c r="G603" s="93"/>
      <c r="H603" s="92">
        <v>8</v>
      </c>
      <c r="I603" s="92" t="str">
        <f t="shared" ref="I603:I609" si="32">IF(G603="","X","")</f>
        <v>X</v>
      </c>
      <c r="J603" s="79" t="str">
        <f>IF(G603="","X",_xlfn.XLOOKUP(B603,DATA_Moresby_2024_ALL!B:B,DATA_Moresby_2024_ALL!K:K,""))</f>
        <v>X</v>
      </c>
      <c r="K603" s="28"/>
      <c r="L603" s="29"/>
      <c r="M603" s="28"/>
      <c r="N603" s="19" t="str">
        <f t="shared" si="29"/>
        <v/>
      </c>
      <c r="O603" s="19" t="str">
        <f t="shared" si="29"/>
        <v/>
      </c>
      <c r="P603" s="19" t="str">
        <f t="shared" si="29"/>
        <v/>
      </c>
      <c r="Q603" s="19" t="str">
        <f t="shared" si="29"/>
        <v/>
      </c>
      <c r="R603" s="21"/>
      <c r="T603" s="21"/>
      <c r="W603" s="46"/>
      <c r="X603" s="92" t="s">
        <v>78</v>
      </c>
      <c r="Y603" s="92" t="s">
        <v>78</v>
      </c>
      <c r="Z603" s="92" t="s">
        <v>78</v>
      </c>
    </row>
    <row r="604" spans="1:26" ht="16" hidden="1" x14ac:dyDescent="0.4">
      <c r="A604" s="92">
        <v>3004</v>
      </c>
      <c r="B604" s="92">
        <v>3005</v>
      </c>
      <c r="E604" s="92">
        <v>50</v>
      </c>
      <c r="F604" s="92">
        <f>_xlfn.XLOOKUP(B604, DATA_Moresby_2024_ALL!B:B, DATA_Moresby_2024_ALL!G:G, "")</f>
        <v>0</v>
      </c>
      <c r="G604" s="93"/>
      <c r="H604" s="92">
        <v>8</v>
      </c>
      <c r="I604" s="92" t="str">
        <f t="shared" si="32"/>
        <v>X</v>
      </c>
      <c r="J604" s="79" t="str">
        <f>IF(G604="","X",_xlfn.XLOOKUP(B604,DATA_Moresby_2024_ALL!B:B,DATA_Moresby_2024_ALL!K:K,""))</f>
        <v>X</v>
      </c>
      <c r="K604" s="28"/>
      <c r="L604" s="29"/>
      <c r="M604" s="28"/>
      <c r="N604" s="19" t="str">
        <f t="shared" si="29"/>
        <v/>
      </c>
      <c r="O604" s="19" t="str">
        <f t="shared" si="29"/>
        <v/>
      </c>
      <c r="P604" s="19" t="str">
        <f t="shared" si="29"/>
        <v/>
      </c>
      <c r="Q604" s="19" t="str">
        <f t="shared" si="29"/>
        <v/>
      </c>
      <c r="R604" s="21"/>
      <c r="T604" s="21"/>
      <c r="W604" s="46"/>
      <c r="X604" s="92" t="s">
        <v>78</v>
      </c>
      <c r="Y604" s="92" t="s">
        <v>78</v>
      </c>
      <c r="Z604" s="92" t="s">
        <v>78</v>
      </c>
    </row>
    <row r="605" spans="1:26" ht="16" hidden="1" x14ac:dyDescent="0.4">
      <c r="A605" s="92">
        <v>3009</v>
      </c>
      <c r="B605" s="92">
        <v>3010</v>
      </c>
      <c r="E605" s="92">
        <v>50</v>
      </c>
      <c r="F605" s="92">
        <f>_xlfn.XLOOKUP(B605, DATA_Moresby_2024_ALL!B:B, DATA_Moresby_2024_ALL!G:G, "")</f>
        <v>0</v>
      </c>
      <c r="G605" s="93"/>
      <c r="H605" s="92">
        <v>8</v>
      </c>
      <c r="I605" s="92" t="str">
        <f t="shared" si="32"/>
        <v>X</v>
      </c>
      <c r="J605" s="79" t="str">
        <f>IF(G605="","X",_xlfn.XLOOKUP(B605,DATA_Moresby_2024_ALL!B:B,DATA_Moresby_2024_ALL!K:K,""))</f>
        <v>X</v>
      </c>
      <c r="K605" s="28"/>
      <c r="L605" s="29"/>
      <c r="M605" s="28"/>
      <c r="N605" s="19" t="str">
        <f t="shared" si="29"/>
        <v/>
      </c>
      <c r="O605" s="19" t="str">
        <f t="shared" si="29"/>
        <v/>
      </c>
      <c r="P605" s="19" t="str">
        <f t="shared" si="29"/>
        <v/>
      </c>
      <c r="Q605" s="19" t="str">
        <f t="shared" ref="O605:Q668" si="33">IF($J605=1,4,"")</f>
        <v/>
      </c>
      <c r="R605" s="21"/>
      <c r="T605" s="21"/>
      <c r="W605" s="46"/>
      <c r="X605" s="92" t="s">
        <v>78</v>
      </c>
      <c r="Y605" s="92" t="s">
        <v>78</v>
      </c>
      <c r="Z605" s="92" t="s">
        <v>78</v>
      </c>
    </row>
    <row r="606" spans="1:26" ht="16" hidden="1" x14ac:dyDescent="0.4">
      <c r="A606" s="92">
        <v>3014</v>
      </c>
      <c r="B606" s="92">
        <v>3015</v>
      </c>
      <c r="E606" s="92">
        <v>50</v>
      </c>
      <c r="F606" s="92">
        <f>_xlfn.XLOOKUP(B606, DATA_Moresby_2024_ALL!B:B, DATA_Moresby_2024_ALL!G:G, "")</f>
        <v>0</v>
      </c>
      <c r="G606" s="93"/>
      <c r="H606" s="92">
        <v>8</v>
      </c>
      <c r="I606" s="92" t="str">
        <f t="shared" si="32"/>
        <v>X</v>
      </c>
      <c r="J606" s="79" t="str">
        <f>IF(G606="","X",_xlfn.XLOOKUP(B606,DATA_Moresby_2024_ALL!B:B,DATA_Moresby_2024_ALL!K:K,""))</f>
        <v>X</v>
      </c>
      <c r="K606" s="28"/>
      <c r="L606" s="29"/>
      <c r="M606" s="28"/>
      <c r="N606" s="19" t="str">
        <f t="shared" ref="N606:Q669" si="34">IF($J606=1,4,"")</f>
        <v/>
      </c>
      <c r="O606" s="19" t="str">
        <f t="shared" si="33"/>
        <v/>
      </c>
      <c r="P606" s="19" t="str">
        <f t="shared" si="33"/>
        <v/>
      </c>
      <c r="Q606" s="19" t="str">
        <f t="shared" si="33"/>
        <v/>
      </c>
      <c r="R606" s="21"/>
      <c r="T606" s="21"/>
      <c r="W606" s="46"/>
      <c r="X606" s="92" t="s">
        <v>78</v>
      </c>
      <c r="Y606" s="92" t="s">
        <v>78</v>
      </c>
      <c r="Z606" s="92" t="s">
        <v>78</v>
      </c>
    </row>
    <row r="607" spans="1:26" ht="16" hidden="1" x14ac:dyDescent="0.4">
      <c r="A607" s="92">
        <v>3019</v>
      </c>
      <c r="B607" s="92">
        <v>3020</v>
      </c>
      <c r="E607" s="92">
        <v>50</v>
      </c>
      <c r="F607" s="92">
        <f>_xlfn.XLOOKUP(B607, DATA_Moresby_2024_ALL!B:B, DATA_Moresby_2024_ALL!G:G, "")</f>
        <v>0</v>
      </c>
      <c r="G607" s="93"/>
      <c r="H607" s="92">
        <v>8</v>
      </c>
      <c r="I607" s="92" t="str">
        <f t="shared" si="32"/>
        <v>X</v>
      </c>
      <c r="J607" s="79" t="str">
        <f>IF(G607="","X",_xlfn.XLOOKUP(B607,DATA_Moresby_2024_ALL!B:B,DATA_Moresby_2024_ALL!K:K,""))</f>
        <v>X</v>
      </c>
      <c r="K607" s="28"/>
      <c r="L607" s="29"/>
      <c r="M607" s="28"/>
      <c r="N607" s="19" t="str">
        <f t="shared" si="34"/>
        <v/>
      </c>
      <c r="O607" s="19" t="str">
        <f t="shared" si="33"/>
        <v/>
      </c>
      <c r="P607" s="19" t="str">
        <f t="shared" si="33"/>
        <v/>
      </c>
      <c r="Q607" s="19" t="str">
        <f t="shared" si="33"/>
        <v/>
      </c>
      <c r="R607" s="21"/>
      <c r="T607" s="21"/>
      <c r="W607" s="46"/>
      <c r="X607" s="92" t="s">
        <v>78</v>
      </c>
      <c r="Y607" s="92" t="s">
        <v>78</v>
      </c>
      <c r="Z607" s="92" t="s">
        <v>78</v>
      </c>
    </row>
    <row r="608" spans="1:26" ht="16" hidden="1" x14ac:dyDescent="0.4">
      <c r="A608" s="92">
        <v>3024</v>
      </c>
      <c r="B608" s="92">
        <v>3025</v>
      </c>
      <c r="E608" s="92">
        <v>50</v>
      </c>
      <c r="F608" s="92">
        <f>_xlfn.XLOOKUP(B608, DATA_Moresby_2024_ALL!B:B, DATA_Moresby_2024_ALL!G:G, "")</f>
        <v>0</v>
      </c>
      <c r="G608" s="93"/>
      <c r="H608" s="92">
        <v>8</v>
      </c>
      <c r="I608" s="92" t="str">
        <f t="shared" si="32"/>
        <v>X</v>
      </c>
      <c r="J608" s="79" t="str">
        <f>IF(G608="","X",_xlfn.XLOOKUP(B608,DATA_Moresby_2024_ALL!B:B,DATA_Moresby_2024_ALL!K:K,""))</f>
        <v>X</v>
      </c>
      <c r="K608" s="28"/>
      <c r="L608" s="29"/>
      <c r="M608" s="28"/>
      <c r="N608" s="19" t="str">
        <f t="shared" si="34"/>
        <v/>
      </c>
      <c r="O608" s="19" t="str">
        <f t="shared" si="33"/>
        <v/>
      </c>
      <c r="P608" s="19" t="str">
        <f t="shared" si="33"/>
        <v/>
      </c>
      <c r="Q608" s="19" t="str">
        <f t="shared" si="33"/>
        <v/>
      </c>
      <c r="R608" s="21"/>
      <c r="T608" s="21"/>
      <c r="W608" s="46"/>
      <c r="X608" s="92" t="s">
        <v>78</v>
      </c>
      <c r="Y608" s="92" t="s">
        <v>78</v>
      </c>
      <c r="Z608" s="92" t="s">
        <v>78</v>
      </c>
    </row>
    <row r="609" spans="1:26" ht="16" hidden="1" x14ac:dyDescent="0.4">
      <c r="A609" s="92">
        <v>3029</v>
      </c>
      <c r="B609" s="92">
        <v>3030</v>
      </c>
      <c r="E609" s="92">
        <v>50</v>
      </c>
      <c r="F609" s="92">
        <f>_xlfn.XLOOKUP(B609, DATA_Moresby_2024_ALL!B:B, DATA_Moresby_2024_ALL!G:G, "")</f>
        <v>0</v>
      </c>
      <c r="G609" s="93"/>
      <c r="H609" s="92">
        <v>8</v>
      </c>
      <c r="I609" s="92" t="str">
        <f t="shared" si="32"/>
        <v>X</v>
      </c>
      <c r="J609" s="79" t="str">
        <f>IF(G609="","X",_xlfn.XLOOKUP(B609,DATA_Moresby_2024_ALL!B:B,DATA_Moresby_2024_ALL!K:K,""))</f>
        <v>X</v>
      </c>
      <c r="K609" s="28"/>
      <c r="L609" s="29"/>
      <c r="M609" s="28"/>
      <c r="N609" s="19" t="str">
        <f t="shared" si="34"/>
        <v/>
      </c>
      <c r="O609" s="19" t="str">
        <f t="shared" si="33"/>
        <v/>
      </c>
      <c r="P609" s="19" t="str">
        <f t="shared" si="33"/>
        <v/>
      </c>
      <c r="Q609" s="19" t="str">
        <f t="shared" si="33"/>
        <v/>
      </c>
      <c r="R609" s="21"/>
      <c r="T609" s="21"/>
      <c r="W609" s="46"/>
      <c r="X609" s="92" t="s">
        <v>78</v>
      </c>
      <c r="Y609" s="92" t="s">
        <v>78</v>
      </c>
      <c r="Z609" s="92" t="s">
        <v>78</v>
      </c>
    </row>
    <row r="610" spans="1:26" ht="16" x14ac:dyDescent="0.4">
      <c r="A610" s="92">
        <v>3034</v>
      </c>
      <c r="B610" s="92">
        <v>3035</v>
      </c>
      <c r="E610" s="92">
        <v>50</v>
      </c>
      <c r="F610" s="92" t="str">
        <f>_xlfn.XLOOKUP(B610, DATA_Moresby_2024_ALL!B:B, DATA_Moresby_2024_ALL!G:G, "")</f>
        <v>3035_20240611_0003_L_0214.jpg</v>
      </c>
      <c r="G610" s="93" t="str">
        <f t="shared" si="31"/>
        <v>3035_20240611_0003_L_0214.jpg</v>
      </c>
      <c r="H610" s="92">
        <v>2</v>
      </c>
      <c r="J610" s="79">
        <f>IF(G610="","X",_xlfn.XLOOKUP(B610,DATA_Moresby_2024_ALL!B:B,DATA_Moresby_2024_ALL!K:K,""))</f>
        <v>1</v>
      </c>
      <c r="K610" s="28"/>
      <c r="L610" s="29"/>
      <c r="M610" s="28"/>
      <c r="N610" s="19">
        <f t="shared" si="34"/>
        <v>4</v>
      </c>
      <c r="O610" s="19">
        <f t="shared" si="33"/>
        <v>4</v>
      </c>
      <c r="P610" s="19">
        <f t="shared" si="33"/>
        <v>4</v>
      </c>
      <c r="Q610" s="19">
        <v>3</v>
      </c>
      <c r="R610" s="21"/>
      <c r="T610" s="21"/>
      <c r="W610" s="46"/>
      <c r="X610" s="92">
        <v>4</v>
      </c>
      <c r="Y610" s="92">
        <v>4</v>
      </c>
      <c r="Z610" s="92">
        <v>2</v>
      </c>
    </row>
    <row r="611" spans="1:26" ht="16" x14ac:dyDescent="0.4">
      <c r="A611" s="92">
        <v>3039</v>
      </c>
      <c r="B611" s="92">
        <v>3040</v>
      </c>
      <c r="E611" s="92">
        <v>50</v>
      </c>
      <c r="F611" s="92" t="str">
        <f>_xlfn.XLOOKUP(B611, DATA_Moresby_2024_ALL!B:B, DATA_Moresby_2024_ALL!G:G, "")</f>
        <v>3040_20240611_0003_L_0226.jpg</v>
      </c>
      <c r="G611" s="93" t="str">
        <f t="shared" si="31"/>
        <v>3040_20240611_0003_L_0226.jpg</v>
      </c>
      <c r="H611" s="92">
        <v>2</v>
      </c>
      <c r="J611" s="79">
        <f>IF(G611="","X",_xlfn.XLOOKUP(B611,DATA_Moresby_2024_ALL!B:B,DATA_Moresby_2024_ALL!K:K,""))</f>
        <v>1</v>
      </c>
      <c r="K611" s="28"/>
      <c r="L611" s="29"/>
      <c r="M611" s="28"/>
      <c r="N611" s="19">
        <f t="shared" si="34"/>
        <v>4</v>
      </c>
      <c r="O611" s="19">
        <f t="shared" si="33"/>
        <v>4</v>
      </c>
      <c r="P611" s="19">
        <f t="shared" si="33"/>
        <v>4</v>
      </c>
      <c r="Q611" s="19">
        <f t="shared" si="33"/>
        <v>4</v>
      </c>
      <c r="R611" s="21"/>
      <c r="T611" s="21"/>
      <c r="W611" s="46"/>
      <c r="X611" s="92">
        <v>4</v>
      </c>
      <c r="Y611" s="92">
        <v>3</v>
      </c>
      <c r="Z611" s="92">
        <v>4</v>
      </c>
    </row>
    <row r="612" spans="1:26" ht="16" x14ac:dyDescent="0.4">
      <c r="A612" s="92">
        <v>3044</v>
      </c>
      <c r="B612" s="92">
        <v>3045</v>
      </c>
      <c r="E612" s="92">
        <v>50</v>
      </c>
      <c r="F612" s="92" t="str">
        <f>_xlfn.XLOOKUP(B612, DATA_Moresby_2024_ALL!B:B, DATA_Moresby_2024_ALL!G:G, "")</f>
        <v>3045_20240611_0003_L_0240.jpg</v>
      </c>
      <c r="G612" s="93" t="str">
        <f t="shared" si="31"/>
        <v>3045_20240611_0003_L_0240.jpg</v>
      </c>
      <c r="H612" s="92">
        <v>2</v>
      </c>
      <c r="J612" s="79">
        <f>IF(G612="","X",_xlfn.XLOOKUP(B612,DATA_Moresby_2024_ALL!B:B,DATA_Moresby_2024_ALL!K:K,""))</f>
        <v>1</v>
      </c>
      <c r="K612" s="28"/>
      <c r="L612" s="29"/>
      <c r="M612" s="28"/>
      <c r="N612" s="19">
        <f t="shared" si="34"/>
        <v>4</v>
      </c>
      <c r="O612" s="19">
        <f t="shared" si="33"/>
        <v>4</v>
      </c>
      <c r="P612" s="19">
        <f t="shared" si="33"/>
        <v>4</v>
      </c>
      <c r="Q612" s="19">
        <f t="shared" si="33"/>
        <v>4</v>
      </c>
      <c r="R612" s="21"/>
      <c r="T612" s="21"/>
      <c r="W612" s="46"/>
      <c r="X612" s="92">
        <v>4</v>
      </c>
      <c r="Y612" s="92">
        <v>4</v>
      </c>
      <c r="Z612" s="92">
        <v>3</v>
      </c>
    </row>
    <row r="613" spans="1:26" ht="16" x14ac:dyDescent="0.4">
      <c r="A613" s="92">
        <v>3049</v>
      </c>
      <c r="B613" s="92">
        <v>3050</v>
      </c>
      <c r="E613" s="92">
        <v>50</v>
      </c>
      <c r="F613" s="92" t="str">
        <f>_xlfn.XLOOKUP(B613, DATA_Moresby_2024_ALL!B:B, DATA_Moresby_2024_ALL!G:G, "")</f>
        <v>3050_20240611_0003_L_0257.jpg</v>
      </c>
      <c r="G613" s="93" t="str">
        <f t="shared" si="31"/>
        <v>3050_20240611_0003_L_0257.jpg</v>
      </c>
      <c r="H613" s="92">
        <v>2</v>
      </c>
      <c r="J613" s="79">
        <f>IF(G613="","X",_xlfn.XLOOKUP(B613,DATA_Moresby_2024_ALL!B:B,DATA_Moresby_2024_ALL!K:K,""))</f>
        <v>1</v>
      </c>
      <c r="K613" s="28"/>
      <c r="L613" s="29"/>
      <c r="M613" s="28"/>
      <c r="N613" s="19">
        <f t="shared" si="34"/>
        <v>4</v>
      </c>
      <c r="O613" s="19">
        <f t="shared" si="33"/>
        <v>4</v>
      </c>
      <c r="P613" s="19">
        <f t="shared" si="33"/>
        <v>4</v>
      </c>
      <c r="Q613" s="19">
        <f t="shared" si="33"/>
        <v>4</v>
      </c>
      <c r="R613" s="21"/>
      <c r="T613" s="21"/>
      <c r="W613" s="46"/>
      <c r="X613" s="92">
        <v>4</v>
      </c>
      <c r="Y613" s="92">
        <v>4</v>
      </c>
      <c r="Z613" s="92">
        <v>3</v>
      </c>
    </row>
    <row r="614" spans="1:26" ht="16" x14ac:dyDescent="0.4">
      <c r="A614" s="92">
        <v>3054</v>
      </c>
      <c r="B614" s="92">
        <v>3055</v>
      </c>
      <c r="E614" s="92">
        <v>50</v>
      </c>
      <c r="F614" s="92" t="str">
        <f>_xlfn.XLOOKUP(B614, DATA_Moresby_2024_ALL!B:B, DATA_Moresby_2024_ALL!G:G, "")</f>
        <v>3055_20240611_0003_L_0272.jpg</v>
      </c>
      <c r="G614" s="93" t="str">
        <f t="shared" si="31"/>
        <v>3055_20240611_0003_L_0272.jpg</v>
      </c>
      <c r="H614" s="92">
        <v>2</v>
      </c>
      <c r="J614" s="79">
        <f>IF(G614="","X",_xlfn.XLOOKUP(B614,DATA_Moresby_2024_ALL!B:B,DATA_Moresby_2024_ALL!K:K,""))</f>
        <v>1</v>
      </c>
      <c r="K614" s="28"/>
      <c r="L614" s="29"/>
      <c r="M614" s="28"/>
      <c r="N614" s="19">
        <f t="shared" si="34"/>
        <v>4</v>
      </c>
      <c r="O614" s="19">
        <f t="shared" si="33"/>
        <v>4</v>
      </c>
      <c r="P614" s="19">
        <f t="shared" si="33"/>
        <v>4</v>
      </c>
      <c r="Q614" s="19">
        <f t="shared" si="33"/>
        <v>4</v>
      </c>
      <c r="R614" s="21"/>
      <c r="T614" s="21"/>
      <c r="W614" s="46"/>
      <c r="X614" s="92">
        <v>4</v>
      </c>
      <c r="Y614" s="92">
        <v>4</v>
      </c>
      <c r="Z614" s="92">
        <v>2</v>
      </c>
    </row>
    <row r="615" spans="1:26" ht="16" x14ac:dyDescent="0.4">
      <c r="A615" s="92">
        <v>3059</v>
      </c>
      <c r="B615" s="92">
        <v>3060</v>
      </c>
      <c r="E615" s="92">
        <v>50</v>
      </c>
      <c r="F615" s="92" t="str">
        <f>_xlfn.XLOOKUP(B615, DATA_Moresby_2024_ALL!B:B, DATA_Moresby_2024_ALL!G:G, "")</f>
        <v>3060_20240611_0003_L_0287.jpg</v>
      </c>
      <c r="G615" s="93" t="str">
        <f t="shared" si="31"/>
        <v>3060_20240611_0003_L_0287.jpg</v>
      </c>
      <c r="H615" s="92">
        <v>2</v>
      </c>
      <c r="J615" s="79">
        <f>IF(G615="","X",_xlfn.XLOOKUP(B615,DATA_Moresby_2024_ALL!B:B,DATA_Moresby_2024_ALL!K:K,""))</f>
        <v>1</v>
      </c>
      <c r="K615" s="28"/>
      <c r="L615" s="29"/>
      <c r="M615" s="28"/>
      <c r="N615" s="19">
        <f t="shared" si="34"/>
        <v>4</v>
      </c>
      <c r="O615" s="19">
        <f t="shared" si="33"/>
        <v>4</v>
      </c>
      <c r="P615" s="19">
        <f t="shared" si="33"/>
        <v>4</v>
      </c>
      <c r="Q615" s="19">
        <f t="shared" si="33"/>
        <v>4</v>
      </c>
      <c r="R615" s="21"/>
      <c r="T615" s="21"/>
      <c r="W615" s="46"/>
      <c r="X615" s="92">
        <v>4</v>
      </c>
      <c r="Y615" s="92">
        <v>4</v>
      </c>
      <c r="Z615" s="92">
        <v>2</v>
      </c>
    </row>
    <row r="616" spans="1:26" ht="16" x14ac:dyDescent="0.4">
      <c r="A616" s="92">
        <v>3064</v>
      </c>
      <c r="B616" s="92">
        <v>3065</v>
      </c>
      <c r="E616" s="92">
        <v>50</v>
      </c>
      <c r="F616" s="92" t="str">
        <f>_xlfn.XLOOKUP(B616, DATA_Moresby_2024_ALL!B:B, DATA_Moresby_2024_ALL!G:G, "")</f>
        <v>3065_20240611_0003_L_0302.jpg</v>
      </c>
      <c r="G616" s="93" t="str">
        <f t="shared" si="31"/>
        <v>3065_20240611_0003_L_0302.jpg</v>
      </c>
      <c r="H616" s="92">
        <v>2</v>
      </c>
      <c r="J616" s="79">
        <f>IF(G616="","X",_xlfn.XLOOKUP(B616,DATA_Moresby_2024_ALL!B:B,DATA_Moresby_2024_ALL!K:K,""))</f>
        <v>1</v>
      </c>
      <c r="K616" s="28"/>
      <c r="L616" s="29"/>
      <c r="M616" s="28"/>
      <c r="N616" s="19">
        <f t="shared" si="34"/>
        <v>4</v>
      </c>
      <c r="O616" s="19">
        <f t="shared" si="33"/>
        <v>4</v>
      </c>
      <c r="P616" s="19">
        <f t="shared" si="33"/>
        <v>4</v>
      </c>
      <c r="Q616" s="19">
        <v>3</v>
      </c>
      <c r="R616" s="21"/>
      <c r="T616" s="21"/>
      <c r="W616" s="46"/>
      <c r="X616" s="92">
        <v>4</v>
      </c>
      <c r="Y616" s="92">
        <v>4</v>
      </c>
      <c r="Z616" s="92">
        <v>4</v>
      </c>
    </row>
    <row r="617" spans="1:26" ht="16" x14ac:dyDescent="0.4">
      <c r="A617" s="92">
        <v>3069</v>
      </c>
      <c r="B617" s="92">
        <v>3070</v>
      </c>
      <c r="E617" s="92">
        <v>50</v>
      </c>
      <c r="F617" s="92" t="str">
        <f>_xlfn.XLOOKUP(B617, DATA_Moresby_2024_ALL!B:B, DATA_Moresby_2024_ALL!G:G, "")</f>
        <v>3070_20240611_0003_L_0319.jpg</v>
      </c>
      <c r="G617" s="93" t="str">
        <f t="shared" si="31"/>
        <v>3070_20240611_0003_L_0319.jpg</v>
      </c>
      <c r="H617" s="92">
        <v>2</v>
      </c>
      <c r="J617" s="79">
        <f>IF(G617="","X",_xlfn.XLOOKUP(B617,DATA_Moresby_2024_ALL!B:B,DATA_Moresby_2024_ALL!K:K,""))</f>
        <v>1</v>
      </c>
      <c r="K617" s="28"/>
      <c r="L617" s="29"/>
      <c r="M617" s="28"/>
      <c r="N617" s="19">
        <f t="shared" si="34"/>
        <v>4</v>
      </c>
      <c r="O617" s="19">
        <f t="shared" si="33"/>
        <v>4</v>
      </c>
      <c r="P617" s="19">
        <f t="shared" si="33"/>
        <v>4</v>
      </c>
      <c r="Q617" s="19">
        <f t="shared" si="33"/>
        <v>4</v>
      </c>
      <c r="R617" s="21"/>
      <c r="T617" s="21"/>
      <c r="W617" s="46"/>
      <c r="X617" s="92">
        <v>4</v>
      </c>
      <c r="Y617" s="92">
        <v>4</v>
      </c>
      <c r="Z617" s="92">
        <v>4</v>
      </c>
    </row>
    <row r="618" spans="1:26" ht="16" x14ac:dyDescent="0.4">
      <c r="A618" s="92">
        <v>3074</v>
      </c>
      <c r="B618" s="92">
        <v>3075</v>
      </c>
      <c r="E618" s="92">
        <v>50</v>
      </c>
      <c r="F618" s="92" t="str">
        <f>_xlfn.XLOOKUP(B618, DATA_Moresby_2024_ALL!B:B, DATA_Moresby_2024_ALL!G:G, "")</f>
        <v>3075_20240611_0003_L_0335.jpg</v>
      </c>
      <c r="G618" s="93" t="str">
        <f t="shared" si="31"/>
        <v>3075_20240611_0003_L_0335.jpg</v>
      </c>
      <c r="H618" s="92">
        <v>2</v>
      </c>
      <c r="J618" s="79">
        <f>IF(G618="","X",_xlfn.XLOOKUP(B618,DATA_Moresby_2024_ALL!B:B,DATA_Moresby_2024_ALL!K:K,""))</f>
        <v>1</v>
      </c>
      <c r="K618" s="28"/>
      <c r="L618" s="29"/>
      <c r="M618" s="28"/>
      <c r="N618" s="19">
        <f t="shared" si="34"/>
        <v>4</v>
      </c>
      <c r="O618" s="19">
        <f t="shared" si="33"/>
        <v>4</v>
      </c>
      <c r="P618" s="19">
        <f t="shared" si="33"/>
        <v>4</v>
      </c>
      <c r="Q618" s="19">
        <f t="shared" si="33"/>
        <v>4</v>
      </c>
      <c r="R618" s="21"/>
      <c r="T618" s="21"/>
      <c r="W618" s="46"/>
      <c r="X618" s="92">
        <v>4</v>
      </c>
      <c r="Y618" s="92">
        <v>4</v>
      </c>
      <c r="Z618" s="92">
        <v>4</v>
      </c>
    </row>
    <row r="619" spans="1:26" ht="16" x14ac:dyDescent="0.4">
      <c r="A619" s="92">
        <v>3079</v>
      </c>
      <c r="B619" s="92">
        <v>3080</v>
      </c>
      <c r="E619" s="92">
        <v>50</v>
      </c>
      <c r="F619" s="92" t="str">
        <f>_xlfn.XLOOKUP(B619, DATA_Moresby_2024_ALL!B:B, DATA_Moresby_2024_ALL!G:G, "")</f>
        <v>3080_20240611_0003_L_0354.jpg</v>
      </c>
      <c r="G619" s="93" t="str">
        <f t="shared" si="31"/>
        <v>3080_20240611_0003_L_0354.jpg</v>
      </c>
      <c r="H619" s="92">
        <v>2</v>
      </c>
      <c r="J619" s="79">
        <f>IF(G619="","X",_xlfn.XLOOKUP(B619,DATA_Moresby_2024_ALL!B:B,DATA_Moresby_2024_ALL!K:K,""))</f>
        <v>1</v>
      </c>
      <c r="K619" s="28"/>
      <c r="L619" s="29"/>
      <c r="M619" s="28"/>
      <c r="N619" s="19">
        <f t="shared" si="34"/>
        <v>4</v>
      </c>
      <c r="O619" s="19">
        <f t="shared" si="33"/>
        <v>4</v>
      </c>
      <c r="P619" s="19">
        <f t="shared" si="33"/>
        <v>4</v>
      </c>
      <c r="Q619" s="19">
        <v>3</v>
      </c>
      <c r="R619" s="21"/>
      <c r="T619" s="21"/>
      <c r="W619" s="46"/>
      <c r="X619" s="92">
        <v>4</v>
      </c>
      <c r="Y619" s="92">
        <v>4</v>
      </c>
      <c r="Z619" s="92">
        <v>3</v>
      </c>
    </row>
    <row r="620" spans="1:26" ht="16" x14ac:dyDescent="0.4">
      <c r="A620" s="92">
        <v>3084</v>
      </c>
      <c r="B620" s="92">
        <v>3085</v>
      </c>
      <c r="E620" s="92">
        <v>50</v>
      </c>
      <c r="F620" s="92" t="str">
        <f>_xlfn.XLOOKUP(B620, DATA_Moresby_2024_ALL!B:B, DATA_Moresby_2024_ALL!G:G, "")</f>
        <v>3085_20240611_0003_L_0375.jpg</v>
      </c>
      <c r="G620" s="93" t="str">
        <f t="shared" si="31"/>
        <v>3085_20240611_0003_L_0375.jpg</v>
      </c>
      <c r="H620" s="92">
        <v>2</v>
      </c>
      <c r="J620" s="79">
        <f>IF(G620="","X",_xlfn.XLOOKUP(B620,DATA_Moresby_2024_ALL!B:B,DATA_Moresby_2024_ALL!K:K,""))</f>
        <v>1</v>
      </c>
      <c r="K620" s="28"/>
      <c r="L620" s="29"/>
      <c r="M620" s="28"/>
      <c r="N620" s="19">
        <f t="shared" si="34"/>
        <v>4</v>
      </c>
      <c r="O620" s="19">
        <f t="shared" si="33"/>
        <v>4</v>
      </c>
      <c r="P620" s="19">
        <f t="shared" si="33"/>
        <v>4</v>
      </c>
      <c r="Q620" s="19">
        <f t="shared" si="33"/>
        <v>4</v>
      </c>
      <c r="R620" s="21"/>
      <c r="T620" s="21"/>
      <c r="W620" s="46"/>
      <c r="X620" s="92">
        <v>4</v>
      </c>
      <c r="Y620" s="92">
        <v>4</v>
      </c>
      <c r="Z620" s="92">
        <v>4</v>
      </c>
    </row>
    <row r="621" spans="1:26" ht="16" x14ac:dyDescent="0.4">
      <c r="A621" s="92">
        <v>3089</v>
      </c>
      <c r="B621" s="92">
        <v>3090</v>
      </c>
      <c r="E621" s="92">
        <v>50</v>
      </c>
      <c r="F621" s="92" t="str">
        <f>_xlfn.XLOOKUP(B621, DATA_Moresby_2024_ALL!B:B, DATA_Moresby_2024_ALL!G:G, "")</f>
        <v>3090_20240611_0003_L_0403.jpg</v>
      </c>
      <c r="G621" s="93" t="str">
        <f t="shared" si="31"/>
        <v>3090_20240611_0003_L_0403.jpg</v>
      </c>
      <c r="H621" s="92">
        <v>2</v>
      </c>
      <c r="J621" s="79">
        <f>IF(G621="","X",_xlfn.XLOOKUP(B621,DATA_Moresby_2024_ALL!B:B,DATA_Moresby_2024_ALL!K:K,""))</f>
        <v>1</v>
      </c>
      <c r="K621" s="28"/>
      <c r="L621" s="29"/>
      <c r="M621" s="28"/>
      <c r="N621" s="19">
        <f t="shared" si="34"/>
        <v>4</v>
      </c>
      <c r="O621" s="19">
        <f t="shared" si="33"/>
        <v>4</v>
      </c>
      <c r="P621" s="19">
        <f t="shared" si="33"/>
        <v>4</v>
      </c>
      <c r="Q621" s="19">
        <f t="shared" si="33"/>
        <v>4</v>
      </c>
      <c r="R621" s="21"/>
      <c r="T621" s="21"/>
      <c r="W621" s="46"/>
      <c r="X621" s="92">
        <v>4</v>
      </c>
      <c r="Y621" s="92">
        <v>4</v>
      </c>
      <c r="Z621" s="92">
        <v>3</v>
      </c>
    </row>
    <row r="622" spans="1:26" ht="16" x14ac:dyDescent="0.4">
      <c r="A622" s="92">
        <v>3094</v>
      </c>
      <c r="B622" s="92">
        <v>3095</v>
      </c>
      <c r="E622" s="92">
        <v>50</v>
      </c>
      <c r="F622" s="92" t="str">
        <f>_xlfn.XLOOKUP(B622, DATA_Moresby_2024_ALL!B:B, DATA_Moresby_2024_ALL!G:G, "")</f>
        <v>3095_20240611_0003_L_0433.jpg</v>
      </c>
      <c r="G622" s="93" t="str">
        <f t="shared" si="31"/>
        <v>3095_20240611_0003_L_0433.jpg</v>
      </c>
      <c r="H622" s="92">
        <v>2</v>
      </c>
      <c r="J622" s="79">
        <f>IF(G622="","X",_xlfn.XLOOKUP(B622,DATA_Moresby_2024_ALL!B:B,DATA_Moresby_2024_ALL!K:K,""))</f>
        <v>1</v>
      </c>
      <c r="K622" s="28"/>
      <c r="L622" s="29"/>
      <c r="M622" s="28"/>
      <c r="N622" s="19">
        <f t="shared" si="34"/>
        <v>4</v>
      </c>
      <c r="O622" s="19">
        <f t="shared" si="33"/>
        <v>4</v>
      </c>
      <c r="P622" s="19">
        <f t="shared" si="33"/>
        <v>4</v>
      </c>
      <c r="Q622" s="19">
        <f t="shared" si="33"/>
        <v>4</v>
      </c>
      <c r="R622" s="21"/>
      <c r="T622" s="21"/>
      <c r="W622" s="46"/>
      <c r="X622" s="92">
        <v>4</v>
      </c>
      <c r="Y622" s="92">
        <v>4</v>
      </c>
      <c r="Z622" s="92">
        <v>4</v>
      </c>
    </row>
    <row r="623" spans="1:26" ht="16" x14ac:dyDescent="0.4">
      <c r="A623" s="92">
        <v>3099</v>
      </c>
      <c r="B623" s="92">
        <v>3100</v>
      </c>
      <c r="E623" s="92">
        <v>50</v>
      </c>
      <c r="F623" s="92" t="str">
        <f>_xlfn.XLOOKUP(B623, DATA_Moresby_2024_ALL!B:B, DATA_Moresby_2024_ALL!G:G, "")</f>
        <v>3100_20240611_0003_L_0451.jpg</v>
      </c>
      <c r="G623" s="93" t="str">
        <f t="shared" si="31"/>
        <v>3100_20240611_0003_L_0451.jpg</v>
      </c>
      <c r="H623" s="92">
        <v>2</v>
      </c>
      <c r="J623" s="79">
        <f>IF(G623="","X",_xlfn.XLOOKUP(B623,DATA_Moresby_2024_ALL!B:B,DATA_Moresby_2024_ALL!K:K,""))</f>
        <v>1</v>
      </c>
      <c r="K623" s="28"/>
      <c r="L623" s="29"/>
      <c r="M623" s="28"/>
      <c r="N623" s="19">
        <f t="shared" si="34"/>
        <v>4</v>
      </c>
      <c r="O623" s="19">
        <f t="shared" si="33"/>
        <v>4</v>
      </c>
      <c r="P623" s="19">
        <f t="shared" si="33"/>
        <v>4</v>
      </c>
      <c r="Q623" s="19">
        <f t="shared" si="33"/>
        <v>4</v>
      </c>
      <c r="R623" s="21"/>
      <c r="T623" s="21"/>
      <c r="W623" s="46"/>
      <c r="X623" s="92">
        <v>4</v>
      </c>
      <c r="Y623" s="92">
        <v>3</v>
      </c>
      <c r="Z623" s="92">
        <v>4</v>
      </c>
    </row>
    <row r="624" spans="1:26" ht="16" x14ac:dyDescent="0.4">
      <c r="A624" s="92">
        <v>3104</v>
      </c>
      <c r="B624" s="92">
        <v>3105</v>
      </c>
      <c r="E624" s="92">
        <v>50</v>
      </c>
      <c r="F624" s="92" t="str">
        <f>_xlfn.XLOOKUP(B624, DATA_Moresby_2024_ALL!B:B, DATA_Moresby_2024_ALL!G:G, "")</f>
        <v>3105_20240611_0003_L_0470.jpg</v>
      </c>
      <c r="G624" s="93" t="str">
        <f t="shared" si="31"/>
        <v>3105_20240611_0003_L_0470.jpg</v>
      </c>
      <c r="H624" s="92">
        <v>2</v>
      </c>
      <c r="J624" s="79">
        <f>IF(G624="","X",_xlfn.XLOOKUP(B624,DATA_Moresby_2024_ALL!B:B,DATA_Moresby_2024_ALL!K:K,""))</f>
        <v>1</v>
      </c>
      <c r="K624" s="28"/>
      <c r="L624" s="29"/>
      <c r="M624" s="28"/>
      <c r="N624" s="19">
        <f t="shared" si="34"/>
        <v>4</v>
      </c>
      <c r="O624" s="19">
        <f t="shared" si="33"/>
        <v>4</v>
      </c>
      <c r="P624" s="19">
        <f t="shared" si="33"/>
        <v>4</v>
      </c>
      <c r="Q624" s="19">
        <f t="shared" si="33"/>
        <v>4</v>
      </c>
      <c r="R624" s="21"/>
      <c r="T624" s="21"/>
      <c r="W624" s="46"/>
      <c r="X624" s="92">
        <v>4</v>
      </c>
      <c r="Y624" s="92">
        <v>4</v>
      </c>
      <c r="Z624" s="92">
        <v>4</v>
      </c>
    </row>
    <row r="625" spans="1:26" ht="16" x14ac:dyDescent="0.4">
      <c r="A625" s="92">
        <v>3109</v>
      </c>
      <c r="B625" s="92">
        <v>3110</v>
      </c>
      <c r="E625" s="92">
        <v>50</v>
      </c>
      <c r="F625" s="92" t="str">
        <f>_xlfn.XLOOKUP(B625, DATA_Moresby_2024_ALL!B:B, DATA_Moresby_2024_ALL!G:G, "")</f>
        <v>3110_20240611_0003_L_0498.jpg</v>
      </c>
      <c r="G625" s="93" t="str">
        <f t="shared" si="31"/>
        <v>3110_20240611_0003_L_0498.jpg</v>
      </c>
      <c r="H625" s="92">
        <v>2</v>
      </c>
      <c r="J625" s="79">
        <f>IF(G625="","X",_xlfn.XLOOKUP(B625,DATA_Moresby_2024_ALL!B:B,DATA_Moresby_2024_ALL!K:K,""))</f>
        <v>1</v>
      </c>
      <c r="K625" s="28"/>
      <c r="L625" s="29"/>
      <c r="M625" s="28"/>
      <c r="N625" s="19">
        <f t="shared" si="34"/>
        <v>4</v>
      </c>
      <c r="O625" s="19">
        <f t="shared" si="33"/>
        <v>4</v>
      </c>
      <c r="P625" s="19">
        <f t="shared" si="33"/>
        <v>4</v>
      </c>
      <c r="Q625" s="19">
        <v>4</v>
      </c>
      <c r="R625" s="21"/>
      <c r="T625" s="21"/>
      <c r="W625" s="46"/>
      <c r="X625" s="92">
        <v>4</v>
      </c>
      <c r="Y625" s="92">
        <v>4</v>
      </c>
      <c r="Z625" s="92">
        <v>2</v>
      </c>
    </row>
    <row r="626" spans="1:26" ht="16" x14ac:dyDescent="0.4">
      <c r="A626" s="92">
        <v>3114</v>
      </c>
      <c r="B626" s="92">
        <v>3115</v>
      </c>
      <c r="E626" s="92">
        <v>50</v>
      </c>
      <c r="F626" s="92" t="str">
        <f>_xlfn.XLOOKUP(B626, DATA_Moresby_2024_ALL!B:B, DATA_Moresby_2024_ALL!G:G, "")</f>
        <v>3115_20240611_0003_L_0513.jpg</v>
      </c>
      <c r="G626" s="93" t="str">
        <f t="shared" si="31"/>
        <v>3115_20240611_0003_L_0513.jpg</v>
      </c>
      <c r="H626" s="92">
        <v>2</v>
      </c>
      <c r="J626" s="79">
        <f>IF(G626="","X",_xlfn.XLOOKUP(B626,DATA_Moresby_2024_ALL!B:B,DATA_Moresby_2024_ALL!K:K,""))</f>
        <v>1</v>
      </c>
      <c r="K626" s="28"/>
      <c r="L626" s="29"/>
      <c r="M626" s="28"/>
      <c r="N626" s="19">
        <f t="shared" si="34"/>
        <v>4</v>
      </c>
      <c r="O626" s="19">
        <f t="shared" si="33"/>
        <v>4</v>
      </c>
      <c r="P626" s="19">
        <f t="shared" si="33"/>
        <v>4</v>
      </c>
      <c r="Q626" s="19">
        <f t="shared" si="33"/>
        <v>4</v>
      </c>
      <c r="R626" s="21"/>
      <c r="T626" s="21"/>
      <c r="W626" s="46"/>
      <c r="X626" s="92">
        <v>4</v>
      </c>
      <c r="Y626" s="92">
        <v>4</v>
      </c>
      <c r="Z626" s="92">
        <v>3</v>
      </c>
    </row>
    <row r="627" spans="1:26" ht="16" x14ac:dyDescent="0.4">
      <c r="A627" s="92">
        <v>3119</v>
      </c>
      <c r="B627" s="92">
        <v>3120</v>
      </c>
      <c r="E627" s="92">
        <v>50</v>
      </c>
      <c r="F627" s="92" t="str">
        <f>_xlfn.XLOOKUP(B627, DATA_Moresby_2024_ALL!B:B, DATA_Moresby_2024_ALL!G:G, "")</f>
        <v>3120_20240611_0003_L_0529.jpg</v>
      </c>
      <c r="G627" s="93" t="str">
        <f t="shared" si="31"/>
        <v>3120_20240611_0003_L_0529.jpg</v>
      </c>
      <c r="H627" s="92">
        <v>2</v>
      </c>
      <c r="J627" s="79">
        <f>IF(G627="","X",_xlfn.XLOOKUP(B627,DATA_Moresby_2024_ALL!B:B,DATA_Moresby_2024_ALL!K:K,""))</f>
        <v>1</v>
      </c>
      <c r="K627" s="28"/>
      <c r="L627" s="29"/>
      <c r="M627" s="28"/>
      <c r="N627" s="19">
        <f t="shared" si="34"/>
        <v>4</v>
      </c>
      <c r="O627" s="19">
        <f t="shared" si="33"/>
        <v>4</v>
      </c>
      <c r="P627" s="19">
        <f t="shared" si="33"/>
        <v>4</v>
      </c>
      <c r="Q627" s="19">
        <f t="shared" si="33"/>
        <v>4</v>
      </c>
      <c r="R627" s="21"/>
      <c r="T627" s="21"/>
      <c r="W627" s="46"/>
      <c r="X627" s="92">
        <v>4</v>
      </c>
      <c r="Y627" s="92">
        <v>4</v>
      </c>
      <c r="Z627" s="92">
        <v>3</v>
      </c>
    </row>
    <row r="628" spans="1:26" ht="16" x14ac:dyDescent="0.4">
      <c r="A628" s="92">
        <v>3124</v>
      </c>
      <c r="B628" s="92">
        <v>3125</v>
      </c>
      <c r="E628" s="92">
        <v>50</v>
      </c>
      <c r="F628" s="92" t="str">
        <f>_xlfn.XLOOKUP(B628, DATA_Moresby_2024_ALL!B:B, DATA_Moresby_2024_ALL!G:G, "")</f>
        <v>3125_20240611_0003_L_0545.jpg</v>
      </c>
      <c r="G628" s="93" t="str">
        <f t="shared" si="31"/>
        <v>3125_20240611_0003_L_0545.jpg</v>
      </c>
      <c r="H628" s="92">
        <v>2</v>
      </c>
      <c r="J628" s="79">
        <f>IF(G628="","X",_xlfn.XLOOKUP(B628,DATA_Moresby_2024_ALL!B:B,DATA_Moresby_2024_ALL!K:K,""))</f>
        <v>1</v>
      </c>
      <c r="K628" s="28"/>
      <c r="L628" s="29"/>
      <c r="M628" s="28"/>
      <c r="N628" s="19">
        <f t="shared" si="34"/>
        <v>4</v>
      </c>
      <c r="O628" s="19">
        <f t="shared" si="33"/>
        <v>4</v>
      </c>
      <c r="P628" s="19">
        <f t="shared" si="33"/>
        <v>4</v>
      </c>
      <c r="Q628" s="19">
        <f t="shared" si="33"/>
        <v>4</v>
      </c>
      <c r="R628" s="21"/>
      <c r="T628" s="21"/>
      <c r="W628" s="46"/>
      <c r="X628" s="92">
        <v>4</v>
      </c>
      <c r="Y628" s="92">
        <v>4</v>
      </c>
      <c r="Z628" s="92">
        <v>3</v>
      </c>
    </row>
    <row r="629" spans="1:26" ht="16" x14ac:dyDescent="0.4">
      <c r="A629" s="92">
        <v>3129</v>
      </c>
      <c r="B629" s="92">
        <v>3130</v>
      </c>
      <c r="E629" s="92">
        <v>50</v>
      </c>
      <c r="F629" s="92" t="str">
        <f>_xlfn.XLOOKUP(B629, DATA_Moresby_2024_ALL!B:B, DATA_Moresby_2024_ALL!G:G, "")</f>
        <v>3130_20240611_0010_R_1199.jpg</v>
      </c>
      <c r="G629" s="93" t="str">
        <f t="shared" si="31"/>
        <v>3130_20240611_0010_R_1199.jpg</v>
      </c>
      <c r="H629" s="92">
        <v>2</v>
      </c>
      <c r="J629" s="79">
        <f>IF(G629="","X",_xlfn.XLOOKUP(B629,DATA_Moresby_2024_ALL!B:B,DATA_Moresby_2024_ALL!K:K,""))</f>
        <v>1</v>
      </c>
      <c r="K629" s="28"/>
      <c r="L629" s="29"/>
      <c r="M629" s="28"/>
      <c r="N629" s="19">
        <f t="shared" si="34"/>
        <v>4</v>
      </c>
      <c r="O629" s="19">
        <f t="shared" si="33"/>
        <v>4</v>
      </c>
      <c r="P629" s="19">
        <f t="shared" si="33"/>
        <v>4</v>
      </c>
      <c r="Q629" s="19">
        <f t="shared" si="33"/>
        <v>4</v>
      </c>
      <c r="R629" s="21"/>
      <c r="T629" s="21"/>
      <c r="W629" s="46"/>
      <c r="X629" s="92">
        <v>4</v>
      </c>
      <c r="Y629" s="92">
        <v>4</v>
      </c>
      <c r="Z629" s="92">
        <v>3</v>
      </c>
    </row>
    <row r="630" spans="1:26" ht="16" x14ac:dyDescent="0.4">
      <c r="A630" s="92">
        <v>3134</v>
      </c>
      <c r="B630" s="92">
        <v>3135</v>
      </c>
      <c r="E630" s="92">
        <v>50</v>
      </c>
      <c r="F630" s="92" t="str">
        <f>_xlfn.XLOOKUP(B630, DATA_Moresby_2024_ALL!B:B, DATA_Moresby_2024_ALL!G:G, "")</f>
        <v>3135_20240611_0010_R_1186.jpg</v>
      </c>
      <c r="G630" s="93" t="str">
        <f t="shared" si="31"/>
        <v>3135_20240611_0010_R_1186.jpg</v>
      </c>
      <c r="H630" s="92">
        <v>2</v>
      </c>
      <c r="J630" s="79">
        <f>IF(G630="","X",_xlfn.XLOOKUP(B630,DATA_Moresby_2024_ALL!B:B,DATA_Moresby_2024_ALL!K:K,""))</f>
        <v>1</v>
      </c>
      <c r="K630" s="28"/>
      <c r="L630" s="29"/>
      <c r="M630" s="28"/>
      <c r="N630" s="19">
        <f t="shared" si="34"/>
        <v>4</v>
      </c>
      <c r="O630" s="19">
        <f t="shared" si="33"/>
        <v>4</v>
      </c>
      <c r="P630" s="19">
        <f t="shared" si="33"/>
        <v>4</v>
      </c>
      <c r="Q630" s="19">
        <v>3</v>
      </c>
      <c r="R630" s="21"/>
      <c r="T630" s="21"/>
      <c r="W630" s="46"/>
      <c r="X630" s="92">
        <v>4</v>
      </c>
      <c r="Y630" s="92">
        <v>4</v>
      </c>
      <c r="Z630" s="92">
        <v>2</v>
      </c>
    </row>
    <row r="631" spans="1:26" ht="16" x14ac:dyDescent="0.4">
      <c r="A631" s="92">
        <v>3139</v>
      </c>
      <c r="B631" s="92">
        <v>3140</v>
      </c>
      <c r="E631" s="92">
        <v>50</v>
      </c>
      <c r="F631" s="92" t="str">
        <f>_xlfn.XLOOKUP(B631, DATA_Moresby_2024_ALL!B:B, DATA_Moresby_2024_ALL!G:G, "")</f>
        <v>3140_20240611_0010_R_1173.jpg</v>
      </c>
      <c r="G631" s="93" t="str">
        <f t="shared" si="31"/>
        <v>3140_20240611_0010_R_1173.jpg</v>
      </c>
      <c r="H631" s="92">
        <v>2</v>
      </c>
      <c r="J631" s="79">
        <f>IF(G631="","X",_xlfn.XLOOKUP(B631,DATA_Moresby_2024_ALL!B:B,DATA_Moresby_2024_ALL!K:K,""))</f>
        <v>1</v>
      </c>
      <c r="K631" s="28"/>
      <c r="L631" s="29"/>
      <c r="M631" s="28"/>
      <c r="N631" s="19">
        <f t="shared" si="34"/>
        <v>4</v>
      </c>
      <c r="O631" s="19">
        <f t="shared" si="33"/>
        <v>4</v>
      </c>
      <c r="P631" s="19">
        <f t="shared" si="33"/>
        <v>4</v>
      </c>
      <c r="Q631" s="19">
        <f t="shared" si="33"/>
        <v>4</v>
      </c>
      <c r="R631" s="21"/>
      <c r="T631" s="21"/>
      <c r="W631" s="46"/>
      <c r="X631" s="92">
        <v>4</v>
      </c>
      <c r="Y631" s="92">
        <v>4</v>
      </c>
      <c r="Z631" s="92">
        <v>3</v>
      </c>
    </row>
    <row r="632" spans="1:26" ht="16" x14ac:dyDescent="0.4">
      <c r="A632" s="92">
        <v>3144</v>
      </c>
      <c r="B632" s="92">
        <v>3145</v>
      </c>
      <c r="E632" s="92">
        <v>50</v>
      </c>
      <c r="F632" s="92" t="str">
        <f>_xlfn.XLOOKUP(B632, DATA_Moresby_2024_ALL!B:B, DATA_Moresby_2024_ALL!G:G, "")</f>
        <v>3145_20240611_0010_R_1160.jpg</v>
      </c>
      <c r="G632" s="93" t="str">
        <f t="shared" si="31"/>
        <v>3145_20240611_0010_R_1160.jpg</v>
      </c>
      <c r="H632" s="92">
        <v>2</v>
      </c>
      <c r="J632" s="79">
        <f>IF(G632="","X",_xlfn.XLOOKUP(B632,DATA_Moresby_2024_ALL!B:B,DATA_Moresby_2024_ALL!K:K,""))</f>
        <v>1</v>
      </c>
      <c r="K632" s="28"/>
      <c r="L632" s="29"/>
      <c r="M632" s="28"/>
      <c r="N632" s="19">
        <f t="shared" si="34"/>
        <v>4</v>
      </c>
      <c r="O632" s="19">
        <f t="shared" si="33"/>
        <v>4</v>
      </c>
      <c r="P632" s="19">
        <f t="shared" si="33"/>
        <v>4</v>
      </c>
      <c r="Q632" s="19">
        <v>3</v>
      </c>
      <c r="R632" s="21"/>
      <c r="T632" s="21"/>
      <c r="W632" s="46"/>
      <c r="X632" s="92">
        <v>4</v>
      </c>
      <c r="Y632" s="92">
        <v>4</v>
      </c>
      <c r="Z632" s="92">
        <v>3</v>
      </c>
    </row>
    <row r="633" spans="1:26" ht="16" x14ac:dyDescent="0.4">
      <c r="A633" s="92">
        <v>3149</v>
      </c>
      <c r="B633" s="92">
        <v>3150</v>
      </c>
      <c r="E633" s="92">
        <v>50</v>
      </c>
      <c r="F633" s="92" t="str">
        <f>_xlfn.XLOOKUP(B633, DATA_Moresby_2024_ALL!B:B, DATA_Moresby_2024_ALL!G:G, "")</f>
        <v>3150_20240611_0010_R_1147.jpg</v>
      </c>
      <c r="G633" s="93" t="str">
        <f t="shared" si="31"/>
        <v>3150_20240611_0010_R_1147.jpg</v>
      </c>
      <c r="H633" s="92">
        <v>2</v>
      </c>
      <c r="J633" s="79">
        <f>IF(G633="","X",_xlfn.XLOOKUP(B633,DATA_Moresby_2024_ALL!B:B,DATA_Moresby_2024_ALL!K:K,""))</f>
        <v>1</v>
      </c>
      <c r="K633" s="28"/>
      <c r="L633" s="29"/>
      <c r="M633" s="28"/>
      <c r="N633" s="19">
        <f t="shared" si="34"/>
        <v>4</v>
      </c>
      <c r="O633" s="19">
        <f t="shared" si="33"/>
        <v>4</v>
      </c>
      <c r="P633" s="19">
        <f t="shared" si="33"/>
        <v>4</v>
      </c>
      <c r="Q633" s="19">
        <v>3</v>
      </c>
      <c r="R633" s="21"/>
      <c r="T633" s="21"/>
      <c r="W633" s="46"/>
      <c r="X633" s="92">
        <v>4</v>
      </c>
      <c r="Y633" s="92">
        <v>4</v>
      </c>
      <c r="Z633" s="92">
        <v>3</v>
      </c>
    </row>
    <row r="634" spans="1:26" ht="16" x14ac:dyDescent="0.4">
      <c r="A634" s="92">
        <v>3154</v>
      </c>
      <c r="B634" s="92">
        <v>3155</v>
      </c>
      <c r="E634" s="92">
        <v>50</v>
      </c>
      <c r="F634" s="92" t="str">
        <f>_xlfn.XLOOKUP(B634, DATA_Moresby_2024_ALL!B:B, DATA_Moresby_2024_ALL!G:G, "")</f>
        <v>3155_20240611_0010_R_1132.jpg</v>
      </c>
      <c r="G634" s="93" t="str">
        <f t="shared" si="31"/>
        <v>3155_20240611_0010_R_1132.jpg</v>
      </c>
      <c r="H634" s="92">
        <v>2</v>
      </c>
      <c r="J634" s="79">
        <f>IF(G634="","X",_xlfn.XLOOKUP(B634,DATA_Moresby_2024_ALL!B:B,DATA_Moresby_2024_ALL!K:K,""))</f>
        <v>1</v>
      </c>
      <c r="K634" s="28"/>
      <c r="L634" s="29"/>
      <c r="M634" s="28"/>
      <c r="N634" s="19">
        <f t="shared" si="34"/>
        <v>4</v>
      </c>
      <c r="O634" s="19">
        <f t="shared" si="33"/>
        <v>4</v>
      </c>
      <c r="P634" s="19">
        <f t="shared" si="33"/>
        <v>4</v>
      </c>
      <c r="Q634" s="19">
        <v>3</v>
      </c>
      <c r="R634" s="21"/>
      <c r="T634" s="21"/>
      <c r="W634" s="46"/>
      <c r="X634" s="92">
        <v>4</v>
      </c>
      <c r="Y634" s="92">
        <v>4</v>
      </c>
      <c r="Z634" s="92">
        <v>2</v>
      </c>
    </row>
    <row r="635" spans="1:26" ht="16" x14ac:dyDescent="0.4">
      <c r="A635" s="92">
        <v>3159</v>
      </c>
      <c r="B635" s="92">
        <v>3160</v>
      </c>
      <c r="E635" s="92">
        <v>50</v>
      </c>
      <c r="F635" s="92" t="str">
        <f>_xlfn.XLOOKUP(B635, DATA_Moresby_2024_ALL!B:B, DATA_Moresby_2024_ALL!G:G, "")</f>
        <v>3160_20240611_0010_R_1120.jpg</v>
      </c>
      <c r="G635" s="93" t="str">
        <f t="shared" si="31"/>
        <v>3160_20240611_0010_R_1120.jpg</v>
      </c>
      <c r="H635" s="92">
        <v>2</v>
      </c>
      <c r="J635" s="79">
        <f>IF(G635="","X",_xlfn.XLOOKUP(B635,DATA_Moresby_2024_ALL!B:B,DATA_Moresby_2024_ALL!K:K,""))</f>
        <v>1</v>
      </c>
      <c r="K635" s="28"/>
      <c r="L635" s="29"/>
      <c r="M635" s="28"/>
      <c r="N635" s="19">
        <f t="shared" si="34"/>
        <v>4</v>
      </c>
      <c r="O635" s="19">
        <f t="shared" si="33"/>
        <v>4</v>
      </c>
      <c r="P635" s="19">
        <f t="shared" si="33"/>
        <v>4</v>
      </c>
      <c r="Q635" s="19">
        <v>4</v>
      </c>
      <c r="R635" s="21"/>
      <c r="T635" s="21"/>
      <c r="W635" s="46"/>
      <c r="X635" s="92">
        <v>4</v>
      </c>
      <c r="Y635" s="92">
        <v>4</v>
      </c>
      <c r="Z635" s="92">
        <v>2</v>
      </c>
    </row>
    <row r="636" spans="1:26" ht="16" x14ac:dyDescent="0.4">
      <c r="A636" s="92">
        <v>3164</v>
      </c>
      <c r="B636" s="92">
        <v>3165</v>
      </c>
      <c r="E636" s="92">
        <v>50</v>
      </c>
      <c r="F636" s="92" t="str">
        <f>_xlfn.XLOOKUP(B636, DATA_Moresby_2024_ALL!B:B, DATA_Moresby_2024_ALL!G:G, "")</f>
        <v>3165_20240611_0010_R_1107.jpg</v>
      </c>
      <c r="G636" s="93" t="str">
        <f t="shared" si="31"/>
        <v>3165_20240611_0010_R_1107.jpg</v>
      </c>
      <c r="H636" s="92">
        <v>2</v>
      </c>
      <c r="J636" s="79">
        <f>IF(G636="","X",_xlfn.XLOOKUP(B636,DATA_Moresby_2024_ALL!B:B,DATA_Moresby_2024_ALL!K:K,""))</f>
        <v>1</v>
      </c>
      <c r="K636" s="28"/>
      <c r="L636" s="29"/>
      <c r="M636" s="28"/>
      <c r="N636" s="19">
        <f t="shared" si="34"/>
        <v>4</v>
      </c>
      <c r="O636" s="19">
        <f t="shared" si="33"/>
        <v>4</v>
      </c>
      <c r="P636" s="19">
        <f t="shared" si="33"/>
        <v>4</v>
      </c>
      <c r="Q636" s="19">
        <v>3</v>
      </c>
      <c r="R636" s="21"/>
      <c r="T636" s="21"/>
      <c r="W636" s="46"/>
      <c r="X636" s="92">
        <v>4</v>
      </c>
      <c r="Y636" s="92">
        <v>4</v>
      </c>
      <c r="Z636" s="92">
        <v>2</v>
      </c>
    </row>
    <row r="637" spans="1:26" ht="16" x14ac:dyDescent="0.4">
      <c r="A637" s="92">
        <v>3169</v>
      </c>
      <c r="B637" s="92">
        <v>3170</v>
      </c>
      <c r="E637" s="92">
        <v>50</v>
      </c>
      <c r="F637" s="92" t="str">
        <f>_xlfn.XLOOKUP(B637, DATA_Moresby_2024_ALL!B:B, DATA_Moresby_2024_ALL!G:G, "")</f>
        <v>3170_20240611_0010_R_1094.jpg</v>
      </c>
      <c r="G637" s="93" t="str">
        <f t="shared" si="31"/>
        <v>3170_20240611_0010_R_1094.jpg</v>
      </c>
      <c r="H637" s="92">
        <v>2</v>
      </c>
      <c r="J637" s="79">
        <f>IF(G637="","X",_xlfn.XLOOKUP(B637,DATA_Moresby_2024_ALL!B:B,DATA_Moresby_2024_ALL!K:K,""))</f>
        <v>1</v>
      </c>
      <c r="K637" s="28"/>
      <c r="L637" s="29"/>
      <c r="M637" s="28"/>
      <c r="N637" s="19">
        <f t="shared" si="34"/>
        <v>4</v>
      </c>
      <c r="O637" s="19">
        <f t="shared" si="33"/>
        <v>4</v>
      </c>
      <c r="P637" s="19">
        <f t="shared" si="33"/>
        <v>4</v>
      </c>
      <c r="Q637" s="19">
        <v>4</v>
      </c>
      <c r="R637" s="21"/>
      <c r="T637" s="21"/>
      <c r="W637" s="46"/>
      <c r="X637" s="92">
        <v>4</v>
      </c>
      <c r="Y637" s="92">
        <v>4</v>
      </c>
      <c r="Z637" s="92">
        <v>2</v>
      </c>
    </row>
    <row r="638" spans="1:26" ht="16" x14ac:dyDescent="0.4">
      <c r="A638" s="92">
        <v>3174</v>
      </c>
      <c r="B638" s="92">
        <v>3175</v>
      </c>
      <c r="E638" s="92">
        <v>50</v>
      </c>
      <c r="F638" s="92" t="str">
        <f>_xlfn.XLOOKUP(B638, DATA_Moresby_2024_ALL!B:B, DATA_Moresby_2024_ALL!G:G, "")</f>
        <v>3175_20240611_0010_R_1080.jpg</v>
      </c>
      <c r="G638" s="93" t="str">
        <f t="shared" si="31"/>
        <v>3175_20240611_0010_R_1080.jpg</v>
      </c>
      <c r="H638" s="92">
        <v>2</v>
      </c>
      <c r="J638" s="79">
        <f>IF(G638="","X",_xlfn.XLOOKUP(B638,DATA_Moresby_2024_ALL!B:B,DATA_Moresby_2024_ALL!K:K,""))</f>
        <v>1</v>
      </c>
      <c r="K638" s="28"/>
      <c r="L638" s="29"/>
      <c r="M638" s="28"/>
      <c r="N638" s="19">
        <f t="shared" si="34"/>
        <v>4</v>
      </c>
      <c r="O638" s="19">
        <f t="shared" si="33"/>
        <v>4</v>
      </c>
      <c r="P638" s="19">
        <f t="shared" si="33"/>
        <v>4</v>
      </c>
      <c r="Q638" s="19">
        <v>3</v>
      </c>
      <c r="R638" s="21"/>
      <c r="T638" s="21"/>
      <c r="W638" s="46"/>
      <c r="X638" s="92">
        <v>4</v>
      </c>
      <c r="Y638" s="92">
        <v>3</v>
      </c>
      <c r="Z638" s="92">
        <v>3</v>
      </c>
    </row>
    <row r="639" spans="1:26" ht="16" x14ac:dyDescent="0.4">
      <c r="A639" s="92">
        <v>3179</v>
      </c>
      <c r="B639" s="92">
        <v>3180</v>
      </c>
      <c r="E639" s="92">
        <v>50</v>
      </c>
      <c r="F639" s="92" t="str">
        <f>_xlfn.XLOOKUP(B639, DATA_Moresby_2024_ALL!B:B, DATA_Moresby_2024_ALL!G:G, "")</f>
        <v>3180_20240611_0010_R_1067.jpg</v>
      </c>
      <c r="G639" s="93" t="str">
        <f t="shared" si="31"/>
        <v>3180_20240611_0010_R_1067.jpg</v>
      </c>
      <c r="H639" s="92">
        <v>2</v>
      </c>
      <c r="J639" s="79">
        <f>IF(G639="","X",_xlfn.XLOOKUP(B639,DATA_Moresby_2024_ALL!B:B,DATA_Moresby_2024_ALL!K:K,""))</f>
        <v>1</v>
      </c>
      <c r="K639" s="28"/>
      <c r="L639" s="29"/>
      <c r="M639" s="28"/>
      <c r="N639" s="19">
        <f t="shared" si="34"/>
        <v>4</v>
      </c>
      <c r="O639" s="19">
        <f t="shared" si="33"/>
        <v>4</v>
      </c>
      <c r="P639" s="19">
        <f t="shared" si="33"/>
        <v>4</v>
      </c>
      <c r="Q639" s="19">
        <f t="shared" si="33"/>
        <v>4</v>
      </c>
      <c r="R639" s="21"/>
      <c r="T639" s="21"/>
      <c r="W639" s="46"/>
      <c r="X639" s="92">
        <v>4</v>
      </c>
      <c r="Y639" s="92">
        <v>4</v>
      </c>
      <c r="Z639" s="92">
        <v>4</v>
      </c>
    </row>
    <row r="640" spans="1:26" ht="16" x14ac:dyDescent="0.4">
      <c r="A640" s="92">
        <v>3184</v>
      </c>
      <c r="B640" s="92">
        <v>3185</v>
      </c>
      <c r="E640" s="92">
        <v>50</v>
      </c>
      <c r="F640" s="92" t="str">
        <f>_xlfn.XLOOKUP(B640, DATA_Moresby_2024_ALL!B:B, DATA_Moresby_2024_ALL!G:G, "")</f>
        <v>3185_20240611_0010_R_1055.jpg</v>
      </c>
      <c r="G640" s="93" t="str">
        <f t="shared" si="31"/>
        <v>3185_20240611_0010_R_1055.jpg</v>
      </c>
      <c r="H640" s="92">
        <v>2</v>
      </c>
      <c r="J640" s="79">
        <f>IF(G640="","X",_xlfn.XLOOKUP(B640,DATA_Moresby_2024_ALL!B:B,DATA_Moresby_2024_ALL!K:K,""))</f>
        <v>1</v>
      </c>
      <c r="K640" s="28"/>
      <c r="L640" s="29"/>
      <c r="M640" s="28"/>
      <c r="N640" s="19">
        <f t="shared" si="34"/>
        <v>4</v>
      </c>
      <c r="O640" s="19">
        <f t="shared" si="33"/>
        <v>4</v>
      </c>
      <c r="P640" s="19">
        <f t="shared" si="33"/>
        <v>4</v>
      </c>
      <c r="Q640" s="19">
        <f t="shared" si="33"/>
        <v>4</v>
      </c>
      <c r="R640" s="21"/>
      <c r="T640" s="21"/>
      <c r="W640" s="46"/>
      <c r="X640" s="92">
        <v>4</v>
      </c>
      <c r="Y640" s="92">
        <v>3</v>
      </c>
      <c r="Z640" s="92">
        <v>3</v>
      </c>
    </row>
    <row r="641" spans="1:26" ht="16" x14ac:dyDescent="0.4">
      <c r="A641" s="92">
        <v>3189</v>
      </c>
      <c r="B641" s="92">
        <v>3190</v>
      </c>
      <c r="E641" s="92">
        <v>50</v>
      </c>
      <c r="F641" s="92" t="str">
        <f>_xlfn.XLOOKUP(B641, DATA_Moresby_2024_ALL!B:B, DATA_Moresby_2024_ALL!G:G, "")</f>
        <v>3190_20240611_0010_R_1042.jpg</v>
      </c>
      <c r="G641" s="93" t="str">
        <f t="shared" si="31"/>
        <v>3190_20240611_0010_R_1042.jpg</v>
      </c>
      <c r="H641" s="92">
        <v>2</v>
      </c>
      <c r="J641" s="79">
        <f>IF(G641="","X",_xlfn.XLOOKUP(B641,DATA_Moresby_2024_ALL!B:B,DATA_Moresby_2024_ALL!K:K,""))</f>
        <v>1</v>
      </c>
      <c r="K641" s="28"/>
      <c r="L641" s="29"/>
      <c r="M641" s="28"/>
      <c r="N641" s="19">
        <f t="shared" si="34"/>
        <v>4</v>
      </c>
      <c r="O641" s="19">
        <f t="shared" si="33"/>
        <v>4</v>
      </c>
      <c r="P641" s="19">
        <f t="shared" si="33"/>
        <v>4</v>
      </c>
      <c r="Q641" s="19">
        <f t="shared" si="33"/>
        <v>4</v>
      </c>
      <c r="R641" s="21"/>
      <c r="T641" s="21"/>
      <c r="W641" s="46"/>
      <c r="X641" s="92">
        <v>4</v>
      </c>
      <c r="Y641" s="92">
        <v>4</v>
      </c>
      <c r="Z641" s="92">
        <v>3</v>
      </c>
    </row>
    <row r="642" spans="1:26" ht="16" x14ac:dyDescent="0.4">
      <c r="A642" s="92">
        <v>3194</v>
      </c>
      <c r="B642" s="92">
        <v>3195</v>
      </c>
      <c r="E642" s="92">
        <v>50</v>
      </c>
      <c r="F642" s="92" t="str">
        <f>_xlfn.XLOOKUP(B642, DATA_Moresby_2024_ALL!B:B, DATA_Moresby_2024_ALL!G:G, "")</f>
        <v>3195_20240611_0010_R_1029.jpg</v>
      </c>
      <c r="G642" s="93" t="str">
        <f t="shared" si="31"/>
        <v>3195_20240611_0010_R_1029.jpg</v>
      </c>
      <c r="H642" s="92">
        <v>2</v>
      </c>
      <c r="J642" s="79">
        <f>IF(G642="","X",_xlfn.XLOOKUP(B642,DATA_Moresby_2024_ALL!B:B,DATA_Moresby_2024_ALL!K:K,""))</f>
        <v>1</v>
      </c>
      <c r="K642" s="28"/>
      <c r="L642" s="29"/>
      <c r="M642" s="28"/>
      <c r="N642" s="19">
        <f t="shared" si="34"/>
        <v>4</v>
      </c>
      <c r="O642" s="19">
        <f t="shared" si="33"/>
        <v>4</v>
      </c>
      <c r="P642" s="19">
        <f t="shared" si="33"/>
        <v>4</v>
      </c>
      <c r="Q642" s="19">
        <f t="shared" si="33"/>
        <v>4</v>
      </c>
      <c r="R642" s="21"/>
      <c r="T642" s="21"/>
      <c r="W642" s="46"/>
      <c r="X642" s="92">
        <v>4</v>
      </c>
      <c r="Y642" s="92">
        <v>4</v>
      </c>
      <c r="Z642" s="92">
        <v>4</v>
      </c>
    </row>
    <row r="643" spans="1:26" ht="16" x14ac:dyDescent="0.4">
      <c r="A643" s="92">
        <v>3199</v>
      </c>
      <c r="B643" s="92">
        <v>3200</v>
      </c>
      <c r="E643" s="92">
        <v>50</v>
      </c>
      <c r="F643" s="92" t="str">
        <f>_xlfn.XLOOKUP(B643, DATA_Moresby_2024_ALL!B:B, DATA_Moresby_2024_ALL!G:G, "")</f>
        <v>3200_20240611_0010_R_1016.jpg</v>
      </c>
      <c r="G643" s="93" t="str">
        <f t="shared" si="31"/>
        <v>3200_20240611_0010_R_1016.jpg</v>
      </c>
      <c r="H643" s="92">
        <v>2</v>
      </c>
      <c r="J643" s="79">
        <f>IF(G643="","X",_xlfn.XLOOKUP(B643,DATA_Moresby_2024_ALL!B:B,DATA_Moresby_2024_ALL!K:K,""))</f>
        <v>1</v>
      </c>
      <c r="K643" s="28"/>
      <c r="L643" s="29"/>
      <c r="M643" s="28"/>
      <c r="N643" s="19">
        <v>4</v>
      </c>
      <c r="O643" s="19">
        <v>3</v>
      </c>
      <c r="P643" s="19">
        <f t="shared" si="33"/>
        <v>4</v>
      </c>
      <c r="Q643" s="19">
        <f t="shared" si="33"/>
        <v>4</v>
      </c>
      <c r="R643" s="21"/>
      <c r="T643" s="21"/>
      <c r="W643" s="46"/>
      <c r="X643" s="92">
        <v>4</v>
      </c>
      <c r="Y643" s="92">
        <v>4</v>
      </c>
      <c r="Z643" s="92">
        <v>4</v>
      </c>
    </row>
    <row r="644" spans="1:26" ht="16" x14ac:dyDescent="0.4">
      <c r="A644" s="92">
        <v>3204</v>
      </c>
      <c r="B644" s="92">
        <v>3205</v>
      </c>
      <c r="E644" s="92">
        <v>50</v>
      </c>
      <c r="F644" s="92" t="str">
        <f>_xlfn.XLOOKUP(B644, DATA_Moresby_2024_ALL!B:B, DATA_Moresby_2024_ALL!G:G, "")</f>
        <v>3205_20240611_0010_R_1003.jpg</v>
      </c>
      <c r="G644" s="93" t="str">
        <f t="shared" si="31"/>
        <v>3205_20240611_0010_R_1003.jpg</v>
      </c>
      <c r="H644" s="92">
        <v>2</v>
      </c>
      <c r="J644" s="79">
        <f>IF(G644="","X",_xlfn.XLOOKUP(B644,DATA_Moresby_2024_ALL!B:B,DATA_Moresby_2024_ALL!K:K,""))</f>
        <v>1</v>
      </c>
      <c r="K644" s="28"/>
      <c r="L644" s="29"/>
      <c r="M644" s="28"/>
      <c r="N644" s="19">
        <f t="shared" si="34"/>
        <v>4</v>
      </c>
      <c r="O644" s="19">
        <f t="shared" si="33"/>
        <v>4</v>
      </c>
      <c r="P644" s="19">
        <f t="shared" si="33"/>
        <v>4</v>
      </c>
      <c r="Q644" s="19">
        <f t="shared" si="33"/>
        <v>4</v>
      </c>
      <c r="R644" s="21"/>
      <c r="T644" s="21"/>
      <c r="W644" s="46"/>
      <c r="X644" s="92">
        <v>4</v>
      </c>
      <c r="Y644" s="92">
        <v>4</v>
      </c>
      <c r="Z644" s="92">
        <v>3</v>
      </c>
    </row>
    <row r="645" spans="1:26" ht="16" x14ac:dyDescent="0.4">
      <c r="A645" s="92">
        <v>3209</v>
      </c>
      <c r="B645" s="92">
        <v>3210</v>
      </c>
      <c r="E645" s="92">
        <v>50</v>
      </c>
      <c r="F645" s="92" t="str">
        <f>_xlfn.XLOOKUP(B645, DATA_Moresby_2024_ALL!B:B, DATA_Moresby_2024_ALL!G:G, "")</f>
        <v>3210_20240611_0010_R_0990.jpg</v>
      </c>
      <c r="G645" s="93" t="str">
        <f t="shared" si="31"/>
        <v>3210_20240611_0010_R_0990.jpg</v>
      </c>
      <c r="H645" s="92">
        <v>2</v>
      </c>
      <c r="J645" s="79">
        <f>IF(G645="","X",_xlfn.XLOOKUP(B645,DATA_Moresby_2024_ALL!B:B,DATA_Moresby_2024_ALL!K:K,""))</f>
        <v>1</v>
      </c>
      <c r="K645" s="28"/>
      <c r="L645" s="29"/>
      <c r="M645" s="28"/>
      <c r="N645" s="19">
        <f t="shared" si="34"/>
        <v>4</v>
      </c>
      <c r="O645" s="19">
        <f t="shared" si="33"/>
        <v>4</v>
      </c>
      <c r="P645" s="19">
        <f t="shared" si="33"/>
        <v>4</v>
      </c>
      <c r="Q645" s="19">
        <f t="shared" si="33"/>
        <v>4</v>
      </c>
      <c r="R645" s="21"/>
      <c r="T645" s="21"/>
      <c r="W645" s="46"/>
      <c r="X645" s="92">
        <v>4</v>
      </c>
      <c r="Y645" s="92">
        <v>4</v>
      </c>
      <c r="Z645" s="92">
        <v>3</v>
      </c>
    </row>
    <row r="646" spans="1:26" ht="16" x14ac:dyDescent="0.4">
      <c r="A646" s="92">
        <v>3214</v>
      </c>
      <c r="B646" s="92">
        <v>3215</v>
      </c>
      <c r="E646" s="92">
        <v>50</v>
      </c>
      <c r="F646" s="92" t="str">
        <f>_xlfn.XLOOKUP(B646, DATA_Moresby_2024_ALL!B:B, DATA_Moresby_2024_ALL!G:G, "")</f>
        <v>3215_20240611_0010_R_0976.jpg</v>
      </c>
      <c r="G646" s="93" t="str">
        <f t="shared" si="31"/>
        <v>3215_20240611_0010_R_0976.jpg</v>
      </c>
      <c r="H646" s="92">
        <v>2</v>
      </c>
      <c r="J646" s="79">
        <f>IF(G646="","X",_xlfn.XLOOKUP(B646,DATA_Moresby_2024_ALL!B:B,DATA_Moresby_2024_ALL!K:K,""))</f>
        <v>1</v>
      </c>
      <c r="K646" s="28"/>
      <c r="L646" s="29"/>
      <c r="M646" s="28"/>
      <c r="N646" s="19">
        <f t="shared" si="34"/>
        <v>4</v>
      </c>
      <c r="O646" s="19">
        <f t="shared" si="33"/>
        <v>4</v>
      </c>
      <c r="P646" s="19">
        <f t="shared" si="33"/>
        <v>4</v>
      </c>
      <c r="Q646" s="19">
        <f t="shared" si="33"/>
        <v>4</v>
      </c>
      <c r="R646" s="21"/>
      <c r="T646" s="21"/>
      <c r="W646" s="46"/>
      <c r="X646" s="92">
        <v>4</v>
      </c>
      <c r="Y646" s="92">
        <v>3</v>
      </c>
      <c r="Z646" s="92">
        <v>4</v>
      </c>
    </row>
    <row r="647" spans="1:26" ht="16" x14ac:dyDescent="0.4">
      <c r="A647" s="92">
        <v>3219</v>
      </c>
      <c r="B647" s="92">
        <v>3220</v>
      </c>
      <c r="E647" s="92">
        <v>50</v>
      </c>
      <c r="F647" s="92" t="str">
        <f>_xlfn.XLOOKUP(B647, DATA_Moresby_2024_ALL!B:B, DATA_Moresby_2024_ALL!G:G, "")</f>
        <v>3220_20240611_0010_R_0963.jpg</v>
      </c>
      <c r="G647" s="93" t="str">
        <f t="shared" si="31"/>
        <v>3220_20240611_0010_R_0963.jpg</v>
      </c>
      <c r="H647" s="92">
        <v>2</v>
      </c>
      <c r="J647" s="79">
        <f>IF(G647="","X",_xlfn.XLOOKUP(B647,DATA_Moresby_2024_ALL!B:B,DATA_Moresby_2024_ALL!K:K,""))</f>
        <v>1</v>
      </c>
      <c r="K647" s="28"/>
      <c r="L647" s="29"/>
      <c r="M647" s="28"/>
      <c r="N647" s="19">
        <f t="shared" si="34"/>
        <v>4</v>
      </c>
      <c r="O647" s="19">
        <f t="shared" si="33"/>
        <v>4</v>
      </c>
      <c r="P647" s="19">
        <f t="shared" si="33"/>
        <v>4</v>
      </c>
      <c r="Q647" s="19">
        <f t="shared" si="33"/>
        <v>4</v>
      </c>
      <c r="R647" s="21"/>
      <c r="T647" s="21"/>
      <c r="W647" s="46"/>
      <c r="X647" s="92">
        <v>4</v>
      </c>
      <c r="Y647" s="92">
        <v>4</v>
      </c>
      <c r="Z647" s="92">
        <v>4</v>
      </c>
    </row>
    <row r="648" spans="1:26" ht="16" x14ac:dyDescent="0.4">
      <c r="A648" s="92">
        <v>3224</v>
      </c>
      <c r="B648" s="92">
        <v>3225</v>
      </c>
      <c r="E648" s="92">
        <v>50</v>
      </c>
      <c r="F648" s="92" t="str">
        <f>_xlfn.XLOOKUP(B648, DATA_Moresby_2024_ALL!B:B, DATA_Moresby_2024_ALL!G:G, "")</f>
        <v>3225_20240611_0010_R_0950.jpg</v>
      </c>
      <c r="G648" s="93" t="str">
        <f t="shared" si="31"/>
        <v>3225_20240611_0010_R_0950.jpg</v>
      </c>
      <c r="H648" s="92">
        <v>2</v>
      </c>
      <c r="J648" s="79">
        <f>IF(G648="","X",_xlfn.XLOOKUP(B648,DATA_Moresby_2024_ALL!B:B,DATA_Moresby_2024_ALL!K:K,""))</f>
        <v>1</v>
      </c>
      <c r="K648" s="28"/>
      <c r="L648" s="29"/>
      <c r="M648" s="28"/>
      <c r="N648" s="19">
        <f t="shared" si="34"/>
        <v>4</v>
      </c>
      <c r="O648" s="19">
        <f t="shared" si="33"/>
        <v>4</v>
      </c>
      <c r="P648" s="19">
        <f t="shared" si="33"/>
        <v>4</v>
      </c>
      <c r="Q648" s="19">
        <f t="shared" si="33"/>
        <v>4</v>
      </c>
      <c r="R648" s="21"/>
      <c r="T648" s="21"/>
      <c r="W648" s="46"/>
      <c r="X648" s="92">
        <v>4</v>
      </c>
      <c r="Y648" s="92">
        <v>4</v>
      </c>
      <c r="Z648" s="92">
        <v>4</v>
      </c>
    </row>
    <row r="649" spans="1:26" ht="16" x14ac:dyDescent="0.4">
      <c r="A649" s="92">
        <v>3229</v>
      </c>
      <c r="B649" s="92">
        <v>3230</v>
      </c>
      <c r="E649" s="92">
        <v>50</v>
      </c>
      <c r="F649" s="92" t="str">
        <f>_xlfn.XLOOKUP(B649, DATA_Moresby_2024_ALL!B:B, DATA_Moresby_2024_ALL!G:G, "")</f>
        <v>3230_20240611_0010_R_0938.jpg</v>
      </c>
      <c r="G649" s="93" t="str">
        <f t="shared" si="31"/>
        <v>3230_20240611_0010_R_0938.jpg</v>
      </c>
      <c r="H649" s="92">
        <v>2</v>
      </c>
      <c r="J649" s="79">
        <f>IF(G649="","X",_xlfn.XLOOKUP(B649,DATA_Moresby_2024_ALL!B:B,DATA_Moresby_2024_ALL!K:K,""))</f>
        <v>1</v>
      </c>
      <c r="K649" s="28"/>
      <c r="L649" s="29"/>
      <c r="M649" s="28"/>
      <c r="N649" s="19">
        <f t="shared" si="34"/>
        <v>4</v>
      </c>
      <c r="O649" s="19">
        <f t="shared" si="33"/>
        <v>4</v>
      </c>
      <c r="P649" s="19">
        <f t="shared" si="33"/>
        <v>4</v>
      </c>
      <c r="Q649" s="19">
        <f t="shared" si="33"/>
        <v>4</v>
      </c>
      <c r="R649" s="21"/>
      <c r="T649" s="21"/>
      <c r="W649" s="46"/>
      <c r="X649" s="92">
        <v>4</v>
      </c>
      <c r="Y649" s="92">
        <v>4</v>
      </c>
      <c r="Z649" s="92">
        <v>3</v>
      </c>
    </row>
    <row r="650" spans="1:26" ht="16" x14ac:dyDescent="0.4">
      <c r="A650" s="92">
        <v>3234</v>
      </c>
      <c r="B650" s="92">
        <v>3235</v>
      </c>
      <c r="E650" s="92">
        <v>50</v>
      </c>
      <c r="F650" s="92" t="str">
        <f>_xlfn.XLOOKUP(B650, DATA_Moresby_2024_ALL!B:B, DATA_Moresby_2024_ALL!G:G, "")</f>
        <v>3235_20240611_0010_R_0925.jpg</v>
      </c>
      <c r="G650" s="93" t="str">
        <f t="shared" si="31"/>
        <v>3235_20240611_0010_R_0925.jpg</v>
      </c>
      <c r="H650" s="92">
        <v>2</v>
      </c>
      <c r="J650" s="79">
        <f>IF(G650="","X",_xlfn.XLOOKUP(B650,DATA_Moresby_2024_ALL!B:B,DATA_Moresby_2024_ALL!K:K,""))</f>
        <v>1</v>
      </c>
      <c r="K650" s="28"/>
      <c r="L650" s="29"/>
      <c r="M650" s="28"/>
      <c r="N650" s="19">
        <f t="shared" si="34"/>
        <v>4</v>
      </c>
      <c r="O650" s="19">
        <v>3</v>
      </c>
      <c r="P650" s="19">
        <f t="shared" si="33"/>
        <v>4</v>
      </c>
      <c r="Q650" s="19">
        <v>3</v>
      </c>
      <c r="R650" s="21"/>
      <c r="T650" s="21"/>
      <c r="W650" s="46"/>
      <c r="X650" s="92">
        <v>4</v>
      </c>
      <c r="Y650" s="92">
        <v>4</v>
      </c>
      <c r="Z650" s="92">
        <v>4</v>
      </c>
    </row>
    <row r="651" spans="1:26" ht="16" x14ac:dyDescent="0.4">
      <c r="A651" s="92">
        <v>3239</v>
      </c>
      <c r="B651" s="92">
        <v>3240</v>
      </c>
      <c r="E651" s="92">
        <v>50</v>
      </c>
      <c r="F651" s="92" t="str">
        <f>_xlfn.XLOOKUP(B651, DATA_Moresby_2024_ALL!B:B, DATA_Moresby_2024_ALL!G:G, "")</f>
        <v>3240_20240611_0010_R_0911.jpg</v>
      </c>
      <c r="G651" s="93" t="str">
        <f t="shared" si="31"/>
        <v>3240_20240611_0010_R_0911.jpg</v>
      </c>
      <c r="H651" s="92">
        <v>2</v>
      </c>
      <c r="J651" s="79">
        <f>IF(G651="","X",_xlfn.XLOOKUP(B651,DATA_Moresby_2024_ALL!B:B,DATA_Moresby_2024_ALL!K:K,""))</f>
        <v>1</v>
      </c>
      <c r="K651" s="28"/>
      <c r="L651" s="29"/>
      <c r="M651" s="28"/>
      <c r="N651" s="19">
        <f t="shared" si="34"/>
        <v>4</v>
      </c>
      <c r="O651" s="19">
        <f t="shared" si="33"/>
        <v>4</v>
      </c>
      <c r="P651" s="19">
        <f t="shared" si="33"/>
        <v>4</v>
      </c>
      <c r="Q651" s="19">
        <f t="shared" si="33"/>
        <v>4</v>
      </c>
      <c r="R651" s="21"/>
      <c r="T651" s="21"/>
      <c r="W651" s="46"/>
      <c r="X651" s="92">
        <v>4</v>
      </c>
      <c r="Y651" s="92">
        <v>3</v>
      </c>
      <c r="Z651" s="92">
        <v>3</v>
      </c>
    </row>
    <row r="652" spans="1:26" ht="16" hidden="1" x14ac:dyDescent="0.4">
      <c r="A652" s="92">
        <v>3244</v>
      </c>
      <c r="B652" s="92">
        <v>3245</v>
      </c>
      <c r="E652" s="92">
        <v>50</v>
      </c>
      <c r="F652" s="92" t="str">
        <f>_xlfn.XLOOKUP(B652, DATA_Moresby_2024_ALL!B:B, DATA_Moresby_2024_ALL!G:G, "")</f>
        <v>3245_20240611_0010_R_0898.jpg</v>
      </c>
      <c r="G652" s="93" t="str">
        <f t="shared" si="31"/>
        <v>3245_20240611_0010_R_0898.jpg</v>
      </c>
      <c r="H652" s="92">
        <v>3</v>
      </c>
      <c r="J652" s="79">
        <f>IF(G652="","X",_xlfn.XLOOKUP(B652,DATA_Moresby_2024_ALL!B:B,DATA_Moresby_2024_ALL!K:K,""))</f>
        <v>1</v>
      </c>
      <c r="K652" s="28"/>
      <c r="L652" s="29"/>
      <c r="M652" s="28"/>
      <c r="N652" s="19">
        <f t="shared" si="34"/>
        <v>4</v>
      </c>
      <c r="O652" s="19">
        <f t="shared" si="33"/>
        <v>4</v>
      </c>
      <c r="P652" s="19">
        <f t="shared" si="33"/>
        <v>4</v>
      </c>
      <c r="Q652" s="19">
        <f t="shared" si="33"/>
        <v>4</v>
      </c>
      <c r="R652" s="21"/>
      <c r="T652" s="21"/>
      <c r="W652" s="46"/>
      <c r="X652" s="92" t="s">
        <v>78</v>
      </c>
      <c r="Y652" s="92" t="s">
        <v>78</v>
      </c>
      <c r="Z652" s="92" t="s">
        <v>78</v>
      </c>
    </row>
    <row r="653" spans="1:26" ht="16" hidden="1" x14ac:dyDescent="0.4">
      <c r="A653" s="92">
        <v>3249</v>
      </c>
      <c r="B653" s="92">
        <v>3250</v>
      </c>
      <c r="E653" s="92">
        <v>50</v>
      </c>
      <c r="F653" s="92" t="str">
        <f>_xlfn.XLOOKUP(B653, DATA_Moresby_2024_ALL!B:B, DATA_Moresby_2024_ALL!G:G, "")</f>
        <v>3250_20240611_0010_R_0886.jpg</v>
      </c>
      <c r="G653" s="93" t="str">
        <f t="shared" si="31"/>
        <v>3250_20240611_0010_R_0886.jpg</v>
      </c>
      <c r="H653" s="92">
        <v>3</v>
      </c>
      <c r="J653" s="79">
        <f>IF(G653="","X",_xlfn.XLOOKUP(B653,DATA_Moresby_2024_ALL!B:B,DATA_Moresby_2024_ALL!K:K,""))</f>
        <v>1</v>
      </c>
      <c r="K653" s="28"/>
      <c r="L653" s="29"/>
      <c r="M653" s="28"/>
      <c r="N653" s="19">
        <f t="shared" si="34"/>
        <v>4</v>
      </c>
      <c r="O653" s="19">
        <f t="shared" si="33"/>
        <v>4</v>
      </c>
      <c r="P653" s="19">
        <f t="shared" si="33"/>
        <v>4</v>
      </c>
      <c r="Q653" s="19">
        <f t="shared" si="33"/>
        <v>4</v>
      </c>
      <c r="R653" s="21"/>
      <c r="T653" s="21"/>
      <c r="W653" s="46"/>
      <c r="X653" s="92" t="s">
        <v>78</v>
      </c>
      <c r="Y653" s="92" t="s">
        <v>78</v>
      </c>
      <c r="Z653" s="92" t="s">
        <v>78</v>
      </c>
    </row>
    <row r="654" spans="1:26" ht="16" hidden="1" x14ac:dyDescent="0.4">
      <c r="A654" s="92">
        <v>3254</v>
      </c>
      <c r="B654" s="92">
        <v>3255</v>
      </c>
      <c r="E654" s="92">
        <v>50</v>
      </c>
      <c r="F654" s="92" t="str">
        <f>_xlfn.XLOOKUP(B654, DATA_Moresby_2024_ALL!B:B, DATA_Moresby_2024_ALL!G:G, "")</f>
        <v>3255_20240611_0010_R_0874.jpg</v>
      </c>
      <c r="G654" s="93" t="str">
        <f t="shared" ref="G654:G717" si="35">HYPERLINK("D:\Data From Lucan\2024\Moresby\Frames_for_Analysis_50\" &amp; F654,F654)</f>
        <v>3255_20240611_0010_R_0874.jpg</v>
      </c>
      <c r="H654" s="92">
        <v>3</v>
      </c>
      <c r="J654" s="79">
        <f>IF(G654="","X",_xlfn.XLOOKUP(B654,DATA_Moresby_2024_ALL!B:B,DATA_Moresby_2024_ALL!K:K,""))</f>
        <v>1</v>
      </c>
      <c r="K654" s="28"/>
      <c r="L654" s="29"/>
      <c r="M654" s="28"/>
      <c r="N654" s="19">
        <f t="shared" si="34"/>
        <v>4</v>
      </c>
      <c r="O654" s="19">
        <f t="shared" si="33"/>
        <v>4</v>
      </c>
      <c r="P654" s="19">
        <f t="shared" si="33"/>
        <v>4</v>
      </c>
      <c r="Q654" s="19">
        <f t="shared" si="33"/>
        <v>4</v>
      </c>
      <c r="R654" s="21"/>
      <c r="T654" s="21"/>
      <c r="W654" s="46"/>
      <c r="X654" s="92" t="s">
        <v>78</v>
      </c>
      <c r="Y654" s="92" t="s">
        <v>78</v>
      </c>
      <c r="Z654" s="92" t="s">
        <v>78</v>
      </c>
    </row>
    <row r="655" spans="1:26" ht="16" hidden="1" x14ac:dyDescent="0.4">
      <c r="A655" s="92">
        <v>3259</v>
      </c>
      <c r="B655" s="92">
        <v>3260</v>
      </c>
      <c r="E655" s="92">
        <v>50</v>
      </c>
      <c r="F655" s="92" t="str">
        <f>_xlfn.XLOOKUP(B655, DATA_Moresby_2024_ALL!B:B, DATA_Moresby_2024_ALL!G:G, "")</f>
        <v>3260_20240611_0010_R_0861.jpg</v>
      </c>
      <c r="G655" s="93" t="str">
        <f t="shared" si="35"/>
        <v>3260_20240611_0010_R_0861.jpg</v>
      </c>
      <c r="H655" s="92">
        <v>3</v>
      </c>
      <c r="J655" s="79">
        <f>IF(G655="","X",_xlfn.XLOOKUP(B655,DATA_Moresby_2024_ALL!B:B,DATA_Moresby_2024_ALL!K:K,""))</f>
        <v>1</v>
      </c>
      <c r="K655" s="28"/>
      <c r="L655" s="29"/>
      <c r="M655" s="28"/>
      <c r="N655" s="19">
        <f t="shared" si="34"/>
        <v>4</v>
      </c>
      <c r="O655" s="19">
        <f t="shared" si="33"/>
        <v>4</v>
      </c>
      <c r="P655" s="19">
        <f t="shared" si="33"/>
        <v>4</v>
      </c>
      <c r="Q655" s="19">
        <f t="shared" si="33"/>
        <v>4</v>
      </c>
      <c r="R655" s="21"/>
      <c r="T655" s="21"/>
      <c r="W655" s="46"/>
      <c r="X655" s="92" t="s">
        <v>78</v>
      </c>
      <c r="Y655" s="92" t="s">
        <v>78</v>
      </c>
      <c r="Z655" s="92" t="s">
        <v>78</v>
      </c>
    </row>
    <row r="656" spans="1:26" ht="16" hidden="1" x14ac:dyDescent="0.4">
      <c r="A656" s="92">
        <v>3264</v>
      </c>
      <c r="B656" s="92">
        <v>3265</v>
      </c>
      <c r="E656" s="92">
        <v>50</v>
      </c>
      <c r="F656" s="92" t="str">
        <f>_xlfn.XLOOKUP(B656, DATA_Moresby_2024_ALL!B:B, DATA_Moresby_2024_ALL!G:G, "")</f>
        <v>3265_20240611_0010_R_0849.jpg</v>
      </c>
      <c r="G656" s="93" t="str">
        <f t="shared" si="35"/>
        <v>3265_20240611_0010_R_0849.jpg</v>
      </c>
      <c r="H656" s="92">
        <v>3</v>
      </c>
      <c r="J656" s="79">
        <f>IF(G656="","X",_xlfn.XLOOKUP(B656,DATA_Moresby_2024_ALL!B:B,DATA_Moresby_2024_ALL!K:K,""))</f>
        <v>1</v>
      </c>
      <c r="K656" s="28"/>
      <c r="L656" s="29"/>
      <c r="M656" s="28"/>
      <c r="N656" s="19">
        <f t="shared" si="34"/>
        <v>4</v>
      </c>
      <c r="O656" s="19">
        <f t="shared" si="33"/>
        <v>4</v>
      </c>
      <c r="P656" s="19">
        <f t="shared" si="33"/>
        <v>4</v>
      </c>
      <c r="Q656" s="19">
        <f t="shared" si="33"/>
        <v>4</v>
      </c>
      <c r="R656" s="21"/>
      <c r="T656" s="21"/>
      <c r="W656" s="46"/>
      <c r="X656" s="92" t="s">
        <v>78</v>
      </c>
      <c r="Y656" s="92" t="s">
        <v>78</v>
      </c>
      <c r="Z656" s="92" t="s">
        <v>78</v>
      </c>
    </row>
    <row r="657" spans="1:26" ht="16" hidden="1" x14ac:dyDescent="0.4">
      <c r="A657" s="92">
        <v>3269</v>
      </c>
      <c r="B657" s="92">
        <v>3270</v>
      </c>
      <c r="E657" s="92">
        <v>50</v>
      </c>
      <c r="F657" s="92" t="str">
        <f>_xlfn.XLOOKUP(B657, DATA_Moresby_2024_ALL!B:B, DATA_Moresby_2024_ALL!G:G, "")</f>
        <v>3270_20240611_0010_R_0836.jpg</v>
      </c>
      <c r="G657" s="93" t="str">
        <f t="shared" si="35"/>
        <v>3270_20240611_0010_R_0836.jpg</v>
      </c>
      <c r="H657" s="92">
        <v>3</v>
      </c>
      <c r="J657" s="79">
        <f>IF(G657="","X",_xlfn.XLOOKUP(B657,DATA_Moresby_2024_ALL!B:B,DATA_Moresby_2024_ALL!K:K,""))</f>
        <v>1</v>
      </c>
      <c r="K657" s="28"/>
      <c r="L657" s="29"/>
      <c r="M657" s="28"/>
      <c r="N657" s="19">
        <f t="shared" si="34"/>
        <v>4</v>
      </c>
      <c r="O657" s="19">
        <f t="shared" si="33"/>
        <v>4</v>
      </c>
      <c r="P657" s="19">
        <f t="shared" si="33"/>
        <v>4</v>
      </c>
      <c r="Q657" s="19">
        <f t="shared" si="33"/>
        <v>4</v>
      </c>
      <c r="R657" s="21"/>
      <c r="T657" s="21"/>
      <c r="W657" s="46"/>
      <c r="X657" s="92" t="s">
        <v>78</v>
      </c>
      <c r="Y657" s="92" t="s">
        <v>78</v>
      </c>
      <c r="Z657" s="92" t="s">
        <v>78</v>
      </c>
    </row>
    <row r="658" spans="1:26" ht="16" hidden="1" x14ac:dyDescent="0.4">
      <c r="A658" s="92">
        <v>3274</v>
      </c>
      <c r="B658" s="92">
        <v>3275</v>
      </c>
      <c r="E658" s="92">
        <v>50</v>
      </c>
      <c r="F658" s="92" t="str">
        <f>_xlfn.XLOOKUP(B658, DATA_Moresby_2024_ALL!B:B, DATA_Moresby_2024_ALL!G:G, "")</f>
        <v>3275_20240611_0010_R_0823.jpg</v>
      </c>
      <c r="G658" s="93" t="str">
        <f t="shared" si="35"/>
        <v>3275_20240611_0010_R_0823.jpg</v>
      </c>
      <c r="H658" s="92">
        <v>3</v>
      </c>
      <c r="J658" s="79">
        <f>IF(G658="","X",_xlfn.XLOOKUP(B658,DATA_Moresby_2024_ALL!B:B,DATA_Moresby_2024_ALL!K:K,""))</f>
        <v>1</v>
      </c>
      <c r="K658" s="28"/>
      <c r="L658" s="29"/>
      <c r="M658" s="28"/>
      <c r="N658" s="19">
        <f t="shared" si="34"/>
        <v>4</v>
      </c>
      <c r="O658" s="19">
        <f t="shared" si="33"/>
        <v>4</v>
      </c>
      <c r="P658" s="19">
        <f t="shared" si="33"/>
        <v>4</v>
      </c>
      <c r="Q658" s="19">
        <f t="shared" si="33"/>
        <v>4</v>
      </c>
      <c r="R658" s="21"/>
      <c r="T658" s="21"/>
      <c r="W658" s="46"/>
      <c r="X658" s="92" t="s">
        <v>78</v>
      </c>
      <c r="Y658" s="92" t="s">
        <v>78</v>
      </c>
      <c r="Z658" s="92" t="s">
        <v>78</v>
      </c>
    </row>
    <row r="659" spans="1:26" ht="16" hidden="1" x14ac:dyDescent="0.4">
      <c r="A659" s="92">
        <v>3279</v>
      </c>
      <c r="B659" s="92">
        <v>3280</v>
      </c>
      <c r="E659" s="92">
        <v>50</v>
      </c>
      <c r="F659" s="92" t="str">
        <f>_xlfn.XLOOKUP(B659, DATA_Moresby_2024_ALL!B:B, DATA_Moresby_2024_ALL!G:G, "")</f>
        <v>3280_20240611_0010_R_0811.jpg</v>
      </c>
      <c r="G659" s="93" t="str">
        <f t="shared" si="35"/>
        <v>3280_20240611_0010_R_0811.jpg</v>
      </c>
      <c r="H659" s="92">
        <v>3</v>
      </c>
      <c r="J659" s="79">
        <f>IF(G659="","X",_xlfn.XLOOKUP(B659,DATA_Moresby_2024_ALL!B:B,DATA_Moresby_2024_ALL!K:K,""))</f>
        <v>1</v>
      </c>
      <c r="K659" s="28"/>
      <c r="L659" s="29"/>
      <c r="M659" s="28"/>
      <c r="N659" s="19">
        <f t="shared" si="34"/>
        <v>4</v>
      </c>
      <c r="O659" s="19">
        <f t="shared" si="33"/>
        <v>4</v>
      </c>
      <c r="P659" s="19">
        <f t="shared" si="33"/>
        <v>4</v>
      </c>
      <c r="Q659" s="19">
        <f t="shared" si="33"/>
        <v>4</v>
      </c>
      <c r="R659" s="21"/>
      <c r="T659" s="21"/>
      <c r="W659" s="46"/>
      <c r="X659" s="92" t="s">
        <v>78</v>
      </c>
      <c r="Y659" s="92" t="s">
        <v>78</v>
      </c>
      <c r="Z659" s="92" t="s">
        <v>78</v>
      </c>
    </row>
    <row r="660" spans="1:26" ht="16" hidden="1" x14ac:dyDescent="0.4">
      <c r="A660" s="92">
        <v>3284</v>
      </c>
      <c r="B660" s="92">
        <v>3285</v>
      </c>
      <c r="E660" s="92">
        <v>50</v>
      </c>
      <c r="F660" s="92" t="str">
        <f>_xlfn.XLOOKUP(B660, DATA_Moresby_2024_ALL!B:B, DATA_Moresby_2024_ALL!G:G, "")</f>
        <v>3285_20240611_0010_R_0797.jpg</v>
      </c>
      <c r="G660" s="93" t="str">
        <f t="shared" si="35"/>
        <v>3285_20240611_0010_R_0797.jpg</v>
      </c>
      <c r="H660" s="92">
        <v>3</v>
      </c>
      <c r="J660" s="79">
        <f>IF(G660="","X",_xlfn.XLOOKUP(B660,DATA_Moresby_2024_ALL!B:B,DATA_Moresby_2024_ALL!K:K,""))</f>
        <v>1</v>
      </c>
      <c r="K660" s="28"/>
      <c r="L660" s="29"/>
      <c r="M660" s="28"/>
      <c r="N660" s="19">
        <f t="shared" si="34"/>
        <v>4</v>
      </c>
      <c r="O660" s="19">
        <f t="shared" si="33"/>
        <v>4</v>
      </c>
      <c r="P660" s="19">
        <f t="shared" si="33"/>
        <v>4</v>
      </c>
      <c r="Q660" s="19">
        <f t="shared" si="33"/>
        <v>4</v>
      </c>
      <c r="R660" s="21"/>
      <c r="T660" s="21"/>
      <c r="W660" s="46"/>
      <c r="X660" s="92" t="s">
        <v>78</v>
      </c>
      <c r="Y660" s="92" t="s">
        <v>78</v>
      </c>
      <c r="Z660" s="92" t="s">
        <v>78</v>
      </c>
    </row>
    <row r="661" spans="1:26" ht="16" hidden="1" x14ac:dyDescent="0.4">
      <c r="A661" s="92">
        <v>3289</v>
      </c>
      <c r="B661" s="92">
        <v>3290</v>
      </c>
      <c r="E661" s="92">
        <v>50</v>
      </c>
      <c r="F661" s="92" t="str">
        <f>_xlfn.XLOOKUP(B661, DATA_Moresby_2024_ALL!B:B, DATA_Moresby_2024_ALL!G:G, "")</f>
        <v>3290_20240611_0010_R_0778.jpg</v>
      </c>
      <c r="G661" s="93" t="str">
        <f t="shared" si="35"/>
        <v>3290_20240611_0010_R_0778.jpg</v>
      </c>
      <c r="H661" s="92">
        <v>3</v>
      </c>
      <c r="J661" s="79">
        <f>IF(G661="","X",_xlfn.XLOOKUP(B661,DATA_Moresby_2024_ALL!B:B,DATA_Moresby_2024_ALL!K:K,""))</f>
        <v>1</v>
      </c>
      <c r="K661" s="28"/>
      <c r="L661" s="29"/>
      <c r="M661" s="28"/>
      <c r="N661" s="19">
        <f t="shared" si="34"/>
        <v>4</v>
      </c>
      <c r="O661" s="19">
        <f t="shared" si="33"/>
        <v>4</v>
      </c>
      <c r="P661" s="19">
        <f t="shared" si="33"/>
        <v>4</v>
      </c>
      <c r="Q661" s="19">
        <f t="shared" si="33"/>
        <v>4</v>
      </c>
      <c r="R661" s="21"/>
      <c r="T661" s="21"/>
      <c r="W661" s="46"/>
      <c r="X661" s="92" t="s">
        <v>78</v>
      </c>
      <c r="Y661" s="92" t="s">
        <v>78</v>
      </c>
      <c r="Z661" s="92" t="s">
        <v>78</v>
      </c>
    </row>
    <row r="662" spans="1:26" ht="16" hidden="1" x14ac:dyDescent="0.4">
      <c r="A662" s="92">
        <v>3294</v>
      </c>
      <c r="B662" s="92">
        <v>3295</v>
      </c>
      <c r="E662" s="92">
        <v>50</v>
      </c>
      <c r="F662" s="92" t="str">
        <f>_xlfn.XLOOKUP(B662, DATA_Moresby_2024_ALL!B:B, DATA_Moresby_2024_ALL!G:G, "")</f>
        <v>3295_20240611_0010_R_0765.jpg</v>
      </c>
      <c r="G662" s="93" t="str">
        <f t="shared" si="35"/>
        <v>3295_20240611_0010_R_0765.jpg</v>
      </c>
      <c r="H662" s="92">
        <v>3</v>
      </c>
      <c r="J662" s="79">
        <f>IF(G662="","X",_xlfn.XLOOKUP(B662,DATA_Moresby_2024_ALL!B:B,DATA_Moresby_2024_ALL!K:K,""))</f>
        <v>1</v>
      </c>
      <c r="K662" s="28"/>
      <c r="L662" s="29"/>
      <c r="M662" s="28"/>
      <c r="N662" s="19">
        <f t="shared" si="34"/>
        <v>4</v>
      </c>
      <c r="O662" s="19">
        <f t="shared" si="33"/>
        <v>4</v>
      </c>
      <c r="P662" s="19">
        <f t="shared" si="33"/>
        <v>4</v>
      </c>
      <c r="Q662" s="19">
        <f t="shared" si="33"/>
        <v>4</v>
      </c>
      <c r="R662" s="21"/>
      <c r="T662" s="21"/>
      <c r="W662" s="46"/>
      <c r="X662" s="92" t="s">
        <v>78</v>
      </c>
      <c r="Y662" s="92" t="s">
        <v>78</v>
      </c>
      <c r="Z662" s="92" t="s">
        <v>78</v>
      </c>
    </row>
    <row r="663" spans="1:26" ht="16" hidden="1" x14ac:dyDescent="0.4">
      <c r="A663" s="92">
        <v>3299</v>
      </c>
      <c r="B663" s="92">
        <v>3300</v>
      </c>
      <c r="E663" s="92">
        <v>50</v>
      </c>
      <c r="F663" s="92" t="str">
        <f>_xlfn.XLOOKUP(B663, DATA_Moresby_2024_ALL!B:B, DATA_Moresby_2024_ALL!G:G, "")</f>
        <v>3300_20240611_0010_R_0752.jpg</v>
      </c>
      <c r="G663" s="93" t="str">
        <f t="shared" si="35"/>
        <v>3300_20240611_0010_R_0752.jpg</v>
      </c>
      <c r="H663" s="92">
        <v>3</v>
      </c>
      <c r="J663" s="79">
        <f>IF(G663="","X",_xlfn.XLOOKUP(B663,DATA_Moresby_2024_ALL!B:B,DATA_Moresby_2024_ALL!K:K,""))</f>
        <v>1</v>
      </c>
      <c r="K663" s="28"/>
      <c r="L663" s="29"/>
      <c r="M663" s="28"/>
      <c r="N663" s="19">
        <f t="shared" si="34"/>
        <v>4</v>
      </c>
      <c r="O663" s="19">
        <f t="shared" si="33"/>
        <v>4</v>
      </c>
      <c r="P663" s="19">
        <f t="shared" si="33"/>
        <v>4</v>
      </c>
      <c r="Q663" s="19">
        <f t="shared" si="33"/>
        <v>4</v>
      </c>
      <c r="R663" s="21"/>
      <c r="T663" s="21"/>
      <c r="W663" s="46"/>
      <c r="X663" s="92" t="s">
        <v>78</v>
      </c>
      <c r="Y663" s="92" t="s">
        <v>78</v>
      </c>
      <c r="Z663" s="92" t="s">
        <v>78</v>
      </c>
    </row>
    <row r="664" spans="1:26" ht="16" hidden="1" x14ac:dyDescent="0.4">
      <c r="A664" s="92">
        <v>3304</v>
      </c>
      <c r="B664" s="92">
        <v>3305</v>
      </c>
      <c r="E664" s="92">
        <v>50</v>
      </c>
      <c r="F664" s="92" t="str">
        <f>_xlfn.XLOOKUP(B664, DATA_Moresby_2024_ALL!B:B, DATA_Moresby_2024_ALL!G:G, "")</f>
        <v>3305_20240611_0010_R_0739.jpg</v>
      </c>
      <c r="G664" s="93" t="str">
        <f t="shared" si="35"/>
        <v>3305_20240611_0010_R_0739.jpg</v>
      </c>
      <c r="H664" s="92">
        <v>3</v>
      </c>
      <c r="J664" s="79">
        <f>IF(G664="","X",_xlfn.XLOOKUP(B664,DATA_Moresby_2024_ALL!B:B,DATA_Moresby_2024_ALL!K:K,""))</f>
        <v>1</v>
      </c>
      <c r="K664" s="28"/>
      <c r="L664" s="29"/>
      <c r="M664" s="28"/>
      <c r="N664" s="19">
        <f t="shared" si="34"/>
        <v>4</v>
      </c>
      <c r="O664" s="19">
        <f t="shared" si="33"/>
        <v>4</v>
      </c>
      <c r="P664" s="19">
        <f t="shared" si="33"/>
        <v>4</v>
      </c>
      <c r="Q664" s="19">
        <f t="shared" si="33"/>
        <v>4</v>
      </c>
      <c r="R664" s="21"/>
      <c r="T664" s="21"/>
      <c r="W664" s="46"/>
      <c r="X664" s="92" t="s">
        <v>78</v>
      </c>
      <c r="Y664" s="92" t="s">
        <v>78</v>
      </c>
      <c r="Z664" s="92" t="s">
        <v>78</v>
      </c>
    </row>
    <row r="665" spans="1:26" ht="16" hidden="1" x14ac:dyDescent="0.4">
      <c r="A665" s="92">
        <v>3309</v>
      </c>
      <c r="B665" s="92">
        <v>3310</v>
      </c>
      <c r="E665" s="92">
        <v>50</v>
      </c>
      <c r="F665" s="92" t="str">
        <f>_xlfn.XLOOKUP(B665, DATA_Moresby_2024_ALL!B:B, DATA_Moresby_2024_ALL!G:G, "")</f>
        <v>3310_20240611_0010_R_0727.jpg</v>
      </c>
      <c r="G665" s="93" t="str">
        <f t="shared" si="35"/>
        <v>3310_20240611_0010_R_0727.jpg</v>
      </c>
      <c r="H665" s="92">
        <v>3</v>
      </c>
      <c r="J665" s="79">
        <f>IF(G665="","X",_xlfn.XLOOKUP(B665,DATA_Moresby_2024_ALL!B:B,DATA_Moresby_2024_ALL!K:K,""))</f>
        <v>1</v>
      </c>
      <c r="K665" s="28"/>
      <c r="L665" s="29"/>
      <c r="M665" s="28"/>
      <c r="N665" s="19">
        <f t="shared" si="34"/>
        <v>4</v>
      </c>
      <c r="O665" s="19">
        <f t="shared" si="33"/>
        <v>4</v>
      </c>
      <c r="P665" s="19">
        <f t="shared" si="33"/>
        <v>4</v>
      </c>
      <c r="Q665" s="19">
        <f t="shared" si="33"/>
        <v>4</v>
      </c>
      <c r="R665" s="21"/>
      <c r="T665" s="21"/>
      <c r="W665" s="46"/>
      <c r="X665" s="92" t="s">
        <v>78</v>
      </c>
      <c r="Y665" s="92" t="s">
        <v>78</v>
      </c>
      <c r="Z665" s="92" t="s">
        <v>78</v>
      </c>
    </row>
    <row r="666" spans="1:26" ht="16" hidden="1" x14ac:dyDescent="0.4">
      <c r="A666" s="92">
        <v>3314</v>
      </c>
      <c r="B666" s="92">
        <v>3315</v>
      </c>
      <c r="E666" s="92">
        <v>50</v>
      </c>
      <c r="F666" s="92" t="str">
        <f>_xlfn.XLOOKUP(B666, DATA_Moresby_2024_ALL!B:B, DATA_Moresby_2024_ALL!G:G, "")</f>
        <v>3315_20240611_0010_R_0714.jpg</v>
      </c>
      <c r="G666" s="93" t="str">
        <f t="shared" si="35"/>
        <v>3315_20240611_0010_R_0714.jpg</v>
      </c>
      <c r="H666" s="92">
        <v>3</v>
      </c>
      <c r="J666" s="79">
        <f>IF(G666="","X",_xlfn.XLOOKUP(B666,DATA_Moresby_2024_ALL!B:B,DATA_Moresby_2024_ALL!K:K,""))</f>
        <v>1</v>
      </c>
      <c r="K666" s="28"/>
      <c r="L666" s="29"/>
      <c r="M666" s="28"/>
      <c r="N666" s="19">
        <f t="shared" si="34"/>
        <v>4</v>
      </c>
      <c r="O666" s="19">
        <f t="shared" si="33"/>
        <v>4</v>
      </c>
      <c r="P666" s="19">
        <f t="shared" si="33"/>
        <v>4</v>
      </c>
      <c r="Q666" s="19">
        <f t="shared" si="33"/>
        <v>4</v>
      </c>
      <c r="R666" s="21"/>
      <c r="T666" s="21"/>
      <c r="W666" s="46"/>
      <c r="X666" s="92" t="s">
        <v>78</v>
      </c>
      <c r="Y666" s="92" t="s">
        <v>78</v>
      </c>
      <c r="Z666" s="92" t="s">
        <v>78</v>
      </c>
    </row>
    <row r="667" spans="1:26" ht="16" hidden="1" x14ac:dyDescent="0.4">
      <c r="A667" s="92">
        <v>3319</v>
      </c>
      <c r="B667" s="92">
        <v>3320</v>
      </c>
      <c r="E667" s="92">
        <v>50</v>
      </c>
      <c r="F667" s="92" t="str">
        <f>_xlfn.XLOOKUP(B667, DATA_Moresby_2024_ALL!B:B, DATA_Moresby_2024_ALL!G:G, "")</f>
        <v>3320_20240611_0010_R_0702.jpg</v>
      </c>
      <c r="G667" s="93" t="str">
        <f t="shared" si="35"/>
        <v>3320_20240611_0010_R_0702.jpg</v>
      </c>
      <c r="H667" s="92">
        <v>3</v>
      </c>
      <c r="J667" s="79">
        <f>IF(G667="","X",_xlfn.XLOOKUP(B667,DATA_Moresby_2024_ALL!B:B,DATA_Moresby_2024_ALL!K:K,""))</f>
        <v>1</v>
      </c>
      <c r="K667" s="28"/>
      <c r="L667" s="29"/>
      <c r="M667" s="28"/>
      <c r="N667" s="19">
        <f t="shared" si="34"/>
        <v>4</v>
      </c>
      <c r="O667" s="19">
        <f t="shared" si="33"/>
        <v>4</v>
      </c>
      <c r="P667" s="19">
        <f t="shared" si="33"/>
        <v>4</v>
      </c>
      <c r="Q667" s="19">
        <f t="shared" si="33"/>
        <v>4</v>
      </c>
      <c r="R667" s="21"/>
      <c r="T667" s="21"/>
      <c r="W667" s="46"/>
      <c r="X667" s="92" t="s">
        <v>78</v>
      </c>
      <c r="Y667" s="92" t="s">
        <v>78</v>
      </c>
      <c r="Z667" s="92" t="s">
        <v>78</v>
      </c>
    </row>
    <row r="668" spans="1:26" ht="16" hidden="1" x14ac:dyDescent="0.4">
      <c r="A668" s="92">
        <v>3324</v>
      </c>
      <c r="B668" s="92">
        <v>3325</v>
      </c>
      <c r="E668" s="92">
        <v>50</v>
      </c>
      <c r="F668" s="92" t="str">
        <f>_xlfn.XLOOKUP(B668, DATA_Moresby_2024_ALL!B:B, DATA_Moresby_2024_ALL!G:G, "")</f>
        <v>3325_20240611_0010_R_0690.jpg</v>
      </c>
      <c r="G668" s="93" t="str">
        <f t="shared" si="35"/>
        <v>3325_20240611_0010_R_0690.jpg</v>
      </c>
      <c r="H668" s="92">
        <v>3</v>
      </c>
      <c r="J668" s="79">
        <f>IF(G668="","X",_xlfn.XLOOKUP(B668,DATA_Moresby_2024_ALL!B:B,DATA_Moresby_2024_ALL!K:K,""))</f>
        <v>1</v>
      </c>
      <c r="K668" s="28"/>
      <c r="L668" s="29"/>
      <c r="M668" s="28"/>
      <c r="N668" s="19">
        <f t="shared" si="34"/>
        <v>4</v>
      </c>
      <c r="O668" s="19">
        <f t="shared" si="33"/>
        <v>4</v>
      </c>
      <c r="P668" s="19">
        <f t="shared" si="33"/>
        <v>4</v>
      </c>
      <c r="Q668" s="19">
        <f t="shared" si="33"/>
        <v>4</v>
      </c>
      <c r="R668" s="21"/>
      <c r="T668" s="21"/>
      <c r="W668" s="46"/>
      <c r="X668" s="92" t="s">
        <v>78</v>
      </c>
      <c r="Y668" s="92" t="s">
        <v>78</v>
      </c>
      <c r="Z668" s="92" t="s">
        <v>78</v>
      </c>
    </row>
    <row r="669" spans="1:26" ht="16" hidden="1" x14ac:dyDescent="0.4">
      <c r="A669" s="92">
        <v>3329</v>
      </c>
      <c r="B669" s="92">
        <v>3330</v>
      </c>
      <c r="E669" s="92">
        <v>50</v>
      </c>
      <c r="F669" s="92" t="str">
        <f>_xlfn.XLOOKUP(B669, DATA_Moresby_2024_ALL!B:B, DATA_Moresby_2024_ALL!G:G, "")</f>
        <v>3330_20240611_0010_R_0678.jpg</v>
      </c>
      <c r="G669" s="93" t="str">
        <f t="shared" si="35"/>
        <v>3330_20240611_0010_R_0678.jpg</v>
      </c>
      <c r="H669" s="92">
        <v>3</v>
      </c>
      <c r="J669" s="79">
        <f>IF(G669="","X",_xlfn.XLOOKUP(B669,DATA_Moresby_2024_ALL!B:B,DATA_Moresby_2024_ALL!K:K,""))</f>
        <v>1</v>
      </c>
      <c r="K669" s="28"/>
      <c r="L669" s="29"/>
      <c r="M669" s="28"/>
      <c r="N669" s="19">
        <f t="shared" si="34"/>
        <v>4</v>
      </c>
      <c r="O669" s="19">
        <f t="shared" si="34"/>
        <v>4</v>
      </c>
      <c r="P669" s="19">
        <f t="shared" si="34"/>
        <v>4</v>
      </c>
      <c r="Q669" s="19">
        <f t="shared" si="34"/>
        <v>4</v>
      </c>
      <c r="R669" s="21"/>
      <c r="T669" s="21"/>
      <c r="W669" s="46"/>
      <c r="X669" s="92" t="s">
        <v>78</v>
      </c>
      <c r="Y669" s="92" t="s">
        <v>78</v>
      </c>
      <c r="Z669" s="92" t="s">
        <v>78</v>
      </c>
    </row>
    <row r="670" spans="1:26" ht="16" hidden="1" x14ac:dyDescent="0.4">
      <c r="A670" s="92">
        <v>3334</v>
      </c>
      <c r="B670" s="92">
        <v>3335</v>
      </c>
      <c r="E670" s="92">
        <v>50</v>
      </c>
      <c r="F670" s="92" t="str">
        <f>_xlfn.XLOOKUP(B670, DATA_Moresby_2024_ALL!B:B, DATA_Moresby_2024_ALL!G:G, "")</f>
        <v>3335_20240611_0010_R_0663.jpg</v>
      </c>
      <c r="G670" s="93" t="str">
        <f t="shared" si="35"/>
        <v>3335_20240611_0010_R_0663.jpg</v>
      </c>
      <c r="H670" s="92">
        <v>3</v>
      </c>
      <c r="J670" s="79">
        <f>IF(G670="","X",_xlfn.XLOOKUP(B670,DATA_Moresby_2024_ALL!B:B,DATA_Moresby_2024_ALL!K:K,""))</f>
        <v>1</v>
      </c>
      <c r="K670" s="28"/>
      <c r="L670" s="29"/>
      <c r="M670" s="28"/>
      <c r="N670" s="19">
        <f t="shared" ref="N670:Q733" si="36">IF($J670=1,4,"")</f>
        <v>4</v>
      </c>
      <c r="O670" s="19">
        <f t="shared" si="36"/>
        <v>4</v>
      </c>
      <c r="P670" s="19">
        <f t="shared" si="36"/>
        <v>4</v>
      </c>
      <c r="Q670" s="19">
        <f t="shared" si="36"/>
        <v>4</v>
      </c>
      <c r="R670" s="21"/>
      <c r="T670" s="21"/>
      <c r="W670" s="46"/>
      <c r="X670" s="92" t="s">
        <v>78</v>
      </c>
      <c r="Y670" s="92" t="s">
        <v>78</v>
      </c>
      <c r="Z670" s="92" t="s">
        <v>78</v>
      </c>
    </row>
    <row r="671" spans="1:26" ht="16" hidden="1" x14ac:dyDescent="0.4">
      <c r="A671" s="92">
        <v>3339</v>
      </c>
      <c r="B671" s="92">
        <v>3340</v>
      </c>
      <c r="E671" s="92">
        <v>50</v>
      </c>
      <c r="F671" s="92" t="str">
        <f>_xlfn.XLOOKUP(B671, DATA_Moresby_2024_ALL!B:B, DATA_Moresby_2024_ALL!G:G, "")</f>
        <v>3340_20240611_0010_R_0647.jpg</v>
      </c>
      <c r="G671" s="93" t="str">
        <f t="shared" si="35"/>
        <v>3340_20240611_0010_R_0647.jpg</v>
      </c>
      <c r="H671" s="92">
        <v>3</v>
      </c>
      <c r="J671" s="79">
        <f>IF(G671="","X",_xlfn.XLOOKUP(B671,DATA_Moresby_2024_ALL!B:B,DATA_Moresby_2024_ALL!K:K,""))</f>
        <v>1</v>
      </c>
      <c r="K671" s="28"/>
      <c r="L671" s="29"/>
      <c r="M671" s="28"/>
      <c r="N671" s="19">
        <f t="shared" si="36"/>
        <v>4</v>
      </c>
      <c r="O671" s="19">
        <f t="shared" si="36"/>
        <v>4</v>
      </c>
      <c r="P671" s="19">
        <f t="shared" si="36"/>
        <v>4</v>
      </c>
      <c r="Q671" s="19">
        <f t="shared" si="36"/>
        <v>4</v>
      </c>
      <c r="R671" s="21"/>
      <c r="T671" s="21"/>
      <c r="W671" s="46"/>
      <c r="X671" s="92" t="s">
        <v>78</v>
      </c>
      <c r="Y671" s="92" t="s">
        <v>78</v>
      </c>
      <c r="Z671" s="92" t="s">
        <v>78</v>
      </c>
    </row>
    <row r="672" spans="1:26" ht="16" hidden="1" x14ac:dyDescent="0.4">
      <c r="A672" s="92">
        <v>3344</v>
      </c>
      <c r="B672" s="92">
        <v>3345</v>
      </c>
      <c r="E672" s="92">
        <v>50</v>
      </c>
      <c r="F672" s="92" t="str">
        <f>_xlfn.XLOOKUP(B672, DATA_Moresby_2024_ALL!B:B, DATA_Moresby_2024_ALL!G:G, "")</f>
        <v>3345_20240611_0010_R_0633.jpg</v>
      </c>
      <c r="G672" s="93" t="str">
        <f t="shared" si="35"/>
        <v>3345_20240611_0010_R_0633.jpg</v>
      </c>
      <c r="H672" s="92">
        <v>3</v>
      </c>
      <c r="J672" s="79">
        <f>IF(G672="","X",_xlfn.XLOOKUP(B672,DATA_Moresby_2024_ALL!B:B,DATA_Moresby_2024_ALL!K:K,""))</f>
        <v>1</v>
      </c>
      <c r="K672" s="28"/>
      <c r="L672" s="29"/>
      <c r="M672" s="28"/>
      <c r="N672" s="19">
        <f t="shared" si="36"/>
        <v>4</v>
      </c>
      <c r="O672" s="19">
        <f t="shared" si="36"/>
        <v>4</v>
      </c>
      <c r="P672" s="19">
        <f t="shared" si="36"/>
        <v>4</v>
      </c>
      <c r="Q672" s="19">
        <f t="shared" si="36"/>
        <v>4</v>
      </c>
      <c r="X672" s="92" t="s">
        <v>78</v>
      </c>
      <c r="Y672" s="92" t="s">
        <v>78</v>
      </c>
      <c r="Z672" s="92" t="s">
        <v>78</v>
      </c>
    </row>
    <row r="673" spans="1:26" ht="16" hidden="1" x14ac:dyDescent="0.4">
      <c r="A673" s="92">
        <v>3349</v>
      </c>
      <c r="B673" s="92">
        <v>3350</v>
      </c>
      <c r="E673" s="92">
        <v>50</v>
      </c>
      <c r="F673" s="92" t="str">
        <f>_xlfn.XLOOKUP(B673, DATA_Moresby_2024_ALL!B:B, DATA_Moresby_2024_ALL!G:G, "")</f>
        <v>3350_20240611_0010_R_0620.jpg</v>
      </c>
      <c r="G673" s="93" t="str">
        <f t="shared" si="35"/>
        <v>3350_20240611_0010_R_0620.jpg</v>
      </c>
      <c r="H673" s="92">
        <v>3</v>
      </c>
      <c r="J673" s="79">
        <f>IF(G673="","X",_xlfn.XLOOKUP(B673,DATA_Moresby_2024_ALL!B:B,DATA_Moresby_2024_ALL!K:K,""))</f>
        <v>1</v>
      </c>
      <c r="K673" s="28"/>
      <c r="L673" s="29"/>
      <c r="M673" s="28"/>
      <c r="N673" s="19">
        <f t="shared" si="36"/>
        <v>4</v>
      </c>
      <c r="O673" s="19">
        <f t="shared" si="36"/>
        <v>4</v>
      </c>
      <c r="P673" s="19">
        <f t="shared" si="36"/>
        <v>4</v>
      </c>
      <c r="Q673" s="19">
        <f t="shared" si="36"/>
        <v>4</v>
      </c>
      <c r="X673" s="92" t="s">
        <v>78</v>
      </c>
      <c r="Y673" s="92" t="s">
        <v>78</v>
      </c>
      <c r="Z673" s="92" t="s">
        <v>78</v>
      </c>
    </row>
    <row r="674" spans="1:26" ht="16" hidden="1" x14ac:dyDescent="0.4">
      <c r="A674" s="92">
        <v>3354</v>
      </c>
      <c r="B674" s="92">
        <v>3355</v>
      </c>
      <c r="E674" s="92">
        <v>50</v>
      </c>
      <c r="F674" s="92" t="str">
        <f>_xlfn.XLOOKUP(B674, DATA_Moresby_2024_ALL!B:B, DATA_Moresby_2024_ALL!G:G, "")</f>
        <v>3355_20240611_0010_R_0608.jpg</v>
      </c>
      <c r="G674" s="93" t="str">
        <f t="shared" si="35"/>
        <v>3355_20240611_0010_R_0608.jpg</v>
      </c>
      <c r="H674" s="92">
        <v>3</v>
      </c>
      <c r="J674" s="79">
        <f>IF(G674="","X",_xlfn.XLOOKUP(B674,DATA_Moresby_2024_ALL!B:B,DATA_Moresby_2024_ALL!K:K,""))</f>
        <v>1</v>
      </c>
      <c r="K674" s="28"/>
      <c r="L674" s="29"/>
      <c r="M674" s="28"/>
      <c r="N674" s="19">
        <f t="shared" si="36"/>
        <v>4</v>
      </c>
      <c r="O674" s="19">
        <f t="shared" si="36"/>
        <v>4</v>
      </c>
      <c r="P674" s="19">
        <f t="shared" si="36"/>
        <v>4</v>
      </c>
      <c r="Q674" s="19">
        <f t="shared" si="36"/>
        <v>4</v>
      </c>
      <c r="X674" s="92" t="s">
        <v>78</v>
      </c>
      <c r="Y674" s="92" t="s">
        <v>78</v>
      </c>
      <c r="Z674" s="92" t="s">
        <v>78</v>
      </c>
    </row>
    <row r="675" spans="1:26" ht="16" hidden="1" x14ac:dyDescent="0.4">
      <c r="A675" s="92">
        <v>3359</v>
      </c>
      <c r="B675" s="92">
        <v>3360</v>
      </c>
      <c r="E675" s="92">
        <v>50</v>
      </c>
      <c r="F675" s="92" t="str">
        <f>_xlfn.XLOOKUP(B675, DATA_Moresby_2024_ALL!B:B, DATA_Moresby_2024_ALL!G:G, "")</f>
        <v>3360_20240611_0010_R_0592.jpg</v>
      </c>
      <c r="G675" s="93" t="str">
        <f t="shared" si="35"/>
        <v>3360_20240611_0010_R_0592.jpg</v>
      </c>
      <c r="H675" s="92">
        <v>3</v>
      </c>
      <c r="J675" s="79">
        <f>IF(G675="","X",_xlfn.XLOOKUP(B675,DATA_Moresby_2024_ALL!B:B,DATA_Moresby_2024_ALL!K:K,""))</f>
        <v>1</v>
      </c>
      <c r="K675" s="28"/>
      <c r="L675" s="29"/>
      <c r="M675" s="28"/>
      <c r="N675" s="19">
        <f t="shared" si="36"/>
        <v>4</v>
      </c>
      <c r="O675" s="19">
        <f t="shared" si="36"/>
        <v>4</v>
      </c>
      <c r="P675" s="19">
        <f t="shared" si="36"/>
        <v>4</v>
      </c>
      <c r="Q675" s="19">
        <f t="shared" si="36"/>
        <v>4</v>
      </c>
      <c r="X675" s="92" t="s">
        <v>78</v>
      </c>
      <c r="Y675" s="92" t="s">
        <v>78</v>
      </c>
      <c r="Z675" s="92" t="s">
        <v>78</v>
      </c>
    </row>
    <row r="676" spans="1:26" ht="16" hidden="1" x14ac:dyDescent="0.4">
      <c r="A676" s="92">
        <v>3364</v>
      </c>
      <c r="B676" s="92">
        <v>3365</v>
      </c>
      <c r="E676" s="92">
        <v>50</v>
      </c>
      <c r="F676" s="92" t="str">
        <f>_xlfn.XLOOKUP(B676, DATA_Moresby_2024_ALL!B:B, DATA_Moresby_2024_ALL!G:G, "")</f>
        <v>3365_20240611_0010_R_0578.jpg</v>
      </c>
      <c r="G676" s="93" t="str">
        <f t="shared" si="35"/>
        <v>3365_20240611_0010_R_0578.jpg</v>
      </c>
      <c r="H676" s="92">
        <v>3</v>
      </c>
      <c r="J676" s="79">
        <f>IF(G676="","X",_xlfn.XLOOKUP(B676,DATA_Moresby_2024_ALL!B:B,DATA_Moresby_2024_ALL!K:K,""))</f>
        <v>1</v>
      </c>
      <c r="K676" s="28"/>
      <c r="L676" s="29"/>
      <c r="M676" s="28"/>
      <c r="N676" s="19">
        <f t="shared" si="36"/>
        <v>4</v>
      </c>
      <c r="O676" s="19">
        <f t="shared" si="36"/>
        <v>4</v>
      </c>
      <c r="P676" s="19">
        <f t="shared" si="36"/>
        <v>4</v>
      </c>
      <c r="Q676" s="19">
        <f t="shared" si="36"/>
        <v>4</v>
      </c>
      <c r="X676" s="92" t="s">
        <v>78</v>
      </c>
      <c r="Y676" s="92" t="s">
        <v>78</v>
      </c>
      <c r="Z676" s="92" t="s">
        <v>78</v>
      </c>
    </row>
    <row r="677" spans="1:26" ht="16" hidden="1" x14ac:dyDescent="0.4">
      <c r="A677" s="92">
        <v>3369</v>
      </c>
      <c r="B677" s="92">
        <v>3370</v>
      </c>
      <c r="E677" s="92">
        <v>50</v>
      </c>
      <c r="F677" s="92" t="str">
        <f>_xlfn.XLOOKUP(B677, DATA_Moresby_2024_ALL!B:B, DATA_Moresby_2024_ALL!G:G, "")</f>
        <v>3370_20240611_0010_R_0565.jpg</v>
      </c>
      <c r="G677" s="93" t="str">
        <f t="shared" si="35"/>
        <v>3370_20240611_0010_R_0565.jpg</v>
      </c>
      <c r="H677" s="92">
        <v>3</v>
      </c>
      <c r="J677" s="79">
        <f>IF(G677="","X",_xlfn.XLOOKUP(B677,DATA_Moresby_2024_ALL!B:B,DATA_Moresby_2024_ALL!K:K,""))</f>
        <v>1</v>
      </c>
      <c r="K677" s="28"/>
      <c r="L677" s="29"/>
      <c r="M677" s="28"/>
      <c r="N677" s="19">
        <f t="shared" si="36"/>
        <v>4</v>
      </c>
      <c r="O677" s="19">
        <f t="shared" si="36"/>
        <v>4</v>
      </c>
      <c r="P677" s="19">
        <f t="shared" si="36"/>
        <v>4</v>
      </c>
      <c r="Q677" s="19">
        <f t="shared" si="36"/>
        <v>4</v>
      </c>
      <c r="X677" s="92" t="s">
        <v>78</v>
      </c>
      <c r="Y677" s="92" t="s">
        <v>78</v>
      </c>
      <c r="Z677" s="92" t="s">
        <v>78</v>
      </c>
    </row>
    <row r="678" spans="1:26" ht="16" hidden="1" x14ac:dyDescent="0.4">
      <c r="A678" s="92">
        <v>3374</v>
      </c>
      <c r="B678" s="92">
        <v>3375</v>
      </c>
      <c r="E678" s="92">
        <v>50</v>
      </c>
      <c r="F678" s="92" t="str">
        <f>_xlfn.XLOOKUP(B678, DATA_Moresby_2024_ALL!B:B, DATA_Moresby_2024_ALL!G:G, "")</f>
        <v>3375_20240611_0010_R_0551.jpg</v>
      </c>
      <c r="G678" s="93" t="str">
        <f t="shared" si="35"/>
        <v>3375_20240611_0010_R_0551.jpg</v>
      </c>
      <c r="H678" s="92">
        <v>3</v>
      </c>
      <c r="J678" s="79">
        <f>IF(G678="","X",_xlfn.XLOOKUP(B678,DATA_Moresby_2024_ALL!B:B,DATA_Moresby_2024_ALL!K:K,""))</f>
        <v>1</v>
      </c>
      <c r="K678" s="28"/>
      <c r="L678" s="29"/>
      <c r="M678" s="28"/>
      <c r="N678" s="19">
        <f t="shared" si="36"/>
        <v>4</v>
      </c>
      <c r="O678" s="19">
        <f t="shared" si="36"/>
        <v>4</v>
      </c>
      <c r="P678" s="19">
        <f t="shared" si="36"/>
        <v>4</v>
      </c>
      <c r="Q678" s="19">
        <v>3</v>
      </c>
      <c r="X678" s="92" t="s">
        <v>78</v>
      </c>
      <c r="Y678" s="92" t="s">
        <v>78</v>
      </c>
      <c r="Z678" s="92" t="s">
        <v>78</v>
      </c>
    </row>
    <row r="679" spans="1:26" ht="16" hidden="1" x14ac:dyDescent="0.4">
      <c r="A679" s="92">
        <v>3379</v>
      </c>
      <c r="B679" s="92">
        <v>3380</v>
      </c>
      <c r="E679" s="92">
        <v>50</v>
      </c>
      <c r="F679" s="92" t="str">
        <f>_xlfn.XLOOKUP(B679, DATA_Moresby_2024_ALL!B:B, DATA_Moresby_2024_ALL!G:G, "")</f>
        <v>3380_20240611_0010_R_0537.jpg</v>
      </c>
      <c r="G679" s="93" t="str">
        <f t="shared" si="35"/>
        <v>3380_20240611_0010_R_0537.jpg</v>
      </c>
      <c r="H679" s="92">
        <v>3</v>
      </c>
      <c r="J679" s="79">
        <f>IF(G679="","X",_xlfn.XLOOKUP(B679,DATA_Moresby_2024_ALL!B:B,DATA_Moresby_2024_ALL!K:K,""))</f>
        <v>1</v>
      </c>
      <c r="K679" s="28"/>
      <c r="L679" s="29"/>
      <c r="M679" s="28"/>
      <c r="N679" s="19">
        <f t="shared" si="36"/>
        <v>4</v>
      </c>
      <c r="O679" s="19">
        <f t="shared" si="36"/>
        <v>4</v>
      </c>
      <c r="P679" s="19">
        <f t="shared" si="36"/>
        <v>4</v>
      </c>
      <c r="Q679" s="19">
        <f t="shared" si="36"/>
        <v>4</v>
      </c>
      <c r="X679" s="92" t="s">
        <v>78</v>
      </c>
      <c r="Y679" s="92" t="s">
        <v>78</v>
      </c>
      <c r="Z679" s="92" t="s">
        <v>78</v>
      </c>
    </row>
    <row r="680" spans="1:26" ht="16" hidden="1" x14ac:dyDescent="0.4">
      <c r="A680" s="92">
        <v>3384</v>
      </c>
      <c r="B680" s="92">
        <v>3385</v>
      </c>
      <c r="E680" s="92">
        <v>50</v>
      </c>
      <c r="F680" s="92" t="str">
        <f>_xlfn.XLOOKUP(B680, DATA_Moresby_2024_ALL!B:B, DATA_Moresby_2024_ALL!G:G, "")</f>
        <v>3385_20240611_0010_R_0525.jpg</v>
      </c>
      <c r="G680" s="93" t="str">
        <f t="shared" si="35"/>
        <v>3385_20240611_0010_R_0525.jpg</v>
      </c>
      <c r="H680" s="92">
        <v>3</v>
      </c>
      <c r="J680" s="79">
        <f>IF(G680="","X",_xlfn.XLOOKUP(B680,DATA_Moresby_2024_ALL!B:B,DATA_Moresby_2024_ALL!K:K,""))</f>
        <v>1</v>
      </c>
      <c r="K680" s="28"/>
      <c r="L680" s="29"/>
      <c r="M680" s="28"/>
      <c r="N680" s="19">
        <f t="shared" si="36"/>
        <v>4</v>
      </c>
      <c r="O680" s="19">
        <f t="shared" si="36"/>
        <v>4</v>
      </c>
      <c r="P680" s="19">
        <f t="shared" si="36"/>
        <v>4</v>
      </c>
      <c r="Q680" s="19">
        <v>3</v>
      </c>
      <c r="X680" s="92" t="s">
        <v>78</v>
      </c>
      <c r="Y680" s="92" t="s">
        <v>78</v>
      </c>
      <c r="Z680" s="92" t="s">
        <v>78</v>
      </c>
    </row>
    <row r="681" spans="1:26" ht="16" hidden="1" x14ac:dyDescent="0.4">
      <c r="A681" s="92">
        <v>3389</v>
      </c>
      <c r="B681" s="92">
        <v>3390</v>
      </c>
      <c r="E681" s="92">
        <v>50</v>
      </c>
      <c r="F681" s="92" t="str">
        <f>_xlfn.XLOOKUP(B681, DATA_Moresby_2024_ALL!B:B, DATA_Moresby_2024_ALL!G:G, "")</f>
        <v>3390_20240611_0010_R_0512.jpg</v>
      </c>
      <c r="G681" s="93" t="str">
        <f t="shared" si="35"/>
        <v>3390_20240611_0010_R_0512.jpg</v>
      </c>
      <c r="H681" s="92">
        <v>3</v>
      </c>
      <c r="J681" s="79">
        <f>IF(G681="","X",_xlfn.XLOOKUP(B681,DATA_Moresby_2024_ALL!B:B,DATA_Moresby_2024_ALL!K:K,""))</f>
        <v>1</v>
      </c>
      <c r="K681" s="28"/>
      <c r="L681" s="29"/>
      <c r="M681" s="28"/>
      <c r="N681" s="19">
        <f t="shared" si="36"/>
        <v>4</v>
      </c>
      <c r="O681" s="19">
        <f t="shared" si="36"/>
        <v>4</v>
      </c>
      <c r="P681" s="19">
        <f t="shared" si="36"/>
        <v>4</v>
      </c>
      <c r="Q681" s="19">
        <v>3</v>
      </c>
      <c r="X681" s="92" t="s">
        <v>78</v>
      </c>
      <c r="Y681" s="92" t="s">
        <v>78</v>
      </c>
      <c r="Z681" s="92" t="s">
        <v>78</v>
      </c>
    </row>
    <row r="682" spans="1:26" ht="16" hidden="1" x14ac:dyDescent="0.4">
      <c r="A682" s="92">
        <v>3394</v>
      </c>
      <c r="B682" s="92">
        <v>3395</v>
      </c>
      <c r="E682" s="92">
        <v>50</v>
      </c>
      <c r="F682" s="92" t="str">
        <f>_xlfn.XLOOKUP(B682, DATA_Moresby_2024_ALL!B:B, DATA_Moresby_2024_ALL!G:G, "")</f>
        <v>3395_20240611_0010_R_0500.jpg</v>
      </c>
      <c r="G682" s="93" t="str">
        <f t="shared" si="35"/>
        <v>3395_20240611_0010_R_0500.jpg</v>
      </c>
      <c r="H682" s="92">
        <v>3</v>
      </c>
      <c r="J682" s="79">
        <f>IF(G682="","X",_xlfn.XLOOKUP(B682,DATA_Moresby_2024_ALL!B:B,DATA_Moresby_2024_ALL!K:K,""))</f>
        <v>1</v>
      </c>
      <c r="K682" s="28"/>
      <c r="L682" s="29"/>
      <c r="M682" s="28"/>
      <c r="N682" s="19">
        <f t="shared" si="36"/>
        <v>4</v>
      </c>
      <c r="O682" s="19">
        <f t="shared" si="36"/>
        <v>4</v>
      </c>
      <c r="P682" s="19">
        <f t="shared" si="36"/>
        <v>4</v>
      </c>
      <c r="Q682" s="19">
        <f t="shared" si="36"/>
        <v>4</v>
      </c>
      <c r="X682" s="92" t="s">
        <v>78</v>
      </c>
      <c r="Y682" s="92" t="s">
        <v>78</v>
      </c>
      <c r="Z682" s="92" t="s">
        <v>78</v>
      </c>
    </row>
    <row r="683" spans="1:26" ht="16" hidden="1" x14ac:dyDescent="0.4">
      <c r="A683" s="92">
        <v>3399</v>
      </c>
      <c r="B683" s="92">
        <v>3400</v>
      </c>
      <c r="E683" s="92">
        <v>50</v>
      </c>
      <c r="F683" s="92" t="str">
        <f>_xlfn.XLOOKUP(B683, DATA_Moresby_2024_ALL!B:B, DATA_Moresby_2024_ALL!G:G, "")</f>
        <v>3400_20240611_0010_R_0487.jpg</v>
      </c>
      <c r="G683" s="93" t="str">
        <f t="shared" si="35"/>
        <v>3400_20240611_0010_R_0487.jpg</v>
      </c>
      <c r="H683" s="92">
        <v>3</v>
      </c>
      <c r="J683" s="79">
        <f>IF(G683="","X",_xlfn.XLOOKUP(B683,DATA_Moresby_2024_ALL!B:B,DATA_Moresby_2024_ALL!K:K,""))</f>
        <v>1</v>
      </c>
      <c r="K683" s="28"/>
      <c r="L683" s="29"/>
      <c r="M683" s="28"/>
      <c r="N683" s="19">
        <f t="shared" si="36"/>
        <v>4</v>
      </c>
      <c r="O683" s="19">
        <f t="shared" si="36"/>
        <v>4</v>
      </c>
      <c r="P683" s="19">
        <f t="shared" si="36"/>
        <v>4</v>
      </c>
      <c r="Q683" s="19">
        <f t="shared" si="36"/>
        <v>4</v>
      </c>
      <c r="X683" s="92" t="s">
        <v>78</v>
      </c>
      <c r="Y683" s="92" t="s">
        <v>78</v>
      </c>
      <c r="Z683" s="92" t="s">
        <v>78</v>
      </c>
    </row>
    <row r="684" spans="1:26" ht="16" hidden="1" x14ac:dyDescent="0.4">
      <c r="A684" s="92">
        <v>3404</v>
      </c>
      <c r="B684" s="92">
        <v>3405</v>
      </c>
      <c r="E684" s="92">
        <v>50</v>
      </c>
      <c r="F684" s="92" t="str">
        <f>_xlfn.XLOOKUP(B684, DATA_Moresby_2024_ALL!B:B, DATA_Moresby_2024_ALL!G:G, "")</f>
        <v>3405_20240611_0010_R_0474.jpg</v>
      </c>
      <c r="G684" s="93" t="str">
        <f t="shared" si="35"/>
        <v>3405_20240611_0010_R_0474.jpg</v>
      </c>
      <c r="H684" s="92">
        <v>3</v>
      </c>
      <c r="J684" s="79">
        <f>IF(G684="","X",_xlfn.XLOOKUP(B684,DATA_Moresby_2024_ALL!B:B,DATA_Moresby_2024_ALL!K:K,""))</f>
        <v>1</v>
      </c>
      <c r="K684" s="28"/>
      <c r="L684" s="29"/>
      <c r="M684" s="28"/>
      <c r="N684" s="19">
        <v>3</v>
      </c>
      <c r="O684" s="19">
        <f t="shared" si="36"/>
        <v>4</v>
      </c>
      <c r="P684" s="19">
        <f t="shared" si="36"/>
        <v>4</v>
      </c>
      <c r="Q684" s="19">
        <v>2</v>
      </c>
      <c r="X684" s="92" t="s">
        <v>78</v>
      </c>
      <c r="Y684" s="92" t="s">
        <v>78</v>
      </c>
      <c r="Z684" s="92" t="s">
        <v>78</v>
      </c>
    </row>
    <row r="685" spans="1:26" ht="16" hidden="1" x14ac:dyDescent="0.4">
      <c r="A685" s="92">
        <v>3409</v>
      </c>
      <c r="B685" s="92">
        <v>3410</v>
      </c>
      <c r="E685" s="92">
        <v>50</v>
      </c>
      <c r="F685" s="92" t="str">
        <f>_xlfn.XLOOKUP(B685, DATA_Moresby_2024_ALL!B:B, DATA_Moresby_2024_ALL!G:G, "")</f>
        <v>3410_20240611_0010_R_0462.jpg</v>
      </c>
      <c r="G685" s="93" t="str">
        <f t="shared" si="35"/>
        <v>3410_20240611_0010_R_0462.jpg</v>
      </c>
      <c r="H685" s="92">
        <v>3</v>
      </c>
      <c r="J685" s="79">
        <f>IF(G685="","X",_xlfn.XLOOKUP(B685,DATA_Moresby_2024_ALL!B:B,DATA_Moresby_2024_ALL!K:K,""))</f>
        <v>1</v>
      </c>
      <c r="K685" s="28"/>
      <c r="L685" s="29"/>
      <c r="M685" s="28"/>
      <c r="N685" s="19">
        <f t="shared" si="36"/>
        <v>4</v>
      </c>
      <c r="O685" s="19">
        <f t="shared" si="36"/>
        <v>4</v>
      </c>
      <c r="P685" s="19">
        <f t="shared" si="36"/>
        <v>4</v>
      </c>
      <c r="Q685" s="19">
        <f t="shared" si="36"/>
        <v>4</v>
      </c>
      <c r="X685" s="92" t="s">
        <v>78</v>
      </c>
      <c r="Y685" s="92" t="s">
        <v>78</v>
      </c>
      <c r="Z685" s="92" t="s">
        <v>78</v>
      </c>
    </row>
    <row r="686" spans="1:26" ht="16" hidden="1" x14ac:dyDescent="0.4">
      <c r="A686" s="92">
        <v>3414</v>
      </c>
      <c r="B686" s="92">
        <v>3415</v>
      </c>
      <c r="E686" s="92">
        <v>50</v>
      </c>
      <c r="F686" s="92" t="str">
        <f>_xlfn.XLOOKUP(B686, DATA_Moresby_2024_ALL!B:B, DATA_Moresby_2024_ALL!G:G, "")</f>
        <v>3415_20240611_0010_R_0450.jpg</v>
      </c>
      <c r="G686" s="93" t="str">
        <f t="shared" si="35"/>
        <v>3415_20240611_0010_R_0450.jpg</v>
      </c>
      <c r="H686" s="92">
        <v>3</v>
      </c>
      <c r="J686" s="79">
        <f>IF(G686="","X",_xlfn.XLOOKUP(B686,DATA_Moresby_2024_ALL!B:B,DATA_Moresby_2024_ALL!K:K,""))</f>
        <v>1</v>
      </c>
      <c r="K686" s="28"/>
      <c r="L686" s="29"/>
      <c r="M686" s="28"/>
      <c r="N686" s="19">
        <v>3</v>
      </c>
      <c r="O686" s="19">
        <f t="shared" si="36"/>
        <v>4</v>
      </c>
      <c r="P686" s="19">
        <f t="shared" si="36"/>
        <v>4</v>
      </c>
      <c r="Q686" s="19">
        <v>2</v>
      </c>
      <c r="X686" s="92" t="s">
        <v>78</v>
      </c>
      <c r="Y686" s="92" t="s">
        <v>78</v>
      </c>
      <c r="Z686" s="92" t="s">
        <v>78</v>
      </c>
    </row>
    <row r="687" spans="1:26" ht="16" hidden="1" x14ac:dyDescent="0.4">
      <c r="A687" s="92">
        <v>3419</v>
      </c>
      <c r="B687" s="92">
        <v>3420</v>
      </c>
      <c r="E687" s="92">
        <v>50</v>
      </c>
      <c r="F687" s="92" t="str">
        <f>_xlfn.XLOOKUP(B687, DATA_Moresby_2024_ALL!B:B, DATA_Moresby_2024_ALL!G:G, "")</f>
        <v>3420_20240611_0010_R_0438.jpg</v>
      </c>
      <c r="G687" s="93" t="str">
        <f t="shared" si="35"/>
        <v>3420_20240611_0010_R_0438.jpg</v>
      </c>
      <c r="H687" s="92">
        <v>3</v>
      </c>
      <c r="J687" s="79">
        <f>IF(G687="","X",_xlfn.XLOOKUP(B687,DATA_Moresby_2024_ALL!B:B,DATA_Moresby_2024_ALL!K:K,""))</f>
        <v>1</v>
      </c>
      <c r="K687" s="28"/>
      <c r="L687" s="29"/>
      <c r="M687" s="28"/>
      <c r="N687" s="19">
        <v>3</v>
      </c>
      <c r="O687" s="19">
        <f t="shared" si="36"/>
        <v>4</v>
      </c>
      <c r="P687" s="19">
        <f t="shared" si="36"/>
        <v>4</v>
      </c>
      <c r="Q687" s="19">
        <v>3</v>
      </c>
      <c r="X687" s="92" t="s">
        <v>78</v>
      </c>
      <c r="Y687" s="92" t="s">
        <v>78</v>
      </c>
      <c r="Z687" s="92" t="s">
        <v>78</v>
      </c>
    </row>
    <row r="688" spans="1:26" ht="16" hidden="1" x14ac:dyDescent="0.4">
      <c r="A688" s="92">
        <v>3424</v>
      </c>
      <c r="B688" s="92">
        <v>3425</v>
      </c>
      <c r="E688" s="92">
        <v>50</v>
      </c>
      <c r="F688" s="92" t="str">
        <f>_xlfn.XLOOKUP(B688, DATA_Moresby_2024_ALL!B:B, DATA_Moresby_2024_ALL!G:G, "")</f>
        <v>3425_20240611_0010_R_0426.jpg</v>
      </c>
      <c r="G688" s="93" t="str">
        <f t="shared" si="35"/>
        <v>3425_20240611_0010_R_0426.jpg</v>
      </c>
      <c r="H688" s="92">
        <v>3</v>
      </c>
      <c r="J688" s="79">
        <f>IF(G688="","X",_xlfn.XLOOKUP(B688,DATA_Moresby_2024_ALL!B:B,DATA_Moresby_2024_ALL!K:K,""))</f>
        <v>1</v>
      </c>
      <c r="K688" s="28"/>
      <c r="L688" s="29"/>
      <c r="M688" s="28"/>
      <c r="N688" s="19">
        <f t="shared" si="36"/>
        <v>4</v>
      </c>
      <c r="O688" s="19">
        <f t="shared" si="36"/>
        <v>4</v>
      </c>
      <c r="P688" s="19">
        <f t="shared" si="36"/>
        <v>4</v>
      </c>
      <c r="Q688" s="19">
        <f t="shared" si="36"/>
        <v>4</v>
      </c>
      <c r="X688" s="92" t="s">
        <v>78</v>
      </c>
      <c r="Y688" s="92" t="s">
        <v>78</v>
      </c>
      <c r="Z688" s="92" t="s">
        <v>78</v>
      </c>
    </row>
    <row r="689" spans="1:26" ht="16" hidden="1" x14ac:dyDescent="0.4">
      <c r="A689" s="92">
        <v>3429</v>
      </c>
      <c r="B689" s="92">
        <v>3430</v>
      </c>
      <c r="E689" s="92">
        <v>50</v>
      </c>
      <c r="F689" s="92" t="str">
        <f>_xlfn.XLOOKUP(B689, DATA_Moresby_2024_ALL!B:B, DATA_Moresby_2024_ALL!G:G, "")</f>
        <v>3430_20240611_0010_R_0414.jpg</v>
      </c>
      <c r="G689" s="93" t="str">
        <f t="shared" si="35"/>
        <v>3430_20240611_0010_R_0414.jpg</v>
      </c>
      <c r="H689" s="92">
        <v>3</v>
      </c>
      <c r="J689" s="79">
        <f>IF(G689="","X",_xlfn.XLOOKUP(B689,DATA_Moresby_2024_ALL!B:B,DATA_Moresby_2024_ALL!K:K,""))</f>
        <v>1</v>
      </c>
      <c r="K689" s="28"/>
      <c r="L689" s="29"/>
      <c r="M689" s="28"/>
      <c r="N689" s="19">
        <f t="shared" si="36"/>
        <v>4</v>
      </c>
      <c r="O689" s="19">
        <f t="shared" si="36"/>
        <v>4</v>
      </c>
      <c r="P689" s="19">
        <f t="shared" si="36"/>
        <v>4</v>
      </c>
      <c r="Q689" s="19">
        <v>3</v>
      </c>
      <c r="X689" s="92" t="s">
        <v>78</v>
      </c>
      <c r="Y689" s="92" t="s">
        <v>78</v>
      </c>
      <c r="Z689" s="92" t="s">
        <v>78</v>
      </c>
    </row>
    <row r="690" spans="1:26" ht="16" hidden="1" x14ac:dyDescent="0.4">
      <c r="A690" s="92">
        <v>3434</v>
      </c>
      <c r="B690" s="92">
        <v>3435</v>
      </c>
      <c r="E690" s="92">
        <v>50</v>
      </c>
      <c r="F690" s="92" t="str">
        <f>_xlfn.XLOOKUP(B690, DATA_Moresby_2024_ALL!B:B, DATA_Moresby_2024_ALL!G:G, "")</f>
        <v>3435_20240611_0010_R_0402.jpg</v>
      </c>
      <c r="G690" s="93" t="str">
        <f t="shared" si="35"/>
        <v>3435_20240611_0010_R_0402.jpg</v>
      </c>
      <c r="H690" s="92">
        <v>3</v>
      </c>
      <c r="J690" s="79">
        <f>IF(G690="","X",_xlfn.XLOOKUP(B690,DATA_Moresby_2024_ALL!B:B,DATA_Moresby_2024_ALL!K:K,""))</f>
        <v>1</v>
      </c>
      <c r="K690" s="28"/>
      <c r="L690" s="29"/>
      <c r="M690" s="28"/>
      <c r="N690" s="19">
        <f t="shared" si="36"/>
        <v>4</v>
      </c>
      <c r="O690" s="19">
        <f t="shared" si="36"/>
        <v>4</v>
      </c>
      <c r="P690" s="19">
        <f t="shared" si="36"/>
        <v>4</v>
      </c>
      <c r="Q690" s="19">
        <f t="shared" si="36"/>
        <v>4</v>
      </c>
      <c r="X690" s="92" t="s">
        <v>78</v>
      </c>
      <c r="Y690" s="92" t="s">
        <v>78</v>
      </c>
      <c r="Z690" s="92" t="s">
        <v>78</v>
      </c>
    </row>
    <row r="691" spans="1:26" ht="16" hidden="1" x14ac:dyDescent="0.4">
      <c r="A691" s="92">
        <v>3439</v>
      </c>
      <c r="B691" s="92">
        <v>3440</v>
      </c>
      <c r="E691" s="92">
        <v>50</v>
      </c>
      <c r="F691" s="92" t="str">
        <f>_xlfn.XLOOKUP(B691, DATA_Moresby_2024_ALL!B:B, DATA_Moresby_2024_ALL!G:G, "")</f>
        <v>3440_20240611_0010_R_0390.jpg</v>
      </c>
      <c r="G691" s="93" t="str">
        <f t="shared" si="35"/>
        <v>3440_20240611_0010_R_0390.jpg</v>
      </c>
      <c r="H691" s="92">
        <v>3</v>
      </c>
      <c r="J691" s="79">
        <f>IF(G691="","X",_xlfn.XLOOKUP(B691,DATA_Moresby_2024_ALL!B:B,DATA_Moresby_2024_ALL!K:K,""))</f>
        <v>1</v>
      </c>
      <c r="K691" s="28"/>
      <c r="L691" s="29"/>
      <c r="M691" s="28"/>
      <c r="N691" s="19">
        <f t="shared" si="36"/>
        <v>4</v>
      </c>
      <c r="O691" s="19">
        <f t="shared" si="36"/>
        <v>4</v>
      </c>
      <c r="P691" s="19">
        <f t="shared" si="36"/>
        <v>4</v>
      </c>
      <c r="Q691" s="19">
        <v>3</v>
      </c>
      <c r="X691" s="92" t="s">
        <v>78</v>
      </c>
      <c r="Y691" s="92" t="s">
        <v>78</v>
      </c>
      <c r="Z691" s="92" t="s">
        <v>78</v>
      </c>
    </row>
    <row r="692" spans="1:26" ht="16" hidden="1" x14ac:dyDescent="0.4">
      <c r="A692" s="92">
        <v>3444</v>
      </c>
      <c r="B692" s="92">
        <v>3445</v>
      </c>
      <c r="E692" s="92">
        <v>50</v>
      </c>
      <c r="F692" s="92" t="str">
        <f>_xlfn.XLOOKUP(B692, DATA_Moresby_2024_ALL!B:B, DATA_Moresby_2024_ALL!G:G, "")</f>
        <v>3445_20240611_0010_R_0377.jpg</v>
      </c>
      <c r="G692" s="93" t="str">
        <f t="shared" si="35"/>
        <v>3445_20240611_0010_R_0377.jpg</v>
      </c>
      <c r="H692" s="92">
        <v>3</v>
      </c>
      <c r="J692" s="79">
        <f>IF(G692="","X",_xlfn.XLOOKUP(B692,DATA_Moresby_2024_ALL!B:B,DATA_Moresby_2024_ALL!K:K,""))</f>
        <v>1</v>
      </c>
      <c r="K692" s="28"/>
      <c r="L692" s="29"/>
      <c r="M692" s="28"/>
      <c r="N692" s="19">
        <f t="shared" si="36"/>
        <v>4</v>
      </c>
      <c r="O692" s="19">
        <f t="shared" si="36"/>
        <v>4</v>
      </c>
      <c r="P692" s="19">
        <f t="shared" si="36"/>
        <v>4</v>
      </c>
      <c r="Q692" s="19">
        <v>2</v>
      </c>
      <c r="X692" s="92" t="s">
        <v>78</v>
      </c>
      <c r="Y692" s="92" t="s">
        <v>78</v>
      </c>
      <c r="Z692" s="92" t="s">
        <v>78</v>
      </c>
    </row>
    <row r="693" spans="1:26" ht="16" hidden="1" x14ac:dyDescent="0.4">
      <c r="A693" s="92">
        <v>3449</v>
      </c>
      <c r="B693" s="92">
        <v>3450</v>
      </c>
      <c r="E693" s="92">
        <v>50</v>
      </c>
      <c r="F693" s="92" t="str">
        <f>_xlfn.XLOOKUP(B693, DATA_Moresby_2024_ALL!B:B, DATA_Moresby_2024_ALL!G:G, "")</f>
        <v>3450_20240611_0010_R_0365.jpg</v>
      </c>
      <c r="G693" s="93" t="str">
        <f t="shared" si="35"/>
        <v>3450_20240611_0010_R_0365.jpg</v>
      </c>
      <c r="H693" s="92">
        <v>3</v>
      </c>
      <c r="J693" s="79">
        <f>IF(G693="","X",_xlfn.XLOOKUP(B693,DATA_Moresby_2024_ALL!B:B,DATA_Moresby_2024_ALL!K:K,""))</f>
        <v>1</v>
      </c>
      <c r="K693" s="28"/>
      <c r="L693" s="29"/>
      <c r="M693" s="28"/>
      <c r="N693" s="19">
        <f t="shared" si="36"/>
        <v>4</v>
      </c>
      <c r="O693" s="19">
        <f t="shared" si="36"/>
        <v>4</v>
      </c>
      <c r="P693" s="19">
        <f t="shared" si="36"/>
        <v>4</v>
      </c>
      <c r="Q693" s="19">
        <f t="shared" si="36"/>
        <v>4</v>
      </c>
      <c r="X693" s="92" t="s">
        <v>78</v>
      </c>
      <c r="Y693" s="92" t="s">
        <v>78</v>
      </c>
      <c r="Z693" s="92" t="s">
        <v>78</v>
      </c>
    </row>
    <row r="694" spans="1:26" ht="16" hidden="1" x14ac:dyDescent="0.4">
      <c r="A694" s="92">
        <v>3454</v>
      </c>
      <c r="B694" s="92">
        <v>3455</v>
      </c>
      <c r="E694" s="92">
        <v>50</v>
      </c>
      <c r="F694" s="92" t="str">
        <f>_xlfn.XLOOKUP(B694, DATA_Moresby_2024_ALL!B:B, DATA_Moresby_2024_ALL!G:G, "")</f>
        <v>3455_20240611_0010_R_0352.jpg</v>
      </c>
      <c r="G694" s="93" t="str">
        <f t="shared" si="35"/>
        <v>3455_20240611_0010_R_0352.jpg</v>
      </c>
      <c r="H694" s="92">
        <v>3</v>
      </c>
      <c r="J694" s="79">
        <f>IF(G694="","X",_xlfn.XLOOKUP(B694,DATA_Moresby_2024_ALL!B:B,DATA_Moresby_2024_ALL!K:K,""))</f>
        <v>1</v>
      </c>
      <c r="K694" s="28"/>
      <c r="L694" s="29"/>
      <c r="M694" s="28"/>
      <c r="N694" s="19">
        <f t="shared" si="36"/>
        <v>4</v>
      </c>
      <c r="O694" s="19">
        <f t="shared" si="36"/>
        <v>4</v>
      </c>
      <c r="P694" s="19">
        <f t="shared" si="36"/>
        <v>4</v>
      </c>
      <c r="Q694" s="19">
        <v>3</v>
      </c>
      <c r="X694" s="92" t="s">
        <v>78</v>
      </c>
      <c r="Y694" s="92" t="s">
        <v>78</v>
      </c>
      <c r="Z694" s="92" t="s">
        <v>78</v>
      </c>
    </row>
    <row r="695" spans="1:26" ht="16" hidden="1" x14ac:dyDescent="0.4">
      <c r="A695" s="92">
        <v>3459</v>
      </c>
      <c r="B695" s="92">
        <v>3460</v>
      </c>
      <c r="E695" s="92">
        <v>50</v>
      </c>
      <c r="F695" s="92" t="str">
        <f>_xlfn.XLOOKUP(B695, DATA_Moresby_2024_ALL!B:B, DATA_Moresby_2024_ALL!G:G, "")</f>
        <v>3460_20240611_0010_R_0338.jpg</v>
      </c>
      <c r="G695" s="93" t="str">
        <f t="shared" si="35"/>
        <v>3460_20240611_0010_R_0338.jpg</v>
      </c>
      <c r="H695" s="92">
        <v>3</v>
      </c>
      <c r="J695" s="79">
        <f>IF(G695="","X",_xlfn.XLOOKUP(B695,DATA_Moresby_2024_ALL!B:B,DATA_Moresby_2024_ALL!K:K,""))</f>
        <v>1</v>
      </c>
      <c r="K695" s="28"/>
      <c r="L695" s="29"/>
      <c r="M695" s="28"/>
      <c r="N695" s="19">
        <v>3</v>
      </c>
      <c r="O695" s="19">
        <f t="shared" si="36"/>
        <v>4</v>
      </c>
      <c r="P695" s="19">
        <f t="shared" si="36"/>
        <v>4</v>
      </c>
      <c r="Q695" s="19">
        <v>3</v>
      </c>
      <c r="X695" s="92" t="s">
        <v>78</v>
      </c>
      <c r="Y695" s="92" t="s">
        <v>78</v>
      </c>
      <c r="Z695" s="92" t="s">
        <v>78</v>
      </c>
    </row>
    <row r="696" spans="1:26" ht="16" hidden="1" x14ac:dyDescent="0.4">
      <c r="A696" s="92">
        <v>3464</v>
      </c>
      <c r="B696" s="92">
        <v>3465</v>
      </c>
      <c r="E696" s="92">
        <v>50</v>
      </c>
      <c r="F696" s="92" t="str">
        <f>_xlfn.XLOOKUP(B696, DATA_Moresby_2024_ALL!B:B, DATA_Moresby_2024_ALL!G:G, "")</f>
        <v>3465_20240611_0010_R_0324.jpg</v>
      </c>
      <c r="G696" s="93" t="str">
        <f t="shared" si="35"/>
        <v>3465_20240611_0010_R_0324.jpg</v>
      </c>
      <c r="H696" s="92">
        <v>3</v>
      </c>
      <c r="J696" s="79">
        <f>IF(G696="","X",_xlfn.XLOOKUP(B696,DATA_Moresby_2024_ALL!B:B,DATA_Moresby_2024_ALL!K:K,""))</f>
        <v>1</v>
      </c>
      <c r="K696" s="28"/>
      <c r="L696" s="29"/>
      <c r="M696" s="28"/>
      <c r="N696" s="19">
        <v>3</v>
      </c>
      <c r="O696" s="19">
        <f t="shared" si="36"/>
        <v>4</v>
      </c>
      <c r="P696" s="19">
        <f t="shared" si="36"/>
        <v>4</v>
      </c>
      <c r="Q696" s="19">
        <v>3</v>
      </c>
      <c r="X696" s="92" t="s">
        <v>78</v>
      </c>
      <c r="Y696" s="92" t="s">
        <v>78</v>
      </c>
      <c r="Z696" s="92" t="s">
        <v>78</v>
      </c>
    </row>
    <row r="697" spans="1:26" ht="16" hidden="1" x14ac:dyDescent="0.4">
      <c r="A697" s="92">
        <v>3469</v>
      </c>
      <c r="B697" s="92">
        <v>3470</v>
      </c>
      <c r="E697" s="92">
        <v>50</v>
      </c>
      <c r="F697" s="92" t="str">
        <f>_xlfn.XLOOKUP(B697, DATA_Moresby_2024_ALL!B:B, DATA_Moresby_2024_ALL!G:G, "")</f>
        <v>3470_20240611_0010_R_0308.jpg</v>
      </c>
      <c r="G697" s="93" t="str">
        <f t="shared" si="35"/>
        <v>3470_20240611_0010_R_0308.jpg</v>
      </c>
      <c r="H697" s="92">
        <v>3</v>
      </c>
      <c r="J697" s="79">
        <f>IF(G697="","X",_xlfn.XLOOKUP(B697,DATA_Moresby_2024_ALL!B:B,DATA_Moresby_2024_ALL!K:K,""))</f>
        <v>1</v>
      </c>
      <c r="K697" s="28"/>
      <c r="L697" s="29"/>
      <c r="M697" s="28"/>
      <c r="N697" s="19">
        <v>3</v>
      </c>
      <c r="O697" s="19">
        <f t="shared" si="36"/>
        <v>4</v>
      </c>
      <c r="P697" s="19">
        <f t="shared" si="36"/>
        <v>4</v>
      </c>
      <c r="Q697" s="19">
        <v>3</v>
      </c>
      <c r="X697" s="92" t="s">
        <v>78</v>
      </c>
      <c r="Y697" s="92" t="s">
        <v>78</v>
      </c>
      <c r="Z697" s="92" t="s">
        <v>78</v>
      </c>
    </row>
    <row r="698" spans="1:26" ht="16" hidden="1" x14ac:dyDescent="0.4">
      <c r="A698" s="92">
        <v>3474</v>
      </c>
      <c r="B698" s="92">
        <v>3475</v>
      </c>
      <c r="E698" s="92">
        <v>50</v>
      </c>
      <c r="F698" s="92" t="str">
        <f>_xlfn.XLOOKUP(B698, DATA_Moresby_2024_ALL!B:B, DATA_Moresby_2024_ALL!G:G, "")</f>
        <v>3475_20240611_0010_R_0293.jpg</v>
      </c>
      <c r="G698" s="93" t="str">
        <f t="shared" si="35"/>
        <v>3475_20240611_0010_R_0293.jpg</v>
      </c>
      <c r="H698" s="92">
        <v>3</v>
      </c>
      <c r="J698" s="79">
        <f>IF(G698="","X",_xlfn.XLOOKUP(B698,DATA_Moresby_2024_ALL!B:B,DATA_Moresby_2024_ALL!K:K,""))</f>
        <v>1</v>
      </c>
      <c r="K698" s="28"/>
      <c r="L698" s="29"/>
      <c r="M698" s="28"/>
      <c r="N698" s="19">
        <f t="shared" si="36"/>
        <v>4</v>
      </c>
      <c r="O698" s="19">
        <f t="shared" si="36"/>
        <v>4</v>
      </c>
      <c r="P698" s="19">
        <f t="shared" si="36"/>
        <v>4</v>
      </c>
      <c r="Q698" s="19">
        <v>3</v>
      </c>
      <c r="X698" s="92" t="s">
        <v>78</v>
      </c>
      <c r="Y698" s="92" t="s">
        <v>78</v>
      </c>
      <c r="Z698" s="92" t="s">
        <v>78</v>
      </c>
    </row>
    <row r="699" spans="1:26" ht="16" hidden="1" x14ac:dyDescent="0.4">
      <c r="A699" s="92">
        <v>3479</v>
      </c>
      <c r="B699" s="92">
        <v>3480</v>
      </c>
      <c r="E699" s="92">
        <v>50</v>
      </c>
      <c r="F699" s="92" t="str">
        <f>_xlfn.XLOOKUP(B699, DATA_Moresby_2024_ALL!B:B, DATA_Moresby_2024_ALL!G:G, "")</f>
        <v>3480_20240611_0010_R_0279.jpg</v>
      </c>
      <c r="G699" s="93" t="str">
        <f t="shared" si="35"/>
        <v>3480_20240611_0010_R_0279.jpg</v>
      </c>
      <c r="H699" s="92">
        <v>3</v>
      </c>
      <c r="J699" s="79">
        <f>IF(G699="","X",_xlfn.XLOOKUP(B699,DATA_Moresby_2024_ALL!B:B,DATA_Moresby_2024_ALL!K:K,""))</f>
        <v>1</v>
      </c>
      <c r="K699" s="28"/>
      <c r="L699" s="29"/>
      <c r="M699" s="28"/>
      <c r="N699" s="19">
        <f t="shared" si="36"/>
        <v>4</v>
      </c>
      <c r="O699" s="19">
        <f t="shared" si="36"/>
        <v>4</v>
      </c>
      <c r="P699" s="19">
        <f t="shared" si="36"/>
        <v>4</v>
      </c>
      <c r="Q699" s="19">
        <f t="shared" si="36"/>
        <v>4</v>
      </c>
      <c r="X699" s="92" t="s">
        <v>78</v>
      </c>
      <c r="Y699" s="92" t="s">
        <v>78</v>
      </c>
      <c r="Z699" s="92" t="s">
        <v>78</v>
      </c>
    </row>
    <row r="700" spans="1:26" ht="16" hidden="1" x14ac:dyDescent="0.4">
      <c r="A700" s="92">
        <v>3484</v>
      </c>
      <c r="B700" s="92">
        <v>3485</v>
      </c>
      <c r="E700" s="92">
        <v>50</v>
      </c>
      <c r="F700" s="92" t="str">
        <f>_xlfn.XLOOKUP(B700, DATA_Moresby_2024_ALL!B:B, DATA_Moresby_2024_ALL!G:G, "")</f>
        <v>3485_20240611_0010_R_0266.jpg</v>
      </c>
      <c r="G700" s="93" t="str">
        <f t="shared" si="35"/>
        <v>3485_20240611_0010_R_0266.jpg</v>
      </c>
      <c r="H700" s="92">
        <v>3</v>
      </c>
      <c r="J700" s="79">
        <f>IF(G700="","X",_xlfn.XLOOKUP(B700,DATA_Moresby_2024_ALL!B:B,DATA_Moresby_2024_ALL!K:K,""))</f>
        <v>1</v>
      </c>
      <c r="K700" s="28"/>
      <c r="L700" s="29"/>
      <c r="M700" s="28"/>
      <c r="N700" s="19">
        <f t="shared" si="36"/>
        <v>4</v>
      </c>
      <c r="O700" s="19">
        <f t="shared" si="36"/>
        <v>4</v>
      </c>
      <c r="P700" s="19">
        <f t="shared" si="36"/>
        <v>4</v>
      </c>
      <c r="Q700" s="19">
        <v>3</v>
      </c>
      <c r="X700" s="92" t="s">
        <v>78</v>
      </c>
      <c r="Y700" s="92" t="s">
        <v>78</v>
      </c>
      <c r="Z700" s="92" t="s">
        <v>78</v>
      </c>
    </row>
    <row r="701" spans="1:26" ht="16" hidden="1" x14ac:dyDescent="0.4">
      <c r="A701" s="92">
        <v>3489</v>
      </c>
      <c r="B701" s="92">
        <v>3490</v>
      </c>
      <c r="E701" s="92">
        <v>50</v>
      </c>
      <c r="F701" s="92" t="str">
        <f>_xlfn.XLOOKUP(B701, DATA_Moresby_2024_ALL!B:B, DATA_Moresby_2024_ALL!G:G, "")</f>
        <v>3490_20240611_0010_R_0250.jpg</v>
      </c>
      <c r="G701" s="93" t="str">
        <f t="shared" si="35"/>
        <v>3490_20240611_0010_R_0250.jpg</v>
      </c>
      <c r="H701" s="92">
        <v>3</v>
      </c>
      <c r="J701" s="79">
        <f>IF(G701="","X",_xlfn.XLOOKUP(B701,DATA_Moresby_2024_ALL!B:B,DATA_Moresby_2024_ALL!K:K,""))</f>
        <v>1</v>
      </c>
      <c r="K701" s="28"/>
      <c r="L701" s="29"/>
      <c r="M701" s="28"/>
      <c r="N701" s="19">
        <v>3</v>
      </c>
      <c r="O701" s="19">
        <f t="shared" si="36"/>
        <v>4</v>
      </c>
      <c r="P701" s="19">
        <f t="shared" si="36"/>
        <v>4</v>
      </c>
      <c r="Q701" s="19">
        <v>3</v>
      </c>
      <c r="X701" s="92" t="s">
        <v>78</v>
      </c>
      <c r="Y701" s="92" t="s">
        <v>78</v>
      </c>
      <c r="Z701" s="92" t="s">
        <v>78</v>
      </c>
    </row>
    <row r="702" spans="1:26" ht="16" hidden="1" x14ac:dyDescent="0.4">
      <c r="A702" s="92">
        <v>3494</v>
      </c>
      <c r="B702" s="92">
        <v>3495</v>
      </c>
      <c r="E702" s="92">
        <v>50</v>
      </c>
      <c r="F702" s="92" t="str">
        <f>_xlfn.XLOOKUP(B702, DATA_Moresby_2024_ALL!B:B, DATA_Moresby_2024_ALL!G:G, "")</f>
        <v>3495_20240611_0010_R_0236.jpg</v>
      </c>
      <c r="G702" s="93" t="str">
        <f t="shared" si="35"/>
        <v>3495_20240611_0010_R_0236.jpg</v>
      </c>
      <c r="H702" s="92">
        <v>3</v>
      </c>
      <c r="J702" s="79">
        <f>IF(G702="","X",_xlfn.XLOOKUP(B702,DATA_Moresby_2024_ALL!B:B,DATA_Moresby_2024_ALL!K:K,""))</f>
        <v>1</v>
      </c>
      <c r="K702" s="28"/>
      <c r="L702" s="29"/>
      <c r="M702" s="28"/>
      <c r="N702" s="19">
        <v>3</v>
      </c>
      <c r="O702" s="19">
        <f t="shared" si="36"/>
        <v>4</v>
      </c>
      <c r="P702" s="19">
        <f t="shared" si="36"/>
        <v>4</v>
      </c>
      <c r="Q702" s="19">
        <v>3</v>
      </c>
      <c r="X702" s="92" t="s">
        <v>78</v>
      </c>
      <c r="Y702" s="92" t="s">
        <v>78</v>
      </c>
      <c r="Z702" s="92" t="s">
        <v>78</v>
      </c>
    </row>
    <row r="703" spans="1:26" ht="16" hidden="1" x14ac:dyDescent="0.4">
      <c r="A703" s="92">
        <v>3499</v>
      </c>
      <c r="B703" s="92">
        <v>3500</v>
      </c>
      <c r="E703" s="92">
        <v>50</v>
      </c>
      <c r="F703" s="92" t="str">
        <f>_xlfn.XLOOKUP(B703, DATA_Moresby_2024_ALL!B:B, DATA_Moresby_2024_ALL!G:G, "")</f>
        <v>3500_20240611_0010_R_0221.jpg</v>
      </c>
      <c r="G703" s="93" t="str">
        <f t="shared" si="35"/>
        <v>3500_20240611_0010_R_0221.jpg</v>
      </c>
      <c r="H703" s="92">
        <v>3</v>
      </c>
      <c r="J703" s="79">
        <f>IF(G703="","X",_xlfn.XLOOKUP(B703,DATA_Moresby_2024_ALL!B:B,DATA_Moresby_2024_ALL!K:K,""))</f>
        <v>1</v>
      </c>
      <c r="K703" s="28"/>
      <c r="L703" s="29"/>
      <c r="M703" s="28"/>
      <c r="N703" s="19">
        <f t="shared" si="36"/>
        <v>4</v>
      </c>
      <c r="O703" s="19">
        <f t="shared" si="36"/>
        <v>4</v>
      </c>
      <c r="P703" s="19">
        <f t="shared" si="36"/>
        <v>4</v>
      </c>
      <c r="Q703" s="19">
        <v>3</v>
      </c>
      <c r="X703" s="92" t="s">
        <v>78</v>
      </c>
      <c r="Y703" s="92" t="s">
        <v>78</v>
      </c>
      <c r="Z703" s="92" t="s">
        <v>78</v>
      </c>
    </row>
    <row r="704" spans="1:26" ht="16" hidden="1" x14ac:dyDescent="0.4">
      <c r="A704" s="92">
        <v>3504</v>
      </c>
      <c r="B704" s="92">
        <v>3505</v>
      </c>
      <c r="E704" s="92">
        <v>50</v>
      </c>
      <c r="F704" s="92" t="str">
        <f>_xlfn.XLOOKUP(B704, DATA_Moresby_2024_ALL!B:B, DATA_Moresby_2024_ALL!G:G, "")</f>
        <v>3505_20240611_0010_R_0206.jpg</v>
      </c>
      <c r="G704" s="93" t="str">
        <f t="shared" si="35"/>
        <v>3505_20240611_0010_R_0206.jpg</v>
      </c>
      <c r="H704" s="92">
        <v>3</v>
      </c>
      <c r="J704" s="79">
        <f>IF(G704="","X",_xlfn.XLOOKUP(B704,DATA_Moresby_2024_ALL!B:B,DATA_Moresby_2024_ALL!K:K,""))</f>
        <v>1</v>
      </c>
      <c r="K704" s="28"/>
      <c r="L704" s="29"/>
      <c r="M704" s="28"/>
      <c r="N704" s="19">
        <v>2</v>
      </c>
      <c r="O704" s="19">
        <v>3</v>
      </c>
      <c r="P704" s="19">
        <f t="shared" si="36"/>
        <v>4</v>
      </c>
      <c r="Q704" s="19">
        <v>2</v>
      </c>
      <c r="X704" s="92" t="s">
        <v>78</v>
      </c>
      <c r="Y704" s="92" t="s">
        <v>78</v>
      </c>
      <c r="Z704" s="92" t="s">
        <v>78</v>
      </c>
    </row>
    <row r="705" spans="1:26" ht="16" hidden="1" x14ac:dyDescent="0.4">
      <c r="A705" s="92">
        <v>3509</v>
      </c>
      <c r="B705" s="92">
        <v>3510</v>
      </c>
      <c r="E705" s="92">
        <v>50</v>
      </c>
      <c r="F705" s="92" t="str">
        <f>_xlfn.XLOOKUP(B705, DATA_Moresby_2024_ALL!B:B, DATA_Moresby_2024_ALL!G:G, "")</f>
        <v>3510_20240611_0010_R_0191.jpg</v>
      </c>
      <c r="G705" s="93" t="str">
        <f t="shared" si="35"/>
        <v>3510_20240611_0010_R_0191.jpg</v>
      </c>
      <c r="H705" s="92">
        <v>3</v>
      </c>
      <c r="J705" s="79">
        <f>IF(G705="","X",_xlfn.XLOOKUP(B705,DATA_Moresby_2024_ALL!B:B,DATA_Moresby_2024_ALL!K:K,""))</f>
        <v>1</v>
      </c>
      <c r="K705" s="28"/>
      <c r="L705" s="29"/>
      <c r="M705" s="28"/>
      <c r="N705" s="19">
        <v>2</v>
      </c>
      <c r="O705" s="19">
        <v>3</v>
      </c>
      <c r="P705" s="19">
        <f t="shared" si="36"/>
        <v>4</v>
      </c>
      <c r="Q705" s="19">
        <v>2</v>
      </c>
      <c r="X705" s="92" t="s">
        <v>78</v>
      </c>
      <c r="Y705" s="92" t="s">
        <v>78</v>
      </c>
      <c r="Z705" s="92" t="s">
        <v>78</v>
      </c>
    </row>
    <row r="706" spans="1:26" ht="16" hidden="1" x14ac:dyDescent="0.4">
      <c r="A706" s="92">
        <v>3514</v>
      </c>
      <c r="B706" s="92">
        <v>3515</v>
      </c>
      <c r="E706" s="92">
        <v>50</v>
      </c>
      <c r="F706" s="92" t="str">
        <f>_xlfn.XLOOKUP(B706, DATA_Moresby_2024_ALL!B:B, DATA_Moresby_2024_ALL!G:G, "")</f>
        <v>3515_20240611_0010_R_0176.jpg</v>
      </c>
      <c r="G706" s="93" t="str">
        <f t="shared" si="35"/>
        <v>3515_20240611_0010_R_0176.jpg</v>
      </c>
      <c r="H706" s="92">
        <v>3</v>
      </c>
      <c r="J706" s="79">
        <f>IF(G706="","X",_xlfn.XLOOKUP(B706,DATA_Moresby_2024_ALL!B:B,DATA_Moresby_2024_ALL!K:K,""))</f>
        <v>1</v>
      </c>
      <c r="K706" s="28"/>
      <c r="L706" s="29"/>
      <c r="M706" s="28"/>
      <c r="N706" s="19">
        <v>3</v>
      </c>
      <c r="O706" s="19">
        <f t="shared" si="36"/>
        <v>4</v>
      </c>
      <c r="P706" s="19">
        <f t="shared" si="36"/>
        <v>4</v>
      </c>
      <c r="Q706" s="19">
        <v>2</v>
      </c>
      <c r="X706" s="92" t="s">
        <v>78</v>
      </c>
      <c r="Y706" s="92" t="s">
        <v>78</v>
      </c>
      <c r="Z706" s="92" t="s">
        <v>78</v>
      </c>
    </row>
    <row r="707" spans="1:26" ht="16" hidden="1" x14ac:dyDescent="0.4">
      <c r="A707" s="92">
        <v>3519</v>
      </c>
      <c r="B707" s="92">
        <v>3520</v>
      </c>
      <c r="E707" s="92">
        <v>50</v>
      </c>
      <c r="F707" s="92" t="str">
        <f>_xlfn.XLOOKUP(B707, DATA_Moresby_2024_ALL!B:B, DATA_Moresby_2024_ALL!G:G, "")</f>
        <v>3520_20240611_0010_R_0162.jpg</v>
      </c>
      <c r="G707" s="93" t="str">
        <f t="shared" si="35"/>
        <v>3520_20240611_0010_R_0162.jpg</v>
      </c>
      <c r="H707" s="92">
        <v>3</v>
      </c>
      <c r="J707" s="79">
        <f>IF(G707="","X",_xlfn.XLOOKUP(B707,DATA_Moresby_2024_ALL!B:B,DATA_Moresby_2024_ALL!K:K,""))</f>
        <v>1</v>
      </c>
      <c r="K707" s="28"/>
      <c r="L707" s="29"/>
      <c r="M707" s="28"/>
      <c r="N707" s="19">
        <v>3</v>
      </c>
      <c r="O707" s="19">
        <f t="shared" si="36"/>
        <v>4</v>
      </c>
      <c r="P707" s="19">
        <f t="shared" si="36"/>
        <v>4</v>
      </c>
      <c r="Q707" s="19">
        <v>3</v>
      </c>
      <c r="X707" s="92" t="s">
        <v>78</v>
      </c>
      <c r="Y707" s="92" t="s">
        <v>78</v>
      </c>
      <c r="Z707" s="92" t="s">
        <v>78</v>
      </c>
    </row>
    <row r="708" spans="1:26" ht="16" hidden="1" x14ac:dyDescent="0.4">
      <c r="A708" s="92">
        <v>3524</v>
      </c>
      <c r="B708" s="92">
        <v>3525</v>
      </c>
      <c r="E708" s="92">
        <v>50</v>
      </c>
      <c r="F708" s="92" t="str">
        <f>_xlfn.XLOOKUP(B708, DATA_Moresby_2024_ALL!B:B, DATA_Moresby_2024_ALL!G:G, "")</f>
        <v>3525_20240611_0010_R_0146.jpg</v>
      </c>
      <c r="G708" s="93" t="str">
        <f t="shared" si="35"/>
        <v>3525_20240611_0010_R_0146.jpg</v>
      </c>
      <c r="H708" s="92">
        <v>3</v>
      </c>
      <c r="J708" s="79">
        <f>IF(G708="","X",_xlfn.XLOOKUP(B708,DATA_Moresby_2024_ALL!B:B,DATA_Moresby_2024_ALL!K:K,""))</f>
        <v>1</v>
      </c>
      <c r="K708" s="28"/>
      <c r="L708" s="29"/>
      <c r="M708" s="28"/>
      <c r="N708" s="19">
        <f t="shared" si="36"/>
        <v>4</v>
      </c>
      <c r="O708" s="19">
        <f t="shared" si="36"/>
        <v>4</v>
      </c>
      <c r="P708" s="19">
        <f t="shared" si="36"/>
        <v>4</v>
      </c>
      <c r="Q708" s="19">
        <v>3</v>
      </c>
      <c r="X708" s="92" t="s">
        <v>78</v>
      </c>
      <c r="Y708" s="92" t="s">
        <v>78</v>
      </c>
      <c r="Z708" s="92" t="s">
        <v>78</v>
      </c>
    </row>
    <row r="709" spans="1:26" ht="16" hidden="1" x14ac:dyDescent="0.4">
      <c r="A709" s="92">
        <v>3529</v>
      </c>
      <c r="B709" s="92">
        <v>3530</v>
      </c>
      <c r="E709" s="92">
        <v>50</v>
      </c>
      <c r="F709" s="92" t="str">
        <f>_xlfn.XLOOKUP(B709, DATA_Moresby_2024_ALL!B:B, DATA_Moresby_2024_ALL!G:G, "")</f>
        <v>3530_20240611_0010_R_0131.jpg</v>
      </c>
      <c r="G709" s="93" t="str">
        <f t="shared" si="35"/>
        <v>3530_20240611_0010_R_0131.jpg</v>
      </c>
      <c r="H709" s="92">
        <v>3</v>
      </c>
      <c r="J709" s="79">
        <f>IF(G709="","X",_xlfn.XLOOKUP(B709,DATA_Moresby_2024_ALL!B:B,DATA_Moresby_2024_ALL!K:K,""))</f>
        <v>1</v>
      </c>
      <c r="K709" s="28"/>
      <c r="L709" s="29"/>
      <c r="M709" s="28"/>
      <c r="N709" s="19">
        <v>3</v>
      </c>
      <c r="O709" s="19">
        <f t="shared" si="36"/>
        <v>4</v>
      </c>
      <c r="P709" s="19">
        <f t="shared" si="36"/>
        <v>4</v>
      </c>
      <c r="Q709" s="19">
        <v>3</v>
      </c>
      <c r="X709" s="92" t="s">
        <v>78</v>
      </c>
      <c r="Y709" s="92" t="s">
        <v>78</v>
      </c>
      <c r="Z709" s="92" t="s">
        <v>78</v>
      </c>
    </row>
    <row r="710" spans="1:26" ht="16" hidden="1" x14ac:dyDescent="0.4">
      <c r="A710" s="92">
        <v>3534</v>
      </c>
      <c r="B710" s="92">
        <v>3535</v>
      </c>
      <c r="E710" s="92">
        <v>50</v>
      </c>
      <c r="F710" s="92" t="str">
        <f>_xlfn.XLOOKUP(B710, DATA_Moresby_2024_ALL!B:B, DATA_Moresby_2024_ALL!G:G, "")</f>
        <v>3535_20240611_0010_R_0116.jpg</v>
      </c>
      <c r="G710" s="93" t="str">
        <f t="shared" si="35"/>
        <v>3535_20240611_0010_R_0116.jpg</v>
      </c>
      <c r="H710" s="92">
        <v>3</v>
      </c>
      <c r="J710" s="79">
        <f>IF(G710="","X",_xlfn.XLOOKUP(B710,DATA_Moresby_2024_ALL!B:B,DATA_Moresby_2024_ALL!K:K,""))</f>
        <v>1</v>
      </c>
      <c r="K710" s="28"/>
      <c r="L710" s="29"/>
      <c r="M710" s="28"/>
      <c r="N710" s="19">
        <v>3</v>
      </c>
      <c r="O710" s="19">
        <f t="shared" si="36"/>
        <v>4</v>
      </c>
      <c r="P710" s="19">
        <f t="shared" si="36"/>
        <v>4</v>
      </c>
      <c r="Q710" s="19">
        <v>3</v>
      </c>
      <c r="X710" s="92" t="s">
        <v>78</v>
      </c>
      <c r="Y710" s="92" t="s">
        <v>78</v>
      </c>
      <c r="Z710" s="92" t="s">
        <v>78</v>
      </c>
    </row>
    <row r="711" spans="1:26" ht="16" hidden="1" x14ac:dyDescent="0.4">
      <c r="A711" s="92">
        <v>3539</v>
      </c>
      <c r="B711" s="92">
        <v>3540</v>
      </c>
      <c r="E711" s="92">
        <v>50</v>
      </c>
      <c r="F711" s="92" t="str">
        <f>_xlfn.XLOOKUP(B711, DATA_Moresby_2024_ALL!B:B, DATA_Moresby_2024_ALL!G:G, "")</f>
        <v>3540_20240611_0005_L_0054.jpg</v>
      </c>
      <c r="G711" s="93" t="str">
        <f t="shared" si="35"/>
        <v>3540_20240611_0005_L_0054.jpg</v>
      </c>
      <c r="H711" s="92">
        <v>3</v>
      </c>
      <c r="J711" s="79">
        <f>IF(G711="","X",_xlfn.XLOOKUP(B711,DATA_Moresby_2024_ALL!B:B,DATA_Moresby_2024_ALL!K:K,""))</f>
        <v>1</v>
      </c>
      <c r="K711" s="28"/>
      <c r="L711" s="29"/>
      <c r="M711" s="28"/>
      <c r="N711" s="19">
        <f t="shared" si="36"/>
        <v>4</v>
      </c>
      <c r="O711" s="19">
        <f t="shared" si="36"/>
        <v>4</v>
      </c>
      <c r="P711" s="19">
        <f t="shared" si="36"/>
        <v>4</v>
      </c>
      <c r="Q711" s="19">
        <v>3</v>
      </c>
      <c r="X711" s="92" t="s">
        <v>78</v>
      </c>
      <c r="Y711" s="92" t="s">
        <v>78</v>
      </c>
      <c r="Z711" s="92" t="s">
        <v>78</v>
      </c>
    </row>
    <row r="712" spans="1:26" ht="16" hidden="1" x14ac:dyDescent="0.4">
      <c r="A712" s="92">
        <v>3544</v>
      </c>
      <c r="B712" s="92">
        <v>3545</v>
      </c>
      <c r="E712" s="92">
        <v>50</v>
      </c>
      <c r="F712" s="92" t="str">
        <f>_xlfn.XLOOKUP(B712, DATA_Moresby_2024_ALL!B:B, DATA_Moresby_2024_ALL!G:G, "")</f>
        <v>3545_20240611_0010_R_0082.jpg</v>
      </c>
      <c r="G712" s="93" t="str">
        <f t="shared" si="35"/>
        <v>3545_20240611_0010_R_0082.jpg</v>
      </c>
      <c r="H712" s="92">
        <v>3</v>
      </c>
      <c r="J712" s="79">
        <f>IF(G712="","X",_xlfn.XLOOKUP(B712,DATA_Moresby_2024_ALL!B:B,DATA_Moresby_2024_ALL!K:K,""))</f>
        <v>1</v>
      </c>
      <c r="K712" s="28"/>
      <c r="L712" s="29"/>
      <c r="M712" s="28"/>
      <c r="N712" s="19">
        <f t="shared" si="36"/>
        <v>4</v>
      </c>
      <c r="O712" s="19">
        <f t="shared" si="36"/>
        <v>4</v>
      </c>
      <c r="P712" s="19">
        <f t="shared" si="36"/>
        <v>4</v>
      </c>
      <c r="Q712" s="19">
        <v>3</v>
      </c>
      <c r="X712" s="92" t="s">
        <v>78</v>
      </c>
      <c r="Y712" s="92" t="s">
        <v>78</v>
      </c>
      <c r="Z712" s="92" t="s">
        <v>78</v>
      </c>
    </row>
    <row r="713" spans="1:26" ht="16" hidden="1" x14ac:dyDescent="0.4">
      <c r="A713" s="92">
        <v>3549</v>
      </c>
      <c r="B713" s="92">
        <v>3550</v>
      </c>
      <c r="E713" s="92">
        <v>50</v>
      </c>
      <c r="F713" s="92" t="str">
        <f>_xlfn.XLOOKUP(B713, DATA_Moresby_2024_ALL!B:B, DATA_Moresby_2024_ALL!G:G, "")</f>
        <v>3550_20240611_0010_R_0067.jpg</v>
      </c>
      <c r="G713" s="93" t="str">
        <f t="shared" si="35"/>
        <v>3550_20240611_0010_R_0067.jpg</v>
      </c>
      <c r="H713" s="92">
        <v>3</v>
      </c>
      <c r="J713" s="79">
        <f>IF(G713="","X",_xlfn.XLOOKUP(B713,DATA_Moresby_2024_ALL!B:B,DATA_Moresby_2024_ALL!K:K,""))</f>
        <v>1</v>
      </c>
      <c r="K713" s="28"/>
      <c r="L713" s="29"/>
      <c r="M713" s="28"/>
      <c r="N713" s="19">
        <v>2</v>
      </c>
      <c r="O713" s="19">
        <v>3</v>
      </c>
      <c r="P713" s="19">
        <f t="shared" si="36"/>
        <v>4</v>
      </c>
      <c r="Q713" s="19">
        <v>2</v>
      </c>
      <c r="X713" s="92" t="s">
        <v>78</v>
      </c>
      <c r="Y713" s="92" t="s">
        <v>78</v>
      </c>
      <c r="Z713" s="92" t="s">
        <v>78</v>
      </c>
    </row>
    <row r="714" spans="1:26" ht="16" hidden="1" x14ac:dyDescent="0.4">
      <c r="A714" s="92">
        <v>3554</v>
      </c>
      <c r="B714" s="92">
        <v>3555</v>
      </c>
      <c r="E714" s="92">
        <v>50</v>
      </c>
      <c r="F714" s="92" t="str">
        <f>_xlfn.XLOOKUP(B714, DATA_Moresby_2024_ALL!B:B, DATA_Moresby_2024_ALL!G:G, "")</f>
        <v>3555_20240611_0005_L_0093.jpg</v>
      </c>
      <c r="G714" s="93" t="str">
        <f t="shared" si="35"/>
        <v>3555_20240611_0005_L_0093.jpg</v>
      </c>
      <c r="H714" s="92">
        <v>3</v>
      </c>
      <c r="I714" s="92" t="s">
        <v>26</v>
      </c>
      <c r="J714" s="79" t="s">
        <v>26</v>
      </c>
      <c r="K714" s="28"/>
      <c r="L714" s="29"/>
      <c r="M714" s="28"/>
      <c r="N714" s="19" t="str">
        <f t="shared" si="36"/>
        <v/>
      </c>
      <c r="O714" s="19" t="str">
        <f t="shared" si="36"/>
        <v/>
      </c>
      <c r="P714" s="19" t="str">
        <f t="shared" si="36"/>
        <v/>
      </c>
      <c r="Q714" s="19" t="str">
        <f t="shared" si="36"/>
        <v/>
      </c>
      <c r="X714" s="92" t="s">
        <v>78</v>
      </c>
      <c r="Y714" s="92" t="s">
        <v>78</v>
      </c>
      <c r="Z714" s="92" t="s">
        <v>78</v>
      </c>
    </row>
    <row r="715" spans="1:26" ht="16" hidden="1" x14ac:dyDescent="0.4">
      <c r="A715" s="92">
        <v>3559</v>
      </c>
      <c r="B715" s="92">
        <v>3560</v>
      </c>
      <c r="E715" s="92">
        <v>50</v>
      </c>
      <c r="F715" s="92" t="str">
        <f>_xlfn.XLOOKUP(B715, DATA_Moresby_2024_ALL!B:B, DATA_Moresby_2024_ALL!G:G, "")</f>
        <v>3560_20240611_0005_L_0107.jpg</v>
      </c>
      <c r="G715" s="93" t="str">
        <f t="shared" si="35"/>
        <v>3560_20240611_0005_L_0107.jpg</v>
      </c>
      <c r="H715" s="92">
        <v>3</v>
      </c>
      <c r="J715" s="79">
        <f>IF(G715="","X",_xlfn.XLOOKUP(B715,DATA_Moresby_2024_ALL!B:B,DATA_Moresby_2024_ALL!K:K,""))</f>
        <v>1</v>
      </c>
      <c r="K715" s="28"/>
      <c r="L715" s="29"/>
      <c r="M715" s="28"/>
      <c r="N715" s="19">
        <v>3</v>
      </c>
      <c r="O715" s="19">
        <f t="shared" si="36"/>
        <v>4</v>
      </c>
      <c r="P715" s="19">
        <f t="shared" si="36"/>
        <v>4</v>
      </c>
      <c r="Q715" s="19">
        <v>3</v>
      </c>
      <c r="X715" s="92" t="s">
        <v>78</v>
      </c>
      <c r="Y715" s="92" t="s">
        <v>78</v>
      </c>
      <c r="Z715" s="92" t="s">
        <v>78</v>
      </c>
    </row>
    <row r="716" spans="1:26" ht="16" hidden="1" x14ac:dyDescent="0.4">
      <c r="A716" s="92">
        <v>3564</v>
      </c>
      <c r="B716" s="92">
        <v>3565</v>
      </c>
      <c r="E716" s="92">
        <v>50</v>
      </c>
      <c r="F716" s="92" t="str">
        <f>_xlfn.XLOOKUP(B716, DATA_Moresby_2024_ALL!B:B, DATA_Moresby_2024_ALL!G:G, "")</f>
        <v>3565_20240611_0010_R_0019.jpg</v>
      </c>
      <c r="G716" s="93" t="str">
        <f t="shared" si="35"/>
        <v>3565_20240611_0010_R_0019.jpg</v>
      </c>
      <c r="H716" s="92">
        <v>3</v>
      </c>
      <c r="J716" s="79">
        <f>IF(G716="","X",_xlfn.XLOOKUP(B716,DATA_Moresby_2024_ALL!B:B,DATA_Moresby_2024_ALL!K:K,""))</f>
        <v>1</v>
      </c>
      <c r="K716" s="28"/>
      <c r="L716" s="29"/>
      <c r="M716" s="28"/>
      <c r="N716" s="19">
        <v>3</v>
      </c>
      <c r="O716" s="19">
        <f t="shared" si="36"/>
        <v>4</v>
      </c>
      <c r="P716" s="19">
        <f t="shared" si="36"/>
        <v>4</v>
      </c>
      <c r="Q716" s="19">
        <v>2</v>
      </c>
      <c r="X716" s="92" t="s">
        <v>78</v>
      </c>
      <c r="Y716" s="92" t="s">
        <v>78</v>
      </c>
      <c r="Z716" s="92" t="s">
        <v>78</v>
      </c>
    </row>
    <row r="717" spans="1:26" ht="16" hidden="1" x14ac:dyDescent="0.4">
      <c r="A717" s="92">
        <v>3569</v>
      </c>
      <c r="B717" s="92">
        <v>3570</v>
      </c>
      <c r="E717" s="92">
        <v>50</v>
      </c>
      <c r="F717" s="92" t="str">
        <f>_xlfn.XLOOKUP(B717, DATA_Moresby_2024_ALL!B:B, DATA_Moresby_2024_ALL!G:G, "")</f>
        <v>3570_20240611_0005_L_0134.jpg</v>
      </c>
      <c r="G717" s="93" t="str">
        <f t="shared" si="35"/>
        <v>3570_20240611_0005_L_0134.jpg</v>
      </c>
      <c r="H717" s="92">
        <v>3</v>
      </c>
      <c r="J717" s="79">
        <f>IF(G717="","X",_xlfn.XLOOKUP(B717,DATA_Moresby_2024_ALL!B:B,DATA_Moresby_2024_ALL!K:K,""))</f>
        <v>1</v>
      </c>
      <c r="K717" s="28"/>
      <c r="L717" s="29"/>
      <c r="M717" s="28"/>
      <c r="N717" s="19">
        <f t="shared" si="36"/>
        <v>4</v>
      </c>
      <c r="O717" s="19">
        <f t="shared" si="36"/>
        <v>4</v>
      </c>
      <c r="P717" s="19">
        <f t="shared" si="36"/>
        <v>4</v>
      </c>
      <c r="Q717" s="19">
        <v>3</v>
      </c>
      <c r="X717" s="92" t="s">
        <v>78</v>
      </c>
      <c r="Y717" s="92" t="s">
        <v>78</v>
      </c>
      <c r="Z717" s="92" t="s">
        <v>78</v>
      </c>
    </row>
    <row r="718" spans="1:26" ht="16" hidden="1" x14ac:dyDescent="0.4">
      <c r="A718" s="92">
        <v>3574</v>
      </c>
      <c r="B718" s="92">
        <v>3575</v>
      </c>
      <c r="E718" s="92">
        <v>50</v>
      </c>
      <c r="F718" s="92" t="str">
        <f>_xlfn.XLOOKUP(B718, DATA_Moresby_2024_ALL!B:B, DATA_Moresby_2024_ALL!G:G, "")</f>
        <v>3575_20240611_0005_L_0147.jpg</v>
      </c>
      <c r="G718" s="93" t="str">
        <f t="shared" ref="G718:G733" si="37">HYPERLINK("D:\Data From Lucan\2024\Moresby\Frames_for_Analysis_50\" &amp; F718,F718)</f>
        <v>3575_20240611_0005_L_0147.jpg</v>
      </c>
      <c r="H718" s="92">
        <v>3</v>
      </c>
      <c r="J718" s="79">
        <f>IF(G718="","X",_xlfn.XLOOKUP(B718,DATA_Moresby_2024_ALL!B:B,DATA_Moresby_2024_ALL!K:K,""))</f>
        <v>1</v>
      </c>
      <c r="K718" s="28"/>
      <c r="L718" s="29"/>
      <c r="M718" s="28"/>
      <c r="N718" s="19">
        <f t="shared" si="36"/>
        <v>4</v>
      </c>
      <c r="O718" s="19">
        <f t="shared" si="36"/>
        <v>4</v>
      </c>
      <c r="P718" s="19">
        <f t="shared" si="36"/>
        <v>4</v>
      </c>
      <c r="Q718" s="19">
        <v>3</v>
      </c>
      <c r="X718" s="92" t="s">
        <v>78</v>
      </c>
      <c r="Y718" s="92" t="s">
        <v>78</v>
      </c>
      <c r="Z718" s="92" t="s">
        <v>78</v>
      </c>
    </row>
    <row r="719" spans="1:26" ht="16" hidden="1" x14ac:dyDescent="0.4">
      <c r="A719" s="92">
        <v>3579</v>
      </c>
      <c r="B719" s="92">
        <v>3580</v>
      </c>
      <c r="E719" s="92">
        <v>50</v>
      </c>
      <c r="F719" s="92" t="str">
        <f>_xlfn.XLOOKUP(B719, DATA_Moresby_2024_ALL!B:B, DATA_Moresby_2024_ALL!G:G, "")</f>
        <v>3580_20240611_0005_L_0161.jpg</v>
      </c>
      <c r="G719" s="93" t="str">
        <f t="shared" si="37"/>
        <v>3580_20240611_0005_L_0161.jpg</v>
      </c>
      <c r="H719" s="92">
        <v>3</v>
      </c>
      <c r="J719" s="79">
        <f>IF(G719="","X",_xlfn.XLOOKUP(B719,DATA_Moresby_2024_ALL!B:B,DATA_Moresby_2024_ALL!K:K,""))</f>
        <v>1</v>
      </c>
      <c r="K719" s="28"/>
      <c r="L719" s="29"/>
      <c r="M719" s="28"/>
      <c r="N719" s="19">
        <f t="shared" si="36"/>
        <v>4</v>
      </c>
      <c r="O719" s="19">
        <f t="shared" si="36"/>
        <v>4</v>
      </c>
      <c r="P719" s="19">
        <f t="shared" si="36"/>
        <v>4</v>
      </c>
      <c r="Q719" s="19">
        <f t="shared" si="36"/>
        <v>4</v>
      </c>
      <c r="X719" s="92" t="s">
        <v>78</v>
      </c>
      <c r="Y719" s="92" t="s">
        <v>78</v>
      </c>
      <c r="Z719" s="92" t="s">
        <v>78</v>
      </c>
    </row>
    <row r="720" spans="1:26" ht="16" hidden="1" x14ac:dyDescent="0.4">
      <c r="A720" s="92">
        <v>3584</v>
      </c>
      <c r="B720" s="92">
        <v>3585</v>
      </c>
      <c r="E720" s="92">
        <v>50</v>
      </c>
      <c r="F720" s="92" t="str">
        <f>_xlfn.XLOOKUP(B720, DATA_Moresby_2024_ALL!B:B, DATA_Moresby_2024_ALL!G:G, "")</f>
        <v>3585_20240611_0005_L_0175.jpg</v>
      </c>
      <c r="G720" s="93" t="str">
        <f t="shared" si="37"/>
        <v>3585_20240611_0005_L_0175.jpg</v>
      </c>
      <c r="H720" s="92">
        <v>3</v>
      </c>
      <c r="J720" s="79">
        <f>IF(G720="","X",_xlfn.XLOOKUP(B720,DATA_Moresby_2024_ALL!B:B,DATA_Moresby_2024_ALL!K:K,""))</f>
        <v>1</v>
      </c>
      <c r="K720" s="28"/>
      <c r="L720" s="29"/>
      <c r="M720" s="28"/>
      <c r="N720" s="19">
        <f t="shared" si="36"/>
        <v>4</v>
      </c>
      <c r="O720" s="19">
        <f t="shared" si="36"/>
        <v>4</v>
      </c>
      <c r="P720" s="19">
        <f t="shared" si="36"/>
        <v>4</v>
      </c>
      <c r="Q720" s="19">
        <v>3</v>
      </c>
      <c r="X720" s="92" t="s">
        <v>78</v>
      </c>
      <c r="Y720" s="92" t="s">
        <v>78</v>
      </c>
      <c r="Z720" s="92" t="s">
        <v>78</v>
      </c>
    </row>
    <row r="721" spans="1:26" ht="16" hidden="1" x14ac:dyDescent="0.4">
      <c r="A721" s="92">
        <v>3589</v>
      </c>
      <c r="B721" s="92">
        <v>3590</v>
      </c>
      <c r="E721" s="92">
        <v>50</v>
      </c>
      <c r="F721" s="92" t="str">
        <f>_xlfn.XLOOKUP(B721, DATA_Moresby_2024_ALL!B:B, DATA_Moresby_2024_ALL!G:G, "")</f>
        <v>3590_20240611_0005_L_0191.jpg</v>
      </c>
      <c r="G721" s="93" t="str">
        <f t="shared" si="37"/>
        <v>3590_20240611_0005_L_0191.jpg</v>
      </c>
      <c r="H721" s="92">
        <v>3</v>
      </c>
      <c r="J721" s="79">
        <f>IF(G721="","X",_xlfn.XLOOKUP(B721,DATA_Moresby_2024_ALL!B:B,DATA_Moresby_2024_ALL!K:K,""))</f>
        <v>1</v>
      </c>
      <c r="K721" s="28"/>
      <c r="L721" s="29"/>
      <c r="M721" s="28"/>
      <c r="N721" s="19">
        <f t="shared" si="36"/>
        <v>4</v>
      </c>
      <c r="O721" s="19">
        <f t="shared" si="36"/>
        <v>4</v>
      </c>
      <c r="P721" s="19">
        <f t="shared" si="36"/>
        <v>4</v>
      </c>
      <c r="Q721" s="19">
        <v>3</v>
      </c>
      <c r="X721" s="92" t="s">
        <v>78</v>
      </c>
      <c r="Y721" s="92" t="s">
        <v>78</v>
      </c>
      <c r="Z721" s="92" t="s">
        <v>78</v>
      </c>
    </row>
    <row r="722" spans="1:26" ht="16" hidden="1" x14ac:dyDescent="0.4">
      <c r="A722" s="92">
        <v>3594</v>
      </c>
      <c r="B722" s="92">
        <v>3595</v>
      </c>
      <c r="E722" s="92">
        <v>50</v>
      </c>
      <c r="F722" s="92" t="str">
        <f>_xlfn.XLOOKUP(B722, DATA_Moresby_2024_ALL!B:B, DATA_Moresby_2024_ALL!G:G, "")</f>
        <v>3595_20240611_0005_L_0203.jpg</v>
      </c>
      <c r="G722" s="93" t="str">
        <f t="shared" si="37"/>
        <v>3595_20240611_0005_L_0203.jpg</v>
      </c>
      <c r="H722" s="92">
        <v>3</v>
      </c>
      <c r="J722" s="79">
        <f>IF(G722="","X",_xlfn.XLOOKUP(B722,DATA_Moresby_2024_ALL!B:B,DATA_Moresby_2024_ALL!K:K,""))</f>
        <v>1</v>
      </c>
      <c r="K722" s="28"/>
      <c r="L722" s="29"/>
      <c r="M722" s="28"/>
      <c r="N722" s="19">
        <f t="shared" si="36"/>
        <v>4</v>
      </c>
      <c r="O722" s="19">
        <f t="shared" si="36"/>
        <v>4</v>
      </c>
      <c r="P722" s="19">
        <f t="shared" si="36"/>
        <v>4</v>
      </c>
      <c r="Q722" s="19">
        <f t="shared" si="36"/>
        <v>4</v>
      </c>
      <c r="X722" s="92" t="s">
        <v>78</v>
      </c>
      <c r="Y722" s="92" t="s">
        <v>78</v>
      </c>
      <c r="Z722" s="92" t="s">
        <v>78</v>
      </c>
    </row>
    <row r="723" spans="1:26" ht="16" hidden="1" x14ac:dyDescent="0.4">
      <c r="A723" s="92">
        <v>3599</v>
      </c>
      <c r="B723" s="92">
        <v>3600</v>
      </c>
      <c r="E723" s="92">
        <v>50</v>
      </c>
      <c r="F723" s="92" t="str">
        <f>_xlfn.XLOOKUP(B723, DATA_Moresby_2024_ALL!B:B, DATA_Moresby_2024_ALL!G:G, "")</f>
        <v>3600_20240611_0005_L_0222.jpg</v>
      </c>
      <c r="G723" s="93" t="str">
        <f t="shared" si="37"/>
        <v>3600_20240611_0005_L_0222.jpg</v>
      </c>
      <c r="H723" s="92">
        <v>3</v>
      </c>
      <c r="J723" s="79">
        <f>IF(G723="","X",_xlfn.XLOOKUP(B723,DATA_Moresby_2024_ALL!B:B,DATA_Moresby_2024_ALL!K:K,""))</f>
        <v>1</v>
      </c>
      <c r="K723" s="28"/>
      <c r="L723" s="29"/>
      <c r="M723" s="28"/>
      <c r="N723" s="19">
        <f t="shared" si="36"/>
        <v>4</v>
      </c>
      <c r="O723" s="19">
        <f t="shared" si="36"/>
        <v>4</v>
      </c>
      <c r="P723" s="19">
        <f t="shared" si="36"/>
        <v>4</v>
      </c>
      <c r="Q723" s="19">
        <f t="shared" si="36"/>
        <v>4</v>
      </c>
      <c r="X723" s="92" t="s">
        <v>78</v>
      </c>
      <c r="Y723" s="92" t="s">
        <v>78</v>
      </c>
      <c r="Z723" s="92" t="s">
        <v>78</v>
      </c>
    </row>
    <row r="724" spans="1:26" ht="16" hidden="1" x14ac:dyDescent="0.4">
      <c r="A724" s="92">
        <v>3604</v>
      </c>
      <c r="B724" s="92">
        <v>3605</v>
      </c>
      <c r="E724" s="92">
        <v>50</v>
      </c>
      <c r="F724" s="92" t="str">
        <f>_xlfn.XLOOKUP(B724, DATA_Moresby_2024_ALL!B:B, DATA_Moresby_2024_ALL!G:G, "")</f>
        <v>3605_20240611_0005_L_0241.jpg</v>
      </c>
      <c r="G724" s="93" t="str">
        <f t="shared" si="37"/>
        <v>3605_20240611_0005_L_0241.jpg</v>
      </c>
      <c r="H724" s="92">
        <v>3</v>
      </c>
      <c r="J724" s="79">
        <f>IF(G724="","X",_xlfn.XLOOKUP(B724,DATA_Moresby_2024_ALL!B:B,DATA_Moresby_2024_ALL!K:K,""))</f>
        <v>1</v>
      </c>
      <c r="K724" s="28"/>
      <c r="L724" s="29"/>
      <c r="M724" s="28"/>
      <c r="N724" s="19">
        <f t="shared" si="36"/>
        <v>4</v>
      </c>
      <c r="O724" s="19">
        <f t="shared" si="36"/>
        <v>4</v>
      </c>
      <c r="P724" s="19">
        <f t="shared" si="36"/>
        <v>4</v>
      </c>
      <c r="Q724" s="19">
        <v>3</v>
      </c>
      <c r="X724" s="92" t="s">
        <v>78</v>
      </c>
      <c r="Y724" s="92" t="s">
        <v>78</v>
      </c>
      <c r="Z724" s="92" t="s">
        <v>78</v>
      </c>
    </row>
    <row r="725" spans="1:26" ht="16" hidden="1" x14ac:dyDescent="0.4">
      <c r="A725" s="92">
        <v>3609</v>
      </c>
      <c r="B725" s="92">
        <v>3610</v>
      </c>
      <c r="E725" s="92">
        <v>50</v>
      </c>
      <c r="F725" s="92" t="str">
        <f>_xlfn.XLOOKUP(B725, DATA_Moresby_2024_ALL!B:B, DATA_Moresby_2024_ALL!G:G, "")</f>
        <v>3610_20240611_0005_L_0261.jpg</v>
      </c>
      <c r="G725" s="93" t="str">
        <f t="shared" si="37"/>
        <v>3610_20240611_0005_L_0261.jpg</v>
      </c>
      <c r="H725" s="92">
        <v>3</v>
      </c>
      <c r="J725" s="79">
        <f>IF(G725="","X",_xlfn.XLOOKUP(B725,DATA_Moresby_2024_ALL!B:B,DATA_Moresby_2024_ALL!K:K,""))</f>
        <v>1</v>
      </c>
      <c r="K725" s="28"/>
      <c r="L725" s="29"/>
      <c r="M725" s="28"/>
      <c r="N725" s="19">
        <f t="shared" si="36"/>
        <v>4</v>
      </c>
      <c r="O725" s="19">
        <f t="shared" si="36"/>
        <v>4</v>
      </c>
      <c r="P725" s="19">
        <f t="shared" si="36"/>
        <v>4</v>
      </c>
      <c r="Q725" s="19">
        <f t="shared" si="36"/>
        <v>4</v>
      </c>
      <c r="X725" s="92" t="s">
        <v>78</v>
      </c>
      <c r="Y725" s="92" t="s">
        <v>78</v>
      </c>
      <c r="Z725" s="92" t="s">
        <v>78</v>
      </c>
    </row>
    <row r="726" spans="1:26" ht="16" hidden="1" x14ac:dyDescent="0.4">
      <c r="A726" s="92">
        <v>3614</v>
      </c>
      <c r="B726" s="92">
        <v>3615</v>
      </c>
      <c r="E726" s="92">
        <v>50</v>
      </c>
      <c r="F726" s="92" t="str">
        <f>_xlfn.XLOOKUP(B726, DATA_Moresby_2024_ALL!B:B, DATA_Moresby_2024_ALL!G:G, "")</f>
        <v>3615_20240611_0005_L_0275.jpg</v>
      </c>
      <c r="G726" s="93" t="str">
        <f t="shared" si="37"/>
        <v>3615_20240611_0005_L_0275.jpg</v>
      </c>
      <c r="H726" s="92">
        <v>3</v>
      </c>
      <c r="J726" s="79">
        <f>IF(G726="","X",_xlfn.XLOOKUP(B726,DATA_Moresby_2024_ALL!B:B,DATA_Moresby_2024_ALL!K:K,""))</f>
        <v>1</v>
      </c>
      <c r="K726" s="28"/>
      <c r="L726" s="29"/>
      <c r="M726" s="28"/>
      <c r="N726" s="19">
        <f t="shared" si="36"/>
        <v>4</v>
      </c>
      <c r="O726" s="19">
        <f t="shared" si="36"/>
        <v>4</v>
      </c>
      <c r="P726" s="19">
        <f t="shared" si="36"/>
        <v>4</v>
      </c>
      <c r="Q726" s="19">
        <f t="shared" si="36"/>
        <v>4</v>
      </c>
      <c r="X726" s="92" t="s">
        <v>78</v>
      </c>
      <c r="Y726" s="92" t="s">
        <v>78</v>
      </c>
      <c r="Z726" s="92" t="s">
        <v>78</v>
      </c>
    </row>
    <row r="727" spans="1:26" ht="16" hidden="1" x14ac:dyDescent="0.4">
      <c r="A727" s="92">
        <v>3619</v>
      </c>
      <c r="B727" s="92">
        <v>3620</v>
      </c>
      <c r="E727" s="92">
        <v>50</v>
      </c>
      <c r="F727" s="92" t="str">
        <f>_xlfn.XLOOKUP(B727, DATA_Moresby_2024_ALL!B:B, DATA_Moresby_2024_ALL!G:G, "")</f>
        <v>3620_20240611_0005_L_0290.jpg</v>
      </c>
      <c r="G727" s="93" t="str">
        <f t="shared" si="37"/>
        <v>3620_20240611_0005_L_0290.jpg</v>
      </c>
      <c r="H727" s="92">
        <v>3</v>
      </c>
      <c r="J727" s="79">
        <f>IF(G727="","X",_xlfn.XLOOKUP(B727,DATA_Moresby_2024_ALL!B:B,DATA_Moresby_2024_ALL!K:K,""))</f>
        <v>1</v>
      </c>
      <c r="K727" s="28"/>
      <c r="L727" s="29"/>
      <c r="M727" s="28"/>
      <c r="N727" s="19">
        <f t="shared" si="36"/>
        <v>4</v>
      </c>
      <c r="O727" s="19">
        <f t="shared" si="36"/>
        <v>4</v>
      </c>
      <c r="P727" s="19">
        <f t="shared" si="36"/>
        <v>4</v>
      </c>
      <c r="Q727" s="19">
        <f t="shared" si="36"/>
        <v>4</v>
      </c>
      <c r="X727" s="92" t="s">
        <v>78</v>
      </c>
      <c r="Y727" s="92" t="s">
        <v>78</v>
      </c>
      <c r="Z727" s="92" t="s">
        <v>78</v>
      </c>
    </row>
    <row r="728" spans="1:26" ht="16" hidden="1" x14ac:dyDescent="0.4">
      <c r="A728" s="92">
        <v>3624</v>
      </c>
      <c r="B728" s="92">
        <v>3625</v>
      </c>
      <c r="E728" s="92">
        <v>50</v>
      </c>
      <c r="F728" s="92" t="str">
        <f>_xlfn.XLOOKUP(B728, DATA_Moresby_2024_ALL!B:B, DATA_Moresby_2024_ALL!G:G, "")</f>
        <v>3625_20240611_0005_L_0308.jpg</v>
      </c>
      <c r="G728" s="93" t="str">
        <f t="shared" si="37"/>
        <v>3625_20240611_0005_L_0308.jpg</v>
      </c>
      <c r="H728" s="92">
        <v>3</v>
      </c>
      <c r="J728" s="79">
        <f>IF(G728="","X",_xlfn.XLOOKUP(B728,DATA_Moresby_2024_ALL!B:B,DATA_Moresby_2024_ALL!K:K,""))</f>
        <v>1</v>
      </c>
      <c r="K728" s="28"/>
      <c r="L728" s="29"/>
      <c r="M728" s="28"/>
      <c r="N728" s="19">
        <f t="shared" si="36"/>
        <v>4</v>
      </c>
      <c r="O728" s="19">
        <f t="shared" si="36"/>
        <v>4</v>
      </c>
      <c r="P728" s="19">
        <f t="shared" si="36"/>
        <v>4</v>
      </c>
      <c r="Q728" s="19">
        <f t="shared" si="36"/>
        <v>4</v>
      </c>
      <c r="X728" s="92" t="s">
        <v>78</v>
      </c>
      <c r="Y728" s="92" t="s">
        <v>78</v>
      </c>
      <c r="Z728" s="92" t="s">
        <v>78</v>
      </c>
    </row>
    <row r="729" spans="1:26" ht="16" hidden="1" x14ac:dyDescent="0.4">
      <c r="A729" s="92">
        <v>3629</v>
      </c>
      <c r="B729" s="92">
        <v>3630</v>
      </c>
      <c r="E729" s="92">
        <v>50</v>
      </c>
      <c r="F729" s="92" t="str">
        <f>_xlfn.XLOOKUP(B729, DATA_Moresby_2024_ALL!B:B, DATA_Moresby_2024_ALL!G:G, "")</f>
        <v>3630_20240611_0005_L_0329.jpg</v>
      </c>
      <c r="G729" s="93" t="str">
        <f t="shared" si="37"/>
        <v>3630_20240611_0005_L_0329.jpg</v>
      </c>
      <c r="H729" s="92">
        <v>3</v>
      </c>
      <c r="J729" s="79">
        <f>IF(G729="","X",_xlfn.XLOOKUP(B729,DATA_Moresby_2024_ALL!B:B,DATA_Moresby_2024_ALL!K:K,""))</f>
        <v>1</v>
      </c>
      <c r="K729" s="28"/>
      <c r="L729" s="29"/>
      <c r="M729" s="28"/>
      <c r="N729" s="19">
        <f t="shared" si="36"/>
        <v>4</v>
      </c>
      <c r="O729" s="19">
        <f t="shared" si="36"/>
        <v>4</v>
      </c>
      <c r="P729" s="19">
        <f t="shared" si="36"/>
        <v>4</v>
      </c>
      <c r="Q729" s="19">
        <f t="shared" si="36"/>
        <v>4</v>
      </c>
      <c r="X729" s="92" t="s">
        <v>78</v>
      </c>
      <c r="Y729" s="92" t="s">
        <v>78</v>
      </c>
      <c r="Z729" s="92" t="s">
        <v>78</v>
      </c>
    </row>
    <row r="730" spans="1:26" ht="16" hidden="1" x14ac:dyDescent="0.4">
      <c r="A730" s="92">
        <v>3634</v>
      </c>
      <c r="B730" s="92">
        <v>3635</v>
      </c>
      <c r="E730" s="92">
        <v>50</v>
      </c>
      <c r="F730" s="92" t="str">
        <f>_xlfn.XLOOKUP(B730, DATA_Moresby_2024_ALL!B:B, DATA_Moresby_2024_ALL!G:G, "")</f>
        <v>3635_20240611_0005_L_0346.jpg</v>
      </c>
      <c r="G730" s="93" t="str">
        <f t="shared" si="37"/>
        <v>3635_20240611_0005_L_0346.jpg</v>
      </c>
      <c r="H730" s="92">
        <v>3</v>
      </c>
      <c r="J730" s="79">
        <f>IF(G730="","X",_xlfn.XLOOKUP(B730,DATA_Moresby_2024_ALL!B:B,DATA_Moresby_2024_ALL!K:K,""))</f>
        <v>1</v>
      </c>
      <c r="K730" s="28"/>
      <c r="L730" s="29"/>
      <c r="M730" s="28"/>
      <c r="N730" s="19">
        <f t="shared" si="36"/>
        <v>4</v>
      </c>
      <c r="O730" s="19">
        <f t="shared" si="36"/>
        <v>4</v>
      </c>
      <c r="P730" s="19">
        <f t="shared" si="36"/>
        <v>4</v>
      </c>
      <c r="Q730" s="19">
        <f t="shared" si="36"/>
        <v>4</v>
      </c>
      <c r="X730" s="92" t="s">
        <v>78</v>
      </c>
      <c r="Y730" s="92" t="s">
        <v>78</v>
      </c>
      <c r="Z730" s="92" t="s">
        <v>78</v>
      </c>
    </row>
    <row r="731" spans="1:26" ht="16" hidden="1" x14ac:dyDescent="0.4">
      <c r="A731" s="92">
        <v>3639</v>
      </c>
      <c r="B731" s="92">
        <v>3640</v>
      </c>
      <c r="E731" s="92">
        <v>50</v>
      </c>
      <c r="F731" s="92" t="str">
        <f>_xlfn.XLOOKUP(B731, DATA_Moresby_2024_ALL!B:B, DATA_Moresby_2024_ALL!G:G, "")</f>
        <v>3640_20240611_0005_L_0368.jpg</v>
      </c>
      <c r="G731" s="93" t="str">
        <f t="shared" si="37"/>
        <v>3640_20240611_0005_L_0368.jpg</v>
      </c>
      <c r="H731" s="92">
        <v>3</v>
      </c>
      <c r="J731" s="79">
        <f>IF(G731="","X",_xlfn.XLOOKUP(B731,DATA_Moresby_2024_ALL!B:B,DATA_Moresby_2024_ALL!K:K,""))</f>
        <v>1</v>
      </c>
      <c r="K731" s="28"/>
      <c r="L731" s="29"/>
      <c r="M731" s="28"/>
      <c r="N731" s="19">
        <f t="shared" si="36"/>
        <v>4</v>
      </c>
      <c r="O731" s="19">
        <f t="shared" si="36"/>
        <v>4</v>
      </c>
      <c r="P731" s="19">
        <f t="shared" si="36"/>
        <v>4</v>
      </c>
      <c r="Q731" s="19">
        <f t="shared" si="36"/>
        <v>4</v>
      </c>
      <c r="X731" s="92" t="s">
        <v>78</v>
      </c>
      <c r="Y731" s="92" t="s">
        <v>78</v>
      </c>
      <c r="Z731" s="92" t="s">
        <v>78</v>
      </c>
    </row>
    <row r="732" spans="1:26" ht="16" hidden="1" x14ac:dyDescent="0.4">
      <c r="A732" s="92">
        <v>3644</v>
      </c>
      <c r="B732" s="92">
        <v>3645</v>
      </c>
      <c r="E732" s="92">
        <v>50</v>
      </c>
      <c r="F732" s="92" t="str">
        <f>_xlfn.XLOOKUP(B732, DATA_Moresby_2024_ALL!B:B, DATA_Moresby_2024_ALL!G:G, "")</f>
        <v>3645_20240611_0005_L_0385.jpg</v>
      </c>
      <c r="G732" s="93" t="str">
        <f t="shared" si="37"/>
        <v>3645_20240611_0005_L_0385.jpg</v>
      </c>
      <c r="H732" s="92">
        <v>9</v>
      </c>
      <c r="J732" s="79">
        <f>IF(G732="","X",_xlfn.XLOOKUP(B732,DATA_Moresby_2024_ALL!B:B,DATA_Moresby_2024_ALL!K:K,""))</f>
        <v>1</v>
      </c>
      <c r="K732" s="28"/>
      <c r="L732" s="29"/>
      <c r="M732" s="28"/>
      <c r="N732" s="19">
        <f t="shared" si="36"/>
        <v>4</v>
      </c>
      <c r="O732" s="19">
        <f t="shared" si="36"/>
        <v>4</v>
      </c>
      <c r="P732" s="19">
        <f t="shared" si="36"/>
        <v>4</v>
      </c>
      <c r="Q732" s="19">
        <f t="shared" si="36"/>
        <v>4</v>
      </c>
      <c r="X732" s="92" t="s">
        <v>78</v>
      </c>
      <c r="Y732" s="92" t="s">
        <v>78</v>
      </c>
      <c r="Z732" s="92" t="s">
        <v>78</v>
      </c>
    </row>
    <row r="733" spans="1:26" ht="16" hidden="1" x14ac:dyDescent="0.4">
      <c r="A733" s="92">
        <v>3649</v>
      </c>
      <c r="B733" s="92">
        <v>3650</v>
      </c>
      <c r="E733" s="92">
        <v>50</v>
      </c>
      <c r="F733" s="92" t="str">
        <f>_xlfn.XLOOKUP(B733, DATA_Moresby_2024_ALL!B:B, DATA_Moresby_2024_ALL!G:G, "")</f>
        <v>3650_20240611_0005_L_0398.jpg</v>
      </c>
      <c r="G733" s="93" t="str">
        <f t="shared" si="37"/>
        <v>3650_20240611_0005_L_0398.jpg</v>
      </c>
      <c r="H733" s="92">
        <v>9</v>
      </c>
      <c r="J733" s="79">
        <f>IF(G733="","X",_xlfn.XLOOKUP(B733,DATA_Moresby_2024_ALL!B:B,DATA_Moresby_2024_ALL!K:K,""))</f>
        <v>1</v>
      </c>
      <c r="K733" s="28"/>
      <c r="L733" s="29"/>
      <c r="M733" s="28"/>
      <c r="N733" s="19">
        <f t="shared" si="36"/>
        <v>4</v>
      </c>
      <c r="O733" s="19">
        <f t="shared" si="36"/>
        <v>4</v>
      </c>
      <c r="P733" s="19">
        <f t="shared" si="36"/>
        <v>4</v>
      </c>
      <c r="Q733" s="19">
        <f t="shared" ref="O733:Q796" si="38">IF($J733=1,4,"")</f>
        <v>4</v>
      </c>
      <c r="X733" s="92" t="s">
        <v>78</v>
      </c>
      <c r="Y733" s="92" t="s">
        <v>78</v>
      </c>
      <c r="Z733" s="92" t="s">
        <v>78</v>
      </c>
    </row>
    <row r="734" spans="1:26" ht="16" hidden="1" x14ac:dyDescent="0.4">
      <c r="A734" s="92">
        <v>3654</v>
      </c>
      <c r="B734" s="92">
        <v>3655</v>
      </c>
      <c r="E734" s="92">
        <v>50</v>
      </c>
      <c r="F734" s="92">
        <f>_xlfn.XLOOKUP(B734, DATA_Moresby_2024_ALL!B:B, DATA_Moresby_2024_ALL!G:G, "")</f>
        <v>0</v>
      </c>
      <c r="G734" s="93"/>
      <c r="H734" s="92">
        <v>9</v>
      </c>
      <c r="I734" s="92" t="str">
        <f t="shared" ref="I734:I797" si="39">IF(G734="","X","")</f>
        <v>X</v>
      </c>
      <c r="J734" s="79" t="str">
        <f>IF(G734="","X",_xlfn.XLOOKUP(B734,DATA_Moresby_2024_ALL!B:B,DATA_Moresby_2024_ALL!K:K,""))</f>
        <v>X</v>
      </c>
      <c r="K734" s="28"/>
      <c r="L734" s="29"/>
      <c r="M734" s="28"/>
      <c r="N734" s="19" t="str">
        <f t="shared" ref="N734:Q797" si="40">IF($J734=1,4,"")</f>
        <v/>
      </c>
      <c r="O734" s="19" t="str">
        <f t="shared" si="38"/>
        <v/>
      </c>
      <c r="P734" s="19" t="str">
        <f t="shared" si="38"/>
        <v/>
      </c>
      <c r="Q734" s="19" t="str">
        <f t="shared" si="38"/>
        <v/>
      </c>
      <c r="X734" s="92" t="s">
        <v>78</v>
      </c>
      <c r="Y734" s="92" t="s">
        <v>78</v>
      </c>
      <c r="Z734" s="92" t="s">
        <v>78</v>
      </c>
    </row>
    <row r="735" spans="1:26" ht="16" hidden="1" x14ac:dyDescent="0.4">
      <c r="A735" s="92">
        <v>3659</v>
      </c>
      <c r="B735" s="92">
        <v>3660</v>
      </c>
      <c r="E735" s="92">
        <v>50</v>
      </c>
      <c r="F735" s="92">
        <f>_xlfn.XLOOKUP(B735, DATA_Moresby_2024_ALL!B:B, DATA_Moresby_2024_ALL!G:G, "")</f>
        <v>0</v>
      </c>
      <c r="G735" s="93"/>
      <c r="H735" s="92">
        <v>9</v>
      </c>
      <c r="I735" s="92" t="str">
        <f t="shared" si="39"/>
        <v>X</v>
      </c>
      <c r="J735" s="79" t="str">
        <f>IF(G735="","X",_xlfn.XLOOKUP(B735,DATA_Moresby_2024_ALL!B:B,DATA_Moresby_2024_ALL!K:K,""))</f>
        <v>X</v>
      </c>
      <c r="K735" s="28"/>
      <c r="L735" s="29"/>
      <c r="M735" s="28"/>
      <c r="N735" s="19" t="str">
        <f t="shared" si="40"/>
        <v/>
      </c>
      <c r="O735" s="19" t="str">
        <f t="shared" si="38"/>
        <v/>
      </c>
      <c r="P735" s="19" t="str">
        <f t="shared" si="38"/>
        <v/>
      </c>
      <c r="Q735" s="19" t="str">
        <f t="shared" si="38"/>
        <v/>
      </c>
      <c r="X735" s="92" t="s">
        <v>78</v>
      </c>
      <c r="Y735" s="92" t="s">
        <v>78</v>
      </c>
      <c r="Z735" s="92" t="s">
        <v>78</v>
      </c>
    </row>
    <row r="736" spans="1:26" ht="16" hidden="1" x14ac:dyDescent="0.4">
      <c r="A736" s="92">
        <v>3664</v>
      </c>
      <c r="B736" s="92">
        <v>3665</v>
      </c>
      <c r="E736" s="92">
        <v>50</v>
      </c>
      <c r="F736" s="92">
        <f>_xlfn.XLOOKUP(B736, DATA_Moresby_2024_ALL!B:B, DATA_Moresby_2024_ALL!G:G, "")</f>
        <v>0</v>
      </c>
      <c r="G736" s="93"/>
      <c r="H736" s="92">
        <v>9</v>
      </c>
      <c r="I736" s="92" t="str">
        <f t="shared" si="39"/>
        <v>X</v>
      </c>
      <c r="J736" s="79" t="str">
        <f>IF(G736="","X",_xlfn.XLOOKUP(B736,DATA_Moresby_2024_ALL!B:B,DATA_Moresby_2024_ALL!K:K,""))</f>
        <v>X</v>
      </c>
      <c r="K736" s="28"/>
      <c r="L736" s="29"/>
      <c r="M736" s="28"/>
      <c r="N736" s="19" t="str">
        <f t="shared" si="40"/>
        <v/>
      </c>
      <c r="O736" s="19" t="str">
        <f t="shared" si="38"/>
        <v/>
      </c>
      <c r="P736" s="19" t="str">
        <f t="shared" si="38"/>
        <v/>
      </c>
      <c r="Q736" s="19" t="str">
        <f t="shared" si="38"/>
        <v/>
      </c>
      <c r="X736" s="92" t="s">
        <v>78</v>
      </c>
      <c r="Y736" s="92" t="s">
        <v>78</v>
      </c>
      <c r="Z736" s="92" t="s">
        <v>78</v>
      </c>
    </row>
    <row r="737" spans="1:26" ht="16" hidden="1" x14ac:dyDescent="0.4">
      <c r="A737" s="92">
        <v>3669</v>
      </c>
      <c r="B737" s="92">
        <v>3670</v>
      </c>
      <c r="E737" s="92">
        <v>50</v>
      </c>
      <c r="F737" s="92">
        <f>_xlfn.XLOOKUP(B737, DATA_Moresby_2024_ALL!B:B, DATA_Moresby_2024_ALL!G:G, "")</f>
        <v>0</v>
      </c>
      <c r="G737" s="93"/>
      <c r="H737" s="92">
        <v>9</v>
      </c>
      <c r="I737" s="92" t="str">
        <f t="shared" si="39"/>
        <v>X</v>
      </c>
      <c r="J737" s="79" t="str">
        <f>IF(G737="","X",_xlfn.XLOOKUP(B737,DATA_Moresby_2024_ALL!B:B,DATA_Moresby_2024_ALL!K:K,""))</f>
        <v>X</v>
      </c>
      <c r="K737" s="28"/>
      <c r="L737" s="29"/>
      <c r="M737" s="28"/>
      <c r="N737" s="19" t="str">
        <f t="shared" si="40"/>
        <v/>
      </c>
      <c r="O737" s="19" t="str">
        <f t="shared" si="38"/>
        <v/>
      </c>
      <c r="P737" s="19" t="str">
        <f t="shared" si="38"/>
        <v/>
      </c>
      <c r="Q737" s="19" t="str">
        <f t="shared" si="38"/>
        <v/>
      </c>
      <c r="X737" s="92" t="s">
        <v>78</v>
      </c>
      <c r="Y737" s="92" t="s">
        <v>78</v>
      </c>
      <c r="Z737" s="92" t="s">
        <v>78</v>
      </c>
    </row>
    <row r="738" spans="1:26" ht="16" hidden="1" x14ac:dyDescent="0.4">
      <c r="A738" s="92">
        <v>3674</v>
      </c>
      <c r="B738" s="92">
        <v>3675</v>
      </c>
      <c r="E738" s="92">
        <v>50</v>
      </c>
      <c r="F738" s="92">
        <f>_xlfn.XLOOKUP(B738, DATA_Moresby_2024_ALL!B:B, DATA_Moresby_2024_ALL!G:G, "")</f>
        <v>0</v>
      </c>
      <c r="G738" s="93"/>
      <c r="H738" s="92">
        <v>9</v>
      </c>
      <c r="I738" s="92" t="str">
        <f t="shared" si="39"/>
        <v>X</v>
      </c>
      <c r="J738" s="79" t="str">
        <f>IF(G738="","X",_xlfn.XLOOKUP(B738,DATA_Moresby_2024_ALL!B:B,DATA_Moresby_2024_ALL!K:K,""))</f>
        <v>X</v>
      </c>
      <c r="K738" s="28"/>
      <c r="L738" s="29"/>
      <c r="M738" s="28"/>
      <c r="N738" s="19" t="str">
        <f t="shared" si="40"/>
        <v/>
      </c>
      <c r="O738" s="19" t="str">
        <f t="shared" si="38"/>
        <v/>
      </c>
      <c r="P738" s="19" t="str">
        <f t="shared" si="38"/>
        <v/>
      </c>
      <c r="Q738" s="19" t="str">
        <f t="shared" si="38"/>
        <v/>
      </c>
      <c r="X738" s="92" t="s">
        <v>78</v>
      </c>
      <c r="Y738" s="92" t="s">
        <v>78</v>
      </c>
      <c r="Z738" s="92" t="s">
        <v>78</v>
      </c>
    </row>
    <row r="739" spans="1:26" ht="16" hidden="1" x14ac:dyDescent="0.4">
      <c r="A739" s="92">
        <v>3679</v>
      </c>
      <c r="B739" s="92">
        <v>3680</v>
      </c>
      <c r="E739" s="92">
        <v>50</v>
      </c>
      <c r="F739" s="92">
        <f>_xlfn.XLOOKUP(B739, DATA_Moresby_2024_ALL!B:B, DATA_Moresby_2024_ALL!G:G, "")</f>
        <v>0</v>
      </c>
      <c r="G739" s="93"/>
      <c r="H739" s="92">
        <v>9</v>
      </c>
      <c r="I739" s="92" t="str">
        <f t="shared" si="39"/>
        <v>X</v>
      </c>
      <c r="J739" s="79" t="str">
        <f>IF(G739="","X",_xlfn.XLOOKUP(B739,DATA_Moresby_2024_ALL!B:B,DATA_Moresby_2024_ALL!K:K,""))</f>
        <v>X</v>
      </c>
      <c r="K739" s="28"/>
      <c r="L739" s="29"/>
      <c r="M739" s="28"/>
      <c r="N739" s="19" t="str">
        <f t="shared" si="40"/>
        <v/>
      </c>
      <c r="O739" s="19" t="str">
        <f t="shared" si="38"/>
        <v/>
      </c>
      <c r="P739" s="19" t="str">
        <f t="shared" si="38"/>
        <v/>
      </c>
      <c r="Q739" s="19" t="str">
        <f t="shared" si="38"/>
        <v/>
      </c>
      <c r="X739" s="92" t="s">
        <v>78</v>
      </c>
      <c r="Y739" s="92" t="s">
        <v>78</v>
      </c>
      <c r="Z739" s="92" t="s">
        <v>78</v>
      </c>
    </row>
    <row r="740" spans="1:26" ht="16" hidden="1" x14ac:dyDescent="0.4">
      <c r="A740" s="92">
        <v>3684</v>
      </c>
      <c r="B740" s="92">
        <v>3685</v>
      </c>
      <c r="E740" s="92">
        <v>50</v>
      </c>
      <c r="F740" s="92">
        <f>_xlfn.XLOOKUP(B740, DATA_Moresby_2024_ALL!B:B, DATA_Moresby_2024_ALL!G:G, "")</f>
        <v>0</v>
      </c>
      <c r="G740" s="93"/>
      <c r="H740" s="92">
        <v>9</v>
      </c>
      <c r="I740" s="92" t="str">
        <f t="shared" si="39"/>
        <v>X</v>
      </c>
      <c r="J740" s="79" t="str">
        <f>IF(G740="","X",_xlfn.XLOOKUP(B740,DATA_Moresby_2024_ALL!B:B,DATA_Moresby_2024_ALL!K:K,""))</f>
        <v>X</v>
      </c>
      <c r="K740" s="28"/>
      <c r="L740" s="29"/>
      <c r="M740" s="28"/>
      <c r="N740" s="19" t="str">
        <f t="shared" si="40"/>
        <v/>
      </c>
      <c r="O740" s="19" t="str">
        <f t="shared" si="38"/>
        <v/>
      </c>
      <c r="P740" s="19" t="str">
        <f t="shared" si="38"/>
        <v/>
      </c>
      <c r="Q740" s="19" t="str">
        <f t="shared" si="38"/>
        <v/>
      </c>
      <c r="X740" s="92" t="s">
        <v>78</v>
      </c>
      <c r="Y740" s="92" t="s">
        <v>78</v>
      </c>
      <c r="Z740" s="92" t="s">
        <v>78</v>
      </c>
    </row>
    <row r="741" spans="1:26" ht="16" hidden="1" x14ac:dyDescent="0.4">
      <c r="A741" s="92">
        <v>3689</v>
      </c>
      <c r="B741" s="92">
        <v>3690</v>
      </c>
      <c r="E741" s="92">
        <v>50</v>
      </c>
      <c r="F741" s="92">
        <f>_xlfn.XLOOKUP(B741, DATA_Moresby_2024_ALL!B:B, DATA_Moresby_2024_ALL!G:G, "")</f>
        <v>0</v>
      </c>
      <c r="G741" s="93"/>
      <c r="H741" s="92">
        <v>9</v>
      </c>
      <c r="I741" s="92" t="str">
        <f t="shared" si="39"/>
        <v>X</v>
      </c>
      <c r="J741" s="79" t="str">
        <f>IF(G741="","X",_xlfn.XLOOKUP(B741,DATA_Moresby_2024_ALL!B:B,DATA_Moresby_2024_ALL!K:K,""))</f>
        <v>X</v>
      </c>
      <c r="K741" s="28"/>
      <c r="L741" s="29"/>
      <c r="M741" s="28"/>
      <c r="N741" s="19" t="str">
        <f t="shared" si="40"/>
        <v/>
      </c>
      <c r="O741" s="19" t="str">
        <f t="shared" si="38"/>
        <v/>
      </c>
      <c r="P741" s="19" t="str">
        <f t="shared" si="38"/>
        <v/>
      </c>
      <c r="Q741" s="19" t="str">
        <f t="shared" si="38"/>
        <v/>
      </c>
      <c r="X741" s="92" t="s">
        <v>78</v>
      </c>
      <c r="Y741" s="92" t="s">
        <v>78</v>
      </c>
      <c r="Z741" s="92" t="s">
        <v>78</v>
      </c>
    </row>
    <row r="742" spans="1:26" ht="16" hidden="1" x14ac:dyDescent="0.4">
      <c r="A742" s="92">
        <v>3694</v>
      </c>
      <c r="B742" s="92">
        <v>3695</v>
      </c>
      <c r="E742" s="92">
        <v>50</v>
      </c>
      <c r="F742" s="92">
        <f>_xlfn.XLOOKUP(B742, DATA_Moresby_2024_ALL!B:B, DATA_Moresby_2024_ALL!G:G, "")</f>
        <v>0</v>
      </c>
      <c r="G742" s="93"/>
      <c r="H742" s="92">
        <v>9</v>
      </c>
      <c r="I742" s="92" t="str">
        <f t="shared" si="39"/>
        <v>X</v>
      </c>
      <c r="J742" s="79" t="str">
        <f>IF(G742="","X",_xlfn.XLOOKUP(B742,DATA_Moresby_2024_ALL!B:B,DATA_Moresby_2024_ALL!K:K,""))</f>
        <v>X</v>
      </c>
      <c r="K742" s="28"/>
      <c r="L742" s="29"/>
      <c r="M742" s="28"/>
      <c r="N742" s="19" t="str">
        <f t="shared" si="40"/>
        <v/>
      </c>
      <c r="O742" s="19" t="str">
        <f t="shared" si="38"/>
        <v/>
      </c>
      <c r="P742" s="19" t="str">
        <f t="shared" si="38"/>
        <v/>
      </c>
      <c r="Q742" s="19" t="str">
        <f t="shared" si="38"/>
        <v/>
      </c>
      <c r="X742" s="92" t="s">
        <v>78</v>
      </c>
      <c r="Y742" s="92" t="s">
        <v>78</v>
      </c>
      <c r="Z742" s="92" t="s">
        <v>78</v>
      </c>
    </row>
    <row r="743" spans="1:26" ht="16" hidden="1" x14ac:dyDescent="0.4">
      <c r="A743" s="92">
        <v>3699</v>
      </c>
      <c r="B743" s="92">
        <v>3700</v>
      </c>
      <c r="E743" s="92">
        <v>50</v>
      </c>
      <c r="F743" s="92">
        <f>_xlfn.XLOOKUP(B743, DATA_Moresby_2024_ALL!B:B, DATA_Moresby_2024_ALL!G:G, "")</f>
        <v>0</v>
      </c>
      <c r="G743" s="93"/>
      <c r="H743" s="92">
        <v>9</v>
      </c>
      <c r="I743" s="92" t="str">
        <f t="shared" si="39"/>
        <v>X</v>
      </c>
      <c r="J743" s="79" t="str">
        <f>IF(G743="","X",_xlfn.XLOOKUP(B743,DATA_Moresby_2024_ALL!B:B,DATA_Moresby_2024_ALL!K:K,""))</f>
        <v>X</v>
      </c>
      <c r="K743" s="28"/>
      <c r="L743" s="29"/>
      <c r="M743" s="28"/>
      <c r="N743" s="19" t="str">
        <f t="shared" si="40"/>
        <v/>
      </c>
      <c r="O743" s="19" t="str">
        <f t="shared" si="38"/>
        <v/>
      </c>
      <c r="P743" s="19" t="str">
        <f t="shared" si="38"/>
        <v/>
      </c>
      <c r="Q743" s="19" t="str">
        <f t="shared" si="38"/>
        <v/>
      </c>
      <c r="X743" s="92" t="s">
        <v>78</v>
      </c>
      <c r="Y743" s="92" t="s">
        <v>78</v>
      </c>
      <c r="Z743" s="92" t="s">
        <v>78</v>
      </c>
    </row>
    <row r="744" spans="1:26" ht="16" hidden="1" x14ac:dyDescent="0.4">
      <c r="A744" s="92">
        <v>3704</v>
      </c>
      <c r="B744" s="92">
        <v>3705</v>
      </c>
      <c r="E744" s="92">
        <v>50</v>
      </c>
      <c r="F744" s="92">
        <f>_xlfn.XLOOKUP(B744, DATA_Moresby_2024_ALL!B:B, DATA_Moresby_2024_ALL!G:G, "")</f>
        <v>0</v>
      </c>
      <c r="G744" s="93"/>
      <c r="H744" s="92">
        <v>9</v>
      </c>
      <c r="I744" s="92" t="str">
        <f t="shared" si="39"/>
        <v>X</v>
      </c>
      <c r="J744" s="79" t="str">
        <f>IF(G744="","X",_xlfn.XLOOKUP(B744,DATA_Moresby_2024_ALL!B:B,DATA_Moresby_2024_ALL!K:K,""))</f>
        <v>X</v>
      </c>
      <c r="K744" s="28"/>
      <c r="L744" s="29"/>
      <c r="M744" s="28"/>
      <c r="N744" s="19" t="str">
        <f t="shared" si="40"/>
        <v/>
      </c>
      <c r="O744" s="19" t="str">
        <f t="shared" si="38"/>
        <v/>
      </c>
      <c r="P744" s="19" t="str">
        <f t="shared" si="38"/>
        <v/>
      </c>
      <c r="Q744" s="19" t="str">
        <f t="shared" si="38"/>
        <v/>
      </c>
      <c r="X744" s="92" t="s">
        <v>78</v>
      </c>
      <c r="Y744" s="92" t="s">
        <v>78</v>
      </c>
      <c r="Z744" s="92" t="s">
        <v>78</v>
      </c>
    </row>
    <row r="745" spans="1:26" ht="16" hidden="1" x14ac:dyDescent="0.4">
      <c r="A745" s="92">
        <v>3709</v>
      </c>
      <c r="B745" s="92">
        <v>3710</v>
      </c>
      <c r="E745" s="92">
        <v>50</v>
      </c>
      <c r="F745" s="92">
        <f>_xlfn.XLOOKUP(B745, DATA_Moresby_2024_ALL!B:B, DATA_Moresby_2024_ALL!G:G, "")</f>
        <v>0</v>
      </c>
      <c r="G745" s="93"/>
      <c r="H745" s="92">
        <v>9</v>
      </c>
      <c r="I745" s="92" t="str">
        <f t="shared" si="39"/>
        <v>X</v>
      </c>
      <c r="J745" s="79" t="str">
        <f>IF(G745="","X",_xlfn.XLOOKUP(B745,DATA_Moresby_2024_ALL!B:B,DATA_Moresby_2024_ALL!K:K,""))</f>
        <v>X</v>
      </c>
      <c r="K745" s="28"/>
      <c r="L745" s="29"/>
      <c r="M745" s="28"/>
      <c r="N745" s="19" t="str">
        <f t="shared" si="40"/>
        <v/>
      </c>
      <c r="O745" s="19" t="str">
        <f t="shared" si="38"/>
        <v/>
      </c>
      <c r="P745" s="19" t="str">
        <f t="shared" si="38"/>
        <v/>
      </c>
      <c r="Q745" s="19" t="str">
        <f t="shared" si="38"/>
        <v/>
      </c>
      <c r="X745" s="92" t="s">
        <v>78</v>
      </c>
      <c r="Y745" s="92" t="s">
        <v>78</v>
      </c>
      <c r="Z745" s="92" t="s">
        <v>78</v>
      </c>
    </row>
    <row r="746" spans="1:26" ht="16" hidden="1" x14ac:dyDescent="0.4">
      <c r="A746" s="92">
        <v>3714</v>
      </c>
      <c r="B746" s="92">
        <v>3715</v>
      </c>
      <c r="E746" s="92">
        <v>50</v>
      </c>
      <c r="F746" s="92">
        <f>_xlfn.XLOOKUP(B746, DATA_Moresby_2024_ALL!B:B, DATA_Moresby_2024_ALL!G:G, "")</f>
        <v>0</v>
      </c>
      <c r="G746" s="93"/>
      <c r="H746" s="92">
        <v>9</v>
      </c>
      <c r="I746" s="92" t="str">
        <f t="shared" si="39"/>
        <v>X</v>
      </c>
      <c r="J746" s="79" t="str">
        <f>IF(G746="","X",_xlfn.XLOOKUP(B746,DATA_Moresby_2024_ALL!B:B,DATA_Moresby_2024_ALL!K:K,""))</f>
        <v>X</v>
      </c>
      <c r="K746" s="28"/>
      <c r="L746" s="29"/>
      <c r="M746" s="28"/>
      <c r="N746" s="19" t="str">
        <f t="shared" si="40"/>
        <v/>
      </c>
      <c r="O746" s="19" t="str">
        <f t="shared" si="38"/>
        <v/>
      </c>
      <c r="P746" s="19" t="str">
        <f t="shared" si="38"/>
        <v/>
      </c>
      <c r="Q746" s="19" t="str">
        <f t="shared" si="38"/>
        <v/>
      </c>
      <c r="X746" s="92" t="s">
        <v>78</v>
      </c>
      <c r="Y746" s="92" t="s">
        <v>78</v>
      </c>
      <c r="Z746" s="92" t="s">
        <v>78</v>
      </c>
    </row>
    <row r="747" spans="1:26" ht="16" hidden="1" x14ac:dyDescent="0.4">
      <c r="A747" s="92">
        <v>3719</v>
      </c>
      <c r="B747" s="92">
        <v>3720</v>
      </c>
      <c r="E747" s="92">
        <v>50</v>
      </c>
      <c r="F747" s="92">
        <f>_xlfn.XLOOKUP(B747, DATA_Moresby_2024_ALL!B:B, DATA_Moresby_2024_ALL!G:G, "")</f>
        <v>0</v>
      </c>
      <c r="G747" s="93"/>
      <c r="H747" s="92">
        <v>9</v>
      </c>
      <c r="I747" s="92" t="str">
        <f t="shared" si="39"/>
        <v>X</v>
      </c>
      <c r="J747" s="79" t="str">
        <f>IF(G747="","X",_xlfn.XLOOKUP(B747,DATA_Moresby_2024_ALL!B:B,DATA_Moresby_2024_ALL!K:K,""))</f>
        <v>X</v>
      </c>
      <c r="K747" s="28"/>
      <c r="L747" s="29"/>
      <c r="M747" s="28"/>
      <c r="N747" s="19" t="str">
        <f t="shared" si="40"/>
        <v/>
      </c>
      <c r="O747" s="19" t="str">
        <f t="shared" si="38"/>
        <v/>
      </c>
      <c r="P747" s="19" t="str">
        <f t="shared" si="38"/>
        <v/>
      </c>
      <c r="Q747" s="19" t="str">
        <f t="shared" si="38"/>
        <v/>
      </c>
      <c r="X747" s="92" t="s">
        <v>78</v>
      </c>
      <c r="Y747" s="92" t="s">
        <v>78</v>
      </c>
      <c r="Z747" s="92" t="s">
        <v>78</v>
      </c>
    </row>
    <row r="748" spans="1:26" ht="16" hidden="1" x14ac:dyDescent="0.4">
      <c r="A748" s="92">
        <v>3724</v>
      </c>
      <c r="B748" s="92">
        <v>3725</v>
      </c>
      <c r="E748" s="92">
        <v>50</v>
      </c>
      <c r="F748" s="92">
        <f>_xlfn.XLOOKUP(B748, DATA_Moresby_2024_ALL!B:B, DATA_Moresby_2024_ALL!G:G, "")</f>
        <v>0</v>
      </c>
      <c r="G748" s="93"/>
      <c r="H748" s="92">
        <v>9</v>
      </c>
      <c r="I748" s="92" t="str">
        <f t="shared" si="39"/>
        <v>X</v>
      </c>
      <c r="J748" s="79" t="str">
        <f>IF(G748="","X",_xlfn.XLOOKUP(B748,DATA_Moresby_2024_ALL!B:B,DATA_Moresby_2024_ALL!K:K,""))</f>
        <v>X</v>
      </c>
      <c r="K748" s="28"/>
      <c r="L748" s="29"/>
      <c r="M748" s="28"/>
      <c r="N748" s="19" t="str">
        <f t="shared" si="40"/>
        <v/>
      </c>
      <c r="O748" s="19" t="str">
        <f t="shared" si="38"/>
        <v/>
      </c>
      <c r="P748" s="19" t="str">
        <f t="shared" si="38"/>
        <v/>
      </c>
      <c r="Q748" s="19" t="str">
        <f t="shared" si="38"/>
        <v/>
      </c>
      <c r="X748" s="92" t="s">
        <v>78</v>
      </c>
      <c r="Y748" s="92" t="s">
        <v>78</v>
      </c>
      <c r="Z748" s="92" t="s">
        <v>78</v>
      </c>
    </row>
    <row r="749" spans="1:26" ht="16" hidden="1" x14ac:dyDescent="0.4">
      <c r="A749" s="92">
        <v>3729</v>
      </c>
      <c r="B749" s="92">
        <v>3730</v>
      </c>
      <c r="E749" s="92">
        <v>50</v>
      </c>
      <c r="F749" s="92">
        <f>_xlfn.XLOOKUP(B749, DATA_Moresby_2024_ALL!B:B, DATA_Moresby_2024_ALL!G:G, "")</f>
        <v>0</v>
      </c>
      <c r="G749" s="93"/>
      <c r="H749" s="92">
        <v>9</v>
      </c>
      <c r="I749" s="92" t="str">
        <f t="shared" si="39"/>
        <v>X</v>
      </c>
      <c r="J749" s="79" t="str">
        <f>IF(G749="","X",_xlfn.XLOOKUP(B749,DATA_Moresby_2024_ALL!B:B,DATA_Moresby_2024_ALL!K:K,""))</f>
        <v>X</v>
      </c>
      <c r="K749" s="28"/>
      <c r="L749" s="29"/>
      <c r="M749" s="28"/>
      <c r="N749" s="19" t="str">
        <f t="shared" si="40"/>
        <v/>
      </c>
      <c r="O749" s="19" t="str">
        <f t="shared" si="38"/>
        <v/>
      </c>
      <c r="P749" s="19" t="str">
        <f t="shared" si="38"/>
        <v/>
      </c>
      <c r="Q749" s="19" t="str">
        <f t="shared" si="38"/>
        <v/>
      </c>
      <c r="X749" s="92" t="s">
        <v>78</v>
      </c>
      <c r="Y749" s="92" t="s">
        <v>78</v>
      </c>
      <c r="Z749" s="92" t="s">
        <v>78</v>
      </c>
    </row>
    <row r="750" spans="1:26" ht="16" hidden="1" x14ac:dyDescent="0.4">
      <c r="A750" s="92">
        <v>3734</v>
      </c>
      <c r="B750" s="92">
        <v>3735</v>
      </c>
      <c r="E750" s="92">
        <v>50</v>
      </c>
      <c r="F750" s="92">
        <f>_xlfn.XLOOKUP(B750, DATA_Moresby_2024_ALL!B:B, DATA_Moresby_2024_ALL!G:G, "")</f>
        <v>0</v>
      </c>
      <c r="G750" s="93"/>
      <c r="H750" s="92">
        <v>9</v>
      </c>
      <c r="I750" s="92" t="str">
        <f t="shared" si="39"/>
        <v>X</v>
      </c>
      <c r="J750" s="79" t="str">
        <f>IF(G750="","X",_xlfn.XLOOKUP(B750,DATA_Moresby_2024_ALL!B:B,DATA_Moresby_2024_ALL!K:K,""))</f>
        <v>X</v>
      </c>
      <c r="K750" s="28"/>
      <c r="L750" s="29"/>
      <c r="M750" s="28"/>
      <c r="N750" s="19" t="str">
        <f t="shared" si="40"/>
        <v/>
      </c>
      <c r="O750" s="19" t="str">
        <f t="shared" si="38"/>
        <v/>
      </c>
      <c r="P750" s="19" t="str">
        <f t="shared" si="38"/>
        <v/>
      </c>
      <c r="Q750" s="19" t="str">
        <f t="shared" si="38"/>
        <v/>
      </c>
      <c r="X750" s="92" t="s">
        <v>78</v>
      </c>
      <c r="Y750" s="92" t="s">
        <v>78</v>
      </c>
      <c r="Z750" s="92" t="s">
        <v>78</v>
      </c>
    </row>
    <row r="751" spans="1:26" ht="16" hidden="1" x14ac:dyDescent="0.4">
      <c r="A751" s="92">
        <v>3739</v>
      </c>
      <c r="B751" s="92">
        <v>3740</v>
      </c>
      <c r="E751" s="92">
        <v>50</v>
      </c>
      <c r="F751" s="92">
        <f>_xlfn.XLOOKUP(B751, DATA_Moresby_2024_ALL!B:B, DATA_Moresby_2024_ALL!G:G, "")</f>
        <v>0</v>
      </c>
      <c r="G751" s="93"/>
      <c r="H751" s="92">
        <v>9</v>
      </c>
      <c r="I751" s="92" t="str">
        <f t="shared" si="39"/>
        <v>X</v>
      </c>
      <c r="J751" s="79" t="str">
        <f>IF(G751="","X",_xlfn.XLOOKUP(B751,DATA_Moresby_2024_ALL!B:B,DATA_Moresby_2024_ALL!K:K,""))</f>
        <v>X</v>
      </c>
      <c r="K751" s="28"/>
      <c r="L751" s="29"/>
      <c r="M751" s="28"/>
      <c r="N751" s="19" t="str">
        <f t="shared" si="40"/>
        <v/>
      </c>
      <c r="O751" s="19" t="str">
        <f t="shared" si="38"/>
        <v/>
      </c>
      <c r="P751" s="19" t="str">
        <f t="shared" si="38"/>
        <v/>
      </c>
      <c r="Q751" s="19" t="str">
        <f t="shared" si="38"/>
        <v/>
      </c>
      <c r="X751" s="92" t="s">
        <v>78</v>
      </c>
      <c r="Y751" s="92" t="s">
        <v>78</v>
      </c>
      <c r="Z751" s="92" t="s">
        <v>78</v>
      </c>
    </row>
    <row r="752" spans="1:26" ht="16" hidden="1" x14ac:dyDescent="0.4">
      <c r="A752" s="92">
        <v>3744</v>
      </c>
      <c r="B752" s="92">
        <v>3745</v>
      </c>
      <c r="E752" s="92">
        <v>50</v>
      </c>
      <c r="F752" s="92">
        <f>_xlfn.XLOOKUP(B752, DATA_Moresby_2024_ALL!B:B, DATA_Moresby_2024_ALL!G:G, "")</f>
        <v>0</v>
      </c>
      <c r="G752" s="93"/>
      <c r="H752" s="92">
        <v>9</v>
      </c>
      <c r="I752" s="92" t="str">
        <f t="shared" si="39"/>
        <v>X</v>
      </c>
      <c r="J752" s="79" t="str">
        <f>IF(G752="","X",_xlfn.XLOOKUP(B752,DATA_Moresby_2024_ALL!B:B,DATA_Moresby_2024_ALL!K:K,""))</f>
        <v>X</v>
      </c>
      <c r="K752" s="28"/>
      <c r="L752" s="29"/>
      <c r="M752" s="28"/>
      <c r="N752" s="19" t="str">
        <f t="shared" si="40"/>
        <v/>
      </c>
      <c r="O752" s="19" t="str">
        <f t="shared" si="38"/>
        <v/>
      </c>
      <c r="P752" s="19" t="str">
        <f t="shared" si="38"/>
        <v/>
      </c>
      <c r="Q752" s="19" t="str">
        <f t="shared" si="38"/>
        <v/>
      </c>
      <c r="X752" s="92" t="s">
        <v>78</v>
      </c>
      <c r="Y752" s="92" t="s">
        <v>78</v>
      </c>
      <c r="Z752" s="92" t="s">
        <v>78</v>
      </c>
    </row>
    <row r="753" spans="1:26" ht="16" hidden="1" x14ac:dyDescent="0.4">
      <c r="A753" s="92">
        <v>3749</v>
      </c>
      <c r="B753" s="92">
        <v>3750</v>
      </c>
      <c r="E753" s="92">
        <v>50</v>
      </c>
      <c r="F753" s="92">
        <f>_xlfn.XLOOKUP(B753, DATA_Moresby_2024_ALL!B:B, DATA_Moresby_2024_ALL!G:G, "")</f>
        <v>0</v>
      </c>
      <c r="G753" s="93"/>
      <c r="H753" s="92">
        <v>9</v>
      </c>
      <c r="I753" s="92" t="str">
        <f t="shared" si="39"/>
        <v>X</v>
      </c>
      <c r="J753" s="79" t="str">
        <f>IF(G753="","X",_xlfn.XLOOKUP(B753,DATA_Moresby_2024_ALL!B:B,DATA_Moresby_2024_ALL!K:K,""))</f>
        <v>X</v>
      </c>
      <c r="K753" s="28"/>
      <c r="L753" s="29"/>
      <c r="M753" s="28"/>
      <c r="N753" s="19" t="str">
        <f t="shared" si="40"/>
        <v/>
      </c>
      <c r="O753" s="19" t="str">
        <f t="shared" si="38"/>
        <v/>
      </c>
      <c r="P753" s="19" t="str">
        <f t="shared" si="38"/>
        <v/>
      </c>
      <c r="Q753" s="19" t="str">
        <f t="shared" si="38"/>
        <v/>
      </c>
      <c r="X753" s="92" t="s">
        <v>78</v>
      </c>
      <c r="Y753" s="92" t="s">
        <v>78</v>
      </c>
      <c r="Z753" s="92" t="s">
        <v>78</v>
      </c>
    </row>
    <row r="754" spans="1:26" ht="16" hidden="1" x14ac:dyDescent="0.4">
      <c r="A754" s="92">
        <v>3754</v>
      </c>
      <c r="B754" s="92">
        <v>3755</v>
      </c>
      <c r="E754" s="92">
        <v>50</v>
      </c>
      <c r="F754" s="92">
        <f>_xlfn.XLOOKUP(B754, DATA_Moresby_2024_ALL!B:B, DATA_Moresby_2024_ALL!G:G, "")</f>
        <v>0</v>
      </c>
      <c r="G754" s="93"/>
      <c r="H754" s="92">
        <v>9</v>
      </c>
      <c r="I754" s="92" t="str">
        <f t="shared" si="39"/>
        <v>X</v>
      </c>
      <c r="J754" s="79" t="str">
        <f>IF(G754="","X",_xlfn.XLOOKUP(B754,DATA_Moresby_2024_ALL!B:B,DATA_Moresby_2024_ALL!K:K,""))</f>
        <v>X</v>
      </c>
      <c r="K754" s="28"/>
      <c r="L754" s="29"/>
      <c r="M754" s="28"/>
      <c r="N754" s="19" t="str">
        <f t="shared" si="40"/>
        <v/>
      </c>
      <c r="O754" s="19" t="str">
        <f t="shared" si="38"/>
        <v/>
      </c>
      <c r="P754" s="19" t="str">
        <f t="shared" si="38"/>
        <v/>
      </c>
      <c r="Q754" s="19" t="str">
        <f t="shared" si="38"/>
        <v/>
      </c>
      <c r="X754" s="92" t="s">
        <v>78</v>
      </c>
      <c r="Y754" s="92" t="s">
        <v>78</v>
      </c>
      <c r="Z754" s="92" t="s">
        <v>78</v>
      </c>
    </row>
    <row r="755" spans="1:26" ht="16" hidden="1" x14ac:dyDescent="0.4">
      <c r="A755" s="92">
        <v>3759</v>
      </c>
      <c r="B755" s="92">
        <v>3760</v>
      </c>
      <c r="E755" s="92">
        <v>50</v>
      </c>
      <c r="F755" s="92">
        <f>_xlfn.XLOOKUP(B755, DATA_Moresby_2024_ALL!B:B, DATA_Moresby_2024_ALL!G:G, "")</f>
        <v>0</v>
      </c>
      <c r="G755" s="93"/>
      <c r="H755" s="92">
        <v>9</v>
      </c>
      <c r="I755" s="92" t="str">
        <f t="shared" si="39"/>
        <v>X</v>
      </c>
      <c r="J755" s="79" t="str">
        <f>IF(G755="","X",_xlfn.XLOOKUP(B755,DATA_Moresby_2024_ALL!B:B,DATA_Moresby_2024_ALL!K:K,""))</f>
        <v>X</v>
      </c>
      <c r="K755" s="28"/>
      <c r="L755" s="29"/>
      <c r="M755" s="28"/>
      <c r="N755" s="19" t="str">
        <f t="shared" si="40"/>
        <v/>
      </c>
      <c r="O755" s="19" t="str">
        <f t="shared" si="38"/>
        <v/>
      </c>
      <c r="P755" s="19" t="str">
        <f t="shared" si="38"/>
        <v/>
      </c>
      <c r="Q755" s="19" t="str">
        <f t="shared" si="38"/>
        <v/>
      </c>
      <c r="X755" s="92" t="s">
        <v>78</v>
      </c>
      <c r="Y755" s="92" t="s">
        <v>78</v>
      </c>
      <c r="Z755" s="92" t="s">
        <v>78</v>
      </c>
    </row>
    <row r="756" spans="1:26" ht="16" hidden="1" x14ac:dyDescent="0.4">
      <c r="A756" s="92">
        <v>3764</v>
      </c>
      <c r="B756" s="92">
        <v>3765</v>
      </c>
      <c r="E756" s="92">
        <v>50</v>
      </c>
      <c r="F756" s="92">
        <f>_xlfn.XLOOKUP(B756, DATA_Moresby_2024_ALL!B:B, DATA_Moresby_2024_ALL!G:G, "")</f>
        <v>0</v>
      </c>
      <c r="G756" s="93"/>
      <c r="H756" s="92">
        <v>9</v>
      </c>
      <c r="I756" s="92" t="str">
        <f t="shared" si="39"/>
        <v>X</v>
      </c>
      <c r="J756" s="79" t="str">
        <f>IF(G756="","X",_xlfn.XLOOKUP(B756,DATA_Moresby_2024_ALL!B:B,DATA_Moresby_2024_ALL!K:K,""))</f>
        <v>X</v>
      </c>
      <c r="K756" s="28"/>
      <c r="L756" s="29"/>
      <c r="M756" s="28"/>
      <c r="N756" s="19" t="str">
        <f t="shared" si="40"/>
        <v/>
      </c>
      <c r="O756" s="19" t="str">
        <f t="shared" si="38"/>
        <v/>
      </c>
      <c r="P756" s="19" t="str">
        <f t="shared" si="38"/>
        <v/>
      </c>
      <c r="Q756" s="19" t="str">
        <f t="shared" si="38"/>
        <v/>
      </c>
      <c r="X756" s="92" t="s">
        <v>78</v>
      </c>
      <c r="Y756" s="92" t="s">
        <v>78</v>
      </c>
      <c r="Z756" s="92" t="s">
        <v>78</v>
      </c>
    </row>
    <row r="757" spans="1:26" ht="16" hidden="1" x14ac:dyDescent="0.4">
      <c r="A757" s="92">
        <v>3769</v>
      </c>
      <c r="B757" s="92">
        <v>3770</v>
      </c>
      <c r="E757" s="92">
        <v>50</v>
      </c>
      <c r="F757" s="92">
        <f>_xlfn.XLOOKUP(B757, DATA_Moresby_2024_ALL!B:B, DATA_Moresby_2024_ALL!G:G, "")</f>
        <v>0</v>
      </c>
      <c r="G757" s="93"/>
      <c r="H757" s="92">
        <v>9</v>
      </c>
      <c r="I757" s="92" t="str">
        <f t="shared" si="39"/>
        <v>X</v>
      </c>
      <c r="J757" s="79" t="str">
        <f>IF(G757="","X",_xlfn.XLOOKUP(B757,DATA_Moresby_2024_ALL!B:B,DATA_Moresby_2024_ALL!K:K,""))</f>
        <v>X</v>
      </c>
      <c r="K757" s="28"/>
      <c r="L757" s="29"/>
      <c r="M757" s="28"/>
      <c r="N757" s="19" t="str">
        <f t="shared" si="40"/>
        <v/>
      </c>
      <c r="O757" s="19" t="str">
        <f t="shared" si="38"/>
        <v/>
      </c>
      <c r="P757" s="19" t="str">
        <f t="shared" si="38"/>
        <v/>
      </c>
      <c r="Q757" s="19" t="str">
        <f t="shared" si="38"/>
        <v/>
      </c>
      <c r="X757" s="92" t="s">
        <v>78</v>
      </c>
      <c r="Y757" s="92" t="s">
        <v>78</v>
      </c>
      <c r="Z757" s="92" t="s">
        <v>78</v>
      </c>
    </row>
    <row r="758" spans="1:26" ht="16" hidden="1" x14ac:dyDescent="0.4">
      <c r="A758" s="92">
        <v>3774</v>
      </c>
      <c r="B758" s="92">
        <v>3775</v>
      </c>
      <c r="E758" s="92">
        <v>50</v>
      </c>
      <c r="F758" s="92">
        <f>_xlfn.XLOOKUP(B758, DATA_Moresby_2024_ALL!B:B, DATA_Moresby_2024_ALL!G:G, "")</f>
        <v>0</v>
      </c>
      <c r="G758" s="93"/>
      <c r="H758" s="92">
        <v>9</v>
      </c>
      <c r="I758" s="92" t="str">
        <f t="shared" si="39"/>
        <v>X</v>
      </c>
      <c r="J758" s="79" t="str">
        <f>IF(G758="","X",_xlfn.XLOOKUP(B758,DATA_Moresby_2024_ALL!B:B,DATA_Moresby_2024_ALL!K:K,""))</f>
        <v>X</v>
      </c>
      <c r="K758" s="28"/>
      <c r="L758" s="29"/>
      <c r="M758" s="28"/>
      <c r="N758" s="19" t="str">
        <f t="shared" si="40"/>
        <v/>
      </c>
      <c r="O758" s="19" t="str">
        <f t="shared" si="38"/>
        <v/>
      </c>
      <c r="P758" s="19" t="str">
        <f t="shared" si="38"/>
        <v/>
      </c>
      <c r="Q758" s="19" t="str">
        <f t="shared" si="38"/>
        <v/>
      </c>
      <c r="X758" s="92" t="s">
        <v>78</v>
      </c>
      <c r="Y758" s="92" t="s">
        <v>78</v>
      </c>
      <c r="Z758" s="92" t="s">
        <v>78</v>
      </c>
    </row>
    <row r="759" spans="1:26" ht="16" hidden="1" x14ac:dyDescent="0.4">
      <c r="A759" s="92">
        <v>3779</v>
      </c>
      <c r="B759" s="92">
        <v>3780</v>
      </c>
      <c r="E759" s="92">
        <v>50</v>
      </c>
      <c r="F759" s="92">
        <f>_xlfn.XLOOKUP(B759, DATA_Moresby_2024_ALL!B:B, DATA_Moresby_2024_ALL!G:G, "")</f>
        <v>0</v>
      </c>
      <c r="G759" s="93"/>
      <c r="H759" s="92">
        <v>9</v>
      </c>
      <c r="I759" s="92" t="str">
        <f t="shared" si="39"/>
        <v>X</v>
      </c>
      <c r="J759" s="79" t="str">
        <f>IF(G759="","X",_xlfn.XLOOKUP(B759,DATA_Moresby_2024_ALL!B:B,DATA_Moresby_2024_ALL!K:K,""))</f>
        <v>X</v>
      </c>
      <c r="K759" s="28"/>
      <c r="L759" s="29"/>
      <c r="M759" s="28"/>
      <c r="N759" s="19" t="str">
        <f t="shared" si="40"/>
        <v/>
      </c>
      <c r="O759" s="19" t="str">
        <f t="shared" si="38"/>
        <v/>
      </c>
      <c r="P759" s="19" t="str">
        <f t="shared" si="38"/>
        <v/>
      </c>
      <c r="Q759" s="19" t="str">
        <f t="shared" si="38"/>
        <v/>
      </c>
      <c r="X759" s="92" t="s">
        <v>78</v>
      </c>
      <c r="Y759" s="92" t="s">
        <v>78</v>
      </c>
      <c r="Z759" s="92" t="s">
        <v>78</v>
      </c>
    </row>
    <row r="760" spans="1:26" ht="16" hidden="1" x14ac:dyDescent="0.4">
      <c r="A760" s="92">
        <v>3784</v>
      </c>
      <c r="B760" s="92">
        <v>3785</v>
      </c>
      <c r="E760" s="92">
        <v>50</v>
      </c>
      <c r="F760" s="92">
        <f>_xlfn.XLOOKUP(B760, DATA_Moresby_2024_ALL!B:B, DATA_Moresby_2024_ALL!G:G, "")</f>
        <v>0</v>
      </c>
      <c r="G760" s="93"/>
      <c r="H760" s="92">
        <v>9</v>
      </c>
      <c r="I760" s="92" t="str">
        <f t="shared" si="39"/>
        <v>X</v>
      </c>
      <c r="J760" s="79" t="str">
        <f>IF(G760="","X",_xlfn.XLOOKUP(B760,DATA_Moresby_2024_ALL!B:B,DATA_Moresby_2024_ALL!K:K,""))</f>
        <v>X</v>
      </c>
      <c r="K760" s="28"/>
      <c r="L760" s="29"/>
      <c r="M760" s="28"/>
      <c r="N760" s="19" t="str">
        <f t="shared" si="40"/>
        <v/>
      </c>
      <c r="O760" s="19" t="str">
        <f t="shared" si="38"/>
        <v/>
      </c>
      <c r="P760" s="19" t="str">
        <f t="shared" si="38"/>
        <v/>
      </c>
      <c r="Q760" s="19" t="str">
        <f t="shared" si="38"/>
        <v/>
      </c>
      <c r="X760" s="92" t="s">
        <v>78</v>
      </c>
      <c r="Y760" s="92" t="s">
        <v>78</v>
      </c>
      <c r="Z760" s="92" t="s">
        <v>78</v>
      </c>
    </row>
    <row r="761" spans="1:26" ht="16" hidden="1" x14ac:dyDescent="0.4">
      <c r="A761" s="92">
        <v>3789</v>
      </c>
      <c r="B761" s="92">
        <v>3790</v>
      </c>
      <c r="E761" s="92">
        <v>50</v>
      </c>
      <c r="F761" s="92">
        <f>_xlfn.XLOOKUP(B761, DATA_Moresby_2024_ALL!B:B, DATA_Moresby_2024_ALL!G:G, "")</f>
        <v>0</v>
      </c>
      <c r="G761" s="93"/>
      <c r="H761" s="92">
        <v>9</v>
      </c>
      <c r="I761" s="92" t="str">
        <f t="shared" si="39"/>
        <v>X</v>
      </c>
      <c r="J761" s="79" t="str">
        <f>IF(G761="","X",_xlfn.XLOOKUP(B761,DATA_Moresby_2024_ALL!B:B,DATA_Moresby_2024_ALL!K:K,""))</f>
        <v>X</v>
      </c>
      <c r="K761" s="28"/>
      <c r="L761" s="29"/>
      <c r="M761" s="28"/>
      <c r="N761" s="19" t="str">
        <f t="shared" si="40"/>
        <v/>
      </c>
      <c r="O761" s="19" t="str">
        <f t="shared" si="38"/>
        <v/>
      </c>
      <c r="P761" s="19" t="str">
        <f t="shared" si="38"/>
        <v/>
      </c>
      <c r="Q761" s="19" t="str">
        <f t="shared" si="38"/>
        <v/>
      </c>
      <c r="X761" s="92" t="s">
        <v>78</v>
      </c>
      <c r="Y761" s="92" t="s">
        <v>78</v>
      </c>
      <c r="Z761" s="92" t="s">
        <v>78</v>
      </c>
    </row>
    <row r="762" spans="1:26" ht="16" hidden="1" x14ac:dyDescent="0.4">
      <c r="A762" s="92">
        <v>3794</v>
      </c>
      <c r="B762" s="92">
        <v>3795</v>
      </c>
      <c r="E762" s="92">
        <v>50</v>
      </c>
      <c r="F762" s="92">
        <f>_xlfn.XLOOKUP(B762, DATA_Moresby_2024_ALL!B:B, DATA_Moresby_2024_ALL!G:G, "")</f>
        <v>0</v>
      </c>
      <c r="G762" s="93"/>
      <c r="H762" s="92">
        <v>9</v>
      </c>
      <c r="I762" s="92" t="str">
        <f t="shared" si="39"/>
        <v>X</v>
      </c>
      <c r="J762" s="79" t="str">
        <f>IF(G762="","X",_xlfn.XLOOKUP(B762,DATA_Moresby_2024_ALL!B:B,DATA_Moresby_2024_ALL!K:K,""))</f>
        <v>X</v>
      </c>
      <c r="K762" s="28"/>
      <c r="L762" s="29"/>
      <c r="M762" s="28"/>
      <c r="N762" s="19" t="str">
        <f t="shared" si="40"/>
        <v/>
      </c>
      <c r="O762" s="19" t="str">
        <f t="shared" si="38"/>
        <v/>
      </c>
      <c r="P762" s="19" t="str">
        <f t="shared" si="38"/>
        <v/>
      </c>
      <c r="Q762" s="19" t="str">
        <f t="shared" si="38"/>
        <v/>
      </c>
      <c r="X762" s="92" t="s">
        <v>78</v>
      </c>
      <c r="Y762" s="92" t="s">
        <v>78</v>
      </c>
      <c r="Z762" s="92" t="s">
        <v>78</v>
      </c>
    </row>
    <row r="763" spans="1:26" ht="16" hidden="1" x14ac:dyDescent="0.4">
      <c r="A763" s="92">
        <v>3799</v>
      </c>
      <c r="B763" s="92">
        <v>3800</v>
      </c>
      <c r="E763" s="92">
        <v>50</v>
      </c>
      <c r="F763" s="92">
        <f>_xlfn.XLOOKUP(B763, DATA_Moresby_2024_ALL!B:B, DATA_Moresby_2024_ALL!G:G, "")</f>
        <v>0</v>
      </c>
      <c r="G763" s="93"/>
      <c r="H763" s="92">
        <v>9</v>
      </c>
      <c r="I763" s="92" t="str">
        <f t="shared" si="39"/>
        <v>X</v>
      </c>
      <c r="J763" s="79" t="str">
        <f>IF(G763="","X",_xlfn.XLOOKUP(B763,DATA_Moresby_2024_ALL!B:B,DATA_Moresby_2024_ALL!K:K,""))</f>
        <v>X</v>
      </c>
      <c r="K763" s="28"/>
      <c r="L763" s="29"/>
      <c r="M763" s="28"/>
      <c r="N763" s="19" t="str">
        <f t="shared" si="40"/>
        <v/>
      </c>
      <c r="O763" s="19" t="str">
        <f t="shared" si="38"/>
        <v/>
      </c>
      <c r="P763" s="19" t="str">
        <f t="shared" si="38"/>
        <v/>
      </c>
      <c r="Q763" s="19" t="str">
        <f t="shared" si="38"/>
        <v/>
      </c>
      <c r="X763" s="92" t="s">
        <v>78</v>
      </c>
      <c r="Y763" s="92" t="s">
        <v>78</v>
      </c>
      <c r="Z763" s="92" t="s">
        <v>78</v>
      </c>
    </row>
    <row r="764" spans="1:26" ht="16" hidden="1" x14ac:dyDescent="0.4">
      <c r="A764" s="92">
        <v>3804</v>
      </c>
      <c r="B764" s="92">
        <v>3805</v>
      </c>
      <c r="E764" s="92">
        <v>50</v>
      </c>
      <c r="F764" s="92">
        <f>_xlfn.XLOOKUP(B764, DATA_Moresby_2024_ALL!B:B, DATA_Moresby_2024_ALL!G:G, "")</f>
        <v>0</v>
      </c>
      <c r="G764" s="93"/>
      <c r="H764" s="92">
        <v>9</v>
      </c>
      <c r="I764" s="92" t="str">
        <f t="shared" si="39"/>
        <v>X</v>
      </c>
      <c r="J764" s="79" t="str">
        <f>IF(G764="","X",_xlfn.XLOOKUP(B764,DATA_Moresby_2024_ALL!B:B,DATA_Moresby_2024_ALL!K:K,""))</f>
        <v>X</v>
      </c>
      <c r="K764" s="28"/>
      <c r="L764" s="29"/>
      <c r="M764" s="28"/>
      <c r="N764" s="19" t="str">
        <f t="shared" si="40"/>
        <v/>
      </c>
      <c r="O764" s="19" t="str">
        <f t="shared" si="38"/>
        <v/>
      </c>
      <c r="P764" s="19" t="str">
        <f t="shared" si="38"/>
        <v/>
      </c>
      <c r="Q764" s="19" t="str">
        <f t="shared" si="38"/>
        <v/>
      </c>
      <c r="X764" s="92" t="s">
        <v>78</v>
      </c>
      <c r="Y764" s="92" t="s">
        <v>78</v>
      </c>
      <c r="Z764" s="92" t="s">
        <v>78</v>
      </c>
    </row>
    <row r="765" spans="1:26" ht="16" hidden="1" x14ac:dyDescent="0.4">
      <c r="A765" s="92">
        <v>3809</v>
      </c>
      <c r="B765" s="92">
        <v>3810</v>
      </c>
      <c r="E765" s="92">
        <v>50</v>
      </c>
      <c r="F765" s="92">
        <f>_xlfn.XLOOKUP(B765, DATA_Moresby_2024_ALL!B:B, DATA_Moresby_2024_ALL!G:G, "")</f>
        <v>0</v>
      </c>
      <c r="G765" s="93"/>
      <c r="H765" s="92">
        <v>9</v>
      </c>
      <c r="I765" s="92" t="str">
        <f t="shared" si="39"/>
        <v>X</v>
      </c>
      <c r="J765" s="79" t="str">
        <f>IF(G765="","X",_xlfn.XLOOKUP(B765,DATA_Moresby_2024_ALL!B:B,DATA_Moresby_2024_ALL!K:K,""))</f>
        <v>X</v>
      </c>
      <c r="K765" s="28"/>
      <c r="L765" s="29"/>
      <c r="M765" s="28"/>
      <c r="N765" s="19" t="str">
        <f t="shared" si="40"/>
        <v/>
      </c>
      <c r="O765" s="19" t="str">
        <f t="shared" si="38"/>
        <v/>
      </c>
      <c r="P765" s="19" t="str">
        <f t="shared" si="38"/>
        <v/>
      </c>
      <c r="Q765" s="19" t="str">
        <f t="shared" si="38"/>
        <v/>
      </c>
      <c r="X765" s="92" t="s">
        <v>78</v>
      </c>
      <c r="Y765" s="92" t="s">
        <v>78</v>
      </c>
      <c r="Z765" s="92" t="s">
        <v>78</v>
      </c>
    </row>
    <row r="766" spans="1:26" ht="16" hidden="1" x14ac:dyDescent="0.4">
      <c r="A766" s="92">
        <v>3814</v>
      </c>
      <c r="B766" s="92">
        <v>3815</v>
      </c>
      <c r="E766" s="92">
        <v>50</v>
      </c>
      <c r="F766" s="92">
        <f>_xlfn.XLOOKUP(B766, DATA_Moresby_2024_ALL!B:B, DATA_Moresby_2024_ALL!G:G, "")</f>
        <v>0</v>
      </c>
      <c r="G766" s="93"/>
      <c r="H766" s="92">
        <v>9</v>
      </c>
      <c r="I766" s="92" t="str">
        <f t="shared" si="39"/>
        <v>X</v>
      </c>
      <c r="J766" s="79" t="str">
        <f>IF(G766="","X",_xlfn.XLOOKUP(B766,DATA_Moresby_2024_ALL!B:B,DATA_Moresby_2024_ALL!K:K,""))</f>
        <v>X</v>
      </c>
      <c r="K766" s="28"/>
      <c r="L766" s="29"/>
      <c r="M766" s="28"/>
      <c r="N766" s="19" t="str">
        <f t="shared" si="40"/>
        <v/>
      </c>
      <c r="O766" s="19" t="str">
        <f t="shared" si="38"/>
        <v/>
      </c>
      <c r="P766" s="19" t="str">
        <f t="shared" si="38"/>
        <v/>
      </c>
      <c r="Q766" s="19" t="str">
        <f t="shared" si="38"/>
        <v/>
      </c>
      <c r="X766" s="92" t="s">
        <v>78</v>
      </c>
      <c r="Y766" s="92" t="s">
        <v>78</v>
      </c>
      <c r="Z766" s="92" t="s">
        <v>78</v>
      </c>
    </row>
    <row r="767" spans="1:26" ht="16" hidden="1" x14ac:dyDescent="0.4">
      <c r="A767" s="92">
        <v>3819</v>
      </c>
      <c r="B767" s="92">
        <v>3820</v>
      </c>
      <c r="E767" s="92">
        <v>50</v>
      </c>
      <c r="F767" s="92">
        <f>_xlfn.XLOOKUP(B767, DATA_Moresby_2024_ALL!B:B, DATA_Moresby_2024_ALL!G:G, "")</f>
        <v>0</v>
      </c>
      <c r="G767" s="93"/>
      <c r="H767" s="92">
        <v>9</v>
      </c>
      <c r="I767" s="92" t="str">
        <f t="shared" si="39"/>
        <v>X</v>
      </c>
      <c r="J767" s="79" t="str">
        <f>IF(G767="","X",_xlfn.XLOOKUP(B767,DATA_Moresby_2024_ALL!B:B,DATA_Moresby_2024_ALL!K:K,""))</f>
        <v>X</v>
      </c>
      <c r="K767" s="28"/>
      <c r="L767" s="29"/>
      <c r="M767" s="28"/>
      <c r="N767" s="19" t="str">
        <f t="shared" si="40"/>
        <v/>
      </c>
      <c r="O767" s="19" t="str">
        <f t="shared" si="38"/>
        <v/>
      </c>
      <c r="P767" s="19" t="str">
        <f t="shared" si="38"/>
        <v/>
      </c>
      <c r="Q767" s="19" t="str">
        <f t="shared" si="38"/>
        <v/>
      </c>
      <c r="X767" s="92" t="s">
        <v>78</v>
      </c>
      <c r="Y767" s="92" t="s">
        <v>78</v>
      </c>
      <c r="Z767" s="92" t="s">
        <v>78</v>
      </c>
    </row>
    <row r="768" spans="1:26" ht="16" hidden="1" x14ac:dyDescent="0.4">
      <c r="A768" s="92">
        <v>3824</v>
      </c>
      <c r="B768" s="92">
        <v>3825</v>
      </c>
      <c r="E768" s="92">
        <v>50</v>
      </c>
      <c r="F768" s="92">
        <f>_xlfn.XLOOKUP(B768, DATA_Moresby_2024_ALL!B:B, DATA_Moresby_2024_ALL!G:G, "")</f>
        <v>0</v>
      </c>
      <c r="G768" s="93"/>
      <c r="H768" s="92">
        <v>9</v>
      </c>
      <c r="I768" s="92" t="str">
        <f t="shared" si="39"/>
        <v>X</v>
      </c>
      <c r="J768" s="79" t="str">
        <f>IF(G768="","X",_xlfn.XLOOKUP(B768,DATA_Moresby_2024_ALL!B:B,DATA_Moresby_2024_ALL!K:K,""))</f>
        <v>X</v>
      </c>
      <c r="K768" s="28"/>
      <c r="L768" s="29"/>
      <c r="M768" s="28"/>
      <c r="N768" s="19" t="str">
        <f t="shared" si="40"/>
        <v/>
      </c>
      <c r="O768" s="19" t="str">
        <f t="shared" si="38"/>
        <v/>
      </c>
      <c r="P768" s="19" t="str">
        <f t="shared" si="38"/>
        <v/>
      </c>
      <c r="Q768" s="19" t="str">
        <f t="shared" si="38"/>
        <v/>
      </c>
      <c r="X768" s="92" t="s">
        <v>78</v>
      </c>
      <c r="Y768" s="92" t="s">
        <v>78</v>
      </c>
      <c r="Z768" s="92" t="s">
        <v>78</v>
      </c>
    </row>
    <row r="769" spans="1:26" ht="16" hidden="1" x14ac:dyDescent="0.4">
      <c r="A769" s="92">
        <v>3829</v>
      </c>
      <c r="B769" s="92">
        <v>3830</v>
      </c>
      <c r="E769" s="92">
        <v>50</v>
      </c>
      <c r="F769" s="92">
        <f>_xlfn.XLOOKUP(B769, DATA_Moresby_2024_ALL!B:B, DATA_Moresby_2024_ALL!G:G, "")</f>
        <v>0</v>
      </c>
      <c r="G769" s="93"/>
      <c r="H769" s="92">
        <v>9</v>
      </c>
      <c r="I769" s="92" t="str">
        <f t="shared" si="39"/>
        <v>X</v>
      </c>
      <c r="J769" s="79" t="str">
        <f>IF(G769="","X",_xlfn.XLOOKUP(B769,DATA_Moresby_2024_ALL!B:B,DATA_Moresby_2024_ALL!K:K,""))</f>
        <v>X</v>
      </c>
      <c r="K769" s="28"/>
      <c r="L769" s="29"/>
      <c r="M769" s="28"/>
      <c r="N769" s="19" t="str">
        <f t="shared" si="40"/>
        <v/>
      </c>
      <c r="O769" s="19" t="str">
        <f t="shared" si="38"/>
        <v/>
      </c>
      <c r="P769" s="19" t="str">
        <f t="shared" si="38"/>
        <v/>
      </c>
      <c r="Q769" s="19" t="str">
        <f t="shared" si="38"/>
        <v/>
      </c>
      <c r="X769" s="92" t="s">
        <v>78</v>
      </c>
      <c r="Y769" s="92" t="s">
        <v>78</v>
      </c>
      <c r="Z769" s="92" t="s">
        <v>78</v>
      </c>
    </row>
    <row r="770" spans="1:26" ht="16" hidden="1" x14ac:dyDescent="0.4">
      <c r="A770" s="92">
        <v>3834</v>
      </c>
      <c r="B770" s="92">
        <v>3835</v>
      </c>
      <c r="E770" s="92">
        <v>50</v>
      </c>
      <c r="F770" s="92">
        <f>_xlfn.XLOOKUP(B770, DATA_Moresby_2024_ALL!B:B, DATA_Moresby_2024_ALL!G:G, "")</f>
        <v>0</v>
      </c>
      <c r="G770" s="93"/>
      <c r="H770" s="92">
        <v>9</v>
      </c>
      <c r="I770" s="92" t="str">
        <f t="shared" si="39"/>
        <v>X</v>
      </c>
      <c r="J770" s="79" t="str">
        <f>IF(G770="","X",_xlfn.XLOOKUP(B770,DATA_Moresby_2024_ALL!B:B,DATA_Moresby_2024_ALL!K:K,""))</f>
        <v>X</v>
      </c>
      <c r="K770" s="28"/>
      <c r="L770" s="29"/>
      <c r="M770" s="28"/>
      <c r="N770" s="19" t="str">
        <f t="shared" si="40"/>
        <v/>
      </c>
      <c r="O770" s="19" t="str">
        <f t="shared" si="38"/>
        <v/>
      </c>
      <c r="P770" s="19" t="str">
        <f t="shared" si="38"/>
        <v/>
      </c>
      <c r="Q770" s="19" t="str">
        <f t="shared" si="38"/>
        <v/>
      </c>
      <c r="X770" s="92" t="s">
        <v>78</v>
      </c>
      <c r="Y770" s="92" t="s">
        <v>78</v>
      </c>
      <c r="Z770" s="92" t="s">
        <v>78</v>
      </c>
    </row>
    <row r="771" spans="1:26" ht="16" hidden="1" x14ac:dyDescent="0.4">
      <c r="A771" s="92">
        <v>3839</v>
      </c>
      <c r="B771" s="92">
        <v>3840</v>
      </c>
      <c r="E771" s="92">
        <v>50</v>
      </c>
      <c r="F771" s="92">
        <f>_xlfn.XLOOKUP(B771, DATA_Moresby_2024_ALL!B:B, DATA_Moresby_2024_ALL!G:G, "")</f>
        <v>0</v>
      </c>
      <c r="G771" s="93"/>
      <c r="H771" s="92">
        <v>9</v>
      </c>
      <c r="I771" s="92" t="str">
        <f t="shared" si="39"/>
        <v>X</v>
      </c>
      <c r="J771" s="79" t="str">
        <f>IF(G771="","X",_xlfn.XLOOKUP(B771,DATA_Moresby_2024_ALL!B:B,DATA_Moresby_2024_ALL!K:K,""))</f>
        <v>X</v>
      </c>
      <c r="K771" s="28"/>
      <c r="L771" s="29"/>
      <c r="M771" s="28"/>
      <c r="N771" s="19" t="str">
        <f t="shared" si="40"/>
        <v/>
      </c>
      <c r="O771" s="19" t="str">
        <f t="shared" si="38"/>
        <v/>
      </c>
      <c r="P771" s="19" t="str">
        <f t="shared" si="38"/>
        <v/>
      </c>
      <c r="Q771" s="19" t="str">
        <f t="shared" si="38"/>
        <v/>
      </c>
      <c r="X771" s="92" t="s">
        <v>78</v>
      </c>
      <c r="Y771" s="92" t="s">
        <v>78</v>
      </c>
      <c r="Z771" s="92" t="s">
        <v>78</v>
      </c>
    </row>
    <row r="772" spans="1:26" ht="16" hidden="1" x14ac:dyDescent="0.4">
      <c r="A772" s="92">
        <v>3844</v>
      </c>
      <c r="B772" s="92">
        <v>3845</v>
      </c>
      <c r="E772" s="92">
        <v>50</v>
      </c>
      <c r="F772" s="92">
        <f>_xlfn.XLOOKUP(B772, DATA_Moresby_2024_ALL!B:B, DATA_Moresby_2024_ALL!G:G, "")</f>
        <v>0</v>
      </c>
      <c r="G772" s="93"/>
      <c r="H772" s="92">
        <v>9</v>
      </c>
      <c r="I772" s="92" t="str">
        <f t="shared" si="39"/>
        <v>X</v>
      </c>
      <c r="J772" s="79" t="str">
        <f>IF(G772="","X",_xlfn.XLOOKUP(B772,DATA_Moresby_2024_ALL!B:B,DATA_Moresby_2024_ALL!K:K,""))</f>
        <v>X</v>
      </c>
      <c r="K772" s="28"/>
      <c r="L772" s="29"/>
      <c r="M772" s="28"/>
      <c r="N772" s="19" t="str">
        <f t="shared" si="40"/>
        <v/>
      </c>
      <c r="O772" s="19" t="str">
        <f t="shared" si="38"/>
        <v/>
      </c>
      <c r="P772" s="19" t="str">
        <f t="shared" si="38"/>
        <v/>
      </c>
      <c r="Q772" s="19" t="str">
        <f t="shared" si="38"/>
        <v/>
      </c>
      <c r="X772" s="92" t="s">
        <v>78</v>
      </c>
      <c r="Y772" s="92" t="s">
        <v>78</v>
      </c>
      <c r="Z772" s="92" t="s">
        <v>78</v>
      </c>
    </row>
    <row r="773" spans="1:26" ht="16" hidden="1" x14ac:dyDescent="0.4">
      <c r="A773" s="92">
        <v>3849</v>
      </c>
      <c r="B773" s="92">
        <v>3850</v>
      </c>
      <c r="E773" s="92">
        <v>50</v>
      </c>
      <c r="F773" s="92">
        <f>_xlfn.XLOOKUP(B773, DATA_Moresby_2024_ALL!B:B, DATA_Moresby_2024_ALL!G:G, "")</f>
        <v>0</v>
      </c>
      <c r="G773" s="93"/>
      <c r="H773" s="92">
        <v>9</v>
      </c>
      <c r="I773" s="92" t="str">
        <f t="shared" si="39"/>
        <v>X</v>
      </c>
      <c r="J773" s="79" t="str">
        <f>IF(G773="","X",_xlfn.XLOOKUP(B773,DATA_Moresby_2024_ALL!B:B,DATA_Moresby_2024_ALL!K:K,""))</f>
        <v>X</v>
      </c>
      <c r="K773" s="28"/>
      <c r="L773" s="29"/>
      <c r="M773" s="28"/>
      <c r="N773" s="19" t="str">
        <f t="shared" si="40"/>
        <v/>
      </c>
      <c r="O773" s="19" t="str">
        <f t="shared" si="38"/>
        <v/>
      </c>
      <c r="P773" s="19" t="str">
        <f t="shared" si="38"/>
        <v/>
      </c>
      <c r="Q773" s="19" t="str">
        <f t="shared" si="38"/>
        <v/>
      </c>
      <c r="X773" s="92" t="s">
        <v>78</v>
      </c>
      <c r="Y773" s="92" t="s">
        <v>78</v>
      </c>
      <c r="Z773" s="92" t="s">
        <v>78</v>
      </c>
    </row>
    <row r="774" spans="1:26" ht="16" hidden="1" x14ac:dyDescent="0.4">
      <c r="A774" s="92">
        <v>3854</v>
      </c>
      <c r="B774" s="92">
        <v>3855</v>
      </c>
      <c r="E774" s="92">
        <v>50</v>
      </c>
      <c r="F774" s="92">
        <f>_xlfn.XLOOKUP(B774, DATA_Moresby_2024_ALL!B:B, DATA_Moresby_2024_ALL!G:G, "")</f>
        <v>0</v>
      </c>
      <c r="G774" s="93"/>
      <c r="H774" s="92">
        <v>9</v>
      </c>
      <c r="I774" s="92" t="str">
        <f t="shared" si="39"/>
        <v>X</v>
      </c>
      <c r="J774" s="79" t="str">
        <f>IF(G774="","X",_xlfn.XLOOKUP(B774,DATA_Moresby_2024_ALL!B:B,DATA_Moresby_2024_ALL!K:K,""))</f>
        <v>X</v>
      </c>
      <c r="K774" s="28"/>
      <c r="L774" s="29"/>
      <c r="M774" s="28"/>
      <c r="N774" s="19" t="str">
        <f t="shared" si="40"/>
        <v/>
      </c>
      <c r="O774" s="19" t="str">
        <f t="shared" si="38"/>
        <v/>
      </c>
      <c r="P774" s="19" t="str">
        <f t="shared" si="38"/>
        <v/>
      </c>
      <c r="Q774" s="19" t="str">
        <f t="shared" si="38"/>
        <v/>
      </c>
      <c r="X774" s="92" t="s">
        <v>78</v>
      </c>
      <c r="Y774" s="92" t="s">
        <v>78</v>
      </c>
      <c r="Z774" s="92" t="s">
        <v>78</v>
      </c>
    </row>
    <row r="775" spans="1:26" ht="16" hidden="1" x14ac:dyDescent="0.4">
      <c r="A775" s="92">
        <v>3859</v>
      </c>
      <c r="B775" s="92">
        <v>3860</v>
      </c>
      <c r="E775" s="92">
        <v>50</v>
      </c>
      <c r="F775" s="92">
        <f>_xlfn.XLOOKUP(B775, DATA_Moresby_2024_ALL!B:B, DATA_Moresby_2024_ALL!G:G, "")</f>
        <v>0</v>
      </c>
      <c r="G775" s="93"/>
      <c r="H775" s="92">
        <v>9</v>
      </c>
      <c r="I775" s="92" t="str">
        <f t="shared" si="39"/>
        <v>X</v>
      </c>
      <c r="J775" s="79" t="str">
        <f>IF(G775="","X",_xlfn.XLOOKUP(B775,DATA_Moresby_2024_ALL!B:B,DATA_Moresby_2024_ALL!K:K,""))</f>
        <v>X</v>
      </c>
      <c r="K775" s="28"/>
      <c r="L775" s="29"/>
      <c r="M775" s="28"/>
      <c r="N775" s="19" t="str">
        <f t="shared" si="40"/>
        <v/>
      </c>
      <c r="O775" s="19" t="str">
        <f t="shared" si="38"/>
        <v/>
      </c>
      <c r="P775" s="19" t="str">
        <f t="shared" si="38"/>
        <v/>
      </c>
      <c r="Q775" s="19" t="str">
        <f t="shared" si="38"/>
        <v/>
      </c>
      <c r="X775" s="92" t="s">
        <v>78</v>
      </c>
      <c r="Y775" s="92" t="s">
        <v>78</v>
      </c>
      <c r="Z775" s="92" t="s">
        <v>78</v>
      </c>
    </row>
    <row r="776" spans="1:26" ht="16" hidden="1" x14ac:dyDescent="0.4">
      <c r="A776" s="92">
        <v>3864</v>
      </c>
      <c r="B776" s="92">
        <v>3865</v>
      </c>
      <c r="E776" s="92">
        <v>50</v>
      </c>
      <c r="F776" s="92">
        <f>_xlfn.XLOOKUP(B776, DATA_Moresby_2024_ALL!B:B, DATA_Moresby_2024_ALL!G:G, "")</f>
        <v>0</v>
      </c>
      <c r="G776" s="93"/>
      <c r="H776" s="92">
        <v>9</v>
      </c>
      <c r="I776" s="92" t="str">
        <f t="shared" si="39"/>
        <v>X</v>
      </c>
      <c r="J776" s="79" t="str">
        <f>IF(G776="","X",_xlfn.XLOOKUP(B776,DATA_Moresby_2024_ALL!B:B,DATA_Moresby_2024_ALL!K:K,""))</f>
        <v>X</v>
      </c>
      <c r="K776" s="28"/>
      <c r="L776" s="29"/>
      <c r="M776" s="28"/>
      <c r="N776" s="19" t="str">
        <f t="shared" si="40"/>
        <v/>
      </c>
      <c r="O776" s="19" t="str">
        <f t="shared" si="38"/>
        <v/>
      </c>
      <c r="P776" s="19" t="str">
        <f t="shared" si="38"/>
        <v/>
      </c>
      <c r="Q776" s="19" t="str">
        <f t="shared" si="38"/>
        <v/>
      </c>
      <c r="X776" s="92" t="s">
        <v>78</v>
      </c>
      <c r="Y776" s="92" t="s">
        <v>78</v>
      </c>
      <c r="Z776" s="92" t="s">
        <v>78</v>
      </c>
    </row>
    <row r="777" spans="1:26" ht="16" hidden="1" x14ac:dyDescent="0.4">
      <c r="A777" s="92">
        <v>3869</v>
      </c>
      <c r="B777" s="92">
        <v>3870</v>
      </c>
      <c r="E777" s="92">
        <v>50</v>
      </c>
      <c r="F777" s="92">
        <f>_xlfn.XLOOKUP(B777, DATA_Moresby_2024_ALL!B:B, DATA_Moresby_2024_ALL!G:G, "")</f>
        <v>0</v>
      </c>
      <c r="G777" s="93"/>
      <c r="H777" s="92">
        <v>9</v>
      </c>
      <c r="I777" s="92" t="str">
        <f t="shared" si="39"/>
        <v>X</v>
      </c>
      <c r="J777" s="79" t="str">
        <f>IF(G777="","X",_xlfn.XLOOKUP(B777,DATA_Moresby_2024_ALL!B:B,DATA_Moresby_2024_ALL!K:K,""))</f>
        <v>X</v>
      </c>
      <c r="K777" s="28"/>
      <c r="L777" s="29"/>
      <c r="M777" s="28"/>
      <c r="N777" s="19" t="str">
        <f t="shared" si="40"/>
        <v/>
      </c>
      <c r="O777" s="19" t="str">
        <f t="shared" si="38"/>
        <v/>
      </c>
      <c r="P777" s="19" t="str">
        <f t="shared" si="38"/>
        <v/>
      </c>
      <c r="Q777" s="19" t="str">
        <f t="shared" si="38"/>
        <v/>
      </c>
      <c r="X777" s="92" t="s">
        <v>78</v>
      </c>
      <c r="Y777" s="92" t="s">
        <v>78</v>
      </c>
      <c r="Z777" s="92" t="s">
        <v>78</v>
      </c>
    </row>
    <row r="778" spans="1:26" ht="16" hidden="1" x14ac:dyDescent="0.4">
      <c r="A778" s="92">
        <v>3874</v>
      </c>
      <c r="B778" s="92">
        <v>3875</v>
      </c>
      <c r="E778" s="92">
        <v>50</v>
      </c>
      <c r="F778" s="92">
        <f>_xlfn.XLOOKUP(B778, DATA_Moresby_2024_ALL!B:B, DATA_Moresby_2024_ALL!G:G, "")</f>
        <v>0</v>
      </c>
      <c r="G778" s="93"/>
      <c r="H778" s="92">
        <v>9</v>
      </c>
      <c r="I778" s="92" t="str">
        <f t="shared" si="39"/>
        <v>X</v>
      </c>
      <c r="J778" s="79" t="str">
        <f>IF(G778="","X",_xlfn.XLOOKUP(B778,DATA_Moresby_2024_ALL!B:B,DATA_Moresby_2024_ALL!K:K,""))</f>
        <v>X</v>
      </c>
      <c r="K778" s="28"/>
      <c r="L778" s="29"/>
      <c r="M778" s="28"/>
      <c r="N778" s="19" t="str">
        <f t="shared" si="40"/>
        <v/>
      </c>
      <c r="O778" s="19" t="str">
        <f t="shared" si="38"/>
        <v/>
      </c>
      <c r="P778" s="19" t="str">
        <f t="shared" si="38"/>
        <v/>
      </c>
      <c r="Q778" s="19" t="str">
        <f t="shared" si="38"/>
        <v/>
      </c>
      <c r="X778" s="92" t="s">
        <v>78</v>
      </c>
      <c r="Y778" s="92" t="s">
        <v>78</v>
      </c>
      <c r="Z778" s="92" t="s">
        <v>78</v>
      </c>
    </row>
    <row r="779" spans="1:26" ht="16" hidden="1" x14ac:dyDescent="0.4">
      <c r="A779" s="92">
        <v>3879</v>
      </c>
      <c r="B779" s="92">
        <v>3880</v>
      </c>
      <c r="E779" s="92">
        <v>50</v>
      </c>
      <c r="F779" s="92">
        <f>_xlfn.XLOOKUP(B779, DATA_Moresby_2024_ALL!B:B, DATA_Moresby_2024_ALL!G:G, "")</f>
        <v>0</v>
      </c>
      <c r="G779" s="93"/>
      <c r="H779" s="92">
        <v>9</v>
      </c>
      <c r="I779" s="92" t="str">
        <f t="shared" si="39"/>
        <v>X</v>
      </c>
      <c r="J779" s="79" t="str">
        <f>IF(G779="","X",_xlfn.XLOOKUP(B779,DATA_Moresby_2024_ALL!B:B,DATA_Moresby_2024_ALL!K:K,""))</f>
        <v>X</v>
      </c>
      <c r="K779" s="28"/>
      <c r="L779" s="29"/>
      <c r="M779" s="28"/>
      <c r="N779" s="19" t="str">
        <f t="shared" si="40"/>
        <v/>
      </c>
      <c r="O779" s="19" t="str">
        <f t="shared" si="38"/>
        <v/>
      </c>
      <c r="P779" s="19" t="str">
        <f t="shared" si="38"/>
        <v/>
      </c>
      <c r="Q779" s="19" t="str">
        <f t="shared" si="38"/>
        <v/>
      </c>
      <c r="X779" s="92" t="s">
        <v>78</v>
      </c>
      <c r="Y779" s="92" t="s">
        <v>78</v>
      </c>
      <c r="Z779" s="92" t="s">
        <v>78</v>
      </c>
    </row>
    <row r="780" spans="1:26" ht="16" hidden="1" x14ac:dyDescent="0.4">
      <c r="A780" s="92">
        <v>3884</v>
      </c>
      <c r="B780" s="92">
        <v>3885</v>
      </c>
      <c r="E780" s="92">
        <v>50</v>
      </c>
      <c r="F780" s="92">
        <f>_xlfn.XLOOKUP(B780, DATA_Moresby_2024_ALL!B:B, DATA_Moresby_2024_ALL!G:G, "")</f>
        <v>0</v>
      </c>
      <c r="G780" s="93"/>
      <c r="H780" s="92">
        <v>9</v>
      </c>
      <c r="I780" s="92" t="str">
        <f t="shared" si="39"/>
        <v>X</v>
      </c>
      <c r="J780" s="79" t="str">
        <f>IF(G780="","X",_xlfn.XLOOKUP(B780,DATA_Moresby_2024_ALL!B:B,DATA_Moresby_2024_ALL!K:K,""))</f>
        <v>X</v>
      </c>
      <c r="K780" s="28"/>
      <c r="L780" s="29"/>
      <c r="M780" s="28"/>
      <c r="N780" s="19" t="str">
        <f t="shared" si="40"/>
        <v/>
      </c>
      <c r="O780" s="19" t="str">
        <f t="shared" si="38"/>
        <v/>
      </c>
      <c r="P780" s="19" t="str">
        <f t="shared" si="38"/>
        <v/>
      </c>
      <c r="Q780" s="19" t="str">
        <f t="shared" si="38"/>
        <v/>
      </c>
      <c r="X780" s="92" t="s">
        <v>78</v>
      </c>
      <c r="Y780" s="92" t="s">
        <v>78</v>
      </c>
      <c r="Z780" s="92" t="s">
        <v>78</v>
      </c>
    </row>
    <row r="781" spans="1:26" ht="16" hidden="1" x14ac:dyDescent="0.4">
      <c r="A781" s="92">
        <v>3889</v>
      </c>
      <c r="B781" s="92">
        <v>3890</v>
      </c>
      <c r="E781" s="92">
        <v>50</v>
      </c>
      <c r="F781" s="92">
        <f>_xlfn.XLOOKUP(B781, DATA_Moresby_2024_ALL!B:B, DATA_Moresby_2024_ALL!G:G, "")</f>
        <v>0</v>
      </c>
      <c r="G781" s="93"/>
      <c r="H781" s="92">
        <v>9</v>
      </c>
      <c r="I781" s="92" t="str">
        <f t="shared" si="39"/>
        <v>X</v>
      </c>
      <c r="J781" s="79" t="str">
        <f>IF(G781="","X",_xlfn.XLOOKUP(B781,DATA_Moresby_2024_ALL!B:B,DATA_Moresby_2024_ALL!K:K,""))</f>
        <v>X</v>
      </c>
      <c r="K781" s="28"/>
      <c r="L781" s="29"/>
      <c r="M781" s="28"/>
      <c r="N781" s="19" t="str">
        <f t="shared" si="40"/>
        <v/>
      </c>
      <c r="O781" s="19" t="str">
        <f t="shared" si="38"/>
        <v/>
      </c>
      <c r="P781" s="19" t="str">
        <f t="shared" si="38"/>
        <v/>
      </c>
      <c r="Q781" s="19" t="str">
        <f t="shared" si="38"/>
        <v/>
      </c>
      <c r="X781" s="92" t="s">
        <v>78</v>
      </c>
      <c r="Y781" s="92" t="s">
        <v>78</v>
      </c>
      <c r="Z781" s="92" t="s">
        <v>78</v>
      </c>
    </row>
    <row r="782" spans="1:26" ht="16" hidden="1" x14ac:dyDescent="0.4">
      <c r="A782" s="92">
        <v>3894</v>
      </c>
      <c r="B782" s="92">
        <v>3895</v>
      </c>
      <c r="E782" s="92">
        <v>50</v>
      </c>
      <c r="F782" s="92">
        <f>_xlfn.XLOOKUP(B782, DATA_Moresby_2024_ALL!B:B, DATA_Moresby_2024_ALL!G:G, "")</f>
        <v>0</v>
      </c>
      <c r="G782" s="93"/>
      <c r="H782" s="92">
        <v>9</v>
      </c>
      <c r="I782" s="92" t="str">
        <f t="shared" si="39"/>
        <v>X</v>
      </c>
      <c r="J782" s="79" t="str">
        <f>IF(G782="","X",_xlfn.XLOOKUP(B782,DATA_Moresby_2024_ALL!B:B,DATA_Moresby_2024_ALL!K:K,""))</f>
        <v>X</v>
      </c>
      <c r="K782" s="28"/>
      <c r="L782" s="29"/>
      <c r="M782" s="28"/>
      <c r="N782" s="19" t="str">
        <f t="shared" si="40"/>
        <v/>
      </c>
      <c r="O782" s="19" t="str">
        <f t="shared" si="38"/>
        <v/>
      </c>
      <c r="P782" s="19" t="str">
        <f t="shared" si="38"/>
        <v/>
      </c>
      <c r="Q782" s="19" t="str">
        <f t="shared" si="38"/>
        <v/>
      </c>
      <c r="X782" s="92" t="s">
        <v>78</v>
      </c>
      <c r="Y782" s="92" t="s">
        <v>78</v>
      </c>
      <c r="Z782" s="92" t="s">
        <v>78</v>
      </c>
    </row>
    <row r="783" spans="1:26" ht="16" hidden="1" x14ac:dyDescent="0.4">
      <c r="A783" s="92">
        <v>3899</v>
      </c>
      <c r="B783" s="92">
        <v>3900</v>
      </c>
      <c r="E783" s="92">
        <v>50</v>
      </c>
      <c r="F783" s="92">
        <f>_xlfn.XLOOKUP(B783, DATA_Moresby_2024_ALL!B:B, DATA_Moresby_2024_ALL!G:G, "")</f>
        <v>0</v>
      </c>
      <c r="G783" s="93"/>
      <c r="H783" s="92">
        <v>9</v>
      </c>
      <c r="I783" s="92" t="str">
        <f t="shared" si="39"/>
        <v>X</v>
      </c>
      <c r="J783" s="79" t="str">
        <f>IF(G783="","X",_xlfn.XLOOKUP(B783,DATA_Moresby_2024_ALL!B:B,DATA_Moresby_2024_ALL!K:K,""))</f>
        <v>X</v>
      </c>
      <c r="K783" s="28"/>
      <c r="L783" s="29"/>
      <c r="M783" s="28"/>
      <c r="N783" s="19" t="str">
        <f t="shared" si="40"/>
        <v/>
      </c>
      <c r="O783" s="19" t="str">
        <f t="shared" si="38"/>
        <v/>
      </c>
      <c r="P783" s="19" t="str">
        <f t="shared" si="38"/>
        <v/>
      </c>
      <c r="Q783" s="19" t="str">
        <f t="shared" si="38"/>
        <v/>
      </c>
      <c r="X783" s="92" t="s">
        <v>78</v>
      </c>
      <c r="Y783" s="92" t="s">
        <v>78</v>
      </c>
      <c r="Z783" s="92" t="s">
        <v>78</v>
      </c>
    </row>
    <row r="784" spans="1:26" ht="16" hidden="1" x14ac:dyDescent="0.4">
      <c r="A784" s="92">
        <v>3904</v>
      </c>
      <c r="B784" s="92">
        <v>3905</v>
      </c>
      <c r="E784" s="92">
        <v>50</v>
      </c>
      <c r="F784" s="92">
        <f>_xlfn.XLOOKUP(B784, DATA_Moresby_2024_ALL!B:B, DATA_Moresby_2024_ALL!G:G, "")</f>
        <v>0</v>
      </c>
      <c r="G784" s="93"/>
      <c r="H784" s="92">
        <v>9</v>
      </c>
      <c r="I784" s="92" t="str">
        <f t="shared" si="39"/>
        <v>X</v>
      </c>
      <c r="J784" s="79" t="str">
        <f>IF(G784="","X",_xlfn.XLOOKUP(B784,DATA_Moresby_2024_ALL!B:B,DATA_Moresby_2024_ALL!K:K,""))</f>
        <v>X</v>
      </c>
      <c r="K784" s="28"/>
      <c r="L784" s="29"/>
      <c r="M784" s="28"/>
      <c r="N784" s="19" t="str">
        <f t="shared" si="40"/>
        <v/>
      </c>
      <c r="O784" s="19" t="str">
        <f t="shared" si="38"/>
        <v/>
      </c>
      <c r="P784" s="19" t="str">
        <f t="shared" si="38"/>
        <v/>
      </c>
      <c r="Q784" s="19" t="str">
        <f t="shared" si="38"/>
        <v/>
      </c>
      <c r="X784" s="92" t="s">
        <v>78</v>
      </c>
      <c r="Y784" s="92" t="s">
        <v>78</v>
      </c>
      <c r="Z784" s="92" t="s">
        <v>78</v>
      </c>
    </row>
    <row r="785" spans="1:26" ht="16" hidden="1" x14ac:dyDescent="0.4">
      <c r="A785" s="92">
        <v>3909</v>
      </c>
      <c r="B785" s="92">
        <v>3910</v>
      </c>
      <c r="E785" s="92">
        <v>50</v>
      </c>
      <c r="F785" s="92">
        <f>_xlfn.XLOOKUP(B785, DATA_Moresby_2024_ALL!B:B, DATA_Moresby_2024_ALL!G:G, "")</f>
        <v>0</v>
      </c>
      <c r="G785" s="93"/>
      <c r="H785" s="92">
        <v>9</v>
      </c>
      <c r="I785" s="92" t="str">
        <f t="shared" si="39"/>
        <v>X</v>
      </c>
      <c r="J785" s="79" t="str">
        <f>IF(G785="","X",_xlfn.XLOOKUP(B785,DATA_Moresby_2024_ALL!B:B,DATA_Moresby_2024_ALL!K:K,""))</f>
        <v>X</v>
      </c>
      <c r="K785" s="28"/>
      <c r="L785" s="29"/>
      <c r="M785" s="28"/>
      <c r="N785" s="19" t="str">
        <f t="shared" si="40"/>
        <v/>
      </c>
      <c r="O785" s="19" t="str">
        <f t="shared" si="38"/>
        <v/>
      </c>
      <c r="P785" s="19" t="str">
        <f t="shared" si="38"/>
        <v/>
      </c>
      <c r="Q785" s="19" t="str">
        <f t="shared" si="38"/>
        <v/>
      </c>
      <c r="X785" s="92" t="s">
        <v>78</v>
      </c>
      <c r="Y785" s="92" t="s">
        <v>78</v>
      </c>
      <c r="Z785" s="92" t="s">
        <v>78</v>
      </c>
    </row>
    <row r="786" spans="1:26" ht="16" hidden="1" x14ac:dyDescent="0.4">
      <c r="A786" s="92">
        <v>3914</v>
      </c>
      <c r="B786" s="92">
        <v>3915</v>
      </c>
      <c r="E786" s="92">
        <v>50</v>
      </c>
      <c r="F786" s="92">
        <f>_xlfn.XLOOKUP(B786, DATA_Moresby_2024_ALL!B:B, DATA_Moresby_2024_ALL!G:G, "")</f>
        <v>0</v>
      </c>
      <c r="G786" s="93"/>
      <c r="H786" s="92">
        <v>9</v>
      </c>
      <c r="I786" s="92" t="str">
        <f t="shared" si="39"/>
        <v>X</v>
      </c>
      <c r="J786" s="79" t="str">
        <f>IF(G786="","X",_xlfn.XLOOKUP(B786,DATA_Moresby_2024_ALL!B:B,DATA_Moresby_2024_ALL!K:K,""))</f>
        <v>X</v>
      </c>
      <c r="K786" s="28"/>
      <c r="L786" s="29"/>
      <c r="M786" s="28"/>
      <c r="N786" s="19" t="str">
        <f t="shared" si="40"/>
        <v/>
      </c>
      <c r="O786" s="19" t="str">
        <f t="shared" si="38"/>
        <v/>
      </c>
      <c r="P786" s="19" t="str">
        <f t="shared" si="38"/>
        <v/>
      </c>
      <c r="Q786" s="19" t="str">
        <f t="shared" si="38"/>
        <v/>
      </c>
      <c r="X786" s="92" t="s">
        <v>78</v>
      </c>
      <c r="Y786" s="92" t="s">
        <v>78</v>
      </c>
      <c r="Z786" s="92" t="s">
        <v>78</v>
      </c>
    </row>
    <row r="787" spans="1:26" ht="16" hidden="1" x14ac:dyDescent="0.4">
      <c r="A787" s="92">
        <v>3919</v>
      </c>
      <c r="B787" s="92">
        <v>3920</v>
      </c>
      <c r="E787" s="92">
        <v>50</v>
      </c>
      <c r="F787" s="92">
        <f>_xlfn.XLOOKUP(B787, DATA_Moresby_2024_ALL!B:B, DATA_Moresby_2024_ALL!G:G, "")</f>
        <v>0</v>
      </c>
      <c r="G787" s="93"/>
      <c r="H787" s="92">
        <v>9</v>
      </c>
      <c r="I787" s="92" t="str">
        <f t="shared" si="39"/>
        <v>X</v>
      </c>
      <c r="J787" s="79" t="str">
        <f>IF(G787="","X",_xlfn.XLOOKUP(B787,DATA_Moresby_2024_ALL!B:B,DATA_Moresby_2024_ALL!K:K,""))</f>
        <v>X</v>
      </c>
      <c r="K787" s="28"/>
      <c r="L787" s="29"/>
      <c r="M787" s="28"/>
      <c r="N787" s="19" t="str">
        <f t="shared" si="40"/>
        <v/>
      </c>
      <c r="O787" s="19" t="str">
        <f t="shared" si="38"/>
        <v/>
      </c>
      <c r="P787" s="19" t="str">
        <f t="shared" si="38"/>
        <v/>
      </c>
      <c r="Q787" s="19" t="str">
        <f t="shared" si="38"/>
        <v/>
      </c>
      <c r="X787" s="92" t="s">
        <v>78</v>
      </c>
      <c r="Y787" s="92" t="s">
        <v>78</v>
      </c>
      <c r="Z787" s="92" t="s">
        <v>78</v>
      </c>
    </row>
    <row r="788" spans="1:26" ht="16" hidden="1" x14ac:dyDescent="0.4">
      <c r="A788" s="92">
        <v>3924</v>
      </c>
      <c r="B788" s="92">
        <v>3925</v>
      </c>
      <c r="E788" s="92">
        <v>50</v>
      </c>
      <c r="F788" s="92">
        <f>_xlfn.XLOOKUP(B788, DATA_Moresby_2024_ALL!B:B, DATA_Moresby_2024_ALL!G:G, "")</f>
        <v>0</v>
      </c>
      <c r="G788" s="93"/>
      <c r="H788" s="92">
        <v>9</v>
      </c>
      <c r="I788" s="92" t="str">
        <f t="shared" si="39"/>
        <v>X</v>
      </c>
      <c r="J788" s="79" t="str">
        <f>IF(G788="","X",_xlfn.XLOOKUP(B788,DATA_Moresby_2024_ALL!B:B,DATA_Moresby_2024_ALL!K:K,""))</f>
        <v>X</v>
      </c>
      <c r="K788" s="28"/>
      <c r="L788" s="29"/>
      <c r="M788" s="28"/>
      <c r="N788" s="19" t="str">
        <f t="shared" si="40"/>
        <v/>
      </c>
      <c r="O788" s="19" t="str">
        <f t="shared" si="38"/>
        <v/>
      </c>
      <c r="P788" s="19" t="str">
        <f t="shared" si="38"/>
        <v/>
      </c>
      <c r="Q788" s="19" t="str">
        <f t="shared" si="38"/>
        <v/>
      </c>
      <c r="X788" s="92" t="s">
        <v>78</v>
      </c>
      <c r="Y788" s="92" t="s">
        <v>78</v>
      </c>
      <c r="Z788" s="92" t="s">
        <v>78</v>
      </c>
    </row>
    <row r="789" spans="1:26" ht="16" hidden="1" x14ac:dyDescent="0.4">
      <c r="A789" s="92">
        <v>3929</v>
      </c>
      <c r="B789" s="92">
        <v>3930</v>
      </c>
      <c r="E789" s="92">
        <v>50</v>
      </c>
      <c r="F789" s="92">
        <f>_xlfn.XLOOKUP(B789, DATA_Moresby_2024_ALL!B:B, DATA_Moresby_2024_ALL!G:G, "")</f>
        <v>0</v>
      </c>
      <c r="G789" s="93"/>
      <c r="H789" s="92">
        <v>9</v>
      </c>
      <c r="I789" s="92" t="str">
        <f t="shared" si="39"/>
        <v>X</v>
      </c>
      <c r="J789" s="79" t="str">
        <f>IF(G789="","X",_xlfn.XLOOKUP(B789,DATA_Moresby_2024_ALL!B:B,DATA_Moresby_2024_ALL!K:K,""))</f>
        <v>X</v>
      </c>
      <c r="K789" s="28"/>
      <c r="L789" s="29"/>
      <c r="M789" s="28"/>
      <c r="N789" s="19" t="str">
        <f t="shared" si="40"/>
        <v/>
      </c>
      <c r="O789" s="19" t="str">
        <f t="shared" si="38"/>
        <v/>
      </c>
      <c r="P789" s="19" t="str">
        <f t="shared" si="38"/>
        <v/>
      </c>
      <c r="Q789" s="19" t="str">
        <f t="shared" si="38"/>
        <v/>
      </c>
      <c r="X789" s="92" t="s">
        <v>78</v>
      </c>
      <c r="Y789" s="92" t="s">
        <v>78</v>
      </c>
      <c r="Z789" s="92" t="s">
        <v>78</v>
      </c>
    </row>
    <row r="790" spans="1:26" ht="16" hidden="1" x14ac:dyDescent="0.4">
      <c r="A790" s="92">
        <v>3934</v>
      </c>
      <c r="B790" s="92">
        <v>3935</v>
      </c>
      <c r="E790" s="92">
        <v>50</v>
      </c>
      <c r="F790" s="92">
        <f>_xlfn.XLOOKUP(B790, DATA_Moresby_2024_ALL!B:B, DATA_Moresby_2024_ALL!G:G, "")</f>
        <v>0</v>
      </c>
      <c r="G790" s="93"/>
      <c r="H790" s="92">
        <v>9</v>
      </c>
      <c r="I790" s="92" t="str">
        <f t="shared" si="39"/>
        <v>X</v>
      </c>
      <c r="J790" s="79" t="str">
        <f>IF(G790="","X",_xlfn.XLOOKUP(B790,DATA_Moresby_2024_ALL!B:B,DATA_Moresby_2024_ALL!K:K,""))</f>
        <v>X</v>
      </c>
      <c r="K790" s="28"/>
      <c r="L790" s="29"/>
      <c r="M790" s="28"/>
      <c r="N790" s="19" t="str">
        <f t="shared" si="40"/>
        <v/>
      </c>
      <c r="O790" s="19" t="str">
        <f t="shared" si="38"/>
        <v/>
      </c>
      <c r="P790" s="19" t="str">
        <f t="shared" si="38"/>
        <v/>
      </c>
      <c r="Q790" s="19" t="str">
        <f t="shared" si="38"/>
        <v/>
      </c>
      <c r="X790" s="92" t="s">
        <v>78</v>
      </c>
      <c r="Y790" s="92" t="s">
        <v>78</v>
      </c>
      <c r="Z790" s="92" t="s">
        <v>78</v>
      </c>
    </row>
    <row r="791" spans="1:26" ht="16" hidden="1" x14ac:dyDescent="0.4">
      <c r="A791" s="92">
        <v>3939</v>
      </c>
      <c r="B791" s="92">
        <v>3940</v>
      </c>
      <c r="E791" s="92">
        <v>50</v>
      </c>
      <c r="F791" s="92">
        <f>_xlfn.XLOOKUP(B791, DATA_Moresby_2024_ALL!B:B, DATA_Moresby_2024_ALL!G:G, "")</f>
        <v>0</v>
      </c>
      <c r="G791" s="93"/>
      <c r="H791" s="92">
        <v>9</v>
      </c>
      <c r="I791" s="92" t="str">
        <f t="shared" si="39"/>
        <v>X</v>
      </c>
      <c r="J791" s="79" t="str">
        <f>IF(G791="","X",_xlfn.XLOOKUP(B791,DATA_Moresby_2024_ALL!B:B,DATA_Moresby_2024_ALL!K:K,""))</f>
        <v>X</v>
      </c>
      <c r="K791" s="28"/>
      <c r="L791" s="29"/>
      <c r="M791" s="28"/>
      <c r="N791" s="19" t="str">
        <f t="shared" si="40"/>
        <v/>
      </c>
      <c r="O791" s="19" t="str">
        <f t="shared" si="38"/>
        <v/>
      </c>
      <c r="P791" s="19" t="str">
        <f t="shared" si="38"/>
        <v/>
      </c>
      <c r="Q791" s="19" t="str">
        <f t="shared" si="38"/>
        <v/>
      </c>
      <c r="X791" s="92" t="s">
        <v>78</v>
      </c>
      <c r="Y791" s="92" t="s">
        <v>78</v>
      </c>
      <c r="Z791" s="92" t="s">
        <v>78</v>
      </c>
    </row>
    <row r="792" spans="1:26" ht="16" hidden="1" x14ac:dyDescent="0.4">
      <c r="A792" s="92">
        <v>3944</v>
      </c>
      <c r="B792" s="92">
        <v>3945</v>
      </c>
      <c r="E792" s="92">
        <v>50</v>
      </c>
      <c r="F792" s="92">
        <f>_xlfn.XLOOKUP(B792, DATA_Moresby_2024_ALL!B:B, DATA_Moresby_2024_ALL!G:G, "")</f>
        <v>0</v>
      </c>
      <c r="G792" s="93"/>
      <c r="H792" s="92">
        <v>9</v>
      </c>
      <c r="I792" s="92" t="str">
        <f t="shared" si="39"/>
        <v>X</v>
      </c>
      <c r="J792" s="79" t="str">
        <f>IF(G792="","X",_xlfn.XLOOKUP(B792,DATA_Moresby_2024_ALL!B:B,DATA_Moresby_2024_ALL!K:K,""))</f>
        <v>X</v>
      </c>
      <c r="K792" s="28"/>
      <c r="L792" s="29"/>
      <c r="M792" s="28"/>
      <c r="N792" s="19" t="str">
        <f t="shared" si="40"/>
        <v/>
      </c>
      <c r="O792" s="19" t="str">
        <f t="shared" si="38"/>
        <v/>
      </c>
      <c r="P792" s="19" t="str">
        <f t="shared" si="38"/>
        <v/>
      </c>
      <c r="Q792" s="19" t="str">
        <f t="shared" si="38"/>
        <v/>
      </c>
      <c r="X792" s="92" t="s">
        <v>78</v>
      </c>
      <c r="Y792" s="92" t="s">
        <v>78</v>
      </c>
      <c r="Z792" s="92" t="s">
        <v>78</v>
      </c>
    </row>
    <row r="793" spans="1:26" ht="16" hidden="1" x14ac:dyDescent="0.4">
      <c r="A793" s="92">
        <v>3949</v>
      </c>
      <c r="B793" s="92">
        <v>3950</v>
      </c>
      <c r="E793" s="92">
        <v>50</v>
      </c>
      <c r="F793" s="92">
        <f>_xlfn.XLOOKUP(B793, DATA_Moresby_2024_ALL!B:B, DATA_Moresby_2024_ALL!G:G, "")</f>
        <v>0</v>
      </c>
      <c r="G793" s="93"/>
      <c r="H793" s="92">
        <v>9</v>
      </c>
      <c r="I793" s="92" t="str">
        <f t="shared" si="39"/>
        <v>X</v>
      </c>
      <c r="J793" s="79" t="str">
        <f>IF(G793="","X",_xlfn.XLOOKUP(B793,DATA_Moresby_2024_ALL!B:B,DATA_Moresby_2024_ALL!K:K,""))</f>
        <v>X</v>
      </c>
      <c r="K793" s="28"/>
      <c r="L793" s="29"/>
      <c r="M793" s="28"/>
      <c r="N793" s="19" t="str">
        <f t="shared" si="40"/>
        <v/>
      </c>
      <c r="O793" s="19" t="str">
        <f t="shared" si="38"/>
        <v/>
      </c>
      <c r="P793" s="19" t="str">
        <f t="shared" si="38"/>
        <v/>
      </c>
      <c r="Q793" s="19" t="str">
        <f t="shared" si="38"/>
        <v/>
      </c>
      <c r="X793" s="92" t="s">
        <v>78</v>
      </c>
      <c r="Y793" s="92" t="s">
        <v>78</v>
      </c>
      <c r="Z793" s="92" t="s">
        <v>78</v>
      </c>
    </row>
    <row r="794" spans="1:26" ht="16" hidden="1" x14ac:dyDescent="0.4">
      <c r="A794" s="92">
        <v>3954</v>
      </c>
      <c r="B794" s="92">
        <v>3955</v>
      </c>
      <c r="E794" s="92">
        <v>50</v>
      </c>
      <c r="F794" s="92">
        <f>_xlfn.XLOOKUP(B794, DATA_Moresby_2024_ALL!B:B, DATA_Moresby_2024_ALL!G:G, "")</f>
        <v>0</v>
      </c>
      <c r="G794" s="93"/>
      <c r="H794" s="92">
        <v>9</v>
      </c>
      <c r="I794" s="92" t="str">
        <f t="shared" si="39"/>
        <v>X</v>
      </c>
      <c r="J794" s="79" t="str">
        <f>IF(G794="","X",_xlfn.XLOOKUP(B794,DATA_Moresby_2024_ALL!B:B,DATA_Moresby_2024_ALL!K:K,""))</f>
        <v>X</v>
      </c>
      <c r="K794" s="28"/>
      <c r="L794" s="29"/>
      <c r="M794" s="28"/>
      <c r="N794" s="19" t="str">
        <f t="shared" si="40"/>
        <v/>
      </c>
      <c r="O794" s="19" t="str">
        <f t="shared" si="38"/>
        <v/>
      </c>
      <c r="P794" s="19" t="str">
        <f t="shared" si="38"/>
        <v/>
      </c>
      <c r="Q794" s="19" t="str">
        <f t="shared" si="38"/>
        <v/>
      </c>
      <c r="X794" s="92" t="s">
        <v>78</v>
      </c>
      <c r="Y794" s="92" t="s">
        <v>78</v>
      </c>
      <c r="Z794" s="92" t="s">
        <v>78</v>
      </c>
    </row>
    <row r="795" spans="1:26" ht="16" hidden="1" x14ac:dyDescent="0.4">
      <c r="A795" s="92">
        <v>3959</v>
      </c>
      <c r="B795" s="92">
        <v>3960</v>
      </c>
      <c r="E795" s="92">
        <v>50</v>
      </c>
      <c r="F795" s="92">
        <f>_xlfn.XLOOKUP(B795, DATA_Moresby_2024_ALL!B:B, DATA_Moresby_2024_ALL!G:G, "")</f>
        <v>0</v>
      </c>
      <c r="G795" s="93"/>
      <c r="H795" s="92">
        <v>9</v>
      </c>
      <c r="I795" s="92" t="str">
        <f t="shared" si="39"/>
        <v>X</v>
      </c>
      <c r="J795" s="79" t="str">
        <f>IF(G795="","X",_xlfn.XLOOKUP(B795,DATA_Moresby_2024_ALL!B:B,DATA_Moresby_2024_ALL!K:K,""))</f>
        <v>X</v>
      </c>
      <c r="K795" s="28"/>
      <c r="L795" s="29"/>
      <c r="M795" s="28"/>
      <c r="N795" s="19" t="str">
        <f t="shared" si="40"/>
        <v/>
      </c>
      <c r="O795" s="19" t="str">
        <f t="shared" si="38"/>
        <v/>
      </c>
      <c r="P795" s="19" t="str">
        <f t="shared" si="38"/>
        <v/>
      </c>
      <c r="Q795" s="19" t="str">
        <f t="shared" si="38"/>
        <v/>
      </c>
      <c r="X795" s="92" t="s">
        <v>78</v>
      </c>
      <c r="Y795" s="92" t="s">
        <v>78</v>
      </c>
      <c r="Z795" s="92" t="s">
        <v>78</v>
      </c>
    </row>
    <row r="796" spans="1:26" ht="16" hidden="1" x14ac:dyDescent="0.4">
      <c r="A796" s="92">
        <v>3964</v>
      </c>
      <c r="B796" s="92">
        <v>3965</v>
      </c>
      <c r="E796" s="92">
        <v>50</v>
      </c>
      <c r="F796" s="92">
        <f>_xlfn.XLOOKUP(B796, DATA_Moresby_2024_ALL!B:B, DATA_Moresby_2024_ALL!G:G, "")</f>
        <v>0</v>
      </c>
      <c r="G796" s="93"/>
      <c r="H796" s="92">
        <v>9</v>
      </c>
      <c r="I796" s="92" t="str">
        <f t="shared" si="39"/>
        <v>X</v>
      </c>
      <c r="J796" s="79" t="str">
        <f>IF(G796="","X",_xlfn.XLOOKUP(B796,DATA_Moresby_2024_ALL!B:B,DATA_Moresby_2024_ALL!K:K,""))</f>
        <v>X</v>
      </c>
      <c r="K796" s="28"/>
      <c r="L796" s="29"/>
      <c r="M796" s="28"/>
      <c r="N796" s="19" t="str">
        <f t="shared" si="40"/>
        <v/>
      </c>
      <c r="O796" s="19" t="str">
        <f t="shared" si="38"/>
        <v/>
      </c>
      <c r="P796" s="19" t="str">
        <f t="shared" si="38"/>
        <v/>
      </c>
      <c r="Q796" s="19" t="str">
        <f t="shared" si="38"/>
        <v/>
      </c>
      <c r="X796" s="92" t="s">
        <v>78</v>
      </c>
      <c r="Y796" s="92" t="s">
        <v>78</v>
      </c>
      <c r="Z796" s="92" t="s">
        <v>78</v>
      </c>
    </row>
    <row r="797" spans="1:26" ht="16" hidden="1" x14ac:dyDescent="0.4">
      <c r="A797" s="92">
        <v>3969</v>
      </c>
      <c r="B797" s="92">
        <v>3970</v>
      </c>
      <c r="E797" s="92">
        <v>50</v>
      </c>
      <c r="F797" s="92">
        <f>_xlfn.XLOOKUP(B797, DATA_Moresby_2024_ALL!B:B, DATA_Moresby_2024_ALL!G:G, "")</f>
        <v>0</v>
      </c>
      <c r="G797" s="93"/>
      <c r="H797" s="92">
        <v>9</v>
      </c>
      <c r="I797" s="92" t="str">
        <f t="shared" si="39"/>
        <v>X</v>
      </c>
      <c r="J797" s="79" t="str">
        <f>IF(G797="","X",_xlfn.XLOOKUP(B797,DATA_Moresby_2024_ALL!B:B,DATA_Moresby_2024_ALL!K:K,""))</f>
        <v>X</v>
      </c>
      <c r="K797" s="28"/>
      <c r="L797" s="29"/>
      <c r="M797" s="28"/>
      <c r="N797" s="19" t="str">
        <f t="shared" si="40"/>
        <v/>
      </c>
      <c r="O797" s="19" t="str">
        <f t="shared" si="40"/>
        <v/>
      </c>
      <c r="P797" s="19" t="str">
        <f t="shared" si="40"/>
        <v/>
      </c>
      <c r="Q797" s="19" t="str">
        <f t="shared" si="40"/>
        <v/>
      </c>
      <c r="X797" s="92" t="s">
        <v>78</v>
      </c>
      <c r="Y797" s="92" t="s">
        <v>78</v>
      </c>
      <c r="Z797" s="92" t="s">
        <v>78</v>
      </c>
    </row>
    <row r="798" spans="1:26" ht="16" hidden="1" x14ac:dyDescent="0.4">
      <c r="A798" s="92">
        <v>3974</v>
      </c>
      <c r="B798" s="92">
        <v>3975</v>
      </c>
      <c r="E798" s="92">
        <v>50</v>
      </c>
      <c r="F798" s="92">
        <f>_xlfn.XLOOKUP(B798, DATA_Moresby_2024_ALL!B:B, DATA_Moresby_2024_ALL!G:G, "")</f>
        <v>0</v>
      </c>
      <c r="G798" s="93"/>
      <c r="H798" s="92">
        <v>9</v>
      </c>
      <c r="I798" s="92" t="str">
        <f t="shared" ref="I798:I861" si="41">IF(G798="","X","")</f>
        <v>X</v>
      </c>
      <c r="J798" s="79" t="str">
        <f>IF(G798="","X",_xlfn.XLOOKUP(B798,DATA_Moresby_2024_ALL!B:B,DATA_Moresby_2024_ALL!K:K,""))</f>
        <v>X</v>
      </c>
      <c r="K798" s="28"/>
      <c r="L798" s="29"/>
      <c r="M798" s="28"/>
      <c r="N798" s="19" t="str">
        <f t="shared" ref="N798:Q861" si="42">IF($J798=1,4,"")</f>
        <v/>
      </c>
      <c r="O798" s="19" t="str">
        <f t="shared" si="42"/>
        <v/>
      </c>
      <c r="P798" s="19" t="str">
        <f t="shared" si="42"/>
        <v/>
      </c>
      <c r="Q798" s="19" t="str">
        <f t="shared" si="42"/>
        <v/>
      </c>
      <c r="X798" s="92" t="s">
        <v>78</v>
      </c>
      <c r="Y798" s="92" t="s">
        <v>78</v>
      </c>
      <c r="Z798" s="92" t="s">
        <v>78</v>
      </c>
    </row>
    <row r="799" spans="1:26" ht="16" hidden="1" x14ac:dyDescent="0.4">
      <c r="A799" s="92">
        <v>3979</v>
      </c>
      <c r="B799" s="92">
        <v>3980</v>
      </c>
      <c r="E799" s="92">
        <v>50</v>
      </c>
      <c r="F799" s="92">
        <f>_xlfn.XLOOKUP(B799, DATA_Moresby_2024_ALL!B:B, DATA_Moresby_2024_ALL!G:G, "")</f>
        <v>0</v>
      </c>
      <c r="G799" s="93"/>
      <c r="H799" s="92">
        <v>9</v>
      </c>
      <c r="I799" s="92" t="str">
        <f t="shared" si="41"/>
        <v>X</v>
      </c>
      <c r="J799" s="79" t="str">
        <f>IF(G799="","X",_xlfn.XLOOKUP(B799,DATA_Moresby_2024_ALL!B:B,DATA_Moresby_2024_ALL!K:K,""))</f>
        <v>X</v>
      </c>
      <c r="K799" s="28"/>
      <c r="L799" s="29"/>
      <c r="M799" s="28"/>
      <c r="N799" s="19" t="str">
        <f t="shared" si="42"/>
        <v/>
      </c>
      <c r="O799" s="19" t="str">
        <f t="shared" si="42"/>
        <v/>
      </c>
      <c r="P799" s="19" t="str">
        <f t="shared" si="42"/>
        <v/>
      </c>
      <c r="Q799" s="19" t="str">
        <f t="shared" si="42"/>
        <v/>
      </c>
      <c r="X799" s="92" t="s">
        <v>78</v>
      </c>
      <c r="Y799" s="92" t="s">
        <v>78</v>
      </c>
      <c r="Z799" s="92" t="s">
        <v>78</v>
      </c>
    </row>
    <row r="800" spans="1:26" ht="16" hidden="1" x14ac:dyDescent="0.4">
      <c r="A800" s="92">
        <v>3984</v>
      </c>
      <c r="B800" s="92">
        <v>3985</v>
      </c>
      <c r="E800" s="92">
        <v>50</v>
      </c>
      <c r="F800" s="92">
        <f>_xlfn.XLOOKUP(B800, DATA_Moresby_2024_ALL!B:B, DATA_Moresby_2024_ALL!G:G, "")</f>
        <v>0</v>
      </c>
      <c r="G800" s="93"/>
      <c r="H800" s="92">
        <v>9</v>
      </c>
      <c r="I800" s="92" t="str">
        <f t="shared" si="41"/>
        <v>X</v>
      </c>
      <c r="J800" s="79" t="str">
        <f>IF(G800="","X",_xlfn.XLOOKUP(B800,DATA_Moresby_2024_ALL!B:B,DATA_Moresby_2024_ALL!K:K,""))</f>
        <v>X</v>
      </c>
      <c r="K800" s="28"/>
      <c r="L800" s="29"/>
      <c r="M800" s="28"/>
      <c r="N800" s="19" t="str">
        <f t="shared" si="42"/>
        <v/>
      </c>
      <c r="O800" s="19" t="str">
        <f t="shared" si="42"/>
        <v/>
      </c>
      <c r="P800" s="19" t="str">
        <f t="shared" si="42"/>
        <v/>
      </c>
      <c r="Q800" s="19" t="str">
        <f t="shared" si="42"/>
        <v/>
      </c>
      <c r="X800" s="92" t="s">
        <v>78</v>
      </c>
      <c r="Y800" s="92" t="s">
        <v>78</v>
      </c>
      <c r="Z800" s="92" t="s">
        <v>78</v>
      </c>
    </row>
    <row r="801" spans="1:26" ht="16" hidden="1" x14ac:dyDescent="0.4">
      <c r="A801" s="92">
        <v>3989</v>
      </c>
      <c r="B801" s="92">
        <v>3990</v>
      </c>
      <c r="E801" s="92">
        <v>50</v>
      </c>
      <c r="F801" s="92">
        <f>_xlfn.XLOOKUP(B801, DATA_Moresby_2024_ALL!B:B, DATA_Moresby_2024_ALL!G:G, "")</f>
        <v>0</v>
      </c>
      <c r="G801" s="93"/>
      <c r="H801" s="92">
        <v>9</v>
      </c>
      <c r="I801" s="92" t="str">
        <f t="shared" si="41"/>
        <v>X</v>
      </c>
      <c r="J801" s="79" t="str">
        <f>IF(G801="","X",_xlfn.XLOOKUP(B801,DATA_Moresby_2024_ALL!B:B,DATA_Moresby_2024_ALL!K:K,""))</f>
        <v>X</v>
      </c>
      <c r="K801" s="28"/>
      <c r="L801" s="29"/>
      <c r="M801" s="28"/>
      <c r="N801" s="19" t="str">
        <f t="shared" si="42"/>
        <v/>
      </c>
      <c r="O801" s="19" t="str">
        <f t="shared" si="42"/>
        <v/>
      </c>
      <c r="P801" s="19" t="str">
        <f t="shared" si="42"/>
        <v/>
      </c>
      <c r="Q801" s="19" t="str">
        <f t="shared" si="42"/>
        <v/>
      </c>
      <c r="X801" s="92" t="s">
        <v>78</v>
      </c>
      <c r="Y801" s="92" t="s">
        <v>78</v>
      </c>
      <c r="Z801" s="92" t="s">
        <v>78</v>
      </c>
    </row>
    <row r="802" spans="1:26" ht="16" hidden="1" x14ac:dyDescent="0.4">
      <c r="A802" s="92">
        <v>3994</v>
      </c>
      <c r="B802" s="92">
        <v>3995</v>
      </c>
      <c r="E802" s="92">
        <v>50</v>
      </c>
      <c r="F802" s="92">
        <f>_xlfn.XLOOKUP(B802, DATA_Moresby_2024_ALL!B:B, DATA_Moresby_2024_ALL!G:G, "")</f>
        <v>0</v>
      </c>
      <c r="G802" s="93"/>
      <c r="H802" s="92">
        <v>9</v>
      </c>
      <c r="I802" s="92" t="str">
        <f t="shared" si="41"/>
        <v>X</v>
      </c>
      <c r="J802" s="79" t="str">
        <f>IF(G802="","X",_xlfn.XLOOKUP(B802,DATA_Moresby_2024_ALL!B:B,DATA_Moresby_2024_ALL!K:K,""))</f>
        <v>X</v>
      </c>
      <c r="K802" s="28"/>
      <c r="L802" s="29"/>
      <c r="M802" s="28"/>
      <c r="N802" s="19" t="str">
        <f t="shared" si="42"/>
        <v/>
      </c>
      <c r="O802" s="19" t="str">
        <f t="shared" si="42"/>
        <v/>
      </c>
      <c r="P802" s="19" t="str">
        <f t="shared" si="42"/>
        <v/>
      </c>
      <c r="Q802" s="19" t="str">
        <f t="shared" si="42"/>
        <v/>
      </c>
      <c r="X802" s="92" t="s">
        <v>78</v>
      </c>
      <c r="Y802" s="92" t="s">
        <v>78</v>
      </c>
      <c r="Z802" s="92" t="s">
        <v>78</v>
      </c>
    </row>
    <row r="803" spans="1:26" ht="16" hidden="1" x14ac:dyDescent="0.4">
      <c r="A803" s="92">
        <v>3999</v>
      </c>
      <c r="B803" s="92">
        <v>4000</v>
      </c>
      <c r="E803" s="92">
        <v>50</v>
      </c>
      <c r="F803" s="92">
        <f>_xlfn.XLOOKUP(B803, DATA_Moresby_2024_ALL!B:B, DATA_Moresby_2024_ALL!G:G, "")</f>
        <v>0</v>
      </c>
      <c r="G803" s="93"/>
      <c r="H803" s="92">
        <v>9</v>
      </c>
      <c r="I803" s="92" t="str">
        <f t="shared" si="41"/>
        <v>X</v>
      </c>
      <c r="J803" s="79" t="str">
        <f>IF(G803="","X",_xlfn.XLOOKUP(B803,DATA_Moresby_2024_ALL!B:B,DATA_Moresby_2024_ALL!K:K,""))</f>
        <v>X</v>
      </c>
      <c r="K803" s="28"/>
      <c r="L803" s="29"/>
      <c r="M803" s="28"/>
      <c r="N803" s="19" t="str">
        <f t="shared" si="42"/>
        <v/>
      </c>
      <c r="O803" s="19" t="str">
        <f t="shared" si="42"/>
        <v/>
      </c>
      <c r="P803" s="19" t="str">
        <f t="shared" si="42"/>
        <v/>
      </c>
      <c r="Q803" s="19" t="str">
        <f t="shared" si="42"/>
        <v/>
      </c>
      <c r="X803" s="92" t="s">
        <v>78</v>
      </c>
      <c r="Y803" s="92" t="s">
        <v>78</v>
      </c>
      <c r="Z803" s="92" t="s">
        <v>78</v>
      </c>
    </row>
    <row r="804" spans="1:26" ht="16" hidden="1" x14ac:dyDescent="0.4">
      <c r="A804" s="92">
        <v>4004</v>
      </c>
      <c r="B804" s="92">
        <v>4005</v>
      </c>
      <c r="E804" s="92">
        <v>50</v>
      </c>
      <c r="F804" s="92">
        <f>_xlfn.XLOOKUP(B804, DATA_Moresby_2024_ALL!B:B, DATA_Moresby_2024_ALL!G:G, "")</f>
        <v>0</v>
      </c>
      <c r="G804" s="93"/>
      <c r="H804" s="92">
        <v>9</v>
      </c>
      <c r="I804" s="92" t="str">
        <f t="shared" si="41"/>
        <v>X</v>
      </c>
      <c r="J804" s="79" t="str">
        <f>IF(G804="","X",_xlfn.XLOOKUP(B804,DATA_Moresby_2024_ALL!B:B,DATA_Moresby_2024_ALL!K:K,""))</f>
        <v>X</v>
      </c>
      <c r="K804" s="28"/>
      <c r="L804" s="29"/>
      <c r="M804" s="28"/>
      <c r="N804" s="19" t="str">
        <f t="shared" si="42"/>
        <v/>
      </c>
      <c r="O804" s="19" t="str">
        <f t="shared" si="42"/>
        <v/>
      </c>
      <c r="P804" s="19" t="str">
        <f t="shared" si="42"/>
        <v/>
      </c>
      <c r="Q804" s="19" t="str">
        <f t="shared" si="42"/>
        <v/>
      </c>
      <c r="X804" s="92" t="s">
        <v>78</v>
      </c>
      <c r="Y804" s="92" t="s">
        <v>78</v>
      </c>
      <c r="Z804" s="92" t="s">
        <v>78</v>
      </c>
    </row>
    <row r="805" spans="1:26" ht="16" hidden="1" x14ac:dyDescent="0.4">
      <c r="A805" s="92">
        <v>4009</v>
      </c>
      <c r="B805" s="92">
        <v>4010</v>
      </c>
      <c r="E805" s="92">
        <v>50</v>
      </c>
      <c r="F805" s="92">
        <f>_xlfn.XLOOKUP(B805, DATA_Moresby_2024_ALL!B:B, DATA_Moresby_2024_ALL!G:G, "")</f>
        <v>0</v>
      </c>
      <c r="G805" s="93"/>
      <c r="H805" s="92">
        <v>9</v>
      </c>
      <c r="I805" s="92" t="str">
        <f t="shared" si="41"/>
        <v>X</v>
      </c>
      <c r="J805" s="79" t="str">
        <f>IF(G805="","X",_xlfn.XLOOKUP(B805,DATA_Moresby_2024_ALL!B:B,DATA_Moresby_2024_ALL!K:K,""))</f>
        <v>X</v>
      </c>
      <c r="K805" s="28"/>
      <c r="L805" s="29"/>
      <c r="M805" s="28"/>
      <c r="N805" s="19" t="str">
        <f t="shared" si="42"/>
        <v/>
      </c>
      <c r="O805" s="19" t="str">
        <f t="shared" si="42"/>
        <v/>
      </c>
      <c r="P805" s="19" t="str">
        <f t="shared" si="42"/>
        <v/>
      </c>
      <c r="Q805" s="19" t="str">
        <f t="shared" si="42"/>
        <v/>
      </c>
      <c r="X805" s="92" t="s">
        <v>78</v>
      </c>
      <c r="Y805" s="92" t="s">
        <v>78</v>
      </c>
      <c r="Z805" s="92" t="s">
        <v>78</v>
      </c>
    </row>
    <row r="806" spans="1:26" ht="16" hidden="1" x14ac:dyDescent="0.4">
      <c r="A806" s="92">
        <v>4014</v>
      </c>
      <c r="B806" s="92">
        <v>4015</v>
      </c>
      <c r="E806" s="92">
        <v>50</v>
      </c>
      <c r="F806" s="92">
        <f>_xlfn.XLOOKUP(B806, DATA_Moresby_2024_ALL!B:B, DATA_Moresby_2024_ALL!G:G, "")</f>
        <v>0</v>
      </c>
      <c r="G806" s="93"/>
      <c r="H806" s="92">
        <v>9</v>
      </c>
      <c r="I806" s="92" t="str">
        <f t="shared" si="41"/>
        <v>X</v>
      </c>
      <c r="J806" s="79" t="str">
        <f>IF(G806="","X",_xlfn.XLOOKUP(B806,DATA_Moresby_2024_ALL!B:B,DATA_Moresby_2024_ALL!K:K,""))</f>
        <v>X</v>
      </c>
      <c r="K806" s="28"/>
      <c r="L806" s="29"/>
      <c r="M806" s="28"/>
      <c r="N806" s="19" t="str">
        <f t="shared" si="42"/>
        <v/>
      </c>
      <c r="O806" s="19" t="str">
        <f t="shared" si="42"/>
        <v/>
      </c>
      <c r="P806" s="19" t="str">
        <f t="shared" si="42"/>
        <v/>
      </c>
      <c r="Q806" s="19" t="str">
        <f t="shared" si="42"/>
        <v/>
      </c>
      <c r="X806" s="92" t="s">
        <v>78</v>
      </c>
      <c r="Y806" s="92" t="s">
        <v>78</v>
      </c>
      <c r="Z806" s="92" t="s">
        <v>78</v>
      </c>
    </row>
    <row r="807" spans="1:26" ht="16" hidden="1" x14ac:dyDescent="0.4">
      <c r="A807" s="92">
        <v>4019</v>
      </c>
      <c r="B807" s="92">
        <v>4020</v>
      </c>
      <c r="E807" s="92">
        <v>50</v>
      </c>
      <c r="F807" s="92">
        <f>_xlfn.XLOOKUP(B807, DATA_Moresby_2024_ALL!B:B, DATA_Moresby_2024_ALL!G:G, "")</f>
        <v>0</v>
      </c>
      <c r="G807" s="93"/>
      <c r="H807" s="92">
        <v>9</v>
      </c>
      <c r="I807" s="92" t="str">
        <f t="shared" si="41"/>
        <v>X</v>
      </c>
      <c r="J807" s="79" t="str">
        <f>IF(G807="","X",_xlfn.XLOOKUP(B807,DATA_Moresby_2024_ALL!B:B,DATA_Moresby_2024_ALL!K:K,""))</f>
        <v>X</v>
      </c>
      <c r="K807" s="28"/>
      <c r="L807" s="29"/>
      <c r="M807" s="28"/>
      <c r="N807" s="19" t="str">
        <f t="shared" si="42"/>
        <v/>
      </c>
      <c r="O807" s="19" t="str">
        <f t="shared" si="42"/>
        <v/>
      </c>
      <c r="P807" s="19" t="str">
        <f t="shared" si="42"/>
        <v/>
      </c>
      <c r="Q807" s="19" t="str">
        <f t="shared" si="42"/>
        <v/>
      </c>
      <c r="X807" s="92" t="s">
        <v>78</v>
      </c>
      <c r="Y807" s="92" t="s">
        <v>78</v>
      </c>
      <c r="Z807" s="92" t="s">
        <v>78</v>
      </c>
    </row>
    <row r="808" spans="1:26" ht="16" hidden="1" x14ac:dyDescent="0.4">
      <c r="A808" s="92">
        <v>4024</v>
      </c>
      <c r="B808" s="92">
        <v>4025</v>
      </c>
      <c r="E808" s="92">
        <v>50</v>
      </c>
      <c r="F808" s="92">
        <f>_xlfn.XLOOKUP(B808, DATA_Moresby_2024_ALL!B:B, DATA_Moresby_2024_ALL!G:G, "")</f>
        <v>0</v>
      </c>
      <c r="G808" s="93"/>
      <c r="H808" s="92">
        <v>9</v>
      </c>
      <c r="I808" s="92" t="str">
        <f t="shared" si="41"/>
        <v>X</v>
      </c>
      <c r="J808" s="79" t="str">
        <f>IF(G808="","X",_xlfn.XLOOKUP(B808,DATA_Moresby_2024_ALL!B:B,DATA_Moresby_2024_ALL!K:K,""))</f>
        <v>X</v>
      </c>
      <c r="K808" s="28"/>
      <c r="L808" s="29"/>
      <c r="M808" s="28"/>
      <c r="N808" s="19" t="str">
        <f t="shared" si="42"/>
        <v/>
      </c>
      <c r="O808" s="19" t="str">
        <f t="shared" si="42"/>
        <v/>
      </c>
      <c r="P808" s="19" t="str">
        <f t="shared" si="42"/>
        <v/>
      </c>
      <c r="Q808" s="19" t="str">
        <f t="shared" si="42"/>
        <v/>
      </c>
      <c r="X808" s="92" t="s">
        <v>78</v>
      </c>
      <c r="Y808" s="92" t="s">
        <v>78</v>
      </c>
      <c r="Z808" s="92" t="s">
        <v>78</v>
      </c>
    </row>
    <row r="809" spans="1:26" ht="16" hidden="1" x14ac:dyDescent="0.4">
      <c r="A809" s="92">
        <v>4029</v>
      </c>
      <c r="B809" s="92">
        <v>4030</v>
      </c>
      <c r="E809" s="92">
        <v>50</v>
      </c>
      <c r="F809" s="92">
        <f>_xlfn.XLOOKUP(B809, DATA_Moresby_2024_ALL!B:B, DATA_Moresby_2024_ALL!G:G, "")</f>
        <v>0</v>
      </c>
      <c r="G809" s="93"/>
      <c r="H809" s="92">
        <v>9</v>
      </c>
      <c r="I809" s="92" t="str">
        <f t="shared" si="41"/>
        <v>X</v>
      </c>
      <c r="J809" s="79" t="str">
        <f>IF(G809="","X",_xlfn.XLOOKUP(B809,DATA_Moresby_2024_ALL!B:B,DATA_Moresby_2024_ALL!K:K,""))</f>
        <v>X</v>
      </c>
      <c r="K809" s="28"/>
      <c r="L809" s="29"/>
      <c r="M809" s="28"/>
      <c r="N809" s="19" t="str">
        <f t="shared" si="42"/>
        <v/>
      </c>
      <c r="O809" s="19" t="str">
        <f t="shared" si="42"/>
        <v/>
      </c>
      <c r="P809" s="19" t="str">
        <f t="shared" si="42"/>
        <v/>
      </c>
      <c r="Q809" s="19" t="str">
        <f t="shared" si="42"/>
        <v/>
      </c>
      <c r="X809" s="92" t="s">
        <v>78</v>
      </c>
      <c r="Y809" s="92" t="s">
        <v>78</v>
      </c>
      <c r="Z809" s="92" t="s">
        <v>78</v>
      </c>
    </row>
    <row r="810" spans="1:26" ht="16" hidden="1" x14ac:dyDescent="0.4">
      <c r="A810" s="92">
        <v>4034</v>
      </c>
      <c r="B810" s="92">
        <v>4035</v>
      </c>
      <c r="E810" s="92">
        <v>50</v>
      </c>
      <c r="F810" s="92">
        <f>_xlfn.XLOOKUP(B810, DATA_Moresby_2024_ALL!B:B, DATA_Moresby_2024_ALL!G:G, "")</f>
        <v>0</v>
      </c>
      <c r="G810" s="93"/>
      <c r="H810" s="92">
        <v>9</v>
      </c>
      <c r="I810" s="92" t="str">
        <f t="shared" si="41"/>
        <v>X</v>
      </c>
      <c r="J810" s="79" t="str">
        <f>IF(G810="","X",_xlfn.XLOOKUP(B810,DATA_Moresby_2024_ALL!B:B,DATA_Moresby_2024_ALL!K:K,""))</f>
        <v>X</v>
      </c>
      <c r="K810" s="28"/>
      <c r="L810" s="29"/>
      <c r="M810" s="28"/>
      <c r="N810" s="19" t="str">
        <f t="shared" si="42"/>
        <v/>
      </c>
      <c r="O810" s="19" t="str">
        <f t="shared" si="42"/>
        <v/>
      </c>
      <c r="P810" s="19" t="str">
        <f t="shared" si="42"/>
        <v/>
      </c>
      <c r="Q810" s="19" t="str">
        <f t="shared" si="42"/>
        <v/>
      </c>
      <c r="X810" s="92" t="s">
        <v>78</v>
      </c>
      <c r="Y810" s="92" t="s">
        <v>78</v>
      </c>
      <c r="Z810" s="92" t="s">
        <v>78</v>
      </c>
    </row>
    <row r="811" spans="1:26" ht="16" hidden="1" x14ac:dyDescent="0.4">
      <c r="A811" s="92">
        <v>4039</v>
      </c>
      <c r="B811" s="92">
        <v>4040</v>
      </c>
      <c r="E811" s="92">
        <v>50</v>
      </c>
      <c r="F811" s="92">
        <f>_xlfn.XLOOKUP(B811, DATA_Moresby_2024_ALL!B:B, DATA_Moresby_2024_ALL!G:G, "")</f>
        <v>0</v>
      </c>
      <c r="G811" s="93"/>
      <c r="H811" s="92">
        <v>9</v>
      </c>
      <c r="I811" s="92" t="str">
        <f t="shared" si="41"/>
        <v>X</v>
      </c>
      <c r="J811" s="79" t="str">
        <f>IF(G811="","X",_xlfn.XLOOKUP(B811,DATA_Moresby_2024_ALL!B:B,DATA_Moresby_2024_ALL!K:K,""))</f>
        <v>X</v>
      </c>
      <c r="K811" s="28"/>
      <c r="L811" s="29"/>
      <c r="M811" s="28"/>
      <c r="N811" s="19" t="str">
        <f t="shared" si="42"/>
        <v/>
      </c>
      <c r="O811" s="19" t="str">
        <f t="shared" si="42"/>
        <v/>
      </c>
      <c r="P811" s="19" t="str">
        <f t="shared" si="42"/>
        <v/>
      </c>
      <c r="Q811" s="19" t="str">
        <f t="shared" si="42"/>
        <v/>
      </c>
      <c r="X811" s="92" t="s">
        <v>78</v>
      </c>
      <c r="Y811" s="92" t="s">
        <v>78</v>
      </c>
      <c r="Z811" s="92" t="s">
        <v>78</v>
      </c>
    </row>
    <row r="812" spans="1:26" ht="16" hidden="1" x14ac:dyDescent="0.4">
      <c r="A812" s="92">
        <v>4044</v>
      </c>
      <c r="B812" s="92">
        <v>4045</v>
      </c>
      <c r="E812" s="92">
        <v>50</v>
      </c>
      <c r="F812" s="92">
        <f>_xlfn.XLOOKUP(B812, DATA_Moresby_2024_ALL!B:B, DATA_Moresby_2024_ALL!G:G, "")</f>
        <v>0</v>
      </c>
      <c r="G812" s="93"/>
      <c r="H812" s="92">
        <v>9</v>
      </c>
      <c r="I812" s="92" t="str">
        <f t="shared" si="41"/>
        <v>X</v>
      </c>
      <c r="J812" s="79" t="str">
        <f>IF(G812="","X",_xlfn.XLOOKUP(B812,DATA_Moresby_2024_ALL!B:B,DATA_Moresby_2024_ALL!K:K,""))</f>
        <v>X</v>
      </c>
      <c r="K812" s="28"/>
      <c r="L812" s="29"/>
      <c r="M812" s="28"/>
      <c r="N812" s="19" t="str">
        <f t="shared" si="42"/>
        <v/>
      </c>
      <c r="O812" s="19" t="str">
        <f t="shared" si="42"/>
        <v/>
      </c>
      <c r="P812" s="19" t="str">
        <f t="shared" si="42"/>
        <v/>
      </c>
      <c r="Q812" s="19" t="str">
        <f t="shared" si="42"/>
        <v/>
      </c>
      <c r="X812" s="92" t="s">
        <v>78</v>
      </c>
      <c r="Y812" s="92" t="s">
        <v>78</v>
      </c>
      <c r="Z812" s="92" t="s">
        <v>78</v>
      </c>
    </row>
    <row r="813" spans="1:26" ht="16" hidden="1" x14ac:dyDescent="0.4">
      <c r="A813" s="92">
        <v>4049</v>
      </c>
      <c r="B813" s="92">
        <v>4050</v>
      </c>
      <c r="E813" s="92">
        <v>50</v>
      </c>
      <c r="F813" s="92">
        <f>_xlfn.XLOOKUP(B813, DATA_Moresby_2024_ALL!B:B, DATA_Moresby_2024_ALL!G:G, "")</f>
        <v>0</v>
      </c>
      <c r="G813" s="93"/>
      <c r="H813" s="92">
        <v>9</v>
      </c>
      <c r="I813" s="92" t="str">
        <f t="shared" si="41"/>
        <v>X</v>
      </c>
      <c r="J813" s="79" t="str">
        <f>IF(G813="","X",_xlfn.XLOOKUP(B813,DATA_Moresby_2024_ALL!B:B,DATA_Moresby_2024_ALL!K:K,""))</f>
        <v>X</v>
      </c>
      <c r="K813" s="28"/>
      <c r="L813" s="29"/>
      <c r="M813" s="28"/>
      <c r="N813" s="19" t="str">
        <f t="shared" si="42"/>
        <v/>
      </c>
      <c r="O813" s="19" t="str">
        <f t="shared" si="42"/>
        <v/>
      </c>
      <c r="P813" s="19" t="str">
        <f t="shared" si="42"/>
        <v/>
      </c>
      <c r="Q813" s="19" t="str">
        <f t="shared" si="42"/>
        <v/>
      </c>
      <c r="X813" s="92" t="s">
        <v>78</v>
      </c>
      <c r="Y813" s="92" t="s">
        <v>78</v>
      </c>
      <c r="Z813" s="92" t="s">
        <v>78</v>
      </c>
    </row>
    <row r="814" spans="1:26" ht="16" hidden="1" x14ac:dyDescent="0.4">
      <c r="A814" s="92">
        <v>4054</v>
      </c>
      <c r="B814" s="92">
        <v>4055</v>
      </c>
      <c r="E814" s="92">
        <v>50</v>
      </c>
      <c r="F814" s="92">
        <f>_xlfn.XLOOKUP(B814, DATA_Moresby_2024_ALL!B:B, DATA_Moresby_2024_ALL!G:G, "")</f>
        <v>0</v>
      </c>
      <c r="G814" s="93"/>
      <c r="H814" s="92">
        <v>9</v>
      </c>
      <c r="I814" s="92" t="str">
        <f t="shared" si="41"/>
        <v>X</v>
      </c>
      <c r="J814" s="79" t="str">
        <f>IF(G814="","X",_xlfn.XLOOKUP(B814,DATA_Moresby_2024_ALL!B:B,DATA_Moresby_2024_ALL!K:K,""))</f>
        <v>X</v>
      </c>
      <c r="K814" s="28"/>
      <c r="L814" s="29"/>
      <c r="M814" s="28"/>
      <c r="N814" s="19" t="str">
        <f t="shared" si="42"/>
        <v/>
      </c>
      <c r="O814" s="19" t="str">
        <f t="shared" si="42"/>
        <v/>
      </c>
      <c r="P814" s="19" t="str">
        <f t="shared" si="42"/>
        <v/>
      </c>
      <c r="Q814" s="19" t="str">
        <f t="shared" si="42"/>
        <v/>
      </c>
      <c r="X814" s="92" t="s">
        <v>78</v>
      </c>
      <c r="Y814" s="92" t="s">
        <v>78</v>
      </c>
      <c r="Z814" s="92" t="s">
        <v>78</v>
      </c>
    </row>
    <row r="815" spans="1:26" ht="16" hidden="1" x14ac:dyDescent="0.4">
      <c r="A815" s="92">
        <v>4059</v>
      </c>
      <c r="B815" s="92">
        <v>4060</v>
      </c>
      <c r="E815" s="92">
        <v>50</v>
      </c>
      <c r="F815" s="92">
        <f>_xlfn.XLOOKUP(B815, DATA_Moresby_2024_ALL!B:B, DATA_Moresby_2024_ALL!G:G, "")</f>
        <v>0</v>
      </c>
      <c r="G815" s="93"/>
      <c r="H815" s="92">
        <v>9</v>
      </c>
      <c r="I815" s="92" t="str">
        <f t="shared" si="41"/>
        <v>X</v>
      </c>
      <c r="J815" s="79" t="str">
        <f>IF(G815="","X",_xlfn.XLOOKUP(B815,DATA_Moresby_2024_ALL!B:B,DATA_Moresby_2024_ALL!K:K,""))</f>
        <v>X</v>
      </c>
      <c r="K815" s="28"/>
      <c r="L815" s="29"/>
      <c r="M815" s="28"/>
      <c r="N815" s="19" t="str">
        <f t="shared" si="42"/>
        <v/>
      </c>
      <c r="O815" s="19" t="str">
        <f t="shared" si="42"/>
        <v/>
      </c>
      <c r="P815" s="19" t="str">
        <f t="shared" si="42"/>
        <v/>
      </c>
      <c r="Q815" s="19" t="str">
        <f t="shared" si="42"/>
        <v/>
      </c>
      <c r="X815" s="92" t="s">
        <v>78</v>
      </c>
      <c r="Y815" s="92" t="s">
        <v>78</v>
      </c>
      <c r="Z815" s="92" t="s">
        <v>78</v>
      </c>
    </row>
    <row r="816" spans="1:26" ht="16" hidden="1" x14ac:dyDescent="0.4">
      <c r="A816" s="92">
        <v>4064</v>
      </c>
      <c r="B816" s="92">
        <v>4065</v>
      </c>
      <c r="E816" s="92">
        <v>50</v>
      </c>
      <c r="F816" s="92">
        <f>_xlfn.XLOOKUP(B816, DATA_Moresby_2024_ALL!B:B, DATA_Moresby_2024_ALL!G:G, "")</f>
        <v>0</v>
      </c>
      <c r="G816" s="93"/>
      <c r="H816" s="92">
        <v>9</v>
      </c>
      <c r="I816" s="92" t="str">
        <f t="shared" si="41"/>
        <v>X</v>
      </c>
      <c r="J816" s="79" t="str">
        <f>IF(G816="","X",_xlfn.XLOOKUP(B816,DATA_Moresby_2024_ALL!B:B,DATA_Moresby_2024_ALL!K:K,""))</f>
        <v>X</v>
      </c>
      <c r="K816" s="28"/>
      <c r="L816" s="29"/>
      <c r="M816" s="28"/>
      <c r="N816" s="19" t="str">
        <f t="shared" si="42"/>
        <v/>
      </c>
      <c r="O816" s="19" t="str">
        <f t="shared" si="42"/>
        <v/>
      </c>
      <c r="P816" s="19" t="str">
        <f t="shared" si="42"/>
        <v/>
      </c>
      <c r="Q816" s="19" t="str">
        <f t="shared" si="42"/>
        <v/>
      </c>
      <c r="X816" s="92" t="s">
        <v>78</v>
      </c>
      <c r="Y816" s="92" t="s">
        <v>78</v>
      </c>
      <c r="Z816" s="92" t="s">
        <v>78</v>
      </c>
    </row>
    <row r="817" spans="1:26" ht="16" hidden="1" x14ac:dyDescent="0.4">
      <c r="A817" s="92">
        <v>4069</v>
      </c>
      <c r="B817" s="92">
        <v>4070</v>
      </c>
      <c r="E817" s="92">
        <v>50</v>
      </c>
      <c r="F817" s="92">
        <f>_xlfn.XLOOKUP(B817, DATA_Moresby_2024_ALL!B:B, DATA_Moresby_2024_ALL!G:G, "")</f>
        <v>0</v>
      </c>
      <c r="G817" s="93"/>
      <c r="H817" s="92">
        <v>9</v>
      </c>
      <c r="I817" s="92" t="str">
        <f t="shared" si="41"/>
        <v>X</v>
      </c>
      <c r="J817" s="79" t="str">
        <f>IF(G817="","X",_xlfn.XLOOKUP(B817,DATA_Moresby_2024_ALL!B:B,DATA_Moresby_2024_ALL!K:K,""))</f>
        <v>X</v>
      </c>
      <c r="K817" s="28"/>
      <c r="L817" s="29"/>
      <c r="M817" s="28"/>
      <c r="N817" s="19" t="str">
        <f t="shared" si="42"/>
        <v/>
      </c>
      <c r="O817" s="19" t="str">
        <f t="shared" si="42"/>
        <v/>
      </c>
      <c r="P817" s="19" t="str">
        <f t="shared" si="42"/>
        <v/>
      </c>
      <c r="Q817" s="19" t="str">
        <f t="shared" si="42"/>
        <v/>
      </c>
      <c r="X817" s="92" t="s">
        <v>78</v>
      </c>
      <c r="Y817" s="92" t="s">
        <v>78</v>
      </c>
      <c r="Z817" s="92" t="s">
        <v>78</v>
      </c>
    </row>
    <row r="818" spans="1:26" ht="16" hidden="1" x14ac:dyDescent="0.4">
      <c r="A818" s="92">
        <v>4074</v>
      </c>
      <c r="B818" s="92">
        <v>4075</v>
      </c>
      <c r="E818" s="92">
        <v>50</v>
      </c>
      <c r="F818" s="92">
        <f>_xlfn.XLOOKUP(B818, DATA_Moresby_2024_ALL!B:B, DATA_Moresby_2024_ALL!G:G, "")</f>
        <v>0</v>
      </c>
      <c r="G818" s="93"/>
      <c r="H818" s="92">
        <v>9</v>
      </c>
      <c r="I818" s="92" t="str">
        <f t="shared" si="41"/>
        <v>X</v>
      </c>
      <c r="J818" s="79" t="str">
        <f>IF(G818="","X",_xlfn.XLOOKUP(B818,DATA_Moresby_2024_ALL!B:B,DATA_Moresby_2024_ALL!K:K,""))</f>
        <v>X</v>
      </c>
      <c r="K818" s="28"/>
      <c r="L818" s="29"/>
      <c r="M818" s="28"/>
      <c r="N818" s="19" t="str">
        <f t="shared" si="42"/>
        <v/>
      </c>
      <c r="O818" s="19" t="str">
        <f t="shared" si="42"/>
        <v/>
      </c>
      <c r="P818" s="19" t="str">
        <f t="shared" si="42"/>
        <v/>
      </c>
      <c r="Q818" s="19" t="str">
        <f t="shared" si="42"/>
        <v/>
      </c>
      <c r="X818" s="92" t="s">
        <v>78</v>
      </c>
      <c r="Y818" s="92" t="s">
        <v>78</v>
      </c>
      <c r="Z818" s="92" t="s">
        <v>78</v>
      </c>
    </row>
    <row r="819" spans="1:26" ht="16" hidden="1" x14ac:dyDescent="0.4">
      <c r="A819" s="92">
        <v>4079</v>
      </c>
      <c r="B819" s="92">
        <v>4080</v>
      </c>
      <c r="E819" s="92">
        <v>50</v>
      </c>
      <c r="F819" s="92">
        <f>_xlfn.XLOOKUP(B819, DATA_Moresby_2024_ALL!B:B, DATA_Moresby_2024_ALL!G:G, "")</f>
        <v>0</v>
      </c>
      <c r="G819" s="93"/>
      <c r="H819" s="92">
        <v>9</v>
      </c>
      <c r="I819" s="92" t="str">
        <f t="shared" si="41"/>
        <v>X</v>
      </c>
      <c r="J819" s="79" t="str">
        <f>IF(G819="","X",_xlfn.XLOOKUP(B819,DATA_Moresby_2024_ALL!B:B,DATA_Moresby_2024_ALL!K:K,""))</f>
        <v>X</v>
      </c>
      <c r="K819" s="28"/>
      <c r="L819" s="29"/>
      <c r="M819" s="28"/>
      <c r="N819" s="19" t="str">
        <f t="shared" si="42"/>
        <v/>
      </c>
      <c r="O819" s="19" t="str">
        <f t="shared" si="42"/>
        <v/>
      </c>
      <c r="P819" s="19" t="str">
        <f t="shared" si="42"/>
        <v/>
      </c>
      <c r="Q819" s="19" t="str">
        <f t="shared" si="42"/>
        <v/>
      </c>
      <c r="X819" s="92" t="s">
        <v>78</v>
      </c>
      <c r="Y819" s="92" t="s">
        <v>78</v>
      </c>
      <c r="Z819" s="92" t="s">
        <v>78</v>
      </c>
    </row>
    <row r="820" spans="1:26" ht="16" hidden="1" x14ac:dyDescent="0.4">
      <c r="A820" s="92">
        <v>4084</v>
      </c>
      <c r="B820" s="92">
        <v>4085</v>
      </c>
      <c r="E820" s="92">
        <v>50</v>
      </c>
      <c r="F820" s="92">
        <f>_xlfn.XLOOKUP(B820, DATA_Moresby_2024_ALL!B:B, DATA_Moresby_2024_ALL!G:G, "")</f>
        <v>0</v>
      </c>
      <c r="G820" s="93"/>
      <c r="H820" s="92">
        <v>9</v>
      </c>
      <c r="I820" s="92" t="str">
        <f t="shared" si="41"/>
        <v>X</v>
      </c>
      <c r="J820" s="79" t="str">
        <f>IF(G820="","X",_xlfn.XLOOKUP(B820,DATA_Moresby_2024_ALL!B:B,DATA_Moresby_2024_ALL!K:K,""))</f>
        <v>X</v>
      </c>
      <c r="K820" s="28"/>
      <c r="L820" s="29"/>
      <c r="M820" s="28"/>
      <c r="N820" s="19" t="str">
        <f t="shared" si="42"/>
        <v/>
      </c>
      <c r="O820" s="19" t="str">
        <f t="shared" si="42"/>
        <v/>
      </c>
      <c r="P820" s="19" t="str">
        <f t="shared" si="42"/>
        <v/>
      </c>
      <c r="Q820" s="19" t="str">
        <f t="shared" si="42"/>
        <v/>
      </c>
      <c r="X820" s="92" t="s">
        <v>78</v>
      </c>
      <c r="Y820" s="92" t="s">
        <v>78</v>
      </c>
      <c r="Z820" s="92" t="s">
        <v>78</v>
      </c>
    </row>
    <row r="821" spans="1:26" ht="16" hidden="1" x14ac:dyDescent="0.4">
      <c r="A821" s="92">
        <v>4089</v>
      </c>
      <c r="B821" s="92">
        <v>4090</v>
      </c>
      <c r="E821" s="92">
        <v>50</v>
      </c>
      <c r="F821" s="92">
        <f>_xlfn.XLOOKUP(B821, DATA_Moresby_2024_ALL!B:B, DATA_Moresby_2024_ALL!G:G, "")</f>
        <v>0</v>
      </c>
      <c r="G821" s="93"/>
      <c r="H821" s="92">
        <v>9</v>
      </c>
      <c r="I821" s="92" t="str">
        <f t="shared" si="41"/>
        <v>X</v>
      </c>
      <c r="J821" s="79" t="str">
        <f>IF(G821="","X",_xlfn.XLOOKUP(B821,DATA_Moresby_2024_ALL!B:B,DATA_Moresby_2024_ALL!K:K,""))</f>
        <v>X</v>
      </c>
      <c r="K821" s="28"/>
      <c r="L821" s="29"/>
      <c r="M821" s="28"/>
      <c r="N821" s="19" t="str">
        <f t="shared" si="42"/>
        <v/>
      </c>
      <c r="O821" s="19" t="str">
        <f t="shared" si="42"/>
        <v/>
      </c>
      <c r="P821" s="19" t="str">
        <f t="shared" si="42"/>
        <v/>
      </c>
      <c r="Q821" s="19" t="str">
        <f t="shared" si="42"/>
        <v/>
      </c>
      <c r="X821" s="92" t="s">
        <v>78</v>
      </c>
      <c r="Y821" s="92" t="s">
        <v>78</v>
      </c>
      <c r="Z821" s="92" t="s">
        <v>78</v>
      </c>
    </row>
    <row r="822" spans="1:26" ht="16" hidden="1" x14ac:dyDescent="0.4">
      <c r="A822" s="92">
        <v>4094</v>
      </c>
      <c r="B822" s="92">
        <v>4095</v>
      </c>
      <c r="E822" s="92">
        <v>50</v>
      </c>
      <c r="F822" s="92">
        <f>_xlfn.XLOOKUP(B822, DATA_Moresby_2024_ALL!B:B, DATA_Moresby_2024_ALL!G:G, "")</f>
        <v>0</v>
      </c>
      <c r="G822" s="93"/>
      <c r="H822" s="92">
        <v>9</v>
      </c>
      <c r="I822" s="92" t="str">
        <f t="shared" si="41"/>
        <v>X</v>
      </c>
      <c r="J822" s="79" t="str">
        <f>IF(G822="","X",_xlfn.XLOOKUP(B822,DATA_Moresby_2024_ALL!B:B,DATA_Moresby_2024_ALL!K:K,""))</f>
        <v>X</v>
      </c>
      <c r="K822" s="28"/>
      <c r="L822" s="29"/>
      <c r="M822" s="28"/>
      <c r="N822" s="19" t="str">
        <f t="shared" si="42"/>
        <v/>
      </c>
      <c r="O822" s="19" t="str">
        <f t="shared" si="42"/>
        <v/>
      </c>
      <c r="P822" s="19" t="str">
        <f t="shared" si="42"/>
        <v/>
      </c>
      <c r="Q822" s="19" t="str">
        <f t="shared" si="42"/>
        <v/>
      </c>
      <c r="X822" s="92" t="s">
        <v>78</v>
      </c>
      <c r="Y822" s="92" t="s">
        <v>78</v>
      </c>
      <c r="Z822" s="92" t="s">
        <v>78</v>
      </c>
    </row>
    <row r="823" spans="1:26" ht="16" hidden="1" x14ac:dyDescent="0.4">
      <c r="A823" s="92">
        <v>4099</v>
      </c>
      <c r="B823" s="92">
        <v>4100</v>
      </c>
      <c r="E823" s="92">
        <v>50</v>
      </c>
      <c r="F823" s="92">
        <f>_xlfn.XLOOKUP(B823, DATA_Moresby_2024_ALL!B:B, DATA_Moresby_2024_ALL!G:G, "")</f>
        <v>0</v>
      </c>
      <c r="G823" s="93"/>
      <c r="H823" s="92">
        <v>9</v>
      </c>
      <c r="I823" s="92" t="str">
        <f t="shared" si="41"/>
        <v>X</v>
      </c>
      <c r="J823" s="79" t="str">
        <f>IF(G823="","X",_xlfn.XLOOKUP(B823,DATA_Moresby_2024_ALL!B:B,DATA_Moresby_2024_ALL!K:K,""))</f>
        <v>X</v>
      </c>
      <c r="K823" s="28"/>
      <c r="L823" s="29"/>
      <c r="M823" s="28"/>
      <c r="N823" s="19" t="str">
        <f t="shared" si="42"/>
        <v/>
      </c>
      <c r="O823" s="19" t="str">
        <f t="shared" si="42"/>
        <v/>
      </c>
      <c r="P823" s="19" t="str">
        <f t="shared" si="42"/>
        <v/>
      </c>
      <c r="Q823" s="19" t="str">
        <f t="shared" si="42"/>
        <v/>
      </c>
      <c r="X823" s="92" t="s">
        <v>78</v>
      </c>
      <c r="Y823" s="92" t="s">
        <v>78</v>
      </c>
      <c r="Z823" s="92" t="s">
        <v>78</v>
      </c>
    </row>
    <row r="824" spans="1:26" ht="16" hidden="1" x14ac:dyDescent="0.4">
      <c r="A824" s="92">
        <v>4104</v>
      </c>
      <c r="B824" s="92">
        <v>4105</v>
      </c>
      <c r="E824" s="92">
        <v>50</v>
      </c>
      <c r="F824" s="92">
        <f>_xlfn.XLOOKUP(B824, DATA_Moresby_2024_ALL!B:B, DATA_Moresby_2024_ALL!G:G, "")</f>
        <v>0</v>
      </c>
      <c r="G824" s="93"/>
      <c r="H824" s="92">
        <v>9</v>
      </c>
      <c r="I824" s="92" t="str">
        <f t="shared" si="41"/>
        <v>X</v>
      </c>
      <c r="J824" s="79" t="str">
        <f>IF(G824="","X",_xlfn.XLOOKUP(B824,DATA_Moresby_2024_ALL!B:B,DATA_Moresby_2024_ALL!K:K,""))</f>
        <v>X</v>
      </c>
      <c r="K824" s="28"/>
      <c r="L824" s="29"/>
      <c r="M824" s="28"/>
      <c r="N824" s="19" t="str">
        <f t="shared" si="42"/>
        <v/>
      </c>
      <c r="O824" s="19" t="str">
        <f t="shared" si="42"/>
        <v/>
      </c>
      <c r="P824" s="19" t="str">
        <f t="shared" si="42"/>
        <v/>
      </c>
      <c r="Q824" s="19" t="str">
        <f t="shared" si="42"/>
        <v/>
      </c>
      <c r="X824" s="92" t="s">
        <v>78</v>
      </c>
      <c r="Y824" s="92" t="s">
        <v>78</v>
      </c>
      <c r="Z824" s="92" t="s">
        <v>78</v>
      </c>
    </row>
    <row r="825" spans="1:26" ht="16" hidden="1" x14ac:dyDescent="0.4">
      <c r="A825" s="92">
        <v>4109</v>
      </c>
      <c r="B825" s="92">
        <v>4110</v>
      </c>
      <c r="E825" s="92">
        <v>50</v>
      </c>
      <c r="F825" s="92">
        <f>_xlfn.XLOOKUP(B825, DATA_Moresby_2024_ALL!B:B, DATA_Moresby_2024_ALL!G:G, "")</f>
        <v>0</v>
      </c>
      <c r="G825" s="93"/>
      <c r="H825" s="92">
        <v>9</v>
      </c>
      <c r="I825" s="92" t="str">
        <f t="shared" si="41"/>
        <v>X</v>
      </c>
      <c r="J825" s="79" t="str">
        <f>IF(G825="","X",_xlfn.XLOOKUP(B825,DATA_Moresby_2024_ALL!B:B,DATA_Moresby_2024_ALL!K:K,""))</f>
        <v>X</v>
      </c>
      <c r="K825" s="28"/>
      <c r="L825" s="29"/>
      <c r="M825" s="28"/>
      <c r="N825" s="19" t="str">
        <f t="shared" si="42"/>
        <v/>
      </c>
      <c r="O825" s="19" t="str">
        <f t="shared" si="42"/>
        <v/>
      </c>
      <c r="P825" s="19" t="str">
        <f t="shared" si="42"/>
        <v/>
      </c>
      <c r="Q825" s="19" t="str">
        <f t="shared" si="42"/>
        <v/>
      </c>
      <c r="X825" s="92" t="s">
        <v>78</v>
      </c>
      <c r="Y825" s="92" t="s">
        <v>78</v>
      </c>
      <c r="Z825" s="92" t="s">
        <v>78</v>
      </c>
    </row>
    <row r="826" spans="1:26" ht="16" hidden="1" x14ac:dyDescent="0.4">
      <c r="A826" s="92">
        <v>4114</v>
      </c>
      <c r="B826" s="92">
        <v>4115</v>
      </c>
      <c r="E826" s="92">
        <v>50</v>
      </c>
      <c r="F826" s="92">
        <f>_xlfn.XLOOKUP(B826, DATA_Moresby_2024_ALL!B:B, DATA_Moresby_2024_ALL!G:G, "")</f>
        <v>0</v>
      </c>
      <c r="G826" s="93"/>
      <c r="H826" s="92">
        <v>9</v>
      </c>
      <c r="I826" s="92" t="str">
        <f t="shared" si="41"/>
        <v>X</v>
      </c>
      <c r="J826" s="79" t="str">
        <f>IF(G826="","X",_xlfn.XLOOKUP(B826,DATA_Moresby_2024_ALL!B:B,DATA_Moresby_2024_ALL!K:K,""))</f>
        <v>X</v>
      </c>
      <c r="K826" s="28"/>
      <c r="L826" s="29"/>
      <c r="M826" s="28"/>
      <c r="N826" s="19" t="str">
        <f t="shared" si="42"/>
        <v/>
      </c>
      <c r="O826" s="19" t="str">
        <f t="shared" si="42"/>
        <v/>
      </c>
      <c r="P826" s="19" t="str">
        <f t="shared" si="42"/>
        <v/>
      </c>
      <c r="Q826" s="19" t="str">
        <f t="shared" si="42"/>
        <v/>
      </c>
      <c r="X826" s="92" t="s">
        <v>78</v>
      </c>
      <c r="Y826" s="92" t="s">
        <v>78</v>
      </c>
      <c r="Z826" s="92" t="s">
        <v>78</v>
      </c>
    </row>
    <row r="827" spans="1:26" ht="16" hidden="1" x14ac:dyDescent="0.4">
      <c r="A827" s="92">
        <v>4119</v>
      </c>
      <c r="B827" s="92">
        <v>4120</v>
      </c>
      <c r="E827" s="92">
        <v>50</v>
      </c>
      <c r="F827" s="92">
        <f>_xlfn.XLOOKUP(B827, DATA_Moresby_2024_ALL!B:B, DATA_Moresby_2024_ALL!G:G, "")</f>
        <v>0</v>
      </c>
      <c r="G827" s="93"/>
      <c r="H827" s="92">
        <v>9</v>
      </c>
      <c r="I827" s="92" t="str">
        <f t="shared" si="41"/>
        <v>X</v>
      </c>
      <c r="J827" s="79" t="str">
        <f>IF(G827="","X",_xlfn.XLOOKUP(B827,DATA_Moresby_2024_ALL!B:B,DATA_Moresby_2024_ALL!K:K,""))</f>
        <v>X</v>
      </c>
      <c r="K827" s="28"/>
      <c r="L827" s="29"/>
      <c r="M827" s="28"/>
      <c r="N827" s="19" t="str">
        <f t="shared" si="42"/>
        <v/>
      </c>
      <c r="O827" s="19" t="str">
        <f t="shared" si="42"/>
        <v/>
      </c>
      <c r="P827" s="19" t="str">
        <f t="shared" si="42"/>
        <v/>
      </c>
      <c r="Q827" s="19" t="str">
        <f t="shared" si="42"/>
        <v/>
      </c>
      <c r="X827" s="92" t="s">
        <v>78</v>
      </c>
      <c r="Y827" s="92" t="s">
        <v>78</v>
      </c>
      <c r="Z827" s="92" t="s">
        <v>78</v>
      </c>
    </row>
    <row r="828" spans="1:26" ht="16" hidden="1" x14ac:dyDescent="0.4">
      <c r="A828" s="92">
        <v>4124</v>
      </c>
      <c r="B828" s="92">
        <v>4125</v>
      </c>
      <c r="E828" s="92">
        <v>50</v>
      </c>
      <c r="F828" s="92">
        <f>_xlfn.XLOOKUP(B828, DATA_Moresby_2024_ALL!B:B, DATA_Moresby_2024_ALL!G:G, "")</f>
        <v>0</v>
      </c>
      <c r="G828" s="93"/>
      <c r="H828" s="92">
        <v>9</v>
      </c>
      <c r="I828" s="92" t="str">
        <f t="shared" si="41"/>
        <v>X</v>
      </c>
      <c r="J828" s="79" t="str">
        <f>IF(G828="","X",_xlfn.XLOOKUP(B828,DATA_Moresby_2024_ALL!B:B,DATA_Moresby_2024_ALL!K:K,""))</f>
        <v>X</v>
      </c>
      <c r="K828" s="28"/>
      <c r="L828" s="29"/>
      <c r="M828" s="28"/>
      <c r="N828" s="19" t="str">
        <f t="shared" si="42"/>
        <v/>
      </c>
      <c r="O828" s="19" t="str">
        <f t="shared" si="42"/>
        <v/>
      </c>
      <c r="P828" s="19" t="str">
        <f t="shared" si="42"/>
        <v/>
      </c>
      <c r="Q828" s="19" t="str">
        <f t="shared" si="42"/>
        <v/>
      </c>
      <c r="X828" s="92" t="s">
        <v>78</v>
      </c>
      <c r="Y828" s="92" t="s">
        <v>78</v>
      </c>
      <c r="Z828" s="92" t="s">
        <v>78</v>
      </c>
    </row>
    <row r="829" spans="1:26" ht="16" hidden="1" x14ac:dyDescent="0.4">
      <c r="A829" s="92">
        <v>4129</v>
      </c>
      <c r="B829" s="92">
        <v>4130</v>
      </c>
      <c r="E829" s="92">
        <v>50</v>
      </c>
      <c r="F829" s="92">
        <f>_xlfn.XLOOKUP(B829, DATA_Moresby_2024_ALL!B:B, DATA_Moresby_2024_ALL!G:G, "")</f>
        <v>0</v>
      </c>
      <c r="G829" s="93"/>
      <c r="H829" s="92">
        <v>9</v>
      </c>
      <c r="I829" s="92" t="str">
        <f t="shared" si="41"/>
        <v>X</v>
      </c>
      <c r="J829" s="79" t="str">
        <f>IF(G829="","X",_xlfn.XLOOKUP(B829,DATA_Moresby_2024_ALL!B:B,DATA_Moresby_2024_ALL!K:K,""))</f>
        <v>X</v>
      </c>
      <c r="K829" s="28"/>
      <c r="L829" s="29"/>
      <c r="M829" s="28"/>
      <c r="N829" s="19" t="str">
        <f t="shared" si="42"/>
        <v/>
      </c>
      <c r="O829" s="19" t="str">
        <f t="shared" si="42"/>
        <v/>
      </c>
      <c r="P829" s="19" t="str">
        <f t="shared" si="42"/>
        <v/>
      </c>
      <c r="Q829" s="19" t="str">
        <f t="shared" si="42"/>
        <v/>
      </c>
      <c r="X829" s="92" t="s">
        <v>78</v>
      </c>
      <c r="Y829" s="92" t="s">
        <v>78</v>
      </c>
      <c r="Z829" s="92" t="s">
        <v>78</v>
      </c>
    </row>
    <row r="830" spans="1:26" ht="16" hidden="1" x14ac:dyDescent="0.4">
      <c r="A830" s="92">
        <v>4134</v>
      </c>
      <c r="B830" s="92">
        <v>4135</v>
      </c>
      <c r="E830" s="92">
        <v>50</v>
      </c>
      <c r="F830" s="92">
        <f>_xlfn.XLOOKUP(B830, DATA_Moresby_2024_ALL!B:B, DATA_Moresby_2024_ALL!G:G, "")</f>
        <v>0</v>
      </c>
      <c r="G830" s="93"/>
      <c r="H830" s="92">
        <v>9</v>
      </c>
      <c r="I830" s="92" t="str">
        <f t="shared" si="41"/>
        <v>X</v>
      </c>
      <c r="J830" s="79" t="str">
        <f>IF(G830="","X",_xlfn.XLOOKUP(B830,DATA_Moresby_2024_ALL!B:B,DATA_Moresby_2024_ALL!K:K,""))</f>
        <v>X</v>
      </c>
      <c r="K830" s="28"/>
      <c r="L830" s="29"/>
      <c r="M830" s="28"/>
      <c r="N830" s="19" t="str">
        <f t="shared" si="42"/>
        <v/>
      </c>
      <c r="O830" s="19" t="str">
        <f t="shared" si="42"/>
        <v/>
      </c>
      <c r="P830" s="19" t="str">
        <f t="shared" si="42"/>
        <v/>
      </c>
      <c r="Q830" s="19" t="str">
        <f t="shared" si="42"/>
        <v/>
      </c>
      <c r="X830" s="92" t="s">
        <v>78</v>
      </c>
      <c r="Y830" s="92" t="s">
        <v>78</v>
      </c>
      <c r="Z830" s="92" t="s">
        <v>78</v>
      </c>
    </row>
    <row r="831" spans="1:26" ht="16" hidden="1" x14ac:dyDescent="0.4">
      <c r="A831" s="92">
        <v>4139</v>
      </c>
      <c r="B831" s="92">
        <v>4140</v>
      </c>
      <c r="E831" s="92">
        <v>50</v>
      </c>
      <c r="F831" s="92">
        <f>_xlfn.XLOOKUP(B831, DATA_Moresby_2024_ALL!B:B, DATA_Moresby_2024_ALL!G:G, "")</f>
        <v>0</v>
      </c>
      <c r="G831" s="93"/>
      <c r="H831" s="92">
        <v>9</v>
      </c>
      <c r="I831" s="92" t="str">
        <f t="shared" si="41"/>
        <v>X</v>
      </c>
      <c r="J831" s="79" t="str">
        <f>IF(G831="","X",_xlfn.XLOOKUP(B831,DATA_Moresby_2024_ALL!B:B,DATA_Moresby_2024_ALL!K:K,""))</f>
        <v>X</v>
      </c>
      <c r="K831" s="28"/>
      <c r="L831" s="29"/>
      <c r="M831" s="28"/>
      <c r="N831" s="19" t="str">
        <f t="shared" si="42"/>
        <v/>
      </c>
      <c r="O831" s="19" t="str">
        <f t="shared" si="42"/>
        <v/>
      </c>
      <c r="P831" s="19" t="str">
        <f t="shared" si="42"/>
        <v/>
      </c>
      <c r="Q831" s="19" t="str">
        <f t="shared" si="42"/>
        <v/>
      </c>
      <c r="X831" s="92" t="s">
        <v>78</v>
      </c>
      <c r="Y831" s="92" t="s">
        <v>78</v>
      </c>
      <c r="Z831" s="92" t="s">
        <v>78</v>
      </c>
    </row>
    <row r="832" spans="1:26" ht="16" hidden="1" x14ac:dyDescent="0.4">
      <c r="A832" s="92">
        <v>4144</v>
      </c>
      <c r="B832" s="92">
        <v>4145</v>
      </c>
      <c r="E832" s="92">
        <v>50</v>
      </c>
      <c r="F832" s="92">
        <f>_xlfn.XLOOKUP(B832, DATA_Moresby_2024_ALL!B:B, DATA_Moresby_2024_ALL!G:G, "")</f>
        <v>0</v>
      </c>
      <c r="G832" s="93"/>
      <c r="H832" s="92">
        <v>9</v>
      </c>
      <c r="I832" s="92" t="str">
        <f t="shared" si="41"/>
        <v>X</v>
      </c>
      <c r="J832" s="79" t="str">
        <f>IF(G832="","X",_xlfn.XLOOKUP(B832,DATA_Moresby_2024_ALL!B:B,DATA_Moresby_2024_ALL!K:K,""))</f>
        <v>X</v>
      </c>
      <c r="K832" s="28"/>
      <c r="L832" s="29"/>
      <c r="M832" s="28"/>
      <c r="N832" s="19" t="str">
        <f t="shared" si="42"/>
        <v/>
      </c>
      <c r="O832" s="19" t="str">
        <f t="shared" si="42"/>
        <v/>
      </c>
      <c r="P832" s="19" t="str">
        <f t="shared" si="42"/>
        <v/>
      </c>
      <c r="Q832" s="19" t="str">
        <f t="shared" si="42"/>
        <v/>
      </c>
      <c r="X832" s="92" t="s">
        <v>78</v>
      </c>
      <c r="Y832" s="92" t="s">
        <v>78</v>
      </c>
      <c r="Z832" s="92" t="s">
        <v>78</v>
      </c>
    </row>
    <row r="833" spans="1:26" ht="16" hidden="1" x14ac:dyDescent="0.4">
      <c r="A833" s="92">
        <v>4149</v>
      </c>
      <c r="B833" s="92">
        <v>4150</v>
      </c>
      <c r="E833" s="92">
        <v>50</v>
      </c>
      <c r="F833" s="92">
        <f>_xlfn.XLOOKUP(B833, DATA_Moresby_2024_ALL!B:B, DATA_Moresby_2024_ALL!G:G, "")</f>
        <v>0</v>
      </c>
      <c r="G833" s="93"/>
      <c r="H833" s="92">
        <v>9</v>
      </c>
      <c r="I833" s="92" t="str">
        <f t="shared" si="41"/>
        <v>X</v>
      </c>
      <c r="J833" s="79" t="str">
        <f>IF(G833="","X",_xlfn.XLOOKUP(B833,DATA_Moresby_2024_ALL!B:B,DATA_Moresby_2024_ALL!K:K,""))</f>
        <v>X</v>
      </c>
      <c r="K833" s="28"/>
      <c r="L833" s="29"/>
      <c r="M833" s="28"/>
      <c r="N833" s="19" t="str">
        <f t="shared" si="42"/>
        <v/>
      </c>
      <c r="O833" s="19" t="str">
        <f t="shared" si="42"/>
        <v/>
      </c>
      <c r="P833" s="19" t="str">
        <f t="shared" si="42"/>
        <v/>
      </c>
      <c r="Q833" s="19" t="str">
        <f t="shared" si="42"/>
        <v/>
      </c>
      <c r="X833" s="92" t="s">
        <v>78</v>
      </c>
      <c r="Y833" s="92" t="s">
        <v>78</v>
      </c>
      <c r="Z833" s="92" t="s">
        <v>78</v>
      </c>
    </row>
    <row r="834" spans="1:26" ht="16" hidden="1" x14ac:dyDescent="0.4">
      <c r="A834" s="92">
        <v>4154</v>
      </c>
      <c r="B834" s="92">
        <v>4155</v>
      </c>
      <c r="E834" s="92">
        <v>50</v>
      </c>
      <c r="F834" s="92">
        <f>_xlfn.XLOOKUP(B834, DATA_Moresby_2024_ALL!B:B, DATA_Moresby_2024_ALL!G:G, "")</f>
        <v>0</v>
      </c>
      <c r="G834" s="93"/>
      <c r="H834" s="92">
        <v>9</v>
      </c>
      <c r="I834" s="92" t="str">
        <f t="shared" si="41"/>
        <v>X</v>
      </c>
      <c r="J834" s="79" t="str">
        <f>IF(G834="","X",_xlfn.XLOOKUP(B834,DATA_Moresby_2024_ALL!B:B,DATA_Moresby_2024_ALL!K:K,""))</f>
        <v>X</v>
      </c>
      <c r="K834" s="28"/>
      <c r="L834" s="29"/>
      <c r="M834" s="28"/>
      <c r="N834" s="19" t="str">
        <f t="shared" si="42"/>
        <v/>
      </c>
      <c r="O834" s="19" t="str">
        <f t="shared" si="42"/>
        <v/>
      </c>
      <c r="P834" s="19" t="str">
        <f t="shared" si="42"/>
        <v/>
      </c>
      <c r="Q834" s="19" t="str">
        <f t="shared" si="42"/>
        <v/>
      </c>
      <c r="X834" s="92" t="s">
        <v>78</v>
      </c>
      <c r="Y834" s="92" t="s">
        <v>78</v>
      </c>
      <c r="Z834" s="92" t="s">
        <v>78</v>
      </c>
    </row>
    <row r="835" spans="1:26" ht="16" hidden="1" x14ac:dyDescent="0.4">
      <c r="A835" s="92">
        <v>4159</v>
      </c>
      <c r="B835" s="92">
        <v>4160</v>
      </c>
      <c r="E835" s="92">
        <v>50</v>
      </c>
      <c r="F835" s="92">
        <f>_xlfn.XLOOKUP(B835, DATA_Moresby_2024_ALL!B:B, DATA_Moresby_2024_ALL!G:G, "")</f>
        <v>0</v>
      </c>
      <c r="G835" s="93"/>
      <c r="H835" s="92">
        <v>9</v>
      </c>
      <c r="I835" s="92" t="str">
        <f t="shared" si="41"/>
        <v>X</v>
      </c>
      <c r="J835" s="79" t="str">
        <f>IF(G835="","X",_xlfn.XLOOKUP(B835,DATA_Moresby_2024_ALL!B:B,DATA_Moresby_2024_ALL!K:K,""))</f>
        <v>X</v>
      </c>
      <c r="K835" s="28"/>
      <c r="L835" s="29"/>
      <c r="M835" s="28"/>
      <c r="N835" s="19" t="str">
        <f t="shared" si="42"/>
        <v/>
      </c>
      <c r="O835" s="19" t="str">
        <f t="shared" si="42"/>
        <v/>
      </c>
      <c r="P835" s="19" t="str">
        <f t="shared" si="42"/>
        <v/>
      </c>
      <c r="Q835" s="19" t="str">
        <f t="shared" si="42"/>
        <v/>
      </c>
      <c r="X835" s="92" t="s">
        <v>78</v>
      </c>
      <c r="Y835" s="92" t="s">
        <v>78</v>
      </c>
      <c r="Z835" s="92" t="s">
        <v>78</v>
      </c>
    </row>
    <row r="836" spans="1:26" ht="16" hidden="1" x14ac:dyDescent="0.4">
      <c r="A836" s="92">
        <v>4164</v>
      </c>
      <c r="B836" s="92">
        <v>4165</v>
      </c>
      <c r="E836" s="92">
        <v>50</v>
      </c>
      <c r="F836" s="92">
        <f>_xlfn.XLOOKUP(B836, DATA_Moresby_2024_ALL!B:B, DATA_Moresby_2024_ALL!G:G, "")</f>
        <v>0</v>
      </c>
      <c r="G836" s="93"/>
      <c r="H836" s="92">
        <v>9</v>
      </c>
      <c r="I836" s="92" t="str">
        <f t="shared" si="41"/>
        <v>X</v>
      </c>
      <c r="J836" s="79" t="str">
        <f>IF(G836="","X",_xlfn.XLOOKUP(B836,DATA_Moresby_2024_ALL!B:B,DATA_Moresby_2024_ALL!K:K,""))</f>
        <v>X</v>
      </c>
      <c r="K836" s="28"/>
      <c r="L836" s="29"/>
      <c r="M836" s="28"/>
      <c r="N836" s="19" t="str">
        <f t="shared" si="42"/>
        <v/>
      </c>
      <c r="O836" s="19" t="str">
        <f t="shared" si="42"/>
        <v/>
      </c>
      <c r="P836" s="19" t="str">
        <f t="shared" si="42"/>
        <v/>
      </c>
      <c r="Q836" s="19" t="str">
        <f t="shared" si="42"/>
        <v/>
      </c>
      <c r="X836" s="92" t="s">
        <v>78</v>
      </c>
      <c r="Y836" s="92" t="s">
        <v>78</v>
      </c>
      <c r="Z836" s="92" t="s">
        <v>78</v>
      </c>
    </row>
    <row r="837" spans="1:26" ht="16" hidden="1" x14ac:dyDescent="0.4">
      <c r="A837" s="92">
        <v>4169</v>
      </c>
      <c r="B837" s="92">
        <v>4170</v>
      </c>
      <c r="E837" s="92">
        <v>50</v>
      </c>
      <c r="F837" s="92">
        <f>_xlfn.XLOOKUP(B837, DATA_Moresby_2024_ALL!B:B, DATA_Moresby_2024_ALL!G:G, "")</f>
        <v>0</v>
      </c>
      <c r="G837" s="93"/>
      <c r="H837" s="92">
        <v>9</v>
      </c>
      <c r="I837" s="92" t="str">
        <f t="shared" si="41"/>
        <v>X</v>
      </c>
      <c r="J837" s="79" t="str">
        <f>IF(G837="","X",_xlfn.XLOOKUP(B837,DATA_Moresby_2024_ALL!B:B,DATA_Moresby_2024_ALL!K:K,""))</f>
        <v>X</v>
      </c>
      <c r="K837" s="28"/>
      <c r="L837" s="29"/>
      <c r="M837" s="28"/>
      <c r="N837" s="19" t="str">
        <f t="shared" si="42"/>
        <v/>
      </c>
      <c r="O837" s="19" t="str">
        <f t="shared" si="42"/>
        <v/>
      </c>
      <c r="P837" s="19" t="str">
        <f t="shared" si="42"/>
        <v/>
      </c>
      <c r="Q837" s="19" t="str">
        <f t="shared" si="42"/>
        <v/>
      </c>
      <c r="X837" s="92" t="s">
        <v>78</v>
      </c>
      <c r="Y837" s="92" t="s">
        <v>78</v>
      </c>
      <c r="Z837" s="92" t="s">
        <v>78</v>
      </c>
    </row>
    <row r="838" spans="1:26" ht="16" hidden="1" x14ac:dyDescent="0.4">
      <c r="A838" s="92">
        <v>4174</v>
      </c>
      <c r="B838" s="92">
        <v>4175</v>
      </c>
      <c r="E838" s="92">
        <v>50</v>
      </c>
      <c r="F838" s="92">
        <f>_xlfn.XLOOKUP(B838, DATA_Moresby_2024_ALL!B:B, DATA_Moresby_2024_ALL!G:G, "")</f>
        <v>0</v>
      </c>
      <c r="G838" s="93"/>
      <c r="H838" s="92">
        <v>9</v>
      </c>
      <c r="I838" s="92" t="str">
        <f t="shared" si="41"/>
        <v>X</v>
      </c>
      <c r="J838" s="79" t="str">
        <f>IF(G838="","X",_xlfn.XLOOKUP(B838,DATA_Moresby_2024_ALL!B:B,DATA_Moresby_2024_ALL!K:K,""))</f>
        <v>X</v>
      </c>
      <c r="K838" s="28"/>
      <c r="L838" s="29"/>
      <c r="M838" s="28"/>
      <c r="N838" s="19" t="str">
        <f t="shared" si="42"/>
        <v/>
      </c>
      <c r="O838" s="19" t="str">
        <f t="shared" si="42"/>
        <v/>
      </c>
      <c r="P838" s="19" t="str">
        <f t="shared" si="42"/>
        <v/>
      </c>
      <c r="Q838" s="19" t="str">
        <f t="shared" si="42"/>
        <v/>
      </c>
      <c r="X838" s="92" t="s">
        <v>78</v>
      </c>
      <c r="Y838" s="92" t="s">
        <v>78</v>
      </c>
      <c r="Z838" s="92" t="s">
        <v>78</v>
      </c>
    </row>
    <row r="839" spans="1:26" ht="16" hidden="1" x14ac:dyDescent="0.4">
      <c r="A839" s="92">
        <v>4179</v>
      </c>
      <c r="B839" s="92">
        <v>4180</v>
      </c>
      <c r="E839" s="92">
        <v>50</v>
      </c>
      <c r="F839" s="92">
        <f>_xlfn.XLOOKUP(B839, DATA_Moresby_2024_ALL!B:B, DATA_Moresby_2024_ALL!G:G, "")</f>
        <v>0</v>
      </c>
      <c r="G839" s="93"/>
      <c r="H839" s="92">
        <v>9</v>
      </c>
      <c r="I839" s="92" t="str">
        <f t="shared" si="41"/>
        <v>X</v>
      </c>
      <c r="J839" s="79" t="str">
        <f>IF(G839="","X",_xlfn.XLOOKUP(B839,DATA_Moresby_2024_ALL!B:B,DATA_Moresby_2024_ALL!K:K,""))</f>
        <v>X</v>
      </c>
      <c r="K839" s="28"/>
      <c r="L839" s="29"/>
      <c r="M839" s="28"/>
      <c r="N839" s="19" t="str">
        <f t="shared" si="42"/>
        <v/>
      </c>
      <c r="O839" s="19" t="str">
        <f t="shared" si="42"/>
        <v/>
      </c>
      <c r="P839" s="19" t="str">
        <f t="shared" si="42"/>
        <v/>
      </c>
      <c r="Q839" s="19" t="str">
        <f t="shared" si="42"/>
        <v/>
      </c>
      <c r="X839" s="92" t="s">
        <v>78</v>
      </c>
      <c r="Y839" s="92" t="s">
        <v>78</v>
      </c>
      <c r="Z839" s="92" t="s">
        <v>78</v>
      </c>
    </row>
    <row r="840" spans="1:26" ht="16" hidden="1" x14ac:dyDescent="0.4">
      <c r="A840" s="92">
        <v>4184</v>
      </c>
      <c r="B840" s="92">
        <v>4185</v>
      </c>
      <c r="E840" s="92">
        <v>50</v>
      </c>
      <c r="F840" s="92">
        <f>_xlfn.XLOOKUP(B840, DATA_Moresby_2024_ALL!B:B, DATA_Moresby_2024_ALL!G:G, "")</f>
        <v>0</v>
      </c>
      <c r="G840" s="93"/>
      <c r="H840" s="92">
        <v>9</v>
      </c>
      <c r="I840" s="92" t="str">
        <f t="shared" si="41"/>
        <v>X</v>
      </c>
      <c r="J840" s="79" t="str">
        <f>IF(G840="","X",_xlfn.XLOOKUP(B840,DATA_Moresby_2024_ALL!B:B,DATA_Moresby_2024_ALL!K:K,""))</f>
        <v>X</v>
      </c>
      <c r="K840" s="28"/>
      <c r="L840" s="29"/>
      <c r="M840" s="28"/>
      <c r="N840" s="19" t="str">
        <f t="shared" si="42"/>
        <v/>
      </c>
      <c r="O840" s="19" t="str">
        <f t="shared" si="42"/>
        <v/>
      </c>
      <c r="P840" s="19" t="str">
        <f t="shared" si="42"/>
        <v/>
      </c>
      <c r="Q840" s="19" t="str">
        <f t="shared" si="42"/>
        <v/>
      </c>
      <c r="X840" s="92" t="s">
        <v>78</v>
      </c>
      <c r="Y840" s="92" t="s">
        <v>78</v>
      </c>
      <c r="Z840" s="92" t="s">
        <v>78</v>
      </c>
    </row>
    <row r="841" spans="1:26" ht="16" hidden="1" x14ac:dyDescent="0.4">
      <c r="A841" s="92">
        <v>4189</v>
      </c>
      <c r="B841" s="92">
        <v>4190</v>
      </c>
      <c r="E841" s="92">
        <v>50</v>
      </c>
      <c r="F841" s="92">
        <f>_xlfn.XLOOKUP(B841, DATA_Moresby_2024_ALL!B:B, DATA_Moresby_2024_ALL!G:G, "")</f>
        <v>0</v>
      </c>
      <c r="G841" s="93"/>
      <c r="H841" s="92">
        <v>9</v>
      </c>
      <c r="I841" s="92" t="str">
        <f t="shared" si="41"/>
        <v>X</v>
      </c>
      <c r="J841" s="79" t="str">
        <f>IF(G841="","X",_xlfn.XLOOKUP(B841,DATA_Moresby_2024_ALL!B:B,DATA_Moresby_2024_ALL!K:K,""))</f>
        <v>X</v>
      </c>
      <c r="K841" s="28"/>
      <c r="L841" s="29"/>
      <c r="M841" s="28"/>
      <c r="N841" s="19" t="str">
        <f t="shared" si="42"/>
        <v/>
      </c>
      <c r="O841" s="19" t="str">
        <f t="shared" si="42"/>
        <v/>
      </c>
      <c r="P841" s="19" t="str">
        <f t="shared" si="42"/>
        <v/>
      </c>
      <c r="Q841" s="19" t="str">
        <f t="shared" si="42"/>
        <v/>
      </c>
      <c r="X841" s="92" t="s">
        <v>78</v>
      </c>
      <c r="Y841" s="92" t="s">
        <v>78</v>
      </c>
      <c r="Z841" s="92" t="s">
        <v>78</v>
      </c>
    </row>
    <row r="842" spans="1:26" ht="16" hidden="1" x14ac:dyDescent="0.4">
      <c r="A842" s="92">
        <v>4194</v>
      </c>
      <c r="B842" s="92">
        <v>4195</v>
      </c>
      <c r="E842" s="92">
        <v>50</v>
      </c>
      <c r="F842" s="92">
        <f>_xlfn.XLOOKUP(B842, DATA_Moresby_2024_ALL!B:B, DATA_Moresby_2024_ALL!G:G, "")</f>
        <v>0</v>
      </c>
      <c r="G842" s="93"/>
      <c r="H842" s="92">
        <v>9</v>
      </c>
      <c r="I842" s="92" t="str">
        <f t="shared" si="41"/>
        <v>X</v>
      </c>
      <c r="J842" s="79" t="str">
        <f>IF(G842="","X",_xlfn.XLOOKUP(B842,DATA_Moresby_2024_ALL!B:B,DATA_Moresby_2024_ALL!K:K,""))</f>
        <v>X</v>
      </c>
      <c r="K842" s="28"/>
      <c r="L842" s="29"/>
      <c r="M842" s="28"/>
      <c r="N842" s="19" t="str">
        <f t="shared" si="42"/>
        <v/>
      </c>
      <c r="O842" s="19" t="str">
        <f t="shared" si="42"/>
        <v/>
      </c>
      <c r="P842" s="19" t="str">
        <f t="shared" si="42"/>
        <v/>
      </c>
      <c r="Q842" s="19" t="str">
        <f t="shared" si="42"/>
        <v/>
      </c>
      <c r="X842" s="92" t="s">
        <v>78</v>
      </c>
      <c r="Y842" s="92" t="s">
        <v>78</v>
      </c>
      <c r="Z842" s="92" t="s">
        <v>78</v>
      </c>
    </row>
    <row r="843" spans="1:26" ht="16" hidden="1" x14ac:dyDescent="0.4">
      <c r="A843" s="92">
        <v>4199</v>
      </c>
      <c r="B843" s="92">
        <v>4200</v>
      </c>
      <c r="E843" s="92">
        <v>50</v>
      </c>
      <c r="F843" s="92">
        <f>_xlfn.XLOOKUP(B843, DATA_Moresby_2024_ALL!B:B, DATA_Moresby_2024_ALL!G:G, "")</f>
        <v>0</v>
      </c>
      <c r="G843" s="93"/>
      <c r="H843" s="92">
        <v>9</v>
      </c>
      <c r="I843" s="92" t="str">
        <f t="shared" si="41"/>
        <v>X</v>
      </c>
      <c r="J843" s="79" t="str">
        <f>IF(G843="","X",_xlfn.XLOOKUP(B843,DATA_Moresby_2024_ALL!B:B,DATA_Moresby_2024_ALL!K:K,""))</f>
        <v>X</v>
      </c>
      <c r="K843" s="28"/>
      <c r="L843" s="29"/>
      <c r="M843" s="28"/>
      <c r="N843" s="19" t="str">
        <f t="shared" si="42"/>
        <v/>
      </c>
      <c r="O843" s="19" t="str">
        <f t="shared" si="42"/>
        <v/>
      </c>
      <c r="P843" s="19" t="str">
        <f t="shared" si="42"/>
        <v/>
      </c>
      <c r="Q843" s="19" t="str">
        <f t="shared" si="42"/>
        <v/>
      </c>
      <c r="X843" s="92" t="s">
        <v>78</v>
      </c>
      <c r="Y843" s="92" t="s">
        <v>78</v>
      </c>
      <c r="Z843" s="92" t="s">
        <v>78</v>
      </c>
    </row>
    <row r="844" spans="1:26" ht="16" hidden="1" x14ac:dyDescent="0.4">
      <c r="A844" s="92">
        <v>4204</v>
      </c>
      <c r="B844" s="92">
        <v>4205</v>
      </c>
      <c r="E844" s="92">
        <v>50</v>
      </c>
      <c r="F844" s="92">
        <f>_xlfn.XLOOKUP(B844, DATA_Moresby_2024_ALL!B:B, DATA_Moresby_2024_ALL!G:G, "")</f>
        <v>0</v>
      </c>
      <c r="G844" s="93"/>
      <c r="H844" s="92">
        <v>9</v>
      </c>
      <c r="I844" s="92" t="str">
        <f t="shared" si="41"/>
        <v>X</v>
      </c>
      <c r="J844" s="79" t="str">
        <f>IF(G844="","X",_xlfn.XLOOKUP(B844,DATA_Moresby_2024_ALL!B:B,DATA_Moresby_2024_ALL!K:K,""))</f>
        <v>X</v>
      </c>
      <c r="K844" s="28"/>
      <c r="L844" s="29"/>
      <c r="M844" s="28"/>
      <c r="N844" s="19" t="str">
        <f t="shared" si="42"/>
        <v/>
      </c>
      <c r="O844" s="19" t="str">
        <f t="shared" si="42"/>
        <v/>
      </c>
      <c r="P844" s="19" t="str">
        <f t="shared" si="42"/>
        <v/>
      </c>
      <c r="Q844" s="19" t="str">
        <f t="shared" si="42"/>
        <v/>
      </c>
      <c r="X844" s="92" t="s">
        <v>78</v>
      </c>
      <c r="Y844" s="92" t="s">
        <v>78</v>
      </c>
      <c r="Z844" s="92" t="s">
        <v>78</v>
      </c>
    </row>
    <row r="845" spans="1:26" ht="16" hidden="1" x14ac:dyDescent="0.4">
      <c r="A845" s="92">
        <v>4209</v>
      </c>
      <c r="B845" s="92">
        <v>4210</v>
      </c>
      <c r="E845" s="92">
        <v>50</v>
      </c>
      <c r="F845" s="92">
        <f>_xlfn.XLOOKUP(B845, DATA_Moresby_2024_ALL!B:B, DATA_Moresby_2024_ALL!G:G, "")</f>
        <v>0</v>
      </c>
      <c r="G845" s="93"/>
      <c r="H845" s="92">
        <v>9</v>
      </c>
      <c r="I845" s="92" t="str">
        <f t="shared" si="41"/>
        <v>X</v>
      </c>
      <c r="J845" s="79" t="str">
        <f>IF(G845="","X",_xlfn.XLOOKUP(B845,DATA_Moresby_2024_ALL!B:B,DATA_Moresby_2024_ALL!K:K,""))</f>
        <v>X</v>
      </c>
      <c r="K845" s="28"/>
      <c r="L845" s="29"/>
      <c r="M845" s="28"/>
      <c r="N845" s="19" t="str">
        <f t="shared" si="42"/>
        <v/>
      </c>
      <c r="O845" s="19" t="str">
        <f t="shared" si="42"/>
        <v/>
      </c>
      <c r="P845" s="19" t="str">
        <f t="shared" si="42"/>
        <v/>
      </c>
      <c r="Q845" s="19" t="str">
        <f t="shared" si="42"/>
        <v/>
      </c>
      <c r="X845" s="92" t="s">
        <v>78</v>
      </c>
      <c r="Y845" s="92" t="s">
        <v>78</v>
      </c>
      <c r="Z845" s="92" t="s">
        <v>78</v>
      </c>
    </row>
    <row r="846" spans="1:26" ht="16" hidden="1" x14ac:dyDescent="0.4">
      <c r="A846" s="92">
        <v>4214</v>
      </c>
      <c r="B846" s="92">
        <v>4215</v>
      </c>
      <c r="E846" s="92">
        <v>50</v>
      </c>
      <c r="F846" s="92">
        <f>_xlfn.XLOOKUP(B846, DATA_Moresby_2024_ALL!B:B, DATA_Moresby_2024_ALL!G:G, "")</f>
        <v>0</v>
      </c>
      <c r="G846" s="93"/>
      <c r="H846" s="92">
        <v>9</v>
      </c>
      <c r="I846" s="92" t="str">
        <f t="shared" si="41"/>
        <v>X</v>
      </c>
      <c r="J846" s="79" t="str">
        <f>IF(G846="","X",_xlfn.XLOOKUP(B846,DATA_Moresby_2024_ALL!B:B,DATA_Moresby_2024_ALL!K:K,""))</f>
        <v>X</v>
      </c>
      <c r="K846" s="28"/>
      <c r="L846" s="29"/>
      <c r="M846" s="28"/>
      <c r="N846" s="19" t="str">
        <f t="shared" si="42"/>
        <v/>
      </c>
      <c r="O846" s="19" t="str">
        <f t="shared" si="42"/>
        <v/>
      </c>
      <c r="P846" s="19" t="str">
        <f t="shared" si="42"/>
        <v/>
      </c>
      <c r="Q846" s="19" t="str">
        <f t="shared" si="42"/>
        <v/>
      </c>
      <c r="X846" s="92" t="s">
        <v>78</v>
      </c>
      <c r="Y846" s="92" t="s">
        <v>78</v>
      </c>
      <c r="Z846" s="92" t="s">
        <v>78</v>
      </c>
    </row>
    <row r="847" spans="1:26" ht="16" hidden="1" x14ac:dyDescent="0.4">
      <c r="A847" s="92">
        <v>4219</v>
      </c>
      <c r="B847" s="92">
        <v>4220</v>
      </c>
      <c r="E847" s="92">
        <v>50</v>
      </c>
      <c r="F847" s="92">
        <f>_xlfn.XLOOKUP(B847, DATA_Moresby_2024_ALL!B:B, DATA_Moresby_2024_ALL!G:G, "")</f>
        <v>0</v>
      </c>
      <c r="G847" s="93"/>
      <c r="H847" s="92">
        <v>9</v>
      </c>
      <c r="I847" s="92" t="str">
        <f t="shared" si="41"/>
        <v>X</v>
      </c>
      <c r="J847" s="79" t="str">
        <f>IF(G847="","X",_xlfn.XLOOKUP(B847,DATA_Moresby_2024_ALL!B:B,DATA_Moresby_2024_ALL!K:K,""))</f>
        <v>X</v>
      </c>
      <c r="K847" s="28"/>
      <c r="L847" s="29"/>
      <c r="M847" s="28"/>
      <c r="N847" s="19" t="str">
        <f t="shared" si="42"/>
        <v/>
      </c>
      <c r="O847" s="19" t="str">
        <f t="shared" si="42"/>
        <v/>
      </c>
      <c r="P847" s="19" t="str">
        <f t="shared" si="42"/>
        <v/>
      </c>
      <c r="Q847" s="19" t="str">
        <f t="shared" si="42"/>
        <v/>
      </c>
      <c r="X847" s="92" t="s">
        <v>78</v>
      </c>
      <c r="Y847" s="92" t="s">
        <v>78</v>
      </c>
      <c r="Z847" s="92" t="s">
        <v>78</v>
      </c>
    </row>
    <row r="848" spans="1:26" ht="16" hidden="1" x14ac:dyDescent="0.4">
      <c r="A848" s="92">
        <v>4224</v>
      </c>
      <c r="B848" s="92">
        <v>4225</v>
      </c>
      <c r="E848" s="92">
        <v>50</v>
      </c>
      <c r="F848" s="92">
        <f>_xlfn.XLOOKUP(B848, DATA_Moresby_2024_ALL!B:B, DATA_Moresby_2024_ALL!G:G, "")</f>
        <v>0</v>
      </c>
      <c r="G848" s="93"/>
      <c r="H848" s="92">
        <v>9</v>
      </c>
      <c r="I848" s="92" t="str">
        <f t="shared" si="41"/>
        <v>X</v>
      </c>
      <c r="J848" s="79" t="str">
        <f>IF(G848="","X",_xlfn.XLOOKUP(B848,DATA_Moresby_2024_ALL!B:B,DATA_Moresby_2024_ALL!K:K,""))</f>
        <v>X</v>
      </c>
      <c r="K848" s="28"/>
      <c r="L848" s="29"/>
      <c r="M848" s="28"/>
      <c r="N848" s="19" t="str">
        <f t="shared" si="42"/>
        <v/>
      </c>
      <c r="O848" s="19" t="str">
        <f t="shared" si="42"/>
        <v/>
      </c>
      <c r="P848" s="19" t="str">
        <f t="shared" si="42"/>
        <v/>
      </c>
      <c r="Q848" s="19" t="str">
        <f t="shared" si="42"/>
        <v/>
      </c>
      <c r="X848" s="92" t="s">
        <v>78</v>
      </c>
      <c r="Y848" s="92" t="s">
        <v>78</v>
      </c>
      <c r="Z848" s="92" t="s">
        <v>78</v>
      </c>
    </row>
    <row r="849" spans="1:26" ht="16" hidden="1" x14ac:dyDescent="0.4">
      <c r="A849" s="92">
        <v>4229</v>
      </c>
      <c r="B849" s="92">
        <v>4230</v>
      </c>
      <c r="E849" s="92">
        <v>50</v>
      </c>
      <c r="F849" s="92">
        <f>_xlfn.XLOOKUP(B849, DATA_Moresby_2024_ALL!B:B, DATA_Moresby_2024_ALL!G:G, "")</f>
        <v>0</v>
      </c>
      <c r="G849" s="93"/>
      <c r="H849" s="92">
        <v>9</v>
      </c>
      <c r="I849" s="92" t="str">
        <f t="shared" si="41"/>
        <v>X</v>
      </c>
      <c r="J849" s="79" t="str">
        <f>IF(G849="","X",_xlfn.XLOOKUP(B849,DATA_Moresby_2024_ALL!B:B,DATA_Moresby_2024_ALL!K:K,""))</f>
        <v>X</v>
      </c>
      <c r="K849" s="28"/>
      <c r="L849" s="29"/>
      <c r="M849" s="28"/>
      <c r="N849" s="19" t="str">
        <f t="shared" si="42"/>
        <v/>
      </c>
      <c r="O849" s="19" t="str">
        <f t="shared" si="42"/>
        <v/>
      </c>
      <c r="P849" s="19" t="str">
        <f t="shared" si="42"/>
        <v/>
      </c>
      <c r="Q849" s="19" t="str">
        <f t="shared" si="42"/>
        <v/>
      </c>
      <c r="X849" s="92" t="s">
        <v>78</v>
      </c>
      <c r="Y849" s="92" t="s">
        <v>78</v>
      </c>
      <c r="Z849" s="92" t="s">
        <v>78</v>
      </c>
    </row>
    <row r="850" spans="1:26" ht="16" hidden="1" x14ac:dyDescent="0.4">
      <c r="A850" s="92">
        <v>4234</v>
      </c>
      <c r="B850" s="92">
        <v>4235</v>
      </c>
      <c r="E850" s="92">
        <v>50</v>
      </c>
      <c r="F850" s="92">
        <f>_xlfn.XLOOKUP(B850, DATA_Moresby_2024_ALL!B:B, DATA_Moresby_2024_ALL!G:G, "")</f>
        <v>0</v>
      </c>
      <c r="G850" s="93"/>
      <c r="H850" s="92">
        <v>9</v>
      </c>
      <c r="I850" s="92" t="str">
        <f t="shared" si="41"/>
        <v>X</v>
      </c>
      <c r="J850" s="79" t="str">
        <f>IF(G850="","X",_xlfn.XLOOKUP(B850,DATA_Moresby_2024_ALL!B:B,DATA_Moresby_2024_ALL!K:K,""))</f>
        <v>X</v>
      </c>
      <c r="K850" s="28"/>
      <c r="L850" s="29"/>
      <c r="M850" s="28"/>
      <c r="N850" s="19" t="str">
        <f t="shared" si="42"/>
        <v/>
      </c>
      <c r="O850" s="19" t="str">
        <f t="shared" si="42"/>
        <v/>
      </c>
      <c r="P850" s="19" t="str">
        <f t="shared" si="42"/>
        <v/>
      </c>
      <c r="Q850" s="19" t="str">
        <f t="shared" si="42"/>
        <v/>
      </c>
      <c r="X850" s="92" t="s">
        <v>78</v>
      </c>
      <c r="Y850" s="92" t="s">
        <v>78</v>
      </c>
      <c r="Z850" s="92" t="s">
        <v>78</v>
      </c>
    </row>
    <row r="851" spans="1:26" ht="16" hidden="1" x14ac:dyDescent="0.4">
      <c r="A851" s="92">
        <v>4239</v>
      </c>
      <c r="B851" s="92">
        <v>4240</v>
      </c>
      <c r="E851" s="92">
        <v>50</v>
      </c>
      <c r="F851" s="92">
        <f>_xlfn.XLOOKUP(B851, DATA_Moresby_2024_ALL!B:B, DATA_Moresby_2024_ALL!G:G, "")</f>
        <v>0</v>
      </c>
      <c r="G851" s="93"/>
      <c r="H851" s="92">
        <v>9</v>
      </c>
      <c r="I851" s="92" t="str">
        <f t="shared" si="41"/>
        <v>X</v>
      </c>
      <c r="J851" s="79" t="str">
        <f>IF(G851="","X",_xlfn.XLOOKUP(B851,DATA_Moresby_2024_ALL!B:B,DATA_Moresby_2024_ALL!K:K,""))</f>
        <v>X</v>
      </c>
      <c r="K851" s="28"/>
      <c r="L851" s="29"/>
      <c r="M851" s="28"/>
      <c r="N851" s="19" t="str">
        <f t="shared" si="42"/>
        <v/>
      </c>
      <c r="O851" s="19" t="str">
        <f t="shared" si="42"/>
        <v/>
      </c>
      <c r="P851" s="19" t="str">
        <f t="shared" si="42"/>
        <v/>
      </c>
      <c r="Q851" s="19" t="str">
        <f t="shared" si="42"/>
        <v/>
      </c>
      <c r="X851" s="92" t="s">
        <v>78</v>
      </c>
      <c r="Y851" s="92" t="s">
        <v>78</v>
      </c>
      <c r="Z851" s="92" t="s">
        <v>78</v>
      </c>
    </row>
    <row r="852" spans="1:26" ht="16" hidden="1" x14ac:dyDescent="0.4">
      <c r="A852" s="92">
        <v>4244</v>
      </c>
      <c r="B852" s="92">
        <v>4245</v>
      </c>
      <c r="E852" s="92">
        <v>50</v>
      </c>
      <c r="F852" s="92">
        <f>_xlfn.XLOOKUP(B852, DATA_Moresby_2024_ALL!B:B, DATA_Moresby_2024_ALL!G:G, "")</f>
        <v>0</v>
      </c>
      <c r="G852" s="93"/>
      <c r="H852" s="92">
        <v>9</v>
      </c>
      <c r="I852" s="92" t="str">
        <f t="shared" si="41"/>
        <v>X</v>
      </c>
      <c r="J852" s="79" t="str">
        <f>IF(G852="","X",_xlfn.XLOOKUP(B852,DATA_Moresby_2024_ALL!B:B,DATA_Moresby_2024_ALL!K:K,""))</f>
        <v>X</v>
      </c>
      <c r="K852" s="28"/>
      <c r="L852" s="29"/>
      <c r="M852" s="28"/>
      <c r="N852" s="19" t="str">
        <f t="shared" si="42"/>
        <v/>
      </c>
      <c r="O852" s="19" t="str">
        <f t="shared" si="42"/>
        <v/>
      </c>
      <c r="P852" s="19" t="str">
        <f t="shared" si="42"/>
        <v/>
      </c>
      <c r="Q852" s="19" t="str">
        <f t="shared" si="42"/>
        <v/>
      </c>
      <c r="X852" s="92" t="s">
        <v>78</v>
      </c>
      <c r="Y852" s="92" t="s">
        <v>78</v>
      </c>
      <c r="Z852" s="92" t="s">
        <v>78</v>
      </c>
    </row>
    <row r="853" spans="1:26" ht="16" hidden="1" x14ac:dyDescent="0.4">
      <c r="A853" s="92">
        <v>4249</v>
      </c>
      <c r="B853" s="92">
        <v>4250</v>
      </c>
      <c r="E853" s="92">
        <v>50</v>
      </c>
      <c r="F853" s="92">
        <f>_xlfn.XLOOKUP(B853, DATA_Moresby_2024_ALL!B:B, DATA_Moresby_2024_ALL!G:G, "")</f>
        <v>0</v>
      </c>
      <c r="G853" s="93"/>
      <c r="H853" s="92">
        <v>9</v>
      </c>
      <c r="I853" s="92" t="str">
        <f t="shared" si="41"/>
        <v>X</v>
      </c>
      <c r="J853" s="79" t="str">
        <f>IF(G853="","X",_xlfn.XLOOKUP(B853,DATA_Moresby_2024_ALL!B:B,DATA_Moresby_2024_ALL!K:K,""))</f>
        <v>X</v>
      </c>
      <c r="K853" s="28"/>
      <c r="L853" s="29"/>
      <c r="M853" s="28"/>
      <c r="N853" s="19" t="str">
        <f t="shared" si="42"/>
        <v/>
      </c>
      <c r="O853" s="19" t="str">
        <f t="shared" si="42"/>
        <v/>
      </c>
      <c r="P853" s="19" t="str">
        <f t="shared" si="42"/>
        <v/>
      </c>
      <c r="Q853" s="19" t="str">
        <f t="shared" si="42"/>
        <v/>
      </c>
      <c r="X853" s="92" t="s">
        <v>78</v>
      </c>
      <c r="Y853" s="92" t="s">
        <v>78</v>
      </c>
      <c r="Z853" s="92" t="s">
        <v>78</v>
      </c>
    </row>
    <row r="854" spans="1:26" ht="16" hidden="1" x14ac:dyDescent="0.4">
      <c r="A854" s="92">
        <v>4254</v>
      </c>
      <c r="B854" s="92">
        <v>4255</v>
      </c>
      <c r="E854" s="92">
        <v>50</v>
      </c>
      <c r="F854" s="92">
        <f>_xlfn.XLOOKUP(B854, DATA_Moresby_2024_ALL!B:B, DATA_Moresby_2024_ALL!G:G, "")</f>
        <v>0</v>
      </c>
      <c r="G854" s="93"/>
      <c r="H854" s="92">
        <v>9</v>
      </c>
      <c r="I854" s="92" t="str">
        <f t="shared" si="41"/>
        <v>X</v>
      </c>
      <c r="J854" s="79" t="str">
        <f>IF(G854="","X",_xlfn.XLOOKUP(B854,DATA_Moresby_2024_ALL!B:B,DATA_Moresby_2024_ALL!K:K,""))</f>
        <v>X</v>
      </c>
      <c r="K854" s="28"/>
      <c r="L854" s="29"/>
      <c r="M854" s="28"/>
      <c r="N854" s="19" t="str">
        <f t="shared" si="42"/>
        <v/>
      </c>
      <c r="O854" s="19" t="str">
        <f t="shared" si="42"/>
        <v/>
      </c>
      <c r="P854" s="19" t="str">
        <f t="shared" si="42"/>
        <v/>
      </c>
      <c r="Q854" s="19" t="str">
        <f t="shared" si="42"/>
        <v/>
      </c>
      <c r="X854" s="92" t="s">
        <v>78</v>
      </c>
      <c r="Y854" s="92" t="s">
        <v>78</v>
      </c>
      <c r="Z854" s="92" t="s">
        <v>78</v>
      </c>
    </row>
    <row r="855" spans="1:26" ht="16" hidden="1" x14ac:dyDescent="0.4">
      <c r="A855" s="92">
        <v>4259</v>
      </c>
      <c r="B855" s="92">
        <v>4260</v>
      </c>
      <c r="E855" s="92">
        <v>50</v>
      </c>
      <c r="F855" s="92">
        <f>_xlfn.XLOOKUP(B855, DATA_Moresby_2024_ALL!B:B, DATA_Moresby_2024_ALL!G:G, "")</f>
        <v>0</v>
      </c>
      <c r="G855" s="93"/>
      <c r="H855" s="92">
        <v>9</v>
      </c>
      <c r="I855" s="92" t="str">
        <f t="shared" si="41"/>
        <v>X</v>
      </c>
      <c r="J855" s="79" t="str">
        <f>IF(G855="","X",_xlfn.XLOOKUP(B855,DATA_Moresby_2024_ALL!B:B,DATA_Moresby_2024_ALL!K:K,""))</f>
        <v>X</v>
      </c>
      <c r="K855" s="28"/>
      <c r="L855" s="29"/>
      <c r="M855" s="28"/>
      <c r="N855" s="19" t="str">
        <f t="shared" si="42"/>
        <v/>
      </c>
      <c r="O855" s="19" t="str">
        <f t="shared" si="42"/>
        <v/>
      </c>
      <c r="P855" s="19" t="str">
        <f t="shared" si="42"/>
        <v/>
      </c>
      <c r="Q855" s="19" t="str">
        <f t="shared" si="42"/>
        <v/>
      </c>
      <c r="X855" s="92" t="s">
        <v>78</v>
      </c>
      <c r="Y855" s="92" t="s">
        <v>78</v>
      </c>
      <c r="Z855" s="92" t="s">
        <v>78</v>
      </c>
    </row>
    <row r="856" spans="1:26" ht="16" hidden="1" x14ac:dyDescent="0.4">
      <c r="A856" s="92">
        <v>4264</v>
      </c>
      <c r="B856" s="92">
        <v>4265</v>
      </c>
      <c r="E856" s="92">
        <v>50</v>
      </c>
      <c r="F856" s="92">
        <f>_xlfn.XLOOKUP(B856, DATA_Moresby_2024_ALL!B:B, DATA_Moresby_2024_ALL!G:G, "")</f>
        <v>0</v>
      </c>
      <c r="G856" s="93"/>
      <c r="H856" s="92">
        <v>9</v>
      </c>
      <c r="I856" s="92" t="str">
        <f t="shared" si="41"/>
        <v>X</v>
      </c>
      <c r="J856" s="79" t="str">
        <f>IF(G856="","X",_xlfn.XLOOKUP(B856,DATA_Moresby_2024_ALL!B:B,DATA_Moresby_2024_ALL!K:K,""))</f>
        <v>X</v>
      </c>
      <c r="K856" s="28"/>
      <c r="L856" s="29"/>
      <c r="M856" s="28"/>
      <c r="N856" s="19" t="str">
        <f t="shared" si="42"/>
        <v/>
      </c>
      <c r="O856" s="19" t="str">
        <f t="shared" si="42"/>
        <v/>
      </c>
      <c r="P856" s="19" t="str">
        <f t="shared" si="42"/>
        <v/>
      </c>
      <c r="Q856" s="19" t="str">
        <f t="shared" si="42"/>
        <v/>
      </c>
      <c r="X856" s="92" t="s">
        <v>78</v>
      </c>
      <c r="Y856" s="92" t="s">
        <v>78</v>
      </c>
      <c r="Z856" s="92" t="s">
        <v>78</v>
      </c>
    </row>
    <row r="857" spans="1:26" ht="16" hidden="1" x14ac:dyDescent="0.4">
      <c r="A857" s="92">
        <v>4269</v>
      </c>
      <c r="B857" s="92">
        <v>4270</v>
      </c>
      <c r="E857" s="92">
        <v>50</v>
      </c>
      <c r="F857" s="92">
        <f>_xlfn.XLOOKUP(B857, DATA_Moresby_2024_ALL!B:B, DATA_Moresby_2024_ALL!G:G, "")</f>
        <v>0</v>
      </c>
      <c r="G857" s="93"/>
      <c r="H857" s="92">
        <v>9</v>
      </c>
      <c r="I857" s="92" t="str">
        <f t="shared" si="41"/>
        <v>X</v>
      </c>
      <c r="J857" s="79" t="str">
        <f>IF(G857="","X",_xlfn.XLOOKUP(B857,DATA_Moresby_2024_ALL!B:B,DATA_Moresby_2024_ALL!K:K,""))</f>
        <v>X</v>
      </c>
      <c r="K857" s="28"/>
      <c r="L857" s="29"/>
      <c r="M857" s="28"/>
      <c r="N857" s="19" t="str">
        <f t="shared" si="42"/>
        <v/>
      </c>
      <c r="O857" s="19" t="str">
        <f t="shared" si="42"/>
        <v/>
      </c>
      <c r="P857" s="19" t="str">
        <f t="shared" si="42"/>
        <v/>
      </c>
      <c r="Q857" s="19" t="str">
        <f t="shared" si="42"/>
        <v/>
      </c>
      <c r="X857" s="92" t="s">
        <v>78</v>
      </c>
      <c r="Y857" s="92" t="s">
        <v>78</v>
      </c>
      <c r="Z857" s="92" t="s">
        <v>78</v>
      </c>
    </row>
    <row r="858" spans="1:26" ht="16" hidden="1" x14ac:dyDescent="0.4">
      <c r="A858" s="92">
        <v>4274</v>
      </c>
      <c r="B858" s="92">
        <v>4275</v>
      </c>
      <c r="E858" s="92">
        <v>50</v>
      </c>
      <c r="F858" s="92">
        <f>_xlfn.XLOOKUP(B858, DATA_Moresby_2024_ALL!B:B, DATA_Moresby_2024_ALL!G:G, "")</f>
        <v>0</v>
      </c>
      <c r="G858" s="93"/>
      <c r="H858" s="92">
        <v>9</v>
      </c>
      <c r="I858" s="92" t="str">
        <f t="shared" si="41"/>
        <v>X</v>
      </c>
      <c r="J858" s="79" t="str">
        <f>IF(G858="","X",_xlfn.XLOOKUP(B858,DATA_Moresby_2024_ALL!B:B,DATA_Moresby_2024_ALL!K:K,""))</f>
        <v>X</v>
      </c>
      <c r="K858" s="28"/>
      <c r="L858" s="29"/>
      <c r="M858" s="28"/>
      <c r="N858" s="19" t="str">
        <f t="shared" si="42"/>
        <v/>
      </c>
      <c r="O858" s="19" t="str">
        <f t="shared" si="42"/>
        <v/>
      </c>
      <c r="P858" s="19" t="str">
        <f t="shared" si="42"/>
        <v/>
      </c>
      <c r="Q858" s="19" t="str">
        <f t="shared" si="42"/>
        <v/>
      </c>
      <c r="X858" s="92" t="s">
        <v>78</v>
      </c>
      <c r="Y858" s="92" t="s">
        <v>78</v>
      </c>
      <c r="Z858" s="92" t="s">
        <v>78</v>
      </c>
    </row>
    <row r="859" spans="1:26" ht="16" hidden="1" x14ac:dyDescent="0.4">
      <c r="A859" s="92">
        <v>4279</v>
      </c>
      <c r="B859" s="92">
        <v>4280</v>
      </c>
      <c r="E859" s="92">
        <v>50</v>
      </c>
      <c r="F859" s="92">
        <f>_xlfn.XLOOKUP(B859, DATA_Moresby_2024_ALL!B:B, DATA_Moresby_2024_ALL!G:G, "")</f>
        <v>0</v>
      </c>
      <c r="G859" s="93"/>
      <c r="H859" s="92">
        <v>9</v>
      </c>
      <c r="I859" s="92" t="str">
        <f t="shared" si="41"/>
        <v>X</v>
      </c>
      <c r="J859" s="79" t="str">
        <f>IF(G859="","X",_xlfn.XLOOKUP(B859,DATA_Moresby_2024_ALL!B:B,DATA_Moresby_2024_ALL!K:K,""))</f>
        <v>X</v>
      </c>
      <c r="K859" s="28"/>
      <c r="L859" s="29"/>
      <c r="M859" s="28"/>
      <c r="N859" s="19" t="str">
        <f t="shared" si="42"/>
        <v/>
      </c>
      <c r="O859" s="19" t="str">
        <f t="shared" si="42"/>
        <v/>
      </c>
      <c r="P859" s="19" t="str">
        <f t="shared" si="42"/>
        <v/>
      </c>
      <c r="Q859" s="19" t="str">
        <f t="shared" si="42"/>
        <v/>
      </c>
      <c r="X859" s="92" t="s">
        <v>78</v>
      </c>
      <c r="Y859" s="92" t="s">
        <v>78</v>
      </c>
      <c r="Z859" s="92" t="s">
        <v>78</v>
      </c>
    </row>
    <row r="860" spans="1:26" ht="16" hidden="1" x14ac:dyDescent="0.4">
      <c r="A860" s="92">
        <v>4284</v>
      </c>
      <c r="B860" s="92">
        <v>4285</v>
      </c>
      <c r="E860" s="92">
        <v>50</v>
      </c>
      <c r="F860" s="92">
        <f>_xlfn.XLOOKUP(B860, DATA_Moresby_2024_ALL!B:B, DATA_Moresby_2024_ALL!G:G, "")</f>
        <v>0</v>
      </c>
      <c r="G860" s="93"/>
      <c r="H860" s="92">
        <v>9</v>
      </c>
      <c r="I860" s="92" t="str">
        <f t="shared" si="41"/>
        <v>X</v>
      </c>
      <c r="J860" s="79" t="str">
        <f>IF(G860="","X",_xlfn.XLOOKUP(B860,DATA_Moresby_2024_ALL!B:B,DATA_Moresby_2024_ALL!K:K,""))</f>
        <v>X</v>
      </c>
      <c r="K860" s="28"/>
      <c r="L860" s="29"/>
      <c r="M860" s="28"/>
      <c r="N860" s="19" t="str">
        <f t="shared" si="42"/>
        <v/>
      </c>
      <c r="O860" s="19" t="str">
        <f t="shared" si="42"/>
        <v/>
      </c>
      <c r="P860" s="19" t="str">
        <f t="shared" si="42"/>
        <v/>
      </c>
      <c r="Q860" s="19" t="str">
        <f t="shared" si="42"/>
        <v/>
      </c>
      <c r="X860" s="92" t="s">
        <v>78</v>
      </c>
      <c r="Y860" s="92" t="s">
        <v>78</v>
      </c>
      <c r="Z860" s="92" t="s">
        <v>78</v>
      </c>
    </row>
    <row r="861" spans="1:26" ht="16" hidden="1" x14ac:dyDescent="0.4">
      <c r="A861" s="92">
        <v>4289</v>
      </c>
      <c r="B861" s="92">
        <v>4290</v>
      </c>
      <c r="E861" s="92">
        <v>50</v>
      </c>
      <c r="F861" s="92">
        <f>_xlfn.XLOOKUP(B861, DATA_Moresby_2024_ALL!B:B, DATA_Moresby_2024_ALL!G:G, "")</f>
        <v>0</v>
      </c>
      <c r="G861" s="93"/>
      <c r="H861" s="92">
        <v>9</v>
      </c>
      <c r="I861" s="92" t="str">
        <f t="shared" si="41"/>
        <v>X</v>
      </c>
      <c r="J861" s="79" t="str">
        <f>IF(G861="","X",_xlfn.XLOOKUP(B861,DATA_Moresby_2024_ALL!B:B,DATA_Moresby_2024_ALL!K:K,""))</f>
        <v>X</v>
      </c>
      <c r="K861" s="28"/>
      <c r="L861" s="29"/>
      <c r="M861" s="28"/>
      <c r="N861" s="19" t="str">
        <f t="shared" si="42"/>
        <v/>
      </c>
      <c r="O861" s="19" t="str">
        <f t="shared" si="42"/>
        <v/>
      </c>
      <c r="P861" s="19" t="str">
        <f t="shared" si="42"/>
        <v/>
      </c>
      <c r="Q861" s="19" t="str">
        <f t="shared" ref="O861:Q924" si="43">IF($J861=1,4,"")</f>
        <v/>
      </c>
      <c r="X861" s="92" t="s">
        <v>78</v>
      </c>
      <c r="Y861" s="92" t="s">
        <v>78</v>
      </c>
      <c r="Z861" s="92" t="s">
        <v>78</v>
      </c>
    </row>
    <row r="862" spans="1:26" ht="16" hidden="1" x14ac:dyDescent="0.4">
      <c r="A862" s="92">
        <v>4294</v>
      </c>
      <c r="B862" s="92">
        <v>4295</v>
      </c>
      <c r="E862" s="92">
        <v>50</v>
      </c>
      <c r="F862" s="92">
        <f>_xlfn.XLOOKUP(B862, DATA_Moresby_2024_ALL!B:B, DATA_Moresby_2024_ALL!G:G, "")</f>
        <v>0</v>
      </c>
      <c r="G862" s="93"/>
      <c r="H862" s="92">
        <v>9</v>
      </c>
      <c r="I862" s="92" t="str">
        <f t="shared" ref="I862:I879" si="44">IF(G862="","X","")</f>
        <v>X</v>
      </c>
      <c r="J862" s="79" t="str">
        <f>IF(G862="","X",_xlfn.XLOOKUP(B862,DATA_Moresby_2024_ALL!B:B,DATA_Moresby_2024_ALL!K:K,""))</f>
        <v>X</v>
      </c>
      <c r="K862" s="28"/>
      <c r="L862" s="29"/>
      <c r="M862" s="28"/>
      <c r="N862" s="19" t="str">
        <f t="shared" ref="N862:Q925" si="45">IF($J862=1,4,"")</f>
        <v/>
      </c>
      <c r="O862" s="19" t="str">
        <f t="shared" si="43"/>
        <v/>
      </c>
      <c r="P862" s="19" t="str">
        <f t="shared" si="43"/>
        <v/>
      </c>
      <c r="Q862" s="19" t="str">
        <f t="shared" si="43"/>
        <v/>
      </c>
      <c r="X862" s="92" t="s">
        <v>78</v>
      </c>
      <c r="Y862" s="92" t="s">
        <v>78</v>
      </c>
      <c r="Z862" s="92" t="s">
        <v>78</v>
      </c>
    </row>
    <row r="863" spans="1:26" ht="16" hidden="1" x14ac:dyDescent="0.4">
      <c r="A863" s="92">
        <v>4299</v>
      </c>
      <c r="B863" s="92">
        <v>4300</v>
      </c>
      <c r="E863" s="92">
        <v>50</v>
      </c>
      <c r="F863" s="92">
        <f>_xlfn.XLOOKUP(B863, DATA_Moresby_2024_ALL!B:B, DATA_Moresby_2024_ALL!G:G, "")</f>
        <v>0</v>
      </c>
      <c r="G863" s="93"/>
      <c r="H863" s="92">
        <v>9</v>
      </c>
      <c r="I863" s="92" t="str">
        <f t="shared" si="44"/>
        <v>X</v>
      </c>
      <c r="J863" s="79" t="str">
        <f>IF(G863="","X",_xlfn.XLOOKUP(B863,DATA_Moresby_2024_ALL!B:B,DATA_Moresby_2024_ALL!K:K,""))</f>
        <v>X</v>
      </c>
      <c r="K863" s="28"/>
      <c r="L863" s="29"/>
      <c r="M863" s="28"/>
      <c r="N863" s="19" t="str">
        <f t="shared" si="45"/>
        <v/>
      </c>
      <c r="O863" s="19" t="str">
        <f t="shared" si="43"/>
        <v/>
      </c>
      <c r="P863" s="19" t="str">
        <f t="shared" si="43"/>
        <v/>
      </c>
      <c r="Q863" s="19" t="str">
        <f t="shared" si="43"/>
        <v/>
      </c>
      <c r="X863" s="92" t="s">
        <v>78</v>
      </c>
      <c r="Y863" s="92" t="s">
        <v>78</v>
      </c>
      <c r="Z863" s="92" t="s">
        <v>78</v>
      </c>
    </row>
    <row r="864" spans="1:26" ht="16" hidden="1" x14ac:dyDescent="0.4">
      <c r="A864" s="92">
        <v>4304</v>
      </c>
      <c r="B864" s="92">
        <v>4305</v>
      </c>
      <c r="E864" s="92">
        <v>50</v>
      </c>
      <c r="F864" s="92">
        <f>_xlfn.XLOOKUP(B864, DATA_Moresby_2024_ALL!B:B, DATA_Moresby_2024_ALL!G:G, "")</f>
        <v>0</v>
      </c>
      <c r="G864" s="93"/>
      <c r="H864" s="92">
        <v>9</v>
      </c>
      <c r="I864" s="92" t="str">
        <f t="shared" si="44"/>
        <v>X</v>
      </c>
      <c r="J864" s="79" t="str">
        <f>IF(G864="","X",_xlfn.XLOOKUP(B864,DATA_Moresby_2024_ALL!B:B,DATA_Moresby_2024_ALL!K:K,""))</f>
        <v>X</v>
      </c>
      <c r="K864" s="28"/>
      <c r="L864" s="29"/>
      <c r="M864" s="28"/>
      <c r="N864" s="19" t="str">
        <f t="shared" si="45"/>
        <v/>
      </c>
      <c r="O864" s="19" t="str">
        <f t="shared" si="43"/>
        <v/>
      </c>
      <c r="P864" s="19" t="str">
        <f t="shared" si="43"/>
        <v/>
      </c>
      <c r="Q864" s="19" t="str">
        <f t="shared" si="43"/>
        <v/>
      </c>
      <c r="X864" s="92" t="s">
        <v>78</v>
      </c>
      <c r="Y864" s="92" t="s">
        <v>78</v>
      </c>
      <c r="Z864" s="92" t="s">
        <v>78</v>
      </c>
    </row>
    <row r="865" spans="1:26" ht="16" hidden="1" x14ac:dyDescent="0.4">
      <c r="A865" s="92">
        <v>4309</v>
      </c>
      <c r="B865" s="92">
        <v>4310</v>
      </c>
      <c r="E865" s="92">
        <v>50</v>
      </c>
      <c r="F865" s="92">
        <f>_xlfn.XLOOKUP(B865, DATA_Moresby_2024_ALL!B:B, DATA_Moresby_2024_ALL!G:G, "")</f>
        <v>0</v>
      </c>
      <c r="G865" s="93"/>
      <c r="H865" s="92">
        <v>9</v>
      </c>
      <c r="I865" s="92" t="str">
        <f t="shared" si="44"/>
        <v>X</v>
      </c>
      <c r="J865" s="79" t="str">
        <f>IF(G865="","X",_xlfn.XLOOKUP(B865,DATA_Moresby_2024_ALL!B:B,DATA_Moresby_2024_ALL!K:K,""))</f>
        <v>X</v>
      </c>
      <c r="K865" s="28"/>
      <c r="L865" s="29"/>
      <c r="M865" s="28"/>
      <c r="N865" s="19" t="str">
        <f t="shared" si="45"/>
        <v/>
      </c>
      <c r="O865" s="19" t="str">
        <f t="shared" si="43"/>
        <v/>
      </c>
      <c r="P865" s="19" t="str">
        <f t="shared" si="43"/>
        <v/>
      </c>
      <c r="Q865" s="19" t="str">
        <f t="shared" si="43"/>
        <v/>
      </c>
      <c r="X865" s="92" t="s">
        <v>78</v>
      </c>
      <c r="Y865" s="92" t="s">
        <v>78</v>
      </c>
      <c r="Z865" s="92" t="s">
        <v>78</v>
      </c>
    </row>
    <row r="866" spans="1:26" ht="16" hidden="1" x14ac:dyDescent="0.4">
      <c r="A866" s="92">
        <v>4314</v>
      </c>
      <c r="B866" s="92">
        <v>4315</v>
      </c>
      <c r="E866" s="92">
        <v>50</v>
      </c>
      <c r="F866" s="92">
        <f>_xlfn.XLOOKUP(B866, DATA_Moresby_2024_ALL!B:B, DATA_Moresby_2024_ALL!G:G, "")</f>
        <v>0</v>
      </c>
      <c r="G866" s="93"/>
      <c r="H866" s="92">
        <v>9</v>
      </c>
      <c r="I866" s="92" t="str">
        <f t="shared" si="44"/>
        <v>X</v>
      </c>
      <c r="J866" s="79" t="str">
        <f>IF(G866="","X",_xlfn.XLOOKUP(B866,DATA_Moresby_2024_ALL!B:B,DATA_Moresby_2024_ALL!K:K,""))</f>
        <v>X</v>
      </c>
      <c r="K866" s="28"/>
      <c r="L866" s="29"/>
      <c r="M866" s="28"/>
      <c r="N866" s="19" t="str">
        <f t="shared" si="45"/>
        <v/>
      </c>
      <c r="O866" s="19" t="str">
        <f t="shared" si="43"/>
        <v/>
      </c>
      <c r="P866" s="19" t="str">
        <f t="shared" si="43"/>
        <v/>
      </c>
      <c r="Q866" s="19" t="str">
        <f t="shared" si="43"/>
        <v/>
      </c>
      <c r="X866" s="92" t="s">
        <v>78</v>
      </c>
      <c r="Y866" s="92" t="s">
        <v>78</v>
      </c>
      <c r="Z866" s="92" t="s">
        <v>78</v>
      </c>
    </row>
    <row r="867" spans="1:26" ht="16" hidden="1" x14ac:dyDescent="0.4">
      <c r="A867" s="92">
        <v>4319</v>
      </c>
      <c r="B867" s="92">
        <v>4320</v>
      </c>
      <c r="E867" s="92">
        <v>50</v>
      </c>
      <c r="F867" s="92">
        <f>_xlfn.XLOOKUP(B867, DATA_Moresby_2024_ALL!B:B, DATA_Moresby_2024_ALL!G:G, "")</f>
        <v>0</v>
      </c>
      <c r="G867" s="93"/>
      <c r="H867" s="92">
        <v>9</v>
      </c>
      <c r="I867" s="92" t="str">
        <f t="shared" si="44"/>
        <v>X</v>
      </c>
      <c r="J867" s="79" t="str">
        <f>IF(G867="","X",_xlfn.XLOOKUP(B867,DATA_Moresby_2024_ALL!B:B,DATA_Moresby_2024_ALL!K:K,""))</f>
        <v>X</v>
      </c>
      <c r="K867" s="28"/>
      <c r="L867" s="29"/>
      <c r="M867" s="28"/>
      <c r="N867" s="19" t="str">
        <f t="shared" si="45"/>
        <v/>
      </c>
      <c r="O867" s="19" t="str">
        <f t="shared" si="43"/>
        <v/>
      </c>
      <c r="P867" s="19" t="str">
        <f t="shared" si="43"/>
        <v/>
      </c>
      <c r="Q867" s="19" t="str">
        <f t="shared" si="43"/>
        <v/>
      </c>
      <c r="X867" s="92" t="s">
        <v>78</v>
      </c>
      <c r="Y867" s="92" t="s">
        <v>78</v>
      </c>
      <c r="Z867" s="92" t="s">
        <v>78</v>
      </c>
    </row>
    <row r="868" spans="1:26" ht="16" hidden="1" x14ac:dyDescent="0.4">
      <c r="A868" s="92">
        <v>4324</v>
      </c>
      <c r="B868" s="92">
        <v>4325</v>
      </c>
      <c r="E868" s="92">
        <v>50</v>
      </c>
      <c r="F868" s="92">
        <f>_xlfn.XLOOKUP(B868, DATA_Moresby_2024_ALL!B:B, DATA_Moresby_2024_ALL!G:G, "")</f>
        <v>0</v>
      </c>
      <c r="G868" s="93"/>
      <c r="H868" s="92">
        <v>9</v>
      </c>
      <c r="I868" s="92" t="str">
        <f t="shared" si="44"/>
        <v>X</v>
      </c>
      <c r="J868" s="79" t="str">
        <f>IF(G868="","X",_xlfn.XLOOKUP(B868,DATA_Moresby_2024_ALL!B:B,DATA_Moresby_2024_ALL!K:K,""))</f>
        <v>X</v>
      </c>
      <c r="K868" s="28"/>
      <c r="L868" s="29"/>
      <c r="M868" s="28"/>
      <c r="N868" s="19" t="str">
        <f t="shared" si="45"/>
        <v/>
      </c>
      <c r="O868" s="19" t="str">
        <f t="shared" si="43"/>
        <v/>
      </c>
      <c r="P868" s="19" t="str">
        <f t="shared" si="43"/>
        <v/>
      </c>
      <c r="Q868" s="19" t="str">
        <f t="shared" si="43"/>
        <v/>
      </c>
      <c r="X868" s="92" t="s">
        <v>78</v>
      </c>
      <c r="Y868" s="92" t="s">
        <v>78</v>
      </c>
      <c r="Z868" s="92" t="s">
        <v>78</v>
      </c>
    </row>
    <row r="869" spans="1:26" ht="16" hidden="1" x14ac:dyDescent="0.4">
      <c r="A869" s="92">
        <v>4329</v>
      </c>
      <c r="B869" s="92">
        <v>4330</v>
      </c>
      <c r="E869" s="92">
        <v>50</v>
      </c>
      <c r="F869" s="92">
        <f>_xlfn.XLOOKUP(B869, DATA_Moresby_2024_ALL!B:B, DATA_Moresby_2024_ALL!G:G, "")</f>
        <v>0</v>
      </c>
      <c r="G869" s="93"/>
      <c r="H869" s="92">
        <v>9</v>
      </c>
      <c r="I869" s="92" t="str">
        <f t="shared" si="44"/>
        <v>X</v>
      </c>
      <c r="J869" s="79" t="str">
        <f>IF(G869="","X",_xlfn.XLOOKUP(B869,DATA_Moresby_2024_ALL!B:B,DATA_Moresby_2024_ALL!K:K,""))</f>
        <v>X</v>
      </c>
      <c r="K869" s="28"/>
      <c r="L869" s="29"/>
      <c r="M869" s="28"/>
      <c r="N869" s="19" t="str">
        <f t="shared" si="45"/>
        <v/>
      </c>
      <c r="O869" s="19" t="str">
        <f t="shared" si="43"/>
        <v/>
      </c>
      <c r="P869" s="19" t="str">
        <f t="shared" si="43"/>
        <v/>
      </c>
      <c r="Q869" s="19" t="str">
        <f t="shared" si="43"/>
        <v/>
      </c>
      <c r="X869" s="92" t="s">
        <v>78</v>
      </c>
      <c r="Y869" s="92" t="s">
        <v>78</v>
      </c>
      <c r="Z869" s="92" t="s">
        <v>78</v>
      </c>
    </row>
    <row r="870" spans="1:26" ht="16" hidden="1" x14ac:dyDescent="0.4">
      <c r="A870" s="92">
        <v>4334</v>
      </c>
      <c r="B870" s="92">
        <v>4335</v>
      </c>
      <c r="E870" s="92">
        <v>50</v>
      </c>
      <c r="F870" s="92">
        <f>_xlfn.XLOOKUP(B870, DATA_Moresby_2024_ALL!B:B, DATA_Moresby_2024_ALL!G:G, "")</f>
        <v>0</v>
      </c>
      <c r="G870" s="93"/>
      <c r="H870" s="92">
        <v>9</v>
      </c>
      <c r="I870" s="92" t="str">
        <f t="shared" si="44"/>
        <v>X</v>
      </c>
      <c r="J870" s="79" t="str">
        <f>IF(G870="","X",_xlfn.XLOOKUP(B870,DATA_Moresby_2024_ALL!B:B,DATA_Moresby_2024_ALL!K:K,""))</f>
        <v>X</v>
      </c>
      <c r="K870" s="28"/>
      <c r="L870" s="29"/>
      <c r="M870" s="28"/>
      <c r="N870" s="19" t="str">
        <f t="shared" si="45"/>
        <v/>
      </c>
      <c r="O870" s="19" t="str">
        <f t="shared" si="43"/>
        <v/>
      </c>
      <c r="P870" s="19" t="str">
        <f t="shared" si="43"/>
        <v/>
      </c>
      <c r="Q870" s="19" t="str">
        <f t="shared" si="43"/>
        <v/>
      </c>
      <c r="X870" s="92" t="s">
        <v>78</v>
      </c>
      <c r="Y870" s="92" t="s">
        <v>78</v>
      </c>
      <c r="Z870" s="92" t="s">
        <v>78</v>
      </c>
    </row>
    <row r="871" spans="1:26" ht="16" hidden="1" x14ac:dyDescent="0.4">
      <c r="A871" s="92">
        <v>4339</v>
      </c>
      <c r="B871" s="92">
        <v>4340</v>
      </c>
      <c r="E871" s="92">
        <v>50</v>
      </c>
      <c r="F871" s="92">
        <f>_xlfn.XLOOKUP(B871, DATA_Moresby_2024_ALL!B:B, DATA_Moresby_2024_ALL!G:G, "")</f>
        <v>0</v>
      </c>
      <c r="G871" s="93"/>
      <c r="H871" s="92">
        <v>9</v>
      </c>
      <c r="I871" s="92" t="str">
        <f t="shared" si="44"/>
        <v>X</v>
      </c>
      <c r="J871" s="79" t="str">
        <f>IF(G871="","X",_xlfn.XLOOKUP(B871,DATA_Moresby_2024_ALL!B:B,DATA_Moresby_2024_ALL!K:K,""))</f>
        <v>X</v>
      </c>
      <c r="K871" s="28"/>
      <c r="L871" s="29"/>
      <c r="M871" s="28"/>
      <c r="N871" s="19" t="str">
        <f t="shared" si="45"/>
        <v/>
      </c>
      <c r="O871" s="19" t="str">
        <f t="shared" si="43"/>
        <v/>
      </c>
      <c r="P871" s="19" t="str">
        <f t="shared" si="43"/>
        <v/>
      </c>
      <c r="Q871" s="19" t="str">
        <f t="shared" si="43"/>
        <v/>
      </c>
      <c r="X871" s="92" t="s">
        <v>78</v>
      </c>
      <c r="Y871" s="92" t="s">
        <v>78</v>
      </c>
      <c r="Z871" s="92" t="s">
        <v>78</v>
      </c>
    </row>
    <row r="872" spans="1:26" ht="16" hidden="1" x14ac:dyDescent="0.4">
      <c r="A872" s="92">
        <v>4344</v>
      </c>
      <c r="B872" s="92">
        <v>4345</v>
      </c>
      <c r="E872" s="92">
        <v>50</v>
      </c>
      <c r="F872" s="92">
        <f>_xlfn.XLOOKUP(B872, DATA_Moresby_2024_ALL!B:B, DATA_Moresby_2024_ALL!G:G, "")</f>
        <v>0</v>
      </c>
      <c r="G872" s="93"/>
      <c r="H872" s="92">
        <v>9</v>
      </c>
      <c r="I872" s="92" t="str">
        <f t="shared" si="44"/>
        <v>X</v>
      </c>
      <c r="J872" s="79" t="str">
        <f>IF(G872="","X",_xlfn.XLOOKUP(B872,DATA_Moresby_2024_ALL!B:B,DATA_Moresby_2024_ALL!K:K,""))</f>
        <v>X</v>
      </c>
      <c r="K872" s="28"/>
      <c r="L872" s="29"/>
      <c r="M872" s="28"/>
      <c r="N872" s="19" t="str">
        <f t="shared" si="45"/>
        <v/>
      </c>
      <c r="O872" s="19" t="str">
        <f t="shared" si="43"/>
        <v/>
      </c>
      <c r="P872" s="19" t="str">
        <f t="shared" si="43"/>
        <v/>
      </c>
      <c r="Q872" s="19" t="str">
        <f t="shared" si="43"/>
        <v/>
      </c>
      <c r="X872" s="92" t="s">
        <v>78</v>
      </c>
      <c r="Y872" s="92" t="s">
        <v>78</v>
      </c>
      <c r="Z872" s="92" t="s">
        <v>78</v>
      </c>
    </row>
    <row r="873" spans="1:26" ht="16" hidden="1" x14ac:dyDescent="0.4">
      <c r="A873" s="92">
        <v>4349</v>
      </c>
      <c r="B873" s="92">
        <v>4350</v>
      </c>
      <c r="E873" s="92">
        <v>50</v>
      </c>
      <c r="F873" s="92">
        <f>_xlfn.XLOOKUP(B873, DATA_Moresby_2024_ALL!B:B, DATA_Moresby_2024_ALL!G:G, "")</f>
        <v>0</v>
      </c>
      <c r="G873" s="93"/>
      <c r="H873" s="92">
        <v>9</v>
      </c>
      <c r="I873" s="92" t="str">
        <f t="shared" si="44"/>
        <v>X</v>
      </c>
      <c r="J873" s="79" t="str">
        <f>IF(G873="","X",_xlfn.XLOOKUP(B873,DATA_Moresby_2024_ALL!B:B,DATA_Moresby_2024_ALL!K:K,""))</f>
        <v>X</v>
      </c>
      <c r="K873" s="28"/>
      <c r="L873" s="29"/>
      <c r="M873" s="28"/>
      <c r="N873" s="19" t="str">
        <f t="shared" si="45"/>
        <v/>
      </c>
      <c r="O873" s="19" t="str">
        <f t="shared" si="43"/>
        <v/>
      </c>
      <c r="P873" s="19" t="str">
        <f t="shared" si="43"/>
        <v/>
      </c>
      <c r="Q873" s="19" t="str">
        <f t="shared" si="43"/>
        <v/>
      </c>
      <c r="X873" s="92" t="s">
        <v>78</v>
      </c>
      <c r="Y873" s="92" t="s">
        <v>78</v>
      </c>
      <c r="Z873" s="92" t="s">
        <v>78</v>
      </c>
    </row>
    <row r="874" spans="1:26" ht="16" hidden="1" x14ac:dyDescent="0.4">
      <c r="A874" s="92">
        <v>4354</v>
      </c>
      <c r="B874" s="92">
        <v>4355</v>
      </c>
      <c r="E874" s="92">
        <v>50</v>
      </c>
      <c r="F874" s="92">
        <f>_xlfn.XLOOKUP(B874, DATA_Moresby_2024_ALL!B:B, DATA_Moresby_2024_ALL!G:G, "")</f>
        <v>0</v>
      </c>
      <c r="G874" s="93"/>
      <c r="H874" s="92">
        <v>9</v>
      </c>
      <c r="I874" s="92" t="str">
        <f t="shared" si="44"/>
        <v>X</v>
      </c>
      <c r="J874" s="79" t="str">
        <f>IF(G874="","X",_xlfn.XLOOKUP(B874,DATA_Moresby_2024_ALL!B:B,DATA_Moresby_2024_ALL!K:K,""))</f>
        <v>X</v>
      </c>
      <c r="K874" s="28"/>
      <c r="L874" s="29"/>
      <c r="M874" s="28"/>
      <c r="N874" s="19" t="str">
        <f t="shared" si="45"/>
        <v/>
      </c>
      <c r="O874" s="19" t="str">
        <f t="shared" si="43"/>
        <v/>
      </c>
      <c r="P874" s="19" t="str">
        <f t="shared" si="43"/>
        <v/>
      </c>
      <c r="Q874" s="19" t="str">
        <f t="shared" si="43"/>
        <v/>
      </c>
      <c r="X874" s="92" t="s">
        <v>78</v>
      </c>
      <c r="Y874" s="92" t="s">
        <v>78</v>
      </c>
      <c r="Z874" s="92" t="s">
        <v>78</v>
      </c>
    </row>
    <row r="875" spans="1:26" ht="16" hidden="1" x14ac:dyDescent="0.4">
      <c r="A875" s="92">
        <v>4359</v>
      </c>
      <c r="B875" s="92">
        <v>4360</v>
      </c>
      <c r="E875" s="92">
        <v>50</v>
      </c>
      <c r="F875" s="92">
        <f>_xlfn.XLOOKUP(B875, DATA_Moresby_2024_ALL!B:B, DATA_Moresby_2024_ALL!G:G, "")</f>
        <v>0</v>
      </c>
      <c r="G875" s="93"/>
      <c r="H875" s="92">
        <v>9</v>
      </c>
      <c r="I875" s="92" t="str">
        <f t="shared" si="44"/>
        <v>X</v>
      </c>
      <c r="J875" s="79" t="str">
        <f>IF(G875="","X",_xlfn.XLOOKUP(B875,DATA_Moresby_2024_ALL!B:B,DATA_Moresby_2024_ALL!K:K,""))</f>
        <v>X</v>
      </c>
      <c r="K875" s="28"/>
      <c r="L875" s="29"/>
      <c r="M875" s="28"/>
      <c r="N875" s="19" t="str">
        <f t="shared" si="45"/>
        <v/>
      </c>
      <c r="O875" s="19" t="str">
        <f t="shared" si="43"/>
        <v/>
      </c>
      <c r="P875" s="19" t="str">
        <f t="shared" si="43"/>
        <v/>
      </c>
      <c r="Q875" s="19" t="str">
        <f t="shared" si="43"/>
        <v/>
      </c>
      <c r="X875" s="92" t="s">
        <v>78</v>
      </c>
      <c r="Y875" s="92" t="s">
        <v>78</v>
      </c>
      <c r="Z875" s="92" t="s">
        <v>78</v>
      </c>
    </row>
    <row r="876" spans="1:26" ht="16" hidden="1" x14ac:dyDescent="0.4">
      <c r="A876" s="92">
        <v>4364</v>
      </c>
      <c r="B876" s="92">
        <v>4365</v>
      </c>
      <c r="E876" s="92">
        <v>50</v>
      </c>
      <c r="F876" s="92">
        <f>_xlfn.XLOOKUP(B876, DATA_Moresby_2024_ALL!B:B, DATA_Moresby_2024_ALL!G:G, "")</f>
        <v>0</v>
      </c>
      <c r="G876" s="93"/>
      <c r="H876" s="92">
        <v>9</v>
      </c>
      <c r="I876" s="92" t="str">
        <f t="shared" si="44"/>
        <v>X</v>
      </c>
      <c r="J876" s="79" t="str">
        <f>IF(G876="","X",_xlfn.XLOOKUP(B876,DATA_Moresby_2024_ALL!B:B,DATA_Moresby_2024_ALL!K:K,""))</f>
        <v>X</v>
      </c>
      <c r="K876" s="28"/>
      <c r="L876" s="29"/>
      <c r="M876" s="28"/>
      <c r="N876" s="19" t="str">
        <f t="shared" si="45"/>
        <v/>
      </c>
      <c r="O876" s="19" t="str">
        <f t="shared" si="43"/>
        <v/>
      </c>
      <c r="P876" s="19" t="str">
        <f t="shared" si="43"/>
        <v/>
      </c>
      <c r="Q876" s="19" t="str">
        <f t="shared" si="43"/>
        <v/>
      </c>
      <c r="X876" s="92" t="s">
        <v>78</v>
      </c>
      <c r="Y876" s="92" t="s">
        <v>78</v>
      </c>
      <c r="Z876" s="92" t="s">
        <v>78</v>
      </c>
    </row>
    <row r="877" spans="1:26" ht="16" hidden="1" x14ac:dyDescent="0.4">
      <c r="A877" s="92">
        <v>4369</v>
      </c>
      <c r="B877" s="92">
        <v>4370</v>
      </c>
      <c r="E877" s="92">
        <v>50</v>
      </c>
      <c r="F877" s="92">
        <f>_xlfn.XLOOKUP(B877, DATA_Moresby_2024_ALL!B:B, DATA_Moresby_2024_ALL!G:G, "")</f>
        <v>0</v>
      </c>
      <c r="G877" s="93"/>
      <c r="H877" s="92">
        <v>9</v>
      </c>
      <c r="I877" s="92" t="str">
        <f t="shared" si="44"/>
        <v>X</v>
      </c>
      <c r="J877" s="79" t="str">
        <f>IF(G877="","X",_xlfn.XLOOKUP(B877,DATA_Moresby_2024_ALL!B:B,DATA_Moresby_2024_ALL!K:K,""))</f>
        <v>X</v>
      </c>
      <c r="K877" s="28"/>
      <c r="L877" s="29"/>
      <c r="M877" s="28"/>
      <c r="N877" s="19" t="str">
        <f t="shared" si="45"/>
        <v/>
      </c>
      <c r="O877" s="19" t="str">
        <f t="shared" si="43"/>
        <v/>
      </c>
      <c r="P877" s="19" t="str">
        <f t="shared" si="43"/>
        <v/>
      </c>
      <c r="Q877" s="19" t="str">
        <f t="shared" si="43"/>
        <v/>
      </c>
      <c r="X877" s="92" t="s">
        <v>78</v>
      </c>
      <c r="Y877" s="92" t="s">
        <v>78</v>
      </c>
      <c r="Z877" s="92" t="s">
        <v>78</v>
      </c>
    </row>
    <row r="878" spans="1:26" ht="16" hidden="1" x14ac:dyDescent="0.4">
      <c r="A878" s="92">
        <v>4374</v>
      </c>
      <c r="B878" s="92">
        <v>4375</v>
      </c>
      <c r="E878" s="92">
        <v>50</v>
      </c>
      <c r="F878" s="92">
        <f>_xlfn.XLOOKUP(B878, DATA_Moresby_2024_ALL!B:B, DATA_Moresby_2024_ALL!G:G, "")</f>
        <v>0</v>
      </c>
      <c r="G878" s="93"/>
      <c r="H878" s="92">
        <v>9</v>
      </c>
      <c r="I878" s="92" t="str">
        <f t="shared" si="44"/>
        <v>X</v>
      </c>
      <c r="J878" s="79" t="str">
        <f>IF(G878="","X",_xlfn.XLOOKUP(B878,DATA_Moresby_2024_ALL!B:B,DATA_Moresby_2024_ALL!K:K,""))</f>
        <v>X</v>
      </c>
      <c r="K878" s="28"/>
      <c r="L878" s="29"/>
      <c r="M878" s="28"/>
      <c r="N878" s="19" t="str">
        <f t="shared" si="45"/>
        <v/>
      </c>
      <c r="O878" s="19" t="str">
        <f t="shared" si="43"/>
        <v/>
      </c>
      <c r="P878" s="19" t="str">
        <f t="shared" si="43"/>
        <v/>
      </c>
      <c r="Q878" s="19" t="str">
        <f t="shared" si="43"/>
        <v/>
      </c>
      <c r="X878" s="92" t="s">
        <v>78</v>
      </c>
      <c r="Y878" s="92" t="s">
        <v>78</v>
      </c>
      <c r="Z878" s="92" t="s">
        <v>78</v>
      </c>
    </row>
    <row r="879" spans="1:26" ht="16" hidden="1" x14ac:dyDescent="0.4">
      <c r="A879" s="92">
        <v>4379</v>
      </c>
      <c r="B879" s="92">
        <v>4380</v>
      </c>
      <c r="E879" s="92">
        <v>50</v>
      </c>
      <c r="F879" s="92">
        <f>_xlfn.XLOOKUP(B879, DATA_Moresby_2024_ALL!B:B, DATA_Moresby_2024_ALL!G:G, "")</f>
        <v>0</v>
      </c>
      <c r="G879" s="93"/>
      <c r="H879" s="92">
        <v>9</v>
      </c>
      <c r="I879" s="92" t="str">
        <f t="shared" si="44"/>
        <v>X</v>
      </c>
      <c r="J879" s="79" t="str">
        <f>IF(G879="","X",_xlfn.XLOOKUP(B879,DATA_Moresby_2024_ALL!B:B,DATA_Moresby_2024_ALL!K:K,""))</f>
        <v>X</v>
      </c>
      <c r="K879" s="28"/>
      <c r="L879" s="29"/>
      <c r="M879" s="28"/>
      <c r="N879" s="19" t="str">
        <f t="shared" si="45"/>
        <v/>
      </c>
      <c r="O879" s="19" t="str">
        <f t="shared" si="43"/>
        <v/>
      </c>
      <c r="P879" s="19" t="str">
        <f t="shared" si="43"/>
        <v/>
      </c>
      <c r="Q879" s="19" t="str">
        <f t="shared" si="43"/>
        <v/>
      </c>
      <c r="X879" s="92" t="s">
        <v>78</v>
      </c>
      <c r="Y879" s="92" t="s">
        <v>78</v>
      </c>
      <c r="Z879" s="92" t="s">
        <v>78</v>
      </c>
    </row>
    <row r="880" spans="1:26" ht="16" hidden="1" x14ac:dyDescent="0.4">
      <c r="A880" s="92">
        <v>4384</v>
      </c>
      <c r="B880" s="92">
        <v>4385</v>
      </c>
      <c r="E880" s="92">
        <v>50</v>
      </c>
      <c r="F880" s="92" t="str">
        <f>_xlfn.XLOOKUP(B880, DATA_Moresby_2024_ALL!B:B, DATA_Moresby_2024_ALL!G:G, "")</f>
        <v>4385_20240611_0005_L_0410.jpg</v>
      </c>
      <c r="G880" s="93" t="str">
        <f t="shared" ref="G880:G909" si="46">HYPERLINK("D:\Data From Lucan\2024\Moresby\Frames_for_Analysis_50\" &amp; F880,F880)</f>
        <v>4385_20240611_0005_L_0410.jpg</v>
      </c>
      <c r="H880" s="92">
        <v>9</v>
      </c>
      <c r="J880" s="79">
        <f>IF(G880="","X",_xlfn.XLOOKUP(B880,DATA_Moresby_2024_ALL!B:B,DATA_Moresby_2024_ALL!K:K,""))</f>
        <v>1</v>
      </c>
      <c r="K880" s="28"/>
      <c r="L880" s="29"/>
      <c r="M880" s="28"/>
      <c r="N880" s="19">
        <f t="shared" si="45"/>
        <v>4</v>
      </c>
      <c r="O880" s="19">
        <f t="shared" si="43"/>
        <v>4</v>
      </c>
      <c r="P880" s="19">
        <f t="shared" si="43"/>
        <v>4</v>
      </c>
      <c r="Q880" s="19">
        <f t="shared" si="43"/>
        <v>4</v>
      </c>
      <c r="X880" s="92" t="s">
        <v>78</v>
      </c>
      <c r="Y880" s="92" t="s">
        <v>78</v>
      </c>
      <c r="Z880" s="92" t="s">
        <v>78</v>
      </c>
    </row>
    <row r="881" spans="1:26" ht="16" hidden="1" x14ac:dyDescent="0.4">
      <c r="A881" s="92">
        <v>4389</v>
      </c>
      <c r="B881" s="92">
        <v>4390</v>
      </c>
      <c r="E881" s="92">
        <v>50</v>
      </c>
      <c r="F881" s="92" t="str">
        <f>_xlfn.XLOOKUP(B881, DATA_Moresby_2024_ALL!B:B, DATA_Moresby_2024_ALL!G:G, "")</f>
        <v>4390_20240611_0005_L_0429.jpg</v>
      </c>
      <c r="G881" s="93" t="str">
        <f t="shared" si="46"/>
        <v>4390_20240611_0005_L_0429.jpg</v>
      </c>
      <c r="H881" s="92">
        <v>3</v>
      </c>
      <c r="J881" s="79">
        <f>IF(G881="","X",_xlfn.XLOOKUP(B881,DATA_Moresby_2024_ALL!B:B,DATA_Moresby_2024_ALL!K:K,""))</f>
        <v>1</v>
      </c>
      <c r="K881" s="28"/>
      <c r="L881" s="29"/>
      <c r="M881" s="28"/>
      <c r="N881" s="19">
        <f t="shared" si="45"/>
        <v>4</v>
      </c>
      <c r="O881" s="19">
        <f t="shared" si="43"/>
        <v>4</v>
      </c>
      <c r="P881" s="19">
        <f t="shared" si="43"/>
        <v>4</v>
      </c>
      <c r="Q881" s="19">
        <f t="shared" si="43"/>
        <v>4</v>
      </c>
      <c r="X881" s="92" t="s">
        <v>78</v>
      </c>
      <c r="Y881" s="92" t="s">
        <v>78</v>
      </c>
      <c r="Z881" s="92" t="s">
        <v>78</v>
      </c>
    </row>
    <row r="882" spans="1:26" ht="16" hidden="1" x14ac:dyDescent="0.4">
      <c r="A882" s="92">
        <v>4394</v>
      </c>
      <c r="B882" s="92">
        <v>4395</v>
      </c>
      <c r="E882" s="92">
        <v>50</v>
      </c>
      <c r="F882" s="92" t="str">
        <f>_xlfn.XLOOKUP(B882, DATA_Moresby_2024_ALL!B:B, DATA_Moresby_2024_ALL!G:G, "")</f>
        <v>4395_20240611_0005_L_0444.jpg</v>
      </c>
      <c r="G882" s="93" t="str">
        <f t="shared" si="46"/>
        <v>4395_20240611_0005_L_0444.jpg</v>
      </c>
      <c r="H882" s="92">
        <v>3</v>
      </c>
      <c r="J882" s="79">
        <f>IF(G882="","X",_xlfn.XLOOKUP(B882,DATA_Moresby_2024_ALL!B:B,DATA_Moresby_2024_ALL!K:K,""))</f>
        <v>1</v>
      </c>
      <c r="K882" s="28"/>
      <c r="L882" s="29"/>
      <c r="M882" s="28"/>
      <c r="N882" s="19">
        <f t="shared" si="45"/>
        <v>4</v>
      </c>
      <c r="O882" s="19">
        <f t="shared" si="43"/>
        <v>4</v>
      </c>
      <c r="P882" s="19">
        <f t="shared" si="43"/>
        <v>4</v>
      </c>
      <c r="Q882" s="19">
        <v>3</v>
      </c>
      <c r="X882" s="92" t="s">
        <v>78</v>
      </c>
      <c r="Y882" s="92" t="s">
        <v>78</v>
      </c>
      <c r="Z882" s="92" t="s">
        <v>78</v>
      </c>
    </row>
    <row r="883" spans="1:26" ht="16" hidden="1" x14ac:dyDescent="0.4">
      <c r="A883" s="92">
        <v>4399</v>
      </c>
      <c r="B883" s="92">
        <v>4400</v>
      </c>
      <c r="E883" s="92">
        <v>50</v>
      </c>
      <c r="F883" s="92" t="str">
        <f>_xlfn.XLOOKUP(B883, DATA_Moresby_2024_ALL!B:B, DATA_Moresby_2024_ALL!G:G, "")</f>
        <v>4400_20240611_0005_L_0458.jpg</v>
      </c>
      <c r="G883" s="93" t="str">
        <f t="shared" si="46"/>
        <v>4400_20240611_0005_L_0458.jpg</v>
      </c>
      <c r="H883" s="92">
        <v>3</v>
      </c>
      <c r="J883" s="79">
        <f>IF(G883="","X",_xlfn.XLOOKUP(B883,DATA_Moresby_2024_ALL!B:B,DATA_Moresby_2024_ALL!K:K,""))</f>
        <v>1</v>
      </c>
      <c r="K883" s="28"/>
      <c r="L883" s="29"/>
      <c r="M883" s="28"/>
      <c r="N883" s="19">
        <f t="shared" si="45"/>
        <v>4</v>
      </c>
      <c r="O883" s="19">
        <f t="shared" si="43"/>
        <v>4</v>
      </c>
      <c r="P883" s="19">
        <f t="shared" si="43"/>
        <v>4</v>
      </c>
      <c r="Q883" s="19">
        <v>3</v>
      </c>
      <c r="X883" s="92" t="s">
        <v>78</v>
      </c>
      <c r="Y883" s="92" t="s">
        <v>78</v>
      </c>
      <c r="Z883" s="92" t="s">
        <v>78</v>
      </c>
    </row>
    <row r="884" spans="1:26" ht="16" hidden="1" x14ac:dyDescent="0.4">
      <c r="A884" s="92">
        <v>4404</v>
      </c>
      <c r="B884" s="92">
        <v>4405</v>
      </c>
      <c r="E884" s="92">
        <v>50</v>
      </c>
      <c r="F884" s="92" t="str">
        <f>_xlfn.XLOOKUP(B884, DATA_Moresby_2024_ALL!B:B, DATA_Moresby_2024_ALL!G:G, "")</f>
        <v>4405_20240611_0005_L_0473.jpg</v>
      </c>
      <c r="G884" s="93" t="str">
        <f t="shared" si="46"/>
        <v>4405_20240611_0005_L_0473.jpg</v>
      </c>
      <c r="H884" s="92">
        <v>3</v>
      </c>
      <c r="J884" s="79">
        <f>IF(G884="","X",_xlfn.XLOOKUP(B884,DATA_Moresby_2024_ALL!B:B,DATA_Moresby_2024_ALL!K:K,""))</f>
        <v>1</v>
      </c>
      <c r="K884" s="28"/>
      <c r="L884" s="29"/>
      <c r="M884" s="28"/>
      <c r="N884" s="19">
        <f t="shared" si="45"/>
        <v>4</v>
      </c>
      <c r="O884" s="19">
        <f t="shared" si="43"/>
        <v>4</v>
      </c>
      <c r="P884" s="19">
        <f t="shared" si="43"/>
        <v>4</v>
      </c>
      <c r="Q884" s="19">
        <v>3</v>
      </c>
      <c r="X884" s="92" t="s">
        <v>78</v>
      </c>
      <c r="Y884" s="92" t="s">
        <v>78</v>
      </c>
      <c r="Z884" s="92" t="s">
        <v>78</v>
      </c>
    </row>
    <row r="885" spans="1:26" ht="16" hidden="1" x14ac:dyDescent="0.4">
      <c r="A885" s="92">
        <v>4409</v>
      </c>
      <c r="B885" s="92">
        <v>4410</v>
      </c>
      <c r="E885" s="92">
        <v>50</v>
      </c>
      <c r="F885" s="92" t="str">
        <f>_xlfn.XLOOKUP(B885, DATA_Moresby_2024_ALL!B:B, DATA_Moresby_2024_ALL!G:G, "")</f>
        <v>4410_20240611_0005_L_0488.jpg</v>
      </c>
      <c r="G885" s="93" t="str">
        <f t="shared" si="46"/>
        <v>4410_20240611_0005_L_0488.jpg</v>
      </c>
      <c r="H885" s="92">
        <v>4</v>
      </c>
      <c r="J885" s="79">
        <f>IF(G885="","X",_xlfn.XLOOKUP(B885,DATA_Moresby_2024_ALL!B:B,DATA_Moresby_2024_ALL!K:K,""))</f>
        <v>1</v>
      </c>
      <c r="K885" s="28"/>
      <c r="L885" s="29"/>
      <c r="M885" s="28"/>
      <c r="N885" s="19">
        <f t="shared" si="45"/>
        <v>4</v>
      </c>
      <c r="O885" s="19">
        <f t="shared" si="43"/>
        <v>4</v>
      </c>
      <c r="P885" s="19">
        <f t="shared" si="43"/>
        <v>4</v>
      </c>
      <c r="Q885" s="19">
        <v>3</v>
      </c>
      <c r="X885" s="92" t="s">
        <v>78</v>
      </c>
      <c r="Y885" s="92" t="s">
        <v>78</v>
      </c>
      <c r="Z885" s="92" t="s">
        <v>78</v>
      </c>
    </row>
    <row r="886" spans="1:26" ht="16" hidden="1" x14ac:dyDescent="0.4">
      <c r="A886" s="92">
        <v>4414</v>
      </c>
      <c r="B886" s="92">
        <v>4415</v>
      </c>
      <c r="E886" s="92">
        <v>50</v>
      </c>
      <c r="F886" s="92" t="str">
        <f>_xlfn.XLOOKUP(B886, DATA_Moresby_2024_ALL!B:B, DATA_Moresby_2024_ALL!G:G, "")</f>
        <v>4415_20240611_0005_L_0503.jpg</v>
      </c>
      <c r="G886" s="93" t="str">
        <f t="shared" si="46"/>
        <v>4415_20240611_0005_L_0503.jpg</v>
      </c>
      <c r="H886" s="92">
        <v>4</v>
      </c>
      <c r="J886" s="79">
        <f>IF(G886="","X",_xlfn.XLOOKUP(B886,DATA_Moresby_2024_ALL!B:B,DATA_Moresby_2024_ALL!K:K,""))</f>
        <v>1</v>
      </c>
      <c r="K886" s="28"/>
      <c r="L886" s="29"/>
      <c r="M886" s="28"/>
      <c r="N886" s="19">
        <f t="shared" si="45"/>
        <v>4</v>
      </c>
      <c r="O886" s="19">
        <f t="shared" si="43"/>
        <v>4</v>
      </c>
      <c r="P886" s="19">
        <f t="shared" si="43"/>
        <v>4</v>
      </c>
      <c r="Q886" s="19">
        <v>3</v>
      </c>
      <c r="X886" s="92" t="s">
        <v>78</v>
      </c>
      <c r="Y886" s="92" t="s">
        <v>78</v>
      </c>
      <c r="Z886" s="92" t="s">
        <v>78</v>
      </c>
    </row>
    <row r="887" spans="1:26" ht="16" hidden="1" x14ac:dyDescent="0.4">
      <c r="A887" s="92">
        <v>4419</v>
      </c>
      <c r="B887" s="92">
        <v>4420</v>
      </c>
      <c r="E887" s="92">
        <v>50</v>
      </c>
      <c r="F887" s="92" t="str">
        <f>_xlfn.XLOOKUP(B887, DATA_Moresby_2024_ALL!B:B, DATA_Moresby_2024_ALL!G:G, "")</f>
        <v>4420_20240611_0005_L_0517.jpg</v>
      </c>
      <c r="G887" s="93" t="str">
        <f t="shared" si="46"/>
        <v>4420_20240611_0005_L_0517.jpg</v>
      </c>
      <c r="H887" s="92">
        <v>4</v>
      </c>
      <c r="J887" s="79">
        <f>IF(G887="","X",_xlfn.XLOOKUP(B887,DATA_Moresby_2024_ALL!B:B,DATA_Moresby_2024_ALL!K:K,""))</f>
        <v>1</v>
      </c>
      <c r="K887" s="28"/>
      <c r="L887" s="29"/>
      <c r="M887" s="28"/>
      <c r="N887" s="19">
        <f t="shared" si="45"/>
        <v>4</v>
      </c>
      <c r="O887" s="19">
        <f t="shared" si="43"/>
        <v>4</v>
      </c>
      <c r="P887" s="19">
        <f t="shared" si="43"/>
        <v>4</v>
      </c>
      <c r="Q887" s="19">
        <v>3</v>
      </c>
      <c r="X887" s="92" t="s">
        <v>78</v>
      </c>
      <c r="Y887" s="92" t="s">
        <v>78</v>
      </c>
      <c r="Z887" s="92" t="s">
        <v>78</v>
      </c>
    </row>
    <row r="888" spans="1:26" ht="16" hidden="1" x14ac:dyDescent="0.4">
      <c r="A888" s="92">
        <v>4424</v>
      </c>
      <c r="B888" s="92">
        <v>4425</v>
      </c>
      <c r="E888" s="92">
        <v>50</v>
      </c>
      <c r="F888" s="92" t="str">
        <f>_xlfn.XLOOKUP(B888, DATA_Moresby_2024_ALL!B:B, DATA_Moresby_2024_ALL!G:G, "")</f>
        <v>4425_20240611_0005_L_0529.jpg</v>
      </c>
      <c r="G888" s="93" t="str">
        <f t="shared" si="46"/>
        <v>4425_20240611_0005_L_0529.jpg</v>
      </c>
      <c r="H888" s="92">
        <v>4</v>
      </c>
      <c r="J888" s="79">
        <f>IF(G888="","X",_xlfn.XLOOKUP(B888,DATA_Moresby_2024_ALL!B:B,DATA_Moresby_2024_ALL!K:K,""))</f>
        <v>1</v>
      </c>
      <c r="K888" s="28"/>
      <c r="L888" s="29"/>
      <c r="M888" s="28"/>
      <c r="N888" s="19">
        <f t="shared" si="45"/>
        <v>4</v>
      </c>
      <c r="O888" s="19">
        <f t="shared" si="43"/>
        <v>4</v>
      </c>
      <c r="P888" s="19">
        <f t="shared" si="43"/>
        <v>4</v>
      </c>
      <c r="Q888" s="19">
        <v>3</v>
      </c>
      <c r="X888" s="92" t="s">
        <v>78</v>
      </c>
      <c r="Y888" s="92" t="s">
        <v>78</v>
      </c>
      <c r="Z888" s="92" t="s">
        <v>78</v>
      </c>
    </row>
    <row r="889" spans="1:26" ht="16" hidden="1" x14ac:dyDescent="0.4">
      <c r="A889" s="92">
        <v>4429</v>
      </c>
      <c r="B889" s="92">
        <v>4430</v>
      </c>
      <c r="E889" s="92">
        <v>50</v>
      </c>
      <c r="F889" s="92" t="str">
        <f>_xlfn.XLOOKUP(B889, DATA_Moresby_2024_ALL!B:B, DATA_Moresby_2024_ALL!G:G, "")</f>
        <v>4430_20240611_0005_L_0541.jpg</v>
      </c>
      <c r="G889" s="93" t="str">
        <f t="shared" si="46"/>
        <v>4430_20240611_0005_L_0541.jpg</v>
      </c>
      <c r="H889" s="92">
        <v>4</v>
      </c>
      <c r="J889" s="79">
        <f>IF(G889="","X",_xlfn.XLOOKUP(B889,DATA_Moresby_2024_ALL!B:B,DATA_Moresby_2024_ALL!K:K,""))</f>
        <v>1</v>
      </c>
      <c r="K889" s="28"/>
      <c r="L889" s="29"/>
      <c r="M889" s="28"/>
      <c r="N889" s="19">
        <f t="shared" si="45"/>
        <v>4</v>
      </c>
      <c r="O889" s="19">
        <f t="shared" si="43"/>
        <v>4</v>
      </c>
      <c r="P889" s="19">
        <f t="shared" si="43"/>
        <v>4</v>
      </c>
      <c r="Q889" s="19">
        <v>3</v>
      </c>
      <c r="X889" s="92" t="s">
        <v>78</v>
      </c>
      <c r="Y889" s="92" t="s">
        <v>78</v>
      </c>
      <c r="Z889" s="92" t="s">
        <v>78</v>
      </c>
    </row>
    <row r="890" spans="1:26" ht="16" hidden="1" x14ac:dyDescent="0.4">
      <c r="A890" s="92">
        <v>4434</v>
      </c>
      <c r="B890" s="92">
        <v>4435</v>
      </c>
      <c r="E890" s="92">
        <v>50</v>
      </c>
      <c r="F890" s="92" t="str">
        <f>_xlfn.XLOOKUP(B890, DATA_Moresby_2024_ALL!B:B, DATA_Moresby_2024_ALL!G:G, "")</f>
        <v>4435_20240611_0005_L_0551.jpg</v>
      </c>
      <c r="G890" s="93" t="str">
        <f t="shared" si="46"/>
        <v>4435_20240611_0005_L_0551.jpg</v>
      </c>
      <c r="H890" s="92">
        <v>4</v>
      </c>
      <c r="J890" s="79">
        <f>IF(G890="","X",_xlfn.XLOOKUP(B890,DATA_Moresby_2024_ALL!B:B,DATA_Moresby_2024_ALL!K:K,""))</f>
        <v>1</v>
      </c>
      <c r="K890" s="28"/>
      <c r="L890" s="29"/>
      <c r="M890" s="28"/>
      <c r="N890" s="19">
        <f t="shared" si="45"/>
        <v>4</v>
      </c>
      <c r="O890" s="19">
        <f t="shared" si="43"/>
        <v>4</v>
      </c>
      <c r="P890" s="19">
        <f t="shared" si="43"/>
        <v>4</v>
      </c>
      <c r="Q890" s="19">
        <f t="shared" si="43"/>
        <v>4</v>
      </c>
      <c r="X890" s="92" t="s">
        <v>78</v>
      </c>
      <c r="Y890" s="92" t="s">
        <v>78</v>
      </c>
      <c r="Z890" s="92" t="s">
        <v>78</v>
      </c>
    </row>
    <row r="891" spans="1:26" ht="16" hidden="1" x14ac:dyDescent="0.4">
      <c r="A891" s="92">
        <v>4439</v>
      </c>
      <c r="B891" s="92">
        <v>4440</v>
      </c>
      <c r="E891" s="92">
        <v>50</v>
      </c>
      <c r="F891" s="92" t="str">
        <f>_xlfn.XLOOKUP(B891, DATA_Moresby_2024_ALL!B:B, DATA_Moresby_2024_ALL!G:G, "")</f>
        <v>4440_20240611_0005_L_0567.jpg</v>
      </c>
      <c r="G891" s="93" t="str">
        <f t="shared" si="46"/>
        <v>4440_20240611_0005_L_0567.jpg</v>
      </c>
      <c r="H891" s="92">
        <v>4</v>
      </c>
      <c r="J891" s="79">
        <f>IF(G891="","X",_xlfn.XLOOKUP(B891,DATA_Moresby_2024_ALL!B:B,DATA_Moresby_2024_ALL!K:K,""))</f>
        <v>1</v>
      </c>
      <c r="K891" s="28"/>
      <c r="L891" s="29"/>
      <c r="M891" s="28"/>
      <c r="N891" s="19">
        <f t="shared" si="45"/>
        <v>4</v>
      </c>
      <c r="O891" s="19">
        <f t="shared" si="43"/>
        <v>4</v>
      </c>
      <c r="P891" s="19">
        <f t="shared" si="43"/>
        <v>4</v>
      </c>
      <c r="Q891" s="19">
        <f t="shared" si="43"/>
        <v>4</v>
      </c>
      <c r="X891" s="92" t="s">
        <v>78</v>
      </c>
      <c r="Y891" s="92" t="s">
        <v>78</v>
      </c>
      <c r="Z891" s="92" t="s">
        <v>78</v>
      </c>
    </row>
    <row r="892" spans="1:26" ht="16" hidden="1" x14ac:dyDescent="0.4">
      <c r="A892" s="92">
        <v>4444</v>
      </c>
      <c r="B892" s="92">
        <v>4445</v>
      </c>
      <c r="E892" s="92">
        <v>50</v>
      </c>
      <c r="F892" s="92" t="str">
        <f>_xlfn.XLOOKUP(B892, DATA_Moresby_2024_ALL!B:B, DATA_Moresby_2024_ALL!G:G, "")</f>
        <v>4445_20240611_0005_L_0580.jpg</v>
      </c>
      <c r="G892" s="93" t="str">
        <f t="shared" si="46"/>
        <v>4445_20240611_0005_L_0580.jpg</v>
      </c>
      <c r="H892" s="92">
        <v>4</v>
      </c>
      <c r="J892" s="79">
        <f>IF(G892="","X",_xlfn.XLOOKUP(B892,DATA_Moresby_2024_ALL!B:B,DATA_Moresby_2024_ALL!K:K,""))</f>
        <v>1</v>
      </c>
      <c r="K892" s="28"/>
      <c r="L892" s="29"/>
      <c r="M892" s="28"/>
      <c r="N892" s="19">
        <f t="shared" si="45"/>
        <v>4</v>
      </c>
      <c r="O892" s="19">
        <f t="shared" si="43"/>
        <v>4</v>
      </c>
      <c r="P892" s="19">
        <f t="shared" si="43"/>
        <v>4</v>
      </c>
      <c r="Q892" s="19">
        <f t="shared" si="43"/>
        <v>4</v>
      </c>
      <c r="X892" s="92" t="s">
        <v>78</v>
      </c>
      <c r="Y892" s="92" t="s">
        <v>78</v>
      </c>
      <c r="Z892" s="92" t="s">
        <v>78</v>
      </c>
    </row>
    <row r="893" spans="1:26" ht="16" hidden="1" x14ac:dyDescent="0.4">
      <c r="A893" s="92">
        <v>4449</v>
      </c>
      <c r="B893" s="92">
        <v>4450</v>
      </c>
      <c r="E893" s="92">
        <v>50</v>
      </c>
      <c r="F893" s="92" t="str">
        <f>_xlfn.XLOOKUP(B893, DATA_Moresby_2024_ALL!B:B, DATA_Moresby_2024_ALL!G:G, "")</f>
        <v>4450_20240611_0005_L_0593.jpg</v>
      </c>
      <c r="G893" s="93" t="str">
        <f t="shared" si="46"/>
        <v>4450_20240611_0005_L_0593.jpg</v>
      </c>
      <c r="H893" s="92">
        <v>4</v>
      </c>
      <c r="J893" s="79">
        <f>IF(G893="","X",_xlfn.XLOOKUP(B893,DATA_Moresby_2024_ALL!B:B,DATA_Moresby_2024_ALL!K:K,""))</f>
        <v>1</v>
      </c>
      <c r="K893" s="28"/>
      <c r="L893" s="29"/>
      <c r="M893" s="28"/>
      <c r="N893" s="19">
        <f t="shared" si="45"/>
        <v>4</v>
      </c>
      <c r="O893" s="19">
        <f t="shared" si="43"/>
        <v>4</v>
      </c>
      <c r="P893" s="19">
        <f t="shared" si="43"/>
        <v>4</v>
      </c>
      <c r="Q893" s="19">
        <f t="shared" si="43"/>
        <v>4</v>
      </c>
      <c r="X893" s="92" t="s">
        <v>78</v>
      </c>
      <c r="Y893" s="92" t="s">
        <v>78</v>
      </c>
      <c r="Z893" s="92" t="s">
        <v>78</v>
      </c>
    </row>
    <row r="894" spans="1:26" ht="16" hidden="1" x14ac:dyDescent="0.4">
      <c r="A894" s="92">
        <v>4454</v>
      </c>
      <c r="B894" s="92">
        <v>4455</v>
      </c>
      <c r="E894" s="92">
        <v>50</v>
      </c>
      <c r="F894" s="92" t="str">
        <f>_xlfn.XLOOKUP(B894, DATA_Moresby_2024_ALL!B:B, DATA_Moresby_2024_ALL!G:G, "")</f>
        <v>4455_20240611_0005_L_0609.jpg</v>
      </c>
      <c r="G894" s="93" t="str">
        <f t="shared" si="46"/>
        <v>4455_20240611_0005_L_0609.jpg</v>
      </c>
      <c r="H894" s="92">
        <v>4</v>
      </c>
      <c r="J894" s="79">
        <f>IF(G894="","X",_xlfn.XLOOKUP(B894,DATA_Moresby_2024_ALL!B:B,DATA_Moresby_2024_ALL!K:K,""))</f>
        <v>1</v>
      </c>
      <c r="K894" s="28"/>
      <c r="L894" s="29"/>
      <c r="M894" s="28"/>
      <c r="N894" s="19">
        <f t="shared" si="45"/>
        <v>4</v>
      </c>
      <c r="O894" s="19">
        <f t="shared" si="43"/>
        <v>4</v>
      </c>
      <c r="P894" s="19">
        <f t="shared" si="43"/>
        <v>4</v>
      </c>
      <c r="Q894" s="19">
        <f t="shared" si="43"/>
        <v>4</v>
      </c>
      <c r="X894" s="92" t="s">
        <v>78</v>
      </c>
      <c r="Y894" s="92" t="s">
        <v>78</v>
      </c>
      <c r="Z894" s="92" t="s">
        <v>78</v>
      </c>
    </row>
    <row r="895" spans="1:26" ht="16" hidden="1" x14ac:dyDescent="0.4">
      <c r="A895" s="92">
        <v>4459</v>
      </c>
      <c r="B895" s="92">
        <v>4460</v>
      </c>
      <c r="E895" s="92">
        <v>50</v>
      </c>
      <c r="F895" s="92" t="str">
        <f>_xlfn.XLOOKUP(B895, DATA_Moresby_2024_ALL!B:B, DATA_Moresby_2024_ALL!G:G, "")</f>
        <v>4460_20240611_0005_L_0624.jpg</v>
      </c>
      <c r="G895" s="93" t="str">
        <f t="shared" si="46"/>
        <v>4460_20240611_0005_L_0624.jpg</v>
      </c>
      <c r="H895" s="92">
        <v>4</v>
      </c>
      <c r="J895" s="79">
        <f>IF(G895="","X",_xlfn.XLOOKUP(B895,DATA_Moresby_2024_ALL!B:B,DATA_Moresby_2024_ALL!K:K,""))</f>
        <v>1</v>
      </c>
      <c r="K895" s="28"/>
      <c r="L895" s="29"/>
      <c r="M895" s="28"/>
      <c r="N895" s="19">
        <f t="shared" si="45"/>
        <v>4</v>
      </c>
      <c r="O895" s="19">
        <f t="shared" si="43"/>
        <v>4</v>
      </c>
      <c r="P895" s="19">
        <f t="shared" si="43"/>
        <v>4</v>
      </c>
      <c r="Q895" s="19">
        <f t="shared" si="43"/>
        <v>4</v>
      </c>
      <c r="X895" s="92" t="s">
        <v>78</v>
      </c>
      <c r="Y895" s="92" t="s">
        <v>78</v>
      </c>
      <c r="Z895" s="92" t="s">
        <v>78</v>
      </c>
    </row>
    <row r="896" spans="1:26" ht="16" hidden="1" x14ac:dyDescent="0.4">
      <c r="A896" s="92">
        <v>4464</v>
      </c>
      <c r="B896" s="92">
        <v>4465</v>
      </c>
      <c r="E896" s="92">
        <v>50</v>
      </c>
      <c r="F896" s="92" t="str">
        <f>_xlfn.XLOOKUP(B896, DATA_Moresby_2024_ALL!B:B, DATA_Moresby_2024_ALL!G:G, "")</f>
        <v>4465_20240611_0005_L_0640.jpg</v>
      </c>
      <c r="G896" s="93" t="str">
        <f t="shared" si="46"/>
        <v>4465_20240611_0005_L_0640.jpg</v>
      </c>
      <c r="H896" s="92">
        <v>4</v>
      </c>
      <c r="J896" s="79">
        <f>IF(G896="","X",_xlfn.XLOOKUP(B896,DATA_Moresby_2024_ALL!B:B,DATA_Moresby_2024_ALL!K:K,""))</f>
        <v>1</v>
      </c>
      <c r="K896" s="28"/>
      <c r="L896" s="29"/>
      <c r="M896" s="28"/>
      <c r="N896" s="19">
        <f t="shared" si="45"/>
        <v>4</v>
      </c>
      <c r="O896" s="19">
        <f t="shared" si="43"/>
        <v>4</v>
      </c>
      <c r="P896" s="19">
        <f t="shared" si="43"/>
        <v>4</v>
      </c>
      <c r="Q896" s="19">
        <f t="shared" si="43"/>
        <v>4</v>
      </c>
      <c r="X896" s="92" t="s">
        <v>78</v>
      </c>
      <c r="Y896" s="92" t="s">
        <v>78</v>
      </c>
      <c r="Z896" s="92" t="s">
        <v>78</v>
      </c>
    </row>
    <row r="897" spans="1:26" ht="16" hidden="1" x14ac:dyDescent="0.4">
      <c r="A897" s="92">
        <v>4469</v>
      </c>
      <c r="B897" s="92">
        <v>4470</v>
      </c>
      <c r="E897" s="92">
        <v>50</v>
      </c>
      <c r="F897" s="92" t="str">
        <f>_xlfn.XLOOKUP(B897, DATA_Moresby_2024_ALL!B:B, DATA_Moresby_2024_ALL!G:G, "")</f>
        <v>4470_20240611_0005_L_0655.jpg</v>
      </c>
      <c r="G897" s="93" t="str">
        <f t="shared" si="46"/>
        <v>4470_20240611_0005_L_0655.jpg</v>
      </c>
      <c r="H897" s="92">
        <v>4</v>
      </c>
      <c r="J897" s="79">
        <f>IF(G897="","X",_xlfn.XLOOKUP(B897,DATA_Moresby_2024_ALL!B:B,DATA_Moresby_2024_ALL!K:K,""))</f>
        <v>1</v>
      </c>
      <c r="K897" s="28"/>
      <c r="L897" s="29"/>
      <c r="M897" s="28"/>
      <c r="N897" s="19">
        <f t="shared" si="45"/>
        <v>4</v>
      </c>
      <c r="O897" s="19">
        <f t="shared" si="43"/>
        <v>4</v>
      </c>
      <c r="P897" s="19">
        <f t="shared" si="43"/>
        <v>4</v>
      </c>
      <c r="Q897" s="19">
        <f t="shared" si="43"/>
        <v>4</v>
      </c>
      <c r="X897" s="92" t="s">
        <v>78</v>
      </c>
      <c r="Y897" s="92" t="s">
        <v>78</v>
      </c>
      <c r="Z897" s="92" t="s">
        <v>78</v>
      </c>
    </row>
    <row r="898" spans="1:26" ht="16" hidden="1" x14ac:dyDescent="0.4">
      <c r="A898" s="92">
        <v>4474</v>
      </c>
      <c r="B898" s="92">
        <v>4475</v>
      </c>
      <c r="E898" s="92">
        <v>50</v>
      </c>
      <c r="F898" s="92" t="str">
        <f>_xlfn.XLOOKUP(B898, DATA_Moresby_2024_ALL!B:B, DATA_Moresby_2024_ALL!G:G, "")</f>
        <v>4475_20240611_0006_L_0022.jpg</v>
      </c>
      <c r="G898" s="93" t="str">
        <f t="shared" si="46"/>
        <v>4475_20240611_0006_L_0022.jpg</v>
      </c>
      <c r="H898" s="92">
        <v>4</v>
      </c>
      <c r="J898" s="79">
        <f>IF(G898="","X",_xlfn.XLOOKUP(B898,DATA_Moresby_2024_ALL!B:B,DATA_Moresby_2024_ALL!K:K,""))</f>
        <v>1</v>
      </c>
      <c r="K898" s="28"/>
      <c r="L898" s="29"/>
      <c r="M898" s="28"/>
      <c r="N898" s="19">
        <f t="shared" si="45"/>
        <v>4</v>
      </c>
      <c r="O898" s="19">
        <f t="shared" si="43"/>
        <v>4</v>
      </c>
      <c r="P898" s="19">
        <f t="shared" si="43"/>
        <v>4</v>
      </c>
      <c r="Q898" s="19">
        <f t="shared" si="43"/>
        <v>4</v>
      </c>
      <c r="X898" s="92" t="s">
        <v>78</v>
      </c>
      <c r="Y898" s="92" t="s">
        <v>78</v>
      </c>
      <c r="Z898" s="92" t="s">
        <v>78</v>
      </c>
    </row>
    <row r="899" spans="1:26" ht="16" hidden="1" x14ac:dyDescent="0.4">
      <c r="A899" s="92">
        <v>4479</v>
      </c>
      <c r="B899" s="92">
        <v>4480</v>
      </c>
      <c r="E899" s="92">
        <v>50</v>
      </c>
      <c r="F899" s="92" t="str">
        <f>_xlfn.XLOOKUP(B899, DATA_Moresby_2024_ALL!B:B, DATA_Moresby_2024_ALL!G:G, "")</f>
        <v>4480_20240611_0006_L_0043.jpg</v>
      </c>
      <c r="G899" s="93" t="str">
        <f t="shared" si="46"/>
        <v>4480_20240611_0006_L_0043.jpg</v>
      </c>
      <c r="H899" s="92">
        <v>4</v>
      </c>
      <c r="J899" s="79">
        <f>IF(G899="","X",_xlfn.XLOOKUP(B899,DATA_Moresby_2024_ALL!B:B,DATA_Moresby_2024_ALL!K:K,""))</f>
        <v>1</v>
      </c>
      <c r="K899" s="28"/>
      <c r="L899" s="29"/>
      <c r="M899" s="28"/>
      <c r="N899" s="19">
        <f t="shared" si="45"/>
        <v>4</v>
      </c>
      <c r="O899" s="19">
        <f t="shared" si="43"/>
        <v>4</v>
      </c>
      <c r="P899" s="19">
        <f t="shared" si="43"/>
        <v>4</v>
      </c>
      <c r="Q899" s="19">
        <f t="shared" si="43"/>
        <v>4</v>
      </c>
      <c r="X899" s="92" t="s">
        <v>78</v>
      </c>
      <c r="Y899" s="92" t="s">
        <v>78</v>
      </c>
      <c r="Z899" s="92" t="s">
        <v>78</v>
      </c>
    </row>
    <row r="900" spans="1:26" ht="16" hidden="1" x14ac:dyDescent="0.4">
      <c r="A900" s="92">
        <v>4484</v>
      </c>
      <c r="B900" s="92">
        <v>4485</v>
      </c>
      <c r="E900" s="92">
        <v>50</v>
      </c>
      <c r="F900" s="92" t="str">
        <f>_xlfn.XLOOKUP(B900, DATA_Moresby_2024_ALL!B:B, DATA_Moresby_2024_ALL!G:G, "")</f>
        <v>4485_20240611_0006_L_0065.jpg</v>
      </c>
      <c r="G900" s="93" t="str">
        <f t="shared" si="46"/>
        <v>4485_20240611_0006_L_0065.jpg</v>
      </c>
      <c r="H900" s="92">
        <v>4</v>
      </c>
      <c r="J900" s="79">
        <f>IF(G900="","X",_xlfn.XLOOKUP(B900,DATA_Moresby_2024_ALL!B:B,DATA_Moresby_2024_ALL!K:K,""))</f>
        <v>1</v>
      </c>
      <c r="K900" s="28"/>
      <c r="L900" s="29"/>
      <c r="M900" s="28"/>
      <c r="N900" s="19">
        <f t="shared" si="45"/>
        <v>4</v>
      </c>
      <c r="O900" s="19">
        <f t="shared" si="43"/>
        <v>4</v>
      </c>
      <c r="P900" s="19">
        <f t="shared" si="43"/>
        <v>4</v>
      </c>
      <c r="Q900" s="19">
        <f t="shared" si="43"/>
        <v>4</v>
      </c>
      <c r="X900" s="92" t="s">
        <v>78</v>
      </c>
      <c r="Y900" s="92" t="s">
        <v>78</v>
      </c>
      <c r="Z900" s="92" t="s">
        <v>78</v>
      </c>
    </row>
    <row r="901" spans="1:26" ht="16" hidden="1" x14ac:dyDescent="0.4">
      <c r="A901" s="92">
        <v>4489</v>
      </c>
      <c r="B901" s="92">
        <v>4490</v>
      </c>
      <c r="E901" s="92">
        <v>50</v>
      </c>
      <c r="F901" s="92" t="str">
        <f>_xlfn.XLOOKUP(B901, DATA_Moresby_2024_ALL!B:B, DATA_Moresby_2024_ALL!G:G, "")</f>
        <v>4490_20240611_0006_L_0085.jpg</v>
      </c>
      <c r="G901" s="93" t="str">
        <f t="shared" si="46"/>
        <v>4490_20240611_0006_L_0085.jpg</v>
      </c>
      <c r="H901" s="92">
        <v>4</v>
      </c>
      <c r="J901" s="79">
        <f>IF(G901="","X",_xlfn.XLOOKUP(B901,DATA_Moresby_2024_ALL!B:B,DATA_Moresby_2024_ALL!K:K,""))</f>
        <v>1</v>
      </c>
      <c r="K901" s="28"/>
      <c r="L901" s="29"/>
      <c r="M901" s="28"/>
      <c r="N901" s="19">
        <f t="shared" si="45"/>
        <v>4</v>
      </c>
      <c r="O901" s="19">
        <f t="shared" si="43"/>
        <v>4</v>
      </c>
      <c r="P901" s="19">
        <f t="shared" si="43"/>
        <v>4</v>
      </c>
      <c r="Q901" s="19">
        <f t="shared" si="43"/>
        <v>4</v>
      </c>
      <c r="X901" s="92" t="s">
        <v>78</v>
      </c>
      <c r="Y901" s="92" t="s">
        <v>78</v>
      </c>
      <c r="Z901" s="92" t="s">
        <v>78</v>
      </c>
    </row>
    <row r="902" spans="1:26" ht="16" hidden="1" x14ac:dyDescent="0.4">
      <c r="A902" s="92">
        <v>4494</v>
      </c>
      <c r="B902" s="92">
        <v>4495</v>
      </c>
      <c r="E902" s="92">
        <v>50</v>
      </c>
      <c r="F902" s="92" t="str">
        <f>_xlfn.XLOOKUP(B902, DATA_Moresby_2024_ALL!B:B, DATA_Moresby_2024_ALL!G:G, "")</f>
        <v>4495_20240611_0006_L_0106.jpg</v>
      </c>
      <c r="G902" s="93" t="str">
        <f t="shared" si="46"/>
        <v>4495_20240611_0006_L_0106.jpg</v>
      </c>
      <c r="H902" s="92">
        <v>4</v>
      </c>
      <c r="J902" s="79">
        <f>IF(G902="","X",_xlfn.XLOOKUP(B902,DATA_Moresby_2024_ALL!B:B,DATA_Moresby_2024_ALL!K:K,""))</f>
        <v>1</v>
      </c>
      <c r="K902" s="28"/>
      <c r="L902" s="29"/>
      <c r="M902" s="28"/>
      <c r="N902" s="19">
        <f t="shared" si="45"/>
        <v>4</v>
      </c>
      <c r="O902" s="19">
        <f t="shared" si="43"/>
        <v>4</v>
      </c>
      <c r="P902" s="19">
        <f t="shared" si="43"/>
        <v>4</v>
      </c>
      <c r="Q902" s="19">
        <f t="shared" si="43"/>
        <v>4</v>
      </c>
      <c r="X902" s="92" t="s">
        <v>78</v>
      </c>
      <c r="Y902" s="92" t="s">
        <v>78</v>
      </c>
      <c r="Z902" s="92" t="s">
        <v>78</v>
      </c>
    </row>
    <row r="903" spans="1:26" ht="16" hidden="1" x14ac:dyDescent="0.4">
      <c r="A903" s="92">
        <v>4499</v>
      </c>
      <c r="B903" s="92">
        <v>4500</v>
      </c>
      <c r="E903" s="92">
        <v>50</v>
      </c>
      <c r="F903" s="92" t="str">
        <f>_xlfn.XLOOKUP(B903, DATA_Moresby_2024_ALL!B:B, DATA_Moresby_2024_ALL!G:G, "")</f>
        <v>4500_20240611_0006_L_0128.jpg</v>
      </c>
      <c r="G903" s="93" t="str">
        <f t="shared" si="46"/>
        <v>4500_20240611_0006_L_0128.jpg</v>
      </c>
      <c r="H903" s="92">
        <v>4</v>
      </c>
      <c r="J903" s="79">
        <f>IF(G903="","X",_xlfn.XLOOKUP(B903,DATA_Moresby_2024_ALL!B:B,DATA_Moresby_2024_ALL!K:K,""))</f>
        <v>1</v>
      </c>
      <c r="K903" s="28"/>
      <c r="L903" s="29"/>
      <c r="M903" s="28"/>
      <c r="N903" s="19">
        <f t="shared" si="45"/>
        <v>4</v>
      </c>
      <c r="O903" s="19">
        <f t="shared" si="43"/>
        <v>4</v>
      </c>
      <c r="P903" s="19">
        <f t="shared" si="43"/>
        <v>4</v>
      </c>
      <c r="Q903" s="19">
        <f t="shared" si="43"/>
        <v>4</v>
      </c>
      <c r="X903" s="92" t="s">
        <v>78</v>
      </c>
      <c r="Y903" s="92" t="s">
        <v>78</v>
      </c>
      <c r="Z903" s="92" t="s">
        <v>78</v>
      </c>
    </row>
    <row r="904" spans="1:26" ht="16" hidden="1" x14ac:dyDescent="0.4">
      <c r="A904" s="92">
        <v>4504</v>
      </c>
      <c r="B904" s="92">
        <v>4505</v>
      </c>
      <c r="E904" s="92">
        <v>50</v>
      </c>
      <c r="F904" s="92" t="str">
        <f>_xlfn.XLOOKUP(B904, DATA_Moresby_2024_ALL!B:B, DATA_Moresby_2024_ALL!G:G, "")</f>
        <v>4505_20240611_0006_L_0151.jpg</v>
      </c>
      <c r="G904" s="93" t="str">
        <f t="shared" si="46"/>
        <v>4505_20240611_0006_L_0151.jpg</v>
      </c>
      <c r="H904" s="92">
        <v>4</v>
      </c>
      <c r="J904" s="79">
        <f>IF(G904="","X",_xlfn.XLOOKUP(B904,DATA_Moresby_2024_ALL!B:B,DATA_Moresby_2024_ALL!K:K,""))</f>
        <v>1</v>
      </c>
      <c r="K904" s="28"/>
      <c r="L904" s="29"/>
      <c r="M904" s="28"/>
      <c r="N904" s="19">
        <f t="shared" si="45"/>
        <v>4</v>
      </c>
      <c r="O904" s="19">
        <f t="shared" si="43"/>
        <v>4</v>
      </c>
      <c r="P904" s="19">
        <f t="shared" si="43"/>
        <v>4</v>
      </c>
      <c r="Q904" s="19">
        <v>3</v>
      </c>
      <c r="X904" s="92" t="s">
        <v>78</v>
      </c>
      <c r="Y904" s="92" t="s">
        <v>78</v>
      </c>
      <c r="Z904" s="92" t="s">
        <v>78</v>
      </c>
    </row>
    <row r="905" spans="1:26" ht="16" hidden="1" x14ac:dyDescent="0.4">
      <c r="A905" s="92">
        <v>4509</v>
      </c>
      <c r="B905" s="92">
        <v>4510</v>
      </c>
      <c r="E905" s="92">
        <v>50</v>
      </c>
      <c r="F905" s="92" t="str">
        <f>_xlfn.XLOOKUP(B905, DATA_Moresby_2024_ALL!B:B, DATA_Moresby_2024_ALL!G:G, "")</f>
        <v>4510_20240611_0006_L_0172.jpg</v>
      </c>
      <c r="G905" s="93" t="str">
        <f t="shared" si="46"/>
        <v>4510_20240611_0006_L_0172.jpg</v>
      </c>
      <c r="H905" s="92">
        <v>4</v>
      </c>
      <c r="J905" s="79">
        <f>IF(G905="","X",_xlfn.XLOOKUP(B905,DATA_Moresby_2024_ALL!B:B,DATA_Moresby_2024_ALL!K:K,""))</f>
        <v>1</v>
      </c>
      <c r="K905" s="28"/>
      <c r="L905" s="29"/>
      <c r="M905" s="28"/>
      <c r="N905" s="19">
        <f t="shared" si="45"/>
        <v>4</v>
      </c>
      <c r="O905" s="19">
        <f t="shared" si="43"/>
        <v>4</v>
      </c>
      <c r="P905" s="19">
        <f t="shared" si="43"/>
        <v>4</v>
      </c>
      <c r="Q905" s="19">
        <v>3</v>
      </c>
      <c r="X905" s="92" t="s">
        <v>78</v>
      </c>
      <c r="Y905" s="92" t="s">
        <v>78</v>
      </c>
      <c r="Z905" s="92" t="s">
        <v>78</v>
      </c>
    </row>
    <row r="906" spans="1:26" ht="16" hidden="1" x14ac:dyDescent="0.4">
      <c r="A906" s="92">
        <v>4514</v>
      </c>
      <c r="B906" s="92">
        <v>4515</v>
      </c>
      <c r="E906" s="92">
        <v>50</v>
      </c>
      <c r="F906" s="92" t="str">
        <f>_xlfn.XLOOKUP(B906, DATA_Moresby_2024_ALL!B:B, DATA_Moresby_2024_ALL!G:G, "")</f>
        <v>4515_20240611_0006_L_0193.jpg</v>
      </c>
      <c r="G906" s="93" t="str">
        <f t="shared" si="46"/>
        <v>4515_20240611_0006_L_0193.jpg</v>
      </c>
      <c r="H906" s="92">
        <v>4</v>
      </c>
      <c r="J906" s="79">
        <f>IF(G906="","X",_xlfn.XLOOKUP(B906,DATA_Moresby_2024_ALL!B:B,DATA_Moresby_2024_ALL!K:K,""))</f>
        <v>1</v>
      </c>
      <c r="K906" s="28"/>
      <c r="L906" s="29"/>
      <c r="M906" s="28"/>
      <c r="N906" s="19">
        <f t="shared" si="45"/>
        <v>4</v>
      </c>
      <c r="O906" s="19">
        <f t="shared" si="43"/>
        <v>4</v>
      </c>
      <c r="P906" s="19">
        <f t="shared" si="43"/>
        <v>4</v>
      </c>
      <c r="Q906" s="19">
        <v>3</v>
      </c>
      <c r="X906" s="92" t="s">
        <v>78</v>
      </c>
      <c r="Y906" s="92" t="s">
        <v>78</v>
      </c>
      <c r="Z906" s="92" t="s">
        <v>78</v>
      </c>
    </row>
    <row r="907" spans="1:26" ht="16" hidden="1" x14ac:dyDescent="0.4">
      <c r="A907" s="92">
        <v>4519</v>
      </c>
      <c r="B907" s="92">
        <v>4520</v>
      </c>
      <c r="E907" s="92">
        <v>50</v>
      </c>
      <c r="F907" s="92" t="str">
        <f>_xlfn.XLOOKUP(B907, DATA_Moresby_2024_ALL!B:B, DATA_Moresby_2024_ALL!G:G, "")</f>
        <v>4520_20240611_0006_L_0212.jpg</v>
      </c>
      <c r="G907" s="93" t="str">
        <f t="shared" si="46"/>
        <v>4520_20240611_0006_L_0212.jpg</v>
      </c>
      <c r="H907" s="92">
        <v>4</v>
      </c>
      <c r="J907" s="79">
        <f>IF(G907="","X",_xlfn.XLOOKUP(B907,DATA_Moresby_2024_ALL!B:B,DATA_Moresby_2024_ALL!K:K,""))</f>
        <v>1</v>
      </c>
      <c r="K907" s="28"/>
      <c r="L907" s="29"/>
      <c r="M907" s="28"/>
      <c r="N907" s="19">
        <v>4</v>
      </c>
      <c r="O907" s="19">
        <v>3</v>
      </c>
      <c r="P907" s="19">
        <f t="shared" si="43"/>
        <v>4</v>
      </c>
      <c r="Q907" s="19">
        <v>3</v>
      </c>
      <c r="X907" s="92" t="s">
        <v>78</v>
      </c>
      <c r="Y907" s="92" t="s">
        <v>78</v>
      </c>
      <c r="Z907" s="92" t="s">
        <v>78</v>
      </c>
    </row>
    <row r="908" spans="1:26" ht="16" hidden="1" x14ac:dyDescent="0.4">
      <c r="A908" s="92">
        <v>4524</v>
      </c>
      <c r="B908" s="92">
        <v>4525</v>
      </c>
      <c r="E908" s="92">
        <v>50</v>
      </c>
      <c r="F908" s="92" t="str">
        <f>_xlfn.XLOOKUP(B908, DATA_Moresby_2024_ALL!B:B, DATA_Moresby_2024_ALL!G:G, "")</f>
        <v>4525_20240611_0006_L_0231.jpg</v>
      </c>
      <c r="G908" s="93" t="str">
        <f t="shared" si="46"/>
        <v>4525_20240611_0006_L_0231.jpg</v>
      </c>
      <c r="H908" s="92">
        <v>4</v>
      </c>
      <c r="J908" s="79">
        <f>IF(G908="","X",_xlfn.XLOOKUP(B908,DATA_Moresby_2024_ALL!B:B,DATA_Moresby_2024_ALL!K:K,""))</f>
        <v>1</v>
      </c>
      <c r="K908" s="28"/>
      <c r="L908" s="29"/>
      <c r="M908" s="28"/>
      <c r="N908" s="19">
        <f t="shared" si="45"/>
        <v>4</v>
      </c>
      <c r="O908" s="19">
        <f t="shared" si="43"/>
        <v>4</v>
      </c>
      <c r="P908" s="19">
        <f t="shared" si="43"/>
        <v>4</v>
      </c>
      <c r="Q908" s="19">
        <v>3</v>
      </c>
      <c r="X908" s="92" t="s">
        <v>78</v>
      </c>
      <c r="Y908" s="92" t="s">
        <v>78</v>
      </c>
      <c r="Z908" s="92" t="s">
        <v>78</v>
      </c>
    </row>
    <row r="909" spans="1:26" ht="16" hidden="1" x14ac:dyDescent="0.4">
      <c r="A909" s="92">
        <v>4529</v>
      </c>
      <c r="B909" s="92">
        <v>4530</v>
      </c>
      <c r="E909" s="92">
        <v>50</v>
      </c>
      <c r="F909" s="92" t="str">
        <f>_xlfn.XLOOKUP(B909, DATA_Moresby_2024_ALL!B:B, DATA_Moresby_2024_ALL!G:G, "")</f>
        <v>4530_20240611_0006_L_0249.jpg</v>
      </c>
      <c r="G909" s="93" t="str">
        <f t="shared" si="46"/>
        <v>4530_20240611_0006_L_0249.jpg</v>
      </c>
      <c r="H909" s="92">
        <v>4</v>
      </c>
      <c r="J909" s="79">
        <f>IF(G909="","X",_xlfn.XLOOKUP(B909,DATA_Moresby_2024_ALL!B:B,DATA_Moresby_2024_ALL!K:K,""))</f>
        <v>1</v>
      </c>
      <c r="K909" s="28"/>
      <c r="L909" s="29"/>
      <c r="M909" s="28"/>
      <c r="N909" s="19">
        <v>3</v>
      </c>
      <c r="O909" s="19">
        <f t="shared" si="43"/>
        <v>4</v>
      </c>
      <c r="P909" s="19">
        <f t="shared" si="43"/>
        <v>4</v>
      </c>
      <c r="Q909" s="19">
        <v>3</v>
      </c>
      <c r="X909" s="92" t="s">
        <v>78</v>
      </c>
      <c r="Y909" s="92" t="s">
        <v>78</v>
      </c>
      <c r="Z909" s="92" t="s">
        <v>78</v>
      </c>
    </row>
    <row r="910" spans="1:26" ht="16" hidden="1" x14ac:dyDescent="0.4">
      <c r="A910" s="92">
        <v>4534</v>
      </c>
      <c r="B910" s="92">
        <v>4535</v>
      </c>
      <c r="E910" s="92">
        <v>50</v>
      </c>
      <c r="F910" s="92" t="str">
        <f>_xlfn.XLOOKUP(B910, DATA_Moresby_2024_ALL!B:B, DATA_Moresby_2024_ALL!G:G, "")</f>
        <v>4535_20240611_0006_L_0267.jpg</v>
      </c>
      <c r="G910" s="93" t="str">
        <f t="shared" ref="G910:G927" si="47">HYPERLINK("D:\Data From Lucan\2024\Moresby\Frames_for_Analysis_50\" &amp; F910,F910)</f>
        <v>4535_20240611_0006_L_0267.jpg</v>
      </c>
      <c r="H910" s="92">
        <v>4</v>
      </c>
      <c r="J910" s="79">
        <f>IF(G910="","X",_xlfn.XLOOKUP(B910,DATA_Moresby_2024_ALL!B:B,DATA_Moresby_2024_ALL!K:K,""))</f>
        <v>1</v>
      </c>
      <c r="K910" s="28"/>
      <c r="L910" s="29"/>
      <c r="M910" s="28"/>
      <c r="N910" s="19">
        <f t="shared" si="45"/>
        <v>4</v>
      </c>
      <c r="O910" s="19">
        <f t="shared" si="43"/>
        <v>4</v>
      </c>
      <c r="P910" s="19">
        <f t="shared" si="43"/>
        <v>4</v>
      </c>
      <c r="Q910" s="19">
        <v>3</v>
      </c>
      <c r="X910" s="92" t="s">
        <v>78</v>
      </c>
      <c r="Y910" s="92" t="s">
        <v>78</v>
      </c>
      <c r="Z910" s="92" t="s">
        <v>78</v>
      </c>
    </row>
    <row r="911" spans="1:26" ht="16" hidden="1" x14ac:dyDescent="0.4">
      <c r="A911" s="92">
        <v>4539</v>
      </c>
      <c r="B911" s="92">
        <v>4540</v>
      </c>
      <c r="E911" s="92">
        <v>50</v>
      </c>
      <c r="F911" s="92" t="str">
        <f>_xlfn.XLOOKUP(B911, DATA_Moresby_2024_ALL!B:B, DATA_Moresby_2024_ALL!G:G, "")</f>
        <v>4540_20240611_0006_L_0283.jpg</v>
      </c>
      <c r="G911" s="93" t="str">
        <f t="shared" si="47"/>
        <v>4540_20240611_0006_L_0283.jpg</v>
      </c>
      <c r="H911" s="92">
        <v>4</v>
      </c>
      <c r="J911" s="79">
        <f>IF(G911="","X",_xlfn.XLOOKUP(B911,DATA_Moresby_2024_ALL!B:B,DATA_Moresby_2024_ALL!K:K,""))</f>
        <v>1</v>
      </c>
      <c r="K911" s="28"/>
      <c r="L911" s="29"/>
      <c r="M911" s="28"/>
      <c r="N911" s="19">
        <f t="shared" si="45"/>
        <v>4</v>
      </c>
      <c r="O911" s="19">
        <f t="shared" si="43"/>
        <v>4</v>
      </c>
      <c r="P911" s="19">
        <f t="shared" si="43"/>
        <v>4</v>
      </c>
      <c r="Q911" s="19">
        <v>3</v>
      </c>
      <c r="X911" s="92" t="s">
        <v>78</v>
      </c>
      <c r="Y911" s="92" t="s">
        <v>78</v>
      </c>
      <c r="Z911" s="92" t="s">
        <v>78</v>
      </c>
    </row>
    <row r="912" spans="1:26" ht="16" hidden="1" x14ac:dyDescent="0.4">
      <c r="A912" s="92">
        <v>4544</v>
      </c>
      <c r="B912" s="92">
        <v>4545</v>
      </c>
      <c r="E912" s="92">
        <v>50</v>
      </c>
      <c r="F912" s="92" t="str">
        <f>_xlfn.XLOOKUP(B912, DATA_Moresby_2024_ALL!B:B, DATA_Moresby_2024_ALL!G:G, "")</f>
        <v>4545_20240611_0006_L_0301.jpg</v>
      </c>
      <c r="G912" s="93" t="str">
        <f t="shared" si="47"/>
        <v>4545_20240611_0006_L_0301.jpg</v>
      </c>
      <c r="H912" s="92">
        <v>4</v>
      </c>
      <c r="J912" s="79">
        <f>IF(G912="","X",_xlfn.XLOOKUP(B912,DATA_Moresby_2024_ALL!B:B,DATA_Moresby_2024_ALL!K:K,""))</f>
        <v>1</v>
      </c>
      <c r="K912" s="28"/>
      <c r="L912" s="29"/>
      <c r="M912" s="28"/>
      <c r="N912" s="19">
        <f t="shared" si="45"/>
        <v>4</v>
      </c>
      <c r="O912" s="19">
        <f t="shared" si="43"/>
        <v>4</v>
      </c>
      <c r="P912" s="19">
        <f t="shared" si="43"/>
        <v>4</v>
      </c>
      <c r="Q912" s="19">
        <v>3</v>
      </c>
      <c r="X912" s="92" t="s">
        <v>78</v>
      </c>
      <c r="Y912" s="92" t="s">
        <v>78</v>
      </c>
      <c r="Z912" s="92" t="s">
        <v>78</v>
      </c>
    </row>
    <row r="913" spans="1:26" ht="16" hidden="1" x14ac:dyDescent="0.4">
      <c r="A913" s="92">
        <v>4549</v>
      </c>
      <c r="B913" s="92">
        <v>4550</v>
      </c>
      <c r="E913" s="92">
        <v>50</v>
      </c>
      <c r="F913" s="92" t="str">
        <f>_xlfn.XLOOKUP(B913, DATA_Moresby_2024_ALL!B:B, DATA_Moresby_2024_ALL!G:G, "")</f>
        <v>4550_20240611_0006_L_0321.jpg</v>
      </c>
      <c r="G913" s="93" t="str">
        <f t="shared" si="47"/>
        <v>4550_20240611_0006_L_0321.jpg</v>
      </c>
      <c r="H913" s="92">
        <v>4</v>
      </c>
      <c r="J913" s="79">
        <f>IF(G913="","X",_xlfn.XLOOKUP(B913,DATA_Moresby_2024_ALL!B:B,DATA_Moresby_2024_ALL!K:K,""))</f>
        <v>1</v>
      </c>
      <c r="K913" s="28"/>
      <c r="L913" s="29"/>
      <c r="M913" s="28"/>
      <c r="N913" s="19">
        <f t="shared" si="45"/>
        <v>4</v>
      </c>
      <c r="O913" s="19">
        <f t="shared" si="43"/>
        <v>4</v>
      </c>
      <c r="P913" s="19">
        <f t="shared" si="43"/>
        <v>4</v>
      </c>
      <c r="Q913" s="19">
        <v>3</v>
      </c>
      <c r="X913" s="92" t="s">
        <v>78</v>
      </c>
      <c r="Y913" s="92" t="s">
        <v>78</v>
      </c>
      <c r="Z913" s="92" t="s">
        <v>78</v>
      </c>
    </row>
    <row r="914" spans="1:26" ht="16" hidden="1" x14ac:dyDescent="0.4">
      <c r="A914" s="92">
        <v>4554</v>
      </c>
      <c r="B914" s="92">
        <v>4555</v>
      </c>
      <c r="E914" s="92">
        <v>50</v>
      </c>
      <c r="F914" s="92" t="str">
        <f>_xlfn.XLOOKUP(B914, DATA_Moresby_2024_ALL!B:B, DATA_Moresby_2024_ALL!G:G, "")</f>
        <v>4555_20240611_0006_L_0342.jpg</v>
      </c>
      <c r="G914" s="93" t="str">
        <f t="shared" si="47"/>
        <v>4555_20240611_0006_L_0342.jpg</v>
      </c>
      <c r="H914" s="92">
        <v>4</v>
      </c>
      <c r="J914" s="79">
        <f>IF(G914="","X",_xlfn.XLOOKUP(B914,DATA_Moresby_2024_ALL!B:B,DATA_Moresby_2024_ALL!K:K,""))</f>
        <v>1</v>
      </c>
      <c r="K914" s="28"/>
      <c r="L914" s="29"/>
      <c r="M914" s="28"/>
      <c r="N914" s="19">
        <f t="shared" si="45"/>
        <v>4</v>
      </c>
      <c r="O914" s="19">
        <f t="shared" si="43"/>
        <v>4</v>
      </c>
      <c r="P914" s="19">
        <f t="shared" si="43"/>
        <v>4</v>
      </c>
      <c r="Q914" s="19">
        <f t="shared" si="43"/>
        <v>4</v>
      </c>
      <c r="X914" s="92" t="s">
        <v>78</v>
      </c>
      <c r="Y914" s="92" t="s">
        <v>78</v>
      </c>
      <c r="Z914" s="92" t="s">
        <v>78</v>
      </c>
    </row>
    <row r="915" spans="1:26" ht="16" hidden="1" x14ac:dyDescent="0.4">
      <c r="A915" s="92">
        <v>4559</v>
      </c>
      <c r="B915" s="92">
        <v>4560</v>
      </c>
      <c r="E915" s="92">
        <v>50</v>
      </c>
      <c r="F915" s="92" t="str">
        <f>_xlfn.XLOOKUP(B915, DATA_Moresby_2024_ALL!B:B, DATA_Moresby_2024_ALL!G:G, "")</f>
        <v>4560_20240611_0006_L_0361.jpg</v>
      </c>
      <c r="G915" s="93" t="str">
        <f t="shared" si="47"/>
        <v>4560_20240611_0006_L_0361.jpg</v>
      </c>
      <c r="H915" s="92">
        <v>4</v>
      </c>
      <c r="J915" s="79">
        <f>IF(G915="","X",_xlfn.XLOOKUP(B915,DATA_Moresby_2024_ALL!B:B,DATA_Moresby_2024_ALL!K:K,""))</f>
        <v>1</v>
      </c>
      <c r="K915" s="28"/>
      <c r="L915" s="29"/>
      <c r="M915" s="28"/>
      <c r="N915" s="19">
        <f t="shared" si="45"/>
        <v>4</v>
      </c>
      <c r="O915" s="19">
        <f t="shared" si="43"/>
        <v>4</v>
      </c>
      <c r="P915" s="19">
        <f t="shared" si="43"/>
        <v>4</v>
      </c>
      <c r="Q915" s="19">
        <f t="shared" si="43"/>
        <v>4</v>
      </c>
      <c r="X915" s="92" t="s">
        <v>78</v>
      </c>
      <c r="Y915" s="92" t="s">
        <v>78</v>
      </c>
      <c r="Z915" s="92" t="s">
        <v>78</v>
      </c>
    </row>
    <row r="916" spans="1:26" ht="16" hidden="1" x14ac:dyDescent="0.4">
      <c r="A916" s="92">
        <v>4564</v>
      </c>
      <c r="B916" s="92">
        <v>4565</v>
      </c>
      <c r="E916" s="92">
        <v>50</v>
      </c>
      <c r="F916" s="92" t="str">
        <f>_xlfn.XLOOKUP(B916, DATA_Moresby_2024_ALL!B:B, DATA_Moresby_2024_ALL!G:G, "")</f>
        <v>4565_20240611_0006_L_0377.jpg</v>
      </c>
      <c r="G916" s="93" t="str">
        <f t="shared" si="47"/>
        <v>4565_20240611_0006_L_0377.jpg</v>
      </c>
      <c r="H916" s="92">
        <v>4</v>
      </c>
      <c r="J916" s="79">
        <f>IF(G916="","X",_xlfn.XLOOKUP(B916,DATA_Moresby_2024_ALL!B:B,DATA_Moresby_2024_ALL!K:K,""))</f>
        <v>1</v>
      </c>
      <c r="K916" s="28"/>
      <c r="L916" s="29"/>
      <c r="M916" s="28"/>
      <c r="N916" s="19">
        <f t="shared" si="45"/>
        <v>4</v>
      </c>
      <c r="O916" s="19">
        <f t="shared" si="43"/>
        <v>4</v>
      </c>
      <c r="P916" s="19">
        <f t="shared" si="43"/>
        <v>4</v>
      </c>
      <c r="Q916" s="19">
        <v>3</v>
      </c>
      <c r="X916" s="92" t="s">
        <v>78</v>
      </c>
      <c r="Y916" s="92" t="s">
        <v>78</v>
      </c>
      <c r="Z916" s="92" t="s">
        <v>78</v>
      </c>
    </row>
    <row r="917" spans="1:26" ht="16" hidden="1" x14ac:dyDescent="0.4">
      <c r="A917" s="92">
        <v>4569</v>
      </c>
      <c r="B917" s="92">
        <v>4570</v>
      </c>
      <c r="E917" s="92">
        <v>50</v>
      </c>
      <c r="F917" s="92" t="str">
        <f>_xlfn.XLOOKUP(B917, DATA_Moresby_2024_ALL!B:B, DATA_Moresby_2024_ALL!G:G, "")</f>
        <v>4570_20240611_0006_L_0391.jpg</v>
      </c>
      <c r="G917" s="93" t="str">
        <f t="shared" si="47"/>
        <v>4570_20240611_0006_L_0391.jpg</v>
      </c>
      <c r="H917" s="92">
        <v>4</v>
      </c>
      <c r="J917" s="79">
        <f>IF(G917="","X",_xlfn.XLOOKUP(B917,DATA_Moresby_2024_ALL!B:B,DATA_Moresby_2024_ALL!K:K,""))</f>
        <v>1</v>
      </c>
      <c r="K917" s="28"/>
      <c r="L917" s="29"/>
      <c r="M917" s="28"/>
      <c r="N917" s="19">
        <f t="shared" si="45"/>
        <v>4</v>
      </c>
      <c r="O917" s="19">
        <f t="shared" si="43"/>
        <v>4</v>
      </c>
      <c r="P917" s="19">
        <f t="shared" si="43"/>
        <v>4</v>
      </c>
      <c r="Q917" s="19">
        <v>2</v>
      </c>
      <c r="X917" s="92" t="s">
        <v>78</v>
      </c>
      <c r="Y917" s="92" t="s">
        <v>78</v>
      </c>
      <c r="Z917" s="92" t="s">
        <v>78</v>
      </c>
    </row>
    <row r="918" spans="1:26" ht="16" hidden="1" x14ac:dyDescent="0.4">
      <c r="A918" s="92">
        <v>4574</v>
      </c>
      <c r="B918" s="92">
        <v>4575</v>
      </c>
      <c r="E918" s="92">
        <v>50</v>
      </c>
      <c r="F918" s="92" t="str">
        <f>_xlfn.XLOOKUP(B918, DATA_Moresby_2024_ALL!B:B, DATA_Moresby_2024_ALL!G:G, "")</f>
        <v>4575_20240611_0006_L_0404.jpg</v>
      </c>
      <c r="G918" s="93" t="str">
        <f t="shared" si="47"/>
        <v>4575_20240611_0006_L_0404.jpg</v>
      </c>
      <c r="H918" s="92">
        <v>4</v>
      </c>
      <c r="J918" s="79">
        <f>IF(G918="","X",_xlfn.XLOOKUP(B918,DATA_Moresby_2024_ALL!B:B,DATA_Moresby_2024_ALL!K:K,""))</f>
        <v>1</v>
      </c>
      <c r="K918" s="28"/>
      <c r="L918" s="29"/>
      <c r="M918" s="28"/>
      <c r="N918" s="19">
        <f t="shared" si="45"/>
        <v>4</v>
      </c>
      <c r="O918" s="19">
        <f t="shared" si="43"/>
        <v>4</v>
      </c>
      <c r="P918" s="19">
        <f t="shared" si="43"/>
        <v>4</v>
      </c>
      <c r="Q918" s="19">
        <f t="shared" si="43"/>
        <v>4</v>
      </c>
      <c r="X918" s="92" t="s">
        <v>78</v>
      </c>
      <c r="Y918" s="92" t="s">
        <v>78</v>
      </c>
      <c r="Z918" s="92" t="s">
        <v>78</v>
      </c>
    </row>
    <row r="919" spans="1:26" ht="16" hidden="1" x14ac:dyDescent="0.4">
      <c r="A919" s="92">
        <v>4579</v>
      </c>
      <c r="B919" s="92">
        <v>4580</v>
      </c>
      <c r="E919" s="92">
        <v>50</v>
      </c>
      <c r="F919" s="92" t="str">
        <f>_xlfn.XLOOKUP(B919, DATA_Moresby_2024_ALL!B:B, DATA_Moresby_2024_ALL!G:G, "")</f>
        <v>4580_20240611_0006_L_0418.jpg</v>
      </c>
      <c r="G919" s="93" t="str">
        <f t="shared" si="47"/>
        <v>4580_20240611_0006_L_0418.jpg</v>
      </c>
      <c r="H919" s="92">
        <v>4</v>
      </c>
      <c r="J919" s="79">
        <f>IF(G919="","X",_xlfn.XLOOKUP(B919,DATA_Moresby_2024_ALL!B:B,DATA_Moresby_2024_ALL!K:K,""))</f>
        <v>1</v>
      </c>
      <c r="K919" s="28"/>
      <c r="L919" s="29"/>
      <c r="M919" s="28"/>
      <c r="N919" s="19">
        <f t="shared" si="45"/>
        <v>4</v>
      </c>
      <c r="O919" s="19">
        <f t="shared" si="43"/>
        <v>4</v>
      </c>
      <c r="P919" s="19">
        <f t="shared" si="43"/>
        <v>4</v>
      </c>
      <c r="Q919" s="19">
        <f t="shared" si="43"/>
        <v>4</v>
      </c>
      <c r="X919" s="92" t="s">
        <v>78</v>
      </c>
      <c r="Y919" s="92" t="s">
        <v>78</v>
      </c>
      <c r="Z919" s="92" t="s">
        <v>78</v>
      </c>
    </row>
    <row r="920" spans="1:26" ht="16" hidden="1" x14ac:dyDescent="0.4">
      <c r="A920" s="92">
        <v>4584</v>
      </c>
      <c r="B920" s="92">
        <v>4585</v>
      </c>
      <c r="E920" s="92">
        <v>50</v>
      </c>
      <c r="F920" s="92" t="str">
        <f>_xlfn.XLOOKUP(B920, DATA_Moresby_2024_ALL!B:B, DATA_Moresby_2024_ALL!G:G, "")</f>
        <v>4585_20240611_0006_L_0432.jpg</v>
      </c>
      <c r="G920" s="93" t="str">
        <f t="shared" si="47"/>
        <v>4585_20240611_0006_L_0432.jpg</v>
      </c>
      <c r="H920" s="92">
        <v>4</v>
      </c>
      <c r="J920" s="79">
        <f>IF(G920="","X",_xlfn.XLOOKUP(B920,DATA_Moresby_2024_ALL!B:B,DATA_Moresby_2024_ALL!K:K,""))</f>
        <v>1</v>
      </c>
      <c r="K920" s="28"/>
      <c r="L920" s="29"/>
      <c r="M920" s="28"/>
      <c r="N920" s="19">
        <f t="shared" si="45"/>
        <v>4</v>
      </c>
      <c r="O920" s="19">
        <f t="shared" si="43"/>
        <v>4</v>
      </c>
      <c r="P920" s="19">
        <f t="shared" si="43"/>
        <v>4</v>
      </c>
      <c r="Q920" s="19">
        <f t="shared" si="43"/>
        <v>4</v>
      </c>
      <c r="X920" s="92" t="s">
        <v>78</v>
      </c>
      <c r="Y920" s="92" t="s">
        <v>78</v>
      </c>
      <c r="Z920" s="92" t="s">
        <v>78</v>
      </c>
    </row>
    <row r="921" spans="1:26" ht="16" hidden="1" x14ac:dyDescent="0.4">
      <c r="A921" s="92">
        <v>4589</v>
      </c>
      <c r="B921" s="92">
        <v>4590</v>
      </c>
      <c r="E921" s="92">
        <v>50</v>
      </c>
      <c r="F921" s="92" t="str">
        <f>_xlfn.XLOOKUP(B921, DATA_Moresby_2024_ALL!B:B, DATA_Moresby_2024_ALL!G:G, "")</f>
        <v>4590_20240611_0006_L_0447.jpg</v>
      </c>
      <c r="G921" s="93" t="str">
        <f t="shared" si="47"/>
        <v>4590_20240611_0006_L_0447.jpg</v>
      </c>
      <c r="H921" s="92">
        <v>4</v>
      </c>
      <c r="J921" s="79">
        <f>IF(G921="","X",_xlfn.XLOOKUP(B921,DATA_Moresby_2024_ALL!B:B,DATA_Moresby_2024_ALL!K:K,""))</f>
        <v>1</v>
      </c>
      <c r="K921" s="28"/>
      <c r="L921" s="29"/>
      <c r="M921" s="28"/>
      <c r="N921" s="19">
        <f t="shared" si="45"/>
        <v>4</v>
      </c>
      <c r="O921" s="19">
        <f t="shared" si="43"/>
        <v>4</v>
      </c>
      <c r="P921" s="19">
        <f t="shared" si="43"/>
        <v>4</v>
      </c>
      <c r="Q921" s="19">
        <v>3</v>
      </c>
      <c r="X921" s="92" t="s">
        <v>78</v>
      </c>
      <c r="Y921" s="92" t="s">
        <v>78</v>
      </c>
      <c r="Z921" s="92" t="s">
        <v>78</v>
      </c>
    </row>
    <row r="922" spans="1:26" ht="16" hidden="1" x14ac:dyDescent="0.4">
      <c r="A922" s="92">
        <v>4594</v>
      </c>
      <c r="B922" s="92">
        <v>4595</v>
      </c>
      <c r="E922" s="92">
        <v>50</v>
      </c>
      <c r="F922" s="92" t="str">
        <f>_xlfn.XLOOKUP(B922, DATA_Moresby_2024_ALL!B:B, DATA_Moresby_2024_ALL!G:G, "")</f>
        <v>4595_20240611_0006_L_0461.jpg</v>
      </c>
      <c r="G922" s="93" t="str">
        <f t="shared" si="47"/>
        <v>4595_20240611_0006_L_0461.jpg</v>
      </c>
      <c r="H922" s="92">
        <v>4</v>
      </c>
      <c r="J922" s="79">
        <f>IF(G922="","X",_xlfn.XLOOKUP(B922,DATA_Moresby_2024_ALL!B:B,DATA_Moresby_2024_ALL!K:K,""))</f>
        <v>1</v>
      </c>
      <c r="K922" s="28"/>
      <c r="L922" s="29"/>
      <c r="M922" s="28"/>
      <c r="N922" s="19">
        <f t="shared" si="45"/>
        <v>4</v>
      </c>
      <c r="O922" s="19">
        <f t="shared" si="43"/>
        <v>4</v>
      </c>
      <c r="P922" s="19">
        <f t="shared" si="43"/>
        <v>4</v>
      </c>
      <c r="Q922" s="19">
        <f t="shared" si="43"/>
        <v>4</v>
      </c>
      <c r="X922" s="92" t="s">
        <v>78</v>
      </c>
      <c r="Y922" s="92" t="s">
        <v>78</v>
      </c>
      <c r="Z922" s="92" t="s">
        <v>78</v>
      </c>
    </row>
    <row r="923" spans="1:26" ht="16" hidden="1" x14ac:dyDescent="0.4">
      <c r="A923" s="92">
        <v>4599</v>
      </c>
      <c r="B923" s="92">
        <v>4600</v>
      </c>
      <c r="E923" s="92">
        <v>50</v>
      </c>
      <c r="F923" s="92" t="str">
        <f>_xlfn.XLOOKUP(B923, DATA_Moresby_2024_ALL!B:B, DATA_Moresby_2024_ALL!G:G, "")</f>
        <v>4600_20240611_0006_L_0474.jpg</v>
      </c>
      <c r="G923" s="93" t="str">
        <f t="shared" si="47"/>
        <v>4600_20240611_0006_L_0474.jpg</v>
      </c>
      <c r="H923" s="92">
        <v>4</v>
      </c>
      <c r="J923" s="79">
        <f>IF(G923="","X",_xlfn.XLOOKUP(B923,DATA_Moresby_2024_ALL!B:B,DATA_Moresby_2024_ALL!K:K,""))</f>
        <v>1</v>
      </c>
      <c r="K923" s="28"/>
      <c r="L923" s="29"/>
      <c r="M923" s="28"/>
      <c r="N923" s="19">
        <f t="shared" si="45"/>
        <v>4</v>
      </c>
      <c r="O923" s="19">
        <f t="shared" si="43"/>
        <v>4</v>
      </c>
      <c r="P923" s="19">
        <f t="shared" si="43"/>
        <v>4</v>
      </c>
      <c r="Q923" s="19">
        <f t="shared" si="43"/>
        <v>4</v>
      </c>
      <c r="X923" s="92" t="s">
        <v>78</v>
      </c>
      <c r="Y923" s="92" t="s">
        <v>78</v>
      </c>
      <c r="Z923" s="92" t="s">
        <v>78</v>
      </c>
    </row>
    <row r="924" spans="1:26" ht="16" hidden="1" x14ac:dyDescent="0.4">
      <c r="A924" s="92">
        <v>4604</v>
      </c>
      <c r="B924" s="92">
        <v>4605</v>
      </c>
      <c r="E924" s="92">
        <v>50</v>
      </c>
      <c r="F924" s="92" t="str">
        <f>_xlfn.XLOOKUP(B924, DATA_Moresby_2024_ALL!B:B, DATA_Moresby_2024_ALL!G:G, "")</f>
        <v>4605_20240611_0006_L_0490.jpg</v>
      </c>
      <c r="G924" s="93" t="str">
        <f t="shared" si="47"/>
        <v>4605_20240611_0006_L_0490.jpg</v>
      </c>
      <c r="H924" s="92">
        <v>4</v>
      </c>
      <c r="J924" s="79">
        <f>IF(G924="","X",_xlfn.XLOOKUP(B924,DATA_Moresby_2024_ALL!B:B,DATA_Moresby_2024_ALL!K:K,""))</f>
        <v>1</v>
      </c>
      <c r="K924" s="28"/>
      <c r="L924" s="29"/>
      <c r="M924" s="28"/>
      <c r="N924" s="19">
        <f t="shared" si="45"/>
        <v>4</v>
      </c>
      <c r="O924" s="19">
        <f t="shared" si="43"/>
        <v>4</v>
      </c>
      <c r="P924" s="19">
        <f t="shared" si="43"/>
        <v>4</v>
      </c>
      <c r="Q924" s="19">
        <f t="shared" si="43"/>
        <v>4</v>
      </c>
      <c r="X924" s="92" t="s">
        <v>78</v>
      </c>
      <c r="Y924" s="92" t="s">
        <v>78</v>
      </c>
      <c r="Z924" s="92" t="s">
        <v>78</v>
      </c>
    </row>
    <row r="925" spans="1:26" ht="16" hidden="1" x14ac:dyDescent="0.4">
      <c r="A925" s="92">
        <v>4609</v>
      </c>
      <c r="B925" s="92">
        <v>4610</v>
      </c>
      <c r="E925" s="92">
        <v>50</v>
      </c>
      <c r="F925" s="92" t="str">
        <f>_xlfn.XLOOKUP(B925, DATA_Moresby_2024_ALL!B:B, DATA_Moresby_2024_ALL!G:G, "")</f>
        <v>4610_20240611_0006_L_0505.jpg</v>
      </c>
      <c r="G925" s="93" t="str">
        <f t="shared" si="47"/>
        <v>4610_20240611_0006_L_0505.jpg</v>
      </c>
      <c r="H925" s="92">
        <v>4</v>
      </c>
      <c r="J925" s="79">
        <f>IF(G925="","X",_xlfn.XLOOKUP(B925,DATA_Moresby_2024_ALL!B:B,DATA_Moresby_2024_ALL!K:K,""))</f>
        <v>1</v>
      </c>
      <c r="K925" s="28"/>
      <c r="L925" s="29"/>
      <c r="M925" s="28"/>
      <c r="N925" s="19">
        <f t="shared" si="45"/>
        <v>4</v>
      </c>
      <c r="O925" s="19">
        <f t="shared" si="45"/>
        <v>4</v>
      </c>
      <c r="P925" s="19">
        <f t="shared" si="45"/>
        <v>4</v>
      </c>
      <c r="Q925" s="19">
        <f t="shared" si="45"/>
        <v>4</v>
      </c>
      <c r="X925" s="92" t="s">
        <v>78</v>
      </c>
      <c r="Y925" s="92" t="s">
        <v>78</v>
      </c>
      <c r="Z925" s="92" t="s">
        <v>78</v>
      </c>
    </row>
    <row r="926" spans="1:26" ht="16" hidden="1" x14ac:dyDescent="0.4">
      <c r="A926" s="92">
        <v>4614</v>
      </c>
      <c r="B926" s="92">
        <v>4615</v>
      </c>
      <c r="E926" s="92">
        <v>50</v>
      </c>
      <c r="F926" s="92" t="str">
        <f>_xlfn.XLOOKUP(B926, DATA_Moresby_2024_ALL!B:B, DATA_Moresby_2024_ALL!G:G, "")</f>
        <v>4615_20240611_0006_L_0520.jpg</v>
      </c>
      <c r="G926" s="93" t="str">
        <f t="shared" si="47"/>
        <v>4615_20240611_0006_L_0520.jpg</v>
      </c>
      <c r="H926" s="92">
        <v>4</v>
      </c>
      <c r="J926" s="79">
        <f>IF(G926="","X",_xlfn.XLOOKUP(B926,DATA_Moresby_2024_ALL!B:B,DATA_Moresby_2024_ALL!K:K,""))</f>
        <v>1</v>
      </c>
      <c r="K926" s="28"/>
      <c r="L926" s="29"/>
      <c r="M926" s="28"/>
      <c r="N926" s="19">
        <f t="shared" ref="N926:Q989" si="48">IF($J926=1,4,"")</f>
        <v>4</v>
      </c>
      <c r="O926" s="19">
        <f t="shared" si="48"/>
        <v>4</v>
      </c>
      <c r="P926" s="19">
        <f t="shared" si="48"/>
        <v>4</v>
      </c>
      <c r="Q926" s="19">
        <f t="shared" si="48"/>
        <v>4</v>
      </c>
      <c r="X926" s="92" t="s">
        <v>78</v>
      </c>
      <c r="Y926" s="92" t="s">
        <v>78</v>
      </c>
      <c r="Z926" s="92" t="s">
        <v>78</v>
      </c>
    </row>
    <row r="927" spans="1:26" ht="16" hidden="1" x14ac:dyDescent="0.4">
      <c r="A927" s="92">
        <v>4619</v>
      </c>
      <c r="B927" s="92">
        <v>4620</v>
      </c>
      <c r="E927" s="92">
        <v>50</v>
      </c>
      <c r="F927" s="92" t="str">
        <f>_xlfn.XLOOKUP(B927, DATA_Moresby_2024_ALL!B:B, DATA_Moresby_2024_ALL!G:G, "")</f>
        <v>4620_20240611_0006_L_0541.jpg</v>
      </c>
      <c r="G927" s="93" t="str">
        <f t="shared" si="47"/>
        <v>4620_20240611_0006_L_0541.jpg</v>
      </c>
      <c r="H927" s="92">
        <v>4</v>
      </c>
      <c r="J927" s="79">
        <f>IF(G927="","X",_xlfn.XLOOKUP(B927,DATA_Moresby_2024_ALL!B:B,DATA_Moresby_2024_ALL!K:K,""))</f>
        <v>1</v>
      </c>
      <c r="K927" s="28"/>
      <c r="L927" s="29"/>
      <c r="M927" s="28"/>
      <c r="N927" s="19">
        <f t="shared" si="48"/>
        <v>4</v>
      </c>
      <c r="O927" s="19">
        <f t="shared" si="48"/>
        <v>4</v>
      </c>
      <c r="P927" s="19">
        <f t="shared" si="48"/>
        <v>4</v>
      </c>
      <c r="Q927" s="19">
        <f t="shared" si="48"/>
        <v>4</v>
      </c>
      <c r="X927" s="92" t="s">
        <v>78</v>
      </c>
      <c r="Y927" s="92" t="s">
        <v>78</v>
      </c>
      <c r="Z927" s="92" t="s">
        <v>78</v>
      </c>
    </row>
    <row r="928" spans="1:26" ht="16" hidden="1" x14ac:dyDescent="0.4">
      <c r="A928" s="92">
        <v>4624</v>
      </c>
      <c r="B928" s="92">
        <v>4625</v>
      </c>
      <c r="E928" s="92">
        <v>50</v>
      </c>
      <c r="F928" s="92">
        <f>_xlfn.XLOOKUP(B928, DATA_Moresby_2024_ALL!B:B, DATA_Moresby_2024_ALL!G:G, "")</f>
        <v>0</v>
      </c>
      <c r="G928" s="93"/>
      <c r="H928" s="92">
        <v>10</v>
      </c>
      <c r="I928" s="92" t="str">
        <f t="shared" ref="I928:I991" si="49">IF(G928="","X","")</f>
        <v>X</v>
      </c>
      <c r="J928" s="79" t="str">
        <f>IF(G928="","X",_xlfn.XLOOKUP(B928,DATA_Moresby_2024_ALL!B:B,DATA_Moresby_2024_ALL!K:K,""))</f>
        <v>X</v>
      </c>
      <c r="K928" s="28"/>
      <c r="L928" s="29"/>
      <c r="M928" s="28"/>
      <c r="N928" s="19" t="str">
        <f t="shared" si="48"/>
        <v/>
      </c>
      <c r="O928" s="19" t="str">
        <f t="shared" si="48"/>
        <v/>
      </c>
      <c r="P928" s="19" t="str">
        <f t="shared" si="48"/>
        <v/>
      </c>
      <c r="Q928" s="19" t="str">
        <f t="shared" si="48"/>
        <v/>
      </c>
      <c r="X928" s="92" t="s">
        <v>78</v>
      </c>
      <c r="Y928" s="92" t="s">
        <v>78</v>
      </c>
      <c r="Z928" s="92" t="s">
        <v>78</v>
      </c>
    </row>
    <row r="929" spans="1:26" ht="16" hidden="1" x14ac:dyDescent="0.4">
      <c r="A929" s="92">
        <v>4629</v>
      </c>
      <c r="B929" s="92">
        <v>4630</v>
      </c>
      <c r="E929" s="92">
        <v>50</v>
      </c>
      <c r="F929" s="92">
        <f>_xlfn.XLOOKUP(B929, DATA_Moresby_2024_ALL!B:B, DATA_Moresby_2024_ALL!G:G, "")</f>
        <v>0</v>
      </c>
      <c r="G929" s="93"/>
      <c r="H929" s="92">
        <v>10</v>
      </c>
      <c r="I929" s="92" t="str">
        <f t="shared" si="49"/>
        <v>X</v>
      </c>
      <c r="J929" s="79" t="str">
        <f>IF(G929="","X",_xlfn.XLOOKUP(B929,DATA_Moresby_2024_ALL!B:B,DATA_Moresby_2024_ALL!K:K,""))</f>
        <v>X</v>
      </c>
      <c r="K929" s="28"/>
      <c r="L929" s="29"/>
      <c r="M929" s="28"/>
      <c r="N929" s="19" t="str">
        <f t="shared" si="48"/>
        <v/>
      </c>
      <c r="O929" s="19" t="str">
        <f t="shared" si="48"/>
        <v/>
      </c>
      <c r="P929" s="19" t="str">
        <f t="shared" si="48"/>
        <v/>
      </c>
      <c r="Q929" s="19" t="str">
        <f t="shared" si="48"/>
        <v/>
      </c>
      <c r="X929" s="92" t="s">
        <v>78</v>
      </c>
      <c r="Y929" s="92" t="s">
        <v>78</v>
      </c>
      <c r="Z929" s="92" t="s">
        <v>78</v>
      </c>
    </row>
    <row r="930" spans="1:26" ht="16" hidden="1" x14ac:dyDescent="0.4">
      <c r="A930" s="92">
        <v>4634</v>
      </c>
      <c r="B930" s="92">
        <v>4635</v>
      </c>
      <c r="E930" s="92">
        <v>50</v>
      </c>
      <c r="F930" s="92">
        <f>_xlfn.XLOOKUP(B930, DATA_Moresby_2024_ALL!B:B, DATA_Moresby_2024_ALL!G:G, "")</f>
        <v>0</v>
      </c>
      <c r="G930" s="93"/>
      <c r="H930" s="92">
        <v>10</v>
      </c>
      <c r="I930" s="92" t="str">
        <f t="shared" si="49"/>
        <v>X</v>
      </c>
      <c r="J930" s="79" t="str">
        <f>IF(G930="","X",_xlfn.XLOOKUP(B930,DATA_Moresby_2024_ALL!B:B,DATA_Moresby_2024_ALL!K:K,""))</f>
        <v>X</v>
      </c>
      <c r="K930" s="28"/>
      <c r="L930" s="29"/>
      <c r="M930" s="28"/>
      <c r="N930" s="19" t="str">
        <f t="shared" si="48"/>
        <v/>
      </c>
      <c r="O930" s="19" t="str">
        <f t="shared" si="48"/>
        <v/>
      </c>
      <c r="P930" s="19" t="str">
        <f t="shared" si="48"/>
        <v/>
      </c>
      <c r="Q930" s="19" t="str">
        <f t="shared" si="48"/>
        <v/>
      </c>
      <c r="X930" s="92" t="s">
        <v>78</v>
      </c>
      <c r="Y930" s="92" t="s">
        <v>78</v>
      </c>
      <c r="Z930" s="92" t="s">
        <v>78</v>
      </c>
    </row>
    <row r="931" spans="1:26" ht="16" hidden="1" x14ac:dyDescent="0.4">
      <c r="A931" s="92">
        <v>4639</v>
      </c>
      <c r="B931" s="92">
        <v>4640</v>
      </c>
      <c r="E931" s="92">
        <v>50</v>
      </c>
      <c r="F931" s="92">
        <f>_xlfn.XLOOKUP(B931, DATA_Moresby_2024_ALL!B:B, DATA_Moresby_2024_ALL!G:G, "")</f>
        <v>0</v>
      </c>
      <c r="G931" s="93"/>
      <c r="H931" s="92">
        <v>10</v>
      </c>
      <c r="I931" s="92" t="str">
        <f t="shared" si="49"/>
        <v>X</v>
      </c>
      <c r="J931" s="79" t="str">
        <f>IF(G931="","X",_xlfn.XLOOKUP(B931,DATA_Moresby_2024_ALL!B:B,DATA_Moresby_2024_ALL!K:K,""))</f>
        <v>X</v>
      </c>
      <c r="K931" s="28"/>
      <c r="L931" s="29"/>
      <c r="M931" s="28"/>
      <c r="N931" s="19" t="str">
        <f t="shared" si="48"/>
        <v/>
      </c>
      <c r="O931" s="19" t="str">
        <f t="shared" si="48"/>
        <v/>
      </c>
      <c r="P931" s="19" t="str">
        <f t="shared" si="48"/>
        <v/>
      </c>
      <c r="Q931" s="19" t="str">
        <f t="shared" si="48"/>
        <v/>
      </c>
      <c r="X931" s="92" t="s">
        <v>78</v>
      </c>
      <c r="Y931" s="92" t="s">
        <v>78</v>
      </c>
      <c r="Z931" s="92" t="s">
        <v>78</v>
      </c>
    </row>
    <row r="932" spans="1:26" ht="16" hidden="1" x14ac:dyDescent="0.4">
      <c r="A932" s="92">
        <v>4644</v>
      </c>
      <c r="B932" s="92">
        <v>4645</v>
      </c>
      <c r="E932" s="92">
        <v>50</v>
      </c>
      <c r="F932" s="92">
        <f>_xlfn.XLOOKUP(B932, DATA_Moresby_2024_ALL!B:B, DATA_Moresby_2024_ALL!G:G, "")</f>
        <v>0</v>
      </c>
      <c r="G932" s="93"/>
      <c r="H932" s="92">
        <v>10</v>
      </c>
      <c r="I932" s="92" t="str">
        <f t="shared" si="49"/>
        <v>X</v>
      </c>
      <c r="J932" s="79" t="str">
        <f>IF(G932="","X",_xlfn.XLOOKUP(B932,DATA_Moresby_2024_ALL!B:B,DATA_Moresby_2024_ALL!K:K,""))</f>
        <v>X</v>
      </c>
      <c r="K932" s="28"/>
      <c r="L932" s="29"/>
      <c r="M932" s="28"/>
      <c r="N932" s="19" t="str">
        <f t="shared" si="48"/>
        <v/>
      </c>
      <c r="O932" s="19" t="str">
        <f t="shared" si="48"/>
        <v/>
      </c>
      <c r="P932" s="19" t="str">
        <f t="shared" si="48"/>
        <v/>
      </c>
      <c r="Q932" s="19" t="str">
        <f t="shared" si="48"/>
        <v/>
      </c>
      <c r="X932" s="92" t="s">
        <v>78</v>
      </c>
      <c r="Y932" s="92" t="s">
        <v>78</v>
      </c>
      <c r="Z932" s="92" t="s">
        <v>78</v>
      </c>
    </row>
    <row r="933" spans="1:26" ht="16" hidden="1" x14ac:dyDescent="0.4">
      <c r="A933" s="92">
        <v>4649</v>
      </c>
      <c r="B933" s="92">
        <v>4650</v>
      </c>
      <c r="E933" s="92">
        <v>50</v>
      </c>
      <c r="F933" s="92">
        <f>_xlfn.XLOOKUP(B933, DATA_Moresby_2024_ALL!B:B, DATA_Moresby_2024_ALL!G:G, "")</f>
        <v>0</v>
      </c>
      <c r="G933" s="93"/>
      <c r="H933" s="92">
        <v>10</v>
      </c>
      <c r="I933" s="92" t="str">
        <f t="shared" si="49"/>
        <v>X</v>
      </c>
      <c r="J933" s="79" t="str">
        <f>IF(G933="","X",_xlfn.XLOOKUP(B933,DATA_Moresby_2024_ALL!B:B,DATA_Moresby_2024_ALL!K:K,""))</f>
        <v>X</v>
      </c>
      <c r="K933" s="28"/>
      <c r="L933" s="29"/>
      <c r="M933" s="28"/>
      <c r="N933" s="19" t="str">
        <f t="shared" si="48"/>
        <v/>
      </c>
      <c r="O933" s="19" t="str">
        <f t="shared" si="48"/>
        <v/>
      </c>
      <c r="P933" s="19" t="str">
        <f t="shared" si="48"/>
        <v/>
      </c>
      <c r="Q933" s="19" t="str">
        <f t="shared" si="48"/>
        <v/>
      </c>
      <c r="X933" s="92" t="s">
        <v>78</v>
      </c>
      <c r="Y933" s="92" t="s">
        <v>78</v>
      </c>
      <c r="Z933" s="92" t="s">
        <v>78</v>
      </c>
    </row>
    <row r="934" spans="1:26" ht="16" hidden="1" x14ac:dyDescent="0.4">
      <c r="A934" s="92">
        <v>4654</v>
      </c>
      <c r="B934" s="92">
        <v>4655</v>
      </c>
      <c r="E934" s="92">
        <v>50</v>
      </c>
      <c r="F934" s="92">
        <f>_xlfn.XLOOKUP(B934, DATA_Moresby_2024_ALL!B:B, DATA_Moresby_2024_ALL!G:G, "")</f>
        <v>0</v>
      </c>
      <c r="G934" s="93"/>
      <c r="H934" s="92">
        <v>10</v>
      </c>
      <c r="I934" s="92" t="str">
        <f t="shared" si="49"/>
        <v>X</v>
      </c>
      <c r="J934" s="79" t="str">
        <f>IF(G934="","X",_xlfn.XLOOKUP(B934,DATA_Moresby_2024_ALL!B:B,DATA_Moresby_2024_ALL!K:K,""))</f>
        <v>X</v>
      </c>
      <c r="K934" s="28"/>
      <c r="L934" s="29"/>
      <c r="M934" s="28"/>
      <c r="N934" s="19" t="str">
        <f t="shared" si="48"/>
        <v/>
      </c>
      <c r="O934" s="19" t="str">
        <f t="shared" si="48"/>
        <v/>
      </c>
      <c r="P934" s="19" t="str">
        <f t="shared" si="48"/>
        <v/>
      </c>
      <c r="Q934" s="19" t="str">
        <f t="shared" si="48"/>
        <v/>
      </c>
      <c r="X934" s="92" t="s">
        <v>78</v>
      </c>
      <c r="Y934" s="92" t="s">
        <v>78</v>
      </c>
      <c r="Z934" s="92" t="s">
        <v>78</v>
      </c>
    </row>
    <row r="935" spans="1:26" ht="16" hidden="1" x14ac:dyDescent="0.4">
      <c r="A935" s="92">
        <v>4659</v>
      </c>
      <c r="B935" s="92">
        <v>4660</v>
      </c>
      <c r="E935" s="92">
        <v>50</v>
      </c>
      <c r="F935" s="92">
        <f>_xlfn.XLOOKUP(B935, DATA_Moresby_2024_ALL!B:B, DATA_Moresby_2024_ALL!G:G, "")</f>
        <v>0</v>
      </c>
      <c r="G935" s="93"/>
      <c r="H935" s="92">
        <v>10</v>
      </c>
      <c r="I935" s="92" t="str">
        <f t="shared" si="49"/>
        <v>X</v>
      </c>
      <c r="J935" s="79" t="str">
        <f>IF(G935="","X",_xlfn.XLOOKUP(B935,DATA_Moresby_2024_ALL!B:B,DATA_Moresby_2024_ALL!K:K,""))</f>
        <v>X</v>
      </c>
      <c r="K935" s="28"/>
      <c r="L935" s="29"/>
      <c r="M935" s="28"/>
      <c r="N935" s="19" t="str">
        <f t="shared" si="48"/>
        <v/>
      </c>
      <c r="O935" s="19" t="str">
        <f t="shared" si="48"/>
        <v/>
      </c>
      <c r="P935" s="19" t="str">
        <f t="shared" si="48"/>
        <v/>
      </c>
      <c r="Q935" s="19" t="str">
        <f t="shared" si="48"/>
        <v/>
      </c>
      <c r="X935" s="92" t="s">
        <v>78</v>
      </c>
      <c r="Y935" s="92" t="s">
        <v>78</v>
      </c>
      <c r="Z935" s="92" t="s">
        <v>78</v>
      </c>
    </row>
    <row r="936" spans="1:26" ht="16" hidden="1" x14ac:dyDescent="0.4">
      <c r="A936" s="92">
        <v>4664</v>
      </c>
      <c r="B936" s="92">
        <v>4665</v>
      </c>
      <c r="E936" s="92">
        <v>50</v>
      </c>
      <c r="F936" s="92">
        <f>_xlfn.XLOOKUP(B936, DATA_Moresby_2024_ALL!B:B, DATA_Moresby_2024_ALL!G:G, "")</f>
        <v>0</v>
      </c>
      <c r="G936" s="93"/>
      <c r="H936" s="92">
        <v>10</v>
      </c>
      <c r="I936" s="92" t="str">
        <f t="shared" si="49"/>
        <v>X</v>
      </c>
      <c r="J936" s="79" t="str">
        <f>IF(G936="","X",_xlfn.XLOOKUP(B936,DATA_Moresby_2024_ALL!B:B,DATA_Moresby_2024_ALL!K:K,""))</f>
        <v>X</v>
      </c>
      <c r="K936" s="28"/>
      <c r="L936" s="29"/>
      <c r="M936" s="28"/>
      <c r="N936" s="19" t="str">
        <f t="shared" si="48"/>
        <v/>
      </c>
      <c r="O936" s="19" t="str">
        <f t="shared" si="48"/>
        <v/>
      </c>
      <c r="P936" s="19" t="str">
        <f t="shared" si="48"/>
        <v/>
      </c>
      <c r="Q936" s="19" t="str">
        <f t="shared" si="48"/>
        <v/>
      </c>
      <c r="X936" s="92" t="s">
        <v>78</v>
      </c>
      <c r="Y936" s="92" t="s">
        <v>78</v>
      </c>
      <c r="Z936" s="92" t="s">
        <v>78</v>
      </c>
    </row>
    <row r="937" spans="1:26" ht="16" hidden="1" x14ac:dyDescent="0.4">
      <c r="A937" s="92">
        <v>4669</v>
      </c>
      <c r="B937" s="92">
        <v>4670</v>
      </c>
      <c r="E937" s="92">
        <v>50</v>
      </c>
      <c r="F937" s="92">
        <f>_xlfn.XLOOKUP(B937, DATA_Moresby_2024_ALL!B:B, DATA_Moresby_2024_ALL!G:G, "")</f>
        <v>0</v>
      </c>
      <c r="G937" s="93"/>
      <c r="H937" s="92">
        <v>10</v>
      </c>
      <c r="I937" s="92" t="str">
        <f t="shared" si="49"/>
        <v>X</v>
      </c>
      <c r="J937" s="79" t="str">
        <f>IF(G937="","X",_xlfn.XLOOKUP(B937,DATA_Moresby_2024_ALL!B:B,DATA_Moresby_2024_ALL!K:K,""))</f>
        <v>X</v>
      </c>
      <c r="K937" s="28"/>
      <c r="L937" s="29"/>
      <c r="M937" s="28"/>
      <c r="N937" s="19" t="str">
        <f t="shared" si="48"/>
        <v/>
      </c>
      <c r="O937" s="19" t="str">
        <f t="shared" si="48"/>
        <v/>
      </c>
      <c r="P937" s="19" t="str">
        <f t="shared" si="48"/>
        <v/>
      </c>
      <c r="Q937" s="19" t="str">
        <f t="shared" si="48"/>
        <v/>
      </c>
      <c r="X937" s="92" t="s">
        <v>78</v>
      </c>
      <c r="Y937" s="92" t="s">
        <v>78</v>
      </c>
      <c r="Z937" s="92" t="s">
        <v>78</v>
      </c>
    </row>
    <row r="938" spans="1:26" ht="16" hidden="1" x14ac:dyDescent="0.4">
      <c r="A938" s="92">
        <v>4674</v>
      </c>
      <c r="B938" s="92">
        <v>4675</v>
      </c>
      <c r="E938" s="92">
        <v>50</v>
      </c>
      <c r="F938" s="92">
        <f>_xlfn.XLOOKUP(B938, DATA_Moresby_2024_ALL!B:B, DATA_Moresby_2024_ALL!G:G, "")</f>
        <v>0</v>
      </c>
      <c r="G938" s="93"/>
      <c r="H938" s="92">
        <v>10</v>
      </c>
      <c r="I938" s="92" t="str">
        <f t="shared" si="49"/>
        <v>X</v>
      </c>
      <c r="J938" s="79" t="str">
        <f>IF(G938="","X",_xlfn.XLOOKUP(B938,DATA_Moresby_2024_ALL!B:B,DATA_Moresby_2024_ALL!K:K,""))</f>
        <v>X</v>
      </c>
      <c r="K938" s="28"/>
      <c r="L938" s="29"/>
      <c r="M938" s="28"/>
      <c r="N938" s="19" t="str">
        <f t="shared" si="48"/>
        <v/>
      </c>
      <c r="O938" s="19" t="str">
        <f t="shared" si="48"/>
        <v/>
      </c>
      <c r="P938" s="19" t="str">
        <f t="shared" si="48"/>
        <v/>
      </c>
      <c r="Q938" s="19" t="str">
        <f t="shared" si="48"/>
        <v/>
      </c>
      <c r="X938" s="92" t="s">
        <v>78</v>
      </c>
      <c r="Y938" s="92" t="s">
        <v>78</v>
      </c>
      <c r="Z938" s="92" t="s">
        <v>78</v>
      </c>
    </row>
    <row r="939" spans="1:26" ht="16" hidden="1" x14ac:dyDescent="0.4">
      <c r="A939" s="92">
        <v>4679</v>
      </c>
      <c r="B939" s="92">
        <v>4680</v>
      </c>
      <c r="E939" s="92">
        <v>50</v>
      </c>
      <c r="F939" s="92">
        <f>_xlfn.XLOOKUP(B939, DATA_Moresby_2024_ALL!B:B, DATA_Moresby_2024_ALL!G:G, "")</f>
        <v>0</v>
      </c>
      <c r="G939" s="93"/>
      <c r="H939" s="92">
        <v>10</v>
      </c>
      <c r="I939" s="92" t="str">
        <f t="shared" si="49"/>
        <v>X</v>
      </c>
      <c r="J939" s="79" t="str">
        <f>IF(G939="","X",_xlfn.XLOOKUP(B939,DATA_Moresby_2024_ALL!B:B,DATA_Moresby_2024_ALL!K:K,""))</f>
        <v>X</v>
      </c>
      <c r="K939" s="28"/>
      <c r="L939" s="29"/>
      <c r="M939" s="28"/>
      <c r="N939" s="19" t="str">
        <f t="shared" si="48"/>
        <v/>
      </c>
      <c r="O939" s="19" t="str">
        <f t="shared" si="48"/>
        <v/>
      </c>
      <c r="P939" s="19" t="str">
        <f t="shared" si="48"/>
        <v/>
      </c>
      <c r="Q939" s="19" t="str">
        <f t="shared" si="48"/>
        <v/>
      </c>
      <c r="X939" s="92" t="s">
        <v>78</v>
      </c>
      <c r="Y939" s="92" t="s">
        <v>78</v>
      </c>
      <c r="Z939" s="92" t="s">
        <v>78</v>
      </c>
    </row>
    <row r="940" spans="1:26" ht="16" hidden="1" x14ac:dyDescent="0.4">
      <c r="A940" s="92">
        <v>4684</v>
      </c>
      <c r="B940" s="92">
        <v>4685</v>
      </c>
      <c r="E940" s="92">
        <v>50</v>
      </c>
      <c r="F940" s="92">
        <f>_xlfn.XLOOKUP(B940, DATA_Moresby_2024_ALL!B:B, DATA_Moresby_2024_ALL!G:G, "")</f>
        <v>0</v>
      </c>
      <c r="G940" s="93"/>
      <c r="H940" s="92">
        <v>10</v>
      </c>
      <c r="I940" s="92" t="str">
        <f t="shared" si="49"/>
        <v>X</v>
      </c>
      <c r="J940" s="79" t="str">
        <f>IF(G940="","X",_xlfn.XLOOKUP(B940,DATA_Moresby_2024_ALL!B:B,DATA_Moresby_2024_ALL!K:K,""))</f>
        <v>X</v>
      </c>
      <c r="K940" s="28"/>
      <c r="L940" s="29"/>
      <c r="M940" s="28"/>
      <c r="N940" s="19" t="str">
        <f t="shared" si="48"/>
        <v/>
      </c>
      <c r="O940" s="19" t="str">
        <f t="shared" si="48"/>
        <v/>
      </c>
      <c r="P940" s="19" t="str">
        <f t="shared" si="48"/>
        <v/>
      </c>
      <c r="Q940" s="19" t="str">
        <f t="shared" si="48"/>
        <v/>
      </c>
      <c r="X940" s="92" t="s">
        <v>78</v>
      </c>
      <c r="Y940" s="92" t="s">
        <v>78</v>
      </c>
      <c r="Z940" s="92" t="s">
        <v>78</v>
      </c>
    </row>
    <row r="941" spans="1:26" ht="16" hidden="1" x14ac:dyDescent="0.4">
      <c r="A941" s="92">
        <v>4689</v>
      </c>
      <c r="B941" s="92">
        <v>4690</v>
      </c>
      <c r="E941" s="92">
        <v>50</v>
      </c>
      <c r="F941" s="92">
        <f>_xlfn.XLOOKUP(B941, DATA_Moresby_2024_ALL!B:B, DATA_Moresby_2024_ALL!G:G, "")</f>
        <v>0</v>
      </c>
      <c r="G941" s="93"/>
      <c r="H941" s="92">
        <v>10</v>
      </c>
      <c r="I941" s="92" t="str">
        <f t="shared" si="49"/>
        <v>X</v>
      </c>
      <c r="J941" s="79" t="str">
        <f>IF(G941="","X",_xlfn.XLOOKUP(B941,DATA_Moresby_2024_ALL!B:B,DATA_Moresby_2024_ALL!K:K,""))</f>
        <v>X</v>
      </c>
      <c r="K941" s="28"/>
      <c r="L941" s="29"/>
      <c r="M941" s="28"/>
      <c r="N941" s="19" t="str">
        <f t="shared" si="48"/>
        <v/>
      </c>
      <c r="O941" s="19" t="str">
        <f t="shared" si="48"/>
        <v/>
      </c>
      <c r="P941" s="19" t="str">
        <f t="shared" si="48"/>
        <v/>
      </c>
      <c r="Q941" s="19" t="str">
        <f t="shared" si="48"/>
        <v/>
      </c>
      <c r="X941" s="92" t="s">
        <v>78</v>
      </c>
      <c r="Y941" s="92" t="s">
        <v>78</v>
      </c>
      <c r="Z941" s="92" t="s">
        <v>78</v>
      </c>
    </row>
    <row r="942" spans="1:26" ht="16" hidden="1" x14ac:dyDescent="0.4">
      <c r="A942" s="92">
        <v>4694</v>
      </c>
      <c r="B942" s="92">
        <v>4695</v>
      </c>
      <c r="E942" s="92">
        <v>50</v>
      </c>
      <c r="F942" s="92">
        <f>_xlfn.XLOOKUP(B942, DATA_Moresby_2024_ALL!B:B, DATA_Moresby_2024_ALL!G:G, "")</f>
        <v>0</v>
      </c>
      <c r="G942" s="93"/>
      <c r="H942" s="92">
        <v>10</v>
      </c>
      <c r="I942" s="92" t="str">
        <f t="shared" si="49"/>
        <v>X</v>
      </c>
      <c r="J942" s="79" t="str">
        <f>IF(G942="","X",_xlfn.XLOOKUP(B942,DATA_Moresby_2024_ALL!B:B,DATA_Moresby_2024_ALL!K:K,""))</f>
        <v>X</v>
      </c>
      <c r="K942" s="28"/>
      <c r="L942" s="29"/>
      <c r="M942" s="28"/>
      <c r="N942" s="19" t="str">
        <f t="shared" si="48"/>
        <v/>
      </c>
      <c r="O942" s="19" t="str">
        <f t="shared" si="48"/>
        <v/>
      </c>
      <c r="P942" s="19" t="str">
        <f t="shared" si="48"/>
        <v/>
      </c>
      <c r="Q942" s="19" t="str">
        <f t="shared" si="48"/>
        <v/>
      </c>
      <c r="X942" s="92" t="s">
        <v>78</v>
      </c>
      <c r="Y942" s="92" t="s">
        <v>78</v>
      </c>
      <c r="Z942" s="92" t="s">
        <v>78</v>
      </c>
    </row>
    <row r="943" spans="1:26" ht="16" hidden="1" x14ac:dyDescent="0.4">
      <c r="A943" s="92">
        <v>4699</v>
      </c>
      <c r="B943" s="92">
        <v>4700</v>
      </c>
      <c r="E943" s="92">
        <v>50</v>
      </c>
      <c r="F943" s="92">
        <f>_xlfn.XLOOKUP(B943, DATA_Moresby_2024_ALL!B:B, DATA_Moresby_2024_ALL!G:G, "")</f>
        <v>0</v>
      </c>
      <c r="G943" s="93"/>
      <c r="H943" s="92">
        <v>10</v>
      </c>
      <c r="I943" s="92" t="str">
        <f t="shared" si="49"/>
        <v>X</v>
      </c>
      <c r="J943" s="79" t="str">
        <f>IF(G943="","X",_xlfn.XLOOKUP(B943,DATA_Moresby_2024_ALL!B:B,DATA_Moresby_2024_ALL!K:K,""))</f>
        <v>X</v>
      </c>
      <c r="K943" s="28"/>
      <c r="L943" s="29"/>
      <c r="M943" s="28"/>
      <c r="N943" s="19" t="str">
        <f t="shared" si="48"/>
        <v/>
      </c>
      <c r="O943" s="19" t="str">
        <f t="shared" si="48"/>
        <v/>
      </c>
      <c r="P943" s="19" t="str">
        <f t="shared" si="48"/>
        <v/>
      </c>
      <c r="Q943" s="19" t="str">
        <f t="shared" si="48"/>
        <v/>
      </c>
      <c r="X943" s="92" t="s">
        <v>78</v>
      </c>
      <c r="Y943" s="92" t="s">
        <v>78</v>
      </c>
      <c r="Z943" s="92" t="s">
        <v>78</v>
      </c>
    </row>
    <row r="944" spans="1:26" ht="16" hidden="1" x14ac:dyDescent="0.4">
      <c r="A944" s="92">
        <v>4704</v>
      </c>
      <c r="B944" s="92">
        <v>4705</v>
      </c>
      <c r="E944" s="92">
        <v>50</v>
      </c>
      <c r="F944" s="92">
        <f>_xlfn.XLOOKUP(B944, DATA_Moresby_2024_ALL!B:B, DATA_Moresby_2024_ALL!G:G, "")</f>
        <v>0</v>
      </c>
      <c r="G944" s="93"/>
      <c r="H944" s="92">
        <v>10</v>
      </c>
      <c r="I944" s="92" t="str">
        <f t="shared" si="49"/>
        <v>X</v>
      </c>
      <c r="J944" s="79" t="str">
        <f>IF(G944="","X",_xlfn.XLOOKUP(B944,DATA_Moresby_2024_ALL!B:B,DATA_Moresby_2024_ALL!K:K,""))</f>
        <v>X</v>
      </c>
      <c r="K944" s="28"/>
      <c r="L944" s="29"/>
      <c r="M944" s="28"/>
      <c r="N944" s="19" t="str">
        <f t="shared" si="48"/>
        <v/>
      </c>
      <c r="O944" s="19" t="str">
        <f t="shared" si="48"/>
        <v/>
      </c>
      <c r="P944" s="19" t="str">
        <f t="shared" si="48"/>
        <v/>
      </c>
      <c r="Q944" s="19" t="str">
        <f t="shared" si="48"/>
        <v/>
      </c>
      <c r="X944" s="92" t="s">
        <v>78</v>
      </c>
      <c r="Y944" s="92" t="s">
        <v>78</v>
      </c>
      <c r="Z944" s="92" t="s">
        <v>78</v>
      </c>
    </row>
    <row r="945" spans="1:26" ht="16" hidden="1" x14ac:dyDescent="0.4">
      <c r="A945" s="92">
        <v>4709</v>
      </c>
      <c r="B945" s="92">
        <v>4710</v>
      </c>
      <c r="E945" s="92">
        <v>50</v>
      </c>
      <c r="F945" s="92">
        <f>_xlfn.XLOOKUP(B945, DATA_Moresby_2024_ALL!B:B, DATA_Moresby_2024_ALL!G:G, "")</f>
        <v>0</v>
      </c>
      <c r="G945" s="93"/>
      <c r="H945" s="92">
        <v>10</v>
      </c>
      <c r="I945" s="92" t="str">
        <f t="shared" si="49"/>
        <v>X</v>
      </c>
      <c r="J945" s="79" t="str">
        <f>IF(G945="","X",_xlfn.XLOOKUP(B945,DATA_Moresby_2024_ALL!B:B,DATA_Moresby_2024_ALL!K:K,""))</f>
        <v>X</v>
      </c>
      <c r="K945" s="28"/>
      <c r="L945" s="29"/>
      <c r="M945" s="28"/>
      <c r="N945" s="19" t="str">
        <f t="shared" si="48"/>
        <v/>
      </c>
      <c r="O945" s="19" t="str">
        <f t="shared" si="48"/>
        <v/>
      </c>
      <c r="P945" s="19" t="str">
        <f t="shared" si="48"/>
        <v/>
      </c>
      <c r="Q945" s="19" t="str">
        <f t="shared" si="48"/>
        <v/>
      </c>
      <c r="X945" s="92" t="s">
        <v>78</v>
      </c>
      <c r="Y945" s="92" t="s">
        <v>78</v>
      </c>
      <c r="Z945" s="92" t="s">
        <v>78</v>
      </c>
    </row>
    <row r="946" spans="1:26" ht="16" hidden="1" x14ac:dyDescent="0.4">
      <c r="A946" s="92">
        <v>4714</v>
      </c>
      <c r="B946" s="92">
        <v>4715</v>
      </c>
      <c r="E946" s="92">
        <v>50</v>
      </c>
      <c r="F946" s="92">
        <f>_xlfn.XLOOKUP(B946, DATA_Moresby_2024_ALL!B:B, DATA_Moresby_2024_ALL!G:G, "")</f>
        <v>0</v>
      </c>
      <c r="G946" s="93"/>
      <c r="H946" s="92">
        <v>10</v>
      </c>
      <c r="I946" s="92" t="str">
        <f t="shared" si="49"/>
        <v>X</v>
      </c>
      <c r="J946" s="79" t="str">
        <f>IF(G946="","X",_xlfn.XLOOKUP(B946,DATA_Moresby_2024_ALL!B:B,DATA_Moresby_2024_ALL!K:K,""))</f>
        <v>X</v>
      </c>
      <c r="K946" s="28"/>
      <c r="L946" s="29"/>
      <c r="M946" s="28"/>
      <c r="N946" s="19" t="str">
        <f t="shared" si="48"/>
        <v/>
      </c>
      <c r="O946" s="19" t="str">
        <f t="shared" si="48"/>
        <v/>
      </c>
      <c r="P946" s="19" t="str">
        <f t="shared" si="48"/>
        <v/>
      </c>
      <c r="Q946" s="19" t="str">
        <f t="shared" si="48"/>
        <v/>
      </c>
      <c r="X946" s="92" t="s">
        <v>78</v>
      </c>
      <c r="Y946" s="92" t="s">
        <v>78</v>
      </c>
      <c r="Z946" s="92" t="s">
        <v>78</v>
      </c>
    </row>
    <row r="947" spans="1:26" ht="16" hidden="1" x14ac:dyDescent="0.4">
      <c r="A947" s="92">
        <v>4719</v>
      </c>
      <c r="B947" s="92">
        <v>4720</v>
      </c>
      <c r="E947" s="92">
        <v>50</v>
      </c>
      <c r="F947" s="92">
        <f>_xlfn.XLOOKUP(B947, DATA_Moresby_2024_ALL!B:B, DATA_Moresby_2024_ALL!G:G, "")</f>
        <v>0</v>
      </c>
      <c r="G947" s="93"/>
      <c r="H947" s="92">
        <v>10</v>
      </c>
      <c r="I947" s="92" t="str">
        <f t="shared" si="49"/>
        <v>X</v>
      </c>
      <c r="J947" s="79" t="str">
        <f>IF(G947="","X",_xlfn.XLOOKUP(B947,DATA_Moresby_2024_ALL!B:B,DATA_Moresby_2024_ALL!K:K,""))</f>
        <v>X</v>
      </c>
      <c r="K947" s="28"/>
      <c r="L947" s="29"/>
      <c r="M947" s="28"/>
      <c r="N947" s="19" t="str">
        <f t="shared" si="48"/>
        <v/>
      </c>
      <c r="O947" s="19" t="str">
        <f t="shared" si="48"/>
        <v/>
      </c>
      <c r="P947" s="19" t="str">
        <f t="shared" si="48"/>
        <v/>
      </c>
      <c r="Q947" s="19" t="str">
        <f t="shared" si="48"/>
        <v/>
      </c>
      <c r="X947" s="92" t="s">
        <v>78</v>
      </c>
      <c r="Y947" s="92" t="s">
        <v>78</v>
      </c>
      <c r="Z947" s="92" t="s">
        <v>78</v>
      </c>
    </row>
    <row r="948" spans="1:26" ht="16" hidden="1" x14ac:dyDescent="0.4">
      <c r="A948" s="92">
        <v>4724</v>
      </c>
      <c r="B948" s="92">
        <v>4725</v>
      </c>
      <c r="E948" s="92">
        <v>50</v>
      </c>
      <c r="F948" s="92">
        <f>_xlfn.XLOOKUP(B948, DATA_Moresby_2024_ALL!B:B, DATA_Moresby_2024_ALL!G:G, "")</f>
        <v>0</v>
      </c>
      <c r="G948" s="93"/>
      <c r="H948" s="92">
        <v>10</v>
      </c>
      <c r="I948" s="92" t="str">
        <f t="shared" si="49"/>
        <v>X</v>
      </c>
      <c r="J948" s="79" t="str">
        <f>IF(G948="","X",_xlfn.XLOOKUP(B948,DATA_Moresby_2024_ALL!B:B,DATA_Moresby_2024_ALL!K:K,""))</f>
        <v>X</v>
      </c>
      <c r="K948" s="28"/>
      <c r="L948" s="29"/>
      <c r="M948" s="28"/>
      <c r="N948" s="19" t="str">
        <f t="shared" si="48"/>
        <v/>
      </c>
      <c r="O948" s="19" t="str">
        <f t="shared" si="48"/>
        <v/>
      </c>
      <c r="P948" s="19" t="str">
        <f t="shared" si="48"/>
        <v/>
      </c>
      <c r="Q948" s="19" t="str">
        <f t="shared" si="48"/>
        <v/>
      </c>
      <c r="X948" s="92" t="s">
        <v>78</v>
      </c>
      <c r="Y948" s="92" t="s">
        <v>78</v>
      </c>
      <c r="Z948" s="92" t="s">
        <v>78</v>
      </c>
    </row>
    <row r="949" spans="1:26" ht="16" hidden="1" x14ac:dyDescent="0.4">
      <c r="A949" s="92">
        <v>4729</v>
      </c>
      <c r="B949" s="92">
        <v>4730</v>
      </c>
      <c r="E949" s="92">
        <v>50</v>
      </c>
      <c r="F949" s="92">
        <f>_xlfn.XLOOKUP(B949, DATA_Moresby_2024_ALL!B:B, DATA_Moresby_2024_ALL!G:G, "")</f>
        <v>0</v>
      </c>
      <c r="G949" s="93"/>
      <c r="H949" s="92">
        <v>10</v>
      </c>
      <c r="I949" s="92" t="str">
        <f t="shared" si="49"/>
        <v>X</v>
      </c>
      <c r="J949" s="79" t="str">
        <f>IF(G949="","X",_xlfn.XLOOKUP(B949,DATA_Moresby_2024_ALL!B:B,DATA_Moresby_2024_ALL!K:K,""))</f>
        <v>X</v>
      </c>
      <c r="K949" s="28"/>
      <c r="L949" s="29"/>
      <c r="M949" s="28"/>
      <c r="N949" s="19" t="str">
        <f t="shared" si="48"/>
        <v/>
      </c>
      <c r="O949" s="19" t="str">
        <f t="shared" si="48"/>
        <v/>
      </c>
      <c r="P949" s="19" t="str">
        <f t="shared" si="48"/>
        <v/>
      </c>
      <c r="Q949" s="19" t="str">
        <f t="shared" si="48"/>
        <v/>
      </c>
      <c r="X949" s="92" t="s">
        <v>78</v>
      </c>
      <c r="Y949" s="92" t="s">
        <v>78</v>
      </c>
      <c r="Z949" s="92" t="s">
        <v>78</v>
      </c>
    </row>
    <row r="950" spans="1:26" ht="16" hidden="1" x14ac:dyDescent="0.4">
      <c r="A950" s="92">
        <v>4734</v>
      </c>
      <c r="B950" s="92">
        <v>4735</v>
      </c>
      <c r="E950" s="92">
        <v>50</v>
      </c>
      <c r="F950" s="92">
        <f>_xlfn.XLOOKUP(B950, DATA_Moresby_2024_ALL!B:B, DATA_Moresby_2024_ALL!G:G, "")</f>
        <v>0</v>
      </c>
      <c r="G950" s="93"/>
      <c r="H950" s="92">
        <v>10</v>
      </c>
      <c r="I950" s="92" t="str">
        <f t="shared" si="49"/>
        <v>X</v>
      </c>
      <c r="J950" s="79" t="str">
        <f>IF(G950="","X",_xlfn.XLOOKUP(B950,DATA_Moresby_2024_ALL!B:B,DATA_Moresby_2024_ALL!K:K,""))</f>
        <v>X</v>
      </c>
      <c r="K950" s="28"/>
      <c r="L950" s="29"/>
      <c r="M950" s="28"/>
      <c r="N950" s="19" t="str">
        <f t="shared" si="48"/>
        <v/>
      </c>
      <c r="O950" s="19" t="str">
        <f t="shared" si="48"/>
        <v/>
      </c>
      <c r="P950" s="19" t="str">
        <f t="shared" si="48"/>
        <v/>
      </c>
      <c r="Q950" s="19" t="str">
        <f t="shared" si="48"/>
        <v/>
      </c>
      <c r="X950" s="92" t="s">
        <v>78</v>
      </c>
      <c r="Y950" s="92" t="s">
        <v>78</v>
      </c>
      <c r="Z950" s="92" t="s">
        <v>78</v>
      </c>
    </row>
    <row r="951" spans="1:26" ht="16" hidden="1" x14ac:dyDescent="0.4">
      <c r="A951" s="92">
        <v>4739</v>
      </c>
      <c r="B951" s="92">
        <v>4740</v>
      </c>
      <c r="E951" s="92">
        <v>50</v>
      </c>
      <c r="F951" s="92">
        <f>_xlfn.XLOOKUP(B951, DATA_Moresby_2024_ALL!B:B, DATA_Moresby_2024_ALL!G:G, "")</f>
        <v>0</v>
      </c>
      <c r="G951" s="93"/>
      <c r="H951" s="92">
        <v>10</v>
      </c>
      <c r="I951" s="92" t="str">
        <f t="shared" si="49"/>
        <v>X</v>
      </c>
      <c r="J951" s="79" t="str">
        <f>IF(G951="","X",_xlfn.XLOOKUP(B951,DATA_Moresby_2024_ALL!B:B,DATA_Moresby_2024_ALL!K:K,""))</f>
        <v>X</v>
      </c>
      <c r="K951" s="28"/>
      <c r="L951" s="29"/>
      <c r="M951" s="28"/>
      <c r="N951" s="19" t="str">
        <f t="shared" si="48"/>
        <v/>
      </c>
      <c r="O951" s="19" t="str">
        <f t="shared" si="48"/>
        <v/>
      </c>
      <c r="P951" s="19" t="str">
        <f t="shared" si="48"/>
        <v/>
      </c>
      <c r="Q951" s="19" t="str">
        <f t="shared" si="48"/>
        <v/>
      </c>
      <c r="X951" s="92" t="s">
        <v>78</v>
      </c>
      <c r="Y951" s="92" t="s">
        <v>78</v>
      </c>
      <c r="Z951" s="92" t="s">
        <v>78</v>
      </c>
    </row>
    <row r="952" spans="1:26" ht="16" hidden="1" x14ac:dyDescent="0.4">
      <c r="A952" s="92">
        <v>4744</v>
      </c>
      <c r="B952" s="92">
        <v>4745</v>
      </c>
      <c r="E952" s="92">
        <v>50</v>
      </c>
      <c r="F952" s="92">
        <f>_xlfn.XLOOKUP(B952, DATA_Moresby_2024_ALL!B:B, DATA_Moresby_2024_ALL!G:G, "")</f>
        <v>0</v>
      </c>
      <c r="G952" s="93"/>
      <c r="H952" s="92">
        <v>10</v>
      </c>
      <c r="I952" s="92" t="str">
        <f t="shared" si="49"/>
        <v>X</v>
      </c>
      <c r="J952" s="79" t="str">
        <f>IF(G952="","X",_xlfn.XLOOKUP(B952,DATA_Moresby_2024_ALL!B:B,DATA_Moresby_2024_ALL!K:K,""))</f>
        <v>X</v>
      </c>
      <c r="K952" s="28"/>
      <c r="L952" s="29"/>
      <c r="M952" s="28"/>
      <c r="N952" s="19" t="str">
        <f t="shared" si="48"/>
        <v/>
      </c>
      <c r="O952" s="19" t="str">
        <f t="shared" si="48"/>
        <v/>
      </c>
      <c r="P952" s="19" t="str">
        <f t="shared" si="48"/>
        <v/>
      </c>
      <c r="Q952" s="19" t="str">
        <f t="shared" si="48"/>
        <v/>
      </c>
      <c r="X952" s="92" t="s">
        <v>78</v>
      </c>
      <c r="Y952" s="92" t="s">
        <v>78</v>
      </c>
      <c r="Z952" s="92" t="s">
        <v>78</v>
      </c>
    </row>
    <row r="953" spans="1:26" ht="16" hidden="1" x14ac:dyDescent="0.4">
      <c r="A953" s="92">
        <v>4749</v>
      </c>
      <c r="B953" s="92">
        <v>4750</v>
      </c>
      <c r="E953" s="92">
        <v>50</v>
      </c>
      <c r="F953" s="92">
        <f>_xlfn.XLOOKUP(B953, DATA_Moresby_2024_ALL!B:B, DATA_Moresby_2024_ALL!G:G, "")</f>
        <v>0</v>
      </c>
      <c r="G953" s="93"/>
      <c r="H953" s="92">
        <v>10</v>
      </c>
      <c r="I953" s="92" t="str">
        <f t="shared" si="49"/>
        <v>X</v>
      </c>
      <c r="J953" s="79" t="str">
        <f>IF(G953="","X",_xlfn.XLOOKUP(B953,DATA_Moresby_2024_ALL!B:B,DATA_Moresby_2024_ALL!K:K,""))</f>
        <v>X</v>
      </c>
      <c r="K953" s="28"/>
      <c r="L953" s="29"/>
      <c r="M953" s="28"/>
      <c r="N953" s="19" t="str">
        <f t="shared" si="48"/>
        <v/>
      </c>
      <c r="O953" s="19" t="str">
        <f t="shared" si="48"/>
        <v/>
      </c>
      <c r="P953" s="19" t="str">
        <f t="shared" si="48"/>
        <v/>
      </c>
      <c r="Q953" s="19" t="str">
        <f t="shared" si="48"/>
        <v/>
      </c>
      <c r="X953" s="92" t="s">
        <v>78</v>
      </c>
      <c r="Y953" s="92" t="s">
        <v>78</v>
      </c>
      <c r="Z953" s="92" t="s">
        <v>78</v>
      </c>
    </row>
    <row r="954" spans="1:26" ht="16" hidden="1" x14ac:dyDescent="0.4">
      <c r="A954" s="92">
        <v>4754</v>
      </c>
      <c r="B954" s="92">
        <v>4755</v>
      </c>
      <c r="E954" s="92">
        <v>50</v>
      </c>
      <c r="F954" s="92">
        <f>_xlfn.XLOOKUP(B954, DATA_Moresby_2024_ALL!B:B, DATA_Moresby_2024_ALL!G:G, "")</f>
        <v>0</v>
      </c>
      <c r="G954" s="93"/>
      <c r="H954" s="92">
        <v>10</v>
      </c>
      <c r="I954" s="92" t="str">
        <f t="shared" si="49"/>
        <v>X</v>
      </c>
      <c r="J954" s="79" t="str">
        <f>IF(G954="","X",_xlfn.XLOOKUP(B954,DATA_Moresby_2024_ALL!B:B,DATA_Moresby_2024_ALL!K:K,""))</f>
        <v>X</v>
      </c>
      <c r="K954" s="28"/>
      <c r="L954" s="29"/>
      <c r="M954" s="28"/>
      <c r="N954" s="19" t="str">
        <f t="shared" si="48"/>
        <v/>
      </c>
      <c r="O954" s="19" t="str">
        <f t="shared" si="48"/>
        <v/>
      </c>
      <c r="P954" s="19" t="str">
        <f t="shared" si="48"/>
        <v/>
      </c>
      <c r="Q954" s="19" t="str">
        <f t="shared" si="48"/>
        <v/>
      </c>
      <c r="X954" s="92" t="s">
        <v>78</v>
      </c>
      <c r="Y954" s="92" t="s">
        <v>78</v>
      </c>
      <c r="Z954" s="92" t="s">
        <v>78</v>
      </c>
    </row>
    <row r="955" spans="1:26" ht="16" hidden="1" x14ac:dyDescent="0.4">
      <c r="A955" s="92">
        <v>4759</v>
      </c>
      <c r="B955" s="92">
        <v>4760</v>
      </c>
      <c r="E955" s="92">
        <v>50</v>
      </c>
      <c r="F955" s="92">
        <f>_xlfn.XLOOKUP(B955, DATA_Moresby_2024_ALL!B:B, DATA_Moresby_2024_ALL!G:G, "")</f>
        <v>0</v>
      </c>
      <c r="G955" s="93"/>
      <c r="H955" s="92">
        <v>10</v>
      </c>
      <c r="I955" s="92" t="str">
        <f t="shared" si="49"/>
        <v>X</v>
      </c>
      <c r="J955" s="79" t="str">
        <f>IF(G955="","X",_xlfn.XLOOKUP(B955,DATA_Moresby_2024_ALL!B:B,DATA_Moresby_2024_ALL!K:K,""))</f>
        <v>X</v>
      </c>
      <c r="K955" s="28"/>
      <c r="L955" s="29"/>
      <c r="M955" s="28"/>
      <c r="N955" s="19" t="str">
        <f t="shared" si="48"/>
        <v/>
      </c>
      <c r="O955" s="19" t="str">
        <f t="shared" si="48"/>
        <v/>
      </c>
      <c r="P955" s="19" t="str">
        <f t="shared" si="48"/>
        <v/>
      </c>
      <c r="Q955" s="19" t="str">
        <f t="shared" si="48"/>
        <v/>
      </c>
      <c r="X955" s="92" t="s">
        <v>78</v>
      </c>
      <c r="Y955" s="92" t="s">
        <v>78</v>
      </c>
      <c r="Z955" s="92" t="s">
        <v>78</v>
      </c>
    </row>
    <row r="956" spans="1:26" ht="16" hidden="1" x14ac:dyDescent="0.4">
      <c r="A956" s="92">
        <v>4764</v>
      </c>
      <c r="B956" s="92">
        <v>4765</v>
      </c>
      <c r="E956" s="92">
        <v>50</v>
      </c>
      <c r="F956" s="92">
        <f>_xlfn.XLOOKUP(B956, DATA_Moresby_2024_ALL!B:B, DATA_Moresby_2024_ALL!G:G, "")</f>
        <v>0</v>
      </c>
      <c r="G956" s="93"/>
      <c r="H956" s="92">
        <v>10</v>
      </c>
      <c r="I956" s="92" t="str">
        <f t="shared" si="49"/>
        <v>X</v>
      </c>
      <c r="J956" s="79" t="str">
        <f>IF(G956="","X",_xlfn.XLOOKUP(B956,DATA_Moresby_2024_ALL!B:B,DATA_Moresby_2024_ALL!K:K,""))</f>
        <v>X</v>
      </c>
      <c r="K956" s="28"/>
      <c r="L956" s="29"/>
      <c r="M956" s="28"/>
      <c r="N956" s="19" t="str">
        <f t="shared" si="48"/>
        <v/>
      </c>
      <c r="O956" s="19" t="str">
        <f t="shared" si="48"/>
        <v/>
      </c>
      <c r="P956" s="19" t="str">
        <f t="shared" si="48"/>
        <v/>
      </c>
      <c r="Q956" s="19" t="str">
        <f t="shared" si="48"/>
        <v/>
      </c>
      <c r="X956" s="92" t="s">
        <v>78</v>
      </c>
      <c r="Y956" s="92" t="s">
        <v>78</v>
      </c>
      <c r="Z956" s="92" t="s">
        <v>78</v>
      </c>
    </row>
    <row r="957" spans="1:26" ht="16" hidden="1" x14ac:dyDescent="0.4">
      <c r="A957" s="92">
        <v>4769</v>
      </c>
      <c r="B957" s="92">
        <v>4770</v>
      </c>
      <c r="E957" s="92">
        <v>50</v>
      </c>
      <c r="F957" s="92">
        <f>_xlfn.XLOOKUP(B957, DATA_Moresby_2024_ALL!B:B, DATA_Moresby_2024_ALL!G:G, "")</f>
        <v>0</v>
      </c>
      <c r="G957" s="93"/>
      <c r="H957" s="92">
        <v>10</v>
      </c>
      <c r="I957" s="92" t="str">
        <f t="shared" si="49"/>
        <v>X</v>
      </c>
      <c r="J957" s="79" t="str">
        <f>IF(G957="","X",_xlfn.XLOOKUP(B957,DATA_Moresby_2024_ALL!B:B,DATA_Moresby_2024_ALL!K:K,""))</f>
        <v>X</v>
      </c>
      <c r="K957" s="28"/>
      <c r="L957" s="29"/>
      <c r="M957" s="28"/>
      <c r="N957" s="19" t="str">
        <f t="shared" si="48"/>
        <v/>
      </c>
      <c r="O957" s="19" t="str">
        <f t="shared" si="48"/>
        <v/>
      </c>
      <c r="P957" s="19" t="str">
        <f t="shared" si="48"/>
        <v/>
      </c>
      <c r="Q957" s="19" t="str">
        <f t="shared" si="48"/>
        <v/>
      </c>
      <c r="X957" s="92" t="s">
        <v>78</v>
      </c>
      <c r="Y957" s="92" t="s">
        <v>78</v>
      </c>
      <c r="Z957" s="92" t="s">
        <v>78</v>
      </c>
    </row>
    <row r="958" spans="1:26" ht="16" hidden="1" x14ac:dyDescent="0.4">
      <c r="A958" s="92">
        <v>4774</v>
      </c>
      <c r="B958" s="92">
        <v>4775</v>
      </c>
      <c r="E958" s="92">
        <v>50</v>
      </c>
      <c r="F958" s="92">
        <f>_xlfn.XLOOKUP(B958, DATA_Moresby_2024_ALL!B:B, DATA_Moresby_2024_ALL!G:G, "")</f>
        <v>0</v>
      </c>
      <c r="G958" s="93"/>
      <c r="H958" s="92">
        <v>10</v>
      </c>
      <c r="I958" s="92" t="str">
        <f t="shared" si="49"/>
        <v>X</v>
      </c>
      <c r="J958" s="79" t="str">
        <f>IF(G958="","X",_xlfn.XLOOKUP(B958,DATA_Moresby_2024_ALL!B:B,DATA_Moresby_2024_ALL!K:K,""))</f>
        <v>X</v>
      </c>
      <c r="K958" s="28"/>
      <c r="L958" s="29"/>
      <c r="M958" s="28"/>
      <c r="N958" s="19" t="str">
        <f t="shared" si="48"/>
        <v/>
      </c>
      <c r="O958" s="19" t="str">
        <f t="shared" si="48"/>
        <v/>
      </c>
      <c r="P958" s="19" t="str">
        <f t="shared" si="48"/>
        <v/>
      </c>
      <c r="Q958" s="19" t="str">
        <f t="shared" si="48"/>
        <v/>
      </c>
      <c r="X958" s="92" t="s">
        <v>78</v>
      </c>
      <c r="Y958" s="92" t="s">
        <v>78</v>
      </c>
      <c r="Z958" s="92" t="s">
        <v>78</v>
      </c>
    </row>
    <row r="959" spans="1:26" ht="16" hidden="1" x14ac:dyDescent="0.4">
      <c r="A959" s="92">
        <v>4779</v>
      </c>
      <c r="B959" s="92">
        <v>4780</v>
      </c>
      <c r="E959" s="92">
        <v>50</v>
      </c>
      <c r="F959" s="92">
        <f>_xlfn.XLOOKUP(B959, DATA_Moresby_2024_ALL!B:B, DATA_Moresby_2024_ALL!G:G, "")</f>
        <v>0</v>
      </c>
      <c r="G959" s="93"/>
      <c r="H959" s="92">
        <v>10</v>
      </c>
      <c r="I959" s="92" t="str">
        <f t="shared" si="49"/>
        <v>X</v>
      </c>
      <c r="J959" s="79" t="str">
        <f>IF(G959="","X",_xlfn.XLOOKUP(B959,DATA_Moresby_2024_ALL!B:B,DATA_Moresby_2024_ALL!K:K,""))</f>
        <v>X</v>
      </c>
      <c r="K959" s="28"/>
      <c r="L959" s="29"/>
      <c r="M959" s="28"/>
      <c r="N959" s="19" t="str">
        <f t="shared" si="48"/>
        <v/>
      </c>
      <c r="O959" s="19" t="str">
        <f t="shared" si="48"/>
        <v/>
      </c>
      <c r="P959" s="19" t="str">
        <f t="shared" si="48"/>
        <v/>
      </c>
      <c r="Q959" s="19" t="str">
        <f t="shared" si="48"/>
        <v/>
      </c>
      <c r="X959" s="92" t="s">
        <v>78</v>
      </c>
      <c r="Y959" s="92" t="s">
        <v>78</v>
      </c>
      <c r="Z959" s="92" t="s">
        <v>78</v>
      </c>
    </row>
    <row r="960" spans="1:26" ht="16" hidden="1" x14ac:dyDescent="0.4">
      <c r="A960" s="92">
        <v>4784</v>
      </c>
      <c r="B960" s="92">
        <v>4785</v>
      </c>
      <c r="E960" s="92">
        <v>50</v>
      </c>
      <c r="F960" s="92">
        <f>_xlfn.XLOOKUP(B960, DATA_Moresby_2024_ALL!B:B, DATA_Moresby_2024_ALL!G:G, "")</f>
        <v>0</v>
      </c>
      <c r="G960" s="93"/>
      <c r="H960" s="92">
        <v>10</v>
      </c>
      <c r="I960" s="92" t="str">
        <f t="shared" si="49"/>
        <v>X</v>
      </c>
      <c r="J960" s="79" t="str">
        <f>IF(G960="","X",_xlfn.XLOOKUP(B960,DATA_Moresby_2024_ALL!B:B,DATA_Moresby_2024_ALL!K:K,""))</f>
        <v>X</v>
      </c>
      <c r="K960" s="28"/>
      <c r="L960" s="29"/>
      <c r="M960" s="28"/>
      <c r="N960" s="19" t="str">
        <f t="shared" si="48"/>
        <v/>
      </c>
      <c r="O960" s="19" t="str">
        <f t="shared" si="48"/>
        <v/>
      </c>
      <c r="P960" s="19" t="str">
        <f t="shared" si="48"/>
        <v/>
      </c>
      <c r="Q960" s="19" t="str">
        <f t="shared" si="48"/>
        <v/>
      </c>
      <c r="X960" s="92" t="s">
        <v>78</v>
      </c>
      <c r="Y960" s="92" t="s">
        <v>78</v>
      </c>
      <c r="Z960" s="92" t="s">
        <v>78</v>
      </c>
    </row>
    <row r="961" spans="1:26" ht="16" hidden="1" x14ac:dyDescent="0.4">
      <c r="A961" s="92">
        <v>4789</v>
      </c>
      <c r="B961" s="92">
        <v>4790</v>
      </c>
      <c r="E961" s="92">
        <v>50</v>
      </c>
      <c r="F961" s="92">
        <f>_xlfn.XLOOKUP(B961, DATA_Moresby_2024_ALL!B:B, DATA_Moresby_2024_ALL!G:G, "")</f>
        <v>0</v>
      </c>
      <c r="G961" s="93"/>
      <c r="H961" s="92">
        <v>10</v>
      </c>
      <c r="I961" s="92" t="str">
        <f t="shared" si="49"/>
        <v>X</v>
      </c>
      <c r="J961" s="79" t="str">
        <f>IF(G961="","X",_xlfn.XLOOKUP(B961,DATA_Moresby_2024_ALL!B:B,DATA_Moresby_2024_ALL!K:K,""))</f>
        <v>X</v>
      </c>
      <c r="K961" s="28"/>
      <c r="L961" s="29"/>
      <c r="M961" s="28"/>
      <c r="N961" s="19" t="str">
        <f t="shared" si="48"/>
        <v/>
      </c>
      <c r="O961" s="19" t="str">
        <f t="shared" si="48"/>
        <v/>
      </c>
      <c r="P961" s="19" t="str">
        <f t="shared" si="48"/>
        <v/>
      </c>
      <c r="Q961" s="19" t="str">
        <f t="shared" si="48"/>
        <v/>
      </c>
      <c r="X961" s="92" t="s">
        <v>78</v>
      </c>
      <c r="Y961" s="92" t="s">
        <v>78</v>
      </c>
      <c r="Z961" s="92" t="s">
        <v>78</v>
      </c>
    </row>
    <row r="962" spans="1:26" ht="16" hidden="1" x14ac:dyDescent="0.4">
      <c r="A962" s="92">
        <v>4794</v>
      </c>
      <c r="B962" s="92">
        <v>4795</v>
      </c>
      <c r="E962" s="92">
        <v>50</v>
      </c>
      <c r="F962" s="92">
        <f>_xlfn.XLOOKUP(B962, DATA_Moresby_2024_ALL!B:B, DATA_Moresby_2024_ALL!G:G, "")</f>
        <v>0</v>
      </c>
      <c r="G962" s="93"/>
      <c r="H962" s="92">
        <v>10</v>
      </c>
      <c r="I962" s="92" t="str">
        <f t="shared" si="49"/>
        <v>X</v>
      </c>
      <c r="J962" s="79" t="str">
        <f>IF(G962="","X",_xlfn.XLOOKUP(B962,DATA_Moresby_2024_ALL!B:B,DATA_Moresby_2024_ALL!K:K,""))</f>
        <v>X</v>
      </c>
      <c r="K962" s="28"/>
      <c r="L962" s="29"/>
      <c r="M962" s="28"/>
      <c r="N962" s="19" t="str">
        <f t="shared" si="48"/>
        <v/>
      </c>
      <c r="O962" s="19" t="str">
        <f t="shared" si="48"/>
        <v/>
      </c>
      <c r="P962" s="19" t="str">
        <f t="shared" si="48"/>
        <v/>
      </c>
      <c r="Q962" s="19" t="str">
        <f t="shared" si="48"/>
        <v/>
      </c>
      <c r="X962" s="92" t="s">
        <v>78</v>
      </c>
      <c r="Y962" s="92" t="s">
        <v>78</v>
      </c>
      <c r="Z962" s="92" t="s">
        <v>78</v>
      </c>
    </row>
    <row r="963" spans="1:26" ht="16" hidden="1" x14ac:dyDescent="0.4">
      <c r="A963" s="92">
        <v>4799</v>
      </c>
      <c r="B963" s="92">
        <v>4800</v>
      </c>
      <c r="E963" s="92">
        <v>50</v>
      </c>
      <c r="F963" s="92">
        <f>_xlfn.XLOOKUP(B963, DATA_Moresby_2024_ALL!B:B, DATA_Moresby_2024_ALL!G:G, "")</f>
        <v>0</v>
      </c>
      <c r="G963" s="93"/>
      <c r="H963" s="92">
        <v>10</v>
      </c>
      <c r="I963" s="92" t="str">
        <f t="shared" si="49"/>
        <v>X</v>
      </c>
      <c r="J963" s="79" t="str">
        <f>IF(G963="","X",_xlfn.XLOOKUP(B963,DATA_Moresby_2024_ALL!B:B,DATA_Moresby_2024_ALL!K:K,""))</f>
        <v>X</v>
      </c>
      <c r="K963" s="28"/>
      <c r="L963" s="29"/>
      <c r="M963" s="28"/>
      <c r="N963" s="19" t="str">
        <f t="shared" si="48"/>
        <v/>
      </c>
      <c r="O963" s="19" t="str">
        <f t="shared" si="48"/>
        <v/>
      </c>
      <c r="P963" s="19" t="str">
        <f t="shared" si="48"/>
        <v/>
      </c>
      <c r="Q963" s="19" t="str">
        <f t="shared" si="48"/>
        <v/>
      </c>
      <c r="X963" s="92" t="s">
        <v>78</v>
      </c>
      <c r="Y963" s="92" t="s">
        <v>78</v>
      </c>
      <c r="Z963" s="92" t="s">
        <v>78</v>
      </c>
    </row>
    <row r="964" spans="1:26" ht="16" hidden="1" x14ac:dyDescent="0.4">
      <c r="A964" s="92">
        <v>4804</v>
      </c>
      <c r="B964" s="92">
        <v>4805</v>
      </c>
      <c r="E964" s="92">
        <v>50</v>
      </c>
      <c r="F964" s="92">
        <f>_xlfn.XLOOKUP(B964, DATA_Moresby_2024_ALL!B:B, DATA_Moresby_2024_ALL!G:G, "")</f>
        <v>0</v>
      </c>
      <c r="G964" s="93"/>
      <c r="H964" s="92">
        <v>10</v>
      </c>
      <c r="I964" s="92" t="str">
        <f t="shared" si="49"/>
        <v>X</v>
      </c>
      <c r="J964" s="79" t="str">
        <f>IF(G964="","X",_xlfn.XLOOKUP(B964,DATA_Moresby_2024_ALL!B:B,DATA_Moresby_2024_ALL!K:K,""))</f>
        <v>X</v>
      </c>
      <c r="K964" s="28"/>
      <c r="L964" s="29"/>
      <c r="M964" s="28"/>
      <c r="N964" s="19" t="str">
        <f t="shared" si="48"/>
        <v/>
      </c>
      <c r="O964" s="19" t="str">
        <f t="shared" si="48"/>
        <v/>
      </c>
      <c r="P964" s="19" t="str">
        <f t="shared" si="48"/>
        <v/>
      </c>
      <c r="Q964" s="19" t="str">
        <f t="shared" si="48"/>
        <v/>
      </c>
      <c r="X964" s="92" t="s">
        <v>78</v>
      </c>
      <c r="Y964" s="92" t="s">
        <v>78</v>
      </c>
      <c r="Z964" s="92" t="s">
        <v>78</v>
      </c>
    </row>
    <row r="965" spans="1:26" ht="16" hidden="1" x14ac:dyDescent="0.4">
      <c r="A965" s="92">
        <v>4809</v>
      </c>
      <c r="B965" s="92">
        <v>4810</v>
      </c>
      <c r="E965" s="92">
        <v>50</v>
      </c>
      <c r="F965" s="92">
        <f>_xlfn.XLOOKUP(B965, DATA_Moresby_2024_ALL!B:B, DATA_Moresby_2024_ALL!G:G, "")</f>
        <v>0</v>
      </c>
      <c r="G965" s="93"/>
      <c r="H965" s="92">
        <v>10</v>
      </c>
      <c r="I965" s="92" t="str">
        <f t="shared" si="49"/>
        <v>X</v>
      </c>
      <c r="J965" s="79" t="str">
        <f>IF(G965="","X",_xlfn.XLOOKUP(B965,DATA_Moresby_2024_ALL!B:B,DATA_Moresby_2024_ALL!K:K,""))</f>
        <v>X</v>
      </c>
      <c r="K965" s="28"/>
      <c r="L965" s="29"/>
      <c r="M965" s="28"/>
      <c r="N965" s="19" t="str">
        <f t="shared" si="48"/>
        <v/>
      </c>
      <c r="O965" s="19" t="str">
        <f t="shared" si="48"/>
        <v/>
      </c>
      <c r="P965" s="19" t="str">
        <f t="shared" si="48"/>
        <v/>
      </c>
      <c r="Q965" s="19" t="str">
        <f t="shared" si="48"/>
        <v/>
      </c>
      <c r="X965" s="92" t="s">
        <v>78</v>
      </c>
      <c r="Y965" s="92" t="s">
        <v>78</v>
      </c>
      <c r="Z965" s="92" t="s">
        <v>78</v>
      </c>
    </row>
    <row r="966" spans="1:26" ht="16" hidden="1" x14ac:dyDescent="0.4">
      <c r="A966" s="92">
        <v>4814</v>
      </c>
      <c r="B966" s="92">
        <v>4815</v>
      </c>
      <c r="E966" s="92">
        <v>50</v>
      </c>
      <c r="F966" s="92">
        <f>_xlfn.XLOOKUP(B966, DATA_Moresby_2024_ALL!B:B, DATA_Moresby_2024_ALL!G:G, "")</f>
        <v>0</v>
      </c>
      <c r="G966" s="93"/>
      <c r="H966" s="92">
        <v>10</v>
      </c>
      <c r="I966" s="92" t="str">
        <f t="shared" si="49"/>
        <v>X</v>
      </c>
      <c r="J966" s="79" t="str">
        <f>IF(G966="","X",_xlfn.XLOOKUP(B966,DATA_Moresby_2024_ALL!B:B,DATA_Moresby_2024_ALL!K:K,""))</f>
        <v>X</v>
      </c>
      <c r="K966" s="28"/>
      <c r="L966" s="29"/>
      <c r="M966" s="28"/>
      <c r="N966" s="19" t="str">
        <f t="shared" si="48"/>
        <v/>
      </c>
      <c r="O966" s="19" t="str">
        <f t="shared" si="48"/>
        <v/>
      </c>
      <c r="P966" s="19" t="str">
        <f t="shared" si="48"/>
        <v/>
      </c>
      <c r="Q966" s="19" t="str">
        <f t="shared" si="48"/>
        <v/>
      </c>
      <c r="X966" s="92" t="s">
        <v>78</v>
      </c>
      <c r="Y966" s="92" t="s">
        <v>78</v>
      </c>
      <c r="Z966" s="92" t="s">
        <v>78</v>
      </c>
    </row>
    <row r="967" spans="1:26" ht="16" hidden="1" x14ac:dyDescent="0.4">
      <c r="A967" s="92">
        <v>4819</v>
      </c>
      <c r="B967" s="92">
        <v>4820</v>
      </c>
      <c r="E967" s="92">
        <v>50</v>
      </c>
      <c r="F967" s="92">
        <f>_xlfn.XLOOKUP(B967, DATA_Moresby_2024_ALL!B:B, DATA_Moresby_2024_ALL!G:G, "")</f>
        <v>0</v>
      </c>
      <c r="G967" s="93"/>
      <c r="H967" s="92">
        <v>10</v>
      </c>
      <c r="I967" s="92" t="str">
        <f t="shared" si="49"/>
        <v>X</v>
      </c>
      <c r="J967" s="79" t="str">
        <f>IF(G967="","X",_xlfn.XLOOKUP(B967,DATA_Moresby_2024_ALL!B:B,DATA_Moresby_2024_ALL!K:K,""))</f>
        <v>X</v>
      </c>
      <c r="K967" s="28"/>
      <c r="L967" s="29"/>
      <c r="M967" s="28"/>
      <c r="N967" s="19" t="str">
        <f t="shared" si="48"/>
        <v/>
      </c>
      <c r="O967" s="19" t="str">
        <f t="shared" si="48"/>
        <v/>
      </c>
      <c r="P967" s="19" t="str">
        <f t="shared" si="48"/>
        <v/>
      </c>
      <c r="Q967" s="19" t="str">
        <f t="shared" si="48"/>
        <v/>
      </c>
      <c r="X967" s="92" t="s">
        <v>78</v>
      </c>
      <c r="Y967" s="92" t="s">
        <v>78</v>
      </c>
      <c r="Z967" s="92" t="s">
        <v>78</v>
      </c>
    </row>
    <row r="968" spans="1:26" ht="16" hidden="1" x14ac:dyDescent="0.4">
      <c r="A968" s="92">
        <v>4824</v>
      </c>
      <c r="B968" s="92">
        <v>4825</v>
      </c>
      <c r="E968" s="92">
        <v>50</v>
      </c>
      <c r="F968" s="92">
        <f>_xlfn.XLOOKUP(B968, DATA_Moresby_2024_ALL!B:B, DATA_Moresby_2024_ALL!G:G, "")</f>
        <v>0</v>
      </c>
      <c r="G968" s="93"/>
      <c r="H968" s="92">
        <v>10</v>
      </c>
      <c r="I968" s="92" t="str">
        <f t="shared" si="49"/>
        <v>X</v>
      </c>
      <c r="J968" s="79" t="str">
        <f>IF(G968="","X",_xlfn.XLOOKUP(B968,DATA_Moresby_2024_ALL!B:B,DATA_Moresby_2024_ALL!K:K,""))</f>
        <v>X</v>
      </c>
      <c r="K968" s="28"/>
      <c r="L968" s="29"/>
      <c r="M968" s="28"/>
      <c r="N968" s="19" t="str">
        <f t="shared" si="48"/>
        <v/>
      </c>
      <c r="O968" s="19" t="str">
        <f t="shared" si="48"/>
        <v/>
      </c>
      <c r="P968" s="19" t="str">
        <f t="shared" si="48"/>
        <v/>
      </c>
      <c r="Q968" s="19" t="str">
        <f t="shared" si="48"/>
        <v/>
      </c>
      <c r="X968" s="92" t="s">
        <v>78</v>
      </c>
      <c r="Y968" s="92" t="s">
        <v>78</v>
      </c>
      <c r="Z968" s="92" t="s">
        <v>78</v>
      </c>
    </row>
    <row r="969" spans="1:26" ht="16" hidden="1" x14ac:dyDescent="0.4">
      <c r="A969" s="92">
        <v>4829</v>
      </c>
      <c r="B969" s="92">
        <v>4830</v>
      </c>
      <c r="E969" s="92">
        <v>50</v>
      </c>
      <c r="F969" s="92">
        <f>_xlfn.XLOOKUP(B969, DATA_Moresby_2024_ALL!B:B, DATA_Moresby_2024_ALL!G:G, "")</f>
        <v>0</v>
      </c>
      <c r="G969" s="93"/>
      <c r="H969" s="92">
        <v>10</v>
      </c>
      <c r="I969" s="92" t="str">
        <f t="shared" si="49"/>
        <v>X</v>
      </c>
      <c r="J969" s="79" t="str">
        <f>IF(G969="","X",_xlfn.XLOOKUP(B969,DATA_Moresby_2024_ALL!B:B,DATA_Moresby_2024_ALL!K:K,""))</f>
        <v>X</v>
      </c>
      <c r="K969" s="28"/>
      <c r="L969" s="29"/>
      <c r="M969" s="28"/>
      <c r="N969" s="19" t="str">
        <f t="shared" si="48"/>
        <v/>
      </c>
      <c r="O969" s="19" t="str">
        <f t="shared" si="48"/>
        <v/>
      </c>
      <c r="P969" s="19" t="str">
        <f t="shared" si="48"/>
        <v/>
      </c>
      <c r="Q969" s="19" t="str">
        <f t="shared" si="48"/>
        <v/>
      </c>
      <c r="X969" s="92" t="s">
        <v>78</v>
      </c>
      <c r="Y969" s="92" t="s">
        <v>78</v>
      </c>
      <c r="Z969" s="92" t="s">
        <v>78</v>
      </c>
    </row>
    <row r="970" spans="1:26" ht="16" hidden="1" x14ac:dyDescent="0.4">
      <c r="A970" s="92">
        <v>4834</v>
      </c>
      <c r="B970" s="92">
        <v>4835</v>
      </c>
      <c r="E970" s="92">
        <v>50</v>
      </c>
      <c r="F970" s="92">
        <f>_xlfn.XLOOKUP(B970, DATA_Moresby_2024_ALL!B:B, DATA_Moresby_2024_ALL!G:G, "")</f>
        <v>0</v>
      </c>
      <c r="G970" s="93"/>
      <c r="H970" s="92">
        <v>10</v>
      </c>
      <c r="I970" s="92" t="str">
        <f t="shared" si="49"/>
        <v>X</v>
      </c>
      <c r="J970" s="79" t="str">
        <f>IF(G970="","X",_xlfn.XLOOKUP(B970,DATA_Moresby_2024_ALL!B:B,DATA_Moresby_2024_ALL!K:K,""))</f>
        <v>X</v>
      </c>
      <c r="K970" s="28"/>
      <c r="L970" s="29"/>
      <c r="M970" s="28"/>
      <c r="N970" s="19" t="str">
        <f t="shared" si="48"/>
        <v/>
      </c>
      <c r="O970" s="19" t="str">
        <f t="shared" si="48"/>
        <v/>
      </c>
      <c r="P970" s="19" t="str">
        <f t="shared" si="48"/>
        <v/>
      </c>
      <c r="Q970" s="19" t="str">
        <f t="shared" si="48"/>
        <v/>
      </c>
      <c r="X970" s="92" t="s">
        <v>78</v>
      </c>
      <c r="Y970" s="92" t="s">
        <v>78</v>
      </c>
      <c r="Z970" s="92" t="s">
        <v>78</v>
      </c>
    </row>
    <row r="971" spans="1:26" ht="16" hidden="1" x14ac:dyDescent="0.4">
      <c r="A971" s="92">
        <v>4839</v>
      </c>
      <c r="B971" s="92">
        <v>4840</v>
      </c>
      <c r="E971" s="92">
        <v>50</v>
      </c>
      <c r="F971" s="92">
        <f>_xlfn.XLOOKUP(B971, DATA_Moresby_2024_ALL!B:B, DATA_Moresby_2024_ALL!G:G, "")</f>
        <v>0</v>
      </c>
      <c r="G971" s="93"/>
      <c r="H971" s="92">
        <v>10</v>
      </c>
      <c r="I971" s="92" t="str">
        <f t="shared" si="49"/>
        <v>X</v>
      </c>
      <c r="J971" s="79" t="str">
        <f>IF(G971="","X",_xlfn.XLOOKUP(B971,DATA_Moresby_2024_ALL!B:B,DATA_Moresby_2024_ALL!K:K,""))</f>
        <v>X</v>
      </c>
      <c r="K971" s="28"/>
      <c r="L971" s="29"/>
      <c r="M971" s="28"/>
      <c r="N971" s="19" t="str">
        <f t="shared" si="48"/>
        <v/>
      </c>
      <c r="O971" s="19" t="str">
        <f t="shared" si="48"/>
        <v/>
      </c>
      <c r="P971" s="19" t="str">
        <f t="shared" si="48"/>
        <v/>
      </c>
      <c r="Q971" s="19" t="str">
        <f t="shared" si="48"/>
        <v/>
      </c>
      <c r="X971" s="92" t="s">
        <v>78</v>
      </c>
      <c r="Y971" s="92" t="s">
        <v>78</v>
      </c>
      <c r="Z971" s="92" t="s">
        <v>78</v>
      </c>
    </row>
    <row r="972" spans="1:26" ht="16" hidden="1" x14ac:dyDescent="0.4">
      <c r="A972" s="92">
        <v>4844</v>
      </c>
      <c r="B972" s="92">
        <v>4845</v>
      </c>
      <c r="E972" s="92">
        <v>50</v>
      </c>
      <c r="F972" s="92">
        <f>_xlfn.XLOOKUP(B972, DATA_Moresby_2024_ALL!B:B, DATA_Moresby_2024_ALL!G:G, "")</f>
        <v>0</v>
      </c>
      <c r="G972" s="93"/>
      <c r="H972" s="92">
        <v>10</v>
      </c>
      <c r="I972" s="92" t="str">
        <f t="shared" si="49"/>
        <v>X</v>
      </c>
      <c r="J972" s="79" t="str">
        <f>IF(G972="","X",_xlfn.XLOOKUP(B972,DATA_Moresby_2024_ALL!B:B,DATA_Moresby_2024_ALL!K:K,""))</f>
        <v>X</v>
      </c>
      <c r="K972" s="28"/>
      <c r="L972" s="29"/>
      <c r="M972" s="28"/>
      <c r="N972" s="19" t="str">
        <f t="shared" si="48"/>
        <v/>
      </c>
      <c r="O972" s="19" t="str">
        <f t="shared" si="48"/>
        <v/>
      </c>
      <c r="P972" s="19" t="str">
        <f t="shared" si="48"/>
        <v/>
      </c>
      <c r="Q972" s="19" t="str">
        <f t="shared" si="48"/>
        <v/>
      </c>
      <c r="X972" s="92" t="s">
        <v>78</v>
      </c>
      <c r="Y972" s="92" t="s">
        <v>78</v>
      </c>
      <c r="Z972" s="92" t="s">
        <v>78</v>
      </c>
    </row>
    <row r="973" spans="1:26" ht="16" hidden="1" x14ac:dyDescent="0.4">
      <c r="A973" s="92">
        <v>4849</v>
      </c>
      <c r="B973" s="92">
        <v>4850</v>
      </c>
      <c r="E973" s="92">
        <v>50</v>
      </c>
      <c r="F973" s="92">
        <f>_xlfn.XLOOKUP(B973, DATA_Moresby_2024_ALL!B:B, DATA_Moresby_2024_ALL!G:G, "")</f>
        <v>0</v>
      </c>
      <c r="G973" s="93"/>
      <c r="H973" s="92">
        <v>10</v>
      </c>
      <c r="I973" s="92" t="str">
        <f t="shared" si="49"/>
        <v>X</v>
      </c>
      <c r="J973" s="79" t="str">
        <f>IF(G973="","X",_xlfn.XLOOKUP(B973,DATA_Moresby_2024_ALL!B:B,DATA_Moresby_2024_ALL!K:K,""))</f>
        <v>X</v>
      </c>
      <c r="K973" s="28"/>
      <c r="L973" s="29"/>
      <c r="M973" s="28"/>
      <c r="N973" s="19" t="str">
        <f t="shared" si="48"/>
        <v/>
      </c>
      <c r="O973" s="19" t="str">
        <f t="shared" si="48"/>
        <v/>
      </c>
      <c r="P973" s="19" t="str">
        <f t="shared" si="48"/>
        <v/>
      </c>
      <c r="Q973" s="19" t="str">
        <f t="shared" si="48"/>
        <v/>
      </c>
      <c r="X973" s="92" t="s">
        <v>78</v>
      </c>
      <c r="Y973" s="92" t="s">
        <v>78</v>
      </c>
      <c r="Z973" s="92" t="s">
        <v>78</v>
      </c>
    </row>
    <row r="974" spans="1:26" ht="16" hidden="1" x14ac:dyDescent="0.4">
      <c r="A974" s="92">
        <v>4854</v>
      </c>
      <c r="B974" s="92">
        <v>4855</v>
      </c>
      <c r="E974" s="92">
        <v>50</v>
      </c>
      <c r="F974" s="92">
        <f>_xlfn.XLOOKUP(B974, DATA_Moresby_2024_ALL!B:B, DATA_Moresby_2024_ALL!G:G, "")</f>
        <v>0</v>
      </c>
      <c r="G974" s="93"/>
      <c r="H974" s="92">
        <v>10</v>
      </c>
      <c r="I974" s="92" t="str">
        <f t="shared" si="49"/>
        <v>X</v>
      </c>
      <c r="J974" s="79" t="str">
        <f>IF(G974="","X",_xlfn.XLOOKUP(B974,DATA_Moresby_2024_ALL!B:B,DATA_Moresby_2024_ALL!K:K,""))</f>
        <v>X</v>
      </c>
      <c r="K974" s="28"/>
      <c r="L974" s="29"/>
      <c r="M974" s="28"/>
      <c r="N974" s="19" t="str">
        <f t="shared" si="48"/>
        <v/>
      </c>
      <c r="O974" s="19" t="str">
        <f t="shared" si="48"/>
        <v/>
      </c>
      <c r="P974" s="19" t="str">
        <f t="shared" si="48"/>
        <v/>
      </c>
      <c r="Q974" s="19" t="str">
        <f t="shared" si="48"/>
        <v/>
      </c>
      <c r="X974" s="92" t="s">
        <v>78</v>
      </c>
      <c r="Y974" s="92" t="s">
        <v>78</v>
      </c>
      <c r="Z974" s="92" t="s">
        <v>78</v>
      </c>
    </row>
    <row r="975" spans="1:26" ht="16" hidden="1" x14ac:dyDescent="0.4">
      <c r="A975" s="92">
        <v>4859</v>
      </c>
      <c r="B975" s="92">
        <v>4860</v>
      </c>
      <c r="E975" s="92">
        <v>50</v>
      </c>
      <c r="F975" s="92">
        <f>_xlfn.XLOOKUP(B975, DATA_Moresby_2024_ALL!B:B, DATA_Moresby_2024_ALL!G:G, "")</f>
        <v>0</v>
      </c>
      <c r="G975" s="93"/>
      <c r="H975" s="92">
        <v>10</v>
      </c>
      <c r="I975" s="92" t="str">
        <f t="shared" si="49"/>
        <v>X</v>
      </c>
      <c r="J975" s="79" t="str">
        <f>IF(G975="","X",_xlfn.XLOOKUP(B975,DATA_Moresby_2024_ALL!B:B,DATA_Moresby_2024_ALL!K:K,""))</f>
        <v>X</v>
      </c>
      <c r="K975" s="28"/>
      <c r="L975" s="29"/>
      <c r="M975" s="28"/>
      <c r="N975" s="19" t="str">
        <f t="shared" si="48"/>
        <v/>
      </c>
      <c r="O975" s="19" t="str">
        <f t="shared" si="48"/>
        <v/>
      </c>
      <c r="P975" s="19" t="str">
        <f t="shared" si="48"/>
        <v/>
      </c>
      <c r="Q975" s="19" t="str">
        <f t="shared" si="48"/>
        <v/>
      </c>
      <c r="X975" s="92" t="s">
        <v>78</v>
      </c>
      <c r="Y975" s="92" t="s">
        <v>78</v>
      </c>
      <c r="Z975" s="92" t="s">
        <v>78</v>
      </c>
    </row>
    <row r="976" spans="1:26" ht="16" hidden="1" x14ac:dyDescent="0.4">
      <c r="A976" s="92">
        <v>4864</v>
      </c>
      <c r="B976" s="92">
        <v>4865</v>
      </c>
      <c r="E976" s="92">
        <v>50</v>
      </c>
      <c r="F976" s="92">
        <f>_xlfn.XLOOKUP(B976, DATA_Moresby_2024_ALL!B:B, DATA_Moresby_2024_ALL!G:G, "")</f>
        <v>0</v>
      </c>
      <c r="G976" s="93"/>
      <c r="H976" s="92">
        <v>10</v>
      </c>
      <c r="I976" s="92" t="str">
        <f t="shared" si="49"/>
        <v>X</v>
      </c>
      <c r="J976" s="79" t="str">
        <f>IF(G976="","X",_xlfn.XLOOKUP(B976,DATA_Moresby_2024_ALL!B:B,DATA_Moresby_2024_ALL!K:K,""))</f>
        <v>X</v>
      </c>
      <c r="K976" s="28"/>
      <c r="L976" s="29"/>
      <c r="M976" s="28"/>
      <c r="N976" s="19" t="str">
        <f t="shared" si="48"/>
        <v/>
      </c>
      <c r="O976" s="19" t="str">
        <f t="shared" si="48"/>
        <v/>
      </c>
      <c r="P976" s="19" t="str">
        <f t="shared" si="48"/>
        <v/>
      </c>
      <c r="Q976" s="19" t="str">
        <f t="shared" si="48"/>
        <v/>
      </c>
      <c r="X976" s="92" t="s">
        <v>78</v>
      </c>
      <c r="Y976" s="92" t="s">
        <v>78</v>
      </c>
      <c r="Z976" s="92" t="s">
        <v>78</v>
      </c>
    </row>
    <row r="977" spans="1:26" ht="16" hidden="1" x14ac:dyDescent="0.4">
      <c r="A977" s="92">
        <v>4869</v>
      </c>
      <c r="B977" s="92">
        <v>4870</v>
      </c>
      <c r="E977" s="92">
        <v>50</v>
      </c>
      <c r="F977" s="92">
        <f>_xlfn.XLOOKUP(B977, DATA_Moresby_2024_ALL!B:B, DATA_Moresby_2024_ALL!G:G, "")</f>
        <v>0</v>
      </c>
      <c r="G977" s="93"/>
      <c r="H977" s="92">
        <v>10</v>
      </c>
      <c r="I977" s="92" t="str">
        <f t="shared" si="49"/>
        <v>X</v>
      </c>
      <c r="J977" s="79" t="str">
        <f>IF(G977="","X",_xlfn.XLOOKUP(B977,DATA_Moresby_2024_ALL!B:B,DATA_Moresby_2024_ALL!K:K,""))</f>
        <v>X</v>
      </c>
      <c r="K977" s="28"/>
      <c r="L977" s="29"/>
      <c r="M977" s="28"/>
      <c r="N977" s="19" t="str">
        <f t="shared" si="48"/>
        <v/>
      </c>
      <c r="O977" s="19" t="str">
        <f t="shared" si="48"/>
        <v/>
      </c>
      <c r="P977" s="19" t="str">
        <f t="shared" si="48"/>
        <v/>
      </c>
      <c r="Q977" s="19" t="str">
        <f t="shared" si="48"/>
        <v/>
      </c>
      <c r="X977" s="92" t="s">
        <v>78</v>
      </c>
      <c r="Y977" s="92" t="s">
        <v>78</v>
      </c>
      <c r="Z977" s="92" t="s">
        <v>78</v>
      </c>
    </row>
    <row r="978" spans="1:26" ht="16" hidden="1" x14ac:dyDescent="0.4">
      <c r="A978" s="92">
        <v>4874</v>
      </c>
      <c r="B978" s="92">
        <v>4875</v>
      </c>
      <c r="E978" s="92">
        <v>50</v>
      </c>
      <c r="F978" s="92">
        <f>_xlfn.XLOOKUP(B978, DATA_Moresby_2024_ALL!B:B, DATA_Moresby_2024_ALL!G:G, "")</f>
        <v>0</v>
      </c>
      <c r="G978" s="93"/>
      <c r="H978" s="92">
        <v>10</v>
      </c>
      <c r="I978" s="92" t="str">
        <f t="shared" si="49"/>
        <v>X</v>
      </c>
      <c r="J978" s="79" t="str">
        <f>IF(G978="","X",_xlfn.XLOOKUP(B978,DATA_Moresby_2024_ALL!B:B,DATA_Moresby_2024_ALL!K:K,""))</f>
        <v>X</v>
      </c>
      <c r="K978" s="28"/>
      <c r="L978" s="29"/>
      <c r="M978" s="28"/>
      <c r="N978" s="19" t="str">
        <f t="shared" si="48"/>
        <v/>
      </c>
      <c r="O978" s="19" t="str">
        <f t="shared" si="48"/>
        <v/>
      </c>
      <c r="P978" s="19" t="str">
        <f t="shared" si="48"/>
        <v/>
      </c>
      <c r="Q978" s="19" t="str">
        <f t="shared" si="48"/>
        <v/>
      </c>
      <c r="X978" s="92" t="s">
        <v>78</v>
      </c>
      <c r="Y978" s="92" t="s">
        <v>78</v>
      </c>
      <c r="Z978" s="92" t="s">
        <v>78</v>
      </c>
    </row>
    <row r="979" spans="1:26" ht="16" hidden="1" x14ac:dyDescent="0.4">
      <c r="A979" s="92">
        <v>4879</v>
      </c>
      <c r="B979" s="92">
        <v>4880</v>
      </c>
      <c r="E979" s="92">
        <v>50</v>
      </c>
      <c r="F979" s="92">
        <f>_xlfn.XLOOKUP(B979, DATA_Moresby_2024_ALL!B:B, DATA_Moresby_2024_ALL!G:G, "")</f>
        <v>0</v>
      </c>
      <c r="G979" s="93"/>
      <c r="H979" s="92">
        <v>10</v>
      </c>
      <c r="I979" s="92" t="str">
        <f t="shared" si="49"/>
        <v>X</v>
      </c>
      <c r="J979" s="79" t="str">
        <f>IF(G979="","X",_xlfn.XLOOKUP(B979,DATA_Moresby_2024_ALL!B:B,DATA_Moresby_2024_ALL!K:K,""))</f>
        <v>X</v>
      </c>
      <c r="K979" s="28"/>
      <c r="L979" s="29"/>
      <c r="M979" s="28"/>
      <c r="N979" s="19" t="str">
        <f t="shared" si="48"/>
        <v/>
      </c>
      <c r="O979" s="19" t="str">
        <f t="shared" si="48"/>
        <v/>
      </c>
      <c r="P979" s="19" t="str">
        <f t="shared" si="48"/>
        <v/>
      </c>
      <c r="Q979" s="19" t="str">
        <f t="shared" si="48"/>
        <v/>
      </c>
      <c r="X979" s="92" t="s">
        <v>78</v>
      </c>
      <c r="Y979" s="92" t="s">
        <v>78</v>
      </c>
      <c r="Z979" s="92" t="s">
        <v>78</v>
      </c>
    </row>
    <row r="980" spans="1:26" ht="16" hidden="1" x14ac:dyDescent="0.4">
      <c r="A980" s="92">
        <v>4884</v>
      </c>
      <c r="B980" s="92">
        <v>4885</v>
      </c>
      <c r="E980" s="92">
        <v>50</v>
      </c>
      <c r="F980" s="92">
        <f>_xlfn.XLOOKUP(B980, DATA_Moresby_2024_ALL!B:B, DATA_Moresby_2024_ALL!G:G, "")</f>
        <v>0</v>
      </c>
      <c r="G980" s="93"/>
      <c r="H980" s="92">
        <v>10</v>
      </c>
      <c r="I980" s="92" t="str">
        <f t="shared" si="49"/>
        <v>X</v>
      </c>
      <c r="J980" s="79" t="str">
        <f>IF(G980="","X",_xlfn.XLOOKUP(B980,DATA_Moresby_2024_ALL!B:B,DATA_Moresby_2024_ALL!K:K,""))</f>
        <v>X</v>
      </c>
      <c r="K980" s="28"/>
      <c r="L980" s="29"/>
      <c r="M980" s="28"/>
      <c r="N980" s="19" t="str">
        <f t="shared" si="48"/>
        <v/>
      </c>
      <c r="O980" s="19" t="str">
        <f t="shared" si="48"/>
        <v/>
      </c>
      <c r="P980" s="19" t="str">
        <f t="shared" si="48"/>
        <v/>
      </c>
      <c r="Q980" s="19" t="str">
        <f t="shared" si="48"/>
        <v/>
      </c>
      <c r="X980" s="92" t="s">
        <v>78</v>
      </c>
      <c r="Y980" s="92" t="s">
        <v>78</v>
      </c>
      <c r="Z980" s="92" t="s">
        <v>78</v>
      </c>
    </row>
    <row r="981" spans="1:26" ht="16" hidden="1" x14ac:dyDescent="0.4">
      <c r="A981" s="92">
        <v>4889</v>
      </c>
      <c r="B981" s="92">
        <v>4890</v>
      </c>
      <c r="E981" s="92">
        <v>50</v>
      </c>
      <c r="F981" s="92">
        <f>_xlfn.XLOOKUP(B981, DATA_Moresby_2024_ALL!B:B, DATA_Moresby_2024_ALL!G:G, "")</f>
        <v>0</v>
      </c>
      <c r="G981" s="93"/>
      <c r="H981" s="92">
        <v>10</v>
      </c>
      <c r="I981" s="92" t="str">
        <f t="shared" si="49"/>
        <v>X</v>
      </c>
      <c r="J981" s="79" t="str">
        <f>IF(G981="","X",_xlfn.XLOOKUP(B981,DATA_Moresby_2024_ALL!B:B,DATA_Moresby_2024_ALL!K:K,""))</f>
        <v>X</v>
      </c>
      <c r="K981" s="28"/>
      <c r="L981" s="29"/>
      <c r="M981" s="28"/>
      <c r="N981" s="19" t="str">
        <f t="shared" si="48"/>
        <v/>
      </c>
      <c r="O981" s="19" t="str">
        <f t="shared" si="48"/>
        <v/>
      </c>
      <c r="P981" s="19" t="str">
        <f t="shared" si="48"/>
        <v/>
      </c>
      <c r="Q981" s="19" t="str">
        <f t="shared" si="48"/>
        <v/>
      </c>
      <c r="X981" s="92" t="s">
        <v>78</v>
      </c>
      <c r="Y981" s="92" t="s">
        <v>78</v>
      </c>
      <c r="Z981" s="92" t="s">
        <v>78</v>
      </c>
    </row>
    <row r="982" spans="1:26" ht="16" hidden="1" x14ac:dyDescent="0.4">
      <c r="A982" s="92">
        <v>4894</v>
      </c>
      <c r="B982" s="92">
        <v>4895</v>
      </c>
      <c r="E982" s="92">
        <v>50</v>
      </c>
      <c r="F982" s="92">
        <f>_xlfn.XLOOKUP(B982, DATA_Moresby_2024_ALL!B:B, DATA_Moresby_2024_ALL!G:G, "")</f>
        <v>0</v>
      </c>
      <c r="G982" s="93"/>
      <c r="H982" s="92">
        <v>10</v>
      </c>
      <c r="I982" s="92" t="str">
        <f t="shared" si="49"/>
        <v>X</v>
      </c>
      <c r="J982" s="79" t="str">
        <f>IF(G982="","X",_xlfn.XLOOKUP(B982,DATA_Moresby_2024_ALL!B:B,DATA_Moresby_2024_ALL!K:K,""))</f>
        <v>X</v>
      </c>
      <c r="K982" s="28"/>
      <c r="L982" s="29"/>
      <c r="M982" s="28"/>
      <c r="N982" s="19" t="str">
        <f t="shared" si="48"/>
        <v/>
      </c>
      <c r="O982" s="19" t="str">
        <f t="shared" si="48"/>
        <v/>
      </c>
      <c r="P982" s="19" t="str">
        <f t="shared" si="48"/>
        <v/>
      </c>
      <c r="Q982" s="19" t="str">
        <f t="shared" si="48"/>
        <v/>
      </c>
      <c r="X982" s="92" t="s">
        <v>78</v>
      </c>
      <c r="Y982" s="92" t="s">
        <v>78</v>
      </c>
      <c r="Z982" s="92" t="s">
        <v>78</v>
      </c>
    </row>
    <row r="983" spans="1:26" ht="16" hidden="1" x14ac:dyDescent="0.4">
      <c r="A983" s="92">
        <v>4899</v>
      </c>
      <c r="B983" s="92">
        <v>4900</v>
      </c>
      <c r="E983" s="92">
        <v>50</v>
      </c>
      <c r="F983" s="92">
        <f>_xlfn.XLOOKUP(B983, DATA_Moresby_2024_ALL!B:B, DATA_Moresby_2024_ALL!G:G, "")</f>
        <v>0</v>
      </c>
      <c r="G983" s="93"/>
      <c r="H983" s="92">
        <v>10</v>
      </c>
      <c r="I983" s="92" t="str">
        <f t="shared" si="49"/>
        <v>X</v>
      </c>
      <c r="J983" s="79" t="str">
        <f>IF(G983="","X",_xlfn.XLOOKUP(B983,DATA_Moresby_2024_ALL!B:B,DATA_Moresby_2024_ALL!K:K,""))</f>
        <v>X</v>
      </c>
      <c r="K983" s="28"/>
      <c r="L983" s="29"/>
      <c r="M983" s="28"/>
      <c r="N983" s="19" t="str">
        <f t="shared" si="48"/>
        <v/>
      </c>
      <c r="O983" s="19" t="str">
        <f t="shared" si="48"/>
        <v/>
      </c>
      <c r="P983" s="19" t="str">
        <f t="shared" si="48"/>
        <v/>
      </c>
      <c r="Q983" s="19" t="str">
        <f t="shared" si="48"/>
        <v/>
      </c>
      <c r="X983" s="92" t="s">
        <v>78</v>
      </c>
      <c r="Y983" s="92" t="s">
        <v>78</v>
      </c>
      <c r="Z983" s="92" t="s">
        <v>78</v>
      </c>
    </row>
    <row r="984" spans="1:26" ht="16" hidden="1" x14ac:dyDescent="0.4">
      <c r="A984" s="92">
        <v>4904</v>
      </c>
      <c r="B984" s="92">
        <v>4905</v>
      </c>
      <c r="E984" s="92">
        <v>50</v>
      </c>
      <c r="F984" s="92">
        <f>_xlfn.XLOOKUP(B984, DATA_Moresby_2024_ALL!B:B, DATA_Moresby_2024_ALL!G:G, "")</f>
        <v>0</v>
      </c>
      <c r="G984" s="93"/>
      <c r="H984" s="92">
        <v>10</v>
      </c>
      <c r="I984" s="92" t="str">
        <f t="shared" si="49"/>
        <v>X</v>
      </c>
      <c r="J984" s="79" t="str">
        <f>IF(G984="","X",_xlfn.XLOOKUP(B984,DATA_Moresby_2024_ALL!B:B,DATA_Moresby_2024_ALL!K:K,""))</f>
        <v>X</v>
      </c>
      <c r="K984" s="28"/>
      <c r="L984" s="29"/>
      <c r="M984" s="28"/>
      <c r="N984" s="19" t="str">
        <f t="shared" si="48"/>
        <v/>
      </c>
      <c r="O984" s="19" t="str">
        <f t="shared" si="48"/>
        <v/>
      </c>
      <c r="P984" s="19" t="str">
        <f t="shared" si="48"/>
        <v/>
      </c>
      <c r="Q984" s="19" t="str">
        <f t="shared" si="48"/>
        <v/>
      </c>
      <c r="X984" s="92" t="s">
        <v>78</v>
      </c>
      <c r="Y984" s="92" t="s">
        <v>78</v>
      </c>
      <c r="Z984" s="92" t="s">
        <v>78</v>
      </c>
    </row>
    <row r="985" spans="1:26" ht="16" hidden="1" x14ac:dyDescent="0.4">
      <c r="A985" s="92">
        <v>4909</v>
      </c>
      <c r="B985" s="92">
        <v>4910</v>
      </c>
      <c r="E985" s="92">
        <v>50</v>
      </c>
      <c r="F985" s="92">
        <f>_xlfn.XLOOKUP(B985, DATA_Moresby_2024_ALL!B:B, DATA_Moresby_2024_ALL!G:G, "")</f>
        <v>0</v>
      </c>
      <c r="G985" s="93"/>
      <c r="H985" s="92">
        <v>10</v>
      </c>
      <c r="I985" s="92" t="str">
        <f t="shared" si="49"/>
        <v>X</v>
      </c>
      <c r="J985" s="79" t="str">
        <f>IF(G985="","X",_xlfn.XLOOKUP(B985,DATA_Moresby_2024_ALL!B:B,DATA_Moresby_2024_ALL!K:K,""))</f>
        <v>X</v>
      </c>
      <c r="K985" s="28"/>
      <c r="L985" s="29"/>
      <c r="M985" s="28"/>
      <c r="N985" s="19" t="str">
        <f t="shared" si="48"/>
        <v/>
      </c>
      <c r="O985" s="19" t="str">
        <f t="shared" si="48"/>
        <v/>
      </c>
      <c r="P985" s="19" t="str">
        <f t="shared" si="48"/>
        <v/>
      </c>
      <c r="Q985" s="19" t="str">
        <f t="shared" si="48"/>
        <v/>
      </c>
      <c r="X985" s="92" t="s">
        <v>78</v>
      </c>
      <c r="Y985" s="92" t="s">
        <v>78</v>
      </c>
      <c r="Z985" s="92" t="s">
        <v>78</v>
      </c>
    </row>
    <row r="986" spans="1:26" ht="16" hidden="1" x14ac:dyDescent="0.4">
      <c r="A986" s="92">
        <v>4914</v>
      </c>
      <c r="B986" s="92">
        <v>4915</v>
      </c>
      <c r="E986" s="92">
        <v>50</v>
      </c>
      <c r="F986" s="92">
        <f>_xlfn.XLOOKUP(B986, DATA_Moresby_2024_ALL!B:B, DATA_Moresby_2024_ALL!G:G, "")</f>
        <v>0</v>
      </c>
      <c r="G986" s="93"/>
      <c r="H986" s="92">
        <v>10</v>
      </c>
      <c r="I986" s="92" t="str">
        <f t="shared" si="49"/>
        <v>X</v>
      </c>
      <c r="J986" s="79" t="str">
        <f>IF(G986="","X",_xlfn.XLOOKUP(B986,DATA_Moresby_2024_ALL!B:B,DATA_Moresby_2024_ALL!K:K,""))</f>
        <v>X</v>
      </c>
      <c r="K986" s="28"/>
      <c r="L986" s="29"/>
      <c r="M986" s="28"/>
      <c r="N986" s="19" t="str">
        <f t="shared" si="48"/>
        <v/>
      </c>
      <c r="O986" s="19" t="str">
        <f t="shared" si="48"/>
        <v/>
      </c>
      <c r="P986" s="19" t="str">
        <f t="shared" si="48"/>
        <v/>
      </c>
      <c r="Q986" s="19" t="str">
        <f t="shared" si="48"/>
        <v/>
      </c>
      <c r="X986" s="92" t="s">
        <v>78</v>
      </c>
      <c r="Y986" s="92" t="s">
        <v>78</v>
      </c>
      <c r="Z986" s="92" t="s">
        <v>78</v>
      </c>
    </row>
    <row r="987" spans="1:26" ht="16" hidden="1" x14ac:dyDescent="0.4">
      <c r="A987" s="92">
        <v>4919</v>
      </c>
      <c r="B987" s="92">
        <v>4920</v>
      </c>
      <c r="E987" s="92">
        <v>50</v>
      </c>
      <c r="F987" s="92">
        <f>_xlfn.XLOOKUP(B987, DATA_Moresby_2024_ALL!B:B, DATA_Moresby_2024_ALL!G:G, "")</f>
        <v>0</v>
      </c>
      <c r="G987" s="93"/>
      <c r="H987" s="92">
        <v>10</v>
      </c>
      <c r="I987" s="92" t="str">
        <f t="shared" si="49"/>
        <v>X</v>
      </c>
      <c r="J987" s="79" t="str">
        <f>IF(G987="","X",_xlfn.XLOOKUP(B987,DATA_Moresby_2024_ALL!B:B,DATA_Moresby_2024_ALL!K:K,""))</f>
        <v>X</v>
      </c>
      <c r="K987" s="28"/>
      <c r="L987" s="29"/>
      <c r="M987" s="28"/>
      <c r="N987" s="19" t="str">
        <f t="shared" si="48"/>
        <v/>
      </c>
      <c r="O987" s="19" t="str">
        <f t="shared" si="48"/>
        <v/>
      </c>
      <c r="P987" s="19" t="str">
        <f t="shared" si="48"/>
        <v/>
      </c>
      <c r="Q987" s="19" t="str">
        <f t="shared" si="48"/>
        <v/>
      </c>
      <c r="X987" s="92" t="s">
        <v>78</v>
      </c>
      <c r="Y987" s="92" t="s">
        <v>78</v>
      </c>
      <c r="Z987" s="92" t="s">
        <v>78</v>
      </c>
    </row>
    <row r="988" spans="1:26" ht="16" hidden="1" x14ac:dyDescent="0.4">
      <c r="A988" s="92">
        <v>4924</v>
      </c>
      <c r="B988" s="92">
        <v>4925</v>
      </c>
      <c r="E988" s="92">
        <v>50</v>
      </c>
      <c r="F988" s="92">
        <f>_xlfn.XLOOKUP(B988, DATA_Moresby_2024_ALL!B:B, DATA_Moresby_2024_ALL!G:G, "")</f>
        <v>0</v>
      </c>
      <c r="G988" s="93"/>
      <c r="H988" s="92">
        <v>10</v>
      </c>
      <c r="I988" s="92" t="str">
        <f t="shared" si="49"/>
        <v>X</v>
      </c>
      <c r="J988" s="79" t="str">
        <f>IF(G988="","X",_xlfn.XLOOKUP(B988,DATA_Moresby_2024_ALL!B:B,DATA_Moresby_2024_ALL!K:K,""))</f>
        <v>X</v>
      </c>
      <c r="K988" s="28"/>
      <c r="L988" s="29"/>
      <c r="M988" s="28"/>
      <c r="N988" s="19" t="str">
        <f t="shared" si="48"/>
        <v/>
      </c>
      <c r="O988" s="19" t="str">
        <f t="shared" si="48"/>
        <v/>
      </c>
      <c r="P988" s="19" t="str">
        <f t="shared" si="48"/>
        <v/>
      </c>
      <c r="Q988" s="19" t="str">
        <f t="shared" si="48"/>
        <v/>
      </c>
      <c r="X988" s="92" t="s">
        <v>78</v>
      </c>
      <c r="Y988" s="92" t="s">
        <v>78</v>
      </c>
      <c r="Z988" s="92" t="s">
        <v>78</v>
      </c>
    </row>
    <row r="989" spans="1:26" ht="16" hidden="1" x14ac:dyDescent="0.4">
      <c r="A989" s="92">
        <v>4929</v>
      </c>
      <c r="B989" s="92">
        <v>4930</v>
      </c>
      <c r="E989" s="92">
        <v>50</v>
      </c>
      <c r="F989" s="92">
        <f>_xlfn.XLOOKUP(B989, DATA_Moresby_2024_ALL!B:B, DATA_Moresby_2024_ALL!G:G, "")</f>
        <v>0</v>
      </c>
      <c r="G989" s="93"/>
      <c r="H989" s="92">
        <v>10</v>
      </c>
      <c r="I989" s="92" t="str">
        <f t="shared" si="49"/>
        <v>X</v>
      </c>
      <c r="J989" s="79" t="str">
        <f>IF(G989="","X",_xlfn.XLOOKUP(B989,DATA_Moresby_2024_ALL!B:B,DATA_Moresby_2024_ALL!K:K,""))</f>
        <v>X</v>
      </c>
      <c r="K989" s="28"/>
      <c r="L989" s="29"/>
      <c r="M989" s="28"/>
      <c r="N989" s="19" t="str">
        <f t="shared" si="48"/>
        <v/>
      </c>
      <c r="O989" s="19" t="str">
        <f t="shared" si="48"/>
        <v/>
      </c>
      <c r="P989" s="19" t="str">
        <f t="shared" si="48"/>
        <v/>
      </c>
      <c r="Q989" s="19" t="str">
        <f t="shared" ref="O989:Q1052" si="50">IF($J989=1,4,"")</f>
        <v/>
      </c>
      <c r="X989" s="92" t="s">
        <v>78</v>
      </c>
      <c r="Y989" s="92" t="s">
        <v>78</v>
      </c>
      <c r="Z989" s="92" t="s">
        <v>78</v>
      </c>
    </row>
    <row r="990" spans="1:26" ht="16" hidden="1" x14ac:dyDescent="0.4">
      <c r="A990" s="92">
        <v>4934</v>
      </c>
      <c r="B990" s="92">
        <v>4935</v>
      </c>
      <c r="E990" s="92">
        <v>50</v>
      </c>
      <c r="F990" s="92">
        <f>_xlfn.XLOOKUP(B990, DATA_Moresby_2024_ALL!B:B, DATA_Moresby_2024_ALL!G:G, "")</f>
        <v>0</v>
      </c>
      <c r="G990" s="93"/>
      <c r="H990" s="92">
        <v>10</v>
      </c>
      <c r="I990" s="92" t="str">
        <f t="shared" si="49"/>
        <v>X</v>
      </c>
      <c r="J990" s="79" t="str">
        <f>IF(G990="","X",_xlfn.XLOOKUP(B990,DATA_Moresby_2024_ALL!B:B,DATA_Moresby_2024_ALL!K:K,""))</f>
        <v>X</v>
      </c>
      <c r="K990" s="28"/>
      <c r="L990" s="29"/>
      <c r="M990" s="28"/>
      <c r="N990" s="19" t="str">
        <f t="shared" ref="N990:Q1053" si="51">IF($J990=1,4,"")</f>
        <v/>
      </c>
      <c r="O990" s="19" t="str">
        <f t="shared" si="50"/>
        <v/>
      </c>
      <c r="P990" s="19" t="str">
        <f t="shared" si="50"/>
        <v/>
      </c>
      <c r="Q990" s="19" t="str">
        <f t="shared" si="50"/>
        <v/>
      </c>
      <c r="X990" s="92" t="s">
        <v>78</v>
      </c>
      <c r="Y990" s="92" t="s">
        <v>78</v>
      </c>
      <c r="Z990" s="92" t="s">
        <v>78</v>
      </c>
    </row>
    <row r="991" spans="1:26" ht="16" hidden="1" x14ac:dyDescent="0.4">
      <c r="A991" s="92">
        <v>4939</v>
      </c>
      <c r="B991" s="92">
        <v>4940</v>
      </c>
      <c r="E991" s="92">
        <v>50</v>
      </c>
      <c r="F991" s="92">
        <f>_xlfn.XLOOKUP(B991, DATA_Moresby_2024_ALL!B:B, DATA_Moresby_2024_ALL!G:G, "")</f>
        <v>0</v>
      </c>
      <c r="G991" s="93"/>
      <c r="H991" s="92">
        <v>10</v>
      </c>
      <c r="I991" s="92" t="str">
        <f t="shared" si="49"/>
        <v>X</v>
      </c>
      <c r="J991" s="79" t="str">
        <f>IF(G991="","X",_xlfn.XLOOKUP(B991,DATA_Moresby_2024_ALL!B:B,DATA_Moresby_2024_ALL!K:K,""))</f>
        <v>X</v>
      </c>
      <c r="K991" s="28"/>
      <c r="L991" s="29"/>
      <c r="M991" s="28"/>
      <c r="N991" s="19" t="str">
        <f t="shared" si="51"/>
        <v/>
      </c>
      <c r="O991" s="19" t="str">
        <f t="shared" si="50"/>
        <v/>
      </c>
      <c r="P991" s="19" t="str">
        <f t="shared" si="50"/>
        <v/>
      </c>
      <c r="Q991" s="19" t="str">
        <f t="shared" si="50"/>
        <v/>
      </c>
      <c r="X991" s="92" t="s">
        <v>78</v>
      </c>
      <c r="Y991" s="92" t="s">
        <v>78</v>
      </c>
      <c r="Z991" s="92" t="s">
        <v>78</v>
      </c>
    </row>
    <row r="992" spans="1:26" ht="16" hidden="1" x14ac:dyDescent="0.4">
      <c r="A992" s="92">
        <v>4944</v>
      </c>
      <c r="B992" s="92">
        <v>4945</v>
      </c>
      <c r="E992" s="92">
        <v>50</v>
      </c>
      <c r="F992" s="92">
        <f>_xlfn.XLOOKUP(B992, DATA_Moresby_2024_ALL!B:B, DATA_Moresby_2024_ALL!G:G, "")</f>
        <v>0</v>
      </c>
      <c r="G992" s="93"/>
      <c r="H992" s="92">
        <v>10</v>
      </c>
      <c r="I992" s="92" t="str">
        <f t="shared" ref="I992:I1021" si="52">IF(G992="","X","")</f>
        <v>X</v>
      </c>
      <c r="J992" s="79" t="str">
        <f>IF(G992="","X",_xlfn.XLOOKUP(B992,DATA_Moresby_2024_ALL!B:B,DATA_Moresby_2024_ALL!K:K,""))</f>
        <v>X</v>
      </c>
      <c r="K992" s="28"/>
      <c r="L992" s="29"/>
      <c r="M992" s="28"/>
      <c r="N992" s="19" t="str">
        <f t="shared" si="51"/>
        <v/>
      </c>
      <c r="O992" s="19" t="str">
        <f t="shared" si="50"/>
        <v/>
      </c>
      <c r="P992" s="19" t="str">
        <f t="shared" si="50"/>
        <v/>
      </c>
      <c r="Q992" s="19" t="str">
        <f t="shared" si="50"/>
        <v/>
      </c>
      <c r="X992" s="92" t="s">
        <v>78</v>
      </c>
      <c r="Y992" s="92" t="s">
        <v>78</v>
      </c>
      <c r="Z992" s="92" t="s">
        <v>78</v>
      </c>
    </row>
    <row r="993" spans="1:26" ht="16" hidden="1" x14ac:dyDescent="0.4">
      <c r="A993" s="92">
        <v>4949</v>
      </c>
      <c r="B993" s="92">
        <v>4950</v>
      </c>
      <c r="E993" s="92">
        <v>50</v>
      </c>
      <c r="F993" s="92">
        <f>_xlfn.XLOOKUP(B993, DATA_Moresby_2024_ALL!B:B, DATA_Moresby_2024_ALL!G:G, "")</f>
        <v>0</v>
      </c>
      <c r="G993" s="93"/>
      <c r="H993" s="92">
        <v>10</v>
      </c>
      <c r="I993" s="92" t="str">
        <f t="shared" si="52"/>
        <v>X</v>
      </c>
      <c r="J993" s="79" t="str">
        <f>IF(G993="","X",_xlfn.XLOOKUP(B993,DATA_Moresby_2024_ALL!B:B,DATA_Moresby_2024_ALL!K:K,""))</f>
        <v>X</v>
      </c>
      <c r="K993" s="28"/>
      <c r="L993" s="29"/>
      <c r="M993" s="28"/>
      <c r="N993" s="19" t="str">
        <f t="shared" si="51"/>
        <v/>
      </c>
      <c r="O993" s="19" t="str">
        <f t="shared" si="50"/>
        <v/>
      </c>
      <c r="P993" s="19" t="str">
        <f t="shared" si="50"/>
        <v/>
      </c>
      <c r="Q993" s="19" t="str">
        <f t="shared" si="50"/>
        <v/>
      </c>
      <c r="X993" s="92" t="s">
        <v>78</v>
      </c>
      <c r="Y993" s="92" t="s">
        <v>78</v>
      </c>
      <c r="Z993" s="92" t="s">
        <v>78</v>
      </c>
    </row>
    <row r="994" spans="1:26" ht="16" hidden="1" x14ac:dyDescent="0.4">
      <c r="A994" s="92">
        <v>4954</v>
      </c>
      <c r="B994" s="92">
        <v>4955</v>
      </c>
      <c r="E994" s="92">
        <v>50</v>
      </c>
      <c r="F994" s="92">
        <f>_xlfn.XLOOKUP(B994, DATA_Moresby_2024_ALL!B:B, DATA_Moresby_2024_ALL!G:G, "")</f>
        <v>0</v>
      </c>
      <c r="G994" s="93"/>
      <c r="H994" s="92">
        <v>10</v>
      </c>
      <c r="I994" s="92" t="str">
        <f t="shared" si="52"/>
        <v>X</v>
      </c>
      <c r="J994" s="79" t="str">
        <f>IF(G994="","X",_xlfn.XLOOKUP(B994,DATA_Moresby_2024_ALL!B:B,DATA_Moresby_2024_ALL!K:K,""))</f>
        <v>X</v>
      </c>
      <c r="K994" s="28"/>
      <c r="L994" s="29"/>
      <c r="M994" s="28"/>
      <c r="N994" s="19" t="str">
        <f t="shared" si="51"/>
        <v/>
      </c>
      <c r="O994" s="19" t="str">
        <f t="shared" si="50"/>
        <v/>
      </c>
      <c r="P994" s="19" t="str">
        <f t="shared" si="50"/>
        <v/>
      </c>
      <c r="Q994" s="19" t="str">
        <f t="shared" si="50"/>
        <v/>
      </c>
      <c r="X994" s="92" t="s">
        <v>78</v>
      </c>
      <c r="Y994" s="92" t="s">
        <v>78</v>
      </c>
      <c r="Z994" s="92" t="s">
        <v>78</v>
      </c>
    </row>
    <row r="995" spans="1:26" ht="16" hidden="1" x14ac:dyDescent="0.4">
      <c r="A995" s="92">
        <v>4959</v>
      </c>
      <c r="B995" s="92">
        <v>4960</v>
      </c>
      <c r="E995" s="92">
        <v>50</v>
      </c>
      <c r="F995" s="92">
        <f>_xlfn.XLOOKUP(B995, DATA_Moresby_2024_ALL!B:B, DATA_Moresby_2024_ALL!G:G, "")</f>
        <v>0</v>
      </c>
      <c r="G995" s="93"/>
      <c r="H995" s="92">
        <v>10</v>
      </c>
      <c r="I995" s="92" t="str">
        <f t="shared" si="52"/>
        <v>X</v>
      </c>
      <c r="J995" s="79" t="str">
        <f>IF(G995="","X",_xlfn.XLOOKUP(B995,DATA_Moresby_2024_ALL!B:B,DATA_Moresby_2024_ALL!K:K,""))</f>
        <v>X</v>
      </c>
      <c r="K995" s="28"/>
      <c r="L995" s="29"/>
      <c r="M995" s="28"/>
      <c r="N995" s="19" t="str">
        <f t="shared" si="51"/>
        <v/>
      </c>
      <c r="O995" s="19" t="str">
        <f t="shared" si="50"/>
        <v/>
      </c>
      <c r="P995" s="19" t="str">
        <f t="shared" si="50"/>
        <v/>
      </c>
      <c r="Q995" s="19" t="str">
        <f t="shared" si="50"/>
        <v/>
      </c>
      <c r="X995" s="92" t="s">
        <v>78</v>
      </c>
      <c r="Y995" s="92" t="s">
        <v>78</v>
      </c>
      <c r="Z995" s="92" t="s">
        <v>78</v>
      </c>
    </row>
    <row r="996" spans="1:26" ht="16" hidden="1" x14ac:dyDescent="0.4">
      <c r="A996" s="92">
        <v>4964</v>
      </c>
      <c r="B996" s="92">
        <v>4965</v>
      </c>
      <c r="E996" s="92">
        <v>50</v>
      </c>
      <c r="F996" s="92">
        <f>_xlfn.XLOOKUP(B996, DATA_Moresby_2024_ALL!B:B, DATA_Moresby_2024_ALL!G:G, "")</f>
        <v>0</v>
      </c>
      <c r="G996" s="93"/>
      <c r="H996" s="92">
        <v>10</v>
      </c>
      <c r="I996" s="92" t="str">
        <f t="shared" si="52"/>
        <v>X</v>
      </c>
      <c r="J996" s="79" t="str">
        <f>IF(G996="","X",_xlfn.XLOOKUP(B996,DATA_Moresby_2024_ALL!B:B,DATA_Moresby_2024_ALL!K:K,""))</f>
        <v>X</v>
      </c>
      <c r="K996" s="28"/>
      <c r="L996" s="29"/>
      <c r="M996" s="28"/>
      <c r="N996" s="19" t="str">
        <f t="shared" si="51"/>
        <v/>
      </c>
      <c r="O996" s="19" t="str">
        <f t="shared" si="50"/>
        <v/>
      </c>
      <c r="P996" s="19" t="str">
        <f t="shared" si="50"/>
        <v/>
      </c>
      <c r="Q996" s="19" t="str">
        <f t="shared" si="50"/>
        <v/>
      </c>
      <c r="X996" s="92" t="s">
        <v>78</v>
      </c>
      <c r="Y996" s="92" t="s">
        <v>78</v>
      </c>
      <c r="Z996" s="92" t="s">
        <v>78</v>
      </c>
    </row>
    <row r="997" spans="1:26" ht="16" hidden="1" x14ac:dyDescent="0.4">
      <c r="A997" s="92">
        <v>4969</v>
      </c>
      <c r="B997" s="92">
        <v>4970</v>
      </c>
      <c r="E997" s="92">
        <v>50</v>
      </c>
      <c r="F997" s="92">
        <f>_xlfn.XLOOKUP(B997, DATA_Moresby_2024_ALL!B:B, DATA_Moresby_2024_ALL!G:G, "")</f>
        <v>0</v>
      </c>
      <c r="G997" s="93"/>
      <c r="H997" s="92">
        <v>10</v>
      </c>
      <c r="I997" s="92" t="str">
        <f t="shared" si="52"/>
        <v>X</v>
      </c>
      <c r="J997" s="79" t="str">
        <f>IF(G997="","X",_xlfn.XLOOKUP(B997,DATA_Moresby_2024_ALL!B:B,DATA_Moresby_2024_ALL!K:K,""))</f>
        <v>X</v>
      </c>
      <c r="K997" s="28"/>
      <c r="L997" s="29"/>
      <c r="M997" s="28"/>
      <c r="N997" s="19" t="str">
        <f t="shared" si="51"/>
        <v/>
      </c>
      <c r="O997" s="19" t="str">
        <f t="shared" si="50"/>
        <v/>
      </c>
      <c r="P997" s="19" t="str">
        <f t="shared" si="50"/>
        <v/>
      </c>
      <c r="Q997" s="19" t="str">
        <f t="shared" si="50"/>
        <v/>
      </c>
      <c r="X997" s="92" t="s">
        <v>78</v>
      </c>
      <c r="Y997" s="92" t="s">
        <v>78</v>
      </c>
      <c r="Z997" s="92" t="s">
        <v>78</v>
      </c>
    </row>
    <row r="998" spans="1:26" ht="16" hidden="1" x14ac:dyDescent="0.4">
      <c r="A998" s="92">
        <v>4974</v>
      </c>
      <c r="B998" s="92">
        <v>4975</v>
      </c>
      <c r="E998" s="92">
        <v>50</v>
      </c>
      <c r="F998" s="92">
        <f>_xlfn.XLOOKUP(B998, DATA_Moresby_2024_ALL!B:B, DATA_Moresby_2024_ALL!G:G, "")</f>
        <v>0</v>
      </c>
      <c r="G998" s="93"/>
      <c r="H998" s="92">
        <v>10</v>
      </c>
      <c r="I998" s="92" t="str">
        <f t="shared" si="52"/>
        <v>X</v>
      </c>
      <c r="J998" s="79" t="str">
        <f>IF(G998="","X",_xlfn.XLOOKUP(B998,DATA_Moresby_2024_ALL!B:B,DATA_Moresby_2024_ALL!K:K,""))</f>
        <v>X</v>
      </c>
      <c r="K998" s="28"/>
      <c r="L998" s="29"/>
      <c r="M998" s="28"/>
      <c r="N998" s="19" t="str">
        <f t="shared" si="51"/>
        <v/>
      </c>
      <c r="O998" s="19" t="str">
        <f t="shared" si="50"/>
        <v/>
      </c>
      <c r="P998" s="19" t="str">
        <f t="shared" si="50"/>
        <v/>
      </c>
      <c r="Q998" s="19" t="str">
        <f t="shared" si="50"/>
        <v/>
      </c>
      <c r="X998" s="92" t="s">
        <v>78</v>
      </c>
      <c r="Y998" s="92" t="s">
        <v>78</v>
      </c>
      <c r="Z998" s="92" t="s">
        <v>78</v>
      </c>
    </row>
    <row r="999" spans="1:26" ht="16" hidden="1" x14ac:dyDescent="0.4">
      <c r="A999" s="92">
        <v>4979</v>
      </c>
      <c r="B999" s="92">
        <v>4980</v>
      </c>
      <c r="E999" s="92">
        <v>50</v>
      </c>
      <c r="F999" s="92">
        <f>_xlfn.XLOOKUP(B999, DATA_Moresby_2024_ALL!B:B, DATA_Moresby_2024_ALL!G:G, "")</f>
        <v>0</v>
      </c>
      <c r="G999" s="93"/>
      <c r="H999" s="92">
        <v>10</v>
      </c>
      <c r="I999" s="92" t="str">
        <f t="shared" si="52"/>
        <v>X</v>
      </c>
      <c r="J999" s="79" t="str">
        <f>IF(G999="","X",_xlfn.XLOOKUP(B999,DATA_Moresby_2024_ALL!B:B,DATA_Moresby_2024_ALL!K:K,""))</f>
        <v>X</v>
      </c>
      <c r="K999" s="28"/>
      <c r="L999" s="29"/>
      <c r="M999" s="28"/>
      <c r="N999" s="19" t="str">
        <f t="shared" si="51"/>
        <v/>
      </c>
      <c r="O999" s="19" t="str">
        <f t="shared" si="50"/>
        <v/>
      </c>
      <c r="P999" s="19" t="str">
        <f t="shared" si="50"/>
        <v/>
      </c>
      <c r="Q999" s="19" t="str">
        <f t="shared" si="50"/>
        <v/>
      </c>
      <c r="X999" s="92" t="s">
        <v>78</v>
      </c>
      <c r="Y999" s="92" t="s">
        <v>78</v>
      </c>
      <c r="Z999" s="92" t="s">
        <v>78</v>
      </c>
    </row>
    <row r="1000" spans="1:26" ht="16" hidden="1" x14ac:dyDescent="0.4">
      <c r="A1000" s="92">
        <v>4984</v>
      </c>
      <c r="B1000" s="92">
        <v>4985</v>
      </c>
      <c r="E1000" s="92">
        <v>50</v>
      </c>
      <c r="F1000" s="92">
        <f>_xlfn.XLOOKUP(B1000, DATA_Moresby_2024_ALL!B:B, DATA_Moresby_2024_ALL!G:G, "")</f>
        <v>0</v>
      </c>
      <c r="G1000" s="93"/>
      <c r="H1000" s="92">
        <v>10</v>
      </c>
      <c r="I1000" s="92" t="str">
        <f t="shared" si="52"/>
        <v>X</v>
      </c>
      <c r="J1000" s="79" t="str">
        <f>IF(G1000="","X",_xlfn.XLOOKUP(B1000,DATA_Moresby_2024_ALL!B:B,DATA_Moresby_2024_ALL!K:K,""))</f>
        <v>X</v>
      </c>
      <c r="K1000" s="28"/>
      <c r="L1000" s="29"/>
      <c r="M1000" s="28"/>
      <c r="N1000" s="19" t="str">
        <f t="shared" si="51"/>
        <v/>
      </c>
      <c r="O1000" s="19" t="str">
        <f t="shared" si="50"/>
        <v/>
      </c>
      <c r="P1000" s="19" t="str">
        <f t="shared" si="50"/>
        <v/>
      </c>
      <c r="Q1000" s="19" t="str">
        <f t="shared" si="50"/>
        <v/>
      </c>
      <c r="X1000" s="92" t="s">
        <v>78</v>
      </c>
      <c r="Y1000" s="92" t="s">
        <v>78</v>
      </c>
      <c r="Z1000" s="92" t="s">
        <v>78</v>
      </c>
    </row>
    <row r="1001" spans="1:26" ht="16" hidden="1" x14ac:dyDescent="0.4">
      <c r="A1001" s="92">
        <v>4989</v>
      </c>
      <c r="B1001" s="92">
        <v>4990</v>
      </c>
      <c r="E1001" s="92">
        <v>50</v>
      </c>
      <c r="F1001" s="92">
        <f>_xlfn.XLOOKUP(B1001, DATA_Moresby_2024_ALL!B:B, DATA_Moresby_2024_ALL!G:G, "")</f>
        <v>0</v>
      </c>
      <c r="G1001" s="93"/>
      <c r="H1001" s="92">
        <v>10</v>
      </c>
      <c r="I1001" s="92" t="str">
        <f t="shared" si="52"/>
        <v>X</v>
      </c>
      <c r="J1001" s="79" t="str">
        <f>IF(G1001="","X",_xlfn.XLOOKUP(B1001,DATA_Moresby_2024_ALL!B:B,DATA_Moresby_2024_ALL!K:K,""))</f>
        <v>X</v>
      </c>
      <c r="K1001" s="28"/>
      <c r="L1001" s="29"/>
      <c r="M1001" s="28"/>
      <c r="N1001" s="19" t="str">
        <f t="shared" si="51"/>
        <v/>
      </c>
      <c r="O1001" s="19" t="str">
        <f t="shared" si="50"/>
        <v/>
      </c>
      <c r="P1001" s="19" t="str">
        <f t="shared" si="50"/>
        <v/>
      </c>
      <c r="Q1001" s="19" t="str">
        <f t="shared" si="50"/>
        <v/>
      </c>
      <c r="X1001" s="92" t="s">
        <v>78</v>
      </c>
      <c r="Y1001" s="92" t="s">
        <v>78</v>
      </c>
      <c r="Z1001" s="92" t="s">
        <v>78</v>
      </c>
    </row>
    <row r="1002" spans="1:26" ht="16" hidden="1" x14ac:dyDescent="0.4">
      <c r="A1002" s="92">
        <v>4994</v>
      </c>
      <c r="B1002" s="92">
        <v>4995</v>
      </c>
      <c r="E1002" s="92">
        <v>50</v>
      </c>
      <c r="F1002" s="92">
        <f>_xlfn.XLOOKUP(B1002, DATA_Moresby_2024_ALL!B:B, DATA_Moresby_2024_ALL!G:G, "")</f>
        <v>0</v>
      </c>
      <c r="G1002" s="93"/>
      <c r="H1002" s="92">
        <v>10</v>
      </c>
      <c r="I1002" s="92" t="str">
        <f t="shared" si="52"/>
        <v>X</v>
      </c>
      <c r="J1002" s="79" t="str">
        <f>IF(G1002="","X",_xlfn.XLOOKUP(B1002,DATA_Moresby_2024_ALL!B:B,DATA_Moresby_2024_ALL!K:K,""))</f>
        <v>X</v>
      </c>
      <c r="K1002" s="28"/>
      <c r="L1002" s="29"/>
      <c r="M1002" s="28"/>
      <c r="N1002" s="19" t="str">
        <f t="shared" si="51"/>
        <v/>
      </c>
      <c r="O1002" s="19" t="str">
        <f t="shared" si="50"/>
        <v/>
      </c>
      <c r="P1002" s="19" t="str">
        <f t="shared" si="50"/>
        <v/>
      </c>
      <c r="Q1002" s="19" t="str">
        <f t="shared" si="50"/>
        <v/>
      </c>
      <c r="X1002" s="92" t="s">
        <v>78</v>
      </c>
      <c r="Y1002" s="92" t="s">
        <v>78</v>
      </c>
      <c r="Z1002" s="92" t="s">
        <v>78</v>
      </c>
    </row>
    <row r="1003" spans="1:26" ht="16" hidden="1" x14ac:dyDescent="0.4">
      <c r="A1003" s="92">
        <v>4999</v>
      </c>
      <c r="B1003" s="92">
        <v>5000</v>
      </c>
      <c r="E1003" s="92">
        <v>50</v>
      </c>
      <c r="F1003" s="92">
        <f>_xlfn.XLOOKUP(B1003, DATA_Moresby_2024_ALL!B:B, DATA_Moresby_2024_ALL!G:G, "")</f>
        <v>0</v>
      </c>
      <c r="G1003" s="93"/>
      <c r="H1003" s="92">
        <v>10</v>
      </c>
      <c r="I1003" s="92" t="str">
        <f t="shared" si="52"/>
        <v>X</v>
      </c>
      <c r="J1003" s="79" t="str">
        <f>IF(G1003="","X",_xlfn.XLOOKUP(B1003,DATA_Moresby_2024_ALL!B:B,DATA_Moresby_2024_ALL!K:K,""))</f>
        <v>X</v>
      </c>
      <c r="K1003" s="28"/>
      <c r="L1003" s="29"/>
      <c r="M1003" s="28"/>
      <c r="N1003" s="19" t="str">
        <f t="shared" si="51"/>
        <v/>
      </c>
      <c r="O1003" s="19" t="str">
        <f t="shared" si="50"/>
        <v/>
      </c>
      <c r="P1003" s="19" t="str">
        <f t="shared" si="50"/>
        <v/>
      </c>
      <c r="Q1003" s="19" t="str">
        <f t="shared" si="50"/>
        <v/>
      </c>
      <c r="X1003" s="92" t="s">
        <v>78</v>
      </c>
      <c r="Y1003" s="92" t="s">
        <v>78</v>
      </c>
      <c r="Z1003" s="92" t="s">
        <v>78</v>
      </c>
    </row>
    <row r="1004" spans="1:26" ht="16" hidden="1" x14ac:dyDescent="0.4">
      <c r="A1004" s="92">
        <v>5004</v>
      </c>
      <c r="B1004" s="92">
        <v>5005</v>
      </c>
      <c r="E1004" s="92">
        <v>50</v>
      </c>
      <c r="F1004" s="92">
        <f>_xlfn.XLOOKUP(B1004, DATA_Moresby_2024_ALL!B:B, DATA_Moresby_2024_ALL!G:G, "")</f>
        <v>0</v>
      </c>
      <c r="G1004" s="93"/>
      <c r="H1004" s="92">
        <v>10</v>
      </c>
      <c r="I1004" s="92" t="str">
        <f t="shared" si="52"/>
        <v>X</v>
      </c>
      <c r="J1004" s="79" t="str">
        <f>IF(G1004="","X",_xlfn.XLOOKUP(B1004,DATA_Moresby_2024_ALL!B:B,DATA_Moresby_2024_ALL!K:K,""))</f>
        <v>X</v>
      </c>
      <c r="K1004" s="28"/>
      <c r="L1004" s="29"/>
      <c r="M1004" s="28"/>
      <c r="N1004" s="19" t="str">
        <f t="shared" si="51"/>
        <v/>
      </c>
      <c r="O1004" s="19" t="str">
        <f t="shared" si="50"/>
        <v/>
      </c>
      <c r="P1004" s="19" t="str">
        <f t="shared" si="50"/>
        <v/>
      </c>
      <c r="Q1004" s="19" t="str">
        <f t="shared" si="50"/>
        <v/>
      </c>
      <c r="X1004" s="92" t="s">
        <v>78</v>
      </c>
      <c r="Y1004" s="92" t="s">
        <v>78</v>
      </c>
      <c r="Z1004" s="92" t="s">
        <v>78</v>
      </c>
    </row>
    <row r="1005" spans="1:26" ht="16" hidden="1" x14ac:dyDescent="0.4">
      <c r="A1005" s="92">
        <v>5009</v>
      </c>
      <c r="B1005" s="92">
        <v>5010</v>
      </c>
      <c r="E1005" s="92">
        <v>50</v>
      </c>
      <c r="F1005" s="92">
        <f>_xlfn.XLOOKUP(B1005, DATA_Moresby_2024_ALL!B:B, DATA_Moresby_2024_ALL!G:G, "")</f>
        <v>0</v>
      </c>
      <c r="G1005" s="93"/>
      <c r="H1005" s="92">
        <v>10</v>
      </c>
      <c r="I1005" s="92" t="str">
        <f t="shared" si="52"/>
        <v>X</v>
      </c>
      <c r="J1005" s="79" t="str">
        <f>IF(G1005="","X",_xlfn.XLOOKUP(B1005,DATA_Moresby_2024_ALL!B:B,DATA_Moresby_2024_ALL!K:K,""))</f>
        <v>X</v>
      </c>
      <c r="K1005" s="28"/>
      <c r="L1005" s="29"/>
      <c r="M1005" s="28"/>
      <c r="N1005" s="19" t="str">
        <f t="shared" si="51"/>
        <v/>
      </c>
      <c r="O1005" s="19" t="str">
        <f t="shared" si="50"/>
        <v/>
      </c>
      <c r="P1005" s="19" t="str">
        <f t="shared" si="50"/>
        <v/>
      </c>
      <c r="Q1005" s="19" t="str">
        <f t="shared" si="50"/>
        <v/>
      </c>
      <c r="X1005" s="92" t="s">
        <v>78</v>
      </c>
      <c r="Y1005" s="92" t="s">
        <v>78</v>
      </c>
      <c r="Z1005" s="92" t="s">
        <v>78</v>
      </c>
    </row>
    <row r="1006" spans="1:26" ht="16" hidden="1" x14ac:dyDescent="0.4">
      <c r="A1006" s="92">
        <v>5014</v>
      </c>
      <c r="B1006" s="92">
        <v>5015</v>
      </c>
      <c r="E1006" s="92">
        <v>50</v>
      </c>
      <c r="F1006" s="92">
        <f>_xlfn.XLOOKUP(B1006, DATA_Moresby_2024_ALL!B:B, DATA_Moresby_2024_ALL!G:G, "")</f>
        <v>0</v>
      </c>
      <c r="G1006" s="93"/>
      <c r="H1006" s="92">
        <v>10</v>
      </c>
      <c r="I1006" s="92" t="str">
        <f t="shared" si="52"/>
        <v>X</v>
      </c>
      <c r="J1006" s="79" t="str">
        <f>IF(G1006="","X",_xlfn.XLOOKUP(B1006,DATA_Moresby_2024_ALL!B:B,DATA_Moresby_2024_ALL!K:K,""))</f>
        <v>X</v>
      </c>
      <c r="K1006" s="28"/>
      <c r="L1006" s="29"/>
      <c r="M1006" s="28"/>
      <c r="N1006" s="19" t="str">
        <f t="shared" si="51"/>
        <v/>
      </c>
      <c r="O1006" s="19" t="str">
        <f t="shared" si="50"/>
        <v/>
      </c>
      <c r="P1006" s="19" t="str">
        <f t="shared" si="50"/>
        <v/>
      </c>
      <c r="Q1006" s="19" t="str">
        <f t="shared" si="50"/>
        <v/>
      </c>
      <c r="X1006" s="92" t="s">
        <v>78</v>
      </c>
      <c r="Y1006" s="92" t="s">
        <v>78</v>
      </c>
      <c r="Z1006" s="92" t="s">
        <v>78</v>
      </c>
    </row>
    <row r="1007" spans="1:26" ht="16" hidden="1" x14ac:dyDescent="0.4">
      <c r="A1007" s="92">
        <v>5019</v>
      </c>
      <c r="B1007" s="92">
        <v>5020</v>
      </c>
      <c r="E1007" s="92">
        <v>50</v>
      </c>
      <c r="F1007" s="92">
        <f>_xlfn.XLOOKUP(B1007, DATA_Moresby_2024_ALL!B:B, DATA_Moresby_2024_ALL!G:G, "")</f>
        <v>0</v>
      </c>
      <c r="G1007" s="93"/>
      <c r="H1007" s="92">
        <v>10</v>
      </c>
      <c r="I1007" s="92" t="str">
        <f t="shared" si="52"/>
        <v>X</v>
      </c>
      <c r="J1007" s="79" t="str">
        <f>IF(G1007="","X",_xlfn.XLOOKUP(B1007,DATA_Moresby_2024_ALL!B:B,DATA_Moresby_2024_ALL!K:K,""))</f>
        <v>X</v>
      </c>
      <c r="K1007" s="28"/>
      <c r="L1007" s="29"/>
      <c r="M1007" s="28"/>
      <c r="N1007" s="19" t="str">
        <f t="shared" si="51"/>
        <v/>
      </c>
      <c r="O1007" s="19" t="str">
        <f t="shared" si="50"/>
        <v/>
      </c>
      <c r="P1007" s="19" t="str">
        <f t="shared" si="50"/>
        <v/>
      </c>
      <c r="Q1007" s="19" t="str">
        <f t="shared" si="50"/>
        <v/>
      </c>
      <c r="X1007" s="92" t="s">
        <v>78</v>
      </c>
      <c r="Y1007" s="92" t="s">
        <v>78</v>
      </c>
      <c r="Z1007" s="92" t="s">
        <v>78</v>
      </c>
    </row>
    <row r="1008" spans="1:26" ht="16" hidden="1" x14ac:dyDescent="0.4">
      <c r="A1008" s="92">
        <v>5024</v>
      </c>
      <c r="B1008" s="92">
        <v>5025</v>
      </c>
      <c r="E1008" s="92">
        <v>50</v>
      </c>
      <c r="F1008" s="92">
        <f>_xlfn.XLOOKUP(B1008, DATA_Moresby_2024_ALL!B:B, DATA_Moresby_2024_ALL!G:G, "")</f>
        <v>0</v>
      </c>
      <c r="G1008" s="93"/>
      <c r="H1008" s="92">
        <v>10</v>
      </c>
      <c r="I1008" s="92" t="str">
        <f t="shared" si="52"/>
        <v>X</v>
      </c>
      <c r="J1008" s="79" t="str">
        <f>IF(G1008="","X",_xlfn.XLOOKUP(B1008,DATA_Moresby_2024_ALL!B:B,DATA_Moresby_2024_ALL!K:K,""))</f>
        <v>X</v>
      </c>
      <c r="K1008" s="28"/>
      <c r="L1008" s="29"/>
      <c r="M1008" s="28"/>
      <c r="N1008" s="19" t="str">
        <f t="shared" si="51"/>
        <v/>
      </c>
      <c r="O1008" s="19" t="str">
        <f t="shared" si="50"/>
        <v/>
      </c>
      <c r="P1008" s="19" t="str">
        <f t="shared" si="50"/>
        <v/>
      </c>
      <c r="Q1008" s="19" t="str">
        <f t="shared" si="50"/>
        <v/>
      </c>
      <c r="X1008" s="92" t="s">
        <v>78</v>
      </c>
      <c r="Y1008" s="92" t="s">
        <v>78</v>
      </c>
      <c r="Z1008" s="92" t="s">
        <v>78</v>
      </c>
    </row>
    <row r="1009" spans="1:26" ht="16" hidden="1" x14ac:dyDescent="0.4">
      <c r="A1009" s="92">
        <v>5029</v>
      </c>
      <c r="B1009" s="92">
        <v>5030</v>
      </c>
      <c r="E1009" s="92">
        <v>50</v>
      </c>
      <c r="F1009" s="92">
        <f>_xlfn.XLOOKUP(B1009, DATA_Moresby_2024_ALL!B:B, DATA_Moresby_2024_ALL!G:G, "")</f>
        <v>0</v>
      </c>
      <c r="G1009" s="93"/>
      <c r="H1009" s="92">
        <v>10</v>
      </c>
      <c r="I1009" s="92" t="str">
        <f t="shared" si="52"/>
        <v>X</v>
      </c>
      <c r="J1009" s="79" t="str">
        <f>IF(G1009="","X",_xlfn.XLOOKUP(B1009,DATA_Moresby_2024_ALL!B:B,DATA_Moresby_2024_ALL!K:K,""))</f>
        <v>X</v>
      </c>
      <c r="K1009" s="28"/>
      <c r="L1009" s="29"/>
      <c r="M1009" s="28"/>
      <c r="N1009" s="19" t="str">
        <f t="shared" si="51"/>
        <v/>
      </c>
      <c r="O1009" s="19" t="str">
        <f t="shared" si="50"/>
        <v/>
      </c>
      <c r="P1009" s="19" t="str">
        <f t="shared" si="50"/>
        <v/>
      </c>
      <c r="Q1009" s="19" t="str">
        <f t="shared" si="50"/>
        <v/>
      </c>
      <c r="X1009" s="92" t="s">
        <v>78</v>
      </c>
      <c r="Y1009" s="92" t="s">
        <v>78</v>
      </c>
      <c r="Z1009" s="92" t="s">
        <v>78</v>
      </c>
    </row>
    <row r="1010" spans="1:26" ht="16" hidden="1" x14ac:dyDescent="0.4">
      <c r="A1010" s="92">
        <v>5034</v>
      </c>
      <c r="B1010" s="92">
        <v>5035</v>
      </c>
      <c r="E1010" s="92">
        <v>50</v>
      </c>
      <c r="F1010" s="92">
        <f>_xlfn.XLOOKUP(B1010, DATA_Moresby_2024_ALL!B:B, DATA_Moresby_2024_ALL!G:G, "")</f>
        <v>0</v>
      </c>
      <c r="G1010" s="93"/>
      <c r="H1010" s="92">
        <v>10</v>
      </c>
      <c r="I1010" s="92" t="str">
        <f t="shared" si="52"/>
        <v>X</v>
      </c>
      <c r="J1010" s="79" t="str">
        <f>IF(G1010="","X",_xlfn.XLOOKUP(B1010,DATA_Moresby_2024_ALL!B:B,DATA_Moresby_2024_ALL!K:K,""))</f>
        <v>X</v>
      </c>
      <c r="K1010" s="28"/>
      <c r="L1010" s="29"/>
      <c r="M1010" s="28"/>
      <c r="N1010" s="19" t="str">
        <f t="shared" si="51"/>
        <v/>
      </c>
      <c r="O1010" s="19" t="str">
        <f t="shared" si="50"/>
        <v/>
      </c>
      <c r="P1010" s="19" t="str">
        <f t="shared" si="50"/>
        <v/>
      </c>
      <c r="Q1010" s="19" t="str">
        <f t="shared" si="50"/>
        <v/>
      </c>
      <c r="X1010" s="92" t="s">
        <v>78</v>
      </c>
      <c r="Y1010" s="92" t="s">
        <v>78</v>
      </c>
      <c r="Z1010" s="92" t="s">
        <v>78</v>
      </c>
    </row>
    <row r="1011" spans="1:26" ht="16" hidden="1" x14ac:dyDescent="0.4">
      <c r="A1011" s="92">
        <v>5039</v>
      </c>
      <c r="B1011" s="92">
        <v>5040</v>
      </c>
      <c r="E1011" s="92">
        <v>50</v>
      </c>
      <c r="F1011" s="92">
        <f>_xlfn.XLOOKUP(B1011, DATA_Moresby_2024_ALL!B:B, DATA_Moresby_2024_ALL!G:G, "")</f>
        <v>0</v>
      </c>
      <c r="G1011" s="93"/>
      <c r="H1011" s="92">
        <v>10</v>
      </c>
      <c r="I1011" s="92" t="str">
        <f t="shared" si="52"/>
        <v>X</v>
      </c>
      <c r="J1011" s="79" t="str">
        <f>IF(G1011="","X",_xlfn.XLOOKUP(B1011,DATA_Moresby_2024_ALL!B:B,DATA_Moresby_2024_ALL!K:K,""))</f>
        <v>X</v>
      </c>
      <c r="K1011" s="28"/>
      <c r="L1011" s="29"/>
      <c r="M1011" s="28"/>
      <c r="N1011" s="19" t="str">
        <f t="shared" si="51"/>
        <v/>
      </c>
      <c r="O1011" s="19" t="str">
        <f t="shared" si="50"/>
        <v/>
      </c>
      <c r="P1011" s="19" t="str">
        <f t="shared" si="50"/>
        <v/>
      </c>
      <c r="Q1011" s="19" t="str">
        <f t="shared" si="50"/>
        <v/>
      </c>
      <c r="X1011" s="92" t="s">
        <v>78</v>
      </c>
      <c r="Y1011" s="92" t="s">
        <v>78</v>
      </c>
      <c r="Z1011" s="92" t="s">
        <v>78</v>
      </c>
    </row>
    <row r="1012" spans="1:26" ht="16" hidden="1" x14ac:dyDescent="0.4">
      <c r="A1012" s="92">
        <v>5044</v>
      </c>
      <c r="B1012" s="92">
        <v>5045</v>
      </c>
      <c r="E1012" s="92">
        <v>50</v>
      </c>
      <c r="F1012" s="92">
        <f>_xlfn.XLOOKUP(B1012, DATA_Moresby_2024_ALL!B:B, DATA_Moresby_2024_ALL!G:G, "")</f>
        <v>0</v>
      </c>
      <c r="G1012" s="93"/>
      <c r="H1012" s="92">
        <v>10</v>
      </c>
      <c r="I1012" s="92" t="str">
        <f t="shared" si="52"/>
        <v>X</v>
      </c>
      <c r="J1012" s="79" t="str">
        <f>IF(G1012="","X",_xlfn.XLOOKUP(B1012,DATA_Moresby_2024_ALL!B:B,DATA_Moresby_2024_ALL!K:K,""))</f>
        <v>X</v>
      </c>
      <c r="K1012" s="28"/>
      <c r="L1012" s="29"/>
      <c r="M1012" s="28"/>
      <c r="N1012" s="19" t="str">
        <f t="shared" si="51"/>
        <v/>
      </c>
      <c r="O1012" s="19" t="str">
        <f t="shared" si="50"/>
        <v/>
      </c>
      <c r="P1012" s="19" t="str">
        <f t="shared" si="50"/>
        <v/>
      </c>
      <c r="Q1012" s="19" t="str">
        <f t="shared" si="50"/>
        <v/>
      </c>
      <c r="X1012" s="92" t="s">
        <v>78</v>
      </c>
      <c r="Y1012" s="92" t="s">
        <v>78</v>
      </c>
      <c r="Z1012" s="92" t="s">
        <v>78</v>
      </c>
    </row>
    <row r="1013" spans="1:26" ht="16" hidden="1" x14ac:dyDescent="0.4">
      <c r="A1013" s="92">
        <v>5049</v>
      </c>
      <c r="B1013" s="92">
        <v>5050</v>
      </c>
      <c r="E1013" s="92">
        <v>50</v>
      </c>
      <c r="F1013" s="92">
        <f>_xlfn.XLOOKUP(B1013, DATA_Moresby_2024_ALL!B:B, DATA_Moresby_2024_ALL!G:G, "")</f>
        <v>0</v>
      </c>
      <c r="G1013" s="93"/>
      <c r="H1013" s="92">
        <v>10</v>
      </c>
      <c r="I1013" s="92" t="str">
        <f t="shared" si="52"/>
        <v>X</v>
      </c>
      <c r="J1013" s="79" t="str">
        <f>IF(G1013="","X",_xlfn.XLOOKUP(B1013,DATA_Moresby_2024_ALL!B:B,DATA_Moresby_2024_ALL!K:K,""))</f>
        <v>X</v>
      </c>
      <c r="K1013" s="28"/>
      <c r="L1013" s="29"/>
      <c r="M1013" s="28"/>
      <c r="N1013" s="19" t="str">
        <f t="shared" si="51"/>
        <v/>
      </c>
      <c r="O1013" s="19" t="str">
        <f t="shared" si="50"/>
        <v/>
      </c>
      <c r="P1013" s="19" t="str">
        <f t="shared" si="50"/>
        <v/>
      </c>
      <c r="Q1013" s="19" t="str">
        <f t="shared" si="50"/>
        <v/>
      </c>
      <c r="X1013" s="92" t="s">
        <v>78</v>
      </c>
      <c r="Y1013" s="92" t="s">
        <v>78</v>
      </c>
      <c r="Z1013" s="92" t="s">
        <v>78</v>
      </c>
    </row>
    <row r="1014" spans="1:26" ht="16" hidden="1" x14ac:dyDescent="0.4">
      <c r="A1014" s="92">
        <v>5054</v>
      </c>
      <c r="B1014" s="92">
        <v>5055</v>
      </c>
      <c r="E1014" s="92">
        <v>50</v>
      </c>
      <c r="F1014" s="92">
        <f>_xlfn.XLOOKUP(B1014, DATA_Moresby_2024_ALL!B:B, DATA_Moresby_2024_ALL!G:G, "")</f>
        <v>0</v>
      </c>
      <c r="G1014" s="93"/>
      <c r="H1014" s="92">
        <v>10</v>
      </c>
      <c r="I1014" s="92" t="str">
        <f t="shared" si="52"/>
        <v>X</v>
      </c>
      <c r="J1014" s="79" t="str">
        <f>IF(G1014="","X",_xlfn.XLOOKUP(B1014,DATA_Moresby_2024_ALL!B:B,DATA_Moresby_2024_ALL!K:K,""))</f>
        <v>X</v>
      </c>
      <c r="K1014" s="28"/>
      <c r="L1014" s="29"/>
      <c r="M1014" s="28"/>
      <c r="N1014" s="19" t="str">
        <f t="shared" si="51"/>
        <v/>
      </c>
      <c r="O1014" s="19" t="str">
        <f t="shared" si="50"/>
        <v/>
      </c>
      <c r="P1014" s="19" t="str">
        <f t="shared" si="50"/>
        <v/>
      </c>
      <c r="Q1014" s="19" t="str">
        <f t="shared" si="50"/>
        <v/>
      </c>
      <c r="X1014" s="92" t="s">
        <v>78</v>
      </c>
      <c r="Y1014" s="92" t="s">
        <v>78</v>
      </c>
      <c r="Z1014" s="92" t="s">
        <v>78</v>
      </c>
    </row>
    <row r="1015" spans="1:26" ht="16" hidden="1" x14ac:dyDescent="0.4">
      <c r="A1015" s="92">
        <v>5059</v>
      </c>
      <c r="B1015" s="92">
        <v>5060</v>
      </c>
      <c r="E1015" s="92">
        <v>50</v>
      </c>
      <c r="F1015" s="92">
        <f>_xlfn.XLOOKUP(B1015, DATA_Moresby_2024_ALL!B:B, DATA_Moresby_2024_ALL!G:G, "")</f>
        <v>0</v>
      </c>
      <c r="G1015" s="93"/>
      <c r="H1015" s="92">
        <v>10</v>
      </c>
      <c r="I1015" s="92" t="str">
        <f t="shared" si="52"/>
        <v>X</v>
      </c>
      <c r="J1015" s="79" t="str">
        <f>IF(G1015="","X",_xlfn.XLOOKUP(B1015,DATA_Moresby_2024_ALL!B:B,DATA_Moresby_2024_ALL!K:K,""))</f>
        <v>X</v>
      </c>
      <c r="K1015" s="28"/>
      <c r="L1015" s="29"/>
      <c r="M1015" s="28"/>
      <c r="N1015" s="19" t="str">
        <f t="shared" si="51"/>
        <v/>
      </c>
      <c r="O1015" s="19" t="str">
        <f t="shared" si="50"/>
        <v/>
      </c>
      <c r="P1015" s="19" t="str">
        <f t="shared" si="50"/>
        <v/>
      </c>
      <c r="Q1015" s="19" t="str">
        <f t="shared" si="50"/>
        <v/>
      </c>
      <c r="X1015" s="92" t="s">
        <v>78</v>
      </c>
      <c r="Y1015" s="92" t="s">
        <v>78</v>
      </c>
      <c r="Z1015" s="92" t="s">
        <v>78</v>
      </c>
    </row>
    <row r="1016" spans="1:26" ht="16" hidden="1" x14ac:dyDescent="0.4">
      <c r="A1016" s="92">
        <v>5064</v>
      </c>
      <c r="B1016" s="92">
        <v>5065</v>
      </c>
      <c r="E1016" s="92">
        <v>50</v>
      </c>
      <c r="F1016" s="92">
        <f>_xlfn.XLOOKUP(B1016, DATA_Moresby_2024_ALL!B:B, DATA_Moresby_2024_ALL!G:G, "")</f>
        <v>0</v>
      </c>
      <c r="G1016" s="93"/>
      <c r="H1016" s="92">
        <v>10</v>
      </c>
      <c r="I1016" s="92" t="str">
        <f t="shared" si="52"/>
        <v>X</v>
      </c>
      <c r="J1016" s="79" t="str">
        <f>IF(G1016="","X",_xlfn.XLOOKUP(B1016,DATA_Moresby_2024_ALL!B:B,DATA_Moresby_2024_ALL!K:K,""))</f>
        <v>X</v>
      </c>
      <c r="K1016" s="28"/>
      <c r="L1016" s="29"/>
      <c r="M1016" s="28"/>
      <c r="N1016" s="19" t="str">
        <f t="shared" si="51"/>
        <v/>
      </c>
      <c r="O1016" s="19" t="str">
        <f t="shared" si="50"/>
        <v/>
      </c>
      <c r="P1016" s="19" t="str">
        <f t="shared" si="50"/>
        <v/>
      </c>
      <c r="Q1016" s="19" t="str">
        <f t="shared" si="50"/>
        <v/>
      </c>
      <c r="X1016" s="92" t="s">
        <v>78</v>
      </c>
      <c r="Y1016" s="92" t="s">
        <v>78</v>
      </c>
      <c r="Z1016" s="92" t="s">
        <v>78</v>
      </c>
    </row>
    <row r="1017" spans="1:26" ht="16" hidden="1" x14ac:dyDescent="0.4">
      <c r="A1017" s="92">
        <v>5069</v>
      </c>
      <c r="B1017" s="92">
        <v>5070</v>
      </c>
      <c r="E1017" s="92">
        <v>50</v>
      </c>
      <c r="F1017" s="92">
        <f>_xlfn.XLOOKUP(B1017, DATA_Moresby_2024_ALL!B:B, DATA_Moresby_2024_ALL!G:G, "")</f>
        <v>0</v>
      </c>
      <c r="G1017" s="93"/>
      <c r="H1017" s="92">
        <v>10</v>
      </c>
      <c r="I1017" s="92" t="str">
        <f t="shared" si="52"/>
        <v>X</v>
      </c>
      <c r="J1017" s="79" t="str">
        <f>IF(G1017="","X",_xlfn.XLOOKUP(B1017,DATA_Moresby_2024_ALL!B:B,DATA_Moresby_2024_ALL!K:K,""))</f>
        <v>X</v>
      </c>
      <c r="K1017" s="28"/>
      <c r="L1017" s="29"/>
      <c r="M1017" s="28"/>
      <c r="N1017" s="19" t="str">
        <f t="shared" si="51"/>
        <v/>
      </c>
      <c r="O1017" s="19" t="str">
        <f t="shared" si="50"/>
        <v/>
      </c>
      <c r="P1017" s="19" t="str">
        <f t="shared" si="50"/>
        <v/>
      </c>
      <c r="Q1017" s="19" t="str">
        <f t="shared" si="50"/>
        <v/>
      </c>
      <c r="X1017" s="92" t="s">
        <v>78</v>
      </c>
      <c r="Y1017" s="92" t="s">
        <v>78</v>
      </c>
      <c r="Z1017" s="92" t="s">
        <v>78</v>
      </c>
    </row>
    <row r="1018" spans="1:26" ht="16" hidden="1" x14ac:dyDescent="0.4">
      <c r="A1018" s="92">
        <v>5074</v>
      </c>
      <c r="B1018" s="92">
        <v>5075</v>
      </c>
      <c r="E1018" s="92">
        <v>50</v>
      </c>
      <c r="F1018" s="92">
        <f>_xlfn.XLOOKUP(B1018, DATA_Moresby_2024_ALL!B:B, DATA_Moresby_2024_ALL!G:G, "")</f>
        <v>0</v>
      </c>
      <c r="G1018" s="93"/>
      <c r="H1018" s="92">
        <v>10</v>
      </c>
      <c r="I1018" s="92" t="str">
        <f t="shared" si="52"/>
        <v>X</v>
      </c>
      <c r="J1018" s="79" t="str">
        <f>IF(G1018="","X",_xlfn.XLOOKUP(B1018,DATA_Moresby_2024_ALL!B:B,DATA_Moresby_2024_ALL!K:K,""))</f>
        <v>X</v>
      </c>
      <c r="K1018" s="28"/>
      <c r="L1018" s="29"/>
      <c r="M1018" s="28"/>
      <c r="N1018" s="19" t="str">
        <f t="shared" si="51"/>
        <v/>
      </c>
      <c r="O1018" s="19" t="str">
        <f t="shared" si="50"/>
        <v/>
      </c>
      <c r="P1018" s="19" t="str">
        <f t="shared" si="50"/>
        <v/>
      </c>
      <c r="Q1018" s="19" t="str">
        <f t="shared" si="50"/>
        <v/>
      </c>
      <c r="X1018" s="92" t="s">
        <v>78</v>
      </c>
      <c r="Y1018" s="92" t="s">
        <v>78</v>
      </c>
      <c r="Z1018" s="92" t="s">
        <v>78</v>
      </c>
    </row>
    <row r="1019" spans="1:26" ht="16" hidden="1" x14ac:dyDescent="0.4">
      <c r="A1019" s="92">
        <v>5079</v>
      </c>
      <c r="B1019" s="92">
        <v>5080</v>
      </c>
      <c r="E1019" s="92">
        <v>50</v>
      </c>
      <c r="F1019" s="92">
        <f>_xlfn.XLOOKUP(B1019, DATA_Moresby_2024_ALL!B:B, DATA_Moresby_2024_ALL!G:G, "")</f>
        <v>0</v>
      </c>
      <c r="G1019" s="93"/>
      <c r="H1019" s="92">
        <v>10</v>
      </c>
      <c r="I1019" s="92" t="str">
        <f t="shared" si="52"/>
        <v>X</v>
      </c>
      <c r="J1019" s="79" t="str">
        <f>IF(G1019="","X",_xlfn.XLOOKUP(B1019,DATA_Moresby_2024_ALL!B:B,DATA_Moresby_2024_ALL!K:K,""))</f>
        <v>X</v>
      </c>
      <c r="K1019" s="28"/>
      <c r="L1019" s="29"/>
      <c r="M1019" s="28"/>
      <c r="N1019" s="19" t="str">
        <f t="shared" si="51"/>
        <v/>
      </c>
      <c r="O1019" s="19" t="str">
        <f t="shared" si="50"/>
        <v/>
      </c>
      <c r="P1019" s="19" t="str">
        <f t="shared" si="50"/>
        <v/>
      </c>
      <c r="Q1019" s="19" t="str">
        <f t="shared" si="50"/>
        <v/>
      </c>
      <c r="X1019" s="92" t="s">
        <v>78</v>
      </c>
      <c r="Y1019" s="92" t="s">
        <v>78</v>
      </c>
      <c r="Z1019" s="92" t="s">
        <v>78</v>
      </c>
    </row>
    <row r="1020" spans="1:26" ht="16" hidden="1" x14ac:dyDescent="0.4">
      <c r="A1020" s="92">
        <v>5084</v>
      </c>
      <c r="B1020" s="92">
        <v>5085</v>
      </c>
      <c r="E1020" s="92">
        <v>50</v>
      </c>
      <c r="F1020" s="92">
        <f>_xlfn.XLOOKUP(B1020, DATA_Moresby_2024_ALL!B:B, DATA_Moresby_2024_ALL!G:G, "")</f>
        <v>0</v>
      </c>
      <c r="G1020" s="93"/>
      <c r="H1020" s="92">
        <v>10</v>
      </c>
      <c r="I1020" s="92" t="str">
        <f t="shared" si="52"/>
        <v>X</v>
      </c>
      <c r="J1020" s="79" t="str">
        <f>IF(G1020="","X",_xlfn.XLOOKUP(B1020,DATA_Moresby_2024_ALL!B:B,DATA_Moresby_2024_ALL!K:K,""))</f>
        <v>X</v>
      </c>
      <c r="K1020" s="28"/>
      <c r="L1020" s="29"/>
      <c r="M1020" s="28"/>
      <c r="N1020" s="19" t="str">
        <f t="shared" si="51"/>
        <v/>
      </c>
      <c r="O1020" s="19" t="str">
        <f t="shared" si="50"/>
        <v/>
      </c>
      <c r="P1020" s="19" t="str">
        <f t="shared" si="50"/>
        <v/>
      </c>
      <c r="Q1020" s="19" t="str">
        <f t="shared" si="50"/>
        <v/>
      </c>
      <c r="X1020" s="92" t="s">
        <v>78</v>
      </c>
      <c r="Y1020" s="92" t="s">
        <v>78</v>
      </c>
      <c r="Z1020" s="92" t="s">
        <v>78</v>
      </c>
    </row>
    <row r="1021" spans="1:26" ht="16" hidden="1" x14ac:dyDescent="0.4">
      <c r="A1021" s="92">
        <v>5089</v>
      </c>
      <c r="B1021" s="92">
        <v>5090</v>
      </c>
      <c r="E1021" s="92">
        <v>50</v>
      </c>
      <c r="F1021" s="92">
        <f>_xlfn.XLOOKUP(B1021, DATA_Moresby_2024_ALL!B:B, DATA_Moresby_2024_ALL!G:G, "")</f>
        <v>0</v>
      </c>
      <c r="G1021" s="93"/>
      <c r="H1021" s="92">
        <v>10</v>
      </c>
      <c r="I1021" s="92" t="str">
        <f t="shared" si="52"/>
        <v>X</v>
      </c>
      <c r="J1021" s="79" t="str">
        <f>IF(G1021="","X",_xlfn.XLOOKUP(B1021,DATA_Moresby_2024_ALL!B:B,DATA_Moresby_2024_ALL!K:K,""))</f>
        <v>X</v>
      </c>
      <c r="K1021" s="28"/>
      <c r="L1021" s="29"/>
      <c r="M1021" s="28"/>
      <c r="N1021" s="19" t="str">
        <f t="shared" si="51"/>
        <v/>
      </c>
      <c r="O1021" s="19" t="str">
        <f t="shared" si="50"/>
        <v/>
      </c>
      <c r="P1021" s="19" t="str">
        <f t="shared" si="50"/>
        <v/>
      </c>
      <c r="Q1021" s="19" t="str">
        <f t="shared" si="50"/>
        <v/>
      </c>
      <c r="X1021" s="92" t="s">
        <v>78</v>
      </c>
      <c r="Y1021" s="92" t="s">
        <v>78</v>
      </c>
      <c r="Z1021" s="92" t="s">
        <v>78</v>
      </c>
    </row>
    <row r="1022" spans="1:26" ht="16" hidden="1" x14ac:dyDescent="0.4">
      <c r="A1022" s="92">
        <v>5094</v>
      </c>
      <c r="B1022" s="92">
        <v>5095</v>
      </c>
      <c r="E1022" s="92">
        <v>50</v>
      </c>
      <c r="F1022" s="92" t="str">
        <f>_xlfn.XLOOKUP(B1022, DATA_Moresby_2024_ALL!B:B, DATA_Moresby_2024_ALL!G:G, "")</f>
        <v>5095_20240611_0006_L_0564.jpg</v>
      </c>
      <c r="G1022" s="93" t="str">
        <f t="shared" ref="G1022:G1037" si="53">HYPERLINK("D:\Data From Lucan\2024\Moresby\Frames_for_Analysis_50\" &amp; F1022,F1022)</f>
        <v>5095_20240611_0006_L_0564.jpg</v>
      </c>
      <c r="H1022" s="92">
        <v>10</v>
      </c>
      <c r="J1022" s="79">
        <f>IF(G1022="","X",_xlfn.XLOOKUP(B1022,DATA_Moresby_2024_ALL!B:B,DATA_Moresby_2024_ALL!K:K,""))</f>
        <v>1</v>
      </c>
      <c r="K1022" s="28"/>
      <c r="L1022" s="29"/>
      <c r="M1022" s="28"/>
      <c r="N1022" s="19">
        <f t="shared" si="51"/>
        <v>4</v>
      </c>
      <c r="O1022" s="19">
        <f t="shared" si="50"/>
        <v>4</v>
      </c>
      <c r="P1022" s="19">
        <f t="shared" si="50"/>
        <v>4</v>
      </c>
      <c r="Q1022" s="19">
        <v>3</v>
      </c>
      <c r="X1022" s="92" t="s">
        <v>78</v>
      </c>
      <c r="Y1022" s="92" t="s">
        <v>78</v>
      </c>
      <c r="Z1022" s="92" t="s">
        <v>78</v>
      </c>
    </row>
    <row r="1023" spans="1:26" ht="16" hidden="1" x14ac:dyDescent="0.4">
      <c r="A1023" s="92">
        <v>5099</v>
      </c>
      <c r="B1023" s="92">
        <v>5100</v>
      </c>
      <c r="E1023" s="92">
        <v>50</v>
      </c>
      <c r="F1023" s="92" t="str">
        <f>_xlfn.XLOOKUP(B1023, DATA_Moresby_2024_ALL!B:B, DATA_Moresby_2024_ALL!G:G, "")</f>
        <v>5100_20240611_0006_L_0573.jpg</v>
      </c>
      <c r="G1023" s="93" t="str">
        <f t="shared" si="53"/>
        <v>5100_20240611_0006_L_0573.jpg</v>
      </c>
      <c r="H1023" s="92">
        <v>4</v>
      </c>
      <c r="J1023" s="79">
        <f>IF(G1023="","X",_xlfn.XLOOKUP(B1023,DATA_Moresby_2024_ALL!B:B,DATA_Moresby_2024_ALL!K:K,""))</f>
        <v>1</v>
      </c>
      <c r="K1023" s="28"/>
      <c r="L1023" s="29"/>
      <c r="M1023" s="28"/>
      <c r="N1023" s="19">
        <f t="shared" si="51"/>
        <v>4</v>
      </c>
      <c r="O1023" s="19">
        <f t="shared" si="50"/>
        <v>4</v>
      </c>
      <c r="P1023" s="19">
        <f t="shared" si="50"/>
        <v>4</v>
      </c>
      <c r="Q1023" s="19">
        <f t="shared" si="50"/>
        <v>4</v>
      </c>
      <c r="X1023" s="92" t="s">
        <v>78</v>
      </c>
      <c r="Y1023" s="92" t="s">
        <v>78</v>
      </c>
      <c r="Z1023" s="92" t="s">
        <v>78</v>
      </c>
    </row>
    <row r="1024" spans="1:26" ht="16" hidden="1" x14ac:dyDescent="0.4">
      <c r="A1024" s="92">
        <v>5104</v>
      </c>
      <c r="B1024" s="92">
        <v>5105</v>
      </c>
      <c r="E1024" s="92">
        <v>50</v>
      </c>
      <c r="F1024" s="92" t="str">
        <f>_xlfn.XLOOKUP(B1024, DATA_Moresby_2024_ALL!B:B, DATA_Moresby_2024_ALL!G:G, "")</f>
        <v>5105_20240611_0006_L_0585.jpg</v>
      </c>
      <c r="G1024" s="93" t="str">
        <f t="shared" si="53"/>
        <v>5105_20240611_0006_L_0585.jpg</v>
      </c>
      <c r="H1024" s="92">
        <v>4</v>
      </c>
      <c r="J1024" s="79">
        <f>IF(G1024="","X",_xlfn.XLOOKUP(B1024,DATA_Moresby_2024_ALL!B:B,DATA_Moresby_2024_ALL!K:K,""))</f>
        <v>1</v>
      </c>
      <c r="K1024" s="28"/>
      <c r="L1024" s="29"/>
      <c r="M1024" s="28"/>
      <c r="N1024" s="19">
        <f t="shared" si="51"/>
        <v>4</v>
      </c>
      <c r="O1024" s="19">
        <f t="shared" si="50"/>
        <v>4</v>
      </c>
      <c r="P1024" s="19">
        <f t="shared" si="50"/>
        <v>4</v>
      </c>
      <c r="Q1024" s="19">
        <v>2</v>
      </c>
      <c r="X1024" s="92" t="s">
        <v>78</v>
      </c>
      <c r="Y1024" s="92" t="s">
        <v>78</v>
      </c>
      <c r="Z1024" s="92" t="s">
        <v>78</v>
      </c>
    </row>
    <row r="1025" spans="1:26" ht="16" hidden="1" x14ac:dyDescent="0.4">
      <c r="A1025" s="92">
        <v>5109</v>
      </c>
      <c r="B1025" s="92">
        <v>5110</v>
      </c>
      <c r="E1025" s="92">
        <v>50</v>
      </c>
      <c r="F1025" s="92" t="str">
        <f>_xlfn.XLOOKUP(B1025, DATA_Moresby_2024_ALL!B:B, DATA_Moresby_2024_ALL!G:G, "")</f>
        <v>5110_20240611_0006_L_0599.jpg</v>
      </c>
      <c r="G1025" s="93" t="str">
        <f t="shared" si="53"/>
        <v>5110_20240611_0006_L_0599.jpg</v>
      </c>
      <c r="H1025" s="92">
        <v>4</v>
      </c>
      <c r="J1025" s="79">
        <f>IF(G1025="","X",_xlfn.XLOOKUP(B1025,DATA_Moresby_2024_ALL!B:B,DATA_Moresby_2024_ALL!K:K,""))</f>
        <v>1</v>
      </c>
      <c r="K1025" s="28"/>
      <c r="L1025" s="29"/>
      <c r="M1025" s="28"/>
      <c r="N1025" s="19">
        <f t="shared" si="51"/>
        <v>4</v>
      </c>
      <c r="O1025" s="19">
        <f t="shared" si="50"/>
        <v>4</v>
      </c>
      <c r="P1025" s="19">
        <f t="shared" si="50"/>
        <v>4</v>
      </c>
      <c r="Q1025" s="19">
        <f t="shared" si="50"/>
        <v>4</v>
      </c>
      <c r="X1025" s="92" t="s">
        <v>78</v>
      </c>
      <c r="Y1025" s="92" t="s">
        <v>78</v>
      </c>
      <c r="Z1025" s="92" t="s">
        <v>78</v>
      </c>
    </row>
    <row r="1026" spans="1:26" ht="16" hidden="1" x14ac:dyDescent="0.4">
      <c r="A1026" s="92">
        <v>5114</v>
      </c>
      <c r="B1026" s="92">
        <v>5115</v>
      </c>
      <c r="E1026" s="92">
        <v>50</v>
      </c>
      <c r="F1026" s="92" t="str">
        <f>_xlfn.XLOOKUP(B1026, DATA_Moresby_2024_ALL!B:B, DATA_Moresby_2024_ALL!G:G, "")</f>
        <v>5115_20240611_0006_L_0614.jpg</v>
      </c>
      <c r="G1026" s="93" t="str">
        <f t="shared" si="53"/>
        <v>5115_20240611_0006_L_0614.jpg</v>
      </c>
      <c r="H1026" s="92">
        <v>4</v>
      </c>
      <c r="J1026" s="79">
        <f>IF(G1026="","X",_xlfn.XLOOKUP(B1026,DATA_Moresby_2024_ALL!B:B,DATA_Moresby_2024_ALL!K:K,""))</f>
        <v>1</v>
      </c>
      <c r="K1026" s="28"/>
      <c r="L1026" s="29"/>
      <c r="M1026" s="28"/>
      <c r="N1026" s="19">
        <f t="shared" si="51"/>
        <v>4</v>
      </c>
      <c r="O1026" s="19">
        <f t="shared" si="50"/>
        <v>4</v>
      </c>
      <c r="P1026" s="19">
        <f t="shared" si="50"/>
        <v>4</v>
      </c>
      <c r="Q1026" s="19">
        <f t="shared" si="50"/>
        <v>4</v>
      </c>
      <c r="X1026" s="92" t="s">
        <v>78</v>
      </c>
      <c r="Y1026" s="92" t="s">
        <v>78</v>
      </c>
      <c r="Z1026" s="92" t="s">
        <v>78</v>
      </c>
    </row>
    <row r="1027" spans="1:26" ht="16" hidden="1" x14ac:dyDescent="0.4">
      <c r="A1027" s="92">
        <v>5119</v>
      </c>
      <c r="B1027" s="92">
        <v>5120</v>
      </c>
      <c r="E1027" s="92">
        <v>50</v>
      </c>
      <c r="F1027" s="92" t="str">
        <f>_xlfn.XLOOKUP(B1027, DATA_Moresby_2024_ALL!B:B, DATA_Moresby_2024_ALL!G:G, "")</f>
        <v>5120_20240611_0006_L_0627.jpg</v>
      </c>
      <c r="G1027" s="93" t="str">
        <f t="shared" si="53"/>
        <v>5120_20240611_0006_L_0627.jpg</v>
      </c>
      <c r="H1027" s="92">
        <v>4</v>
      </c>
      <c r="J1027" s="79">
        <f>IF(G1027="","X",_xlfn.XLOOKUP(B1027,DATA_Moresby_2024_ALL!B:B,DATA_Moresby_2024_ALL!K:K,""))</f>
        <v>1</v>
      </c>
      <c r="K1027" s="28"/>
      <c r="L1027" s="29"/>
      <c r="M1027" s="28"/>
      <c r="N1027" s="19">
        <f t="shared" si="51"/>
        <v>4</v>
      </c>
      <c r="O1027" s="19">
        <f t="shared" si="50"/>
        <v>4</v>
      </c>
      <c r="P1027" s="19">
        <f t="shared" si="50"/>
        <v>4</v>
      </c>
      <c r="Q1027" s="19">
        <f t="shared" si="50"/>
        <v>4</v>
      </c>
      <c r="X1027" s="92" t="s">
        <v>78</v>
      </c>
      <c r="Y1027" s="92" t="s">
        <v>78</v>
      </c>
      <c r="Z1027" s="92" t="s">
        <v>78</v>
      </c>
    </row>
    <row r="1028" spans="1:26" ht="16" hidden="1" x14ac:dyDescent="0.4">
      <c r="A1028" s="92">
        <v>5124</v>
      </c>
      <c r="B1028" s="92">
        <v>5125</v>
      </c>
      <c r="E1028" s="92">
        <v>50</v>
      </c>
      <c r="F1028" s="92" t="str">
        <f>_xlfn.XLOOKUP(B1028, DATA_Moresby_2024_ALL!B:B, DATA_Moresby_2024_ALL!G:G, "")</f>
        <v>5125_20240611_0006_L_0641.jpg</v>
      </c>
      <c r="G1028" s="93" t="str">
        <f t="shared" si="53"/>
        <v>5125_20240611_0006_L_0641.jpg</v>
      </c>
      <c r="H1028" s="92">
        <v>4</v>
      </c>
      <c r="J1028" s="79">
        <f>IF(G1028="","X",_xlfn.XLOOKUP(B1028,DATA_Moresby_2024_ALL!B:B,DATA_Moresby_2024_ALL!K:K,""))</f>
        <v>1</v>
      </c>
      <c r="K1028" s="28"/>
      <c r="L1028" s="29"/>
      <c r="M1028" s="28"/>
      <c r="N1028" s="19">
        <f t="shared" si="51"/>
        <v>4</v>
      </c>
      <c r="O1028" s="19">
        <f t="shared" si="50"/>
        <v>4</v>
      </c>
      <c r="P1028" s="19">
        <f t="shared" si="50"/>
        <v>4</v>
      </c>
      <c r="Q1028" s="19">
        <f t="shared" si="50"/>
        <v>4</v>
      </c>
      <c r="X1028" s="92" t="s">
        <v>78</v>
      </c>
      <c r="Y1028" s="92" t="s">
        <v>78</v>
      </c>
      <c r="Z1028" s="92" t="s">
        <v>78</v>
      </c>
    </row>
    <row r="1029" spans="1:26" ht="16" hidden="1" x14ac:dyDescent="0.4">
      <c r="A1029" s="92">
        <v>5129</v>
      </c>
      <c r="B1029" s="92">
        <v>5130</v>
      </c>
      <c r="E1029" s="92">
        <v>50</v>
      </c>
      <c r="F1029" s="92" t="str">
        <f>_xlfn.XLOOKUP(B1029, DATA_Moresby_2024_ALL!B:B, DATA_Moresby_2024_ALL!G:G, "")</f>
        <v>5130_20240611_0006_L_0655.jpg</v>
      </c>
      <c r="G1029" s="93" t="str">
        <f t="shared" si="53"/>
        <v>5130_20240611_0006_L_0655.jpg</v>
      </c>
      <c r="H1029" s="92">
        <v>4</v>
      </c>
      <c r="J1029" s="79">
        <f>IF(G1029="","X",_xlfn.XLOOKUP(B1029,DATA_Moresby_2024_ALL!B:B,DATA_Moresby_2024_ALL!K:K,""))</f>
        <v>1</v>
      </c>
      <c r="K1029" s="28"/>
      <c r="L1029" s="29"/>
      <c r="M1029" s="28"/>
      <c r="N1029" s="19">
        <f t="shared" si="51"/>
        <v>4</v>
      </c>
      <c r="O1029" s="19">
        <f t="shared" si="50"/>
        <v>4</v>
      </c>
      <c r="P1029" s="19">
        <f t="shared" si="50"/>
        <v>4</v>
      </c>
      <c r="Q1029" s="19">
        <f t="shared" si="50"/>
        <v>4</v>
      </c>
      <c r="X1029" s="92" t="s">
        <v>78</v>
      </c>
      <c r="Y1029" s="92" t="s">
        <v>78</v>
      </c>
      <c r="Z1029" s="92" t="s">
        <v>78</v>
      </c>
    </row>
    <row r="1030" spans="1:26" ht="16" hidden="1" x14ac:dyDescent="0.4">
      <c r="A1030" s="92">
        <v>5134</v>
      </c>
      <c r="B1030" s="92">
        <v>5135</v>
      </c>
      <c r="E1030" s="92">
        <v>50</v>
      </c>
      <c r="F1030" s="92" t="str">
        <f>_xlfn.XLOOKUP(B1030, DATA_Moresby_2024_ALL!B:B, DATA_Moresby_2024_ALL!G:G, "")</f>
        <v>5135_20240611_0006_L_0670.jpg</v>
      </c>
      <c r="G1030" s="93" t="str">
        <f t="shared" si="53"/>
        <v>5135_20240611_0006_L_0670.jpg</v>
      </c>
      <c r="H1030" s="92">
        <v>4</v>
      </c>
      <c r="J1030" s="79">
        <f>IF(G1030="","X",_xlfn.XLOOKUP(B1030,DATA_Moresby_2024_ALL!B:B,DATA_Moresby_2024_ALL!K:K,""))</f>
        <v>1</v>
      </c>
      <c r="K1030" s="28"/>
      <c r="L1030" s="29"/>
      <c r="M1030" s="28"/>
      <c r="N1030" s="19">
        <f t="shared" si="51"/>
        <v>4</v>
      </c>
      <c r="O1030" s="19">
        <f t="shared" si="50"/>
        <v>4</v>
      </c>
      <c r="P1030" s="19">
        <f t="shared" si="50"/>
        <v>4</v>
      </c>
      <c r="Q1030" s="19">
        <f t="shared" si="50"/>
        <v>4</v>
      </c>
      <c r="X1030" s="92" t="s">
        <v>78</v>
      </c>
      <c r="Y1030" s="92" t="s">
        <v>78</v>
      </c>
      <c r="Z1030" s="92" t="s">
        <v>78</v>
      </c>
    </row>
    <row r="1031" spans="1:26" ht="16" hidden="1" x14ac:dyDescent="0.4">
      <c r="A1031" s="92">
        <v>5139</v>
      </c>
      <c r="B1031" s="92">
        <v>5140</v>
      </c>
      <c r="E1031" s="92">
        <v>50</v>
      </c>
      <c r="F1031" s="92" t="str">
        <f>_xlfn.XLOOKUP(B1031, DATA_Moresby_2024_ALL!B:B, DATA_Moresby_2024_ALL!G:G, "")</f>
        <v>5140_20240611_0006_L_0684.jpg</v>
      </c>
      <c r="G1031" s="93" t="str">
        <f t="shared" si="53"/>
        <v>5140_20240611_0006_L_0684.jpg</v>
      </c>
      <c r="H1031" s="92">
        <v>4</v>
      </c>
      <c r="J1031" s="79">
        <f>IF(G1031="","X",_xlfn.XLOOKUP(B1031,DATA_Moresby_2024_ALL!B:B,DATA_Moresby_2024_ALL!K:K,""))</f>
        <v>1</v>
      </c>
      <c r="K1031" s="28"/>
      <c r="L1031" s="29"/>
      <c r="M1031" s="28"/>
      <c r="N1031" s="19">
        <f t="shared" si="51"/>
        <v>4</v>
      </c>
      <c r="O1031" s="19">
        <f t="shared" si="50"/>
        <v>4</v>
      </c>
      <c r="P1031" s="19">
        <f t="shared" si="50"/>
        <v>4</v>
      </c>
      <c r="Q1031" s="19">
        <f t="shared" si="50"/>
        <v>4</v>
      </c>
      <c r="X1031" s="92" t="s">
        <v>78</v>
      </c>
      <c r="Y1031" s="92" t="s">
        <v>78</v>
      </c>
      <c r="Z1031" s="92" t="s">
        <v>78</v>
      </c>
    </row>
    <row r="1032" spans="1:26" ht="16" hidden="1" x14ac:dyDescent="0.4">
      <c r="A1032" s="92">
        <v>5144</v>
      </c>
      <c r="B1032" s="92">
        <v>5145</v>
      </c>
      <c r="E1032" s="92">
        <v>50</v>
      </c>
      <c r="F1032" s="92" t="str">
        <f>_xlfn.XLOOKUP(B1032, DATA_Moresby_2024_ALL!B:B, DATA_Moresby_2024_ALL!G:G, "")</f>
        <v>5145_20240611_0006_L_0704.jpg</v>
      </c>
      <c r="G1032" s="93" t="str">
        <f t="shared" si="53"/>
        <v>5145_20240611_0006_L_0704.jpg</v>
      </c>
      <c r="H1032" s="92">
        <v>4</v>
      </c>
      <c r="J1032" s="79">
        <f>IF(G1032="","X",_xlfn.XLOOKUP(B1032,DATA_Moresby_2024_ALL!B:B,DATA_Moresby_2024_ALL!K:K,""))</f>
        <v>1</v>
      </c>
      <c r="K1032" s="28"/>
      <c r="L1032" s="29"/>
      <c r="M1032" s="28"/>
      <c r="N1032" s="19">
        <f t="shared" si="51"/>
        <v>4</v>
      </c>
      <c r="O1032" s="19">
        <f t="shared" si="50"/>
        <v>4</v>
      </c>
      <c r="P1032" s="19">
        <f t="shared" si="50"/>
        <v>4</v>
      </c>
      <c r="Q1032" s="19">
        <f t="shared" si="50"/>
        <v>4</v>
      </c>
      <c r="X1032" s="92" t="s">
        <v>78</v>
      </c>
      <c r="Y1032" s="92" t="s">
        <v>78</v>
      </c>
      <c r="Z1032" s="92" t="s">
        <v>78</v>
      </c>
    </row>
    <row r="1033" spans="1:26" ht="16" hidden="1" x14ac:dyDescent="0.4">
      <c r="A1033" s="92">
        <v>5149</v>
      </c>
      <c r="B1033" s="92">
        <v>5150</v>
      </c>
      <c r="E1033" s="92">
        <v>50</v>
      </c>
      <c r="F1033" s="92" t="str">
        <f>_xlfn.XLOOKUP(B1033, DATA_Moresby_2024_ALL!B:B, DATA_Moresby_2024_ALL!G:G, "")</f>
        <v>5150_20240611_0006_L_0745.jpg</v>
      </c>
      <c r="G1033" s="93" t="str">
        <f t="shared" si="53"/>
        <v>5150_20240611_0006_L_0745.jpg</v>
      </c>
      <c r="H1033" s="92">
        <v>4</v>
      </c>
      <c r="J1033" s="79">
        <f>IF(G1033="","X",_xlfn.XLOOKUP(B1033,DATA_Moresby_2024_ALL!B:B,DATA_Moresby_2024_ALL!K:K,""))</f>
        <v>1</v>
      </c>
      <c r="K1033" s="28"/>
      <c r="L1033" s="29"/>
      <c r="M1033" s="28"/>
      <c r="N1033" s="19">
        <f t="shared" si="51"/>
        <v>4</v>
      </c>
      <c r="O1033" s="19">
        <f t="shared" si="50"/>
        <v>4</v>
      </c>
      <c r="P1033" s="19">
        <f t="shared" si="50"/>
        <v>4</v>
      </c>
      <c r="Q1033" s="19">
        <v>3</v>
      </c>
      <c r="X1033" s="92" t="s">
        <v>78</v>
      </c>
      <c r="Y1033" s="92" t="s">
        <v>78</v>
      </c>
      <c r="Z1033" s="92" t="s">
        <v>78</v>
      </c>
    </row>
    <row r="1034" spans="1:26" ht="16" hidden="1" x14ac:dyDescent="0.4">
      <c r="A1034" s="92">
        <v>5154</v>
      </c>
      <c r="B1034" s="92">
        <v>5155</v>
      </c>
      <c r="E1034" s="92">
        <v>50</v>
      </c>
      <c r="F1034" s="92" t="str">
        <f>_xlfn.XLOOKUP(B1034, DATA_Moresby_2024_ALL!B:B, DATA_Moresby_2024_ALL!G:G, "")</f>
        <v>5155_20240611_0006_L_0765.jpg</v>
      </c>
      <c r="G1034" s="93" t="str">
        <f t="shared" si="53"/>
        <v>5155_20240611_0006_L_0765.jpg</v>
      </c>
      <c r="H1034" s="92">
        <v>4</v>
      </c>
      <c r="J1034" s="79">
        <f>IF(G1034="","X",_xlfn.XLOOKUP(B1034,DATA_Moresby_2024_ALL!B:B,DATA_Moresby_2024_ALL!K:K,""))</f>
        <v>1</v>
      </c>
      <c r="K1034" s="28"/>
      <c r="L1034" s="29"/>
      <c r="M1034" s="28"/>
      <c r="N1034" s="19">
        <f t="shared" si="51"/>
        <v>4</v>
      </c>
      <c r="O1034" s="19">
        <f t="shared" si="50"/>
        <v>4</v>
      </c>
      <c r="P1034" s="19">
        <f t="shared" si="50"/>
        <v>4</v>
      </c>
      <c r="Q1034" s="19">
        <v>3</v>
      </c>
      <c r="X1034" s="92" t="s">
        <v>78</v>
      </c>
      <c r="Y1034" s="92" t="s">
        <v>78</v>
      </c>
      <c r="Z1034" s="92" t="s">
        <v>78</v>
      </c>
    </row>
    <row r="1035" spans="1:26" ht="16" hidden="1" x14ac:dyDescent="0.4">
      <c r="A1035" s="92">
        <v>5159</v>
      </c>
      <c r="B1035" s="92">
        <v>5160</v>
      </c>
      <c r="E1035" s="92">
        <v>50</v>
      </c>
      <c r="F1035" s="92" t="str">
        <f>_xlfn.XLOOKUP(B1035, DATA_Moresby_2024_ALL!B:B, DATA_Moresby_2024_ALL!G:G, "")</f>
        <v>5160_20240611_0006_L_0781.jpg</v>
      </c>
      <c r="G1035" s="93" t="str">
        <f t="shared" si="53"/>
        <v>5160_20240611_0006_L_0781.jpg</v>
      </c>
      <c r="H1035" s="92">
        <v>4</v>
      </c>
      <c r="J1035" s="79">
        <f>IF(G1035="","X",_xlfn.XLOOKUP(B1035,DATA_Moresby_2024_ALL!B:B,DATA_Moresby_2024_ALL!K:K,""))</f>
        <v>1</v>
      </c>
      <c r="K1035" s="28"/>
      <c r="L1035" s="29"/>
      <c r="M1035" s="28"/>
      <c r="N1035" s="19">
        <f t="shared" si="51"/>
        <v>4</v>
      </c>
      <c r="O1035" s="19">
        <f t="shared" si="50"/>
        <v>4</v>
      </c>
      <c r="P1035" s="19">
        <f t="shared" si="50"/>
        <v>4</v>
      </c>
      <c r="Q1035" s="19">
        <f t="shared" si="50"/>
        <v>4</v>
      </c>
      <c r="X1035" s="92" t="s">
        <v>78</v>
      </c>
      <c r="Y1035" s="92" t="s">
        <v>78</v>
      </c>
      <c r="Z1035" s="92" t="s">
        <v>78</v>
      </c>
    </row>
    <row r="1036" spans="1:26" ht="16" hidden="1" x14ac:dyDescent="0.4">
      <c r="A1036" s="92">
        <v>5164</v>
      </c>
      <c r="B1036" s="92">
        <v>5165</v>
      </c>
      <c r="E1036" s="92">
        <v>50</v>
      </c>
      <c r="F1036" s="92" t="str">
        <f>_xlfn.XLOOKUP(B1036, DATA_Moresby_2024_ALL!B:B, DATA_Moresby_2024_ALL!G:G, "")</f>
        <v>5165_20240611_0006_L_0795.jpg</v>
      </c>
      <c r="G1036" s="93" t="str">
        <f t="shared" si="53"/>
        <v>5165_20240611_0006_L_0795.jpg</v>
      </c>
      <c r="H1036" s="92">
        <v>4</v>
      </c>
      <c r="J1036" s="79">
        <f>IF(G1036="","X",_xlfn.XLOOKUP(B1036,DATA_Moresby_2024_ALL!B:B,DATA_Moresby_2024_ALL!K:K,""))</f>
        <v>1</v>
      </c>
      <c r="K1036" s="28"/>
      <c r="L1036" s="29"/>
      <c r="M1036" s="28"/>
      <c r="N1036" s="19">
        <f t="shared" si="51"/>
        <v>4</v>
      </c>
      <c r="O1036" s="19">
        <f t="shared" si="50"/>
        <v>4</v>
      </c>
      <c r="P1036" s="19">
        <f t="shared" si="50"/>
        <v>4</v>
      </c>
      <c r="Q1036" s="19">
        <v>3</v>
      </c>
      <c r="X1036" s="92" t="s">
        <v>78</v>
      </c>
      <c r="Y1036" s="92" t="s">
        <v>78</v>
      </c>
      <c r="Z1036" s="92" t="s">
        <v>78</v>
      </c>
    </row>
    <row r="1037" spans="1:26" ht="16" hidden="1" x14ac:dyDescent="0.4">
      <c r="A1037" s="92">
        <v>5169</v>
      </c>
      <c r="B1037" s="92">
        <v>5170</v>
      </c>
      <c r="E1037" s="92">
        <v>50</v>
      </c>
      <c r="F1037" s="92" t="str">
        <f>_xlfn.XLOOKUP(B1037, DATA_Moresby_2024_ALL!B:B, DATA_Moresby_2024_ALL!G:G, "")</f>
        <v>5170_20240611_0006_L_0808.jpg</v>
      </c>
      <c r="G1037" s="93" t="str">
        <f t="shared" si="53"/>
        <v>5170_20240611_0006_L_0808.jpg</v>
      </c>
      <c r="H1037" s="92">
        <v>4</v>
      </c>
      <c r="J1037" s="79">
        <f>IF(G1037="","X",_xlfn.XLOOKUP(B1037,DATA_Moresby_2024_ALL!B:B,DATA_Moresby_2024_ALL!K:K,""))</f>
        <v>1</v>
      </c>
      <c r="K1037" s="28"/>
      <c r="L1037" s="29"/>
      <c r="M1037" s="28"/>
      <c r="N1037" s="19">
        <f t="shared" si="51"/>
        <v>4</v>
      </c>
      <c r="O1037" s="19">
        <f t="shared" si="50"/>
        <v>4</v>
      </c>
      <c r="P1037" s="19">
        <f t="shared" si="50"/>
        <v>4</v>
      </c>
      <c r="Q1037" s="19">
        <f t="shared" si="50"/>
        <v>4</v>
      </c>
      <c r="X1037" s="92" t="s">
        <v>78</v>
      </c>
      <c r="Y1037" s="92" t="s">
        <v>78</v>
      </c>
      <c r="Z1037" s="92" t="s">
        <v>78</v>
      </c>
    </row>
    <row r="1038" spans="1:26" ht="16" hidden="1" x14ac:dyDescent="0.4">
      <c r="A1038" s="92">
        <v>5174</v>
      </c>
      <c r="B1038" s="92">
        <v>5175</v>
      </c>
      <c r="E1038" s="92">
        <v>50</v>
      </c>
      <c r="F1038" s="92" t="str">
        <f>_xlfn.XLOOKUP(B1038, DATA_Moresby_2024_ALL!B:B, DATA_Moresby_2024_ALL!G:G, "")</f>
        <v>5175_20240611_0006_L_0821.jpg</v>
      </c>
      <c r="G1038" s="93" t="str">
        <f t="shared" ref="G1038:G1101" si="54">HYPERLINK("D:\Data From Lucan\2024\Moresby\Frames_for_Analysis_50\" &amp; F1038,F1038)</f>
        <v>5175_20240611_0006_L_0821.jpg</v>
      </c>
      <c r="H1038" s="92">
        <v>4</v>
      </c>
      <c r="J1038" s="79">
        <f>IF(G1038="","X",_xlfn.XLOOKUP(B1038,DATA_Moresby_2024_ALL!B:B,DATA_Moresby_2024_ALL!K:K,""))</f>
        <v>1</v>
      </c>
      <c r="K1038" s="28"/>
      <c r="L1038" s="29"/>
      <c r="M1038" s="28"/>
      <c r="N1038" s="19">
        <f t="shared" si="51"/>
        <v>4</v>
      </c>
      <c r="O1038" s="19">
        <v>3</v>
      </c>
      <c r="P1038" s="19">
        <f t="shared" si="50"/>
        <v>4</v>
      </c>
      <c r="Q1038" s="19">
        <f t="shared" si="50"/>
        <v>4</v>
      </c>
      <c r="X1038" s="92" t="s">
        <v>78</v>
      </c>
      <c r="Y1038" s="92" t="s">
        <v>78</v>
      </c>
      <c r="Z1038" s="92" t="s">
        <v>78</v>
      </c>
    </row>
    <row r="1039" spans="1:26" ht="16" hidden="1" x14ac:dyDescent="0.4">
      <c r="A1039" s="92">
        <v>5179</v>
      </c>
      <c r="B1039" s="92">
        <v>5180</v>
      </c>
      <c r="E1039" s="92">
        <v>50</v>
      </c>
      <c r="F1039" s="92" t="str">
        <f>_xlfn.XLOOKUP(B1039, DATA_Moresby_2024_ALL!B:B, DATA_Moresby_2024_ALL!G:G, "")</f>
        <v>5180_20240611_0006_L_0835.jpg</v>
      </c>
      <c r="G1039" s="93" t="str">
        <f t="shared" si="54"/>
        <v>5180_20240611_0006_L_0835.jpg</v>
      </c>
      <c r="H1039" s="92">
        <v>4</v>
      </c>
      <c r="J1039" s="79">
        <f>IF(G1039="","X",_xlfn.XLOOKUP(B1039,DATA_Moresby_2024_ALL!B:B,DATA_Moresby_2024_ALL!K:K,""))</f>
        <v>1</v>
      </c>
      <c r="K1039" s="28"/>
      <c r="L1039" s="29"/>
      <c r="M1039" s="28"/>
      <c r="N1039" s="19">
        <f t="shared" si="51"/>
        <v>4</v>
      </c>
      <c r="O1039" s="19">
        <f t="shared" si="50"/>
        <v>4</v>
      </c>
      <c r="P1039" s="19">
        <f t="shared" si="50"/>
        <v>4</v>
      </c>
      <c r="Q1039" s="19">
        <v>3</v>
      </c>
      <c r="X1039" s="92" t="s">
        <v>78</v>
      </c>
      <c r="Y1039" s="92" t="s">
        <v>78</v>
      </c>
      <c r="Z1039" s="92" t="s">
        <v>78</v>
      </c>
    </row>
    <row r="1040" spans="1:26" ht="16" hidden="1" x14ac:dyDescent="0.4">
      <c r="A1040" s="92">
        <v>5184</v>
      </c>
      <c r="B1040" s="92">
        <v>5185</v>
      </c>
      <c r="E1040" s="92">
        <v>50</v>
      </c>
      <c r="F1040" s="92" t="str">
        <f>_xlfn.XLOOKUP(B1040, DATA_Moresby_2024_ALL!B:B, DATA_Moresby_2024_ALL!G:G, "")</f>
        <v>5185_20240611_0006_L_0849.jpg</v>
      </c>
      <c r="G1040" s="93" t="str">
        <f t="shared" si="54"/>
        <v>5185_20240611_0006_L_0849.jpg</v>
      </c>
      <c r="H1040" s="92">
        <v>4</v>
      </c>
      <c r="J1040" s="79">
        <f>IF(G1040="","X",_xlfn.XLOOKUP(B1040,DATA_Moresby_2024_ALL!B:B,DATA_Moresby_2024_ALL!K:K,""))</f>
        <v>1</v>
      </c>
      <c r="K1040" s="28"/>
      <c r="L1040" s="29"/>
      <c r="M1040" s="28"/>
      <c r="N1040" s="19">
        <f t="shared" si="51"/>
        <v>4</v>
      </c>
      <c r="O1040" s="19">
        <f t="shared" si="50"/>
        <v>4</v>
      </c>
      <c r="P1040" s="19">
        <f t="shared" si="50"/>
        <v>4</v>
      </c>
      <c r="Q1040" s="19">
        <f t="shared" si="50"/>
        <v>4</v>
      </c>
      <c r="X1040" s="92" t="s">
        <v>78</v>
      </c>
      <c r="Y1040" s="92" t="s">
        <v>78</v>
      </c>
      <c r="Z1040" s="92" t="s">
        <v>78</v>
      </c>
    </row>
    <row r="1041" spans="1:26" ht="16" hidden="1" x14ac:dyDescent="0.4">
      <c r="A1041" s="92">
        <v>5189</v>
      </c>
      <c r="B1041" s="92">
        <v>5190</v>
      </c>
      <c r="E1041" s="92">
        <v>50</v>
      </c>
      <c r="F1041" s="92" t="str">
        <f>_xlfn.XLOOKUP(B1041, DATA_Moresby_2024_ALL!B:B, DATA_Moresby_2024_ALL!G:G, "")</f>
        <v>5190_20240611_0006_L_0865.jpg</v>
      </c>
      <c r="G1041" s="93" t="str">
        <f t="shared" si="54"/>
        <v>5190_20240611_0006_L_0865.jpg</v>
      </c>
      <c r="H1041" s="92">
        <v>4</v>
      </c>
      <c r="J1041" s="79">
        <f>IF(G1041="","X",_xlfn.XLOOKUP(B1041,DATA_Moresby_2024_ALL!B:B,DATA_Moresby_2024_ALL!K:K,""))</f>
        <v>1</v>
      </c>
      <c r="K1041" s="28"/>
      <c r="L1041" s="29"/>
      <c r="M1041" s="28"/>
      <c r="N1041" s="19">
        <v>3</v>
      </c>
      <c r="O1041" s="19">
        <f t="shared" si="50"/>
        <v>4</v>
      </c>
      <c r="P1041" s="19">
        <f t="shared" si="50"/>
        <v>4</v>
      </c>
      <c r="Q1041" s="19">
        <f t="shared" si="50"/>
        <v>4</v>
      </c>
      <c r="X1041" s="92" t="s">
        <v>78</v>
      </c>
      <c r="Y1041" s="92" t="s">
        <v>78</v>
      </c>
      <c r="Z1041" s="92" t="s">
        <v>78</v>
      </c>
    </row>
    <row r="1042" spans="1:26" ht="16" hidden="1" x14ac:dyDescent="0.4">
      <c r="A1042" s="92">
        <v>5194</v>
      </c>
      <c r="B1042" s="92">
        <v>5195</v>
      </c>
      <c r="E1042" s="92">
        <v>50</v>
      </c>
      <c r="F1042" s="92" t="str">
        <f>_xlfn.XLOOKUP(B1042, DATA_Moresby_2024_ALL!B:B, DATA_Moresby_2024_ALL!G:G, "")</f>
        <v>5195_20240611_0006_L_0879.jpg</v>
      </c>
      <c r="G1042" s="93" t="str">
        <f t="shared" si="54"/>
        <v>5195_20240611_0006_L_0879.jpg</v>
      </c>
      <c r="H1042" s="92">
        <v>4</v>
      </c>
      <c r="J1042" s="79">
        <f>IF(G1042="","X",_xlfn.XLOOKUP(B1042,DATA_Moresby_2024_ALL!B:B,DATA_Moresby_2024_ALL!K:K,""))</f>
        <v>1</v>
      </c>
      <c r="K1042" s="28"/>
      <c r="L1042" s="29"/>
      <c r="M1042" s="28"/>
      <c r="N1042" s="19">
        <v>3</v>
      </c>
      <c r="O1042" s="19">
        <f t="shared" si="50"/>
        <v>4</v>
      </c>
      <c r="P1042" s="19">
        <f t="shared" si="50"/>
        <v>4</v>
      </c>
      <c r="Q1042" s="19">
        <f t="shared" si="50"/>
        <v>4</v>
      </c>
      <c r="X1042" s="92" t="s">
        <v>78</v>
      </c>
      <c r="Y1042" s="92" t="s">
        <v>78</v>
      </c>
      <c r="Z1042" s="92" t="s">
        <v>78</v>
      </c>
    </row>
    <row r="1043" spans="1:26" ht="16" hidden="1" x14ac:dyDescent="0.4">
      <c r="A1043" s="92">
        <v>5199</v>
      </c>
      <c r="B1043" s="92">
        <v>5200</v>
      </c>
      <c r="E1043" s="92">
        <v>50</v>
      </c>
      <c r="F1043" s="92" t="str">
        <f>_xlfn.XLOOKUP(B1043, DATA_Moresby_2024_ALL!B:B, DATA_Moresby_2024_ALL!G:G, "")</f>
        <v>5200_20240611_0006_L_0894.jpg</v>
      </c>
      <c r="G1043" s="93" t="str">
        <f t="shared" si="54"/>
        <v>5200_20240611_0006_L_0894.jpg</v>
      </c>
      <c r="H1043" s="92">
        <v>4</v>
      </c>
      <c r="J1043" s="79">
        <f>IF(G1043="","X",_xlfn.XLOOKUP(B1043,DATA_Moresby_2024_ALL!B:B,DATA_Moresby_2024_ALL!K:K,""))</f>
        <v>1</v>
      </c>
      <c r="K1043" s="28"/>
      <c r="L1043" s="29"/>
      <c r="M1043" s="28"/>
      <c r="N1043" s="19">
        <f t="shared" si="51"/>
        <v>4</v>
      </c>
      <c r="O1043" s="19">
        <f t="shared" si="50"/>
        <v>4</v>
      </c>
      <c r="P1043" s="19">
        <f t="shared" si="50"/>
        <v>4</v>
      </c>
      <c r="Q1043" s="19">
        <f t="shared" si="50"/>
        <v>4</v>
      </c>
      <c r="X1043" s="92" t="s">
        <v>78</v>
      </c>
      <c r="Y1043" s="92" t="s">
        <v>78</v>
      </c>
      <c r="Z1043" s="92" t="s">
        <v>78</v>
      </c>
    </row>
    <row r="1044" spans="1:26" ht="16" hidden="1" x14ac:dyDescent="0.4">
      <c r="A1044" s="92">
        <v>5204</v>
      </c>
      <c r="B1044" s="92">
        <v>5205</v>
      </c>
      <c r="E1044" s="92">
        <v>50</v>
      </c>
      <c r="F1044" s="92" t="str">
        <f>_xlfn.XLOOKUP(B1044, DATA_Moresby_2024_ALL!B:B, DATA_Moresby_2024_ALL!G:G, "")</f>
        <v>5205_20240611_0006_L_0908.jpg</v>
      </c>
      <c r="G1044" s="93" t="str">
        <f t="shared" si="54"/>
        <v>5205_20240611_0006_L_0908.jpg</v>
      </c>
      <c r="H1044" s="92">
        <v>4</v>
      </c>
      <c r="J1044" s="79">
        <f>IF(G1044="","X",_xlfn.XLOOKUP(B1044,DATA_Moresby_2024_ALL!B:B,DATA_Moresby_2024_ALL!K:K,""))</f>
        <v>1</v>
      </c>
      <c r="K1044" s="28"/>
      <c r="L1044" s="29"/>
      <c r="M1044" s="28"/>
      <c r="N1044" s="19">
        <f t="shared" si="51"/>
        <v>4</v>
      </c>
      <c r="O1044" s="19">
        <f t="shared" si="50"/>
        <v>4</v>
      </c>
      <c r="P1044" s="19">
        <f t="shared" si="50"/>
        <v>4</v>
      </c>
      <c r="Q1044" s="19">
        <f t="shared" si="50"/>
        <v>4</v>
      </c>
      <c r="X1044" s="92" t="s">
        <v>78</v>
      </c>
      <c r="Y1044" s="92" t="s">
        <v>78</v>
      </c>
      <c r="Z1044" s="92" t="s">
        <v>78</v>
      </c>
    </row>
    <row r="1045" spans="1:26" ht="16" hidden="1" x14ac:dyDescent="0.4">
      <c r="A1045" s="92">
        <v>5209</v>
      </c>
      <c r="B1045" s="92">
        <v>5210</v>
      </c>
      <c r="E1045" s="92">
        <v>50</v>
      </c>
      <c r="F1045" s="92" t="str">
        <f>_xlfn.XLOOKUP(B1045, DATA_Moresby_2024_ALL!B:B, DATA_Moresby_2024_ALL!G:G, "")</f>
        <v>5210_20240611_0006_L_0922.jpg</v>
      </c>
      <c r="G1045" s="93" t="str">
        <f t="shared" si="54"/>
        <v>5210_20240611_0006_L_0922.jpg</v>
      </c>
      <c r="H1045" s="92">
        <v>4</v>
      </c>
      <c r="J1045" s="79">
        <f>IF(G1045="","X",_xlfn.XLOOKUP(B1045,DATA_Moresby_2024_ALL!B:B,DATA_Moresby_2024_ALL!K:K,""))</f>
        <v>1</v>
      </c>
      <c r="K1045" s="28"/>
      <c r="L1045" s="29"/>
      <c r="M1045" s="28"/>
      <c r="N1045" s="19">
        <f t="shared" si="51"/>
        <v>4</v>
      </c>
      <c r="O1045" s="19">
        <f t="shared" si="50"/>
        <v>4</v>
      </c>
      <c r="P1045" s="19">
        <f t="shared" si="50"/>
        <v>4</v>
      </c>
      <c r="Q1045" s="19">
        <f t="shared" si="50"/>
        <v>4</v>
      </c>
      <c r="X1045" s="92" t="s">
        <v>78</v>
      </c>
      <c r="Y1045" s="92" t="s">
        <v>78</v>
      </c>
      <c r="Z1045" s="92" t="s">
        <v>78</v>
      </c>
    </row>
    <row r="1046" spans="1:26" ht="16" hidden="1" x14ac:dyDescent="0.4">
      <c r="A1046" s="92">
        <v>5214</v>
      </c>
      <c r="B1046" s="92">
        <v>5215</v>
      </c>
      <c r="E1046" s="92">
        <v>50</v>
      </c>
      <c r="F1046" s="92" t="str">
        <f>_xlfn.XLOOKUP(B1046, DATA_Moresby_2024_ALL!B:B, DATA_Moresby_2024_ALL!G:G, "")</f>
        <v>5215_20240611_0006_L_0936.jpg</v>
      </c>
      <c r="G1046" s="93" t="str">
        <f t="shared" si="54"/>
        <v>5215_20240611_0006_L_0936.jpg</v>
      </c>
      <c r="H1046" s="92">
        <v>4</v>
      </c>
      <c r="J1046" s="79">
        <f>IF(G1046="","X",_xlfn.XLOOKUP(B1046,DATA_Moresby_2024_ALL!B:B,DATA_Moresby_2024_ALL!K:K,""))</f>
        <v>1</v>
      </c>
      <c r="K1046" s="28"/>
      <c r="L1046" s="29"/>
      <c r="M1046" s="28"/>
      <c r="N1046" s="19">
        <f t="shared" si="51"/>
        <v>4</v>
      </c>
      <c r="O1046" s="19">
        <f t="shared" si="50"/>
        <v>4</v>
      </c>
      <c r="P1046" s="19">
        <f t="shared" si="50"/>
        <v>4</v>
      </c>
      <c r="Q1046" s="19">
        <v>3</v>
      </c>
      <c r="X1046" s="92" t="s">
        <v>78</v>
      </c>
      <c r="Y1046" s="92" t="s">
        <v>78</v>
      </c>
      <c r="Z1046" s="92" t="s">
        <v>78</v>
      </c>
    </row>
    <row r="1047" spans="1:26" ht="16" hidden="1" x14ac:dyDescent="0.4">
      <c r="A1047" s="92">
        <v>5219</v>
      </c>
      <c r="B1047" s="92">
        <v>5220</v>
      </c>
      <c r="E1047" s="92">
        <v>50</v>
      </c>
      <c r="F1047" s="92" t="str">
        <f>_xlfn.XLOOKUP(B1047, DATA_Moresby_2024_ALL!B:B, DATA_Moresby_2024_ALL!G:G, "")</f>
        <v>5220_20240611_0006_L_0950.jpg</v>
      </c>
      <c r="G1047" s="93" t="str">
        <f t="shared" si="54"/>
        <v>5220_20240611_0006_L_0950.jpg</v>
      </c>
      <c r="H1047" s="92">
        <v>4</v>
      </c>
      <c r="J1047" s="79">
        <f>IF(G1047="","X",_xlfn.XLOOKUP(B1047,DATA_Moresby_2024_ALL!B:B,DATA_Moresby_2024_ALL!K:K,""))</f>
        <v>1</v>
      </c>
      <c r="K1047" s="28"/>
      <c r="L1047" s="29"/>
      <c r="M1047" s="28"/>
      <c r="N1047" s="19">
        <v>3</v>
      </c>
      <c r="O1047" s="19">
        <f t="shared" si="50"/>
        <v>4</v>
      </c>
      <c r="P1047" s="19">
        <f t="shared" si="50"/>
        <v>4</v>
      </c>
      <c r="Q1047" s="19">
        <v>3</v>
      </c>
      <c r="X1047" s="92" t="s">
        <v>78</v>
      </c>
      <c r="Y1047" s="92" t="s">
        <v>78</v>
      </c>
      <c r="Z1047" s="92" t="s">
        <v>78</v>
      </c>
    </row>
    <row r="1048" spans="1:26" ht="16" hidden="1" x14ac:dyDescent="0.4">
      <c r="A1048" s="92">
        <v>5224</v>
      </c>
      <c r="B1048" s="92">
        <v>5225</v>
      </c>
      <c r="E1048" s="92">
        <v>50</v>
      </c>
      <c r="F1048" s="92" t="str">
        <f>_xlfn.XLOOKUP(B1048, DATA_Moresby_2024_ALL!B:B, DATA_Moresby_2024_ALL!G:G, "")</f>
        <v>5225_20240611_0006_L_0963.jpg</v>
      </c>
      <c r="G1048" s="93" t="str">
        <f t="shared" si="54"/>
        <v>5225_20240611_0006_L_0963.jpg</v>
      </c>
      <c r="H1048" s="92">
        <v>4</v>
      </c>
      <c r="J1048" s="79">
        <f>IF(G1048="","X",_xlfn.XLOOKUP(B1048,DATA_Moresby_2024_ALL!B:B,DATA_Moresby_2024_ALL!K:K,""))</f>
        <v>1</v>
      </c>
      <c r="K1048" s="28"/>
      <c r="L1048" s="29"/>
      <c r="M1048" s="28"/>
      <c r="N1048" s="19">
        <f t="shared" si="51"/>
        <v>4</v>
      </c>
      <c r="O1048" s="19">
        <f t="shared" si="50"/>
        <v>4</v>
      </c>
      <c r="P1048" s="19">
        <f t="shared" si="50"/>
        <v>4</v>
      </c>
      <c r="Q1048" s="19">
        <v>3</v>
      </c>
      <c r="X1048" s="92" t="s">
        <v>78</v>
      </c>
      <c r="Y1048" s="92" t="s">
        <v>78</v>
      </c>
      <c r="Z1048" s="92" t="s">
        <v>78</v>
      </c>
    </row>
    <row r="1049" spans="1:26" ht="16" hidden="1" x14ac:dyDescent="0.4">
      <c r="A1049" s="92">
        <v>5229</v>
      </c>
      <c r="B1049" s="92">
        <v>5230</v>
      </c>
      <c r="E1049" s="92">
        <v>50</v>
      </c>
      <c r="F1049" s="92" t="str">
        <f>_xlfn.XLOOKUP(B1049, DATA_Moresby_2024_ALL!B:B, DATA_Moresby_2024_ALL!G:G, "")</f>
        <v>5230_20240611_0006_L_0976.jpg</v>
      </c>
      <c r="G1049" s="93" t="str">
        <f t="shared" si="54"/>
        <v>5230_20240611_0006_L_0976.jpg</v>
      </c>
      <c r="H1049" s="92">
        <v>4</v>
      </c>
      <c r="J1049" s="79">
        <f>IF(G1049="","X",_xlfn.XLOOKUP(B1049,DATA_Moresby_2024_ALL!B:B,DATA_Moresby_2024_ALL!K:K,""))</f>
        <v>1</v>
      </c>
      <c r="K1049" s="28"/>
      <c r="L1049" s="29"/>
      <c r="M1049" s="28"/>
      <c r="N1049" s="19">
        <f t="shared" si="51"/>
        <v>4</v>
      </c>
      <c r="O1049" s="19">
        <f t="shared" si="50"/>
        <v>4</v>
      </c>
      <c r="P1049" s="19">
        <f t="shared" si="50"/>
        <v>4</v>
      </c>
      <c r="Q1049" s="19">
        <f t="shared" si="50"/>
        <v>4</v>
      </c>
      <c r="X1049" s="92" t="s">
        <v>78</v>
      </c>
      <c r="Y1049" s="92" t="s">
        <v>78</v>
      </c>
      <c r="Z1049" s="92" t="s">
        <v>78</v>
      </c>
    </row>
    <row r="1050" spans="1:26" ht="16" hidden="1" x14ac:dyDescent="0.4">
      <c r="A1050" s="92">
        <v>5234</v>
      </c>
      <c r="B1050" s="92">
        <v>5235</v>
      </c>
      <c r="E1050" s="92">
        <v>50</v>
      </c>
      <c r="F1050" s="92" t="str">
        <f>_xlfn.XLOOKUP(B1050, DATA_Moresby_2024_ALL!B:B, DATA_Moresby_2024_ALL!G:G, "")</f>
        <v>5235_20240611_0006_L_0989.jpg</v>
      </c>
      <c r="G1050" s="93" t="str">
        <f t="shared" si="54"/>
        <v>5235_20240611_0006_L_0989.jpg</v>
      </c>
      <c r="H1050" s="92">
        <v>4</v>
      </c>
      <c r="J1050" s="79">
        <f>IF(G1050="","X",_xlfn.XLOOKUP(B1050,DATA_Moresby_2024_ALL!B:B,DATA_Moresby_2024_ALL!K:K,""))</f>
        <v>1</v>
      </c>
      <c r="K1050" s="28"/>
      <c r="L1050" s="29"/>
      <c r="M1050" s="28"/>
      <c r="N1050" s="19">
        <f t="shared" si="51"/>
        <v>4</v>
      </c>
      <c r="O1050" s="19">
        <f t="shared" si="50"/>
        <v>4</v>
      </c>
      <c r="P1050" s="19">
        <f t="shared" si="50"/>
        <v>4</v>
      </c>
      <c r="Q1050" s="19">
        <v>3</v>
      </c>
      <c r="X1050" s="92" t="s">
        <v>78</v>
      </c>
      <c r="Y1050" s="92" t="s">
        <v>78</v>
      </c>
      <c r="Z1050" s="92" t="s">
        <v>78</v>
      </c>
    </row>
    <row r="1051" spans="1:26" ht="16" hidden="1" x14ac:dyDescent="0.4">
      <c r="A1051" s="92">
        <v>5239</v>
      </c>
      <c r="B1051" s="92">
        <v>5240</v>
      </c>
      <c r="E1051" s="92">
        <v>50</v>
      </c>
      <c r="F1051" s="92" t="str">
        <f>_xlfn.XLOOKUP(B1051, DATA_Moresby_2024_ALL!B:B, DATA_Moresby_2024_ALL!G:G, "")</f>
        <v>5240_20240611_0006_L_1003.jpg</v>
      </c>
      <c r="G1051" s="93" t="str">
        <f t="shared" si="54"/>
        <v>5240_20240611_0006_L_1003.jpg</v>
      </c>
      <c r="H1051" s="92">
        <v>4</v>
      </c>
      <c r="J1051" s="79">
        <f>IF(G1051="","X",_xlfn.XLOOKUP(B1051,DATA_Moresby_2024_ALL!B:B,DATA_Moresby_2024_ALL!K:K,""))</f>
        <v>1</v>
      </c>
      <c r="K1051" s="28"/>
      <c r="L1051" s="29"/>
      <c r="M1051" s="28"/>
      <c r="N1051" s="19">
        <f t="shared" si="51"/>
        <v>4</v>
      </c>
      <c r="O1051" s="19">
        <f t="shared" si="50"/>
        <v>4</v>
      </c>
      <c r="P1051" s="19">
        <f t="shared" si="50"/>
        <v>4</v>
      </c>
      <c r="Q1051" s="19">
        <f t="shared" si="50"/>
        <v>4</v>
      </c>
      <c r="X1051" s="92" t="s">
        <v>78</v>
      </c>
      <c r="Y1051" s="92" t="s">
        <v>78</v>
      </c>
      <c r="Z1051" s="92" t="s">
        <v>78</v>
      </c>
    </row>
    <row r="1052" spans="1:26" ht="16" hidden="1" x14ac:dyDescent="0.4">
      <c r="A1052" s="92">
        <v>5244</v>
      </c>
      <c r="B1052" s="92">
        <v>5245</v>
      </c>
      <c r="E1052" s="92">
        <v>50</v>
      </c>
      <c r="F1052" s="92" t="str">
        <f>_xlfn.XLOOKUP(B1052, DATA_Moresby_2024_ALL!B:B, DATA_Moresby_2024_ALL!G:G, "")</f>
        <v>5245_20240611_0006_L_1014.jpg</v>
      </c>
      <c r="G1052" s="93" t="str">
        <f t="shared" si="54"/>
        <v>5245_20240611_0006_L_1014.jpg</v>
      </c>
      <c r="H1052" s="92">
        <v>4</v>
      </c>
      <c r="J1052" s="79">
        <f>IF(G1052="","X",_xlfn.XLOOKUP(B1052,DATA_Moresby_2024_ALL!B:B,DATA_Moresby_2024_ALL!K:K,""))</f>
        <v>1</v>
      </c>
      <c r="K1052" s="28"/>
      <c r="L1052" s="29"/>
      <c r="M1052" s="28"/>
      <c r="N1052" s="19">
        <f t="shared" si="51"/>
        <v>4</v>
      </c>
      <c r="O1052" s="19">
        <f t="shared" si="50"/>
        <v>4</v>
      </c>
      <c r="P1052" s="19">
        <f t="shared" si="50"/>
        <v>4</v>
      </c>
      <c r="Q1052" s="19">
        <v>3</v>
      </c>
      <c r="X1052" s="92" t="s">
        <v>78</v>
      </c>
      <c r="Y1052" s="92" t="s">
        <v>78</v>
      </c>
      <c r="Z1052" s="92" t="s">
        <v>78</v>
      </c>
    </row>
    <row r="1053" spans="1:26" ht="16" hidden="1" x14ac:dyDescent="0.4">
      <c r="A1053" s="92">
        <v>5249</v>
      </c>
      <c r="B1053" s="92">
        <v>5250</v>
      </c>
      <c r="E1053" s="92">
        <v>50</v>
      </c>
      <c r="F1053" s="92" t="str">
        <f>_xlfn.XLOOKUP(B1053, DATA_Moresby_2024_ALL!B:B, DATA_Moresby_2024_ALL!G:G, "")</f>
        <v>5250_20240611_0006_L_1026.jpg</v>
      </c>
      <c r="G1053" s="93" t="str">
        <f t="shared" si="54"/>
        <v>5250_20240611_0006_L_1026.jpg</v>
      </c>
      <c r="H1053" s="92">
        <v>4</v>
      </c>
      <c r="J1053" s="79">
        <f>IF(G1053="","X",_xlfn.XLOOKUP(B1053,DATA_Moresby_2024_ALL!B:B,DATA_Moresby_2024_ALL!K:K,""))</f>
        <v>1</v>
      </c>
      <c r="K1053" s="28"/>
      <c r="L1053" s="29"/>
      <c r="M1053" s="28"/>
      <c r="N1053" s="19">
        <f t="shared" si="51"/>
        <v>4</v>
      </c>
      <c r="O1053" s="19">
        <f t="shared" si="51"/>
        <v>4</v>
      </c>
      <c r="P1053" s="19">
        <f t="shared" si="51"/>
        <v>4</v>
      </c>
      <c r="Q1053" s="19">
        <f t="shared" si="51"/>
        <v>4</v>
      </c>
      <c r="X1053" s="92" t="s">
        <v>78</v>
      </c>
      <c r="Y1053" s="92" t="s">
        <v>78</v>
      </c>
      <c r="Z1053" s="92" t="s">
        <v>78</v>
      </c>
    </row>
    <row r="1054" spans="1:26" ht="16" hidden="1" x14ac:dyDescent="0.4">
      <c r="A1054" s="92">
        <v>5254</v>
      </c>
      <c r="B1054" s="92">
        <v>5255</v>
      </c>
      <c r="E1054" s="92">
        <v>50</v>
      </c>
      <c r="F1054" s="92" t="str">
        <f>_xlfn.XLOOKUP(B1054, DATA_Moresby_2024_ALL!B:B, DATA_Moresby_2024_ALL!G:G, "")</f>
        <v>5255_20240611_0006_L_1039.jpg</v>
      </c>
      <c r="G1054" s="93" t="str">
        <f t="shared" si="54"/>
        <v>5255_20240611_0006_L_1039.jpg</v>
      </c>
      <c r="H1054" s="92">
        <v>4</v>
      </c>
      <c r="J1054" s="79">
        <f>IF(G1054="","X",_xlfn.XLOOKUP(B1054,DATA_Moresby_2024_ALL!B:B,DATA_Moresby_2024_ALL!K:K,""))</f>
        <v>1</v>
      </c>
      <c r="K1054" s="28"/>
      <c r="L1054" s="29"/>
      <c r="M1054" s="28"/>
      <c r="N1054" s="19">
        <f t="shared" ref="N1054:Q1117" si="55">IF($J1054=1,4,"")</f>
        <v>4</v>
      </c>
      <c r="O1054" s="19">
        <f t="shared" si="55"/>
        <v>4</v>
      </c>
      <c r="P1054" s="19">
        <f t="shared" si="55"/>
        <v>4</v>
      </c>
      <c r="Q1054" s="19">
        <f t="shared" si="55"/>
        <v>4</v>
      </c>
      <c r="X1054" s="92" t="s">
        <v>78</v>
      </c>
      <c r="Y1054" s="92" t="s">
        <v>78</v>
      </c>
      <c r="Z1054" s="92" t="s">
        <v>78</v>
      </c>
    </row>
    <row r="1055" spans="1:26" ht="16" hidden="1" x14ac:dyDescent="0.4">
      <c r="A1055" s="92">
        <v>5259</v>
      </c>
      <c r="B1055" s="92">
        <v>5260</v>
      </c>
      <c r="E1055" s="92">
        <v>50</v>
      </c>
      <c r="F1055" s="92" t="str">
        <f>_xlfn.XLOOKUP(B1055, DATA_Moresby_2024_ALL!B:B, DATA_Moresby_2024_ALL!G:G, "")</f>
        <v>5260_20240611_0006_L_1052.jpg</v>
      </c>
      <c r="G1055" s="93" t="str">
        <f t="shared" si="54"/>
        <v>5260_20240611_0006_L_1052.jpg</v>
      </c>
      <c r="H1055" s="92">
        <v>4</v>
      </c>
      <c r="J1055" s="79">
        <f>IF(G1055="","X",_xlfn.XLOOKUP(B1055,DATA_Moresby_2024_ALL!B:B,DATA_Moresby_2024_ALL!K:K,""))</f>
        <v>1</v>
      </c>
      <c r="K1055" s="28"/>
      <c r="L1055" s="29"/>
      <c r="M1055" s="28"/>
      <c r="N1055" s="19">
        <f t="shared" si="55"/>
        <v>4</v>
      </c>
      <c r="O1055" s="19">
        <f t="shared" si="55"/>
        <v>4</v>
      </c>
      <c r="P1055" s="19">
        <f t="shared" si="55"/>
        <v>4</v>
      </c>
      <c r="Q1055" s="19">
        <f t="shared" si="55"/>
        <v>4</v>
      </c>
      <c r="X1055" s="92" t="s">
        <v>78</v>
      </c>
      <c r="Y1055" s="92" t="s">
        <v>78</v>
      </c>
      <c r="Z1055" s="92" t="s">
        <v>78</v>
      </c>
    </row>
    <row r="1056" spans="1:26" ht="16" hidden="1" x14ac:dyDescent="0.4">
      <c r="A1056" s="92">
        <v>5264</v>
      </c>
      <c r="B1056" s="92">
        <v>5265</v>
      </c>
      <c r="E1056" s="92">
        <v>50</v>
      </c>
      <c r="F1056" s="92" t="str">
        <f>_xlfn.XLOOKUP(B1056, DATA_Moresby_2024_ALL!B:B, DATA_Moresby_2024_ALL!G:G, "")</f>
        <v>5265_20240611_0006_L_1065.jpg</v>
      </c>
      <c r="G1056" s="93" t="str">
        <f t="shared" si="54"/>
        <v>5265_20240611_0006_L_1065.jpg</v>
      </c>
      <c r="H1056" s="92">
        <v>4</v>
      </c>
      <c r="J1056" s="79">
        <f>IF(G1056="","X",_xlfn.XLOOKUP(B1056,DATA_Moresby_2024_ALL!B:B,DATA_Moresby_2024_ALL!K:K,""))</f>
        <v>1</v>
      </c>
      <c r="K1056" s="28"/>
      <c r="L1056" s="29"/>
      <c r="M1056" s="28"/>
      <c r="N1056" s="19">
        <f t="shared" si="55"/>
        <v>4</v>
      </c>
      <c r="O1056" s="19">
        <f t="shared" si="55"/>
        <v>4</v>
      </c>
      <c r="P1056" s="19">
        <f t="shared" si="55"/>
        <v>4</v>
      </c>
      <c r="Q1056" s="19">
        <f t="shared" si="55"/>
        <v>4</v>
      </c>
      <c r="X1056" s="92" t="s">
        <v>78</v>
      </c>
      <c r="Y1056" s="92" t="s">
        <v>78</v>
      </c>
      <c r="Z1056" s="92" t="s">
        <v>78</v>
      </c>
    </row>
    <row r="1057" spans="1:26" ht="16" hidden="1" x14ac:dyDescent="0.4">
      <c r="A1057" s="92">
        <v>5269</v>
      </c>
      <c r="B1057" s="92">
        <v>5270</v>
      </c>
      <c r="E1057" s="92">
        <v>50</v>
      </c>
      <c r="F1057" s="92">
        <f>_xlfn.XLOOKUP(B1057, DATA_Moresby_2024_ALL!B:B, DATA_Moresby_2024_ALL!G:G, "")</f>
        <v>0</v>
      </c>
      <c r="G1057" s="93"/>
      <c r="H1057" s="92">
        <v>4</v>
      </c>
      <c r="I1057" s="92" t="str">
        <f t="shared" ref="I1057:I1091" si="56">IF(G1057="","X","")</f>
        <v>X</v>
      </c>
      <c r="J1057" s="79" t="str">
        <f>IF(G1057="","X",_xlfn.XLOOKUP(B1057,DATA_Moresby_2024_ALL!B:B,DATA_Moresby_2024_ALL!K:K,""))</f>
        <v>X</v>
      </c>
      <c r="K1057" s="28"/>
      <c r="L1057" s="29"/>
      <c r="M1057" s="28"/>
      <c r="N1057" s="19" t="str">
        <f t="shared" si="55"/>
        <v/>
      </c>
      <c r="O1057" s="19" t="str">
        <f t="shared" si="55"/>
        <v/>
      </c>
      <c r="P1057" s="19" t="str">
        <f t="shared" si="55"/>
        <v/>
      </c>
      <c r="Q1057" s="19" t="str">
        <f t="shared" si="55"/>
        <v/>
      </c>
      <c r="X1057" s="92" t="s">
        <v>78</v>
      </c>
      <c r="Y1057" s="92" t="s">
        <v>78</v>
      </c>
      <c r="Z1057" s="92" t="s">
        <v>78</v>
      </c>
    </row>
    <row r="1058" spans="1:26" ht="16" hidden="1" x14ac:dyDescent="0.4">
      <c r="A1058" s="92">
        <v>5274</v>
      </c>
      <c r="B1058" s="92">
        <v>5275</v>
      </c>
      <c r="E1058" s="92">
        <v>50</v>
      </c>
      <c r="F1058" s="92">
        <f>_xlfn.XLOOKUP(B1058, DATA_Moresby_2024_ALL!B:B, DATA_Moresby_2024_ALL!G:G, "")</f>
        <v>0</v>
      </c>
      <c r="G1058" s="93"/>
      <c r="H1058" s="92">
        <v>4</v>
      </c>
      <c r="I1058" s="92" t="str">
        <f t="shared" si="56"/>
        <v>X</v>
      </c>
      <c r="J1058" s="79" t="str">
        <f>IF(G1058="","X",_xlfn.XLOOKUP(B1058,DATA_Moresby_2024_ALL!B:B,DATA_Moresby_2024_ALL!K:K,""))</f>
        <v>X</v>
      </c>
      <c r="K1058" s="28"/>
      <c r="L1058" s="29"/>
      <c r="M1058" s="28"/>
      <c r="N1058" s="19" t="str">
        <f t="shared" si="55"/>
        <v/>
      </c>
      <c r="O1058" s="19" t="str">
        <f t="shared" si="55"/>
        <v/>
      </c>
      <c r="P1058" s="19" t="str">
        <f t="shared" si="55"/>
        <v/>
      </c>
      <c r="Q1058" s="19" t="str">
        <f t="shared" si="55"/>
        <v/>
      </c>
      <c r="X1058" s="92" t="s">
        <v>78</v>
      </c>
      <c r="Y1058" s="92" t="s">
        <v>78</v>
      </c>
      <c r="Z1058" s="92" t="s">
        <v>78</v>
      </c>
    </row>
    <row r="1059" spans="1:26" ht="16" hidden="1" x14ac:dyDescent="0.4">
      <c r="A1059" s="92">
        <v>5279</v>
      </c>
      <c r="B1059" s="92">
        <v>5280</v>
      </c>
      <c r="E1059" s="92">
        <v>50</v>
      </c>
      <c r="F1059" s="92">
        <f>_xlfn.XLOOKUP(B1059, DATA_Moresby_2024_ALL!B:B, DATA_Moresby_2024_ALL!G:G, "")</f>
        <v>0</v>
      </c>
      <c r="G1059" s="93"/>
      <c r="H1059" s="92">
        <v>4</v>
      </c>
      <c r="I1059" s="92" t="str">
        <f t="shared" si="56"/>
        <v>X</v>
      </c>
      <c r="J1059" s="79" t="str">
        <f>IF(G1059="","X",_xlfn.XLOOKUP(B1059,DATA_Moresby_2024_ALL!B:B,DATA_Moresby_2024_ALL!K:K,""))</f>
        <v>X</v>
      </c>
      <c r="K1059" s="28"/>
      <c r="L1059" s="29"/>
      <c r="M1059" s="28"/>
      <c r="N1059" s="19" t="str">
        <f t="shared" si="55"/>
        <v/>
      </c>
      <c r="O1059" s="19" t="str">
        <f t="shared" si="55"/>
        <v/>
      </c>
      <c r="P1059" s="19" t="str">
        <f t="shared" si="55"/>
        <v/>
      </c>
      <c r="Q1059" s="19" t="str">
        <f t="shared" si="55"/>
        <v/>
      </c>
      <c r="X1059" s="92" t="s">
        <v>78</v>
      </c>
      <c r="Y1059" s="92" t="s">
        <v>78</v>
      </c>
      <c r="Z1059" s="92" t="s">
        <v>78</v>
      </c>
    </row>
    <row r="1060" spans="1:26" ht="16" hidden="1" x14ac:dyDescent="0.4">
      <c r="A1060" s="92">
        <v>5284</v>
      </c>
      <c r="B1060" s="92">
        <v>5285</v>
      </c>
      <c r="E1060" s="92">
        <v>50</v>
      </c>
      <c r="F1060" s="92">
        <f>_xlfn.XLOOKUP(B1060, DATA_Moresby_2024_ALL!B:B, DATA_Moresby_2024_ALL!G:G, "")</f>
        <v>0</v>
      </c>
      <c r="G1060" s="93"/>
      <c r="H1060" s="92">
        <v>4</v>
      </c>
      <c r="I1060" s="92" t="str">
        <f t="shared" si="56"/>
        <v>X</v>
      </c>
      <c r="J1060" s="79" t="str">
        <f>IF(G1060="","X",_xlfn.XLOOKUP(B1060,DATA_Moresby_2024_ALL!B:B,DATA_Moresby_2024_ALL!K:K,""))</f>
        <v>X</v>
      </c>
      <c r="K1060" s="28"/>
      <c r="L1060" s="29"/>
      <c r="M1060" s="28"/>
      <c r="N1060" s="19" t="str">
        <f t="shared" si="55"/>
        <v/>
      </c>
      <c r="O1060" s="19" t="str">
        <f t="shared" si="55"/>
        <v/>
      </c>
      <c r="P1060" s="19" t="str">
        <f t="shared" si="55"/>
        <v/>
      </c>
      <c r="Q1060" s="19" t="str">
        <f t="shared" si="55"/>
        <v/>
      </c>
      <c r="X1060" s="92" t="s">
        <v>78</v>
      </c>
      <c r="Y1060" s="92" t="s">
        <v>78</v>
      </c>
      <c r="Z1060" s="92" t="s">
        <v>78</v>
      </c>
    </row>
    <row r="1061" spans="1:26" ht="16" hidden="1" x14ac:dyDescent="0.4">
      <c r="A1061" s="92">
        <v>5289</v>
      </c>
      <c r="B1061" s="92">
        <v>5290</v>
      </c>
      <c r="E1061" s="92">
        <v>50</v>
      </c>
      <c r="F1061" s="92">
        <f>_xlfn.XLOOKUP(B1061, DATA_Moresby_2024_ALL!B:B, DATA_Moresby_2024_ALL!G:G, "")</f>
        <v>0</v>
      </c>
      <c r="G1061" s="93"/>
      <c r="H1061" s="92">
        <v>4</v>
      </c>
      <c r="I1061" s="92" t="str">
        <f t="shared" si="56"/>
        <v>X</v>
      </c>
      <c r="J1061" s="79" t="str">
        <f>IF(G1061="","X",_xlfn.XLOOKUP(B1061,DATA_Moresby_2024_ALL!B:B,DATA_Moresby_2024_ALL!K:K,""))</f>
        <v>X</v>
      </c>
      <c r="K1061" s="28"/>
      <c r="L1061" s="29"/>
      <c r="M1061" s="28"/>
      <c r="N1061" s="19" t="str">
        <f t="shared" si="55"/>
        <v/>
      </c>
      <c r="O1061" s="19" t="str">
        <f t="shared" si="55"/>
        <v/>
      </c>
      <c r="P1061" s="19" t="str">
        <f t="shared" si="55"/>
        <v/>
      </c>
      <c r="Q1061" s="19" t="str">
        <f t="shared" si="55"/>
        <v/>
      </c>
      <c r="X1061" s="92" t="s">
        <v>78</v>
      </c>
      <c r="Y1061" s="92" t="s">
        <v>78</v>
      </c>
      <c r="Z1061" s="92" t="s">
        <v>78</v>
      </c>
    </row>
    <row r="1062" spans="1:26" ht="16" hidden="1" x14ac:dyDescent="0.4">
      <c r="A1062" s="92">
        <v>5294</v>
      </c>
      <c r="B1062" s="92">
        <v>5295</v>
      </c>
      <c r="E1062" s="92">
        <v>50</v>
      </c>
      <c r="F1062" s="92">
        <f>_xlfn.XLOOKUP(B1062, DATA_Moresby_2024_ALL!B:B, DATA_Moresby_2024_ALL!G:G, "")</f>
        <v>0</v>
      </c>
      <c r="G1062" s="93"/>
      <c r="H1062" s="92">
        <v>4</v>
      </c>
      <c r="I1062" s="92" t="str">
        <f t="shared" si="56"/>
        <v>X</v>
      </c>
      <c r="J1062" s="79" t="str">
        <f>IF(G1062="","X",_xlfn.XLOOKUP(B1062,DATA_Moresby_2024_ALL!B:B,DATA_Moresby_2024_ALL!K:K,""))</f>
        <v>X</v>
      </c>
      <c r="K1062" s="28"/>
      <c r="L1062" s="29"/>
      <c r="M1062" s="28"/>
      <c r="N1062" s="19" t="str">
        <f t="shared" si="55"/>
        <v/>
      </c>
      <c r="O1062" s="19" t="str">
        <f t="shared" si="55"/>
        <v/>
      </c>
      <c r="P1062" s="19" t="str">
        <f t="shared" si="55"/>
        <v/>
      </c>
      <c r="Q1062" s="19" t="str">
        <f t="shared" si="55"/>
        <v/>
      </c>
      <c r="X1062" s="92" t="s">
        <v>78</v>
      </c>
      <c r="Y1062" s="92" t="s">
        <v>78</v>
      </c>
      <c r="Z1062" s="92" t="s">
        <v>78</v>
      </c>
    </row>
    <row r="1063" spans="1:26" ht="16" hidden="1" x14ac:dyDescent="0.4">
      <c r="A1063" s="92">
        <v>5299</v>
      </c>
      <c r="B1063" s="92">
        <v>5300</v>
      </c>
      <c r="E1063" s="92">
        <v>50</v>
      </c>
      <c r="F1063" s="92">
        <f>_xlfn.XLOOKUP(B1063, DATA_Moresby_2024_ALL!B:B, DATA_Moresby_2024_ALL!G:G, "")</f>
        <v>0</v>
      </c>
      <c r="G1063" s="93"/>
      <c r="H1063" s="92">
        <v>4</v>
      </c>
      <c r="I1063" s="92" t="str">
        <f t="shared" si="56"/>
        <v>X</v>
      </c>
      <c r="J1063" s="79" t="str">
        <f>IF(G1063="","X",_xlfn.XLOOKUP(B1063,DATA_Moresby_2024_ALL!B:B,DATA_Moresby_2024_ALL!K:K,""))</f>
        <v>X</v>
      </c>
      <c r="K1063" s="28"/>
      <c r="L1063" s="29"/>
      <c r="M1063" s="28"/>
      <c r="N1063" s="19" t="str">
        <f t="shared" si="55"/>
        <v/>
      </c>
      <c r="O1063" s="19" t="str">
        <f t="shared" si="55"/>
        <v/>
      </c>
      <c r="P1063" s="19" t="str">
        <f t="shared" si="55"/>
        <v/>
      </c>
      <c r="Q1063" s="19" t="str">
        <f t="shared" si="55"/>
        <v/>
      </c>
      <c r="X1063" s="92" t="s">
        <v>78</v>
      </c>
      <c r="Y1063" s="92" t="s">
        <v>78</v>
      </c>
      <c r="Z1063" s="92" t="s">
        <v>78</v>
      </c>
    </row>
    <row r="1064" spans="1:26" ht="16" hidden="1" x14ac:dyDescent="0.4">
      <c r="A1064" s="92">
        <v>5304</v>
      </c>
      <c r="B1064" s="92">
        <v>5305</v>
      </c>
      <c r="E1064" s="92">
        <v>50</v>
      </c>
      <c r="F1064" s="92">
        <f>_xlfn.XLOOKUP(B1064, DATA_Moresby_2024_ALL!B:B, DATA_Moresby_2024_ALL!G:G, "")</f>
        <v>0</v>
      </c>
      <c r="G1064" s="93"/>
      <c r="H1064" s="92">
        <v>4</v>
      </c>
      <c r="I1064" s="92" t="str">
        <f t="shared" si="56"/>
        <v>X</v>
      </c>
      <c r="J1064" s="79" t="str">
        <f>IF(G1064="","X",_xlfn.XLOOKUP(B1064,DATA_Moresby_2024_ALL!B:B,DATA_Moresby_2024_ALL!K:K,""))</f>
        <v>X</v>
      </c>
      <c r="K1064" s="28"/>
      <c r="L1064" s="29"/>
      <c r="M1064" s="28"/>
      <c r="N1064" s="19" t="str">
        <f t="shared" si="55"/>
        <v/>
      </c>
      <c r="O1064" s="19" t="str">
        <f t="shared" si="55"/>
        <v/>
      </c>
      <c r="P1064" s="19" t="str">
        <f t="shared" si="55"/>
        <v/>
      </c>
      <c r="Q1064" s="19" t="str">
        <f t="shared" si="55"/>
        <v/>
      </c>
      <c r="X1064" s="92" t="s">
        <v>78</v>
      </c>
      <c r="Y1064" s="92" t="s">
        <v>78</v>
      </c>
      <c r="Z1064" s="92" t="s">
        <v>78</v>
      </c>
    </row>
    <row r="1065" spans="1:26" ht="16" hidden="1" x14ac:dyDescent="0.4">
      <c r="A1065" s="92">
        <v>5309</v>
      </c>
      <c r="B1065" s="92">
        <v>5310</v>
      </c>
      <c r="E1065" s="92">
        <v>50</v>
      </c>
      <c r="F1065" s="92">
        <f>_xlfn.XLOOKUP(B1065, DATA_Moresby_2024_ALL!B:B, DATA_Moresby_2024_ALL!G:G, "")</f>
        <v>0</v>
      </c>
      <c r="G1065" s="93"/>
      <c r="H1065" s="92">
        <v>4</v>
      </c>
      <c r="I1065" s="92" t="str">
        <f t="shared" si="56"/>
        <v>X</v>
      </c>
      <c r="J1065" s="79" t="str">
        <f>IF(G1065="","X",_xlfn.XLOOKUP(B1065,DATA_Moresby_2024_ALL!B:B,DATA_Moresby_2024_ALL!K:K,""))</f>
        <v>X</v>
      </c>
      <c r="K1065" s="28"/>
      <c r="L1065" s="29"/>
      <c r="M1065" s="28"/>
      <c r="N1065" s="19" t="str">
        <f t="shared" si="55"/>
        <v/>
      </c>
      <c r="O1065" s="19" t="str">
        <f t="shared" si="55"/>
        <v/>
      </c>
      <c r="P1065" s="19" t="str">
        <f t="shared" si="55"/>
        <v/>
      </c>
      <c r="Q1065" s="19" t="str">
        <f t="shared" si="55"/>
        <v/>
      </c>
      <c r="X1065" s="92" t="s">
        <v>78</v>
      </c>
      <c r="Y1065" s="92" t="s">
        <v>78</v>
      </c>
      <c r="Z1065" s="92" t="s">
        <v>78</v>
      </c>
    </row>
    <row r="1066" spans="1:26" ht="16" hidden="1" x14ac:dyDescent="0.4">
      <c r="A1066" s="92">
        <v>5314</v>
      </c>
      <c r="B1066" s="92">
        <v>5315</v>
      </c>
      <c r="E1066" s="92">
        <v>50</v>
      </c>
      <c r="F1066" s="92">
        <f>_xlfn.XLOOKUP(B1066, DATA_Moresby_2024_ALL!B:B, DATA_Moresby_2024_ALL!G:G, "")</f>
        <v>0</v>
      </c>
      <c r="G1066" s="93"/>
      <c r="H1066" s="92">
        <v>4</v>
      </c>
      <c r="I1066" s="92" t="str">
        <f t="shared" si="56"/>
        <v>X</v>
      </c>
      <c r="J1066" s="79" t="str">
        <f>IF(G1066="","X",_xlfn.XLOOKUP(B1066,DATA_Moresby_2024_ALL!B:B,DATA_Moresby_2024_ALL!K:K,""))</f>
        <v>X</v>
      </c>
      <c r="K1066" s="28"/>
      <c r="L1066" s="29"/>
      <c r="M1066" s="28"/>
      <c r="N1066" s="19" t="str">
        <f t="shared" si="55"/>
        <v/>
      </c>
      <c r="O1066" s="19" t="str">
        <f t="shared" si="55"/>
        <v/>
      </c>
      <c r="P1066" s="19" t="str">
        <f t="shared" si="55"/>
        <v/>
      </c>
      <c r="Q1066" s="19" t="str">
        <f t="shared" si="55"/>
        <v/>
      </c>
      <c r="X1066" s="92" t="s">
        <v>78</v>
      </c>
      <c r="Y1066" s="92" t="s">
        <v>78</v>
      </c>
      <c r="Z1066" s="92" t="s">
        <v>78</v>
      </c>
    </row>
    <row r="1067" spans="1:26" ht="16" hidden="1" x14ac:dyDescent="0.4">
      <c r="A1067" s="92">
        <v>5319</v>
      </c>
      <c r="B1067" s="92">
        <v>5320</v>
      </c>
      <c r="E1067" s="92">
        <v>50</v>
      </c>
      <c r="F1067" s="92">
        <f>_xlfn.XLOOKUP(B1067, DATA_Moresby_2024_ALL!B:B, DATA_Moresby_2024_ALL!G:G, "")</f>
        <v>0</v>
      </c>
      <c r="G1067" s="93"/>
      <c r="H1067" s="92">
        <v>5</v>
      </c>
      <c r="I1067" s="92" t="str">
        <f t="shared" si="56"/>
        <v>X</v>
      </c>
      <c r="J1067" s="79" t="str">
        <f>IF(G1067="","X",_xlfn.XLOOKUP(B1067,DATA_Moresby_2024_ALL!B:B,DATA_Moresby_2024_ALL!K:K,""))</f>
        <v>X</v>
      </c>
      <c r="K1067" s="28"/>
      <c r="L1067" s="29"/>
      <c r="M1067" s="28"/>
      <c r="N1067" s="19" t="str">
        <f t="shared" si="55"/>
        <v/>
      </c>
      <c r="O1067" s="19" t="str">
        <f t="shared" si="55"/>
        <v/>
      </c>
      <c r="P1067" s="19" t="str">
        <f t="shared" si="55"/>
        <v/>
      </c>
      <c r="Q1067" s="19" t="str">
        <f t="shared" si="55"/>
        <v/>
      </c>
      <c r="X1067" s="92" t="s">
        <v>78</v>
      </c>
      <c r="Y1067" s="92" t="s">
        <v>78</v>
      </c>
      <c r="Z1067" s="92" t="s">
        <v>78</v>
      </c>
    </row>
    <row r="1068" spans="1:26" ht="16" hidden="1" x14ac:dyDescent="0.4">
      <c r="A1068" s="92">
        <v>5324</v>
      </c>
      <c r="B1068" s="92">
        <v>5325</v>
      </c>
      <c r="E1068" s="92">
        <v>50</v>
      </c>
      <c r="F1068" s="92">
        <f>_xlfn.XLOOKUP(B1068, DATA_Moresby_2024_ALL!B:B, DATA_Moresby_2024_ALL!G:G, "")</f>
        <v>0</v>
      </c>
      <c r="G1068" s="93"/>
      <c r="H1068" s="92">
        <v>5</v>
      </c>
      <c r="I1068" s="92" t="str">
        <f t="shared" si="56"/>
        <v>X</v>
      </c>
      <c r="J1068" s="79" t="str">
        <f>IF(G1068="","X",_xlfn.XLOOKUP(B1068,DATA_Moresby_2024_ALL!B:B,DATA_Moresby_2024_ALL!K:K,""))</f>
        <v>X</v>
      </c>
      <c r="K1068" s="28"/>
      <c r="L1068" s="29"/>
      <c r="M1068" s="28"/>
      <c r="N1068" s="19" t="str">
        <f t="shared" si="55"/>
        <v/>
      </c>
      <c r="O1068" s="19" t="str">
        <f t="shared" si="55"/>
        <v/>
      </c>
      <c r="P1068" s="19" t="str">
        <f t="shared" si="55"/>
        <v/>
      </c>
      <c r="Q1068" s="19" t="str">
        <f t="shared" si="55"/>
        <v/>
      </c>
      <c r="X1068" s="92" t="s">
        <v>78</v>
      </c>
      <c r="Y1068" s="92" t="s">
        <v>78</v>
      </c>
      <c r="Z1068" s="92" t="s">
        <v>78</v>
      </c>
    </row>
    <row r="1069" spans="1:26" ht="16" hidden="1" x14ac:dyDescent="0.4">
      <c r="A1069" s="92">
        <v>5329</v>
      </c>
      <c r="B1069" s="92">
        <v>5330</v>
      </c>
      <c r="E1069" s="92">
        <v>50</v>
      </c>
      <c r="F1069" s="92">
        <f>_xlfn.XLOOKUP(B1069, DATA_Moresby_2024_ALL!B:B, DATA_Moresby_2024_ALL!G:G, "")</f>
        <v>0</v>
      </c>
      <c r="G1069" s="93"/>
      <c r="H1069" s="92">
        <v>5</v>
      </c>
      <c r="I1069" s="92" t="str">
        <f t="shared" si="56"/>
        <v>X</v>
      </c>
      <c r="J1069" s="79" t="str">
        <f>IF(G1069="","X",_xlfn.XLOOKUP(B1069,DATA_Moresby_2024_ALL!B:B,DATA_Moresby_2024_ALL!K:K,""))</f>
        <v>X</v>
      </c>
      <c r="K1069" s="28"/>
      <c r="L1069" s="29"/>
      <c r="M1069" s="28"/>
      <c r="N1069" s="19" t="str">
        <f t="shared" si="55"/>
        <v/>
      </c>
      <c r="O1069" s="19" t="str">
        <f t="shared" si="55"/>
        <v/>
      </c>
      <c r="P1069" s="19" t="str">
        <f t="shared" si="55"/>
        <v/>
      </c>
      <c r="Q1069" s="19" t="str">
        <f t="shared" si="55"/>
        <v/>
      </c>
      <c r="X1069" s="92" t="s">
        <v>78</v>
      </c>
      <c r="Y1069" s="92" t="s">
        <v>78</v>
      </c>
      <c r="Z1069" s="92" t="s">
        <v>78</v>
      </c>
    </row>
    <row r="1070" spans="1:26" ht="16" hidden="1" x14ac:dyDescent="0.4">
      <c r="A1070" s="92">
        <v>5334</v>
      </c>
      <c r="B1070" s="92">
        <v>5335</v>
      </c>
      <c r="E1070" s="92">
        <v>50</v>
      </c>
      <c r="F1070" s="92">
        <f>_xlfn.XLOOKUP(B1070, DATA_Moresby_2024_ALL!B:B, DATA_Moresby_2024_ALL!G:G, "")</f>
        <v>0</v>
      </c>
      <c r="G1070" s="93"/>
      <c r="H1070" s="92">
        <v>5</v>
      </c>
      <c r="I1070" s="92" t="str">
        <f t="shared" si="56"/>
        <v>X</v>
      </c>
      <c r="J1070" s="79" t="str">
        <f>IF(G1070="","X",_xlfn.XLOOKUP(B1070,DATA_Moresby_2024_ALL!B:B,DATA_Moresby_2024_ALL!K:K,""))</f>
        <v>X</v>
      </c>
      <c r="K1070" s="28"/>
      <c r="L1070" s="29"/>
      <c r="M1070" s="28"/>
      <c r="N1070" s="19" t="str">
        <f t="shared" si="55"/>
        <v/>
      </c>
      <c r="O1070" s="19" t="str">
        <f t="shared" si="55"/>
        <v/>
      </c>
      <c r="P1070" s="19" t="str">
        <f t="shared" si="55"/>
        <v/>
      </c>
      <c r="Q1070" s="19" t="str">
        <f t="shared" si="55"/>
        <v/>
      </c>
      <c r="X1070" s="92" t="s">
        <v>78</v>
      </c>
      <c r="Y1070" s="92" t="s">
        <v>78</v>
      </c>
      <c r="Z1070" s="92" t="s">
        <v>78</v>
      </c>
    </row>
    <row r="1071" spans="1:26" ht="16" hidden="1" x14ac:dyDescent="0.4">
      <c r="A1071" s="92">
        <v>5339</v>
      </c>
      <c r="B1071" s="92">
        <v>5340</v>
      </c>
      <c r="E1071" s="92">
        <v>50</v>
      </c>
      <c r="F1071" s="92">
        <f>_xlfn.XLOOKUP(B1071, DATA_Moresby_2024_ALL!B:B, DATA_Moresby_2024_ALL!G:G, "")</f>
        <v>0</v>
      </c>
      <c r="G1071" s="93"/>
      <c r="H1071" s="92">
        <v>5</v>
      </c>
      <c r="I1071" s="92" t="str">
        <f t="shared" si="56"/>
        <v>X</v>
      </c>
      <c r="J1071" s="79" t="str">
        <f>IF(G1071="","X",_xlfn.XLOOKUP(B1071,DATA_Moresby_2024_ALL!B:B,DATA_Moresby_2024_ALL!K:K,""))</f>
        <v>X</v>
      </c>
      <c r="K1071" s="28"/>
      <c r="L1071" s="29"/>
      <c r="M1071" s="28"/>
      <c r="N1071" s="19" t="str">
        <f t="shared" si="55"/>
        <v/>
      </c>
      <c r="O1071" s="19" t="str">
        <f t="shared" si="55"/>
        <v/>
      </c>
      <c r="P1071" s="19" t="str">
        <f t="shared" si="55"/>
        <v/>
      </c>
      <c r="Q1071" s="19" t="str">
        <f t="shared" si="55"/>
        <v/>
      </c>
      <c r="X1071" s="92" t="s">
        <v>78</v>
      </c>
      <c r="Y1071" s="92" t="s">
        <v>78</v>
      </c>
      <c r="Z1071" s="92" t="s">
        <v>78</v>
      </c>
    </row>
    <row r="1072" spans="1:26" ht="16" hidden="1" x14ac:dyDescent="0.4">
      <c r="A1072" s="92">
        <v>5344</v>
      </c>
      <c r="B1072" s="92">
        <v>5345</v>
      </c>
      <c r="E1072" s="92">
        <v>50</v>
      </c>
      <c r="F1072" s="92">
        <f>_xlfn.XLOOKUP(B1072, DATA_Moresby_2024_ALL!B:B, DATA_Moresby_2024_ALL!G:G, "")</f>
        <v>0</v>
      </c>
      <c r="G1072" s="93"/>
      <c r="H1072" s="92">
        <v>5</v>
      </c>
      <c r="I1072" s="92" t="str">
        <f t="shared" si="56"/>
        <v>X</v>
      </c>
      <c r="J1072" s="79" t="str">
        <f>IF(G1072="","X",_xlfn.XLOOKUP(B1072,DATA_Moresby_2024_ALL!B:B,DATA_Moresby_2024_ALL!K:K,""))</f>
        <v>X</v>
      </c>
      <c r="K1072" s="28"/>
      <c r="L1072" s="29"/>
      <c r="M1072" s="28"/>
      <c r="N1072" s="19" t="str">
        <f t="shared" si="55"/>
        <v/>
      </c>
      <c r="O1072" s="19" t="str">
        <f t="shared" si="55"/>
        <v/>
      </c>
      <c r="P1072" s="19" t="str">
        <f t="shared" si="55"/>
        <v/>
      </c>
      <c r="Q1072" s="19" t="str">
        <f t="shared" si="55"/>
        <v/>
      </c>
      <c r="X1072" s="92" t="s">
        <v>78</v>
      </c>
      <c r="Y1072" s="92" t="s">
        <v>78</v>
      </c>
      <c r="Z1072" s="92" t="s">
        <v>78</v>
      </c>
    </row>
    <row r="1073" spans="1:26" ht="16" hidden="1" x14ac:dyDescent="0.4">
      <c r="A1073" s="92">
        <v>5349</v>
      </c>
      <c r="B1073" s="92">
        <v>5350</v>
      </c>
      <c r="E1073" s="92">
        <v>50</v>
      </c>
      <c r="F1073" s="92">
        <f>_xlfn.XLOOKUP(B1073, DATA_Moresby_2024_ALL!B:B, DATA_Moresby_2024_ALL!G:G, "")</f>
        <v>0</v>
      </c>
      <c r="G1073" s="93"/>
      <c r="H1073" s="92">
        <v>5</v>
      </c>
      <c r="I1073" s="92" t="str">
        <f t="shared" si="56"/>
        <v>X</v>
      </c>
      <c r="J1073" s="79" t="str">
        <f>IF(G1073="","X",_xlfn.XLOOKUP(B1073,DATA_Moresby_2024_ALL!B:B,DATA_Moresby_2024_ALL!K:K,""))</f>
        <v>X</v>
      </c>
      <c r="K1073" s="28"/>
      <c r="L1073" s="29"/>
      <c r="M1073" s="28"/>
      <c r="N1073" s="19" t="str">
        <f t="shared" si="55"/>
        <v/>
      </c>
      <c r="O1073" s="19" t="str">
        <f t="shared" si="55"/>
        <v/>
      </c>
      <c r="P1073" s="19" t="str">
        <f t="shared" si="55"/>
        <v/>
      </c>
      <c r="Q1073" s="19" t="str">
        <f t="shared" si="55"/>
        <v/>
      </c>
      <c r="X1073" s="92" t="s">
        <v>78</v>
      </c>
      <c r="Y1073" s="92" t="s">
        <v>78</v>
      </c>
      <c r="Z1073" s="92" t="s">
        <v>78</v>
      </c>
    </row>
    <row r="1074" spans="1:26" ht="16" hidden="1" x14ac:dyDescent="0.4">
      <c r="A1074" s="92">
        <v>5354</v>
      </c>
      <c r="B1074" s="92">
        <v>5355</v>
      </c>
      <c r="E1074" s="92">
        <v>50</v>
      </c>
      <c r="F1074" s="92">
        <f>_xlfn.XLOOKUP(B1074, DATA_Moresby_2024_ALL!B:B, DATA_Moresby_2024_ALL!G:G, "")</f>
        <v>0</v>
      </c>
      <c r="G1074" s="93"/>
      <c r="H1074" s="92">
        <v>5</v>
      </c>
      <c r="I1074" s="92" t="str">
        <f t="shared" si="56"/>
        <v>X</v>
      </c>
      <c r="J1074" s="79" t="str">
        <f>IF(G1074="","X",_xlfn.XLOOKUP(B1074,DATA_Moresby_2024_ALL!B:B,DATA_Moresby_2024_ALL!K:K,""))</f>
        <v>X</v>
      </c>
      <c r="K1074" s="28"/>
      <c r="L1074" s="29"/>
      <c r="M1074" s="28"/>
      <c r="N1074" s="19" t="str">
        <f t="shared" si="55"/>
        <v/>
      </c>
      <c r="O1074" s="19" t="str">
        <f t="shared" si="55"/>
        <v/>
      </c>
      <c r="P1074" s="19" t="str">
        <f t="shared" si="55"/>
        <v/>
      </c>
      <c r="Q1074" s="19" t="str">
        <f t="shared" si="55"/>
        <v/>
      </c>
      <c r="X1074" s="92" t="s">
        <v>78</v>
      </c>
      <c r="Y1074" s="92" t="s">
        <v>78</v>
      </c>
      <c r="Z1074" s="92" t="s">
        <v>78</v>
      </c>
    </row>
    <row r="1075" spans="1:26" ht="16" hidden="1" x14ac:dyDescent="0.4">
      <c r="A1075" s="92">
        <v>5359</v>
      </c>
      <c r="B1075" s="92">
        <v>5360</v>
      </c>
      <c r="E1075" s="92">
        <v>50</v>
      </c>
      <c r="F1075" s="92">
        <f>_xlfn.XLOOKUP(B1075, DATA_Moresby_2024_ALL!B:B, DATA_Moresby_2024_ALL!G:G, "")</f>
        <v>0</v>
      </c>
      <c r="G1075" s="93"/>
      <c r="H1075" s="92">
        <v>5</v>
      </c>
      <c r="I1075" s="92" t="str">
        <f t="shared" si="56"/>
        <v>X</v>
      </c>
      <c r="J1075" s="79" t="str">
        <f>IF(G1075="","X",_xlfn.XLOOKUP(B1075,DATA_Moresby_2024_ALL!B:B,DATA_Moresby_2024_ALL!K:K,""))</f>
        <v>X</v>
      </c>
      <c r="K1075" s="28"/>
      <c r="L1075" s="29"/>
      <c r="M1075" s="28"/>
      <c r="N1075" s="19" t="str">
        <f t="shared" si="55"/>
        <v/>
      </c>
      <c r="O1075" s="19" t="str">
        <f t="shared" si="55"/>
        <v/>
      </c>
      <c r="P1075" s="19" t="str">
        <f t="shared" si="55"/>
        <v/>
      </c>
      <c r="Q1075" s="19" t="str">
        <f t="shared" si="55"/>
        <v/>
      </c>
      <c r="X1075" s="92" t="s">
        <v>78</v>
      </c>
      <c r="Y1075" s="92" t="s">
        <v>78</v>
      </c>
      <c r="Z1075" s="92" t="s">
        <v>78</v>
      </c>
    </row>
    <row r="1076" spans="1:26" ht="16" hidden="1" x14ac:dyDescent="0.4">
      <c r="A1076" s="92">
        <v>5364</v>
      </c>
      <c r="B1076" s="92">
        <v>5365</v>
      </c>
      <c r="E1076" s="92">
        <v>50</v>
      </c>
      <c r="F1076" s="92">
        <f>_xlfn.XLOOKUP(B1076, DATA_Moresby_2024_ALL!B:B, DATA_Moresby_2024_ALL!G:G, "")</f>
        <v>0</v>
      </c>
      <c r="G1076" s="93"/>
      <c r="H1076" s="92">
        <v>5</v>
      </c>
      <c r="I1076" s="92" t="str">
        <f t="shared" si="56"/>
        <v>X</v>
      </c>
      <c r="J1076" s="79" t="str">
        <f>IF(G1076="","X",_xlfn.XLOOKUP(B1076,DATA_Moresby_2024_ALL!B:B,DATA_Moresby_2024_ALL!K:K,""))</f>
        <v>X</v>
      </c>
      <c r="K1076" s="28"/>
      <c r="L1076" s="29"/>
      <c r="M1076" s="28"/>
      <c r="N1076" s="19" t="str">
        <f t="shared" si="55"/>
        <v/>
      </c>
      <c r="O1076" s="19" t="str">
        <f t="shared" si="55"/>
        <v/>
      </c>
      <c r="P1076" s="19" t="str">
        <f t="shared" si="55"/>
        <v/>
      </c>
      <c r="Q1076" s="19" t="str">
        <f t="shared" si="55"/>
        <v/>
      </c>
      <c r="X1076" s="92" t="s">
        <v>78</v>
      </c>
      <c r="Y1076" s="92" t="s">
        <v>78</v>
      </c>
      <c r="Z1076" s="92" t="s">
        <v>78</v>
      </c>
    </row>
    <row r="1077" spans="1:26" ht="16" hidden="1" x14ac:dyDescent="0.4">
      <c r="A1077" s="92">
        <v>5369</v>
      </c>
      <c r="B1077" s="92">
        <v>5370</v>
      </c>
      <c r="E1077" s="92">
        <v>50</v>
      </c>
      <c r="F1077" s="92">
        <f>_xlfn.XLOOKUP(B1077, DATA_Moresby_2024_ALL!B:B, DATA_Moresby_2024_ALL!G:G, "")</f>
        <v>0</v>
      </c>
      <c r="G1077" s="93"/>
      <c r="H1077" s="92">
        <v>5</v>
      </c>
      <c r="I1077" s="92" t="str">
        <f t="shared" si="56"/>
        <v>X</v>
      </c>
      <c r="J1077" s="79" t="str">
        <f>IF(G1077="","X",_xlfn.XLOOKUP(B1077,DATA_Moresby_2024_ALL!B:B,DATA_Moresby_2024_ALL!K:K,""))</f>
        <v>X</v>
      </c>
      <c r="K1077" s="28"/>
      <c r="L1077" s="29"/>
      <c r="M1077" s="28"/>
      <c r="N1077" s="19" t="str">
        <f t="shared" si="55"/>
        <v/>
      </c>
      <c r="O1077" s="19" t="str">
        <f t="shared" si="55"/>
        <v/>
      </c>
      <c r="P1077" s="19" t="str">
        <f t="shared" si="55"/>
        <v/>
      </c>
      <c r="Q1077" s="19" t="str">
        <f t="shared" si="55"/>
        <v/>
      </c>
      <c r="X1077" s="92" t="s">
        <v>78</v>
      </c>
      <c r="Y1077" s="92" t="s">
        <v>78</v>
      </c>
      <c r="Z1077" s="92" t="s">
        <v>78</v>
      </c>
    </row>
    <row r="1078" spans="1:26" ht="16" hidden="1" x14ac:dyDescent="0.4">
      <c r="A1078" s="92">
        <v>5374</v>
      </c>
      <c r="B1078" s="92">
        <v>5375</v>
      </c>
      <c r="E1078" s="92">
        <v>50</v>
      </c>
      <c r="F1078" s="92">
        <f>_xlfn.XLOOKUP(B1078, DATA_Moresby_2024_ALL!B:B, DATA_Moresby_2024_ALL!G:G, "")</f>
        <v>0</v>
      </c>
      <c r="G1078" s="93"/>
      <c r="H1078" s="92">
        <v>5</v>
      </c>
      <c r="I1078" s="92" t="str">
        <f t="shared" si="56"/>
        <v>X</v>
      </c>
      <c r="J1078" s="79" t="str">
        <f>IF(G1078="","X",_xlfn.XLOOKUP(B1078,DATA_Moresby_2024_ALL!B:B,DATA_Moresby_2024_ALL!K:K,""))</f>
        <v>X</v>
      </c>
      <c r="K1078" s="28"/>
      <c r="L1078" s="29"/>
      <c r="M1078" s="28"/>
      <c r="N1078" s="19" t="str">
        <f t="shared" si="55"/>
        <v/>
      </c>
      <c r="O1078" s="19" t="str">
        <f t="shared" si="55"/>
        <v/>
      </c>
      <c r="P1078" s="19" t="str">
        <f t="shared" si="55"/>
        <v/>
      </c>
      <c r="Q1078" s="19" t="str">
        <f t="shared" si="55"/>
        <v/>
      </c>
      <c r="X1078" s="92" t="s">
        <v>78</v>
      </c>
      <c r="Y1078" s="92" t="s">
        <v>78</v>
      </c>
      <c r="Z1078" s="92" t="s">
        <v>78</v>
      </c>
    </row>
    <row r="1079" spans="1:26" ht="16" hidden="1" x14ac:dyDescent="0.4">
      <c r="A1079" s="92">
        <v>5379</v>
      </c>
      <c r="B1079" s="92">
        <v>5380</v>
      </c>
      <c r="E1079" s="92">
        <v>50</v>
      </c>
      <c r="F1079" s="92">
        <f>_xlfn.XLOOKUP(B1079, DATA_Moresby_2024_ALL!B:B, DATA_Moresby_2024_ALL!G:G, "")</f>
        <v>0</v>
      </c>
      <c r="G1079" s="93"/>
      <c r="H1079" s="92">
        <v>5</v>
      </c>
      <c r="I1079" s="92" t="str">
        <f t="shared" si="56"/>
        <v>X</v>
      </c>
      <c r="J1079" s="79" t="str">
        <f>IF(G1079="","X",_xlfn.XLOOKUP(B1079,DATA_Moresby_2024_ALL!B:B,DATA_Moresby_2024_ALL!K:K,""))</f>
        <v>X</v>
      </c>
      <c r="K1079" s="28"/>
      <c r="L1079" s="29"/>
      <c r="M1079" s="28"/>
      <c r="N1079" s="19" t="str">
        <f t="shared" si="55"/>
        <v/>
      </c>
      <c r="O1079" s="19" t="str">
        <f t="shared" si="55"/>
        <v/>
      </c>
      <c r="P1079" s="19" t="str">
        <f t="shared" si="55"/>
        <v/>
      </c>
      <c r="Q1079" s="19" t="str">
        <f t="shared" si="55"/>
        <v/>
      </c>
      <c r="X1079" s="92" t="s">
        <v>78</v>
      </c>
      <c r="Y1079" s="92" t="s">
        <v>78</v>
      </c>
      <c r="Z1079" s="92" t="s">
        <v>78</v>
      </c>
    </row>
    <row r="1080" spans="1:26" ht="16" hidden="1" x14ac:dyDescent="0.4">
      <c r="A1080" s="92">
        <v>5384</v>
      </c>
      <c r="B1080" s="92">
        <v>5385</v>
      </c>
      <c r="E1080" s="92">
        <v>50</v>
      </c>
      <c r="F1080" s="92">
        <f>_xlfn.XLOOKUP(B1080, DATA_Moresby_2024_ALL!B:B, DATA_Moresby_2024_ALL!G:G, "")</f>
        <v>0</v>
      </c>
      <c r="G1080" s="93"/>
      <c r="H1080" s="92">
        <v>5</v>
      </c>
      <c r="I1080" s="92" t="str">
        <f t="shared" si="56"/>
        <v>X</v>
      </c>
      <c r="J1080" s="79" t="str">
        <f>IF(G1080="","X",_xlfn.XLOOKUP(B1080,DATA_Moresby_2024_ALL!B:B,DATA_Moresby_2024_ALL!K:K,""))</f>
        <v>X</v>
      </c>
      <c r="K1080" s="28"/>
      <c r="L1080" s="29"/>
      <c r="M1080" s="28"/>
      <c r="N1080" s="19" t="str">
        <f t="shared" si="55"/>
        <v/>
      </c>
      <c r="O1080" s="19" t="str">
        <f t="shared" si="55"/>
        <v/>
      </c>
      <c r="P1080" s="19" t="str">
        <f t="shared" si="55"/>
        <v/>
      </c>
      <c r="Q1080" s="19" t="str">
        <f t="shared" si="55"/>
        <v/>
      </c>
      <c r="X1080" s="92" t="s">
        <v>78</v>
      </c>
      <c r="Y1080" s="92" t="s">
        <v>78</v>
      </c>
      <c r="Z1080" s="92" t="s">
        <v>78</v>
      </c>
    </row>
    <row r="1081" spans="1:26" ht="16" hidden="1" x14ac:dyDescent="0.4">
      <c r="A1081" s="92">
        <v>5389</v>
      </c>
      <c r="B1081" s="92">
        <v>5390</v>
      </c>
      <c r="E1081" s="92">
        <v>50</v>
      </c>
      <c r="F1081" s="92">
        <f>_xlfn.XLOOKUP(B1081, DATA_Moresby_2024_ALL!B:B, DATA_Moresby_2024_ALL!G:G, "")</f>
        <v>0</v>
      </c>
      <c r="G1081" s="93"/>
      <c r="H1081" s="92">
        <v>5</v>
      </c>
      <c r="I1081" s="92" t="str">
        <f t="shared" si="56"/>
        <v>X</v>
      </c>
      <c r="J1081" s="79" t="str">
        <f>IF(G1081="","X",_xlfn.XLOOKUP(B1081,DATA_Moresby_2024_ALL!B:B,DATA_Moresby_2024_ALL!K:K,""))</f>
        <v>X</v>
      </c>
      <c r="K1081" s="28"/>
      <c r="L1081" s="29"/>
      <c r="M1081" s="28"/>
      <c r="N1081" s="19" t="str">
        <f t="shared" si="55"/>
        <v/>
      </c>
      <c r="O1081" s="19" t="str">
        <f t="shared" si="55"/>
        <v/>
      </c>
      <c r="P1081" s="19" t="str">
        <f t="shared" si="55"/>
        <v/>
      </c>
      <c r="Q1081" s="19" t="str">
        <f t="shared" si="55"/>
        <v/>
      </c>
      <c r="X1081" s="92" t="s">
        <v>78</v>
      </c>
      <c r="Y1081" s="92" t="s">
        <v>78</v>
      </c>
      <c r="Z1081" s="92" t="s">
        <v>78</v>
      </c>
    </row>
    <row r="1082" spans="1:26" ht="16" hidden="1" x14ac:dyDescent="0.4">
      <c r="A1082" s="92">
        <v>5394</v>
      </c>
      <c r="B1082" s="92">
        <v>5395</v>
      </c>
      <c r="E1082" s="92">
        <v>50</v>
      </c>
      <c r="F1082" s="92">
        <f>_xlfn.XLOOKUP(B1082, DATA_Moresby_2024_ALL!B:B, DATA_Moresby_2024_ALL!G:G, "")</f>
        <v>0</v>
      </c>
      <c r="G1082" s="93"/>
      <c r="H1082" s="92">
        <v>5</v>
      </c>
      <c r="I1082" s="92" t="str">
        <f t="shared" si="56"/>
        <v>X</v>
      </c>
      <c r="J1082" s="79" t="str">
        <f>IF(G1082="","X",_xlfn.XLOOKUP(B1082,DATA_Moresby_2024_ALL!B:B,DATA_Moresby_2024_ALL!K:K,""))</f>
        <v>X</v>
      </c>
      <c r="K1082" s="28"/>
      <c r="L1082" s="29"/>
      <c r="M1082" s="28"/>
      <c r="N1082" s="19" t="str">
        <f t="shared" si="55"/>
        <v/>
      </c>
      <c r="O1082" s="19" t="str">
        <f t="shared" si="55"/>
        <v/>
      </c>
      <c r="P1082" s="19" t="str">
        <f t="shared" si="55"/>
        <v/>
      </c>
      <c r="Q1082" s="19" t="str">
        <f t="shared" si="55"/>
        <v/>
      </c>
      <c r="X1082" s="92" t="s">
        <v>78</v>
      </c>
      <c r="Y1082" s="92" t="s">
        <v>78</v>
      </c>
      <c r="Z1082" s="92" t="s">
        <v>78</v>
      </c>
    </row>
    <row r="1083" spans="1:26" ht="16" hidden="1" x14ac:dyDescent="0.4">
      <c r="A1083" s="92">
        <v>5399</v>
      </c>
      <c r="B1083" s="92">
        <v>5400</v>
      </c>
      <c r="E1083" s="92">
        <v>50</v>
      </c>
      <c r="F1083" s="92">
        <f>_xlfn.XLOOKUP(B1083, DATA_Moresby_2024_ALL!B:B, DATA_Moresby_2024_ALL!G:G, "")</f>
        <v>0</v>
      </c>
      <c r="G1083" s="93"/>
      <c r="H1083" s="92">
        <v>4</v>
      </c>
      <c r="I1083" s="92" t="str">
        <f t="shared" si="56"/>
        <v>X</v>
      </c>
      <c r="J1083" s="79" t="str">
        <f>IF(G1083="","X",_xlfn.XLOOKUP(B1083,DATA_Moresby_2024_ALL!B:B,DATA_Moresby_2024_ALL!K:K,""))</f>
        <v>X</v>
      </c>
      <c r="K1083" s="28"/>
      <c r="L1083" s="29"/>
      <c r="M1083" s="28"/>
      <c r="N1083" s="19" t="str">
        <f t="shared" si="55"/>
        <v/>
      </c>
      <c r="O1083" s="19" t="str">
        <f t="shared" si="55"/>
        <v/>
      </c>
      <c r="P1083" s="19" t="str">
        <f t="shared" si="55"/>
        <v/>
      </c>
      <c r="Q1083" s="19" t="str">
        <f t="shared" si="55"/>
        <v/>
      </c>
      <c r="X1083" s="92" t="s">
        <v>78</v>
      </c>
      <c r="Y1083" s="92" t="s">
        <v>78</v>
      </c>
      <c r="Z1083" s="92" t="s">
        <v>78</v>
      </c>
    </row>
    <row r="1084" spans="1:26" ht="16" hidden="1" x14ac:dyDescent="0.4">
      <c r="A1084" s="92">
        <v>5404</v>
      </c>
      <c r="B1084" s="92">
        <v>5405</v>
      </c>
      <c r="E1084" s="92">
        <v>50</v>
      </c>
      <c r="F1084" s="92">
        <f>_xlfn.XLOOKUP(B1084, DATA_Moresby_2024_ALL!B:B, DATA_Moresby_2024_ALL!G:G, "")</f>
        <v>0</v>
      </c>
      <c r="G1084" s="93"/>
      <c r="H1084" s="92">
        <v>4</v>
      </c>
      <c r="I1084" s="92" t="str">
        <f t="shared" si="56"/>
        <v>X</v>
      </c>
      <c r="J1084" s="79" t="str">
        <f>IF(G1084="","X",_xlfn.XLOOKUP(B1084,DATA_Moresby_2024_ALL!B:B,DATA_Moresby_2024_ALL!K:K,""))</f>
        <v>X</v>
      </c>
      <c r="K1084" s="28"/>
      <c r="L1084" s="29"/>
      <c r="M1084" s="28"/>
      <c r="N1084" s="19" t="str">
        <f t="shared" si="55"/>
        <v/>
      </c>
      <c r="O1084" s="19" t="str">
        <f t="shared" si="55"/>
        <v/>
      </c>
      <c r="P1084" s="19" t="str">
        <f t="shared" si="55"/>
        <v/>
      </c>
      <c r="Q1084" s="19" t="str">
        <f t="shared" si="55"/>
        <v/>
      </c>
      <c r="X1084" s="92" t="s">
        <v>78</v>
      </c>
      <c r="Y1084" s="92" t="s">
        <v>78</v>
      </c>
      <c r="Z1084" s="92" t="s">
        <v>78</v>
      </c>
    </row>
    <row r="1085" spans="1:26" ht="16" hidden="1" x14ac:dyDescent="0.4">
      <c r="A1085" s="92">
        <v>5409</v>
      </c>
      <c r="B1085" s="92">
        <v>5410</v>
      </c>
      <c r="E1085" s="92">
        <v>50</v>
      </c>
      <c r="F1085" s="92">
        <f>_xlfn.XLOOKUP(B1085, DATA_Moresby_2024_ALL!B:B, DATA_Moresby_2024_ALL!G:G, "")</f>
        <v>0</v>
      </c>
      <c r="G1085" s="93"/>
      <c r="H1085" s="92">
        <v>4</v>
      </c>
      <c r="I1085" s="92" t="str">
        <f t="shared" si="56"/>
        <v>X</v>
      </c>
      <c r="J1085" s="79" t="str">
        <f>IF(G1085="","X",_xlfn.XLOOKUP(B1085,DATA_Moresby_2024_ALL!B:B,DATA_Moresby_2024_ALL!K:K,""))</f>
        <v>X</v>
      </c>
      <c r="K1085" s="28"/>
      <c r="L1085" s="29"/>
      <c r="M1085" s="28"/>
      <c r="N1085" s="19" t="str">
        <f t="shared" si="55"/>
        <v/>
      </c>
      <c r="O1085" s="19" t="str">
        <f t="shared" si="55"/>
        <v/>
      </c>
      <c r="P1085" s="19" t="str">
        <f t="shared" si="55"/>
        <v/>
      </c>
      <c r="Q1085" s="19" t="str">
        <f t="shared" si="55"/>
        <v/>
      </c>
      <c r="X1085" s="92" t="s">
        <v>78</v>
      </c>
      <c r="Y1085" s="92" t="s">
        <v>78</v>
      </c>
      <c r="Z1085" s="92" t="s">
        <v>78</v>
      </c>
    </row>
    <row r="1086" spans="1:26" ht="16" hidden="1" x14ac:dyDescent="0.4">
      <c r="A1086" s="92">
        <v>5414</v>
      </c>
      <c r="B1086" s="92">
        <v>5415</v>
      </c>
      <c r="E1086" s="92">
        <v>50</v>
      </c>
      <c r="F1086" s="92">
        <f>_xlfn.XLOOKUP(B1086, DATA_Moresby_2024_ALL!B:B, DATA_Moresby_2024_ALL!G:G, "")</f>
        <v>0</v>
      </c>
      <c r="G1086" s="93"/>
      <c r="H1086" s="92">
        <v>4</v>
      </c>
      <c r="I1086" s="92" t="str">
        <f t="shared" si="56"/>
        <v>X</v>
      </c>
      <c r="J1086" s="79" t="str">
        <f>IF(G1086="","X",_xlfn.XLOOKUP(B1086,DATA_Moresby_2024_ALL!B:B,DATA_Moresby_2024_ALL!K:K,""))</f>
        <v>X</v>
      </c>
      <c r="K1086" s="28"/>
      <c r="L1086" s="29"/>
      <c r="M1086" s="28"/>
      <c r="N1086" s="19" t="str">
        <f t="shared" si="55"/>
        <v/>
      </c>
      <c r="O1086" s="19" t="str">
        <f t="shared" si="55"/>
        <v/>
      </c>
      <c r="P1086" s="19" t="str">
        <f t="shared" si="55"/>
        <v/>
      </c>
      <c r="Q1086" s="19" t="str">
        <f t="shared" si="55"/>
        <v/>
      </c>
      <c r="X1086" s="92" t="s">
        <v>78</v>
      </c>
      <c r="Y1086" s="92" t="s">
        <v>78</v>
      </c>
      <c r="Z1086" s="92" t="s">
        <v>78</v>
      </c>
    </row>
    <row r="1087" spans="1:26" ht="16" hidden="1" x14ac:dyDescent="0.4">
      <c r="A1087" s="92">
        <v>5419</v>
      </c>
      <c r="B1087" s="92">
        <v>5420</v>
      </c>
      <c r="E1087" s="92">
        <v>50</v>
      </c>
      <c r="F1087" s="92">
        <f>_xlfn.XLOOKUP(B1087, DATA_Moresby_2024_ALL!B:B, DATA_Moresby_2024_ALL!G:G, "")</f>
        <v>0</v>
      </c>
      <c r="G1087" s="93"/>
      <c r="H1087" s="92">
        <v>4</v>
      </c>
      <c r="I1087" s="92" t="str">
        <f t="shared" si="56"/>
        <v>X</v>
      </c>
      <c r="J1087" s="79" t="str">
        <f>IF(G1087="","X",_xlfn.XLOOKUP(B1087,DATA_Moresby_2024_ALL!B:B,DATA_Moresby_2024_ALL!K:K,""))</f>
        <v>X</v>
      </c>
      <c r="K1087" s="28"/>
      <c r="L1087" s="29"/>
      <c r="M1087" s="28"/>
      <c r="N1087" s="19" t="str">
        <f t="shared" si="55"/>
        <v/>
      </c>
      <c r="O1087" s="19" t="str">
        <f t="shared" si="55"/>
        <v/>
      </c>
      <c r="P1087" s="19" t="str">
        <f t="shared" si="55"/>
        <v/>
      </c>
      <c r="Q1087" s="19" t="str">
        <f t="shared" si="55"/>
        <v/>
      </c>
      <c r="X1087" s="92" t="s">
        <v>78</v>
      </c>
      <c r="Y1087" s="92" t="s">
        <v>78</v>
      </c>
      <c r="Z1087" s="92" t="s">
        <v>78</v>
      </c>
    </row>
    <row r="1088" spans="1:26" ht="16" hidden="1" x14ac:dyDescent="0.4">
      <c r="A1088" s="92">
        <v>5424</v>
      </c>
      <c r="B1088" s="92">
        <v>5425</v>
      </c>
      <c r="E1088" s="92">
        <v>50</v>
      </c>
      <c r="F1088" s="92">
        <f>_xlfn.XLOOKUP(B1088, DATA_Moresby_2024_ALL!B:B, DATA_Moresby_2024_ALL!G:G, "")</f>
        <v>0</v>
      </c>
      <c r="G1088" s="93"/>
      <c r="H1088" s="92">
        <v>4</v>
      </c>
      <c r="I1088" s="92" t="str">
        <f t="shared" si="56"/>
        <v>X</v>
      </c>
      <c r="J1088" s="79" t="str">
        <f>IF(G1088="","X",_xlfn.XLOOKUP(B1088,DATA_Moresby_2024_ALL!B:B,DATA_Moresby_2024_ALL!K:K,""))</f>
        <v>X</v>
      </c>
      <c r="K1088" s="28"/>
      <c r="L1088" s="29"/>
      <c r="M1088" s="28"/>
      <c r="N1088" s="19" t="str">
        <f t="shared" si="55"/>
        <v/>
      </c>
      <c r="O1088" s="19" t="str">
        <f t="shared" si="55"/>
        <v/>
      </c>
      <c r="P1088" s="19" t="str">
        <f t="shared" si="55"/>
        <v/>
      </c>
      <c r="Q1088" s="19" t="str">
        <f t="shared" si="55"/>
        <v/>
      </c>
      <c r="X1088" s="92" t="s">
        <v>78</v>
      </c>
      <c r="Y1088" s="92" t="s">
        <v>78</v>
      </c>
      <c r="Z1088" s="92" t="s">
        <v>78</v>
      </c>
    </row>
    <row r="1089" spans="1:26" ht="16" hidden="1" x14ac:dyDescent="0.4">
      <c r="A1089" s="92">
        <v>5429</v>
      </c>
      <c r="B1089" s="92">
        <v>5430</v>
      </c>
      <c r="E1089" s="92">
        <v>50</v>
      </c>
      <c r="F1089" s="92">
        <f>_xlfn.XLOOKUP(B1089, DATA_Moresby_2024_ALL!B:B, DATA_Moresby_2024_ALL!G:G, "")</f>
        <v>0</v>
      </c>
      <c r="G1089" s="93"/>
      <c r="H1089" s="92">
        <v>4</v>
      </c>
      <c r="I1089" s="92" t="str">
        <f t="shared" si="56"/>
        <v>X</v>
      </c>
      <c r="J1089" s="79" t="str">
        <f>IF(G1089="","X",_xlfn.XLOOKUP(B1089,DATA_Moresby_2024_ALL!B:B,DATA_Moresby_2024_ALL!K:K,""))</f>
        <v>X</v>
      </c>
      <c r="K1089" s="28"/>
      <c r="L1089" s="29"/>
      <c r="M1089" s="28"/>
      <c r="N1089" s="19" t="str">
        <f t="shared" si="55"/>
        <v/>
      </c>
      <c r="O1089" s="19" t="str">
        <f t="shared" si="55"/>
        <v/>
      </c>
      <c r="P1089" s="19" t="str">
        <f t="shared" si="55"/>
        <v/>
      </c>
      <c r="Q1089" s="19" t="str">
        <f t="shared" si="55"/>
        <v/>
      </c>
      <c r="X1089" s="92" t="s">
        <v>78</v>
      </c>
      <c r="Y1089" s="92" t="s">
        <v>78</v>
      </c>
      <c r="Z1089" s="92" t="s">
        <v>78</v>
      </c>
    </row>
    <row r="1090" spans="1:26" ht="16" hidden="1" x14ac:dyDescent="0.4">
      <c r="A1090" s="92">
        <v>5434</v>
      </c>
      <c r="B1090" s="92">
        <v>5435</v>
      </c>
      <c r="E1090" s="92">
        <v>50</v>
      </c>
      <c r="F1090" s="92">
        <f>_xlfn.XLOOKUP(B1090, DATA_Moresby_2024_ALL!B:B, DATA_Moresby_2024_ALL!G:G, "")</f>
        <v>0</v>
      </c>
      <c r="G1090" s="93"/>
      <c r="H1090" s="92">
        <v>4</v>
      </c>
      <c r="I1090" s="92" t="str">
        <f t="shared" si="56"/>
        <v>X</v>
      </c>
      <c r="J1090" s="79" t="str">
        <f>IF(G1090="","X",_xlfn.XLOOKUP(B1090,DATA_Moresby_2024_ALL!B:B,DATA_Moresby_2024_ALL!K:K,""))</f>
        <v>X</v>
      </c>
      <c r="K1090" s="28"/>
      <c r="L1090" s="29"/>
      <c r="M1090" s="28"/>
      <c r="N1090" s="19" t="str">
        <f t="shared" si="55"/>
        <v/>
      </c>
      <c r="O1090" s="19" t="str">
        <f t="shared" si="55"/>
        <v/>
      </c>
      <c r="P1090" s="19" t="str">
        <f t="shared" si="55"/>
        <v/>
      </c>
      <c r="Q1090" s="19" t="str">
        <f t="shared" si="55"/>
        <v/>
      </c>
      <c r="X1090" s="92" t="s">
        <v>78</v>
      </c>
      <c r="Y1090" s="92" t="s">
        <v>78</v>
      </c>
      <c r="Z1090" s="92" t="s">
        <v>78</v>
      </c>
    </row>
    <row r="1091" spans="1:26" ht="16" hidden="1" x14ac:dyDescent="0.4">
      <c r="A1091" s="92">
        <v>5439</v>
      </c>
      <c r="B1091" s="92">
        <v>5440</v>
      </c>
      <c r="E1091" s="92">
        <v>50</v>
      </c>
      <c r="F1091" s="92">
        <f>_xlfn.XLOOKUP(B1091, DATA_Moresby_2024_ALL!B:B, DATA_Moresby_2024_ALL!G:G, "")</f>
        <v>0</v>
      </c>
      <c r="G1091" s="93"/>
      <c r="H1091" s="92">
        <v>4</v>
      </c>
      <c r="I1091" s="92" t="str">
        <f t="shared" si="56"/>
        <v>X</v>
      </c>
      <c r="J1091" s="79" t="str">
        <f>IF(G1091="","X",_xlfn.XLOOKUP(B1091,DATA_Moresby_2024_ALL!B:B,DATA_Moresby_2024_ALL!K:K,""))</f>
        <v>X</v>
      </c>
      <c r="K1091" s="28"/>
      <c r="L1091" s="29"/>
      <c r="M1091" s="28"/>
      <c r="N1091" s="19" t="str">
        <f t="shared" si="55"/>
        <v/>
      </c>
      <c r="O1091" s="19" t="str">
        <f t="shared" si="55"/>
        <v/>
      </c>
      <c r="P1091" s="19" t="str">
        <f t="shared" si="55"/>
        <v/>
      </c>
      <c r="Q1091" s="19" t="str">
        <f t="shared" si="55"/>
        <v/>
      </c>
      <c r="X1091" s="92" t="s">
        <v>78</v>
      </c>
      <c r="Y1091" s="92" t="s">
        <v>78</v>
      </c>
      <c r="Z1091" s="92" t="s">
        <v>78</v>
      </c>
    </row>
    <row r="1092" spans="1:26" ht="16" hidden="1" x14ac:dyDescent="0.4">
      <c r="A1092" s="92">
        <v>5444</v>
      </c>
      <c r="B1092" s="92">
        <v>5445</v>
      </c>
      <c r="E1092" s="92">
        <v>50</v>
      </c>
      <c r="F1092" s="92" t="str">
        <f>_xlfn.XLOOKUP(B1092, DATA_Moresby_2024_ALL!B:B, DATA_Moresby_2024_ALL!G:G, "")</f>
        <v>5445_20240611_0007_L_0023.jpg</v>
      </c>
      <c r="G1092" s="93" t="str">
        <f t="shared" si="54"/>
        <v>5445_20240611_0007_L_0023.jpg</v>
      </c>
      <c r="H1092" s="92">
        <v>4</v>
      </c>
      <c r="J1092" s="79">
        <f>IF(G1092="","X",_xlfn.XLOOKUP(B1092,DATA_Moresby_2024_ALL!B:B,DATA_Moresby_2024_ALL!K:K,""))</f>
        <v>1</v>
      </c>
      <c r="K1092" s="28"/>
      <c r="L1092" s="29"/>
      <c r="M1092" s="28"/>
      <c r="N1092" s="19">
        <f t="shared" si="55"/>
        <v>4</v>
      </c>
      <c r="O1092" s="19">
        <f t="shared" si="55"/>
        <v>4</v>
      </c>
      <c r="P1092" s="19">
        <f t="shared" si="55"/>
        <v>4</v>
      </c>
      <c r="Q1092" s="19">
        <f t="shared" si="55"/>
        <v>4</v>
      </c>
      <c r="X1092" s="92" t="s">
        <v>78</v>
      </c>
      <c r="Y1092" s="92" t="s">
        <v>78</v>
      </c>
      <c r="Z1092" s="92" t="s">
        <v>78</v>
      </c>
    </row>
    <row r="1093" spans="1:26" ht="16" hidden="1" x14ac:dyDescent="0.4">
      <c r="A1093" s="92">
        <v>5449</v>
      </c>
      <c r="B1093" s="92">
        <v>5450</v>
      </c>
      <c r="E1093" s="92">
        <v>50</v>
      </c>
      <c r="F1093" s="92" t="str">
        <f>_xlfn.XLOOKUP(B1093, DATA_Moresby_2024_ALL!B:B, DATA_Moresby_2024_ALL!G:G, "")</f>
        <v>5450_20240611_0007_L_0041.jpg</v>
      </c>
      <c r="G1093" s="93" t="str">
        <f t="shared" si="54"/>
        <v>5450_20240611_0007_L_0041.jpg</v>
      </c>
      <c r="H1093" s="92">
        <v>4</v>
      </c>
      <c r="J1093" s="79">
        <f>IF(G1093="","X",_xlfn.XLOOKUP(B1093,DATA_Moresby_2024_ALL!B:B,DATA_Moresby_2024_ALL!K:K,""))</f>
        <v>1</v>
      </c>
      <c r="K1093" s="28"/>
      <c r="L1093" s="29"/>
      <c r="M1093" s="28"/>
      <c r="N1093" s="19">
        <f t="shared" si="55"/>
        <v>4</v>
      </c>
      <c r="O1093" s="19">
        <v>3</v>
      </c>
      <c r="P1093" s="19">
        <f t="shared" si="55"/>
        <v>4</v>
      </c>
      <c r="Q1093" s="19">
        <f t="shared" si="55"/>
        <v>4</v>
      </c>
      <c r="X1093" s="92" t="s">
        <v>78</v>
      </c>
      <c r="Y1093" s="92" t="s">
        <v>78</v>
      </c>
      <c r="Z1093" s="92" t="s">
        <v>78</v>
      </c>
    </row>
    <row r="1094" spans="1:26" ht="16" hidden="1" x14ac:dyDescent="0.4">
      <c r="A1094" s="92">
        <v>5454</v>
      </c>
      <c r="B1094" s="92">
        <v>5455</v>
      </c>
      <c r="E1094" s="92">
        <v>50</v>
      </c>
      <c r="F1094" s="92" t="str">
        <f>_xlfn.XLOOKUP(B1094, DATA_Moresby_2024_ALL!B:B, DATA_Moresby_2024_ALL!G:G, "")</f>
        <v>5455_20240611_0007_L_0057.jpg</v>
      </c>
      <c r="G1094" s="93" t="str">
        <f t="shared" si="54"/>
        <v>5455_20240611_0007_L_0057.jpg</v>
      </c>
      <c r="H1094" s="92">
        <v>4</v>
      </c>
      <c r="J1094" s="79">
        <f>IF(G1094="","X",_xlfn.XLOOKUP(B1094,DATA_Moresby_2024_ALL!B:B,DATA_Moresby_2024_ALL!K:K,""))</f>
        <v>1</v>
      </c>
      <c r="K1094" s="28"/>
      <c r="L1094" s="29"/>
      <c r="M1094" s="28"/>
      <c r="N1094" s="19">
        <f t="shared" si="55"/>
        <v>4</v>
      </c>
      <c r="O1094" s="19">
        <f t="shared" si="55"/>
        <v>4</v>
      </c>
      <c r="P1094" s="19">
        <f t="shared" si="55"/>
        <v>4</v>
      </c>
      <c r="Q1094" s="19">
        <f t="shared" si="55"/>
        <v>4</v>
      </c>
      <c r="X1094" s="92" t="s">
        <v>78</v>
      </c>
      <c r="Y1094" s="92" t="s">
        <v>78</v>
      </c>
      <c r="Z1094" s="92" t="s">
        <v>78</v>
      </c>
    </row>
    <row r="1095" spans="1:26" ht="16" hidden="1" x14ac:dyDescent="0.4">
      <c r="A1095" s="92">
        <v>5459</v>
      </c>
      <c r="B1095" s="92">
        <v>5460</v>
      </c>
      <c r="E1095" s="92">
        <v>50</v>
      </c>
      <c r="F1095" s="92" t="str">
        <f>_xlfn.XLOOKUP(B1095, DATA_Moresby_2024_ALL!B:B, DATA_Moresby_2024_ALL!G:G, "")</f>
        <v>5460_20240611_0007_L_0074.jpg</v>
      </c>
      <c r="G1095" s="93" t="str">
        <f t="shared" si="54"/>
        <v>5460_20240611_0007_L_0074.jpg</v>
      </c>
      <c r="H1095" s="92">
        <v>4</v>
      </c>
      <c r="J1095" s="79">
        <f>IF(G1095="","X",_xlfn.XLOOKUP(B1095,DATA_Moresby_2024_ALL!B:B,DATA_Moresby_2024_ALL!K:K,""))</f>
        <v>1</v>
      </c>
      <c r="K1095" s="28"/>
      <c r="L1095" s="29"/>
      <c r="M1095" s="28"/>
      <c r="N1095" s="19">
        <f t="shared" si="55"/>
        <v>4</v>
      </c>
      <c r="O1095" s="19">
        <f t="shared" si="55"/>
        <v>4</v>
      </c>
      <c r="P1095" s="19">
        <f t="shared" si="55"/>
        <v>4</v>
      </c>
      <c r="Q1095" s="19">
        <v>3</v>
      </c>
      <c r="X1095" s="92" t="s">
        <v>78</v>
      </c>
      <c r="Y1095" s="92" t="s">
        <v>78</v>
      </c>
      <c r="Z1095" s="92" t="s">
        <v>78</v>
      </c>
    </row>
    <row r="1096" spans="1:26" ht="16" hidden="1" x14ac:dyDescent="0.4">
      <c r="A1096" s="92">
        <v>5464</v>
      </c>
      <c r="B1096" s="92">
        <v>5465</v>
      </c>
      <c r="E1096" s="92">
        <v>50</v>
      </c>
      <c r="F1096" s="92" t="str">
        <f>_xlfn.XLOOKUP(B1096, DATA_Moresby_2024_ALL!B:B, DATA_Moresby_2024_ALL!G:G, "")</f>
        <v>5465_20240611_0007_L_0090.jpg</v>
      </c>
      <c r="G1096" s="93" t="str">
        <f t="shared" si="54"/>
        <v>5465_20240611_0007_L_0090.jpg</v>
      </c>
      <c r="H1096" s="92">
        <v>4</v>
      </c>
      <c r="J1096" s="79">
        <f>IF(G1096="","X",_xlfn.XLOOKUP(B1096,DATA_Moresby_2024_ALL!B:B,DATA_Moresby_2024_ALL!K:K,""))</f>
        <v>1</v>
      </c>
      <c r="K1096" s="28"/>
      <c r="L1096" s="29"/>
      <c r="M1096" s="28"/>
      <c r="N1096" s="19">
        <f t="shared" si="55"/>
        <v>4</v>
      </c>
      <c r="O1096" s="19">
        <f t="shared" si="55"/>
        <v>4</v>
      </c>
      <c r="P1096" s="19">
        <f t="shared" si="55"/>
        <v>4</v>
      </c>
      <c r="Q1096" s="19">
        <f t="shared" si="55"/>
        <v>4</v>
      </c>
      <c r="X1096" s="92" t="s">
        <v>78</v>
      </c>
      <c r="Y1096" s="92" t="s">
        <v>78</v>
      </c>
      <c r="Z1096" s="92" t="s">
        <v>78</v>
      </c>
    </row>
    <row r="1097" spans="1:26" ht="16" hidden="1" x14ac:dyDescent="0.4">
      <c r="A1097" s="92">
        <v>5469</v>
      </c>
      <c r="B1097" s="92">
        <v>5470</v>
      </c>
      <c r="E1097" s="92">
        <v>50</v>
      </c>
      <c r="F1097" s="92" t="str">
        <f>_xlfn.XLOOKUP(B1097, DATA_Moresby_2024_ALL!B:B, DATA_Moresby_2024_ALL!G:G, "")</f>
        <v>5470_20240611_0007_L_0107.jpg</v>
      </c>
      <c r="G1097" s="93" t="str">
        <f t="shared" si="54"/>
        <v>5470_20240611_0007_L_0107.jpg</v>
      </c>
      <c r="H1097" s="92">
        <v>4</v>
      </c>
      <c r="J1097" s="79">
        <f>IF(G1097="","X",_xlfn.XLOOKUP(B1097,DATA_Moresby_2024_ALL!B:B,DATA_Moresby_2024_ALL!K:K,""))</f>
        <v>1</v>
      </c>
      <c r="K1097" s="28"/>
      <c r="L1097" s="29"/>
      <c r="M1097" s="28"/>
      <c r="N1097" s="19">
        <v>3</v>
      </c>
      <c r="O1097" s="19">
        <f t="shared" si="55"/>
        <v>4</v>
      </c>
      <c r="P1097" s="19">
        <f t="shared" si="55"/>
        <v>4</v>
      </c>
      <c r="Q1097" s="19">
        <f t="shared" si="55"/>
        <v>4</v>
      </c>
      <c r="X1097" s="92" t="s">
        <v>78</v>
      </c>
      <c r="Y1097" s="92" t="s">
        <v>78</v>
      </c>
      <c r="Z1097" s="92" t="s">
        <v>78</v>
      </c>
    </row>
    <row r="1098" spans="1:26" ht="16" hidden="1" x14ac:dyDescent="0.4">
      <c r="A1098" s="92">
        <v>5474</v>
      </c>
      <c r="B1098" s="92">
        <v>5475</v>
      </c>
      <c r="E1098" s="92">
        <v>50</v>
      </c>
      <c r="F1098" s="92" t="str">
        <f>_xlfn.XLOOKUP(B1098, DATA_Moresby_2024_ALL!B:B, DATA_Moresby_2024_ALL!G:G, "")</f>
        <v>5475_20240611_0007_L_0121.jpg</v>
      </c>
      <c r="G1098" s="93" t="str">
        <f t="shared" si="54"/>
        <v>5475_20240611_0007_L_0121.jpg</v>
      </c>
      <c r="H1098" s="92">
        <v>4</v>
      </c>
      <c r="J1098" s="79">
        <f>IF(G1098="","X",_xlfn.XLOOKUP(B1098,DATA_Moresby_2024_ALL!B:B,DATA_Moresby_2024_ALL!K:K,""))</f>
        <v>1</v>
      </c>
      <c r="K1098" s="28"/>
      <c r="L1098" s="29"/>
      <c r="M1098" s="28"/>
      <c r="N1098" s="19">
        <f t="shared" si="55"/>
        <v>4</v>
      </c>
      <c r="O1098" s="19">
        <f t="shared" si="55"/>
        <v>4</v>
      </c>
      <c r="P1098" s="19">
        <f t="shared" si="55"/>
        <v>4</v>
      </c>
      <c r="Q1098" s="19">
        <f t="shared" si="55"/>
        <v>4</v>
      </c>
      <c r="X1098" s="92" t="s">
        <v>78</v>
      </c>
      <c r="Y1098" s="92" t="s">
        <v>78</v>
      </c>
      <c r="Z1098" s="92" t="s">
        <v>78</v>
      </c>
    </row>
    <row r="1099" spans="1:26" ht="16" hidden="1" x14ac:dyDescent="0.4">
      <c r="A1099" s="92">
        <v>5479</v>
      </c>
      <c r="B1099" s="92">
        <v>5480</v>
      </c>
      <c r="E1099" s="92">
        <v>50</v>
      </c>
      <c r="F1099" s="92" t="str">
        <f>_xlfn.XLOOKUP(B1099, DATA_Moresby_2024_ALL!B:B, DATA_Moresby_2024_ALL!G:G, "")</f>
        <v>5480_20240611_0007_L_0136.jpg</v>
      </c>
      <c r="G1099" s="93" t="str">
        <f t="shared" si="54"/>
        <v>5480_20240611_0007_L_0136.jpg</v>
      </c>
      <c r="H1099" s="92">
        <v>4</v>
      </c>
      <c r="J1099" s="79">
        <f>IF(G1099="","X",_xlfn.XLOOKUP(B1099,DATA_Moresby_2024_ALL!B:B,DATA_Moresby_2024_ALL!K:K,""))</f>
        <v>1</v>
      </c>
      <c r="K1099" s="28"/>
      <c r="L1099" s="29"/>
      <c r="M1099" s="28"/>
      <c r="N1099" s="19">
        <f t="shared" si="55"/>
        <v>4</v>
      </c>
      <c r="O1099" s="19">
        <f t="shared" si="55"/>
        <v>4</v>
      </c>
      <c r="P1099" s="19">
        <f t="shared" si="55"/>
        <v>4</v>
      </c>
      <c r="Q1099" s="19">
        <f t="shared" si="55"/>
        <v>4</v>
      </c>
      <c r="X1099" s="92" t="s">
        <v>78</v>
      </c>
      <c r="Y1099" s="92" t="s">
        <v>78</v>
      </c>
      <c r="Z1099" s="92" t="s">
        <v>78</v>
      </c>
    </row>
    <row r="1100" spans="1:26" ht="16" hidden="1" x14ac:dyDescent="0.4">
      <c r="A1100" s="92">
        <v>5484</v>
      </c>
      <c r="B1100" s="92">
        <v>5485</v>
      </c>
      <c r="E1100" s="92">
        <v>50</v>
      </c>
      <c r="F1100" s="92" t="str">
        <f>_xlfn.XLOOKUP(B1100, DATA_Moresby_2024_ALL!B:B, DATA_Moresby_2024_ALL!G:G, "")</f>
        <v>5485_20240611_0007_L_0153.jpg</v>
      </c>
      <c r="G1100" s="93" t="str">
        <f t="shared" si="54"/>
        <v>5485_20240611_0007_L_0153.jpg</v>
      </c>
      <c r="H1100" s="92">
        <v>4</v>
      </c>
      <c r="J1100" s="79">
        <f>IF(G1100="","X",_xlfn.XLOOKUP(B1100,DATA_Moresby_2024_ALL!B:B,DATA_Moresby_2024_ALL!K:K,""))</f>
        <v>1</v>
      </c>
      <c r="K1100" s="28"/>
      <c r="L1100" s="29"/>
      <c r="M1100" s="28"/>
      <c r="N1100" s="19">
        <f t="shared" si="55"/>
        <v>4</v>
      </c>
      <c r="O1100" s="19">
        <f t="shared" si="55"/>
        <v>4</v>
      </c>
      <c r="P1100" s="19">
        <f t="shared" si="55"/>
        <v>4</v>
      </c>
      <c r="Q1100" s="19">
        <f t="shared" si="55"/>
        <v>4</v>
      </c>
      <c r="X1100" s="92" t="s">
        <v>78</v>
      </c>
      <c r="Y1100" s="92" t="s">
        <v>78</v>
      </c>
      <c r="Z1100" s="92" t="s">
        <v>78</v>
      </c>
    </row>
    <row r="1101" spans="1:26" ht="16" hidden="1" x14ac:dyDescent="0.4">
      <c r="A1101" s="92">
        <v>5489</v>
      </c>
      <c r="B1101" s="92">
        <v>5490</v>
      </c>
      <c r="E1101" s="92">
        <v>50</v>
      </c>
      <c r="F1101" s="92" t="str">
        <f>_xlfn.XLOOKUP(B1101, DATA_Moresby_2024_ALL!B:B, DATA_Moresby_2024_ALL!G:G, "")</f>
        <v>5490_20240611_0007_L_0168.jpg</v>
      </c>
      <c r="G1101" s="93" t="str">
        <f t="shared" si="54"/>
        <v>5490_20240611_0007_L_0168.jpg</v>
      </c>
      <c r="H1101" s="92">
        <v>4</v>
      </c>
      <c r="J1101" s="79">
        <f>IF(G1101="","X",_xlfn.XLOOKUP(B1101,DATA_Moresby_2024_ALL!B:B,DATA_Moresby_2024_ALL!K:K,""))</f>
        <v>1</v>
      </c>
      <c r="K1101" s="28"/>
      <c r="L1101" s="29"/>
      <c r="M1101" s="28"/>
      <c r="N1101" s="19">
        <f t="shared" si="55"/>
        <v>4</v>
      </c>
      <c r="O1101" s="19">
        <f t="shared" si="55"/>
        <v>4</v>
      </c>
      <c r="P1101" s="19">
        <f t="shared" si="55"/>
        <v>4</v>
      </c>
      <c r="Q1101" s="19">
        <f t="shared" si="55"/>
        <v>4</v>
      </c>
      <c r="X1101" s="92" t="s">
        <v>78</v>
      </c>
      <c r="Y1101" s="92" t="s">
        <v>78</v>
      </c>
      <c r="Z1101" s="92" t="s">
        <v>78</v>
      </c>
    </row>
    <row r="1102" spans="1:26" ht="16" hidden="1" x14ac:dyDescent="0.4">
      <c r="A1102" s="92">
        <v>5494</v>
      </c>
      <c r="B1102" s="92">
        <v>5495</v>
      </c>
      <c r="E1102" s="92">
        <v>50</v>
      </c>
      <c r="F1102" s="92" t="str">
        <f>_xlfn.XLOOKUP(B1102, DATA_Moresby_2024_ALL!B:B, DATA_Moresby_2024_ALL!G:G, "")</f>
        <v>5495_20240611_0007_L_0182.jpg</v>
      </c>
      <c r="G1102" s="93" t="str">
        <f t="shared" ref="G1102:G1165" si="57">HYPERLINK("D:\Data From Lucan\2024\Moresby\Frames_for_Analysis_50\" &amp; F1102,F1102)</f>
        <v>5495_20240611_0007_L_0182.jpg</v>
      </c>
      <c r="H1102" s="92">
        <v>4</v>
      </c>
      <c r="J1102" s="79">
        <f>IF(G1102="","X",_xlfn.XLOOKUP(B1102,DATA_Moresby_2024_ALL!B:B,DATA_Moresby_2024_ALL!K:K,""))</f>
        <v>1</v>
      </c>
      <c r="K1102" s="28"/>
      <c r="L1102" s="29"/>
      <c r="M1102" s="28"/>
      <c r="N1102" s="19">
        <f t="shared" si="55"/>
        <v>4</v>
      </c>
      <c r="O1102" s="19">
        <f t="shared" si="55"/>
        <v>4</v>
      </c>
      <c r="P1102" s="19">
        <f t="shared" si="55"/>
        <v>4</v>
      </c>
      <c r="Q1102" s="19">
        <f t="shared" si="55"/>
        <v>4</v>
      </c>
      <c r="X1102" s="92" t="s">
        <v>78</v>
      </c>
      <c r="Y1102" s="92" t="s">
        <v>78</v>
      </c>
      <c r="Z1102" s="92" t="s">
        <v>78</v>
      </c>
    </row>
    <row r="1103" spans="1:26" ht="16" hidden="1" x14ac:dyDescent="0.4">
      <c r="A1103" s="92">
        <v>5499</v>
      </c>
      <c r="B1103" s="92">
        <v>5500</v>
      </c>
      <c r="E1103" s="92">
        <v>50</v>
      </c>
      <c r="F1103" s="92" t="str">
        <f>_xlfn.XLOOKUP(B1103, DATA_Moresby_2024_ALL!B:B, DATA_Moresby_2024_ALL!G:G, "")</f>
        <v>5500_20240611_0007_L_0196.jpg</v>
      </c>
      <c r="G1103" s="93" t="str">
        <f t="shared" si="57"/>
        <v>5500_20240611_0007_L_0196.jpg</v>
      </c>
      <c r="H1103" s="92">
        <v>4</v>
      </c>
      <c r="J1103" s="79">
        <f>IF(G1103="","X",_xlfn.XLOOKUP(B1103,DATA_Moresby_2024_ALL!B:B,DATA_Moresby_2024_ALL!K:K,""))</f>
        <v>1</v>
      </c>
      <c r="K1103" s="28"/>
      <c r="L1103" s="29"/>
      <c r="M1103" s="28"/>
      <c r="N1103" s="19">
        <f t="shared" si="55"/>
        <v>4</v>
      </c>
      <c r="O1103" s="19">
        <v>3</v>
      </c>
      <c r="P1103" s="19">
        <f t="shared" si="55"/>
        <v>4</v>
      </c>
      <c r="Q1103" s="19">
        <f t="shared" si="55"/>
        <v>4</v>
      </c>
      <c r="X1103" s="92" t="s">
        <v>78</v>
      </c>
      <c r="Y1103" s="92" t="s">
        <v>78</v>
      </c>
      <c r="Z1103" s="92" t="s">
        <v>78</v>
      </c>
    </row>
    <row r="1104" spans="1:26" ht="16" hidden="1" x14ac:dyDescent="0.4">
      <c r="A1104" s="92">
        <v>5504</v>
      </c>
      <c r="B1104" s="92">
        <v>5505</v>
      </c>
      <c r="E1104" s="92">
        <v>50</v>
      </c>
      <c r="F1104" s="92" t="str">
        <f>_xlfn.XLOOKUP(B1104, DATA_Moresby_2024_ALL!B:B, DATA_Moresby_2024_ALL!G:G, "")</f>
        <v>5505_20240611_0007_L_0211.jpg</v>
      </c>
      <c r="G1104" s="93" t="str">
        <f t="shared" si="57"/>
        <v>5505_20240611_0007_L_0211.jpg</v>
      </c>
      <c r="H1104" s="92">
        <v>4</v>
      </c>
      <c r="J1104" s="79">
        <f>IF(G1104="","X",_xlfn.XLOOKUP(B1104,DATA_Moresby_2024_ALL!B:B,DATA_Moresby_2024_ALL!K:K,""))</f>
        <v>1</v>
      </c>
      <c r="K1104" s="28"/>
      <c r="L1104" s="29"/>
      <c r="M1104" s="28"/>
      <c r="N1104" s="19">
        <f t="shared" si="55"/>
        <v>4</v>
      </c>
      <c r="O1104" s="19">
        <f t="shared" si="55"/>
        <v>4</v>
      </c>
      <c r="P1104" s="19">
        <f t="shared" si="55"/>
        <v>4</v>
      </c>
      <c r="Q1104" s="19">
        <f t="shared" si="55"/>
        <v>4</v>
      </c>
      <c r="X1104" s="92" t="s">
        <v>78</v>
      </c>
      <c r="Y1104" s="92" t="s">
        <v>78</v>
      </c>
      <c r="Z1104" s="92" t="s">
        <v>78</v>
      </c>
    </row>
    <row r="1105" spans="1:26" ht="16" hidden="1" x14ac:dyDescent="0.4">
      <c r="A1105" s="92">
        <v>5509</v>
      </c>
      <c r="B1105" s="92">
        <v>5510</v>
      </c>
      <c r="E1105" s="92">
        <v>50</v>
      </c>
      <c r="F1105" s="92" t="str">
        <f>_xlfn.XLOOKUP(B1105, DATA_Moresby_2024_ALL!B:B, DATA_Moresby_2024_ALL!G:G, "")</f>
        <v>5510_20240611_0007_L_0226.jpg</v>
      </c>
      <c r="G1105" s="93" t="str">
        <f t="shared" si="57"/>
        <v>5510_20240611_0007_L_0226.jpg</v>
      </c>
      <c r="H1105" s="92">
        <v>4</v>
      </c>
      <c r="J1105" s="79">
        <f>IF(G1105="","X",_xlfn.XLOOKUP(B1105,DATA_Moresby_2024_ALL!B:B,DATA_Moresby_2024_ALL!K:K,""))</f>
        <v>1</v>
      </c>
      <c r="K1105" s="28"/>
      <c r="L1105" s="29"/>
      <c r="M1105" s="28"/>
      <c r="N1105" s="19">
        <f t="shared" si="55"/>
        <v>4</v>
      </c>
      <c r="O1105" s="19">
        <f t="shared" si="55"/>
        <v>4</v>
      </c>
      <c r="P1105" s="19">
        <f t="shared" si="55"/>
        <v>4</v>
      </c>
      <c r="Q1105" s="19">
        <f t="shared" si="55"/>
        <v>4</v>
      </c>
      <c r="X1105" s="92" t="s">
        <v>78</v>
      </c>
      <c r="Y1105" s="92" t="s">
        <v>78</v>
      </c>
      <c r="Z1105" s="92" t="s">
        <v>78</v>
      </c>
    </row>
    <row r="1106" spans="1:26" ht="16" hidden="1" x14ac:dyDescent="0.4">
      <c r="A1106" s="92">
        <v>5514</v>
      </c>
      <c r="B1106" s="92">
        <v>5515</v>
      </c>
      <c r="E1106" s="92">
        <v>50</v>
      </c>
      <c r="F1106" s="92" t="str">
        <f>_xlfn.XLOOKUP(B1106, DATA_Moresby_2024_ALL!B:B, DATA_Moresby_2024_ALL!G:G, "")</f>
        <v>5515_20240611_0007_L_0240.jpg</v>
      </c>
      <c r="G1106" s="93" t="str">
        <f t="shared" si="57"/>
        <v>5515_20240611_0007_L_0240.jpg</v>
      </c>
      <c r="H1106" s="92">
        <v>4</v>
      </c>
      <c r="J1106" s="79">
        <f>IF(G1106="","X",_xlfn.XLOOKUP(B1106,DATA_Moresby_2024_ALL!B:B,DATA_Moresby_2024_ALL!K:K,""))</f>
        <v>1</v>
      </c>
      <c r="K1106" s="28"/>
      <c r="L1106" s="29"/>
      <c r="M1106" s="28"/>
      <c r="N1106" s="19">
        <f t="shared" si="55"/>
        <v>4</v>
      </c>
      <c r="O1106" s="19">
        <f t="shared" si="55"/>
        <v>4</v>
      </c>
      <c r="P1106" s="19">
        <f t="shared" si="55"/>
        <v>4</v>
      </c>
      <c r="Q1106" s="19">
        <f t="shared" si="55"/>
        <v>4</v>
      </c>
      <c r="X1106" s="92" t="s">
        <v>78</v>
      </c>
      <c r="Y1106" s="92" t="s">
        <v>78</v>
      </c>
      <c r="Z1106" s="92" t="s">
        <v>78</v>
      </c>
    </row>
    <row r="1107" spans="1:26" ht="16" hidden="1" x14ac:dyDescent="0.4">
      <c r="A1107" s="92">
        <v>5519</v>
      </c>
      <c r="B1107" s="92">
        <v>5520</v>
      </c>
      <c r="E1107" s="92">
        <v>50</v>
      </c>
      <c r="F1107" s="92" t="str">
        <f>_xlfn.XLOOKUP(B1107, DATA_Moresby_2024_ALL!B:B, DATA_Moresby_2024_ALL!G:G, "")</f>
        <v>5520_20240611_0007_L_0254.jpg</v>
      </c>
      <c r="G1107" s="93" t="str">
        <f t="shared" si="57"/>
        <v>5520_20240611_0007_L_0254.jpg</v>
      </c>
      <c r="H1107" s="92">
        <v>4</v>
      </c>
      <c r="J1107" s="79">
        <f>IF(G1107="","X",_xlfn.XLOOKUP(B1107,DATA_Moresby_2024_ALL!B:B,DATA_Moresby_2024_ALL!K:K,""))</f>
        <v>1</v>
      </c>
      <c r="K1107" s="28"/>
      <c r="L1107" s="29"/>
      <c r="M1107" s="28"/>
      <c r="N1107" s="19">
        <f t="shared" si="55"/>
        <v>4</v>
      </c>
      <c r="O1107" s="19">
        <f t="shared" si="55"/>
        <v>4</v>
      </c>
      <c r="P1107" s="19">
        <f t="shared" si="55"/>
        <v>4</v>
      </c>
      <c r="Q1107" s="19">
        <f t="shared" si="55"/>
        <v>4</v>
      </c>
      <c r="X1107" s="92" t="s">
        <v>78</v>
      </c>
      <c r="Y1107" s="92" t="s">
        <v>78</v>
      </c>
      <c r="Z1107" s="92" t="s">
        <v>78</v>
      </c>
    </row>
    <row r="1108" spans="1:26" ht="16" hidden="1" x14ac:dyDescent="0.4">
      <c r="A1108" s="92">
        <v>5524</v>
      </c>
      <c r="B1108" s="92">
        <v>5525</v>
      </c>
      <c r="E1108" s="92">
        <v>50</v>
      </c>
      <c r="F1108" s="92" t="str">
        <f>_xlfn.XLOOKUP(B1108, DATA_Moresby_2024_ALL!B:B, DATA_Moresby_2024_ALL!G:G, "")</f>
        <v>5525_20240611_0007_L_0266.jpg</v>
      </c>
      <c r="G1108" s="93" t="str">
        <f t="shared" si="57"/>
        <v>5525_20240611_0007_L_0266.jpg</v>
      </c>
      <c r="H1108" s="92">
        <v>4</v>
      </c>
      <c r="J1108" s="79">
        <f>IF(G1108="","X",_xlfn.XLOOKUP(B1108,DATA_Moresby_2024_ALL!B:B,DATA_Moresby_2024_ALL!K:K,""))</f>
        <v>1</v>
      </c>
      <c r="K1108" s="28"/>
      <c r="L1108" s="29"/>
      <c r="M1108" s="28"/>
      <c r="N1108" s="19">
        <f t="shared" si="55"/>
        <v>4</v>
      </c>
      <c r="O1108" s="19">
        <f t="shared" si="55"/>
        <v>4</v>
      </c>
      <c r="P1108" s="19">
        <f t="shared" si="55"/>
        <v>4</v>
      </c>
      <c r="Q1108" s="19">
        <f t="shared" si="55"/>
        <v>4</v>
      </c>
      <c r="X1108" s="92" t="s">
        <v>78</v>
      </c>
      <c r="Y1108" s="92" t="s">
        <v>78</v>
      </c>
      <c r="Z1108" s="92" t="s">
        <v>78</v>
      </c>
    </row>
    <row r="1109" spans="1:26" ht="16" hidden="1" x14ac:dyDescent="0.4">
      <c r="A1109" s="92">
        <v>5529</v>
      </c>
      <c r="B1109" s="92">
        <v>5530</v>
      </c>
      <c r="E1109" s="92">
        <v>50</v>
      </c>
      <c r="F1109" s="92" t="str">
        <f>_xlfn.XLOOKUP(B1109, DATA_Moresby_2024_ALL!B:B, DATA_Moresby_2024_ALL!G:G, "")</f>
        <v>5530_20240611_0007_L_0281.jpg</v>
      </c>
      <c r="G1109" s="93" t="str">
        <f t="shared" si="57"/>
        <v>5530_20240611_0007_L_0281.jpg</v>
      </c>
      <c r="H1109" s="92">
        <v>4</v>
      </c>
      <c r="J1109" s="79">
        <f>IF(G1109="","X",_xlfn.XLOOKUP(B1109,DATA_Moresby_2024_ALL!B:B,DATA_Moresby_2024_ALL!K:K,""))</f>
        <v>1</v>
      </c>
      <c r="K1109" s="28"/>
      <c r="L1109" s="29"/>
      <c r="M1109" s="28"/>
      <c r="N1109" s="19">
        <v>3</v>
      </c>
      <c r="O1109" s="19">
        <f t="shared" si="55"/>
        <v>4</v>
      </c>
      <c r="P1109" s="19">
        <f t="shared" si="55"/>
        <v>4</v>
      </c>
      <c r="Q1109" s="19">
        <f t="shared" si="55"/>
        <v>4</v>
      </c>
      <c r="X1109" s="92" t="s">
        <v>78</v>
      </c>
      <c r="Y1109" s="92" t="s">
        <v>78</v>
      </c>
      <c r="Z1109" s="92" t="s">
        <v>78</v>
      </c>
    </row>
    <row r="1110" spans="1:26" ht="16" hidden="1" x14ac:dyDescent="0.4">
      <c r="A1110" s="92">
        <v>5534</v>
      </c>
      <c r="B1110" s="92">
        <v>5535</v>
      </c>
      <c r="E1110" s="92">
        <v>50</v>
      </c>
      <c r="F1110" s="92" t="str">
        <f>_xlfn.XLOOKUP(B1110, DATA_Moresby_2024_ALL!B:B, DATA_Moresby_2024_ALL!G:G, "")</f>
        <v>5535_20240611_0007_L_0295.jpg</v>
      </c>
      <c r="G1110" s="93" t="str">
        <f t="shared" si="57"/>
        <v>5535_20240611_0007_L_0295.jpg</v>
      </c>
      <c r="H1110" s="92">
        <v>4</v>
      </c>
      <c r="J1110" s="79">
        <f>IF(G1110="","X",_xlfn.XLOOKUP(B1110,DATA_Moresby_2024_ALL!B:B,DATA_Moresby_2024_ALL!K:K,""))</f>
        <v>1</v>
      </c>
      <c r="K1110" s="28"/>
      <c r="L1110" s="29"/>
      <c r="M1110" s="28"/>
      <c r="N1110" s="19">
        <f t="shared" si="55"/>
        <v>4</v>
      </c>
      <c r="O1110" s="19">
        <f t="shared" si="55"/>
        <v>4</v>
      </c>
      <c r="P1110" s="19">
        <f t="shared" si="55"/>
        <v>4</v>
      </c>
      <c r="Q1110" s="19">
        <f t="shared" si="55"/>
        <v>4</v>
      </c>
      <c r="X1110" s="92" t="s">
        <v>78</v>
      </c>
      <c r="Y1110" s="92" t="s">
        <v>78</v>
      </c>
      <c r="Z1110" s="92" t="s">
        <v>78</v>
      </c>
    </row>
    <row r="1111" spans="1:26" ht="16" hidden="1" x14ac:dyDescent="0.4">
      <c r="A1111" s="92">
        <v>5539</v>
      </c>
      <c r="B1111" s="92">
        <v>5540</v>
      </c>
      <c r="E1111" s="92">
        <v>50</v>
      </c>
      <c r="F1111" s="92" t="str">
        <f>_xlfn.XLOOKUP(B1111, DATA_Moresby_2024_ALL!B:B, DATA_Moresby_2024_ALL!G:G, "")</f>
        <v>5540_20240611_0007_L_0310.jpg</v>
      </c>
      <c r="G1111" s="93" t="str">
        <f t="shared" si="57"/>
        <v>5540_20240611_0007_L_0310.jpg</v>
      </c>
      <c r="H1111" s="92">
        <v>4</v>
      </c>
      <c r="J1111" s="79">
        <f>IF(G1111="","X",_xlfn.XLOOKUP(B1111,DATA_Moresby_2024_ALL!B:B,DATA_Moresby_2024_ALL!K:K,""))</f>
        <v>1</v>
      </c>
      <c r="K1111" s="28"/>
      <c r="L1111" s="29"/>
      <c r="M1111" s="28"/>
      <c r="N1111" s="19">
        <f t="shared" si="55"/>
        <v>4</v>
      </c>
      <c r="O1111" s="19">
        <f t="shared" si="55"/>
        <v>4</v>
      </c>
      <c r="P1111" s="19">
        <f t="shared" si="55"/>
        <v>4</v>
      </c>
      <c r="Q1111" s="19">
        <f t="shared" si="55"/>
        <v>4</v>
      </c>
      <c r="X1111" s="92" t="s">
        <v>78</v>
      </c>
      <c r="Y1111" s="92" t="s">
        <v>78</v>
      </c>
      <c r="Z1111" s="92" t="s">
        <v>78</v>
      </c>
    </row>
    <row r="1112" spans="1:26" ht="16" hidden="1" x14ac:dyDescent="0.4">
      <c r="A1112" s="92">
        <v>5544</v>
      </c>
      <c r="B1112" s="92">
        <v>5545</v>
      </c>
      <c r="E1112" s="92">
        <v>50</v>
      </c>
      <c r="F1112" s="92" t="str">
        <f>_xlfn.XLOOKUP(B1112, DATA_Moresby_2024_ALL!B:B, DATA_Moresby_2024_ALL!G:G, "")</f>
        <v>5545_20240611_0007_L_0324.jpg</v>
      </c>
      <c r="G1112" s="93" t="str">
        <f t="shared" si="57"/>
        <v>5545_20240611_0007_L_0324.jpg</v>
      </c>
      <c r="H1112" s="92">
        <v>4</v>
      </c>
      <c r="J1112" s="79">
        <f>IF(G1112="","X",_xlfn.XLOOKUP(B1112,DATA_Moresby_2024_ALL!B:B,DATA_Moresby_2024_ALL!K:K,""))</f>
        <v>1</v>
      </c>
      <c r="K1112" s="28"/>
      <c r="L1112" s="29"/>
      <c r="M1112" s="28"/>
      <c r="N1112" s="19">
        <f t="shared" si="55"/>
        <v>4</v>
      </c>
      <c r="O1112" s="19">
        <v>3</v>
      </c>
      <c r="P1112" s="19">
        <f t="shared" si="55"/>
        <v>4</v>
      </c>
      <c r="Q1112" s="19">
        <f t="shared" si="55"/>
        <v>4</v>
      </c>
      <c r="X1112" s="92" t="s">
        <v>78</v>
      </c>
      <c r="Y1112" s="92" t="s">
        <v>78</v>
      </c>
      <c r="Z1112" s="92" t="s">
        <v>78</v>
      </c>
    </row>
    <row r="1113" spans="1:26" ht="16" hidden="1" x14ac:dyDescent="0.4">
      <c r="A1113" s="92">
        <v>5549</v>
      </c>
      <c r="B1113" s="92">
        <v>5550</v>
      </c>
      <c r="E1113" s="92">
        <v>50</v>
      </c>
      <c r="F1113" s="92" t="str">
        <f>_xlfn.XLOOKUP(B1113, DATA_Moresby_2024_ALL!B:B, DATA_Moresby_2024_ALL!G:G, "")</f>
        <v>5550_20240611_0007_L_0337.jpg</v>
      </c>
      <c r="G1113" s="93" t="str">
        <f t="shared" si="57"/>
        <v>5550_20240611_0007_L_0337.jpg</v>
      </c>
      <c r="H1113" s="92">
        <v>4</v>
      </c>
      <c r="J1113" s="79">
        <f>IF(G1113="","X",_xlfn.XLOOKUP(B1113,DATA_Moresby_2024_ALL!B:B,DATA_Moresby_2024_ALL!K:K,""))</f>
        <v>1</v>
      </c>
      <c r="K1113" s="28"/>
      <c r="L1113" s="29"/>
      <c r="M1113" s="28"/>
      <c r="N1113" s="19">
        <f t="shared" si="55"/>
        <v>4</v>
      </c>
      <c r="O1113" s="19">
        <f t="shared" si="55"/>
        <v>4</v>
      </c>
      <c r="P1113" s="19">
        <f t="shared" si="55"/>
        <v>4</v>
      </c>
      <c r="Q1113" s="19">
        <f t="shared" si="55"/>
        <v>4</v>
      </c>
      <c r="X1113" s="92" t="s">
        <v>78</v>
      </c>
      <c r="Y1113" s="92" t="s">
        <v>78</v>
      </c>
      <c r="Z1113" s="92" t="s">
        <v>78</v>
      </c>
    </row>
    <row r="1114" spans="1:26" ht="16" hidden="1" x14ac:dyDescent="0.4">
      <c r="A1114" s="92">
        <v>5554</v>
      </c>
      <c r="B1114" s="92">
        <v>5555</v>
      </c>
      <c r="E1114" s="92">
        <v>50</v>
      </c>
      <c r="F1114" s="92" t="str">
        <f>_xlfn.XLOOKUP(B1114, DATA_Moresby_2024_ALL!B:B, DATA_Moresby_2024_ALL!G:G, "")</f>
        <v>5555_20240611_0007_L_0349.jpg</v>
      </c>
      <c r="G1114" s="93" t="str">
        <f t="shared" si="57"/>
        <v>5555_20240611_0007_L_0349.jpg</v>
      </c>
      <c r="H1114" s="92">
        <v>4</v>
      </c>
      <c r="J1114" s="79">
        <f>IF(G1114="","X",_xlfn.XLOOKUP(B1114,DATA_Moresby_2024_ALL!B:B,DATA_Moresby_2024_ALL!K:K,""))</f>
        <v>1</v>
      </c>
      <c r="K1114" s="28"/>
      <c r="L1114" s="29"/>
      <c r="M1114" s="28"/>
      <c r="N1114" s="19">
        <v>2</v>
      </c>
      <c r="O1114" s="19">
        <v>2</v>
      </c>
      <c r="P1114" s="19">
        <f t="shared" si="55"/>
        <v>4</v>
      </c>
      <c r="Q1114" s="19">
        <f t="shared" si="55"/>
        <v>4</v>
      </c>
      <c r="X1114" s="92" t="s">
        <v>78</v>
      </c>
      <c r="Y1114" s="92" t="s">
        <v>78</v>
      </c>
      <c r="Z1114" s="92" t="s">
        <v>78</v>
      </c>
    </row>
    <row r="1115" spans="1:26" ht="16" hidden="1" x14ac:dyDescent="0.4">
      <c r="A1115" s="92">
        <v>5559</v>
      </c>
      <c r="B1115" s="92">
        <v>5560</v>
      </c>
      <c r="E1115" s="92">
        <v>50</v>
      </c>
      <c r="F1115" s="92" t="str">
        <f>_xlfn.XLOOKUP(B1115, DATA_Moresby_2024_ALL!B:B, DATA_Moresby_2024_ALL!G:G, "")</f>
        <v>5560_20240611_0007_L_0364.jpg</v>
      </c>
      <c r="G1115" s="93" t="str">
        <f t="shared" si="57"/>
        <v>5560_20240611_0007_L_0364.jpg</v>
      </c>
      <c r="H1115" s="92">
        <v>4</v>
      </c>
      <c r="I1115" s="92" t="str">
        <f t="shared" ref="I1115:I1119" si="58">IF(G1115="","X","")</f>
        <v/>
      </c>
      <c r="J1115" s="79">
        <f>IF(G1115="","X",_xlfn.XLOOKUP(B1115,DATA_Moresby_2024_ALL!B:B,DATA_Moresby_2024_ALL!K:K,""))</f>
        <v>0</v>
      </c>
      <c r="K1115" s="28"/>
      <c r="L1115" s="29"/>
      <c r="M1115" s="28"/>
      <c r="N1115" s="19"/>
      <c r="O1115" s="19"/>
      <c r="P1115" s="19" t="str">
        <f t="shared" si="55"/>
        <v/>
      </c>
      <c r="Q1115" s="19"/>
      <c r="X1115" s="92" t="s">
        <v>78</v>
      </c>
      <c r="Y1115" s="92" t="s">
        <v>78</v>
      </c>
      <c r="Z1115" s="92" t="s">
        <v>78</v>
      </c>
    </row>
    <row r="1116" spans="1:26" ht="16" hidden="1" x14ac:dyDescent="0.4">
      <c r="A1116" s="92">
        <v>5564</v>
      </c>
      <c r="B1116" s="92">
        <v>5565</v>
      </c>
      <c r="E1116" s="92">
        <v>50</v>
      </c>
      <c r="F1116" s="92" t="str">
        <f>_xlfn.XLOOKUP(B1116, DATA_Moresby_2024_ALL!B:B, DATA_Moresby_2024_ALL!G:G, "")</f>
        <v>5565_20240611_0007_L_0376.jpg</v>
      </c>
      <c r="G1116" s="93" t="str">
        <f t="shared" si="57"/>
        <v>5565_20240611_0007_L_0376.jpg</v>
      </c>
      <c r="H1116" s="92">
        <v>4</v>
      </c>
      <c r="I1116" s="92" t="str">
        <f t="shared" si="58"/>
        <v/>
      </c>
      <c r="J1116" s="79">
        <f>IF(G1116="","X",_xlfn.XLOOKUP(B1116,DATA_Moresby_2024_ALL!B:B,DATA_Moresby_2024_ALL!K:K,""))</f>
        <v>0</v>
      </c>
      <c r="K1116" s="28"/>
      <c r="L1116" s="29"/>
      <c r="M1116" s="28"/>
      <c r="N1116" s="19"/>
      <c r="O1116" s="19"/>
      <c r="P1116" s="19" t="str">
        <f t="shared" si="55"/>
        <v/>
      </c>
      <c r="Q1116" s="19"/>
      <c r="X1116" s="92" t="s">
        <v>78</v>
      </c>
      <c r="Y1116" s="92" t="s">
        <v>78</v>
      </c>
      <c r="Z1116" s="92" t="s">
        <v>78</v>
      </c>
    </row>
    <row r="1117" spans="1:26" ht="16" hidden="1" x14ac:dyDescent="0.4">
      <c r="A1117" s="92">
        <v>5569</v>
      </c>
      <c r="B1117" s="92">
        <v>5570</v>
      </c>
      <c r="E1117" s="92">
        <v>50</v>
      </c>
      <c r="F1117" s="92" t="str">
        <f>_xlfn.XLOOKUP(B1117, DATA_Moresby_2024_ALL!B:B, DATA_Moresby_2024_ALL!G:G, "")</f>
        <v>5570_20240611_0007_L_0387.jpg</v>
      </c>
      <c r="G1117" s="93" t="str">
        <f t="shared" si="57"/>
        <v>5570_20240611_0007_L_0387.jpg</v>
      </c>
      <c r="H1117" s="92">
        <v>4</v>
      </c>
      <c r="I1117" s="92" t="str">
        <f t="shared" si="58"/>
        <v/>
      </c>
      <c r="J1117" s="79">
        <f>IF(G1117="","X",_xlfn.XLOOKUP(B1117,DATA_Moresby_2024_ALL!B:B,DATA_Moresby_2024_ALL!K:K,""))</f>
        <v>0</v>
      </c>
      <c r="K1117" s="28"/>
      <c r="L1117" s="29"/>
      <c r="M1117" s="28"/>
      <c r="N1117" s="19"/>
      <c r="O1117" s="19"/>
      <c r="P1117" s="19" t="str">
        <f t="shared" si="55"/>
        <v/>
      </c>
      <c r="Q1117" s="19"/>
      <c r="X1117" s="92" t="s">
        <v>78</v>
      </c>
      <c r="Y1117" s="92" t="s">
        <v>78</v>
      </c>
      <c r="Z1117" s="92" t="s">
        <v>78</v>
      </c>
    </row>
    <row r="1118" spans="1:26" ht="16" hidden="1" x14ac:dyDescent="0.4">
      <c r="A1118" s="92">
        <v>5574</v>
      </c>
      <c r="B1118" s="92">
        <v>5575</v>
      </c>
      <c r="E1118" s="92">
        <v>50</v>
      </c>
      <c r="F1118" s="92" t="str">
        <f>_xlfn.XLOOKUP(B1118, DATA_Moresby_2024_ALL!B:B, DATA_Moresby_2024_ALL!G:G, "")</f>
        <v>5575_20240611_0007_L_0399.jpg</v>
      </c>
      <c r="G1118" s="93" t="str">
        <f t="shared" si="57"/>
        <v>5575_20240611_0007_L_0399.jpg</v>
      </c>
      <c r="H1118" s="92">
        <v>4</v>
      </c>
      <c r="I1118" s="92" t="str">
        <f t="shared" si="58"/>
        <v/>
      </c>
      <c r="J1118" s="79">
        <f>IF(G1118="","X",_xlfn.XLOOKUP(B1118,DATA_Moresby_2024_ALL!B:B,DATA_Moresby_2024_ALL!K:K,""))</f>
        <v>0</v>
      </c>
      <c r="K1118" s="28"/>
      <c r="L1118" s="29"/>
      <c r="M1118" s="28"/>
      <c r="N1118" s="19"/>
      <c r="O1118" s="19"/>
      <c r="P1118" s="19" t="str">
        <f t="shared" ref="O1118:Q1180" si="59">IF($J1118=1,4,"")</f>
        <v/>
      </c>
      <c r="Q1118" s="19"/>
      <c r="X1118" s="92" t="s">
        <v>78</v>
      </c>
      <c r="Y1118" s="92" t="s">
        <v>78</v>
      </c>
      <c r="Z1118" s="92" t="s">
        <v>78</v>
      </c>
    </row>
    <row r="1119" spans="1:26" ht="16" hidden="1" x14ac:dyDescent="0.4">
      <c r="A1119" s="92">
        <v>5579</v>
      </c>
      <c r="B1119" s="92">
        <v>5580</v>
      </c>
      <c r="E1119" s="92">
        <v>50</v>
      </c>
      <c r="F1119" s="92" t="str">
        <f>_xlfn.XLOOKUP(B1119, DATA_Moresby_2024_ALL!B:B, DATA_Moresby_2024_ALL!G:G, "")</f>
        <v>5580_20240611_0007_L_0413.jpg</v>
      </c>
      <c r="G1119" s="93" t="str">
        <f t="shared" si="57"/>
        <v>5580_20240611_0007_L_0413.jpg</v>
      </c>
      <c r="H1119" s="92">
        <v>4</v>
      </c>
      <c r="I1119" s="92" t="str">
        <f t="shared" si="58"/>
        <v/>
      </c>
      <c r="J1119" s="79">
        <f>IF(G1119="","X",_xlfn.XLOOKUP(B1119,DATA_Moresby_2024_ALL!B:B,DATA_Moresby_2024_ALL!K:K,""))</f>
        <v>0</v>
      </c>
      <c r="K1119" s="28"/>
      <c r="L1119" s="29"/>
      <c r="M1119" s="28"/>
      <c r="N1119" s="19"/>
      <c r="O1119" s="19"/>
      <c r="P1119" s="19" t="str">
        <f t="shared" si="59"/>
        <v/>
      </c>
      <c r="Q1119" s="19"/>
      <c r="X1119" s="92" t="s">
        <v>78</v>
      </c>
      <c r="Y1119" s="92" t="s">
        <v>78</v>
      </c>
      <c r="Z1119" s="92" t="s">
        <v>78</v>
      </c>
    </row>
    <row r="1120" spans="1:26" ht="16" hidden="1" x14ac:dyDescent="0.4">
      <c r="A1120" s="92">
        <v>5584</v>
      </c>
      <c r="B1120" s="92">
        <v>5585</v>
      </c>
      <c r="E1120" s="92">
        <v>50</v>
      </c>
      <c r="F1120" s="92" t="str">
        <f>_xlfn.XLOOKUP(B1120, DATA_Moresby_2024_ALL!B:B, DATA_Moresby_2024_ALL!G:G, "")</f>
        <v>5585_20240611_0007_L_0429.jpg</v>
      </c>
      <c r="G1120" s="93" t="str">
        <f t="shared" si="57"/>
        <v>5585_20240611_0007_L_0429.jpg</v>
      </c>
      <c r="H1120" s="92">
        <v>4</v>
      </c>
      <c r="J1120" s="79">
        <f>IF(G1120="","X",_xlfn.XLOOKUP(B1120,DATA_Moresby_2024_ALL!B:B,DATA_Moresby_2024_ALL!K:K,""))</f>
        <v>1</v>
      </c>
      <c r="K1120" s="28"/>
      <c r="L1120" s="29"/>
      <c r="M1120" s="28"/>
      <c r="N1120" s="19">
        <v>3</v>
      </c>
      <c r="O1120" s="19">
        <f t="shared" si="59"/>
        <v>4</v>
      </c>
      <c r="P1120" s="19">
        <f t="shared" si="59"/>
        <v>4</v>
      </c>
      <c r="Q1120" s="19">
        <v>3</v>
      </c>
      <c r="X1120" s="92" t="s">
        <v>78</v>
      </c>
      <c r="Y1120" s="92" t="s">
        <v>78</v>
      </c>
      <c r="Z1120" s="92" t="s">
        <v>78</v>
      </c>
    </row>
    <row r="1121" spans="1:26" ht="16" hidden="1" x14ac:dyDescent="0.4">
      <c r="A1121" s="92">
        <v>5589</v>
      </c>
      <c r="B1121" s="92">
        <v>5590</v>
      </c>
      <c r="E1121" s="92">
        <v>50</v>
      </c>
      <c r="F1121" s="92" t="str">
        <f>_xlfn.XLOOKUP(B1121, DATA_Moresby_2024_ALL!B:B, DATA_Moresby_2024_ALL!G:G, "")</f>
        <v>5590_20240611_0007_L_0445.jpg</v>
      </c>
      <c r="G1121" s="93" t="str">
        <f t="shared" si="57"/>
        <v>5590_20240611_0007_L_0445.jpg</v>
      </c>
      <c r="H1121" s="92">
        <v>4</v>
      </c>
      <c r="J1121" s="79">
        <f>IF(G1121="","X",_xlfn.XLOOKUP(B1121,DATA_Moresby_2024_ALL!B:B,DATA_Moresby_2024_ALL!K:K,""))</f>
        <v>1</v>
      </c>
      <c r="K1121" s="28"/>
      <c r="L1121" s="29"/>
      <c r="M1121" s="28"/>
      <c r="N1121" s="19">
        <f t="shared" ref="N1121:P1181" si="60">IF($J1121=1,4,"")</f>
        <v>4</v>
      </c>
      <c r="O1121" s="19">
        <f t="shared" si="59"/>
        <v>4</v>
      </c>
      <c r="P1121" s="19">
        <f t="shared" si="59"/>
        <v>4</v>
      </c>
      <c r="Q1121" s="19">
        <f t="shared" si="59"/>
        <v>4</v>
      </c>
      <c r="X1121" s="92" t="s">
        <v>78</v>
      </c>
      <c r="Y1121" s="92" t="s">
        <v>78</v>
      </c>
      <c r="Z1121" s="92" t="s">
        <v>78</v>
      </c>
    </row>
    <row r="1122" spans="1:26" ht="16" hidden="1" x14ac:dyDescent="0.4">
      <c r="A1122" s="92">
        <v>5594</v>
      </c>
      <c r="B1122" s="92">
        <v>5595</v>
      </c>
      <c r="E1122" s="92">
        <v>50</v>
      </c>
      <c r="F1122" s="92" t="str">
        <f>_xlfn.XLOOKUP(B1122, DATA_Moresby_2024_ALL!B:B, DATA_Moresby_2024_ALL!G:G, "")</f>
        <v>5595_20240611_0007_L_0461.jpg</v>
      </c>
      <c r="G1122" s="93" t="str">
        <f t="shared" si="57"/>
        <v>5595_20240611_0007_L_0461.jpg</v>
      </c>
      <c r="H1122" s="92">
        <v>4</v>
      </c>
      <c r="J1122" s="79">
        <f>IF(G1122="","X",_xlfn.XLOOKUP(B1122,DATA_Moresby_2024_ALL!B:B,DATA_Moresby_2024_ALL!K:K,""))</f>
        <v>1</v>
      </c>
      <c r="K1122" s="28"/>
      <c r="L1122" s="29"/>
      <c r="M1122" s="28"/>
      <c r="N1122" s="19">
        <f t="shared" si="60"/>
        <v>4</v>
      </c>
      <c r="O1122" s="19">
        <v>3</v>
      </c>
      <c r="P1122" s="19">
        <f t="shared" si="59"/>
        <v>4</v>
      </c>
      <c r="Q1122" s="19">
        <f t="shared" si="59"/>
        <v>4</v>
      </c>
      <c r="X1122" s="92" t="s">
        <v>78</v>
      </c>
      <c r="Y1122" s="92" t="s">
        <v>78</v>
      </c>
      <c r="Z1122" s="92" t="s">
        <v>78</v>
      </c>
    </row>
    <row r="1123" spans="1:26" ht="16" hidden="1" x14ac:dyDescent="0.4">
      <c r="A1123" s="92">
        <v>5599</v>
      </c>
      <c r="B1123" s="92">
        <v>5600</v>
      </c>
      <c r="E1123" s="92">
        <v>50</v>
      </c>
      <c r="F1123" s="92" t="str">
        <f>_xlfn.XLOOKUP(B1123, DATA_Moresby_2024_ALL!B:B, DATA_Moresby_2024_ALL!G:G, "")</f>
        <v>5600_20240611_0007_L_0476.jpg</v>
      </c>
      <c r="G1123" s="93" t="str">
        <f t="shared" si="57"/>
        <v>5600_20240611_0007_L_0476.jpg</v>
      </c>
      <c r="H1123" s="92">
        <v>4</v>
      </c>
      <c r="J1123" s="79">
        <f>IF(G1123="","X",_xlfn.XLOOKUP(B1123,DATA_Moresby_2024_ALL!B:B,DATA_Moresby_2024_ALL!K:K,""))</f>
        <v>1</v>
      </c>
      <c r="K1123" s="28"/>
      <c r="L1123" s="29"/>
      <c r="M1123" s="28"/>
      <c r="N1123" s="19">
        <f t="shared" si="60"/>
        <v>4</v>
      </c>
      <c r="O1123" s="19">
        <v>3</v>
      </c>
      <c r="P1123" s="19">
        <f t="shared" si="59"/>
        <v>4</v>
      </c>
      <c r="Q1123" s="19">
        <f t="shared" si="59"/>
        <v>4</v>
      </c>
      <c r="X1123" s="92" t="s">
        <v>78</v>
      </c>
      <c r="Y1123" s="92" t="s">
        <v>78</v>
      </c>
      <c r="Z1123" s="92" t="s">
        <v>78</v>
      </c>
    </row>
    <row r="1124" spans="1:26" ht="16" hidden="1" x14ac:dyDescent="0.4">
      <c r="A1124" s="92">
        <v>5604</v>
      </c>
      <c r="B1124" s="92">
        <v>5605</v>
      </c>
      <c r="E1124" s="92">
        <v>50</v>
      </c>
      <c r="F1124" s="92" t="str">
        <f>_xlfn.XLOOKUP(B1124, DATA_Moresby_2024_ALL!B:B, DATA_Moresby_2024_ALL!G:G, "")</f>
        <v>5605_20240611_0007_L_0491.jpg</v>
      </c>
      <c r="G1124" s="93" t="str">
        <f t="shared" si="57"/>
        <v>5605_20240611_0007_L_0491.jpg</v>
      </c>
      <c r="H1124" s="92">
        <v>4</v>
      </c>
      <c r="J1124" s="79">
        <f>IF(G1124="","X",_xlfn.XLOOKUP(B1124,DATA_Moresby_2024_ALL!B:B,DATA_Moresby_2024_ALL!K:K,""))</f>
        <v>1</v>
      </c>
      <c r="K1124" s="28"/>
      <c r="L1124" s="29"/>
      <c r="M1124" s="28"/>
      <c r="N1124" s="19">
        <v>3</v>
      </c>
      <c r="O1124" s="19">
        <f t="shared" si="59"/>
        <v>4</v>
      </c>
      <c r="P1124" s="19">
        <f t="shared" si="59"/>
        <v>4</v>
      </c>
      <c r="Q1124" s="19">
        <f t="shared" si="59"/>
        <v>4</v>
      </c>
      <c r="X1124" s="92" t="s">
        <v>78</v>
      </c>
      <c r="Y1124" s="92" t="s">
        <v>78</v>
      </c>
      <c r="Z1124" s="92" t="s">
        <v>78</v>
      </c>
    </row>
    <row r="1125" spans="1:26" ht="16" hidden="1" x14ac:dyDescent="0.4">
      <c r="A1125" s="92">
        <v>5609</v>
      </c>
      <c r="B1125" s="92">
        <v>5610</v>
      </c>
      <c r="E1125" s="92">
        <v>50</v>
      </c>
      <c r="F1125" s="92" t="str">
        <f>_xlfn.XLOOKUP(B1125, DATA_Moresby_2024_ALL!B:B, DATA_Moresby_2024_ALL!G:G, "")</f>
        <v>5610_20240611_0007_L_0506.jpg</v>
      </c>
      <c r="G1125" s="93" t="str">
        <f t="shared" si="57"/>
        <v>5610_20240611_0007_L_0506.jpg</v>
      </c>
      <c r="H1125" s="92">
        <v>4</v>
      </c>
      <c r="J1125" s="79">
        <f>IF(G1125="","X",_xlfn.XLOOKUP(B1125,DATA_Moresby_2024_ALL!B:B,DATA_Moresby_2024_ALL!K:K,""))</f>
        <v>1</v>
      </c>
      <c r="K1125" s="28"/>
      <c r="L1125" s="29"/>
      <c r="M1125" s="28"/>
      <c r="N1125" s="19">
        <v>3</v>
      </c>
      <c r="O1125" s="19">
        <f t="shared" si="59"/>
        <v>4</v>
      </c>
      <c r="P1125" s="19">
        <f t="shared" si="59"/>
        <v>4</v>
      </c>
      <c r="Q1125" s="19">
        <f t="shared" si="59"/>
        <v>4</v>
      </c>
      <c r="X1125" s="92" t="s">
        <v>78</v>
      </c>
      <c r="Y1125" s="92" t="s">
        <v>78</v>
      </c>
      <c r="Z1125" s="92" t="s">
        <v>78</v>
      </c>
    </row>
    <row r="1126" spans="1:26" ht="16" hidden="1" x14ac:dyDescent="0.4">
      <c r="A1126" s="92">
        <v>5614</v>
      </c>
      <c r="B1126" s="92">
        <v>5615</v>
      </c>
      <c r="E1126" s="92">
        <v>50</v>
      </c>
      <c r="F1126" s="92" t="str">
        <f>_xlfn.XLOOKUP(B1126, DATA_Moresby_2024_ALL!B:B, DATA_Moresby_2024_ALL!G:G, "")</f>
        <v>5615_20240611_0007_L_0522.jpg</v>
      </c>
      <c r="G1126" s="93" t="str">
        <f t="shared" si="57"/>
        <v>5615_20240611_0007_L_0522.jpg</v>
      </c>
      <c r="H1126" s="92">
        <v>4</v>
      </c>
      <c r="J1126" s="79">
        <f>IF(G1126="","X",_xlfn.XLOOKUP(B1126,DATA_Moresby_2024_ALL!B:B,DATA_Moresby_2024_ALL!K:K,""))</f>
        <v>1</v>
      </c>
      <c r="K1126" s="28"/>
      <c r="L1126" s="29"/>
      <c r="M1126" s="28"/>
      <c r="N1126" s="19">
        <f t="shared" si="60"/>
        <v>4</v>
      </c>
      <c r="O1126" s="19">
        <v>3</v>
      </c>
      <c r="P1126" s="19">
        <f t="shared" si="59"/>
        <v>4</v>
      </c>
      <c r="Q1126" s="19">
        <f t="shared" si="59"/>
        <v>4</v>
      </c>
      <c r="X1126" s="92" t="s">
        <v>78</v>
      </c>
      <c r="Y1126" s="92" t="s">
        <v>78</v>
      </c>
      <c r="Z1126" s="92" t="s">
        <v>78</v>
      </c>
    </row>
    <row r="1127" spans="1:26" ht="16" hidden="1" x14ac:dyDescent="0.4">
      <c r="A1127" s="92">
        <v>5619</v>
      </c>
      <c r="B1127" s="92">
        <v>5620</v>
      </c>
      <c r="E1127" s="92">
        <v>50</v>
      </c>
      <c r="F1127" s="92" t="str">
        <f>_xlfn.XLOOKUP(B1127, DATA_Moresby_2024_ALL!B:B, DATA_Moresby_2024_ALL!G:G, "")</f>
        <v>5620_20240611_0007_L_0535.jpg</v>
      </c>
      <c r="G1127" s="93" t="str">
        <f t="shared" si="57"/>
        <v>5620_20240611_0007_L_0535.jpg</v>
      </c>
      <c r="H1127" s="92">
        <v>4</v>
      </c>
      <c r="J1127" s="79">
        <f>IF(G1127="","X",_xlfn.XLOOKUP(B1127,DATA_Moresby_2024_ALL!B:B,DATA_Moresby_2024_ALL!K:K,""))</f>
        <v>1</v>
      </c>
      <c r="K1127" s="28"/>
      <c r="L1127" s="29"/>
      <c r="M1127" s="28"/>
      <c r="N1127" s="19">
        <f t="shared" si="60"/>
        <v>4</v>
      </c>
      <c r="O1127" s="19">
        <f t="shared" si="59"/>
        <v>4</v>
      </c>
      <c r="P1127" s="19">
        <f t="shared" si="59"/>
        <v>4</v>
      </c>
      <c r="Q1127" s="19">
        <f t="shared" si="59"/>
        <v>4</v>
      </c>
      <c r="X1127" s="92" t="s">
        <v>78</v>
      </c>
      <c r="Y1127" s="92" t="s">
        <v>78</v>
      </c>
      <c r="Z1127" s="92" t="s">
        <v>78</v>
      </c>
    </row>
    <row r="1128" spans="1:26" ht="16" hidden="1" x14ac:dyDescent="0.4">
      <c r="A1128" s="92">
        <v>5624</v>
      </c>
      <c r="B1128" s="92">
        <v>5625</v>
      </c>
      <c r="E1128" s="92">
        <v>50</v>
      </c>
      <c r="F1128" s="92" t="str">
        <f>_xlfn.XLOOKUP(B1128, DATA_Moresby_2024_ALL!B:B, DATA_Moresby_2024_ALL!G:G, "")</f>
        <v>5625_20240611_0007_L_0548.jpg</v>
      </c>
      <c r="G1128" s="93" t="str">
        <f t="shared" si="57"/>
        <v>5625_20240611_0007_L_0548.jpg</v>
      </c>
      <c r="H1128" s="92">
        <v>4</v>
      </c>
      <c r="J1128" s="79">
        <f>IF(G1128="","X",_xlfn.XLOOKUP(B1128,DATA_Moresby_2024_ALL!B:B,DATA_Moresby_2024_ALL!K:K,""))</f>
        <v>1</v>
      </c>
      <c r="K1128" s="28"/>
      <c r="L1128" s="29"/>
      <c r="M1128" s="28"/>
      <c r="N1128" s="19">
        <f t="shared" si="60"/>
        <v>4</v>
      </c>
      <c r="O1128" s="19">
        <f t="shared" si="59"/>
        <v>4</v>
      </c>
      <c r="P1128" s="19">
        <f t="shared" si="59"/>
        <v>4</v>
      </c>
      <c r="Q1128" s="19">
        <f t="shared" si="59"/>
        <v>4</v>
      </c>
      <c r="X1128" s="92" t="s">
        <v>78</v>
      </c>
      <c r="Y1128" s="92" t="s">
        <v>78</v>
      </c>
      <c r="Z1128" s="92" t="s">
        <v>78</v>
      </c>
    </row>
    <row r="1129" spans="1:26" ht="16" hidden="1" x14ac:dyDescent="0.4">
      <c r="A1129" s="92">
        <v>5629</v>
      </c>
      <c r="B1129" s="92">
        <v>5630</v>
      </c>
      <c r="E1129" s="92">
        <v>50</v>
      </c>
      <c r="F1129" s="92" t="str">
        <f>_xlfn.XLOOKUP(B1129, DATA_Moresby_2024_ALL!B:B, DATA_Moresby_2024_ALL!G:G, "")</f>
        <v>5630_20240611_0007_L_0563.jpg</v>
      </c>
      <c r="G1129" s="93" t="str">
        <f t="shared" si="57"/>
        <v>5630_20240611_0007_L_0563.jpg</v>
      </c>
      <c r="H1129" s="92">
        <v>4</v>
      </c>
      <c r="I1129" s="92" t="str">
        <f>IF(G1129="","X","")</f>
        <v/>
      </c>
      <c r="J1129" s="79">
        <f>IF(G1129="","X",_xlfn.XLOOKUP(B1129,DATA_Moresby_2024_ALL!B:B,DATA_Moresby_2024_ALL!K:K,""))</f>
        <v>0</v>
      </c>
      <c r="K1129" s="28"/>
      <c r="L1129" s="29"/>
      <c r="M1129" s="28"/>
      <c r="N1129" s="19"/>
      <c r="O1129" s="19"/>
      <c r="P1129" s="19" t="str">
        <f t="shared" si="59"/>
        <v/>
      </c>
      <c r="Q1129" s="19"/>
      <c r="X1129" s="92" t="s">
        <v>78</v>
      </c>
      <c r="Y1129" s="92" t="s">
        <v>78</v>
      </c>
      <c r="Z1129" s="92" t="s">
        <v>78</v>
      </c>
    </row>
    <row r="1130" spans="1:26" ht="16" hidden="1" x14ac:dyDescent="0.4">
      <c r="A1130" s="92">
        <v>5634</v>
      </c>
      <c r="B1130" s="92">
        <v>5635</v>
      </c>
      <c r="E1130" s="92">
        <v>50</v>
      </c>
      <c r="F1130" s="92" t="str">
        <f>_xlfn.XLOOKUP(B1130, DATA_Moresby_2024_ALL!B:B, DATA_Moresby_2024_ALL!G:G, "")</f>
        <v>5635_20240611_0007_L_0578.jpg</v>
      </c>
      <c r="G1130" s="93" t="str">
        <f t="shared" si="57"/>
        <v>5635_20240611_0007_L_0578.jpg</v>
      </c>
      <c r="H1130" s="92">
        <v>4</v>
      </c>
      <c r="J1130" s="79">
        <f>IF(G1130="","X",_xlfn.XLOOKUP(B1130,DATA_Moresby_2024_ALL!B:B,DATA_Moresby_2024_ALL!K:K,""))</f>
        <v>1</v>
      </c>
      <c r="K1130" s="28"/>
      <c r="L1130" s="29"/>
      <c r="M1130" s="28"/>
      <c r="N1130" s="19">
        <v>2</v>
      </c>
      <c r="O1130" s="19">
        <v>3</v>
      </c>
      <c r="P1130" s="19">
        <f t="shared" si="59"/>
        <v>4</v>
      </c>
      <c r="Q1130" s="19">
        <v>3</v>
      </c>
      <c r="X1130" s="92" t="s">
        <v>78</v>
      </c>
      <c r="Y1130" s="92" t="s">
        <v>78</v>
      </c>
      <c r="Z1130" s="92" t="s">
        <v>78</v>
      </c>
    </row>
    <row r="1131" spans="1:26" ht="16" hidden="1" x14ac:dyDescent="0.4">
      <c r="A1131" s="92">
        <v>5639</v>
      </c>
      <c r="B1131" s="92">
        <v>5640</v>
      </c>
      <c r="E1131" s="92">
        <v>50</v>
      </c>
      <c r="F1131" s="92" t="str">
        <f>_xlfn.XLOOKUP(B1131, DATA_Moresby_2024_ALL!B:B, DATA_Moresby_2024_ALL!G:G, "")</f>
        <v>5640_20240611_0008_L_0003.jpg</v>
      </c>
      <c r="G1131" s="93" t="str">
        <f t="shared" si="57"/>
        <v>5640_20240611_0008_L_0003.jpg</v>
      </c>
      <c r="H1131" s="92">
        <v>4</v>
      </c>
      <c r="J1131" s="79">
        <f>IF(G1131="","X",_xlfn.XLOOKUP(B1131,DATA_Moresby_2024_ALL!B:B,DATA_Moresby_2024_ALL!K:K,""))</f>
        <v>1</v>
      </c>
      <c r="K1131" s="28"/>
      <c r="L1131" s="29"/>
      <c r="M1131" s="28"/>
      <c r="N1131" s="19">
        <v>3</v>
      </c>
      <c r="O1131" s="19">
        <v>3</v>
      </c>
      <c r="P1131" s="19">
        <f t="shared" si="59"/>
        <v>4</v>
      </c>
      <c r="Q1131" s="19">
        <v>3</v>
      </c>
      <c r="X1131" s="92" t="s">
        <v>78</v>
      </c>
      <c r="Y1131" s="92" t="s">
        <v>78</v>
      </c>
      <c r="Z1131" s="92" t="s">
        <v>78</v>
      </c>
    </row>
    <row r="1132" spans="1:26" ht="16" hidden="1" x14ac:dyDescent="0.4">
      <c r="A1132" s="92">
        <v>5644</v>
      </c>
      <c r="B1132" s="92">
        <v>5645</v>
      </c>
      <c r="E1132" s="92">
        <v>50</v>
      </c>
      <c r="F1132" s="92" t="str">
        <f>_xlfn.XLOOKUP(B1132, DATA_Moresby_2024_ALL!B:B, DATA_Moresby_2024_ALL!G:G, "")</f>
        <v>5645_20240611_0008_L_0016.jpg</v>
      </c>
      <c r="G1132" s="93" t="str">
        <f t="shared" si="57"/>
        <v>5645_20240611_0008_L_0016.jpg</v>
      </c>
      <c r="H1132" s="92">
        <v>4</v>
      </c>
      <c r="J1132" s="79">
        <f>IF(G1132="","X",_xlfn.XLOOKUP(B1132,DATA_Moresby_2024_ALL!B:B,DATA_Moresby_2024_ALL!K:K,""))</f>
        <v>1</v>
      </c>
      <c r="K1132" s="28"/>
      <c r="L1132" s="29"/>
      <c r="M1132" s="28"/>
      <c r="N1132" s="19">
        <f t="shared" si="60"/>
        <v>4</v>
      </c>
      <c r="O1132" s="19">
        <v>3</v>
      </c>
      <c r="P1132" s="19">
        <f t="shared" si="59"/>
        <v>4</v>
      </c>
      <c r="Q1132" s="19">
        <f t="shared" si="59"/>
        <v>4</v>
      </c>
      <c r="X1132" s="92" t="s">
        <v>78</v>
      </c>
      <c r="Y1132" s="92" t="s">
        <v>78</v>
      </c>
      <c r="Z1132" s="92" t="s">
        <v>78</v>
      </c>
    </row>
    <row r="1133" spans="1:26" ht="16" hidden="1" x14ac:dyDescent="0.4">
      <c r="A1133" s="92">
        <v>5649</v>
      </c>
      <c r="B1133" s="92">
        <v>5650</v>
      </c>
      <c r="E1133" s="92">
        <v>50</v>
      </c>
      <c r="F1133" s="92" t="str">
        <f>_xlfn.XLOOKUP(B1133, DATA_Moresby_2024_ALL!B:B, DATA_Moresby_2024_ALL!G:G, "")</f>
        <v>5650_20240611_0008_L_0032.jpg</v>
      </c>
      <c r="G1133" s="93" t="str">
        <f t="shared" si="57"/>
        <v>5650_20240611_0008_L_0032.jpg</v>
      </c>
      <c r="H1133" s="92">
        <v>4</v>
      </c>
      <c r="J1133" s="79">
        <f>IF(G1133="","X",_xlfn.XLOOKUP(B1133,DATA_Moresby_2024_ALL!B:B,DATA_Moresby_2024_ALL!K:K,""))</f>
        <v>1</v>
      </c>
      <c r="K1133" s="28"/>
      <c r="L1133" s="29"/>
      <c r="M1133" s="28"/>
      <c r="N1133" s="19">
        <v>3</v>
      </c>
      <c r="O1133" s="19">
        <f t="shared" si="59"/>
        <v>4</v>
      </c>
      <c r="P1133" s="19">
        <f t="shared" si="59"/>
        <v>4</v>
      </c>
      <c r="Q1133" s="19">
        <f t="shared" si="59"/>
        <v>4</v>
      </c>
      <c r="X1133" s="92" t="s">
        <v>78</v>
      </c>
      <c r="Y1133" s="92" t="s">
        <v>78</v>
      </c>
      <c r="Z1133" s="92" t="s">
        <v>78</v>
      </c>
    </row>
    <row r="1134" spans="1:26" ht="16" hidden="1" x14ac:dyDescent="0.4">
      <c r="A1134" s="92">
        <v>5654</v>
      </c>
      <c r="B1134" s="92">
        <v>5655</v>
      </c>
      <c r="E1134" s="92">
        <v>50</v>
      </c>
      <c r="F1134" s="92" t="str">
        <f>_xlfn.XLOOKUP(B1134, DATA_Moresby_2024_ALL!B:B, DATA_Moresby_2024_ALL!G:G, "")</f>
        <v>5655_20240611_0008_L_0048.jpg</v>
      </c>
      <c r="G1134" s="93" t="str">
        <f t="shared" si="57"/>
        <v>5655_20240611_0008_L_0048.jpg</v>
      </c>
      <c r="H1134" s="92">
        <v>4</v>
      </c>
      <c r="J1134" s="79">
        <f>IF(G1134="","X",_xlfn.XLOOKUP(B1134,DATA_Moresby_2024_ALL!B:B,DATA_Moresby_2024_ALL!K:K,""))</f>
        <v>1</v>
      </c>
      <c r="K1134" s="28"/>
      <c r="L1134" s="29"/>
      <c r="M1134" s="28"/>
      <c r="N1134" s="19">
        <f t="shared" si="60"/>
        <v>4</v>
      </c>
      <c r="O1134" s="19">
        <f t="shared" si="59"/>
        <v>4</v>
      </c>
      <c r="P1134" s="19">
        <f t="shared" si="59"/>
        <v>4</v>
      </c>
      <c r="Q1134" s="19">
        <f t="shared" si="59"/>
        <v>4</v>
      </c>
      <c r="X1134" s="92" t="s">
        <v>78</v>
      </c>
      <c r="Y1134" s="92" t="s">
        <v>78</v>
      </c>
      <c r="Z1134" s="92" t="s">
        <v>78</v>
      </c>
    </row>
    <row r="1135" spans="1:26" ht="16" hidden="1" x14ac:dyDescent="0.4">
      <c r="A1135" s="92">
        <v>5659</v>
      </c>
      <c r="B1135" s="92">
        <v>5660</v>
      </c>
      <c r="E1135" s="92">
        <v>50</v>
      </c>
      <c r="F1135" s="92" t="str">
        <f>_xlfn.XLOOKUP(B1135, DATA_Moresby_2024_ALL!B:B, DATA_Moresby_2024_ALL!G:G, "")</f>
        <v>5660_20240611_0008_L_0064.jpg</v>
      </c>
      <c r="G1135" s="93" t="str">
        <f t="shared" si="57"/>
        <v>5660_20240611_0008_L_0064.jpg</v>
      </c>
      <c r="H1135" s="92">
        <v>4</v>
      </c>
      <c r="J1135" s="79">
        <f>IF(G1135="","X",_xlfn.XLOOKUP(B1135,DATA_Moresby_2024_ALL!B:B,DATA_Moresby_2024_ALL!K:K,""))</f>
        <v>1</v>
      </c>
      <c r="K1135" s="28"/>
      <c r="L1135" s="29"/>
      <c r="M1135" s="28"/>
      <c r="N1135" s="19">
        <f t="shared" si="60"/>
        <v>4</v>
      </c>
      <c r="O1135" s="19">
        <f t="shared" si="59"/>
        <v>4</v>
      </c>
      <c r="P1135" s="19">
        <f t="shared" si="59"/>
        <v>4</v>
      </c>
      <c r="Q1135" s="19">
        <f t="shared" si="59"/>
        <v>4</v>
      </c>
      <c r="X1135" s="92" t="s">
        <v>78</v>
      </c>
      <c r="Y1135" s="92" t="s">
        <v>78</v>
      </c>
      <c r="Z1135" s="92" t="s">
        <v>78</v>
      </c>
    </row>
    <row r="1136" spans="1:26" ht="16" hidden="1" x14ac:dyDescent="0.4">
      <c r="A1136" s="92">
        <v>5664</v>
      </c>
      <c r="B1136" s="92">
        <v>5665</v>
      </c>
      <c r="E1136" s="92">
        <v>50</v>
      </c>
      <c r="F1136" s="92" t="str">
        <f>_xlfn.XLOOKUP(B1136, DATA_Moresby_2024_ALL!B:B, DATA_Moresby_2024_ALL!G:G, "")</f>
        <v>5665_20240611_0008_L_0078.jpg</v>
      </c>
      <c r="G1136" s="93" t="str">
        <f t="shared" si="57"/>
        <v>5665_20240611_0008_L_0078.jpg</v>
      </c>
      <c r="H1136" s="92">
        <v>4</v>
      </c>
      <c r="J1136" s="79">
        <f>IF(G1136="","X",_xlfn.XLOOKUP(B1136,DATA_Moresby_2024_ALL!B:B,DATA_Moresby_2024_ALL!K:K,""))</f>
        <v>1</v>
      </c>
      <c r="K1136" s="28"/>
      <c r="L1136" s="29"/>
      <c r="M1136" s="28"/>
      <c r="N1136" s="19">
        <f t="shared" si="60"/>
        <v>4</v>
      </c>
      <c r="O1136" s="19">
        <f t="shared" si="59"/>
        <v>4</v>
      </c>
      <c r="P1136" s="19">
        <f t="shared" si="59"/>
        <v>4</v>
      </c>
      <c r="Q1136" s="19">
        <f t="shared" si="59"/>
        <v>4</v>
      </c>
      <c r="X1136" s="92" t="s">
        <v>78</v>
      </c>
      <c r="Y1136" s="92" t="s">
        <v>78</v>
      </c>
      <c r="Z1136" s="92" t="s">
        <v>78</v>
      </c>
    </row>
    <row r="1137" spans="1:26" ht="16" hidden="1" x14ac:dyDescent="0.4">
      <c r="A1137" s="92">
        <v>5669</v>
      </c>
      <c r="B1137" s="92">
        <v>5670</v>
      </c>
      <c r="E1137" s="92">
        <v>50</v>
      </c>
      <c r="F1137" s="92" t="str">
        <f>_xlfn.XLOOKUP(B1137, DATA_Moresby_2024_ALL!B:B, DATA_Moresby_2024_ALL!G:G, "")</f>
        <v>5670_20240611_0008_L_0095.jpg</v>
      </c>
      <c r="G1137" s="93" t="str">
        <f t="shared" si="57"/>
        <v>5670_20240611_0008_L_0095.jpg</v>
      </c>
      <c r="H1137" s="92">
        <v>4</v>
      </c>
      <c r="J1137" s="79">
        <f>IF(G1137="","X",_xlfn.XLOOKUP(B1137,DATA_Moresby_2024_ALL!B:B,DATA_Moresby_2024_ALL!K:K,""))</f>
        <v>1</v>
      </c>
      <c r="K1137" s="28"/>
      <c r="L1137" s="29"/>
      <c r="M1137" s="28"/>
      <c r="N1137" s="19">
        <f t="shared" si="60"/>
        <v>4</v>
      </c>
      <c r="O1137" s="19">
        <v>3</v>
      </c>
      <c r="P1137" s="19">
        <f t="shared" si="59"/>
        <v>4</v>
      </c>
      <c r="Q1137" s="19">
        <f t="shared" si="59"/>
        <v>4</v>
      </c>
      <c r="X1137" s="92" t="s">
        <v>78</v>
      </c>
      <c r="Y1137" s="92" t="s">
        <v>78</v>
      </c>
      <c r="Z1137" s="92" t="s">
        <v>78</v>
      </c>
    </row>
    <row r="1138" spans="1:26" ht="16" hidden="1" x14ac:dyDescent="0.4">
      <c r="A1138" s="92">
        <v>5674</v>
      </c>
      <c r="B1138" s="92">
        <v>5675</v>
      </c>
      <c r="E1138" s="92">
        <v>50</v>
      </c>
      <c r="F1138" s="92" t="str">
        <f>_xlfn.XLOOKUP(B1138, DATA_Moresby_2024_ALL!B:B, DATA_Moresby_2024_ALL!G:G, "")</f>
        <v>5675_20240611_0008_L_0111.jpg</v>
      </c>
      <c r="G1138" s="93" t="str">
        <f t="shared" si="57"/>
        <v>5675_20240611_0008_L_0111.jpg</v>
      </c>
      <c r="H1138" s="92">
        <v>4</v>
      </c>
      <c r="J1138" s="79">
        <f>IF(G1138="","X",_xlfn.XLOOKUP(B1138,DATA_Moresby_2024_ALL!B:B,DATA_Moresby_2024_ALL!K:K,""))</f>
        <v>1</v>
      </c>
      <c r="K1138" s="28"/>
      <c r="L1138" s="29"/>
      <c r="M1138" s="28"/>
      <c r="N1138" s="19">
        <v>3</v>
      </c>
      <c r="O1138" s="19">
        <v>3</v>
      </c>
      <c r="P1138" s="19">
        <f t="shared" si="59"/>
        <v>4</v>
      </c>
      <c r="Q1138" s="19">
        <f t="shared" si="59"/>
        <v>4</v>
      </c>
      <c r="X1138" s="92" t="s">
        <v>78</v>
      </c>
      <c r="Y1138" s="92" t="s">
        <v>78</v>
      </c>
      <c r="Z1138" s="92" t="s">
        <v>78</v>
      </c>
    </row>
    <row r="1139" spans="1:26" ht="16" hidden="1" x14ac:dyDescent="0.4">
      <c r="A1139" s="92">
        <v>5679</v>
      </c>
      <c r="B1139" s="92">
        <v>5680</v>
      </c>
      <c r="E1139" s="92">
        <v>50</v>
      </c>
      <c r="F1139" s="92" t="str">
        <f>_xlfn.XLOOKUP(B1139, DATA_Moresby_2024_ALL!B:B, DATA_Moresby_2024_ALL!G:G, "")</f>
        <v>5680_20240611_0008_L_0126.jpg</v>
      </c>
      <c r="G1139" s="93" t="str">
        <f t="shared" si="57"/>
        <v>5680_20240611_0008_L_0126.jpg</v>
      </c>
      <c r="H1139" s="92">
        <v>4</v>
      </c>
      <c r="J1139" s="79">
        <f>IF(G1139="","X",_xlfn.XLOOKUP(B1139,DATA_Moresby_2024_ALL!B:B,DATA_Moresby_2024_ALL!K:K,""))</f>
        <v>1</v>
      </c>
      <c r="K1139" s="28"/>
      <c r="L1139" s="29"/>
      <c r="M1139" s="28"/>
      <c r="N1139" s="19">
        <v>3</v>
      </c>
      <c r="O1139" s="19">
        <f t="shared" si="59"/>
        <v>4</v>
      </c>
      <c r="P1139" s="19">
        <f t="shared" si="59"/>
        <v>4</v>
      </c>
      <c r="Q1139" s="19">
        <f t="shared" si="59"/>
        <v>4</v>
      </c>
      <c r="X1139" s="92" t="s">
        <v>78</v>
      </c>
      <c r="Y1139" s="92" t="s">
        <v>78</v>
      </c>
      <c r="Z1139" s="92" t="s">
        <v>78</v>
      </c>
    </row>
    <row r="1140" spans="1:26" ht="16" hidden="1" x14ac:dyDescent="0.4">
      <c r="A1140" s="92">
        <v>5684</v>
      </c>
      <c r="B1140" s="92">
        <v>5685</v>
      </c>
      <c r="E1140" s="92">
        <v>50</v>
      </c>
      <c r="F1140" s="92" t="str">
        <f>_xlfn.XLOOKUP(B1140, DATA_Moresby_2024_ALL!B:B, DATA_Moresby_2024_ALL!G:G, "")</f>
        <v>5685_20240611_0008_L_0141.jpg</v>
      </c>
      <c r="G1140" s="93" t="str">
        <f t="shared" si="57"/>
        <v>5685_20240611_0008_L_0141.jpg</v>
      </c>
      <c r="H1140" s="92">
        <v>4</v>
      </c>
      <c r="J1140" s="79">
        <f>IF(G1140="","X",_xlfn.XLOOKUP(B1140,DATA_Moresby_2024_ALL!B:B,DATA_Moresby_2024_ALL!K:K,""))</f>
        <v>1</v>
      </c>
      <c r="K1140" s="28"/>
      <c r="L1140" s="29"/>
      <c r="M1140" s="28"/>
      <c r="N1140" s="19">
        <v>3</v>
      </c>
      <c r="O1140" s="19">
        <f t="shared" si="59"/>
        <v>4</v>
      </c>
      <c r="P1140" s="19">
        <f t="shared" si="59"/>
        <v>4</v>
      </c>
      <c r="Q1140" s="19">
        <f t="shared" si="59"/>
        <v>4</v>
      </c>
      <c r="X1140" s="92" t="s">
        <v>78</v>
      </c>
      <c r="Y1140" s="92" t="s">
        <v>78</v>
      </c>
      <c r="Z1140" s="92" t="s">
        <v>78</v>
      </c>
    </row>
    <row r="1141" spans="1:26" ht="16" hidden="1" x14ac:dyDescent="0.4">
      <c r="A1141" s="92">
        <v>5689</v>
      </c>
      <c r="B1141" s="92">
        <v>5690</v>
      </c>
      <c r="E1141" s="92">
        <v>50</v>
      </c>
      <c r="F1141" s="92" t="str">
        <f>_xlfn.XLOOKUP(B1141, DATA_Moresby_2024_ALL!B:B, DATA_Moresby_2024_ALL!G:G, "")</f>
        <v>5690_20240611_0008_L_0155.jpg</v>
      </c>
      <c r="G1141" s="93" t="str">
        <f t="shared" si="57"/>
        <v>5690_20240611_0008_L_0155.jpg</v>
      </c>
      <c r="H1141" s="92">
        <v>4</v>
      </c>
      <c r="J1141" s="79">
        <f>IF(G1141="","X",_xlfn.XLOOKUP(B1141,DATA_Moresby_2024_ALL!B:B,DATA_Moresby_2024_ALL!K:K,""))</f>
        <v>1</v>
      </c>
      <c r="K1141" s="28"/>
      <c r="L1141" s="29"/>
      <c r="M1141" s="28"/>
      <c r="N1141" s="19">
        <v>3</v>
      </c>
      <c r="O1141" s="19">
        <f t="shared" si="59"/>
        <v>4</v>
      </c>
      <c r="P1141" s="19">
        <f t="shared" si="59"/>
        <v>4</v>
      </c>
      <c r="Q1141" s="19">
        <v>3</v>
      </c>
      <c r="X1141" s="92" t="s">
        <v>78</v>
      </c>
      <c r="Y1141" s="92" t="s">
        <v>78</v>
      </c>
      <c r="Z1141" s="92" t="s">
        <v>78</v>
      </c>
    </row>
    <row r="1142" spans="1:26" ht="16" hidden="1" x14ac:dyDescent="0.4">
      <c r="A1142" s="92">
        <v>5694</v>
      </c>
      <c r="B1142" s="92">
        <v>5695</v>
      </c>
      <c r="E1142" s="92">
        <v>50</v>
      </c>
      <c r="F1142" s="92" t="str">
        <f>_xlfn.XLOOKUP(B1142, DATA_Moresby_2024_ALL!B:B, DATA_Moresby_2024_ALL!G:G, "")</f>
        <v>5695_20240611_0008_L_0170.jpg</v>
      </c>
      <c r="G1142" s="93" t="str">
        <f t="shared" si="57"/>
        <v>5695_20240611_0008_L_0170.jpg</v>
      </c>
      <c r="H1142" s="92">
        <v>4</v>
      </c>
      <c r="I1142" s="92" t="str">
        <f>IF(G1142="","X","")</f>
        <v/>
      </c>
      <c r="J1142" s="79">
        <f>IF(G1142="","X",_xlfn.XLOOKUP(B1142,DATA_Moresby_2024_ALL!B:B,DATA_Moresby_2024_ALL!K:K,""))</f>
        <v>0</v>
      </c>
      <c r="K1142" s="28"/>
      <c r="L1142" s="29"/>
      <c r="M1142" s="28"/>
      <c r="N1142" s="19"/>
      <c r="O1142" s="19"/>
      <c r="P1142" s="19" t="str">
        <f t="shared" si="59"/>
        <v/>
      </c>
      <c r="Q1142" s="19"/>
      <c r="X1142" s="92" t="s">
        <v>78</v>
      </c>
      <c r="Y1142" s="92" t="s">
        <v>78</v>
      </c>
      <c r="Z1142" s="92" t="s">
        <v>78</v>
      </c>
    </row>
    <row r="1143" spans="1:26" ht="16" hidden="1" x14ac:dyDescent="0.4">
      <c r="A1143" s="92">
        <v>5699</v>
      </c>
      <c r="B1143" s="92">
        <v>5700</v>
      </c>
      <c r="E1143" s="92">
        <v>50</v>
      </c>
      <c r="F1143" s="92" t="str">
        <f>_xlfn.XLOOKUP(B1143, DATA_Moresby_2024_ALL!B:B, DATA_Moresby_2024_ALL!G:G, "")</f>
        <v>5700_20240611_0008_L_0184.jpg</v>
      </c>
      <c r="G1143" s="93" t="str">
        <f t="shared" si="57"/>
        <v>5700_20240611_0008_L_0184.jpg</v>
      </c>
      <c r="H1143" s="92">
        <v>4</v>
      </c>
      <c r="J1143" s="79">
        <f>IF(G1143="","X",_xlfn.XLOOKUP(B1143,DATA_Moresby_2024_ALL!B:B,DATA_Moresby_2024_ALL!K:K,""))</f>
        <v>1</v>
      </c>
      <c r="K1143" s="28"/>
      <c r="L1143" s="29"/>
      <c r="M1143" s="28"/>
      <c r="N1143" s="19">
        <v>3</v>
      </c>
      <c r="O1143" s="19">
        <v>3</v>
      </c>
      <c r="P1143" s="19">
        <f t="shared" si="59"/>
        <v>4</v>
      </c>
      <c r="Q1143" s="19">
        <v>3</v>
      </c>
      <c r="X1143" s="92" t="s">
        <v>78</v>
      </c>
      <c r="Y1143" s="92" t="s">
        <v>78</v>
      </c>
      <c r="Z1143" s="92" t="s">
        <v>78</v>
      </c>
    </row>
    <row r="1144" spans="1:26" ht="16" hidden="1" x14ac:dyDescent="0.4">
      <c r="A1144" s="92">
        <v>5704</v>
      </c>
      <c r="B1144" s="92">
        <v>5705</v>
      </c>
      <c r="E1144" s="92">
        <v>50</v>
      </c>
      <c r="F1144" s="92" t="str">
        <f>_xlfn.XLOOKUP(B1144, DATA_Moresby_2024_ALL!B:B, DATA_Moresby_2024_ALL!G:G, "")</f>
        <v>5705_20240611_0008_L_0198.jpg</v>
      </c>
      <c r="G1144" s="93" t="str">
        <f t="shared" si="57"/>
        <v>5705_20240611_0008_L_0198.jpg</v>
      </c>
      <c r="H1144" s="92">
        <v>4</v>
      </c>
      <c r="J1144" s="79">
        <f>IF(G1144="","X",_xlfn.XLOOKUP(B1144,DATA_Moresby_2024_ALL!B:B,DATA_Moresby_2024_ALL!K:K,""))</f>
        <v>1</v>
      </c>
      <c r="K1144" s="28"/>
      <c r="L1144" s="29"/>
      <c r="M1144" s="28"/>
      <c r="N1144" s="19">
        <v>3</v>
      </c>
      <c r="O1144" s="19">
        <v>3</v>
      </c>
      <c r="P1144" s="19">
        <f t="shared" si="59"/>
        <v>4</v>
      </c>
      <c r="Q1144" s="19">
        <v>3</v>
      </c>
      <c r="X1144" s="92" t="s">
        <v>78</v>
      </c>
      <c r="Y1144" s="92" t="s">
        <v>78</v>
      </c>
      <c r="Z1144" s="92" t="s">
        <v>78</v>
      </c>
    </row>
    <row r="1145" spans="1:26" ht="16" hidden="1" x14ac:dyDescent="0.4">
      <c r="A1145" s="92">
        <v>5709</v>
      </c>
      <c r="B1145" s="92">
        <v>5710</v>
      </c>
      <c r="E1145" s="92">
        <v>50</v>
      </c>
      <c r="F1145" s="92" t="str">
        <f>_xlfn.XLOOKUP(B1145, DATA_Moresby_2024_ALL!B:B, DATA_Moresby_2024_ALL!G:G, "")</f>
        <v>5710_20240611_0008_L_0213.jpg</v>
      </c>
      <c r="G1145" s="93" t="str">
        <f t="shared" si="57"/>
        <v>5710_20240611_0008_L_0213.jpg</v>
      </c>
      <c r="H1145" s="92">
        <v>4</v>
      </c>
      <c r="J1145" s="79">
        <f>IF(G1145="","X",_xlfn.XLOOKUP(B1145,DATA_Moresby_2024_ALL!B:B,DATA_Moresby_2024_ALL!K:K,""))</f>
        <v>1</v>
      </c>
      <c r="K1145" s="28"/>
      <c r="L1145" s="29"/>
      <c r="M1145" s="28"/>
      <c r="N1145" s="19">
        <v>3</v>
      </c>
      <c r="O1145" s="19">
        <v>3</v>
      </c>
      <c r="P1145" s="19">
        <f t="shared" si="59"/>
        <v>4</v>
      </c>
      <c r="Q1145" s="19">
        <f t="shared" si="59"/>
        <v>4</v>
      </c>
      <c r="X1145" s="92" t="s">
        <v>78</v>
      </c>
      <c r="Y1145" s="92" t="s">
        <v>78</v>
      </c>
      <c r="Z1145" s="92" t="s">
        <v>78</v>
      </c>
    </row>
    <row r="1146" spans="1:26" ht="16" hidden="1" x14ac:dyDescent="0.4">
      <c r="A1146" s="92">
        <v>5714</v>
      </c>
      <c r="B1146" s="92">
        <v>5715</v>
      </c>
      <c r="E1146" s="92">
        <v>50</v>
      </c>
      <c r="F1146" s="92" t="str">
        <f>_xlfn.XLOOKUP(B1146, DATA_Moresby_2024_ALL!B:B, DATA_Moresby_2024_ALL!G:G, "")</f>
        <v>5715_20240611_0008_L_0229.jpg</v>
      </c>
      <c r="G1146" s="93" t="str">
        <f t="shared" si="57"/>
        <v>5715_20240611_0008_L_0229.jpg</v>
      </c>
      <c r="H1146" s="92">
        <v>4</v>
      </c>
      <c r="J1146" s="79">
        <f>IF(G1146="","X",_xlfn.XLOOKUP(B1146,DATA_Moresby_2024_ALL!B:B,DATA_Moresby_2024_ALL!K:K,""))</f>
        <v>1</v>
      </c>
      <c r="K1146" s="28"/>
      <c r="L1146" s="29"/>
      <c r="M1146" s="28"/>
      <c r="N1146" s="19">
        <f t="shared" si="60"/>
        <v>4</v>
      </c>
      <c r="O1146" s="19">
        <v>3</v>
      </c>
      <c r="P1146" s="19">
        <f t="shared" si="59"/>
        <v>4</v>
      </c>
      <c r="Q1146" s="19">
        <f t="shared" si="59"/>
        <v>4</v>
      </c>
      <c r="X1146" s="92" t="s">
        <v>78</v>
      </c>
      <c r="Y1146" s="92" t="s">
        <v>78</v>
      </c>
      <c r="Z1146" s="92" t="s">
        <v>78</v>
      </c>
    </row>
    <row r="1147" spans="1:26" ht="16" hidden="1" x14ac:dyDescent="0.4">
      <c r="A1147" s="92">
        <v>5719</v>
      </c>
      <c r="B1147" s="92">
        <v>5720</v>
      </c>
      <c r="E1147" s="92">
        <v>50</v>
      </c>
      <c r="F1147" s="92" t="str">
        <f>_xlfn.XLOOKUP(B1147, DATA_Moresby_2024_ALL!B:B, DATA_Moresby_2024_ALL!G:G, "")</f>
        <v>5720_20240611_0008_L_0244.jpg</v>
      </c>
      <c r="G1147" s="93" t="str">
        <f t="shared" si="57"/>
        <v>5720_20240611_0008_L_0244.jpg</v>
      </c>
      <c r="H1147" s="92">
        <v>4</v>
      </c>
      <c r="J1147" s="79">
        <f>IF(G1147="","X",_xlfn.XLOOKUP(B1147,DATA_Moresby_2024_ALL!B:B,DATA_Moresby_2024_ALL!K:K,""))</f>
        <v>1</v>
      </c>
      <c r="K1147" s="28"/>
      <c r="L1147" s="29"/>
      <c r="M1147" s="28"/>
      <c r="N1147" s="19">
        <f t="shared" si="60"/>
        <v>4</v>
      </c>
      <c r="O1147" s="19">
        <f t="shared" si="59"/>
        <v>4</v>
      </c>
      <c r="P1147" s="19">
        <f t="shared" si="59"/>
        <v>4</v>
      </c>
      <c r="Q1147" s="19">
        <f t="shared" si="59"/>
        <v>4</v>
      </c>
      <c r="X1147" s="92" t="s">
        <v>78</v>
      </c>
      <c r="Y1147" s="92" t="s">
        <v>78</v>
      </c>
      <c r="Z1147" s="92" t="s">
        <v>78</v>
      </c>
    </row>
    <row r="1148" spans="1:26" ht="16" hidden="1" x14ac:dyDescent="0.4">
      <c r="A1148" s="92">
        <v>5724</v>
      </c>
      <c r="B1148" s="92">
        <v>5725</v>
      </c>
      <c r="E1148" s="92">
        <v>50</v>
      </c>
      <c r="F1148" s="92" t="str">
        <f>_xlfn.XLOOKUP(B1148, DATA_Moresby_2024_ALL!B:B, DATA_Moresby_2024_ALL!G:G, "")</f>
        <v>5725_20240611_0008_L_0258.jpg</v>
      </c>
      <c r="G1148" s="93" t="str">
        <f t="shared" si="57"/>
        <v>5725_20240611_0008_L_0258.jpg</v>
      </c>
      <c r="H1148" s="92">
        <v>4</v>
      </c>
      <c r="J1148" s="79">
        <f>IF(G1148="","X",_xlfn.XLOOKUP(B1148,DATA_Moresby_2024_ALL!B:B,DATA_Moresby_2024_ALL!K:K,""))</f>
        <v>1</v>
      </c>
      <c r="K1148" s="28"/>
      <c r="L1148" s="29"/>
      <c r="M1148" s="28"/>
      <c r="N1148" s="19">
        <f t="shared" si="60"/>
        <v>4</v>
      </c>
      <c r="O1148" s="19">
        <f t="shared" si="59"/>
        <v>4</v>
      </c>
      <c r="P1148" s="19">
        <f t="shared" si="59"/>
        <v>4</v>
      </c>
      <c r="Q1148" s="19">
        <f t="shared" si="59"/>
        <v>4</v>
      </c>
      <c r="X1148" s="92" t="s">
        <v>78</v>
      </c>
      <c r="Y1148" s="92" t="s">
        <v>78</v>
      </c>
      <c r="Z1148" s="92" t="s">
        <v>78</v>
      </c>
    </row>
    <row r="1149" spans="1:26" ht="16" hidden="1" x14ac:dyDescent="0.4">
      <c r="A1149" s="92">
        <v>5729</v>
      </c>
      <c r="B1149" s="92">
        <v>5730</v>
      </c>
      <c r="E1149" s="92">
        <v>50</v>
      </c>
      <c r="F1149" s="92" t="str">
        <f>_xlfn.XLOOKUP(B1149, DATA_Moresby_2024_ALL!B:B, DATA_Moresby_2024_ALL!G:G, "")</f>
        <v>5730_20240611_0008_L_0270.jpg</v>
      </c>
      <c r="G1149" s="93" t="str">
        <f t="shared" si="57"/>
        <v>5730_20240611_0008_L_0270.jpg</v>
      </c>
      <c r="H1149" s="92">
        <v>4</v>
      </c>
      <c r="J1149" s="79">
        <f>IF(G1149="","X",_xlfn.XLOOKUP(B1149,DATA_Moresby_2024_ALL!B:B,DATA_Moresby_2024_ALL!K:K,""))</f>
        <v>1</v>
      </c>
      <c r="K1149" s="28"/>
      <c r="L1149" s="29"/>
      <c r="M1149" s="28"/>
      <c r="N1149" s="19">
        <v>3</v>
      </c>
      <c r="O1149" s="19">
        <f t="shared" si="59"/>
        <v>4</v>
      </c>
      <c r="P1149" s="19">
        <f t="shared" si="59"/>
        <v>4</v>
      </c>
      <c r="Q1149" s="19">
        <f t="shared" si="59"/>
        <v>4</v>
      </c>
      <c r="X1149" s="92" t="s">
        <v>78</v>
      </c>
      <c r="Y1149" s="92" t="s">
        <v>78</v>
      </c>
      <c r="Z1149" s="92" t="s">
        <v>78</v>
      </c>
    </row>
    <row r="1150" spans="1:26" ht="16" hidden="1" x14ac:dyDescent="0.4">
      <c r="A1150" s="92">
        <v>5734</v>
      </c>
      <c r="B1150" s="92">
        <v>5735</v>
      </c>
      <c r="E1150" s="92">
        <v>50</v>
      </c>
      <c r="F1150" s="92" t="str">
        <f>_xlfn.XLOOKUP(B1150, DATA_Moresby_2024_ALL!B:B, DATA_Moresby_2024_ALL!G:G, "")</f>
        <v>5735_20240611_0008_L_0282.jpg</v>
      </c>
      <c r="G1150" s="93" t="str">
        <f t="shared" si="57"/>
        <v>5735_20240611_0008_L_0282.jpg</v>
      </c>
      <c r="H1150" s="92">
        <v>4</v>
      </c>
      <c r="J1150" s="79">
        <f>IF(G1150="","X",_xlfn.XLOOKUP(B1150,DATA_Moresby_2024_ALL!B:B,DATA_Moresby_2024_ALL!K:K,""))</f>
        <v>1</v>
      </c>
      <c r="K1150" s="28"/>
      <c r="L1150" s="29"/>
      <c r="M1150" s="28"/>
      <c r="N1150" s="19">
        <v>3</v>
      </c>
      <c r="O1150" s="19">
        <f t="shared" si="59"/>
        <v>4</v>
      </c>
      <c r="P1150" s="19">
        <f t="shared" si="59"/>
        <v>4</v>
      </c>
      <c r="Q1150" s="19">
        <f t="shared" si="59"/>
        <v>4</v>
      </c>
      <c r="X1150" s="92" t="s">
        <v>78</v>
      </c>
      <c r="Y1150" s="92" t="s">
        <v>78</v>
      </c>
      <c r="Z1150" s="92" t="s">
        <v>78</v>
      </c>
    </row>
    <row r="1151" spans="1:26" ht="16" hidden="1" x14ac:dyDescent="0.4">
      <c r="A1151" s="92">
        <v>5739</v>
      </c>
      <c r="B1151" s="92">
        <v>5740</v>
      </c>
      <c r="E1151" s="92">
        <v>50</v>
      </c>
      <c r="F1151" s="92" t="str">
        <f>_xlfn.XLOOKUP(B1151, DATA_Moresby_2024_ALL!B:B, DATA_Moresby_2024_ALL!G:G, "")</f>
        <v>5740_20240611_0008_L_0291.jpg</v>
      </c>
      <c r="G1151" s="93" t="str">
        <f t="shared" si="57"/>
        <v>5740_20240611_0008_L_0291.jpg</v>
      </c>
      <c r="H1151" s="92">
        <v>4</v>
      </c>
      <c r="J1151" s="79">
        <f>IF(G1151="","X",_xlfn.XLOOKUP(B1151,DATA_Moresby_2024_ALL!B:B,DATA_Moresby_2024_ALL!K:K,""))</f>
        <v>1</v>
      </c>
      <c r="K1151" s="28"/>
      <c r="L1151" s="29"/>
      <c r="M1151" s="28"/>
      <c r="N1151" s="19">
        <v>3</v>
      </c>
      <c r="O1151" s="19">
        <f t="shared" si="59"/>
        <v>4</v>
      </c>
      <c r="P1151" s="19">
        <f t="shared" si="59"/>
        <v>4</v>
      </c>
      <c r="Q1151" s="19">
        <f t="shared" si="59"/>
        <v>4</v>
      </c>
      <c r="X1151" s="92" t="s">
        <v>78</v>
      </c>
      <c r="Y1151" s="92" t="s">
        <v>78</v>
      </c>
      <c r="Z1151" s="92" t="s">
        <v>78</v>
      </c>
    </row>
    <row r="1152" spans="1:26" ht="16" hidden="1" x14ac:dyDescent="0.4">
      <c r="A1152" s="92">
        <v>5744</v>
      </c>
      <c r="B1152" s="92">
        <v>5745</v>
      </c>
      <c r="E1152" s="92">
        <v>50</v>
      </c>
      <c r="F1152" s="92" t="str">
        <f>_xlfn.XLOOKUP(B1152, DATA_Moresby_2024_ALL!B:B, DATA_Moresby_2024_ALL!G:G, "")</f>
        <v>5745_20240611_0008_L_0301.jpg</v>
      </c>
      <c r="G1152" s="93" t="str">
        <f t="shared" si="57"/>
        <v>5745_20240611_0008_L_0301.jpg</v>
      </c>
      <c r="H1152" s="92">
        <v>4</v>
      </c>
      <c r="J1152" s="79">
        <f>IF(G1152="","X",_xlfn.XLOOKUP(B1152,DATA_Moresby_2024_ALL!B:B,DATA_Moresby_2024_ALL!K:K,""))</f>
        <v>1</v>
      </c>
      <c r="K1152" s="28"/>
      <c r="L1152" s="29"/>
      <c r="M1152" s="28"/>
      <c r="N1152" s="19">
        <v>3</v>
      </c>
      <c r="O1152" s="19">
        <v>3</v>
      </c>
      <c r="P1152" s="19">
        <f t="shared" si="59"/>
        <v>4</v>
      </c>
      <c r="Q1152" s="19">
        <v>3</v>
      </c>
      <c r="X1152" s="92" t="s">
        <v>78</v>
      </c>
      <c r="Y1152" s="92" t="s">
        <v>78</v>
      </c>
      <c r="Z1152" s="92" t="s">
        <v>78</v>
      </c>
    </row>
    <row r="1153" spans="1:26" ht="16" hidden="1" x14ac:dyDescent="0.4">
      <c r="A1153" s="92">
        <v>5749</v>
      </c>
      <c r="B1153" s="92">
        <v>5750</v>
      </c>
      <c r="E1153" s="92">
        <v>50</v>
      </c>
      <c r="F1153" s="92">
        <f>_xlfn.XLOOKUP(B1153, DATA_Moresby_2024_ALL!B:B, DATA_Moresby_2024_ALL!G:G, "")</f>
        <v>0</v>
      </c>
      <c r="G1153" s="93"/>
      <c r="H1153" s="92">
        <v>4</v>
      </c>
      <c r="I1153" s="92" t="str">
        <f>IF(G1153="","X","")</f>
        <v>X</v>
      </c>
      <c r="J1153" s="79" t="str">
        <f>IF(G1153="","X",_xlfn.XLOOKUP(B1153,DATA_Moresby_2024_ALL!B:B,DATA_Moresby_2024_ALL!K:K,""))</f>
        <v>X</v>
      </c>
      <c r="K1153" s="28"/>
      <c r="L1153" s="29"/>
      <c r="M1153" s="28"/>
      <c r="N1153" s="19" t="str">
        <f t="shared" si="60"/>
        <v/>
      </c>
      <c r="O1153" s="19" t="str">
        <f t="shared" si="59"/>
        <v/>
      </c>
      <c r="P1153" s="19" t="str">
        <f t="shared" si="59"/>
        <v/>
      </c>
      <c r="Q1153" s="19" t="str">
        <f t="shared" si="59"/>
        <v/>
      </c>
      <c r="X1153" s="92" t="s">
        <v>78</v>
      </c>
      <c r="Y1153" s="92" t="s">
        <v>78</v>
      </c>
      <c r="Z1153" s="92" t="s">
        <v>78</v>
      </c>
    </row>
    <row r="1154" spans="1:26" ht="16" hidden="1" x14ac:dyDescent="0.4">
      <c r="A1154" s="92">
        <v>5754</v>
      </c>
      <c r="B1154" s="92">
        <v>5755</v>
      </c>
      <c r="E1154" s="92">
        <v>50</v>
      </c>
      <c r="F1154" s="92" t="str">
        <f>_xlfn.XLOOKUP(B1154, DATA_Moresby_2024_ALL!B:B, DATA_Moresby_2024_ALL!G:G, "")</f>
        <v>5755_20240611_0008_L_0306.jpg</v>
      </c>
      <c r="G1154" s="93" t="str">
        <f t="shared" si="57"/>
        <v>5755_20240611_0008_L_0306.jpg</v>
      </c>
      <c r="H1154" s="92">
        <v>4</v>
      </c>
      <c r="J1154" s="79">
        <f>IF(G1154="","X",_xlfn.XLOOKUP(B1154,DATA_Moresby_2024_ALL!B:B,DATA_Moresby_2024_ALL!K:K,""))</f>
        <v>1</v>
      </c>
      <c r="K1154" s="28"/>
      <c r="L1154" s="29"/>
      <c r="M1154" s="28"/>
      <c r="N1154" s="19">
        <v>3</v>
      </c>
      <c r="O1154" s="19">
        <v>3</v>
      </c>
      <c r="P1154" s="19">
        <f t="shared" si="59"/>
        <v>4</v>
      </c>
      <c r="Q1154" s="19">
        <v>3</v>
      </c>
      <c r="X1154" s="92" t="s">
        <v>78</v>
      </c>
      <c r="Y1154" s="92" t="s">
        <v>78</v>
      </c>
      <c r="Z1154" s="92" t="s">
        <v>78</v>
      </c>
    </row>
    <row r="1155" spans="1:26" ht="16" hidden="1" x14ac:dyDescent="0.4">
      <c r="A1155" s="92">
        <v>5759</v>
      </c>
      <c r="B1155" s="92">
        <v>5760</v>
      </c>
      <c r="E1155" s="92">
        <v>50</v>
      </c>
      <c r="F1155" s="92" t="str">
        <f>_xlfn.XLOOKUP(B1155, DATA_Moresby_2024_ALL!B:B, DATA_Moresby_2024_ALL!G:G, "")</f>
        <v>5760_20240611_0008_L_0319.jpg</v>
      </c>
      <c r="G1155" s="93" t="str">
        <f t="shared" si="57"/>
        <v>5760_20240611_0008_L_0319.jpg</v>
      </c>
      <c r="H1155" s="92">
        <v>4</v>
      </c>
      <c r="J1155" s="79">
        <f>IF(G1155="","X",_xlfn.XLOOKUP(B1155,DATA_Moresby_2024_ALL!B:B,DATA_Moresby_2024_ALL!K:K,""))</f>
        <v>1</v>
      </c>
      <c r="K1155" s="28"/>
      <c r="L1155" s="29"/>
      <c r="M1155" s="28"/>
      <c r="N1155" s="19">
        <v>3</v>
      </c>
      <c r="O1155" s="19">
        <v>3</v>
      </c>
      <c r="P1155" s="19">
        <f t="shared" si="59"/>
        <v>4</v>
      </c>
      <c r="Q1155" s="19">
        <v>3</v>
      </c>
      <c r="X1155" s="92" t="s">
        <v>78</v>
      </c>
      <c r="Y1155" s="92" t="s">
        <v>78</v>
      </c>
      <c r="Z1155" s="92" t="s">
        <v>78</v>
      </c>
    </row>
    <row r="1156" spans="1:26" ht="16" hidden="1" x14ac:dyDescent="0.4">
      <c r="A1156" s="92">
        <v>5764</v>
      </c>
      <c r="B1156" s="92">
        <v>5765</v>
      </c>
      <c r="E1156" s="92">
        <v>50</v>
      </c>
      <c r="F1156" s="92" t="str">
        <f>_xlfn.XLOOKUP(B1156, DATA_Moresby_2024_ALL!B:B, DATA_Moresby_2024_ALL!G:G, "")</f>
        <v>5765_20240611_0008_L_0334.jpg</v>
      </c>
      <c r="G1156" s="93" t="str">
        <f t="shared" si="57"/>
        <v>5765_20240611_0008_L_0334.jpg</v>
      </c>
      <c r="H1156" s="92">
        <v>4</v>
      </c>
      <c r="J1156" s="79">
        <f>IF(G1156="","X",_xlfn.XLOOKUP(B1156,DATA_Moresby_2024_ALL!B:B,DATA_Moresby_2024_ALL!K:K,""))</f>
        <v>1</v>
      </c>
      <c r="K1156" s="28"/>
      <c r="L1156" s="29"/>
      <c r="M1156" s="28"/>
      <c r="N1156" s="19">
        <v>3</v>
      </c>
      <c r="O1156" s="19">
        <f t="shared" si="59"/>
        <v>4</v>
      </c>
      <c r="P1156" s="19">
        <f t="shared" si="59"/>
        <v>4</v>
      </c>
      <c r="Q1156" s="19">
        <v>3</v>
      </c>
      <c r="X1156" s="92" t="s">
        <v>78</v>
      </c>
      <c r="Y1156" s="92" t="s">
        <v>78</v>
      </c>
      <c r="Z1156" s="92" t="s">
        <v>78</v>
      </c>
    </row>
    <row r="1157" spans="1:26" ht="16" hidden="1" x14ac:dyDescent="0.4">
      <c r="A1157" s="92">
        <v>5769</v>
      </c>
      <c r="B1157" s="92">
        <v>5770</v>
      </c>
      <c r="E1157" s="92">
        <v>50</v>
      </c>
      <c r="F1157" s="92" t="str">
        <f>_xlfn.XLOOKUP(B1157, DATA_Moresby_2024_ALL!B:B, DATA_Moresby_2024_ALL!G:G, "")</f>
        <v>5770_20240611_0008_L_0347.jpg</v>
      </c>
      <c r="G1157" s="93" t="str">
        <f t="shared" si="57"/>
        <v>5770_20240611_0008_L_0347.jpg</v>
      </c>
      <c r="H1157" s="92">
        <v>4</v>
      </c>
      <c r="J1157" s="79">
        <f>IF(G1157="","X",_xlfn.XLOOKUP(B1157,DATA_Moresby_2024_ALL!B:B,DATA_Moresby_2024_ALL!K:K,""))</f>
        <v>1</v>
      </c>
      <c r="K1157" s="28"/>
      <c r="L1157" s="29"/>
      <c r="M1157" s="28"/>
      <c r="N1157" s="19">
        <v>3</v>
      </c>
      <c r="O1157" s="19">
        <v>3</v>
      </c>
      <c r="P1157" s="19">
        <f t="shared" si="59"/>
        <v>4</v>
      </c>
      <c r="Q1157" s="19">
        <v>3</v>
      </c>
      <c r="X1157" s="92" t="s">
        <v>78</v>
      </c>
      <c r="Y1157" s="92" t="s">
        <v>78</v>
      </c>
      <c r="Z1157" s="92" t="s">
        <v>78</v>
      </c>
    </row>
    <row r="1158" spans="1:26" ht="16" hidden="1" x14ac:dyDescent="0.4">
      <c r="A1158" s="92">
        <v>5774</v>
      </c>
      <c r="B1158" s="92">
        <v>5775</v>
      </c>
      <c r="E1158" s="92">
        <v>50</v>
      </c>
      <c r="F1158" s="92" t="str">
        <f>_xlfn.XLOOKUP(B1158, DATA_Moresby_2024_ALL!B:B, DATA_Moresby_2024_ALL!G:G, "")</f>
        <v>5775_20240611_0008_L_0360.jpg</v>
      </c>
      <c r="G1158" s="93" t="str">
        <f t="shared" si="57"/>
        <v>5775_20240611_0008_L_0360.jpg</v>
      </c>
      <c r="H1158" s="92">
        <v>4</v>
      </c>
      <c r="J1158" s="79">
        <f>IF(G1158="","X",_xlfn.XLOOKUP(B1158,DATA_Moresby_2024_ALL!B:B,DATA_Moresby_2024_ALL!K:K,""))</f>
        <v>1</v>
      </c>
      <c r="K1158" s="28"/>
      <c r="L1158" s="29"/>
      <c r="M1158" s="28"/>
      <c r="N1158" s="19">
        <f t="shared" si="60"/>
        <v>4</v>
      </c>
      <c r="O1158" s="19">
        <f t="shared" si="59"/>
        <v>4</v>
      </c>
      <c r="P1158" s="19">
        <f t="shared" si="59"/>
        <v>4</v>
      </c>
      <c r="Q1158" s="19">
        <v>3</v>
      </c>
      <c r="X1158" s="92" t="s">
        <v>78</v>
      </c>
      <c r="Y1158" s="92" t="s">
        <v>78</v>
      </c>
      <c r="Z1158" s="92" t="s">
        <v>78</v>
      </c>
    </row>
    <row r="1159" spans="1:26" ht="16" hidden="1" x14ac:dyDescent="0.4">
      <c r="A1159" s="92">
        <v>5779</v>
      </c>
      <c r="B1159" s="100">
        <v>5780</v>
      </c>
      <c r="E1159" s="92">
        <v>50</v>
      </c>
      <c r="F1159" s="92" t="str">
        <f>_xlfn.XLOOKUP(B1159, DATA_Moresby_2024_ALL!B:B, DATA_Moresby_2024_ALL!G:G, "")</f>
        <v>5780_20240611_0008_L_0374.jpg</v>
      </c>
      <c r="G1159" s="93" t="str">
        <f t="shared" si="57"/>
        <v>5780_20240611_0008_L_0374.jpg</v>
      </c>
      <c r="H1159" s="92">
        <v>4</v>
      </c>
      <c r="I1159" s="92" t="str">
        <f t="shared" ref="I1159:I1163" si="61">IF(G1159="","X","")</f>
        <v/>
      </c>
      <c r="J1159" s="79">
        <f>IF(G1159="","X",_xlfn.XLOOKUP(B1159,DATA_Moresby_2024_ALL!B:B,DATA_Moresby_2024_ALL!K:K,""))</f>
        <v>0</v>
      </c>
      <c r="K1159" s="69"/>
      <c r="L1159" s="69"/>
      <c r="M1159" s="69"/>
      <c r="N1159" s="69"/>
      <c r="O1159" s="69"/>
      <c r="P1159" s="69" t="str">
        <f t="shared" si="59"/>
        <v/>
      </c>
      <c r="Q1159" s="69"/>
      <c r="X1159" s="92" t="s">
        <v>78</v>
      </c>
      <c r="Y1159" s="92" t="s">
        <v>78</v>
      </c>
      <c r="Z1159" s="92" t="s">
        <v>78</v>
      </c>
    </row>
    <row r="1160" spans="1:26" ht="16" hidden="1" x14ac:dyDescent="0.4">
      <c r="A1160" s="92">
        <v>5784</v>
      </c>
      <c r="B1160" s="100">
        <v>5785</v>
      </c>
      <c r="E1160" s="92">
        <v>50</v>
      </c>
      <c r="F1160" s="92" t="str">
        <f>_xlfn.XLOOKUP(B1160, DATA_Moresby_2024_ALL!B:B, DATA_Moresby_2024_ALL!G:G, "")</f>
        <v>5785_20240611_0008_L_0388.jpg</v>
      </c>
      <c r="G1160" s="93" t="str">
        <f t="shared" si="57"/>
        <v>5785_20240611_0008_L_0388.jpg</v>
      </c>
      <c r="H1160" s="92">
        <v>4</v>
      </c>
      <c r="I1160" s="92" t="str">
        <f t="shared" si="61"/>
        <v/>
      </c>
      <c r="J1160" s="79">
        <f>IF(G1160="","X",_xlfn.XLOOKUP(B1160,DATA_Moresby_2024_ALL!B:B,DATA_Moresby_2024_ALL!K:K,""))</f>
        <v>0</v>
      </c>
      <c r="K1160" s="69"/>
      <c r="L1160" s="69"/>
      <c r="M1160" s="69"/>
      <c r="N1160" s="69"/>
      <c r="O1160" s="69"/>
      <c r="P1160" s="69" t="str">
        <f t="shared" si="59"/>
        <v/>
      </c>
      <c r="Q1160" s="69"/>
      <c r="X1160" s="92" t="s">
        <v>78</v>
      </c>
      <c r="Y1160" s="92" t="s">
        <v>78</v>
      </c>
      <c r="Z1160" s="92" t="s">
        <v>78</v>
      </c>
    </row>
    <row r="1161" spans="1:26" ht="16" hidden="1" x14ac:dyDescent="0.4">
      <c r="A1161" s="92">
        <v>5789</v>
      </c>
      <c r="B1161" s="100">
        <v>5790</v>
      </c>
      <c r="E1161" s="92">
        <v>50</v>
      </c>
      <c r="F1161" s="92" t="str">
        <f>_xlfn.XLOOKUP(B1161, DATA_Moresby_2024_ALL!B:B, DATA_Moresby_2024_ALL!G:G, "")</f>
        <v>5790_20240611_0008_L_0401.jpg</v>
      </c>
      <c r="G1161" s="93" t="str">
        <f t="shared" si="57"/>
        <v>5790_20240611_0008_L_0401.jpg</v>
      </c>
      <c r="H1161" s="92">
        <v>4</v>
      </c>
      <c r="I1161" s="92" t="str">
        <f t="shared" si="61"/>
        <v/>
      </c>
      <c r="J1161" s="79">
        <f>IF(G1161="","X",_xlfn.XLOOKUP(B1161,DATA_Moresby_2024_ALL!B:B,DATA_Moresby_2024_ALL!K:K,""))</f>
        <v>0</v>
      </c>
      <c r="K1161" s="69"/>
      <c r="L1161" s="69"/>
      <c r="M1161" s="69"/>
      <c r="N1161" s="69"/>
      <c r="O1161" s="69"/>
      <c r="P1161" s="69" t="str">
        <f t="shared" si="59"/>
        <v/>
      </c>
      <c r="Q1161" s="69"/>
      <c r="X1161" s="92" t="s">
        <v>78</v>
      </c>
      <c r="Y1161" s="92" t="s">
        <v>78</v>
      </c>
      <c r="Z1161" s="92" t="s">
        <v>78</v>
      </c>
    </row>
    <row r="1162" spans="1:26" ht="16" hidden="1" x14ac:dyDescent="0.4">
      <c r="A1162" s="92">
        <v>5794</v>
      </c>
      <c r="B1162" s="100">
        <v>5795</v>
      </c>
      <c r="E1162" s="92">
        <v>50</v>
      </c>
      <c r="F1162" s="92" t="str">
        <f>_xlfn.XLOOKUP(B1162, DATA_Moresby_2024_ALL!B:B, DATA_Moresby_2024_ALL!G:G, "")</f>
        <v>5795_20240611_0008_L_0413.jpg</v>
      </c>
      <c r="G1162" s="93" t="str">
        <f t="shared" si="57"/>
        <v>5795_20240611_0008_L_0413.jpg</v>
      </c>
      <c r="H1162" s="92">
        <v>4</v>
      </c>
      <c r="I1162" s="92" t="str">
        <f t="shared" si="61"/>
        <v/>
      </c>
      <c r="J1162" s="79">
        <f>IF(G1162="","X",_xlfn.XLOOKUP(B1162,DATA_Moresby_2024_ALL!B:B,DATA_Moresby_2024_ALL!K:K,""))</f>
        <v>0</v>
      </c>
      <c r="K1162" s="69"/>
      <c r="L1162" s="69"/>
      <c r="M1162" s="69"/>
      <c r="N1162" s="69"/>
      <c r="O1162" s="69"/>
      <c r="P1162" s="69" t="str">
        <f t="shared" si="59"/>
        <v/>
      </c>
      <c r="Q1162" s="69"/>
      <c r="X1162" s="92" t="s">
        <v>78</v>
      </c>
      <c r="Y1162" s="92" t="s">
        <v>78</v>
      </c>
      <c r="Z1162" s="92" t="s">
        <v>78</v>
      </c>
    </row>
    <row r="1163" spans="1:26" ht="16" hidden="1" x14ac:dyDescent="0.4">
      <c r="A1163" s="92">
        <v>5799</v>
      </c>
      <c r="B1163" s="100">
        <v>5800</v>
      </c>
      <c r="E1163" s="92">
        <v>50</v>
      </c>
      <c r="F1163" s="92" t="str">
        <f>_xlfn.XLOOKUP(B1163, DATA_Moresby_2024_ALL!B:B, DATA_Moresby_2024_ALL!G:G, "")</f>
        <v>5800_20240611_0008_L_0426.jpg</v>
      </c>
      <c r="G1163" s="93" t="str">
        <f t="shared" si="57"/>
        <v>5800_20240611_0008_L_0426.jpg</v>
      </c>
      <c r="H1163" s="92">
        <v>4</v>
      </c>
      <c r="I1163" s="92" t="str">
        <f t="shared" si="61"/>
        <v/>
      </c>
      <c r="J1163" s="79">
        <f>IF(G1163="","X",_xlfn.XLOOKUP(B1163,DATA_Moresby_2024_ALL!B:B,DATA_Moresby_2024_ALL!K:K,""))</f>
        <v>0</v>
      </c>
      <c r="K1163" s="69"/>
      <c r="L1163" s="69"/>
      <c r="M1163" s="69"/>
      <c r="N1163" s="69"/>
      <c r="O1163" s="69"/>
      <c r="P1163" s="69" t="str">
        <f t="shared" si="59"/>
        <v/>
      </c>
      <c r="Q1163" s="69"/>
      <c r="X1163" s="92" t="s">
        <v>78</v>
      </c>
      <c r="Y1163" s="92" t="s">
        <v>78</v>
      </c>
      <c r="Z1163" s="92" t="s">
        <v>78</v>
      </c>
    </row>
    <row r="1164" spans="1:26" ht="16" hidden="1" x14ac:dyDescent="0.4">
      <c r="A1164" s="92">
        <v>5804</v>
      </c>
      <c r="B1164" s="92">
        <v>5805</v>
      </c>
      <c r="E1164" s="92">
        <v>50</v>
      </c>
      <c r="F1164" s="92" t="str">
        <f>_xlfn.XLOOKUP(B1164, DATA_Moresby_2024_ALL!B:B, DATA_Moresby_2024_ALL!G:G, "")</f>
        <v>5805_20240611_0008_L_0440.jpg</v>
      </c>
      <c r="G1164" s="93" t="str">
        <f t="shared" si="57"/>
        <v>5805_20240611_0008_L_0440.jpg</v>
      </c>
      <c r="H1164" s="92">
        <v>4</v>
      </c>
      <c r="J1164" s="79">
        <f>IF(G1164="","X",_xlfn.XLOOKUP(B1164,DATA_Moresby_2024_ALL!B:B,DATA_Moresby_2024_ALL!K:K,""))</f>
        <v>1</v>
      </c>
      <c r="K1164" s="28"/>
      <c r="L1164" s="29"/>
      <c r="M1164" s="28"/>
      <c r="N1164" s="19">
        <f t="shared" si="60"/>
        <v>4</v>
      </c>
      <c r="O1164" s="19">
        <f t="shared" si="59"/>
        <v>4</v>
      </c>
      <c r="P1164" s="19">
        <f t="shared" si="59"/>
        <v>4</v>
      </c>
      <c r="Q1164" s="19">
        <f t="shared" si="59"/>
        <v>4</v>
      </c>
      <c r="X1164" s="92" t="s">
        <v>78</v>
      </c>
      <c r="Y1164" s="92" t="s">
        <v>78</v>
      </c>
      <c r="Z1164" s="92" t="s">
        <v>78</v>
      </c>
    </row>
    <row r="1165" spans="1:26" ht="16" hidden="1" x14ac:dyDescent="0.4">
      <c r="A1165" s="92">
        <v>5809</v>
      </c>
      <c r="B1165" s="92">
        <v>5810</v>
      </c>
      <c r="E1165" s="92">
        <v>50</v>
      </c>
      <c r="F1165" s="92" t="str">
        <f>_xlfn.XLOOKUP(B1165, DATA_Moresby_2024_ALL!B:B, DATA_Moresby_2024_ALL!G:G, "")</f>
        <v>5810_20240611_0008_L_0454.jpg</v>
      </c>
      <c r="G1165" s="93" t="str">
        <f t="shared" si="57"/>
        <v>5810_20240611_0008_L_0454.jpg</v>
      </c>
      <c r="H1165" s="92">
        <v>4</v>
      </c>
      <c r="J1165" s="79">
        <f>IF(G1165="","X",_xlfn.XLOOKUP(B1165,DATA_Moresby_2024_ALL!B:B,DATA_Moresby_2024_ALL!K:K,""))</f>
        <v>1</v>
      </c>
      <c r="K1165" s="28"/>
      <c r="L1165" s="29"/>
      <c r="M1165" s="28"/>
      <c r="N1165" s="19">
        <f t="shared" si="60"/>
        <v>4</v>
      </c>
      <c r="O1165" s="19">
        <f t="shared" si="59"/>
        <v>4</v>
      </c>
      <c r="P1165" s="19">
        <f t="shared" si="59"/>
        <v>4</v>
      </c>
      <c r="Q1165" s="19">
        <f t="shared" si="59"/>
        <v>4</v>
      </c>
      <c r="X1165" s="92" t="s">
        <v>78</v>
      </c>
      <c r="Y1165" s="92" t="s">
        <v>78</v>
      </c>
      <c r="Z1165" s="92" t="s">
        <v>78</v>
      </c>
    </row>
    <row r="1166" spans="1:26" ht="16" hidden="1" x14ac:dyDescent="0.4">
      <c r="A1166" s="92">
        <v>5814</v>
      </c>
      <c r="B1166" s="92">
        <v>5815</v>
      </c>
      <c r="E1166" s="92">
        <v>50</v>
      </c>
      <c r="F1166" s="92" t="str">
        <f>_xlfn.XLOOKUP(B1166, DATA_Moresby_2024_ALL!B:B, DATA_Moresby_2024_ALL!G:G, "")</f>
        <v>5815_20240611_0008_L_0468.jpg</v>
      </c>
      <c r="G1166" s="93" t="str">
        <f t="shared" ref="G1166:G1229" si="62">HYPERLINK("D:\Data From Lucan\2024\Moresby\Frames_for_Analysis_50\" &amp; F1166,F1166)</f>
        <v>5815_20240611_0008_L_0468.jpg</v>
      </c>
      <c r="H1166" s="92">
        <v>4</v>
      </c>
      <c r="J1166" s="79">
        <f>IF(G1166="","X",_xlfn.XLOOKUP(B1166,DATA_Moresby_2024_ALL!B:B,DATA_Moresby_2024_ALL!K:K,""))</f>
        <v>1</v>
      </c>
      <c r="K1166" s="28"/>
      <c r="L1166" s="29"/>
      <c r="M1166" s="28"/>
      <c r="N1166" s="19">
        <f t="shared" si="60"/>
        <v>4</v>
      </c>
      <c r="O1166" s="19">
        <f t="shared" si="59"/>
        <v>4</v>
      </c>
      <c r="P1166" s="19">
        <f t="shared" si="59"/>
        <v>4</v>
      </c>
      <c r="Q1166" s="19">
        <f t="shared" si="59"/>
        <v>4</v>
      </c>
      <c r="X1166" s="92" t="s">
        <v>78</v>
      </c>
      <c r="Y1166" s="92" t="s">
        <v>78</v>
      </c>
      <c r="Z1166" s="92" t="s">
        <v>78</v>
      </c>
    </row>
    <row r="1167" spans="1:26" ht="16" hidden="1" x14ac:dyDescent="0.4">
      <c r="A1167" s="92">
        <v>5819</v>
      </c>
      <c r="B1167" s="92">
        <v>5820</v>
      </c>
      <c r="E1167" s="92">
        <v>50</v>
      </c>
      <c r="F1167" s="92" t="str">
        <f>_xlfn.XLOOKUP(B1167, DATA_Moresby_2024_ALL!B:B, DATA_Moresby_2024_ALL!G:G, "")</f>
        <v>5820_20240611_0008_L_0482.jpg</v>
      </c>
      <c r="G1167" s="93" t="str">
        <f t="shared" si="62"/>
        <v>5820_20240611_0008_L_0482.jpg</v>
      </c>
      <c r="H1167" s="92">
        <v>4</v>
      </c>
      <c r="J1167" s="79">
        <f>IF(G1167="","X",_xlfn.XLOOKUP(B1167,DATA_Moresby_2024_ALL!B:B,DATA_Moresby_2024_ALL!K:K,""))</f>
        <v>1</v>
      </c>
      <c r="K1167" s="28"/>
      <c r="L1167" s="29"/>
      <c r="M1167" s="28"/>
      <c r="N1167" s="19">
        <f t="shared" si="60"/>
        <v>4</v>
      </c>
      <c r="O1167" s="19">
        <f t="shared" si="59"/>
        <v>4</v>
      </c>
      <c r="P1167" s="19">
        <f t="shared" si="59"/>
        <v>4</v>
      </c>
      <c r="Q1167" s="19">
        <v>3</v>
      </c>
      <c r="X1167" s="92" t="s">
        <v>78</v>
      </c>
      <c r="Y1167" s="92" t="s">
        <v>78</v>
      </c>
      <c r="Z1167" s="92" t="s">
        <v>78</v>
      </c>
    </row>
    <row r="1168" spans="1:26" ht="16" hidden="1" x14ac:dyDescent="0.4">
      <c r="A1168" s="92">
        <v>5824</v>
      </c>
      <c r="B1168" s="92">
        <v>5825</v>
      </c>
      <c r="E1168" s="92">
        <v>50</v>
      </c>
      <c r="F1168" s="92" t="str">
        <f>_xlfn.XLOOKUP(B1168, DATA_Moresby_2024_ALL!B:B, DATA_Moresby_2024_ALL!G:G, "")</f>
        <v>5825_20240611_0008_L_0497.jpg</v>
      </c>
      <c r="G1168" s="93" t="str">
        <f t="shared" si="62"/>
        <v>5825_20240611_0008_L_0497.jpg</v>
      </c>
      <c r="H1168" s="92">
        <v>4</v>
      </c>
      <c r="J1168" s="79">
        <f>IF(G1168="","X",_xlfn.XLOOKUP(B1168,DATA_Moresby_2024_ALL!B:B,DATA_Moresby_2024_ALL!K:K,""))</f>
        <v>1</v>
      </c>
      <c r="K1168" s="28"/>
      <c r="L1168" s="29"/>
      <c r="M1168" s="28"/>
      <c r="N1168" s="19">
        <f t="shared" si="60"/>
        <v>4</v>
      </c>
      <c r="O1168" s="19">
        <f t="shared" si="59"/>
        <v>4</v>
      </c>
      <c r="P1168" s="19">
        <f t="shared" si="59"/>
        <v>4</v>
      </c>
      <c r="Q1168" s="19">
        <f t="shared" si="59"/>
        <v>4</v>
      </c>
      <c r="X1168" s="92" t="s">
        <v>78</v>
      </c>
      <c r="Y1168" s="92" t="s">
        <v>78</v>
      </c>
      <c r="Z1168" s="92" t="s">
        <v>78</v>
      </c>
    </row>
    <row r="1169" spans="1:26" ht="16" hidden="1" x14ac:dyDescent="0.4">
      <c r="A1169" s="92">
        <v>5829</v>
      </c>
      <c r="B1169" s="92">
        <v>5830</v>
      </c>
      <c r="E1169" s="92">
        <v>50</v>
      </c>
      <c r="F1169" s="92" t="str">
        <f>_xlfn.XLOOKUP(B1169, DATA_Moresby_2024_ALL!B:B, DATA_Moresby_2024_ALL!G:G, "")</f>
        <v>5830_20240611_0008_L_0513.jpg</v>
      </c>
      <c r="G1169" s="93" t="str">
        <f t="shared" si="62"/>
        <v>5830_20240611_0008_L_0513.jpg</v>
      </c>
      <c r="H1169" s="92">
        <v>4</v>
      </c>
      <c r="J1169" s="79">
        <f>IF(G1169="","X",_xlfn.XLOOKUP(B1169,DATA_Moresby_2024_ALL!B:B,DATA_Moresby_2024_ALL!K:K,""))</f>
        <v>1</v>
      </c>
      <c r="K1169" s="28"/>
      <c r="L1169" s="29"/>
      <c r="M1169" s="28"/>
      <c r="N1169" s="19">
        <f t="shared" si="60"/>
        <v>4</v>
      </c>
      <c r="O1169" s="19">
        <f t="shared" si="59"/>
        <v>4</v>
      </c>
      <c r="P1169" s="19">
        <f t="shared" si="59"/>
        <v>4</v>
      </c>
      <c r="Q1169" s="19">
        <f t="shared" si="59"/>
        <v>4</v>
      </c>
      <c r="X1169" s="92" t="s">
        <v>78</v>
      </c>
      <c r="Y1169" s="92" t="s">
        <v>78</v>
      </c>
      <c r="Z1169" s="92" t="s">
        <v>78</v>
      </c>
    </row>
    <row r="1170" spans="1:26" ht="16" hidden="1" x14ac:dyDescent="0.4">
      <c r="A1170" s="92">
        <v>5834</v>
      </c>
      <c r="B1170" s="92">
        <v>5835</v>
      </c>
      <c r="E1170" s="92">
        <v>50</v>
      </c>
      <c r="F1170" s="92" t="str">
        <f>_xlfn.XLOOKUP(B1170, DATA_Moresby_2024_ALL!B:B, DATA_Moresby_2024_ALL!G:G, "")</f>
        <v>5835_20240611_0008_L_0528.jpg</v>
      </c>
      <c r="G1170" s="93" t="str">
        <f t="shared" si="62"/>
        <v>5835_20240611_0008_L_0528.jpg</v>
      </c>
      <c r="H1170" s="92">
        <v>4</v>
      </c>
      <c r="J1170" s="79">
        <f>IF(G1170="","X",_xlfn.XLOOKUP(B1170,DATA_Moresby_2024_ALL!B:B,DATA_Moresby_2024_ALL!K:K,""))</f>
        <v>1</v>
      </c>
      <c r="K1170" s="28"/>
      <c r="L1170" s="29"/>
      <c r="M1170" s="28"/>
      <c r="N1170" s="19">
        <f t="shared" si="60"/>
        <v>4</v>
      </c>
      <c r="O1170" s="19">
        <v>3</v>
      </c>
      <c r="P1170" s="19">
        <f t="shared" si="59"/>
        <v>4</v>
      </c>
      <c r="Q1170" s="19">
        <f t="shared" si="59"/>
        <v>4</v>
      </c>
      <c r="X1170" s="92" t="s">
        <v>78</v>
      </c>
      <c r="Y1170" s="92" t="s">
        <v>78</v>
      </c>
      <c r="Z1170" s="92" t="s">
        <v>78</v>
      </c>
    </row>
    <row r="1171" spans="1:26" ht="16" hidden="1" x14ac:dyDescent="0.4">
      <c r="A1171" s="92">
        <v>5839</v>
      </c>
      <c r="B1171" s="92">
        <v>5840</v>
      </c>
      <c r="E1171" s="92">
        <v>50</v>
      </c>
      <c r="F1171" s="92" t="str">
        <f>_xlfn.XLOOKUP(B1171, DATA_Moresby_2024_ALL!B:B, DATA_Moresby_2024_ALL!G:G, "")</f>
        <v>5840_20240611_0008_L_0547.jpg</v>
      </c>
      <c r="G1171" s="93" t="str">
        <f t="shared" si="62"/>
        <v>5840_20240611_0008_L_0547.jpg</v>
      </c>
      <c r="H1171" s="92">
        <v>4</v>
      </c>
      <c r="J1171" s="79">
        <f>IF(G1171="","X",_xlfn.XLOOKUP(B1171,DATA_Moresby_2024_ALL!B:B,DATA_Moresby_2024_ALL!K:K,""))</f>
        <v>1</v>
      </c>
      <c r="K1171" s="28"/>
      <c r="L1171" s="29"/>
      <c r="M1171" s="28"/>
      <c r="N1171" s="19">
        <f t="shared" si="60"/>
        <v>4</v>
      </c>
      <c r="O1171" s="19">
        <v>3</v>
      </c>
      <c r="P1171" s="19">
        <f t="shared" si="59"/>
        <v>4</v>
      </c>
      <c r="Q1171" s="19">
        <f t="shared" si="59"/>
        <v>4</v>
      </c>
      <c r="X1171" s="92" t="s">
        <v>78</v>
      </c>
      <c r="Y1171" s="92" t="s">
        <v>78</v>
      </c>
      <c r="Z1171" s="92" t="s">
        <v>78</v>
      </c>
    </row>
    <row r="1172" spans="1:26" ht="16" hidden="1" x14ac:dyDescent="0.4">
      <c r="A1172" s="92">
        <v>5844</v>
      </c>
      <c r="B1172" s="92">
        <v>5845</v>
      </c>
      <c r="E1172" s="92">
        <v>50</v>
      </c>
      <c r="F1172" s="92" t="str">
        <f>_xlfn.XLOOKUP(B1172, DATA_Moresby_2024_ALL!B:B, DATA_Moresby_2024_ALL!G:G, "")</f>
        <v>5845_20240611_0008_L_0574.jpg</v>
      </c>
      <c r="G1172" s="93" t="str">
        <f t="shared" si="62"/>
        <v>5845_20240611_0008_L_0574.jpg</v>
      </c>
      <c r="H1172" s="92">
        <v>3</v>
      </c>
      <c r="J1172" s="79">
        <f>IF(G1172="","X",_xlfn.XLOOKUP(B1172,DATA_Moresby_2024_ALL!B:B,DATA_Moresby_2024_ALL!K:K,""))</f>
        <v>1</v>
      </c>
      <c r="K1172" s="28"/>
      <c r="L1172" s="29"/>
      <c r="M1172" s="28"/>
      <c r="N1172" s="19">
        <f t="shared" si="60"/>
        <v>4</v>
      </c>
      <c r="O1172" s="19">
        <f t="shared" si="59"/>
        <v>4</v>
      </c>
      <c r="P1172" s="19">
        <f t="shared" si="59"/>
        <v>4</v>
      </c>
      <c r="Q1172" s="19">
        <f t="shared" si="59"/>
        <v>4</v>
      </c>
      <c r="X1172" s="92" t="s">
        <v>78</v>
      </c>
      <c r="Y1172" s="92" t="s">
        <v>78</v>
      </c>
      <c r="Z1172" s="92" t="s">
        <v>78</v>
      </c>
    </row>
    <row r="1173" spans="1:26" ht="16" hidden="1" x14ac:dyDescent="0.4">
      <c r="A1173" s="92">
        <v>5849</v>
      </c>
      <c r="B1173" s="92">
        <v>5850</v>
      </c>
      <c r="E1173" s="92">
        <v>50</v>
      </c>
      <c r="F1173" s="92" t="str">
        <f>_xlfn.XLOOKUP(B1173, DATA_Moresby_2024_ALL!B:B, DATA_Moresby_2024_ALL!G:G, "")</f>
        <v>5850_20240611_0008_L_0603.jpg</v>
      </c>
      <c r="G1173" s="93" t="str">
        <f t="shared" si="62"/>
        <v>5850_20240611_0008_L_0603.jpg</v>
      </c>
      <c r="H1173" s="92">
        <v>3</v>
      </c>
      <c r="J1173" s="79">
        <f>IF(G1173="","X",_xlfn.XLOOKUP(B1173,DATA_Moresby_2024_ALL!B:B,DATA_Moresby_2024_ALL!K:K,""))</f>
        <v>1</v>
      </c>
      <c r="K1173" s="28"/>
      <c r="L1173" s="29"/>
      <c r="M1173" s="28"/>
      <c r="N1173" s="19">
        <v>3</v>
      </c>
      <c r="O1173" s="19">
        <v>3</v>
      </c>
      <c r="P1173" s="19">
        <f t="shared" si="59"/>
        <v>4</v>
      </c>
      <c r="Q1173" s="19">
        <f t="shared" si="59"/>
        <v>4</v>
      </c>
      <c r="X1173" s="92" t="s">
        <v>78</v>
      </c>
      <c r="Y1173" s="92" t="s">
        <v>78</v>
      </c>
      <c r="Z1173" s="92" t="s">
        <v>78</v>
      </c>
    </row>
    <row r="1174" spans="1:26" ht="16" hidden="1" x14ac:dyDescent="0.4">
      <c r="A1174" s="92">
        <v>5854</v>
      </c>
      <c r="B1174" s="92">
        <v>5855</v>
      </c>
      <c r="E1174" s="92">
        <v>50</v>
      </c>
      <c r="F1174" s="92" t="str">
        <f>_xlfn.XLOOKUP(B1174, DATA_Moresby_2024_ALL!B:B, DATA_Moresby_2024_ALL!G:G, "")</f>
        <v>5855_20240611_0008_L_0624.jpg</v>
      </c>
      <c r="G1174" s="93" t="str">
        <f t="shared" si="62"/>
        <v>5855_20240611_0008_L_0624.jpg</v>
      </c>
      <c r="H1174" s="92">
        <v>3</v>
      </c>
      <c r="J1174" s="79">
        <f>IF(G1174="","X",_xlfn.XLOOKUP(B1174,DATA_Moresby_2024_ALL!B:B,DATA_Moresby_2024_ALL!K:K,""))</f>
        <v>1</v>
      </c>
      <c r="K1174" s="28"/>
      <c r="L1174" s="29"/>
      <c r="M1174" s="28"/>
      <c r="N1174" s="19">
        <f t="shared" si="60"/>
        <v>4</v>
      </c>
      <c r="O1174" s="19">
        <v>3</v>
      </c>
      <c r="P1174" s="19">
        <f t="shared" si="59"/>
        <v>4</v>
      </c>
      <c r="Q1174" s="19">
        <f t="shared" si="59"/>
        <v>4</v>
      </c>
      <c r="X1174" s="92" t="s">
        <v>78</v>
      </c>
      <c r="Y1174" s="92" t="s">
        <v>78</v>
      </c>
      <c r="Z1174" s="92" t="s">
        <v>78</v>
      </c>
    </row>
    <row r="1175" spans="1:26" ht="16" hidden="1" x14ac:dyDescent="0.4">
      <c r="A1175" s="92">
        <v>5859</v>
      </c>
      <c r="B1175" s="92">
        <v>5860</v>
      </c>
      <c r="E1175" s="92">
        <v>50</v>
      </c>
      <c r="F1175" s="92" t="str">
        <f>_xlfn.XLOOKUP(B1175, DATA_Moresby_2024_ALL!B:B, DATA_Moresby_2024_ALL!G:G, "")</f>
        <v>5860_20240611_0008_L_0643.jpg</v>
      </c>
      <c r="G1175" s="93" t="str">
        <f t="shared" si="62"/>
        <v>5860_20240611_0008_L_0643.jpg</v>
      </c>
      <c r="H1175" s="92">
        <v>3</v>
      </c>
      <c r="J1175" s="79">
        <f>IF(G1175="","X",_xlfn.XLOOKUP(B1175,DATA_Moresby_2024_ALL!B:B,DATA_Moresby_2024_ALL!K:K,""))</f>
        <v>1</v>
      </c>
      <c r="K1175" s="28"/>
      <c r="L1175" s="29"/>
      <c r="M1175" s="28"/>
      <c r="N1175" s="19">
        <v>3</v>
      </c>
      <c r="O1175" s="19">
        <v>3</v>
      </c>
      <c r="P1175" s="19">
        <f t="shared" si="59"/>
        <v>4</v>
      </c>
      <c r="Q1175" s="19">
        <f t="shared" si="59"/>
        <v>4</v>
      </c>
      <c r="X1175" s="92" t="s">
        <v>78</v>
      </c>
      <c r="Y1175" s="92" t="s">
        <v>78</v>
      </c>
      <c r="Z1175" s="92" t="s">
        <v>78</v>
      </c>
    </row>
    <row r="1176" spans="1:26" ht="16" hidden="1" x14ac:dyDescent="0.4">
      <c r="A1176" s="92">
        <v>5864</v>
      </c>
      <c r="B1176" s="92">
        <v>5865</v>
      </c>
      <c r="E1176" s="92">
        <v>50</v>
      </c>
      <c r="F1176" s="92" t="str">
        <f>_xlfn.XLOOKUP(B1176, DATA_Moresby_2024_ALL!B:B, DATA_Moresby_2024_ALL!G:G, "")</f>
        <v>5865_20240611_0008_L_0663.jpg</v>
      </c>
      <c r="G1176" s="93" t="str">
        <f t="shared" si="62"/>
        <v>5865_20240611_0008_L_0663.jpg</v>
      </c>
      <c r="H1176" s="92">
        <v>3</v>
      </c>
      <c r="J1176" s="79">
        <f>IF(G1176="","X",_xlfn.XLOOKUP(B1176,DATA_Moresby_2024_ALL!B:B,DATA_Moresby_2024_ALL!K:K,""))</f>
        <v>1</v>
      </c>
      <c r="K1176" s="28"/>
      <c r="L1176" s="29"/>
      <c r="M1176" s="28"/>
      <c r="N1176" s="19">
        <f t="shared" si="60"/>
        <v>4</v>
      </c>
      <c r="O1176" s="19">
        <f t="shared" si="59"/>
        <v>4</v>
      </c>
      <c r="P1176" s="19">
        <f t="shared" si="59"/>
        <v>4</v>
      </c>
      <c r="Q1176" s="19">
        <f t="shared" si="59"/>
        <v>4</v>
      </c>
      <c r="X1176" s="92" t="s">
        <v>78</v>
      </c>
      <c r="Y1176" s="92" t="s">
        <v>78</v>
      </c>
      <c r="Z1176" s="92" t="s">
        <v>78</v>
      </c>
    </row>
    <row r="1177" spans="1:26" ht="16" hidden="1" x14ac:dyDescent="0.4">
      <c r="A1177" s="92">
        <v>5869</v>
      </c>
      <c r="B1177" s="92">
        <v>5870</v>
      </c>
      <c r="E1177" s="92">
        <v>50</v>
      </c>
      <c r="F1177" s="92" t="str">
        <f>_xlfn.XLOOKUP(B1177, DATA_Moresby_2024_ALL!B:B, DATA_Moresby_2024_ALL!G:G, "")</f>
        <v>5870_20240611_0008_L_0681.jpg</v>
      </c>
      <c r="G1177" s="93" t="str">
        <f t="shared" si="62"/>
        <v>5870_20240611_0008_L_0681.jpg</v>
      </c>
      <c r="H1177" s="92">
        <v>3</v>
      </c>
      <c r="J1177" s="79">
        <f>IF(G1177="","X",_xlfn.XLOOKUP(B1177,DATA_Moresby_2024_ALL!B:B,DATA_Moresby_2024_ALL!K:K,""))</f>
        <v>1</v>
      </c>
      <c r="K1177" s="28"/>
      <c r="L1177" s="29"/>
      <c r="M1177" s="28"/>
      <c r="N1177" s="19">
        <v>3</v>
      </c>
      <c r="O1177" s="19">
        <v>3</v>
      </c>
      <c r="P1177" s="19">
        <f t="shared" si="59"/>
        <v>4</v>
      </c>
      <c r="Q1177" s="19">
        <v>3</v>
      </c>
      <c r="X1177" s="92" t="s">
        <v>78</v>
      </c>
      <c r="Y1177" s="92" t="s">
        <v>78</v>
      </c>
      <c r="Z1177" s="92" t="s">
        <v>78</v>
      </c>
    </row>
    <row r="1178" spans="1:26" ht="16" hidden="1" x14ac:dyDescent="0.4">
      <c r="A1178" s="92">
        <v>5874</v>
      </c>
      <c r="B1178" s="92">
        <v>5875</v>
      </c>
      <c r="E1178" s="92">
        <v>50</v>
      </c>
      <c r="F1178" s="92" t="str">
        <f>_xlfn.XLOOKUP(B1178, DATA_Moresby_2024_ALL!B:B, DATA_Moresby_2024_ALL!G:G, "")</f>
        <v>5875_20240611_0008_L_0700.jpg</v>
      </c>
      <c r="G1178" s="93" t="str">
        <f t="shared" si="62"/>
        <v>5875_20240611_0008_L_0700.jpg</v>
      </c>
      <c r="H1178" s="92">
        <v>3</v>
      </c>
      <c r="J1178" s="79">
        <f>IF(G1178="","X",_xlfn.XLOOKUP(B1178,DATA_Moresby_2024_ALL!B:B,DATA_Moresby_2024_ALL!K:K,""))</f>
        <v>1</v>
      </c>
      <c r="K1178" s="28"/>
      <c r="L1178" s="29"/>
      <c r="M1178" s="28"/>
      <c r="N1178" s="19">
        <v>2</v>
      </c>
      <c r="O1178" s="19">
        <v>2</v>
      </c>
      <c r="P1178" s="19">
        <f t="shared" si="59"/>
        <v>4</v>
      </c>
      <c r="Q1178" s="19">
        <v>2</v>
      </c>
      <c r="X1178" s="92" t="s">
        <v>78</v>
      </c>
      <c r="Y1178" s="92" t="s">
        <v>78</v>
      </c>
      <c r="Z1178" s="92" t="s">
        <v>78</v>
      </c>
    </row>
    <row r="1179" spans="1:26" ht="16" hidden="1" x14ac:dyDescent="0.4">
      <c r="A1179" s="92">
        <v>5879</v>
      </c>
      <c r="B1179" s="92">
        <v>5880</v>
      </c>
      <c r="E1179" s="92">
        <v>50</v>
      </c>
      <c r="F1179" s="92" t="str">
        <f>_xlfn.XLOOKUP(B1179, DATA_Moresby_2024_ALL!B:B, DATA_Moresby_2024_ALL!G:G, "")</f>
        <v>5880_20240611_0008_L_0718.jpg</v>
      </c>
      <c r="G1179" s="93" t="str">
        <f t="shared" si="62"/>
        <v>5880_20240611_0008_L_0718.jpg</v>
      </c>
      <c r="H1179" s="92">
        <v>3</v>
      </c>
      <c r="J1179" s="79">
        <f>IF(G1179="","X",_xlfn.XLOOKUP(B1179,DATA_Moresby_2024_ALL!B:B,DATA_Moresby_2024_ALL!K:K,""))</f>
        <v>1</v>
      </c>
      <c r="K1179" s="28"/>
      <c r="L1179" s="29"/>
      <c r="M1179" s="28"/>
      <c r="N1179" s="19">
        <v>1</v>
      </c>
      <c r="O1179" s="19">
        <v>1</v>
      </c>
      <c r="P1179" s="19">
        <f t="shared" si="59"/>
        <v>4</v>
      </c>
      <c r="Q1179" s="19">
        <v>2</v>
      </c>
      <c r="X1179" s="92" t="s">
        <v>78</v>
      </c>
      <c r="Y1179" s="92" t="s">
        <v>78</v>
      </c>
      <c r="Z1179" s="92" t="s">
        <v>78</v>
      </c>
    </row>
    <row r="1180" spans="1:26" ht="16" hidden="1" x14ac:dyDescent="0.4">
      <c r="A1180" s="92">
        <v>5884</v>
      </c>
      <c r="B1180" s="92">
        <v>5885</v>
      </c>
      <c r="E1180" s="92">
        <v>50</v>
      </c>
      <c r="F1180" s="92" t="str">
        <f>_xlfn.XLOOKUP(B1180, DATA_Moresby_2024_ALL!B:B, DATA_Moresby_2024_ALL!G:G, "")</f>
        <v>5885_20240611_0008_L_0737.jpg</v>
      </c>
      <c r="G1180" s="93" t="str">
        <f t="shared" si="62"/>
        <v>5885_20240611_0008_L_0737.jpg</v>
      </c>
      <c r="H1180" s="92">
        <v>3</v>
      </c>
      <c r="I1180" s="92" t="str">
        <f>IF(G1180="","X","")</f>
        <v/>
      </c>
      <c r="J1180" s="79">
        <f>IF(G1180="","X",_xlfn.XLOOKUP(B1180,DATA_Moresby_2024_ALL!B:B,DATA_Moresby_2024_ALL!K:K,""))</f>
        <v>0</v>
      </c>
      <c r="K1180" s="28"/>
      <c r="L1180" s="29"/>
      <c r="M1180" s="28"/>
      <c r="N1180" s="19"/>
      <c r="O1180" s="19"/>
      <c r="P1180" s="19" t="str">
        <f t="shared" si="59"/>
        <v/>
      </c>
      <c r="Q1180" s="19"/>
      <c r="X1180" s="92" t="s">
        <v>78</v>
      </c>
      <c r="Y1180" s="92" t="s">
        <v>78</v>
      </c>
      <c r="Z1180" s="92" t="s">
        <v>78</v>
      </c>
    </row>
    <row r="1181" spans="1:26" ht="16" hidden="1" x14ac:dyDescent="0.4">
      <c r="A1181" s="92">
        <v>5889</v>
      </c>
      <c r="B1181" s="92">
        <v>5890</v>
      </c>
      <c r="E1181" s="92">
        <v>50</v>
      </c>
      <c r="F1181" s="92" t="str">
        <f>_xlfn.XLOOKUP(B1181, DATA_Moresby_2024_ALL!B:B, DATA_Moresby_2024_ALL!G:G, "")</f>
        <v>5890_20240611_0009_L_0018.jpg</v>
      </c>
      <c r="G1181" s="93" t="str">
        <f t="shared" si="62"/>
        <v>5890_20240611_0009_L_0018.jpg</v>
      </c>
      <c r="H1181" s="92">
        <v>3</v>
      </c>
      <c r="J1181" s="79">
        <f>IF(G1181="","X",_xlfn.XLOOKUP(B1181,DATA_Moresby_2024_ALL!B:B,DATA_Moresby_2024_ALL!K:K,""))</f>
        <v>1</v>
      </c>
      <c r="K1181" s="28"/>
      <c r="L1181" s="29"/>
      <c r="M1181" s="28"/>
      <c r="N1181" s="19">
        <v>1</v>
      </c>
      <c r="O1181" s="19">
        <v>2</v>
      </c>
      <c r="P1181" s="19">
        <f t="shared" si="60"/>
        <v>4</v>
      </c>
      <c r="Q1181" s="19">
        <v>1</v>
      </c>
      <c r="X1181" s="92" t="s">
        <v>78</v>
      </c>
      <c r="Y1181" s="92" t="s">
        <v>78</v>
      </c>
      <c r="Z1181" s="92" t="s">
        <v>78</v>
      </c>
    </row>
    <row r="1182" spans="1:26" ht="16" hidden="1" x14ac:dyDescent="0.4">
      <c r="A1182" s="92">
        <v>5894</v>
      </c>
      <c r="B1182" s="92">
        <v>5895</v>
      </c>
      <c r="E1182" s="92">
        <v>50</v>
      </c>
      <c r="F1182" s="92" t="str">
        <f>_xlfn.XLOOKUP(B1182, DATA_Moresby_2024_ALL!B:B, DATA_Moresby_2024_ALL!G:G, "")</f>
        <v>5895_20240611_0009_L_0032.jpg</v>
      </c>
      <c r="G1182" s="93" t="str">
        <f t="shared" si="62"/>
        <v>5895_20240611_0009_L_0032.jpg</v>
      </c>
      <c r="H1182" s="92">
        <v>3</v>
      </c>
      <c r="J1182" s="79">
        <f>IF(G1182="","X",_xlfn.XLOOKUP(B1182,DATA_Moresby_2024_ALL!B:B,DATA_Moresby_2024_ALL!K:K,""))</f>
        <v>1</v>
      </c>
      <c r="K1182" s="28"/>
      <c r="L1182" s="29"/>
      <c r="M1182" s="28"/>
      <c r="N1182" s="19">
        <v>2</v>
      </c>
      <c r="O1182" s="19">
        <v>2</v>
      </c>
      <c r="P1182" s="19">
        <f t="shared" ref="N1182:Q1245" si="63">IF($J1182=1,4,"")</f>
        <v>4</v>
      </c>
      <c r="Q1182" s="19">
        <v>2</v>
      </c>
      <c r="X1182" s="92" t="s">
        <v>78</v>
      </c>
      <c r="Y1182" s="92" t="s">
        <v>78</v>
      </c>
      <c r="Z1182" s="92" t="s">
        <v>78</v>
      </c>
    </row>
    <row r="1183" spans="1:26" ht="16" hidden="1" x14ac:dyDescent="0.4">
      <c r="A1183" s="92">
        <v>5899</v>
      </c>
      <c r="B1183" s="92">
        <v>5900</v>
      </c>
      <c r="E1183" s="92">
        <v>50</v>
      </c>
      <c r="F1183" s="92" t="str">
        <f>_xlfn.XLOOKUP(B1183, DATA_Moresby_2024_ALL!B:B, DATA_Moresby_2024_ALL!G:G, "")</f>
        <v>5900_20240611_0009_L_0050.jpg</v>
      </c>
      <c r="G1183" s="93" t="str">
        <f t="shared" si="62"/>
        <v>5900_20240611_0009_L_0050.jpg</v>
      </c>
      <c r="H1183" s="92">
        <v>3</v>
      </c>
      <c r="J1183" s="79">
        <f>IF(G1183="","X",_xlfn.XLOOKUP(B1183,DATA_Moresby_2024_ALL!B:B,DATA_Moresby_2024_ALL!K:K,""))</f>
        <v>1</v>
      </c>
      <c r="K1183" s="28"/>
      <c r="L1183" s="29"/>
      <c r="M1183" s="28"/>
      <c r="N1183" s="19">
        <v>1</v>
      </c>
      <c r="O1183" s="19">
        <v>2</v>
      </c>
      <c r="P1183" s="19">
        <f t="shared" si="63"/>
        <v>4</v>
      </c>
      <c r="Q1183" s="19">
        <v>1</v>
      </c>
      <c r="X1183" s="92" t="s">
        <v>78</v>
      </c>
      <c r="Y1183" s="92" t="s">
        <v>78</v>
      </c>
      <c r="Z1183" s="92" t="s">
        <v>78</v>
      </c>
    </row>
    <row r="1184" spans="1:26" ht="16" hidden="1" x14ac:dyDescent="0.4">
      <c r="A1184" s="92">
        <v>5904</v>
      </c>
      <c r="B1184" s="92">
        <v>5905</v>
      </c>
      <c r="E1184" s="92">
        <v>50</v>
      </c>
      <c r="F1184" s="92" t="str">
        <f>_xlfn.XLOOKUP(B1184, DATA_Moresby_2024_ALL!B:B, DATA_Moresby_2024_ALL!G:G, "")</f>
        <v>5905_20240611_0009_L_0069.jpg</v>
      </c>
      <c r="G1184" s="93" t="str">
        <f t="shared" si="62"/>
        <v>5905_20240611_0009_L_0069.jpg</v>
      </c>
      <c r="H1184" s="92">
        <v>3</v>
      </c>
      <c r="I1184" s="92" t="str">
        <f>IF(G1184="","X","")</f>
        <v/>
      </c>
      <c r="J1184" s="79">
        <f>IF(G1184="","X",_xlfn.XLOOKUP(B1184,DATA_Moresby_2024_ALL!B:B,DATA_Moresby_2024_ALL!K:K,""))</f>
        <v>0</v>
      </c>
      <c r="K1184" s="28"/>
      <c r="L1184" s="29"/>
      <c r="M1184" s="28"/>
      <c r="N1184" s="19"/>
      <c r="O1184" s="19"/>
      <c r="P1184" s="19" t="str">
        <f t="shared" si="63"/>
        <v/>
      </c>
      <c r="Q1184" s="19"/>
      <c r="X1184" s="92" t="s">
        <v>78</v>
      </c>
      <c r="Y1184" s="92" t="s">
        <v>78</v>
      </c>
      <c r="Z1184" s="92" t="s">
        <v>78</v>
      </c>
    </row>
    <row r="1185" spans="1:26" ht="16" hidden="1" x14ac:dyDescent="0.4">
      <c r="A1185" s="92">
        <v>5909</v>
      </c>
      <c r="B1185" s="92">
        <v>5910</v>
      </c>
      <c r="E1185" s="92">
        <v>50</v>
      </c>
      <c r="F1185" s="92" t="str">
        <f>_xlfn.XLOOKUP(B1185, DATA_Moresby_2024_ALL!B:B, DATA_Moresby_2024_ALL!G:G, "")</f>
        <v>5910_20240611_0009_L_0084.jpg</v>
      </c>
      <c r="G1185" s="93" t="str">
        <f t="shared" si="62"/>
        <v>5910_20240611_0009_L_0084.jpg</v>
      </c>
      <c r="H1185" s="92">
        <v>3</v>
      </c>
      <c r="J1185" s="79">
        <f>IF(G1185="","X",_xlfn.XLOOKUP(B1185,DATA_Moresby_2024_ALL!B:B,DATA_Moresby_2024_ALL!K:K,""))</f>
        <v>1</v>
      </c>
      <c r="K1185" s="28"/>
      <c r="L1185" s="29"/>
      <c r="M1185" s="28"/>
      <c r="N1185" s="19">
        <v>2</v>
      </c>
      <c r="O1185" s="19">
        <v>2</v>
      </c>
      <c r="P1185" s="19">
        <f t="shared" si="63"/>
        <v>4</v>
      </c>
      <c r="Q1185" s="19">
        <v>3</v>
      </c>
      <c r="X1185" s="92" t="s">
        <v>78</v>
      </c>
      <c r="Y1185" s="92" t="s">
        <v>78</v>
      </c>
      <c r="Z1185" s="92" t="s">
        <v>78</v>
      </c>
    </row>
    <row r="1186" spans="1:26" ht="16" hidden="1" x14ac:dyDescent="0.4">
      <c r="A1186" s="92">
        <v>5914</v>
      </c>
      <c r="B1186" s="92">
        <v>5915</v>
      </c>
      <c r="E1186" s="92">
        <v>50</v>
      </c>
      <c r="F1186" s="92" t="str">
        <f>_xlfn.XLOOKUP(B1186, DATA_Moresby_2024_ALL!B:B, DATA_Moresby_2024_ALL!G:G, "")</f>
        <v>5915_20240611_0009_L_0100.jpg</v>
      </c>
      <c r="G1186" s="93" t="str">
        <f t="shared" si="62"/>
        <v>5915_20240611_0009_L_0100.jpg</v>
      </c>
      <c r="H1186" s="92">
        <v>3</v>
      </c>
      <c r="J1186" s="79">
        <f>IF(G1186="","X",_xlfn.XLOOKUP(B1186,DATA_Moresby_2024_ALL!B:B,DATA_Moresby_2024_ALL!K:K,""))</f>
        <v>1</v>
      </c>
      <c r="K1186" s="28"/>
      <c r="L1186" s="29"/>
      <c r="M1186" s="28"/>
      <c r="N1186" s="19">
        <v>3</v>
      </c>
      <c r="O1186" s="19">
        <v>3</v>
      </c>
      <c r="P1186" s="19">
        <f t="shared" si="63"/>
        <v>4</v>
      </c>
      <c r="Q1186" s="19">
        <v>2</v>
      </c>
      <c r="X1186" s="92" t="s">
        <v>78</v>
      </c>
      <c r="Y1186" s="92" t="s">
        <v>78</v>
      </c>
      <c r="Z1186" s="92" t="s">
        <v>78</v>
      </c>
    </row>
    <row r="1187" spans="1:26" ht="16" hidden="1" x14ac:dyDescent="0.4">
      <c r="A1187" s="92">
        <v>5919</v>
      </c>
      <c r="B1187" s="92">
        <v>5920</v>
      </c>
      <c r="E1187" s="92">
        <v>50</v>
      </c>
      <c r="F1187" s="92" t="str">
        <f>_xlfn.XLOOKUP(B1187, DATA_Moresby_2024_ALL!B:B, DATA_Moresby_2024_ALL!G:G, "")</f>
        <v>5920_20240611_0009_L_0115.jpg</v>
      </c>
      <c r="G1187" s="93" t="str">
        <f t="shared" si="62"/>
        <v>5920_20240611_0009_L_0115.jpg</v>
      </c>
      <c r="H1187" s="92">
        <v>3</v>
      </c>
      <c r="J1187" s="79">
        <f>IF(G1187="","X",_xlfn.XLOOKUP(B1187,DATA_Moresby_2024_ALL!B:B,DATA_Moresby_2024_ALL!K:K,""))</f>
        <v>1</v>
      </c>
      <c r="K1187" s="28"/>
      <c r="L1187" s="29"/>
      <c r="M1187" s="28"/>
      <c r="N1187" s="19">
        <v>3</v>
      </c>
      <c r="O1187" s="19">
        <f t="shared" si="63"/>
        <v>4</v>
      </c>
      <c r="P1187" s="19">
        <f t="shared" si="63"/>
        <v>4</v>
      </c>
      <c r="Q1187" s="19">
        <v>3</v>
      </c>
      <c r="X1187" s="92" t="s">
        <v>78</v>
      </c>
      <c r="Y1187" s="92" t="s">
        <v>78</v>
      </c>
      <c r="Z1187" s="92" t="s">
        <v>78</v>
      </c>
    </row>
    <row r="1188" spans="1:26" ht="16" hidden="1" x14ac:dyDescent="0.4">
      <c r="A1188" s="92">
        <v>5924</v>
      </c>
      <c r="B1188" s="92">
        <v>5925</v>
      </c>
      <c r="E1188" s="92">
        <v>50</v>
      </c>
      <c r="F1188" s="92" t="str">
        <f>_xlfn.XLOOKUP(B1188, DATA_Moresby_2024_ALL!B:B, DATA_Moresby_2024_ALL!G:G, "")</f>
        <v>5925_20240611_0009_L_0129.jpg</v>
      </c>
      <c r="G1188" s="93" t="str">
        <f t="shared" si="62"/>
        <v>5925_20240611_0009_L_0129.jpg</v>
      </c>
      <c r="H1188" s="92">
        <v>3</v>
      </c>
      <c r="J1188" s="79">
        <f>IF(G1188="","X",_xlfn.XLOOKUP(B1188,DATA_Moresby_2024_ALL!B:B,DATA_Moresby_2024_ALL!K:K,""))</f>
        <v>1</v>
      </c>
      <c r="K1188" s="28"/>
      <c r="L1188" s="29"/>
      <c r="M1188" s="28"/>
      <c r="N1188" s="19">
        <f t="shared" si="63"/>
        <v>4</v>
      </c>
      <c r="O1188" s="19">
        <f t="shared" si="63"/>
        <v>4</v>
      </c>
      <c r="P1188" s="19">
        <f t="shared" si="63"/>
        <v>4</v>
      </c>
      <c r="Q1188" s="19">
        <f t="shared" si="63"/>
        <v>4</v>
      </c>
      <c r="X1188" s="92" t="s">
        <v>78</v>
      </c>
      <c r="Y1188" s="92" t="s">
        <v>78</v>
      </c>
      <c r="Z1188" s="92" t="s">
        <v>78</v>
      </c>
    </row>
    <row r="1189" spans="1:26" ht="16" hidden="1" x14ac:dyDescent="0.4">
      <c r="A1189" s="92">
        <v>5929</v>
      </c>
      <c r="B1189" s="92">
        <v>5930</v>
      </c>
      <c r="E1189" s="92">
        <v>50</v>
      </c>
      <c r="F1189" s="92" t="str">
        <f>_xlfn.XLOOKUP(B1189, DATA_Moresby_2024_ALL!B:B, DATA_Moresby_2024_ALL!G:G, "")</f>
        <v>5930_20240611_0009_L_0144.jpg</v>
      </c>
      <c r="G1189" s="93" t="str">
        <f t="shared" si="62"/>
        <v>5930_20240611_0009_L_0144.jpg</v>
      </c>
      <c r="H1189" s="92">
        <v>3</v>
      </c>
      <c r="J1189" s="79">
        <f>IF(G1189="","X",_xlfn.XLOOKUP(B1189,DATA_Moresby_2024_ALL!B:B,DATA_Moresby_2024_ALL!K:K,""))</f>
        <v>1</v>
      </c>
      <c r="K1189" s="28"/>
      <c r="L1189" s="29"/>
      <c r="M1189" s="28"/>
      <c r="N1189" s="19">
        <v>3</v>
      </c>
      <c r="O1189" s="19">
        <f t="shared" si="63"/>
        <v>4</v>
      </c>
      <c r="P1189" s="19">
        <f t="shared" si="63"/>
        <v>4</v>
      </c>
      <c r="Q1189" s="19">
        <v>3</v>
      </c>
      <c r="X1189" s="92" t="s">
        <v>78</v>
      </c>
      <c r="Y1189" s="92" t="s">
        <v>78</v>
      </c>
      <c r="Z1189" s="92" t="s">
        <v>78</v>
      </c>
    </row>
    <row r="1190" spans="1:26" ht="16" hidden="1" x14ac:dyDescent="0.4">
      <c r="A1190" s="92">
        <v>5934</v>
      </c>
      <c r="B1190" s="92">
        <v>5935</v>
      </c>
      <c r="E1190" s="92">
        <v>50</v>
      </c>
      <c r="F1190" s="92" t="str">
        <f>_xlfn.XLOOKUP(B1190, DATA_Moresby_2024_ALL!B:B, DATA_Moresby_2024_ALL!G:G, "")</f>
        <v>5935_20240611_0009_L_0160.jpg</v>
      </c>
      <c r="G1190" s="93" t="str">
        <f t="shared" si="62"/>
        <v>5935_20240611_0009_L_0160.jpg</v>
      </c>
      <c r="H1190" s="92">
        <v>3</v>
      </c>
      <c r="J1190" s="79">
        <f>IF(G1190="","X",_xlfn.XLOOKUP(B1190,DATA_Moresby_2024_ALL!B:B,DATA_Moresby_2024_ALL!K:K,""))</f>
        <v>1</v>
      </c>
      <c r="K1190" s="28"/>
      <c r="L1190" s="29"/>
      <c r="M1190" s="28"/>
      <c r="N1190" s="19">
        <f t="shared" si="63"/>
        <v>4</v>
      </c>
      <c r="O1190" s="19">
        <f t="shared" si="63"/>
        <v>4</v>
      </c>
      <c r="P1190" s="19">
        <f t="shared" si="63"/>
        <v>4</v>
      </c>
      <c r="Q1190" s="19">
        <v>3</v>
      </c>
      <c r="X1190" s="92" t="s">
        <v>78</v>
      </c>
      <c r="Y1190" s="92" t="s">
        <v>78</v>
      </c>
      <c r="Z1190" s="92" t="s">
        <v>78</v>
      </c>
    </row>
    <row r="1191" spans="1:26" ht="16" hidden="1" x14ac:dyDescent="0.4">
      <c r="A1191" s="92">
        <v>5939</v>
      </c>
      <c r="B1191" s="92">
        <v>5940</v>
      </c>
      <c r="E1191" s="92">
        <v>50</v>
      </c>
      <c r="F1191" s="92" t="str">
        <f>_xlfn.XLOOKUP(B1191, DATA_Moresby_2024_ALL!B:B, DATA_Moresby_2024_ALL!G:G, "")</f>
        <v>5940_20240611_0009_L_0176.jpg</v>
      </c>
      <c r="G1191" s="93" t="str">
        <f t="shared" si="62"/>
        <v>5940_20240611_0009_L_0176.jpg</v>
      </c>
      <c r="H1191" s="92">
        <v>3</v>
      </c>
      <c r="J1191" s="79">
        <f>IF(G1191="","X",_xlfn.XLOOKUP(B1191,DATA_Moresby_2024_ALL!B:B,DATA_Moresby_2024_ALL!K:K,""))</f>
        <v>1</v>
      </c>
      <c r="K1191" s="28"/>
      <c r="L1191" s="29"/>
      <c r="M1191" s="28"/>
      <c r="N1191" s="19">
        <v>3</v>
      </c>
      <c r="O1191" s="19">
        <v>3</v>
      </c>
      <c r="P1191" s="19">
        <f t="shared" si="63"/>
        <v>4</v>
      </c>
      <c r="Q1191" s="19">
        <v>3</v>
      </c>
      <c r="X1191" s="92" t="s">
        <v>78</v>
      </c>
      <c r="Y1191" s="92" t="s">
        <v>78</v>
      </c>
      <c r="Z1191" s="92" t="s">
        <v>78</v>
      </c>
    </row>
    <row r="1192" spans="1:26" ht="16" hidden="1" x14ac:dyDescent="0.4">
      <c r="A1192" s="92">
        <v>5944</v>
      </c>
      <c r="B1192" s="92">
        <v>5945</v>
      </c>
      <c r="E1192" s="92">
        <v>50</v>
      </c>
      <c r="F1192" s="92" t="str">
        <f>_xlfn.XLOOKUP(B1192, DATA_Moresby_2024_ALL!B:B, DATA_Moresby_2024_ALL!G:G, "")</f>
        <v>5945_20240611_0009_L_0198.jpg</v>
      </c>
      <c r="G1192" s="93" t="str">
        <f t="shared" si="62"/>
        <v>5945_20240611_0009_L_0198.jpg</v>
      </c>
      <c r="H1192" s="92">
        <v>3</v>
      </c>
      <c r="J1192" s="79">
        <f>IF(G1192="","X",_xlfn.XLOOKUP(B1192,DATA_Moresby_2024_ALL!B:B,DATA_Moresby_2024_ALL!K:K,""))</f>
        <v>1</v>
      </c>
      <c r="K1192" s="28"/>
      <c r="L1192" s="29"/>
      <c r="M1192" s="28"/>
      <c r="N1192" s="19">
        <v>3</v>
      </c>
      <c r="O1192" s="19">
        <f t="shared" si="63"/>
        <v>4</v>
      </c>
      <c r="P1192" s="19">
        <f t="shared" si="63"/>
        <v>4</v>
      </c>
      <c r="Q1192" s="19">
        <v>3</v>
      </c>
      <c r="X1192" s="92" t="s">
        <v>78</v>
      </c>
      <c r="Y1192" s="92" t="s">
        <v>78</v>
      </c>
      <c r="Z1192" s="92" t="s">
        <v>78</v>
      </c>
    </row>
    <row r="1193" spans="1:26" ht="16" hidden="1" x14ac:dyDescent="0.4">
      <c r="A1193" s="92">
        <v>5949</v>
      </c>
      <c r="B1193" s="92">
        <v>5950</v>
      </c>
      <c r="E1193" s="92">
        <v>50</v>
      </c>
      <c r="F1193" s="92" t="str">
        <f>_xlfn.XLOOKUP(B1193, DATA_Moresby_2024_ALL!B:B, DATA_Moresby_2024_ALL!G:G, "")</f>
        <v>5950_20240611_0009_L_0232.jpg</v>
      </c>
      <c r="G1193" s="93" t="str">
        <f t="shared" si="62"/>
        <v>5950_20240611_0009_L_0232.jpg</v>
      </c>
      <c r="H1193" s="92">
        <v>3</v>
      </c>
      <c r="J1193" s="79">
        <f>IF(G1193="","X",_xlfn.XLOOKUP(B1193,DATA_Moresby_2024_ALL!B:B,DATA_Moresby_2024_ALL!K:K,""))</f>
        <v>1</v>
      </c>
      <c r="K1193" s="28"/>
      <c r="L1193" s="29"/>
      <c r="M1193" s="28"/>
      <c r="N1193" s="19">
        <v>3</v>
      </c>
      <c r="O1193" s="19">
        <f t="shared" si="63"/>
        <v>4</v>
      </c>
      <c r="P1193" s="19">
        <f t="shared" si="63"/>
        <v>4</v>
      </c>
      <c r="Q1193" s="19">
        <v>3</v>
      </c>
      <c r="X1193" s="92" t="s">
        <v>78</v>
      </c>
      <c r="Y1193" s="92" t="s">
        <v>78</v>
      </c>
      <c r="Z1193" s="92" t="s">
        <v>78</v>
      </c>
    </row>
    <row r="1194" spans="1:26" ht="16" hidden="1" x14ac:dyDescent="0.4">
      <c r="A1194" s="92">
        <v>5954</v>
      </c>
      <c r="B1194" s="92">
        <v>5955</v>
      </c>
      <c r="E1194" s="92">
        <v>50</v>
      </c>
      <c r="F1194" s="92" t="str">
        <f>_xlfn.XLOOKUP(B1194, DATA_Moresby_2024_ALL!B:B, DATA_Moresby_2024_ALL!G:G, "")</f>
        <v>5955_20240611_0009_L_0251.jpg</v>
      </c>
      <c r="G1194" s="93" t="str">
        <f t="shared" si="62"/>
        <v>5955_20240611_0009_L_0251.jpg</v>
      </c>
      <c r="H1194" s="92">
        <v>3</v>
      </c>
      <c r="J1194" s="79">
        <f>IF(G1194="","X",_xlfn.XLOOKUP(B1194,DATA_Moresby_2024_ALL!B:B,DATA_Moresby_2024_ALL!K:K,""))</f>
        <v>1</v>
      </c>
      <c r="K1194" s="28"/>
      <c r="L1194" s="29"/>
      <c r="M1194" s="28"/>
      <c r="N1194" s="19">
        <f t="shared" si="63"/>
        <v>4</v>
      </c>
      <c r="O1194" s="19">
        <f t="shared" si="63"/>
        <v>4</v>
      </c>
      <c r="P1194" s="19">
        <f t="shared" si="63"/>
        <v>4</v>
      </c>
      <c r="Q1194" s="19">
        <v>3</v>
      </c>
      <c r="X1194" s="92" t="s">
        <v>78</v>
      </c>
      <c r="Y1194" s="92" t="s">
        <v>78</v>
      </c>
      <c r="Z1194" s="92" t="s">
        <v>78</v>
      </c>
    </row>
    <row r="1195" spans="1:26" ht="16" hidden="1" x14ac:dyDescent="0.4">
      <c r="A1195" s="92">
        <v>5959</v>
      </c>
      <c r="B1195" s="92">
        <v>5960</v>
      </c>
      <c r="E1195" s="92">
        <v>50</v>
      </c>
      <c r="F1195" s="92" t="str">
        <f>_xlfn.XLOOKUP(B1195, DATA_Moresby_2024_ALL!B:B, DATA_Moresby_2024_ALL!G:G, "")</f>
        <v>5960_20240611_0009_L_0268.jpg</v>
      </c>
      <c r="G1195" s="93" t="str">
        <f t="shared" si="62"/>
        <v>5960_20240611_0009_L_0268.jpg</v>
      </c>
      <c r="H1195" s="92">
        <v>3</v>
      </c>
      <c r="J1195" s="79">
        <f>IF(G1195="","X",_xlfn.XLOOKUP(B1195,DATA_Moresby_2024_ALL!B:B,DATA_Moresby_2024_ALL!K:K,""))</f>
        <v>1</v>
      </c>
      <c r="K1195" s="28"/>
      <c r="L1195" s="29"/>
      <c r="M1195" s="28"/>
      <c r="N1195" s="19">
        <f t="shared" si="63"/>
        <v>4</v>
      </c>
      <c r="O1195" s="19">
        <f t="shared" si="63"/>
        <v>4</v>
      </c>
      <c r="P1195" s="19">
        <f t="shared" si="63"/>
        <v>4</v>
      </c>
      <c r="Q1195" s="19">
        <f t="shared" si="63"/>
        <v>4</v>
      </c>
      <c r="X1195" s="92" t="s">
        <v>78</v>
      </c>
      <c r="Y1195" s="92" t="s">
        <v>78</v>
      </c>
      <c r="Z1195" s="92" t="s">
        <v>78</v>
      </c>
    </row>
    <row r="1196" spans="1:26" ht="16" hidden="1" x14ac:dyDescent="0.4">
      <c r="A1196" s="92">
        <v>5964</v>
      </c>
      <c r="B1196" s="92">
        <v>5965</v>
      </c>
      <c r="E1196" s="92">
        <v>50</v>
      </c>
      <c r="F1196" s="92" t="str">
        <f>_xlfn.XLOOKUP(B1196, DATA_Moresby_2024_ALL!B:B, DATA_Moresby_2024_ALL!G:G, "")</f>
        <v>5965_20240611_0009_L_0286.jpg</v>
      </c>
      <c r="G1196" s="93" t="str">
        <f t="shared" si="62"/>
        <v>5965_20240611_0009_L_0286.jpg</v>
      </c>
      <c r="H1196" s="92">
        <v>3</v>
      </c>
      <c r="J1196" s="79">
        <f>IF(G1196="","X",_xlfn.XLOOKUP(B1196,DATA_Moresby_2024_ALL!B:B,DATA_Moresby_2024_ALL!K:K,""))</f>
        <v>1</v>
      </c>
      <c r="K1196" s="28"/>
      <c r="L1196" s="29"/>
      <c r="M1196" s="28"/>
      <c r="N1196" s="19">
        <f t="shared" si="63"/>
        <v>4</v>
      </c>
      <c r="O1196" s="19">
        <f t="shared" si="63"/>
        <v>4</v>
      </c>
      <c r="P1196" s="19">
        <f t="shared" si="63"/>
        <v>4</v>
      </c>
      <c r="Q1196" s="19">
        <v>3</v>
      </c>
      <c r="X1196" s="92" t="s">
        <v>78</v>
      </c>
      <c r="Y1196" s="92" t="s">
        <v>78</v>
      </c>
      <c r="Z1196" s="92" t="s">
        <v>78</v>
      </c>
    </row>
    <row r="1197" spans="1:26" ht="16" hidden="1" x14ac:dyDescent="0.4">
      <c r="A1197" s="92">
        <v>5969</v>
      </c>
      <c r="B1197" s="92">
        <v>5970</v>
      </c>
      <c r="E1197" s="92">
        <v>50</v>
      </c>
      <c r="F1197" s="92" t="str">
        <f>_xlfn.XLOOKUP(B1197, DATA_Moresby_2024_ALL!B:B, DATA_Moresby_2024_ALL!G:G, "")</f>
        <v>5970_20240611_0009_L_0304.jpg</v>
      </c>
      <c r="G1197" s="93" t="str">
        <f t="shared" si="62"/>
        <v>5970_20240611_0009_L_0304.jpg</v>
      </c>
      <c r="H1197" s="92">
        <v>3</v>
      </c>
      <c r="J1197" s="79">
        <f>IF(G1197="","X",_xlfn.XLOOKUP(B1197,DATA_Moresby_2024_ALL!B:B,DATA_Moresby_2024_ALL!K:K,""))</f>
        <v>1</v>
      </c>
      <c r="K1197" s="28"/>
      <c r="L1197" s="29"/>
      <c r="M1197" s="28"/>
      <c r="N1197" s="19">
        <v>3</v>
      </c>
      <c r="O1197" s="19">
        <f t="shared" si="63"/>
        <v>4</v>
      </c>
      <c r="P1197" s="19">
        <f t="shared" si="63"/>
        <v>4</v>
      </c>
      <c r="Q1197" s="19">
        <v>3</v>
      </c>
      <c r="X1197" s="92" t="s">
        <v>78</v>
      </c>
      <c r="Y1197" s="92" t="s">
        <v>78</v>
      </c>
      <c r="Z1197" s="92" t="s">
        <v>78</v>
      </c>
    </row>
    <row r="1198" spans="1:26" ht="16" hidden="1" x14ac:dyDescent="0.4">
      <c r="A1198" s="92">
        <v>5974</v>
      </c>
      <c r="B1198" s="92">
        <v>5975</v>
      </c>
      <c r="E1198" s="92">
        <v>50</v>
      </c>
      <c r="F1198" s="92" t="str">
        <f>_xlfn.XLOOKUP(B1198, DATA_Moresby_2024_ALL!B:B, DATA_Moresby_2024_ALL!G:G, "")</f>
        <v>5975_20240611_0009_L_0320.jpg</v>
      </c>
      <c r="G1198" s="93" t="str">
        <f t="shared" si="62"/>
        <v>5975_20240611_0009_L_0320.jpg</v>
      </c>
      <c r="H1198" s="92">
        <v>3</v>
      </c>
      <c r="J1198" s="79">
        <f>IF(G1198="","X",_xlfn.XLOOKUP(B1198,DATA_Moresby_2024_ALL!B:B,DATA_Moresby_2024_ALL!K:K,""))</f>
        <v>1</v>
      </c>
      <c r="K1198" s="28"/>
      <c r="L1198" s="29"/>
      <c r="M1198" s="28"/>
      <c r="N1198" s="19">
        <v>3</v>
      </c>
      <c r="O1198" s="19">
        <f t="shared" si="63"/>
        <v>4</v>
      </c>
      <c r="P1198" s="19">
        <f t="shared" si="63"/>
        <v>4</v>
      </c>
      <c r="Q1198" s="19">
        <v>3</v>
      </c>
      <c r="X1198" s="92" t="s">
        <v>78</v>
      </c>
      <c r="Y1198" s="92" t="s">
        <v>78</v>
      </c>
      <c r="Z1198" s="92" t="s">
        <v>78</v>
      </c>
    </row>
    <row r="1199" spans="1:26" ht="16" hidden="1" x14ac:dyDescent="0.4">
      <c r="A1199" s="92">
        <v>5979</v>
      </c>
      <c r="B1199" s="92">
        <v>5980</v>
      </c>
      <c r="E1199" s="92">
        <v>50</v>
      </c>
      <c r="F1199" s="92" t="str">
        <f>_xlfn.XLOOKUP(B1199, DATA_Moresby_2024_ALL!B:B, DATA_Moresby_2024_ALL!G:G, "")</f>
        <v>5980_20240611_0009_L_0350.jpg</v>
      </c>
      <c r="G1199" s="93" t="str">
        <f t="shared" si="62"/>
        <v>5980_20240611_0009_L_0350.jpg</v>
      </c>
      <c r="H1199" s="92">
        <v>3</v>
      </c>
      <c r="J1199" s="79">
        <f>IF(G1199="","X",_xlfn.XLOOKUP(B1199,DATA_Moresby_2024_ALL!B:B,DATA_Moresby_2024_ALL!K:K,""))</f>
        <v>1</v>
      </c>
      <c r="K1199" s="28"/>
      <c r="L1199" s="29"/>
      <c r="M1199" s="28"/>
      <c r="N1199" s="19">
        <v>3</v>
      </c>
      <c r="O1199" s="19">
        <f t="shared" si="63"/>
        <v>4</v>
      </c>
      <c r="P1199" s="19">
        <f t="shared" si="63"/>
        <v>4</v>
      </c>
      <c r="Q1199" s="19">
        <v>3</v>
      </c>
      <c r="X1199" s="92" t="s">
        <v>78</v>
      </c>
      <c r="Y1199" s="92" t="s">
        <v>78</v>
      </c>
      <c r="Z1199" s="92" t="s">
        <v>78</v>
      </c>
    </row>
    <row r="1200" spans="1:26" ht="16" hidden="1" x14ac:dyDescent="0.4">
      <c r="A1200" s="92">
        <v>5984</v>
      </c>
      <c r="B1200" s="92">
        <v>5985</v>
      </c>
      <c r="E1200" s="92">
        <v>50</v>
      </c>
      <c r="F1200" s="92" t="str">
        <f>_xlfn.XLOOKUP(B1200, DATA_Moresby_2024_ALL!B:B, DATA_Moresby_2024_ALL!G:G, "")</f>
        <v>5985_20240611_0009_L_0374.jpg</v>
      </c>
      <c r="G1200" s="93" t="str">
        <f t="shared" si="62"/>
        <v>5985_20240611_0009_L_0374.jpg</v>
      </c>
      <c r="H1200" s="92">
        <v>3</v>
      </c>
      <c r="J1200" s="79">
        <f>IF(G1200="","X",_xlfn.XLOOKUP(B1200,DATA_Moresby_2024_ALL!B:B,DATA_Moresby_2024_ALL!K:K,""))</f>
        <v>1</v>
      </c>
      <c r="K1200" s="28"/>
      <c r="L1200" s="29"/>
      <c r="M1200" s="28"/>
      <c r="N1200" s="19">
        <f t="shared" si="63"/>
        <v>4</v>
      </c>
      <c r="O1200" s="19">
        <f t="shared" si="63"/>
        <v>4</v>
      </c>
      <c r="P1200" s="19">
        <f t="shared" si="63"/>
        <v>4</v>
      </c>
      <c r="Q1200" s="19">
        <f t="shared" si="63"/>
        <v>4</v>
      </c>
      <c r="X1200" s="92" t="s">
        <v>78</v>
      </c>
      <c r="Y1200" s="92" t="s">
        <v>78</v>
      </c>
      <c r="Z1200" s="92" t="s">
        <v>78</v>
      </c>
    </row>
    <row r="1201" spans="1:26" ht="16" hidden="1" x14ac:dyDescent="0.4">
      <c r="A1201" s="92">
        <v>5989</v>
      </c>
      <c r="B1201" s="92">
        <v>5990</v>
      </c>
      <c r="E1201" s="92">
        <v>50</v>
      </c>
      <c r="F1201" s="92" t="str">
        <f>_xlfn.XLOOKUP(B1201, DATA_Moresby_2024_ALL!B:B, DATA_Moresby_2024_ALL!G:G, "")</f>
        <v>5990_20240611_0004_R_1157.jpg</v>
      </c>
      <c r="G1201" s="93" t="str">
        <f t="shared" si="62"/>
        <v>5990_20240611_0004_R_1157.jpg</v>
      </c>
      <c r="H1201" s="92">
        <v>3</v>
      </c>
      <c r="J1201" s="79">
        <f>IF(G1201="","X",_xlfn.XLOOKUP(B1201,DATA_Moresby_2024_ALL!B:B,DATA_Moresby_2024_ALL!K:K,""))</f>
        <v>1</v>
      </c>
      <c r="K1201" s="28"/>
      <c r="L1201" s="29"/>
      <c r="M1201" s="28"/>
      <c r="N1201" s="19">
        <f t="shared" si="63"/>
        <v>4</v>
      </c>
      <c r="O1201" s="19">
        <f t="shared" si="63"/>
        <v>4</v>
      </c>
      <c r="P1201" s="19">
        <f t="shared" si="63"/>
        <v>4</v>
      </c>
      <c r="Q1201" s="19">
        <f t="shared" si="63"/>
        <v>4</v>
      </c>
      <c r="X1201" s="92" t="s">
        <v>78</v>
      </c>
      <c r="Y1201" s="92" t="s">
        <v>78</v>
      </c>
      <c r="Z1201" s="92" t="s">
        <v>78</v>
      </c>
    </row>
    <row r="1202" spans="1:26" ht="16" hidden="1" x14ac:dyDescent="0.4">
      <c r="A1202" s="92">
        <v>5994</v>
      </c>
      <c r="B1202" s="92">
        <v>5995</v>
      </c>
      <c r="E1202" s="92">
        <v>50</v>
      </c>
      <c r="F1202" s="92" t="str">
        <f>_xlfn.XLOOKUP(B1202, DATA_Moresby_2024_ALL!B:B, DATA_Moresby_2024_ALL!G:G, "")</f>
        <v>5995_20240611_0004_R_1140.jpg</v>
      </c>
      <c r="G1202" s="93" t="str">
        <f t="shared" si="62"/>
        <v>5995_20240611_0004_R_1140.jpg</v>
      </c>
      <c r="H1202" s="92">
        <v>3</v>
      </c>
      <c r="J1202" s="79">
        <f>IF(G1202="","X",_xlfn.XLOOKUP(B1202,DATA_Moresby_2024_ALL!B:B,DATA_Moresby_2024_ALL!K:K,""))</f>
        <v>1</v>
      </c>
      <c r="K1202" s="28"/>
      <c r="L1202" s="29"/>
      <c r="M1202" s="28"/>
      <c r="N1202" s="19">
        <f t="shared" si="63"/>
        <v>4</v>
      </c>
      <c r="O1202" s="19">
        <f t="shared" si="63"/>
        <v>4</v>
      </c>
      <c r="P1202" s="19">
        <f t="shared" si="63"/>
        <v>4</v>
      </c>
      <c r="Q1202" s="19">
        <f t="shared" si="63"/>
        <v>4</v>
      </c>
      <c r="X1202" s="92" t="s">
        <v>78</v>
      </c>
      <c r="Y1202" s="92" t="s">
        <v>78</v>
      </c>
      <c r="Z1202" s="92" t="s">
        <v>78</v>
      </c>
    </row>
    <row r="1203" spans="1:26" ht="16" hidden="1" x14ac:dyDescent="0.4">
      <c r="A1203" s="92">
        <v>5999</v>
      </c>
      <c r="B1203" s="92">
        <v>6000</v>
      </c>
      <c r="E1203" s="92">
        <v>50</v>
      </c>
      <c r="F1203" s="92" t="str">
        <f>_xlfn.XLOOKUP(B1203, DATA_Moresby_2024_ALL!B:B, DATA_Moresby_2024_ALL!G:G, "")</f>
        <v>6000_20240611_0004_R_1126.jpg</v>
      </c>
      <c r="G1203" s="93" t="str">
        <f t="shared" si="62"/>
        <v>6000_20240611_0004_R_1126.jpg</v>
      </c>
      <c r="H1203" s="92">
        <v>3</v>
      </c>
      <c r="J1203" s="79">
        <f>IF(G1203="","X",_xlfn.XLOOKUP(B1203,DATA_Moresby_2024_ALL!B:B,DATA_Moresby_2024_ALL!K:K,""))</f>
        <v>1</v>
      </c>
      <c r="K1203" s="28"/>
      <c r="L1203" s="29"/>
      <c r="M1203" s="28"/>
      <c r="N1203" s="19">
        <f t="shared" si="63"/>
        <v>4</v>
      </c>
      <c r="O1203" s="19">
        <f t="shared" si="63"/>
        <v>4</v>
      </c>
      <c r="P1203" s="19">
        <f t="shared" si="63"/>
        <v>4</v>
      </c>
      <c r="Q1203" s="19">
        <f t="shared" si="63"/>
        <v>4</v>
      </c>
      <c r="X1203" s="92" t="s">
        <v>78</v>
      </c>
      <c r="Y1203" s="92" t="s">
        <v>78</v>
      </c>
      <c r="Z1203" s="92" t="s">
        <v>78</v>
      </c>
    </row>
    <row r="1204" spans="1:26" ht="16" hidden="1" x14ac:dyDescent="0.4">
      <c r="A1204" s="92">
        <v>6004</v>
      </c>
      <c r="B1204" s="92">
        <v>6005</v>
      </c>
      <c r="E1204" s="92">
        <v>50</v>
      </c>
      <c r="F1204" s="92" t="str">
        <f>_xlfn.XLOOKUP(B1204, DATA_Moresby_2024_ALL!B:B, DATA_Moresby_2024_ALL!G:G, "")</f>
        <v>6005_20240611_0004_R_1111.jpg</v>
      </c>
      <c r="G1204" s="93" t="str">
        <f t="shared" si="62"/>
        <v>6005_20240611_0004_R_1111.jpg</v>
      </c>
      <c r="H1204" s="92">
        <v>3</v>
      </c>
      <c r="J1204" s="79">
        <f>IF(G1204="","X",_xlfn.XLOOKUP(B1204,DATA_Moresby_2024_ALL!B:B,DATA_Moresby_2024_ALL!K:K,""))</f>
        <v>1</v>
      </c>
      <c r="K1204" s="28"/>
      <c r="L1204" s="29"/>
      <c r="M1204" s="28"/>
      <c r="N1204" s="19">
        <f t="shared" si="63"/>
        <v>4</v>
      </c>
      <c r="O1204" s="19">
        <f t="shared" si="63"/>
        <v>4</v>
      </c>
      <c r="P1204" s="19">
        <f t="shared" si="63"/>
        <v>4</v>
      </c>
      <c r="Q1204" s="19">
        <f t="shared" si="63"/>
        <v>4</v>
      </c>
      <c r="X1204" s="92" t="s">
        <v>78</v>
      </c>
      <c r="Y1204" s="92" t="s">
        <v>78</v>
      </c>
      <c r="Z1204" s="92" t="s">
        <v>78</v>
      </c>
    </row>
    <row r="1205" spans="1:26" ht="16" hidden="1" x14ac:dyDescent="0.4">
      <c r="A1205" s="92">
        <v>6009</v>
      </c>
      <c r="B1205" s="92">
        <v>6010</v>
      </c>
      <c r="E1205" s="92">
        <v>50</v>
      </c>
      <c r="F1205" s="92" t="str">
        <f>_xlfn.XLOOKUP(B1205, DATA_Moresby_2024_ALL!B:B, DATA_Moresby_2024_ALL!G:G, "")</f>
        <v>6010_20240611_0004_R_1097.jpg</v>
      </c>
      <c r="G1205" s="93" t="str">
        <f t="shared" si="62"/>
        <v>6010_20240611_0004_R_1097.jpg</v>
      </c>
      <c r="H1205" s="92">
        <v>3</v>
      </c>
      <c r="J1205" s="79">
        <f>IF(G1205="","X",_xlfn.XLOOKUP(B1205,DATA_Moresby_2024_ALL!B:B,DATA_Moresby_2024_ALL!K:K,""))</f>
        <v>1</v>
      </c>
      <c r="K1205" s="28"/>
      <c r="L1205" s="29"/>
      <c r="M1205" s="28"/>
      <c r="N1205" s="19">
        <f t="shared" si="63"/>
        <v>4</v>
      </c>
      <c r="O1205" s="19">
        <f t="shared" si="63"/>
        <v>4</v>
      </c>
      <c r="P1205" s="19">
        <f t="shared" si="63"/>
        <v>4</v>
      </c>
      <c r="Q1205" s="19">
        <f t="shared" si="63"/>
        <v>4</v>
      </c>
      <c r="X1205" s="92" t="s">
        <v>78</v>
      </c>
      <c r="Y1205" s="92" t="s">
        <v>78</v>
      </c>
      <c r="Z1205" s="92" t="s">
        <v>78</v>
      </c>
    </row>
    <row r="1206" spans="1:26" ht="16" hidden="1" x14ac:dyDescent="0.4">
      <c r="A1206" s="92">
        <v>6014</v>
      </c>
      <c r="B1206" s="92">
        <v>6015</v>
      </c>
      <c r="E1206" s="92">
        <v>50</v>
      </c>
      <c r="F1206" s="92" t="str">
        <f>_xlfn.XLOOKUP(B1206, DATA_Moresby_2024_ALL!B:B, DATA_Moresby_2024_ALL!G:G, "")</f>
        <v>6015_20240611_0004_R_1083.jpg</v>
      </c>
      <c r="G1206" s="93" t="str">
        <f t="shared" si="62"/>
        <v>6015_20240611_0004_R_1083.jpg</v>
      </c>
      <c r="H1206" s="92">
        <v>3</v>
      </c>
      <c r="J1206" s="79">
        <f>IF(G1206="","X",_xlfn.XLOOKUP(B1206,DATA_Moresby_2024_ALL!B:B,DATA_Moresby_2024_ALL!K:K,""))</f>
        <v>1</v>
      </c>
      <c r="K1206" s="28"/>
      <c r="L1206" s="29"/>
      <c r="M1206" s="28"/>
      <c r="N1206" s="19">
        <f t="shared" si="63"/>
        <v>4</v>
      </c>
      <c r="O1206" s="19">
        <f t="shared" si="63"/>
        <v>4</v>
      </c>
      <c r="P1206" s="19">
        <f t="shared" si="63"/>
        <v>4</v>
      </c>
      <c r="Q1206" s="19">
        <f t="shared" si="63"/>
        <v>4</v>
      </c>
      <c r="X1206" s="92" t="s">
        <v>78</v>
      </c>
      <c r="Y1206" s="92" t="s">
        <v>78</v>
      </c>
      <c r="Z1206" s="92" t="s">
        <v>78</v>
      </c>
    </row>
    <row r="1207" spans="1:26" ht="16" hidden="1" x14ac:dyDescent="0.4">
      <c r="A1207" s="92">
        <v>6019</v>
      </c>
      <c r="B1207" s="92">
        <v>6020</v>
      </c>
      <c r="E1207" s="92">
        <v>50</v>
      </c>
      <c r="F1207" s="92" t="str">
        <f>_xlfn.XLOOKUP(B1207, DATA_Moresby_2024_ALL!B:B, DATA_Moresby_2024_ALL!G:G, "")</f>
        <v>6020_20240611_0004_R_1069.jpg</v>
      </c>
      <c r="G1207" s="93" t="str">
        <f t="shared" si="62"/>
        <v>6020_20240611_0004_R_1069.jpg</v>
      </c>
      <c r="H1207" s="92">
        <v>3</v>
      </c>
      <c r="J1207" s="79">
        <f>IF(G1207="","X",_xlfn.XLOOKUP(B1207,DATA_Moresby_2024_ALL!B:B,DATA_Moresby_2024_ALL!K:K,""))</f>
        <v>1</v>
      </c>
      <c r="K1207" s="28"/>
      <c r="L1207" s="29"/>
      <c r="M1207" s="28"/>
      <c r="N1207" s="19">
        <f t="shared" si="63"/>
        <v>4</v>
      </c>
      <c r="O1207" s="19">
        <f t="shared" si="63"/>
        <v>4</v>
      </c>
      <c r="P1207" s="19">
        <f t="shared" si="63"/>
        <v>4</v>
      </c>
      <c r="Q1207" s="19">
        <f t="shared" si="63"/>
        <v>4</v>
      </c>
      <c r="X1207" s="92" t="s">
        <v>78</v>
      </c>
      <c r="Y1207" s="92" t="s">
        <v>78</v>
      </c>
      <c r="Z1207" s="92" t="s">
        <v>78</v>
      </c>
    </row>
    <row r="1208" spans="1:26" ht="16" hidden="1" x14ac:dyDescent="0.4">
      <c r="A1208" s="92">
        <v>6024</v>
      </c>
      <c r="B1208" s="92">
        <v>6025</v>
      </c>
      <c r="E1208" s="92">
        <v>50</v>
      </c>
      <c r="F1208" s="92" t="str">
        <f>_xlfn.XLOOKUP(B1208, DATA_Moresby_2024_ALL!B:B, DATA_Moresby_2024_ALL!G:G, "")</f>
        <v>6025_20240611_0004_R_1054.jpg</v>
      </c>
      <c r="G1208" s="93" t="str">
        <f t="shared" si="62"/>
        <v>6025_20240611_0004_R_1054.jpg</v>
      </c>
      <c r="H1208" s="92">
        <v>3</v>
      </c>
      <c r="J1208" s="79">
        <f>IF(G1208="","X",_xlfn.XLOOKUP(B1208,DATA_Moresby_2024_ALL!B:B,DATA_Moresby_2024_ALL!K:K,""))</f>
        <v>1</v>
      </c>
      <c r="K1208" s="28"/>
      <c r="L1208" s="29"/>
      <c r="M1208" s="28"/>
      <c r="N1208" s="19">
        <f t="shared" si="63"/>
        <v>4</v>
      </c>
      <c r="O1208" s="19">
        <f t="shared" si="63"/>
        <v>4</v>
      </c>
      <c r="P1208" s="19">
        <f t="shared" si="63"/>
        <v>4</v>
      </c>
      <c r="Q1208" s="19">
        <v>3</v>
      </c>
      <c r="X1208" s="92" t="s">
        <v>78</v>
      </c>
      <c r="Y1208" s="92" t="s">
        <v>78</v>
      </c>
      <c r="Z1208" s="92" t="s">
        <v>78</v>
      </c>
    </row>
    <row r="1209" spans="1:26" ht="16" hidden="1" x14ac:dyDescent="0.4">
      <c r="A1209" s="92">
        <v>6029</v>
      </c>
      <c r="B1209" s="92">
        <v>6030</v>
      </c>
      <c r="E1209" s="92">
        <v>50</v>
      </c>
      <c r="F1209" s="92" t="str">
        <f>_xlfn.XLOOKUP(B1209, DATA_Moresby_2024_ALL!B:B, DATA_Moresby_2024_ALL!G:G, "")</f>
        <v>6030_20240611_0004_R_1039.jpg</v>
      </c>
      <c r="G1209" s="93" t="str">
        <f t="shared" si="62"/>
        <v>6030_20240611_0004_R_1039.jpg</v>
      </c>
      <c r="H1209" s="92">
        <v>3</v>
      </c>
      <c r="J1209" s="79">
        <f>IF(G1209="","X",_xlfn.XLOOKUP(B1209,DATA_Moresby_2024_ALL!B:B,DATA_Moresby_2024_ALL!K:K,""))</f>
        <v>1</v>
      </c>
      <c r="K1209" s="28"/>
      <c r="L1209" s="29"/>
      <c r="M1209" s="28"/>
      <c r="N1209" s="19">
        <f t="shared" si="63"/>
        <v>4</v>
      </c>
      <c r="O1209" s="19">
        <f t="shared" si="63"/>
        <v>4</v>
      </c>
      <c r="P1209" s="19">
        <f t="shared" si="63"/>
        <v>4</v>
      </c>
      <c r="Q1209" s="19">
        <v>3</v>
      </c>
      <c r="X1209" s="92" t="s">
        <v>78</v>
      </c>
      <c r="Y1209" s="92" t="s">
        <v>78</v>
      </c>
      <c r="Z1209" s="92" t="s">
        <v>78</v>
      </c>
    </row>
    <row r="1210" spans="1:26" ht="16" hidden="1" x14ac:dyDescent="0.4">
      <c r="A1210" s="92">
        <v>6034</v>
      </c>
      <c r="B1210" s="92">
        <v>6035</v>
      </c>
      <c r="E1210" s="92">
        <v>50</v>
      </c>
      <c r="F1210" s="92" t="str">
        <f>_xlfn.XLOOKUP(B1210, DATA_Moresby_2024_ALL!B:B, DATA_Moresby_2024_ALL!G:G, "")</f>
        <v>6035_20240611_0004_R_1023.jpg</v>
      </c>
      <c r="G1210" s="93" t="str">
        <f t="shared" si="62"/>
        <v>6035_20240611_0004_R_1023.jpg</v>
      </c>
      <c r="H1210" s="92">
        <v>3</v>
      </c>
      <c r="J1210" s="79">
        <f>IF(G1210="","X",_xlfn.XLOOKUP(B1210,DATA_Moresby_2024_ALL!B:B,DATA_Moresby_2024_ALL!K:K,""))</f>
        <v>1</v>
      </c>
      <c r="K1210" s="28"/>
      <c r="L1210" s="29"/>
      <c r="M1210" s="28"/>
      <c r="N1210" s="19">
        <f t="shared" si="63"/>
        <v>4</v>
      </c>
      <c r="O1210" s="19">
        <f t="shared" si="63"/>
        <v>4</v>
      </c>
      <c r="P1210" s="19">
        <f t="shared" si="63"/>
        <v>4</v>
      </c>
      <c r="Q1210" s="19">
        <f t="shared" si="63"/>
        <v>4</v>
      </c>
      <c r="X1210" s="92" t="s">
        <v>78</v>
      </c>
      <c r="Y1210" s="92" t="s">
        <v>78</v>
      </c>
      <c r="Z1210" s="92" t="s">
        <v>78</v>
      </c>
    </row>
    <row r="1211" spans="1:26" ht="16" hidden="1" x14ac:dyDescent="0.4">
      <c r="A1211" s="92">
        <v>6039</v>
      </c>
      <c r="B1211" s="92">
        <v>6040</v>
      </c>
      <c r="E1211" s="92">
        <v>50</v>
      </c>
      <c r="F1211" s="92" t="str">
        <f>_xlfn.XLOOKUP(B1211, DATA_Moresby_2024_ALL!B:B, DATA_Moresby_2024_ALL!G:G, "")</f>
        <v>6040_20240611_0004_R_1008.jpg</v>
      </c>
      <c r="G1211" s="93" t="str">
        <f t="shared" si="62"/>
        <v>6040_20240611_0004_R_1008.jpg</v>
      </c>
      <c r="H1211" s="92">
        <v>3</v>
      </c>
      <c r="J1211" s="79">
        <f>IF(G1211="","X",_xlfn.XLOOKUP(B1211,DATA_Moresby_2024_ALL!B:B,DATA_Moresby_2024_ALL!K:K,""))</f>
        <v>1</v>
      </c>
      <c r="K1211" s="28"/>
      <c r="L1211" s="29"/>
      <c r="M1211" s="28"/>
      <c r="N1211" s="19">
        <f t="shared" si="63"/>
        <v>4</v>
      </c>
      <c r="O1211" s="19">
        <f t="shared" si="63"/>
        <v>4</v>
      </c>
      <c r="P1211" s="19">
        <f t="shared" si="63"/>
        <v>4</v>
      </c>
      <c r="Q1211" s="19">
        <v>3</v>
      </c>
      <c r="X1211" s="92" t="s">
        <v>78</v>
      </c>
      <c r="Y1211" s="92" t="s">
        <v>78</v>
      </c>
      <c r="Z1211" s="92" t="s">
        <v>78</v>
      </c>
    </row>
    <row r="1212" spans="1:26" ht="16" hidden="1" x14ac:dyDescent="0.4">
      <c r="A1212" s="92">
        <v>6044</v>
      </c>
      <c r="B1212" s="92">
        <v>6045</v>
      </c>
      <c r="E1212" s="92">
        <v>50</v>
      </c>
      <c r="F1212" s="92" t="str">
        <f>_xlfn.XLOOKUP(B1212, DATA_Moresby_2024_ALL!B:B, DATA_Moresby_2024_ALL!G:G, "")</f>
        <v>6045_20240611_0004_R_0993.jpg</v>
      </c>
      <c r="G1212" s="93" t="str">
        <f t="shared" si="62"/>
        <v>6045_20240611_0004_R_0993.jpg</v>
      </c>
      <c r="H1212" s="92">
        <v>3</v>
      </c>
      <c r="J1212" s="79">
        <f>IF(G1212="","X",_xlfn.XLOOKUP(B1212,DATA_Moresby_2024_ALL!B:B,DATA_Moresby_2024_ALL!K:K,""))</f>
        <v>1</v>
      </c>
      <c r="K1212" s="28"/>
      <c r="L1212" s="29"/>
      <c r="M1212" s="28"/>
      <c r="N1212" s="19">
        <v>3</v>
      </c>
      <c r="O1212" s="19">
        <f t="shared" si="63"/>
        <v>4</v>
      </c>
      <c r="P1212" s="19">
        <f t="shared" si="63"/>
        <v>4</v>
      </c>
      <c r="Q1212" s="19">
        <v>3</v>
      </c>
      <c r="X1212" s="92" t="s">
        <v>78</v>
      </c>
      <c r="Y1212" s="92" t="s">
        <v>78</v>
      </c>
      <c r="Z1212" s="92" t="s">
        <v>78</v>
      </c>
    </row>
    <row r="1213" spans="1:26" ht="16" hidden="1" x14ac:dyDescent="0.4">
      <c r="A1213" s="92">
        <v>6049</v>
      </c>
      <c r="B1213" s="92">
        <v>6050</v>
      </c>
      <c r="E1213" s="92">
        <v>50</v>
      </c>
      <c r="F1213" s="92" t="str">
        <f>_xlfn.XLOOKUP(B1213, DATA_Moresby_2024_ALL!B:B, DATA_Moresby_2024_ALL!G:G, "")</f>
        <v>6050_20240611_0004_R_0975.jpg</v>
      </c>
      <c r="G1213" s="93" t="str">
        <f t="shared" si="62"/>
        <v>6050_20240611_0004_R_0975.jpg</v>
      </c>
      <c r="H1213" s="92">
        <v>3</v>
      </c>
      <c r="J1213" s="79">
        <f>IF(G1213="","X",_xlfn.XLOOKUP(B1213,DATA_Moresby_2024_ALL!B:B,DATA_Moresby_2024_ALL!K:K,""))</f>
        <v>1</v>
      </c>
      <c r="K1213" s="28"/>
      <c r="L1213" s="29"/>
      <c r="M1213" s="28"/>
      <c r="N1213" s="19">
        <f t="shared" si="63"/>
        <v>4</v>
      </c>
      <c r="O1213" s="19">
        <f t="shared" si="63"/>
        <v>4</v>
      </c>
      <c r="P1213" s="19">
        <f t="shared" si="63"/>
        <v>4</v>
      </c>
      <c r="Q1213" s="19">
        <v>4</v>
      </c>
      <c r="X1213" s="92" t="s">
        <v>78</v>
      </c>
      <c r="Y1213" s="92" t="s">
        <v>78</v>
      </c>
      <c r="Z1213" s="92" t="s">
        <v>78</v>
      </c>
    </row>
    <row r="1214" spans="1:26" ht="16" hidden="1" x14ac:dyDescent="0.4">
      <c r="A1214" s="92">
        <v>6054</v>
      </c>
      <c r="B1214" s="92">
        <v>6055</v>
      </c>
      <c r="E1214" s="92">
        <v>50</v>
      </c>
      <c r="F1214" s="92" t="str">
        <f>_xlfn.XLOOKUP(B1214, DATA_Moresby_2024_ALL!B:B, DATA_Moresby_2024_ALL!G:G, "")</f>
        <v>6055_20240611_0004_R_0954.jpg</v>
      </c>
      <c r="G1214" s="93" t="str">
        <f t="shared" si="62"/>
        <v>6055_20240611_0004_R_0954.jpg</v>
      </c>
      <c r="H1214" s="92">
        <v>3</v>
      </c>
      <c r="J1214" s="79">
        <f>IF(G1214="","X",_xlfn.XLOOKUP(B1214,DATA_Moresby_2024_ALL!B:B,DATA_Moresby_2024_ALL!K:K,""))</f>
        <v>1</v>
      </c>
      <c r="K1214" s="28"/>
      <c r="L1214" s="29"/>
      <c r="M1214" s="28"/>
      <c r="N1214" s="19">
        <f t="shared" si="63"/>
        <v>4</v>
      </c>
      <c r="O1214" s="19">
        <f t="shared" si="63"/>
        <v>4</v>
      </c>
      <c r="P1214" s="19">
        <f t="shared" si="63"/>
        <v>4</v>
      </c>
      <c r="Q1214" s="19">
        <f t="shared" si="63"/>
        <v>4</v>
      </c>
      <c r="X1214" s="92" t="s">
        <v>78</v>
      </c>
      <c r="Y1214" s="92" t="s">
        <v>78</v>
      </c>
      <c r="Z1214" s="92" t="s">
        <v>78</v>
      </c>
    </row>
    <row r="1215" spans="1:26" ht="16" hidden="1" x14ac:dyDescent="0.4">
      <c r="A1215" s="92">
        <v>6059</v>
      </c>
      <c r="B1215" s="92">
        <v>6060</v>
      </c>
      <c r="E1215" s="92">
        <v>50</v>
      </c>
      <c r="F1215" s="92" t="str">
        <f>_xlfn.XLOOKUP(B1215, DATA_Moresby_2024_ALL!B:B, DATA_Moresby_2024_ALL!G:G, "")</f>
        <v>6060_20240611_0004_R_0938.jpg</v>
      </c>
      <c r="G1215" s="93" t="str">
        <f t="shared" si="62"/>
        <v>6060_20240611_0004_R_0938.jpg</v>
      </c>
      <c r="H1215" s="92">
        <v>3</v>
      </c>
      <c r="J1215" s="79">
        <f>IF(G1215="","X",_xlfn.XLOOKUP(B1215,DATA_Moresby_2024_ALL!B:B,DATA_Moresby_2024_ALL!K:K,""))</f>
        <v>1</v>
      </c>
      <c r="K1215" s="28"/>
      <c r="L1215" s="29"/>
      <c r="M1215" s="28"/>
      <c r="N1215" s="19">
        <f t="shared" si="63"/>
        <v>4</v>
      </c>
      <c r="O1215" s="19">
        <v>3</v>
      </c>
      <c r="P1215" s="19">
        <f t="shared" si="63"/>
        <v>4</v>
      </c>
      <c r="Q1215" s="19">
        <f t="shared" si="63"/>
        <v>4</v>
      </c>
      <c r="X1215" s="92" t="s">
        <v>78</v>
      </c>
      <c r="Y1215" s="92" t="s">
        <v>78</v>
      </c>
      <c r="Z1215" s="92" t="s">
        <v>78</v>
      </c>
    </row>
    <row r="1216" spans="1:26" ht="16" hidden="1" x14ac:dyDescent="0.4">
      <c r="A1216" s="92">
        <v>6064</v>
      </c>
      <c r="B1216" s="92">
        <v>6065</v>
      </c>
      <c r="E1216" s="92">
        <v>50</v>
      </c>
      <c r="F1216" s="92" t="str">
        <f>_xlfn.XLOOKUP(B1216, DATA_Moresby_2024_ALL!B:B, DATA_Moresby_2024_ALL!G:G, "")</f>
        <v>6065_20240611_0004_R_0922.jpg</v>
      </c>
      <c r="G1216" s="93" t="str">
        <f t="shared" si="62"/>
        <v>6065_20240611_0004_R_0922.jpg</v>
      </c>
      <c r="H1216" s="92">
        <v>3</v>
      </c>
      <c r="J1216" s="79">
        <f>IF(G1216="","X",_xlfn.XLOOKUP(B1216,DATA_Moresby_2024_ALL!B:B,DATA_Moresby_2024_ALL!K:K,""))</f>
        <v>1</v>
      </c>
      <c r="K1216" s="28"/>
      <c r="L1216" s="29"/>
      <c r="M1216" s="28"/>
      <c r="N1216" s="19">
        <f t="shared" si="63"/>
        <v>4</v>
      </c>
      <c r="O1216" s="19">
        <f t="shared" si="63"/>
        <v>4</v>
      </c>
      <c r="P1216" s="19">
        <f t="shared" si="63"/>
        <v>4</v>
      </c>
      <c r="Q1216" s="19">
        <f t="shared" si="63"/>
        <v>4</v>
      </c>
      <c r="X1216" s="92" t="s">
        <v>78</v>
      </c>
      <c r="Y1216" s="92" t="s">
        <v>78</v>
      </c>
      <c r="Z1216" s="92" t="s">
        <v>78</v>
      </c>
    </row>
    <row r="1217" spans="1:26" ht="16" hidden="1" x14ac:dyDescent="0.4">
      <c r="A1217" s="92">
        <v>6069</v>
      </c>
      <c r="B1217" s="92">
        <v>6070</v>
      </c>
      <c r="E1217" s="92">
        <v>50</v>
      </c>
      <c r="F1217" s="92" t="str">
        <f>_xlfn.XLOOKUP(B1217, DATA_Moresby_2024_ALL!B:B, DATA_Moresby_2024_ALL!G:G, "")</f>
        <v>6070_20240611_0004_R_0905.jpg</v>
      </c>
      <c r="G1217" s="93" t="str">
        <f t="shared" si="62"/>
        <v>6070_20240611_0004_R_0905.jpg</v>
      </c>
      <c r="H1217" s="92">
        <v>3</v>
      </c>
      <c r="J1217" s="79">
        <f>IF(G1217="","X",_xlfn.XLOOKUP(B1217,DATA_Moresby_2024_ALL!B:B,DATA_Moresby_2024_ALL!K:K,""))</f>
        <v>1</v>
      </c>
      <c r="K1217" s="28"/>
      <c r="L1217" s="29"/>
      <c r="M1217" s="28"/>
      <c r="N1217" s="19">
        <f t="shared" si="63"/>
        <v>4</v>
      </c>
      <c r="O1217" s="19">
        <f t="shared" si="63"/>
        <v>4</v>
      </c>
      <c r="P1217" s="19">
        <f t="shared" si="63"/>
        <v>4</v>
      </c>
      <c r="Q1217" s="19">
        <f t="shared" si="63"/>
        <v>4</v>
      </c>
      <c r="X1217" s="92" t="s">
        <v>78</v>
      </c>
      <c r="Y1217" s="92" t="s">
        <v>78</v>
      </c>
      <c r="Z1217" s="92" t="s">
        <v>78</v>
      </c>
    </row>
    <row r="1218" spans="1:26" ht="16" hidden="1" x14ac:dyDescent="0.4">
      <c r="A1218" s="92">
        <v>6074</v>
      </c>
      <c r="B1218" s="92">
        <v>6075</v>
      </c>
      <c r="E1218" s="92">
        <v>50</v>
      </c>
      <c r="F1218" s="92" t="str">
        <f>_xlfn.XLOOKUP(B1218, DATA_Moresby_2024_ALL!B:B, DATA_Moresby_2024_ALL!G:G, "")</f>
        <v>6075_20240611_0004_R_0890.jpg</v>
      </c>
      <c r="G1218" s="93" t="str">
        <f t="shared" si="62"/>
        <v>6075_20240611_0004_R_0890.jpg</v>
      </c>
      <c r="H1218" s="92">
        <v>3</v>
      </c>
      <c r="J1218" s="79">
        <f>IF(G1218="","X",_xlfn.XLOOKUP(B1218,DATA_Moresby_2024_ALL!B:B,DATA_Moresby_2024_ALL!K:K,""))</f>
        <v>1</v>
      </c>
      <c r="K1218" s="28"/>
      <c r="L1218" s="29"/>
      <c r="M1218" s="28"/>
      <c r="N1218" s="19">
        <v>3</v>
      </c>
      <c r="O1218" s="19">
        <f t="shared" si="63"/>
        <v>4</v>
      </c>
      <c r="P1218" s="19">
        <f t="shared" si="63"/>
        <v>4</v>
      </c>
      <c r="Q1218" s="19">
        <f t="shared" si="63"/>
        <v>4</v>
      </c>
      <c r="X1218" s="92" t="s">
        <v>78</v>
      </c>
      <c r="Y1218" s="92" t="s">
        <v>78</v>
      </c>
      <c r="Z1218" s="92" t="s">
        <v>78</v>
      </c>
    </row>
    <row r="1219" spans="1:26" ht="16" hidden="1" x14ac:dyDescent="0.4">
      <c r="A1219" s="92">
        <v>6079</v>
      </c>
      <c r="B1219" s="92">
        <v>6080</v>
      </c>
      <c r="E1219" s="92">
        <v>50</v>
      </c>
      <c r="F1219" s="92" t="str">
        <f>_xlfn.XLOOKUP(B1219, DATA_Moresby_2024_ALL!B:B, DATA_Moresby_2024_ALL!G:G, "")</f>
        <v>6080_20240611_0004_R_0876.jpg</v>
      </c>
      <c r="G1219" s="93" t="str">
        <f t="shared" si="62"/>
        <v>6080_20240611_0004_R_0876.jpg</v>
      </c>
      <c r="H1219" s="92">
        <v>3</v>
      </c>
      <c r="J1219" s="79">
        <f>IF(G1219="","X",_xlfn.XLOOKUP(B1219,DATA_Moresby_2024_ALL!B:B,DATA_Moresby_2024_ALL!K:K,""))</f>
        <v>1</v>
      </c>
      <c r="K1219" s="28"/>
      <c r="L1219" s="29"/>
      <c r="M1219" s="28"/>
      <c r="N1219" s="19">
        <f t="shared" si="63"/>
        <v>4</v>
      </c>
      <c r="O1219" s="19">
        <f t="shared" si="63"/>
        <v>4</v>
      </c>
      <c r="P1219" s="19">
        <f t="shared" si="63"/>
        <v>4</v>
      </c>
      <c r="Q1219" s="19">
        <f t="shared" si="63"/>
        <v>4</v>
      </c>
      <c r="X1219" s="92" t="s">
        <v>78</v>
      </c>
      <c r="Y1219" s="92" t="s">
        <v>78</v>
      </c>
      <c r="Z1219" s="92" t="s">
        <v>78</v>
      </c>
    </row>
    <row r="1220" spans="1:26" ht="16" hidden="1" x14ac:dyDescent="0.4">
      <c r="A1220" s="92">
        <v>6084</v>
      </c>
      <c r="B1220" s="92">
        <v>6085</v>
      </c>
      <c r="E1220" s="92">
        <v>50</v>
      </c>
      <c r="F1220" s="92" t="str">
        <f>_xlfn.XLOOKUP(B1220, DATA_Moresby_2024_ALL!B:B, DATA_Moresby_2024_ALL!G:G, "")</f>
        <v>6085_20240611_0004_R_0862.jpg</v>
      </c>
      <c r="G1220" s="93" t="str">
        <f t="shared" si="62"/>
        <v>6085_20240611_0004_R_0862.jpg</v>
      </c>
      <c r="H1220" s="92">
        <v>3</v>
      </c>
      <c r="J1220" s="79">
        <f>IF(G1220="","X",_xlfn.XLOOKUP(B1220,DATA_Moresby_2024_ALL!B:B,DATA_Moresby_2024_ALL!K:K,""))</f>
        <v>1</v>
      </c>
      <c r="K1220" s="28"/>
      <c r="L1220" s="29"/>
      <c r="M1220" s="28"/>
      <c r="N1220" s="19">
        <f t="shared" si="63"/>
        <v>4</v>
      </c>
      <c r="O1220" s="19">
        <f t="shared" si="63"/>
        <v>4</v>
      </c>
      <c r="P1220" s="19">
        <f t="shared" si="63"/>
        <v>4</v>
      </c>
      <c r="Q1220" s="19">
        <f t="shared" si="63"/>
        <v>4</v>
      </c>
      <c r="X1220" s="92" t="s">
        <v>78</v>
      </c>
      <c r="Y1220" s="92" t="s">
        <v>78</v>
      </c>
      <c r="Z1220" s="92" t="s">
        <v>78</v>
      </c>
    </row>
    <row r="1221" spans="1:26" ht="16" hidden="1" x14ac:dyDescent="0.4">
      <c r="A1221" s="92">
        <v>6089</v>
      </c>
      <c r="B1221" s="92">
        <v>6090</v>
      </c>
      <c r="E1221" s="92">
        <v>50</v>
      </c>
      <c r="F1221" s="92" t="str">
        <f>_xlfn.XLOOKUP(B1221, DATA_Moresby_2024_ALL!B:B, DATA_Moresby_2024_ALL!G:G, "")</f>
        <v>6090_20240611_0004_R_0849.jpg</v>
      </c>
      <c r="G1221" s="93" t="str">
        <f t="shared" si="62"/>
        <v>6090_20240611_0004_R_0849.jpg</v>
      </c>
      <c r="H1221" s="92">
        <v>3</v>
      </c>
      <c r="J1221" s="79">
        <f>IF(G1221="","X",_xlfn.XLOOKUP(B1221,DATA_Moresby_2024_ALL!B:B,DATA_Moresby_2024_ALL!K:K,""))</f>
        <v>1</v>
      </c>
      <c r="K1221" s="28"/>
      <c r="L1221" s="29"/>
      <c r="M1221" s="28"/>
      <c r="N1221" s="19">
        <f t="shared" si="63"/>
        <v>4</v>
      </c>
      <c r="O1221" s="19">
        <f t="shared" si="63"/>
        <v>4</v>
      </c>
      <c r="P1221" s="19">
        <f t="shared" si="63"/>
        <v>4</v>
      </c>
      <c r="Q1221" s="19">
        <f t="shared" si="63"/>
        <v>4</v>
      </c>
      <c r="X1221" s="92" t="s">
        <v>78</v>
      </c>
      <c r="Y1221" s="92" t="s">
        <v>78</v>
      </c>
      <c r="Z1221" s="92" t="s">
        <v>78</v>
      </c>
    </row>
    <row r="1222" spans="1:26" ht="16" hidden="1" x14ac:dyDescent="0.4">
      <c r="A1222" s="92">
        <v>6094</v>
      </c>
      <c r="B1222" s="92">
        <v>6095</v>
      </c>
      <c r="E1222" s="92">
        <v>50</v>
      </c>
      <c r="F1222" s="92" t="str">
        <f>_xlfn.XLOOKUP(B1222, DATA_Moresby_2024_ALL!B:B, DATA_Moresby_2024_ALL!G:G, "")</f>
        <v>6095_20240611_0004_R_0834.jpg</v>
      </c>
      <c r="G1222" s="93" t="str">
        <f t="shared" si="62"/>
        <v>6095_20240611_0004_R_0834.jpg</v>
      </c>
      <c r="H1222" s="92">
        <v>3</v>
      </c>
      <c r="J1222" s="79">
        <f>IF(G1222="","X",_xlfn.XLOOKUP(B1222,DATA_Moresby_2024_ALL!B:B,DATA_Moresby_2024_ALL!K:K,""))</f>
        <v>1</v>
      </c>
      <c r="K1222" s="28"/>
      <c r="L1222" s="29"/>
      <c r="M1222" s="28"/>
      <c r="N1222" s="19">
        <f t="shared" si="63"/>
        <v>4</v>
      </c>
      <c r="O1222" s="19">
        <f t="shared" si="63"/>
        <v>4</v>
      </c>
      <c r="P1222" s="19">
        <f t="shared" si="63"/>
        <v>4</v>
      </c>
      <c r="Q1222" s="19">
        <f t="shared" si="63"/>
        <v>4</v>
      </c>
      <c r="X1222" s="92" t="s">
        <v>78</v>
      </c>
      <c r="Y1222" s="92" t="s">
        <v>78</v>
      </c>
      <c r="Z1222" s="92" t="s">
        <v>78</v>
      </c>
    </row>
    <row r="1223" spans="1:26" ht="16" hidden="1" x14ac:dyDescent="0.4">
      <c r="A1223" s="92">
        <v>6099</v>
      </c>
      <c r="B1223" s="92">
        <v>6100</v>
      </c>
      <c r="E1223" s="92">
        <v>50</v>
      </c>
      <c r="F1223" s="92" t="str">
        <f>_xlfn.XLOOKUP(B1223, DATA_Moresby_2024_ALL!B:B, DATA_Moresby_2024_ALL!G:G, "")</f>
        <v>6100_20240611_0004_R_0821.jpg</v>
      </c>
      <c r="G1223" s="93" t="str">
        <f t="shared" si="62"/>
        <v>6100_20240611_0004_R_0821.jpg</v>
      </c>
      <c r="H1223" s="92">
        <v>3</v>
      </c>
      <c r="J1223" s="79">
        <f>IF(G1223="","X",_xlfn.XLOOKUP(B1223,DATA_Moresby_2024_ALL!B:B,DATA_Moresby_2024_ALL!K:K,""))</f>
        <v>1</v>
      </c>
      <c r="K1223" s="28"/>
      <c r="L1223" s="29"/>
      <c r="M1223" s="28"/>
      <c r="N1223" s="19">
        <f t="shared" si="63"/>
        <v>4</v>
      </c>
      <c r="O1223" s="19">
        <f t="shared" si="63"/>
        <v>4</v>
      </c>
      <c r="P1223" s="19">
        <f t="shared" si="63"/>
        <v>4</v>
      </c>
      <c r="Q1223" s="19">
        <f t="shared" si="63"/>
        <v>4</v>
      </c>
      <c r="X1223" s="92" t="s">
        <v>78</v>
      </c>
      <c r="Y1223" s="92" t="s">
        <v>78</v>
      </c>
      <c r="Z1223" s="92" t="s">
        <v>78</v>
      </c>
    </row>
    <row r="1224" spans="1:26" ht="16" hidden="1" x14ac:dyDescent="0.4">
      <c r="A1224" s="92">
        <v>6104</v>
      </c>
      <c r="B1224" s="92">
        <v>6105</v>
      </c>
      <c r="E1224" s="92">
        <v>50</v>
      </c>
      <c r="F1224" s="92" t="str">
        <f>_xlfn.XLOOKUP(B1224, DATA_Moresby_2024_ALL!B:B, DATA_Moresby_2024_ALL!G:G, "")</f>
        <v>6105_20240611_0004_R_0810.jpg</v>
      </c>
      <c r="G1224" s="93" t="str">
        <f t="shared" si="62"/>
        <v>6105_20240611_0004_R_0810.jpg</v>
      </c>
      <c r="H1224" s="92">
        <v>3</v>
      </c>
      <c r="J1224" s="79">
        <f>IF(G1224="","X",_xlfn.XLOOKUP(B1224,DATA_Moresby_2024_ALL!B:B,DATA_Moresby_2024_ALL!K:K,""))</f>
        <v>1</v>
      </c>
      <c r="K1224" s="28"/>
      <c r="L1224" s="29"/>
      <c r="M1224" s="28"/>
      <c r="N1224" s="19">
        <f t="shared" si="63"/>
        <v>4</v>
      </c>
      <c r="O1224" s="19">
        <f t="shared" si="63"/>
        <v>4</v>
      </c>
      <c r="P1224" s="19">
        <f t="shared" si="63"/>
        <v>4</v>
      </c>
      <c r="Q1224" s="19">
        <f t="shared" si="63"/>
        <v>4</v>
      </c>
      <c r="X1224" s="92" t="s">
        <v>78</v>
      </c>
      <c r="Y1224" s="92" t="s">
        <v>78</v>
      </c>
      <c r="Z1224" s="92" t="s">
        <v>78</v>
      </c>
    </row>
    <row r="1225" spans="1:26" ht="16" hidden="1" x14ac:dyDescent="0.4">
      <c r="A1225" s="92">
        <v>6109</v>
      </c>
      <c r="B1225" s="92">
        <v>6110</v>
      </c>
      <c r="E1225" s="92">
        <v>50</v>
      </c>
      <c r="F1225" s="92" t="str">
        <f>_xlfn.XLOOKUP(B1225, DATA_Moresby_2024_ALL!B:B, DATA_Moresby_2024_ALL!G:G, "")</f>
        <v>6110_20240611_0004_R_0795.jpg</v>
      </c>
      <c r="G1225" s="93" t="str">
        <f t="shared" si="62"/>
        <v>6110_20240611_0004_R_0795.jpg</v>
      </c>
      <c r="H1225" s="92">
        <v>3</v>
      </c>
      <c r="J1225" s="79">
        <f>IF(G1225="","X",_xlfn.XLOOKUP(B1225,DATA_Moresby_2024_ALL!B:B,DATA_Moresby_2024_ALL!K:K,""))</f>
        <v>1</v>
      </c>
      <c r="K1225" s="28"/>
      <c r="L1225" s="29"/>
      <c r="M1225" s="28"/>
      <c r="N1225" s="19">
        <f t="shared" si="63"/>
        <v>4</v>
      </c>
      <c r="O1225" s="19">
        <f t="shared" si="63"/>
        <v>4</v>
      </c>
      <c r="P1225" s="19">
        <f t="shared" si="63"/>
        <v>4</v>
      </c>
      <c r="Q1225" s="19">
        <f t="shared" si="63"/>
        <v>4</v>
      </c>
      <c r="X1225" s="92" t="s">
        <v>78</v>
      </c>
      <c r="Y1225" s="92" t="s">
        <v>78</v>
      </c>
      <c r="Z1225" s="92" t="s">
        <v>78</v>
      </c>
    </row>
    <row r="1226" spans="1:26" ht="16" hidden="1" x14ac:dyDescent="0.4">
      <c r="A1226" s="92">
        <v>6114</v>
      </c>
      <c r="B1226" s="92">
        <v>6115</v>
      </c>
      <c r="E1226" s="92">
        <v>50</v>
      </c>
      <c r="F1226" s="92" t="str">
        <f>_xlfn.XLOOKUP(B1226, DATA_Moresby_2024_ALL!B:B, DATA_Moresby_2024_ALL!G:G, "")</f>
        <v>6115_20240611_0004_R_0782.jpg</v>
      </c>
      <c r="G1226" s="93" t="str">
        <f t="shared" si="62"/>
        <v>6115_20240611_0004_R_0782.jpg</v>
      </c>
      <c r="H1226" s="92">
        <v>3</v>
      </c>
      <c r="J1226" s="79">
        <f>IF(G1226="","X",_xlfn.XLOOKUP(B1226,DATA_Moresby_2024_ALL!B:B,DATA_Moresby_2024_ALL!K:K,""))</f>
        <v>1</v>
      </c>
      <c r="K1226" s="28"/>
      <c r="L1226" s="29"/>
      <c r="M1226" s="28"/>
      <c r="N1226" s="19">
        <f t="shared" si="63"/>
        <v>4</v>
      </c>
      <c r="O1226" s="19">
        <f t="shared" si="63"/>
        <v>4</v>
      </c>
      <c r="P1226" s="19">
        <f t="shared" si="63"/>
        <v>4</v>
      </c>
      <c r="Q1226" s="19">
        <v>3</v>
      </c>
      <c r="X1226" s="92" t="s">
        <v>78</v>
      </c>
      <c r="Y1226" s="92" t="s">
        <v>78</v>
      </c>
      <c r="Z1226" s="92" t="s">
        <v>78</v>
      </c>
    </row>
    <row r="1227" spans="1:26" ht="16" hidden="1" x14ac:dyDescent="0.4">
      <c r="A1227" s="92">
        <v>6119</v>
      </c>
      <c r="B1227" s="92">
        <v>6120</v>
      </c>
      <c r="E1227" s="92">
        <v>50</v>
      </c>
      <c r="F1227" s="92" t="str">
        <f>_xlfn.XLOOKUP(B1227, DATA_Moresby_2024_ALL!B:B, DATA_Moresby_2024_ALL!G:G, "")</f>
        <v>6120_20240611_0004_R_0772.jpg</v>
      </c>
      <c r="G1227" s="93" t="str">
        <f t="shared" si="62"/>
        <v>6120_20240611_0004_R_0772.jpg</v>
      </c>
      <c r="H1227" s="92">
        <v>3</v>
      </c>
      <c r="J1227" s="79">
        <f>IF(G1227="","X",_xlfn.XLOOKUP(B1227,DATA_Moresby_2024_ALL!B:B,DATA_Moresby_2024_ALL!K:K,""))</f>
        <v>1</v>
      </c>
      <c r="K1227" s="28"/>
      <c r="L1227" s="29"/>
      <c r="M1227" s="28"/>
      <c r="N1227" s="19">
        <f t="shared" si="63"/>
        <v>4</v>
      </c>
      <c r="O1227" s="19">
        <f t="shared" si="63"/>
        <v>4</v>
      </c>
      <c r="P1227" s="19">
        <f t="shared" si="63"/>
        <v>4</v>
      </c>
      <c r="Q1227" s="19">
        <f t="shared" si="63"/>
        <v>4</v>
      </c>
      <c r="X1227" s="92" t="s">
        <v>78</v>
      </c>
      <c r="Y1227" s="92" t="s">
        <v>78</v>
      </c>
      <c r="Z1227" s="92" t="s">
        <v>78</v>
      </c>
    </row>
    <row r="1228" spans="1:26" ht="16" hidden="1" x14ac:dyDescent="0.4">
      <c r="A1228" s="92">
        <v>6124</v>
      </c>
      <c r="B1228" s="92">
        <v>6125</v>
      </c>
      <c r="E1228" s="92">
        <v>50</v>
      </c>
      <c r="F1228" s="92" t="str">
        <f>_xlfn.XLOOKUP(B1228, DATA_Moresby_2024_ALL!B:B, DATA_Moresby_2024_ALL!G:G, "")</f>
        <v>6125_20240611_0004_R_0760.jpg</v>
      </c>
      <c r="G1228" s="93" t="str">
        <f t="shared" si="62"/>
        <v>6125_20240611_0004_R_0760.jpg</v>
      </c>
      <c r="H1228" s="92">
        <v>3</v>
      </c>
      <c r="J1228" s="79">
        <f>IF(G1228="","X",_xlfn.XLOOKUP(B1228,DATA_Moresby_2024_ALL!B:B,DATA_Moresby_2024_ALL!K:K,""))</f>
        <v>1</v>
      </c>
      <c r="K1228" s="28"/>
      <c r="L1228" s="29"/>
      <c r="M1228" s="28"/>
      <c r="N1228" s="19">
        <v>3</v>
      </c>
      <c r="O1228" s="19">
        <v>3</v>
      </c>
      <c r="P1228" s="19">
        <f t="shared" si="63"/>
        <v>4</v>
      </c>
      <c r="Q1228" s="19">
        <v>3</v>
      </c>
      <c r="X1228" s="92" t="s">
        <v>78</v>
      </c>
      <c r="Y1228" s="92" t="s">
        <v>78</v>
      </c>
      <c r="Z1228" s="92" t="s">
        <v>78</v>
      </c>
    </row>
    <row r="1229" spans="1:26" ht="16" hidden="1" x14ac:dyDescent="0.4">
      <c r="A1229" s="92">
        <v>6129</v>
      </c>
      <c r="B1229" s="92">
        <v>6130</v>
      </c>
      <c r="E1229" s="92">
        <v>50</v>
      </c>
      <c r="F1229" s="92" t="str">
        <f>_xlfn.XLOOKUP(B1229, DATA_Moresby_2024_ALL!B:B, DATA_Moresby_2024_ALL!G:G, "")</f>
        <v>6130_20240611_0004_R_0753.jpg</v>
      </c>
      <c r="G1229" s="93" t="str">
        <f t="shared" si="62"/>
        <v>6130_20240611_0004_R_0753.jpg</v>
      </c>
      <c r="H1229" s="92">
        <v>3</v>
      </c>
      <c r="J1229" s="79">
        <f>IF(G1229="","X",_xlfn.XLOOKUP(B1229,DATA_Moresby_2024_ALL!B:B,DATA_Moresby_2024_ALL!K:K,""))</f>
        <v>1</v>
      </c>
      <c r="K1229" s="28"/>
      <c r="L1229" s="29"/>
      <c r="M1229" s="28"/>
      <c r="N1229" s="19">
        <f t="shared" si="63"/>
        <v>4</v>
      </c>
      <c r="O1229" s="19">
        <v>3</v>
      </c>
      <c r="P1229" s="19">
        <f t="shared" si="63"/>
        <v>4</v>
      </c>
      <c r="Q1229" s="19">
        <f t="shared" si="63"/>
        <v>4</v>
      </c>
      <c r="X1229" s="92" t="s">
        <v>78</v>
      </c>
      <c r="Y1229" s="92" t="s">
        <v>78</v>
      </c>
      <c r="Z1229" s="92" t="s">
        <v>78</v>
      </c>
    </row>
    <row r="1230" spans="1:26" ht="16" hidden="1" x14ac:dyDescent="0.4">
      <c r="A1230" s="92">
        <v>6134</v>
      </c>
      <c r="B1230" s="92">
        <v>6135</v>
      </c>
      <c r="E1230" s="92">
        <v>50</v>
      </c>
      <c r="F1230" s="92" t="str">
        <f>_xlfn.XLOOKUP(B1230, DATA_Moresby_2024_ALL!B:B, DATA_Moresby_2024_ALL!G:G, "")</f>
        <v>6135_20240611_0004_R_0741.jpg</v>
      </c>
      <c r="G1230" s="93" t="str">
        <f t="shared" ref="G1230:G1293" si="64">HYPERLINK("D:\Data From Lucan\2024\Moresby\Frames_for_Analysis_50\" &amp; F1230,F1230)</f>
        <v>6135_20240611_0004_R_0741.jpg</v>
      </c>
      <c r="H1230" s="92">
        <v>3</v>
      </c>
      <c r="J1230" s="79">
        <f>IF(G1230="","X",_xlfn.XLOOKUP(B1230,DATA_Moresby_2024_ALL!B:B,DATA_Moresby_2024_ALL!K:K,""))</f>
        <v>1</v>
      </c>
      <c r="K1230" s="28"/>
      <c r="L1230" s="29"/>
      <c r="M1230" s="28"/>
      <c r="N1230" s="19">
        <f t="shared" si="63"/>
        <v>4</v>
      </c>
      <c r="O1230" s="19">
        <f t="shared" si="63"/>
        <v>4</v>
      </c>
      <c r="P1230" s="19">
        <f t="shared" si="63"/>
        <v>4</v>
      </c>
      <c r="Q1230" s="19">
        <f t="shared" si="63"/>
        <v>4</v>
      </c>
      <c r="X1230" s="92" t="s">
        <v>78</v>
      </c>
      <c r="Y1230" s="92" t="s">
        <v>78</v>
      </c>
      <c r="Z1230" s="92" t="s">
        <v>78</v>
      </c>
    </row>
    <row r="1231" spans="1:26" ht="16" hidden="1" x14ac:dyDescent="0.4">
      <c r="A1231" s="92">
        <v>6139</v>
      </c>
      <c r="B1231" s="92">
        <v>6140</v>
      </c>
      <c r="E1231" s="92">
        <v>50</v>
      </c>
      <c r="F1231" s="92" t="str">
        <f>_xlfn.XLOOKUP(B1231, DATA_Moresby_2024_ALL!B:B, DATA_Moresby_2024_ALL!G:G, "")</f>
        <v>6140_20240611_0004_R_0728.jpg</v>
      </c>
      <c r="G1231" s="93" t="str">
        <f t="shared" si="64"/>
        <v>6140_20240611_0004_R_0728.jpg</v>
      </c>
      <c r="H1231" s="92">
        <v>3</v>
      </c>
      <c r="J1231" s="79">
        <f>IF(G1231="","X",_xlfn.XLOOKUP(B1231,DATA_Moresby_2024_ALL!B:B,DATA_Moresby_2024_ALL!K:K,""))</f>
        <v>1</v>
      </c>
      <c r="K1231" s="28"/>
      <c r="L1231" s="29"/>
      <c r="M1231" s="28"/>
      <c r="N1231" s="19">
        <v>1</v>
      </c>
      <c r="O1231" s="19">
        <v>2</v>
      </c>
      <c r="P1231" s="19">
        <f t="shared" si="63"/>
        <v>4</v>
      </c>
      <c r="Q1231" s="19">
        <v>1</v>
      </c>
      <c r="X1231" s="92" t="s">
        <v>78</v>
      </c>
      <c r="Y1231" s="92" t="s">
        <v>78</v>
      </c>
      <c r="Z1231" s="92" t="s">
        <v>78</v>
      </c>
    </row>
    <row r="1232" spans="1:26" ht="16" hidden="1" x14ac:dyDescent="0.4">
      <c r="A1232" s="92">
        <v>6144</v>
      </c>
      <c r="B1232" s="92">
        <v>6145</v>
      </c>
      <c r="E1232" s="92">
        <v>50</v>
      </c>
      <c r="F1232" s="92" t="str">
        <f>_xlfn.XLOOKUP(B1232, DATA_Moresby_2024_ALL!B:B, DATA_Moresby_2024_ALL!G:G, "")</f>
        <v>6145_20240611_0004_R_0715.jpg</v>
      </c>
      <c r="G1232" s="93" t="str">
        <f t="shared" si="64"/>
        <v>6145_20240611_0004_R_0715.jpg</v>
      </c>
      <c r="H1232" s="92">
        <v>3</v>
      </c>
      <c r="I1232" s="92" t="str">
        <f t="shared" ref="I1232:I1240" si="65">IF(G1232="","X","")</f>
        <v/>
      </c>
      <c r="J1232" s="79">
        <f>IF(G1232="","X",_xlfn.XLOOKUP(B1232,DATA_Moresby_2024_ALL!B:B,DATA_Moresby_2024_ALL!K:K,""))</f>
        <v>0</v>
      </c>
      <c r="K1232" s="28"/>
      <c r="L1232" s="29"/>
      <c r="M1232" s="28"/>
      <c r="N1232" s="19"/>
      <c r="O1232" s="19"/>
      <c r="P1232" s="19" t="str">
        <f t="shared" si="63"/>
        <v/>
      </c>
      <c r="Q1232" s="19"/>
      <c r="X1232" s="92" t="s">
        <v>78</v>
      </c>
      <c r="Y1232" s="92" t="s">
        <v>78</v>
      </c>
      <c r="Z1232" s="92" t="s">
        <v>78</v>
      </c>
    </row>
    <row r="1233" spans="1:26" ht="16" hidden="1" x14ac:dyDescent="0.4">
      <c r="A1233" s="92">
        <v>6149</v>
      </c>
      <c r="B1233" s="92">
        <v>6150</v>
      </c>
      <c r="E1233" s="92">
        <v>50</v>
      </c>
      <c r="F1233" s="92" t="str">
        <f>_xlfn.XLOOKUP(B1233, DATA_Moresby_2024_ALL!B:B, DATA_Moresby_2024_ALL!G:G, "")</f>
        <v>6150_20240611_0004_R_0703.jpg</v>
      </c>
      <c r="G1233" s="93" t="str">
        <f t="shared" si="64"/>
        <v>6150_20240611_0004_R_0703.jpg</v>
      </c>
      <c r="H1233" s="92">
        <v>3</v>
      </c>
      <c r="I1233" s="92" t="str">
        <f t="shared" si="65"/>
        <v/>
      </c>
      <c r="J1233" s="79">
        <f>IF(G1233="","X",_xlfn.XLOOKUP(B1233,DATA_Moresby_2024_ALL!B:B,DATA_Moresby_2024_ALL!K:K,""))</f>
        <v>0</v>
      </c>
      <c r="K1233" s="28"/>
      <c r="L1233" s="29"/>
      <c r="M1233" s="28"/>
      <c r="N1233" s="19"/>
      <c r="O1233" s="19"/>
      <c r="P1233" s="19" t="str">
        <f t="shared" si="63"/>
        <v/>
      </c>
      <c r="Q1233" s="19"/>
      <c r="X1233" s="92" t="s">
        <v>78</v>
      </c>
      <c r="Y1233" s="92" t="s">
        <v>78</v>
      </c>
      <c r="Z1233" s="92" t="s">
        <v>78</v>
      </c>
    </row>
    <row r="1234" spans="1:26" ht="16" hidden="1" x14ac:dyDescent="0.4">
      <c r="A1234" s="92">
        <v>6154</v>
      </c>
      <c r="B1234" s="92">
        <v>6155</v>
      </c>
      <c r="E1234" s="92">
        <v>50</v>
      </c>
      <c r="F1234" s="92" t="str">
        <f>_xlfn.XLOOKUP(B1234, DATA_Moresby_2024_ALL!B:B, DATA_Moresby_2024_ALL!G:G, "")</f>
        <v>6155_20240611_0004_R_0690.jpg</v>
      </c>
      <c r="G1234" s="93" t="str">
        <f t="shared" si="64"/>
        <v>6155_20240611_0004_R_0690.jpg</v>
      </c>
      <c r="H1234" s="92">
        <v>3</v>
      </c>
      <c r="I1234" s="92" t="str">
        <f t="shared" si="65"/>
        <v/>
      </c>
      <c r="J1234" s="79">
        <f>IF(G1234="","X",_xlfn.XLOOKUP(B1234,DATA_Moresby_2024_ALL!B:B,DATA_Moresby_2024_ALL!K:K,""))</f>
        <v>0</v>
      </c>
      <c r="K1234" s="28"/>
      <c r="L1234" s="29"/>
      <c r="M1234" s="28"/>
      <c r="N1234" s="19"/>
      <c r="O1234" s="19"/>
      <c r="P1234" s="19" t="str">
        <f t="shared" si="63"/>
        <v/>
      </c>
      <c r="Q1234" s="19"/>
      <c r="X1234" s="92" t="s">
        <v>78</v>
      </c>
      <c r="Y1234" s="92" t="s">
        <v>78</v>
      </c>
      <c r="Z1234" s="92" t="s">
        <v>78</v>
      </c>
    </row>
    <row r="1235" spans="1:26" ht="16" hidden="1" x14ac:dyDescent="0.4">
      <c r="A1235" s="92">
        <v>6159</v>
      </c>
      <c r="B1235" s="92">
        <v>6160</v>
      </c>
      <c r="E1235" s="92">
        <v>50</v>
      </c>
      <c r="F1235" s="92" t="str">
        <f>_xlfn.XLOOKUP(B1235, DATA_Moresby_2024_ALL!B:B, DATA_Moresby_2024_ALL!G:G, "")</f>
        <v>6160_20240611_0004_R_0676.jpg</v>
      </c>
      <c r="G1235" s="93" t="str">
        <f t="shared" si="64"/>
        <v>6160_20240611_0004_R_0676.jpg</v>
      </c>
      <c r="H1235" s="92">
        <v>3</v>
      </c>
      <c r="I1235" s="92" t="str">
        <f t="shared" si="65"/>
        <v/>
      </c>
      <c r="J1235" s="79">
        <f>IF(G1235="","X",_xlfn.XLOOKUP(B1235,DATA_Moresby_2024_ALL!B:B,DATA_Moresby_2024_ALL!K:K,""))</f>
        <v>0</v>
      </c>
      <c r="K1235" s="28"/>
      <c r="L1235" s="29"/>
      <c r="M1235" s="28"/>
      <c r="N1235" s="19"/>
      <c r="O1235" s="19"/>
      <c r="P1235" s="19" t="str">
        <f t="shared" si="63"/>
        <v/>
      </c>
      <c r="Q1235" s="19"/>
      <c r="X1235" s="92" t="s">
        <v>78</v>
      </c>
      <c r="Y1235" s="92" t="s">
        <v>78</v>
      </c>
      <c r="Z1235" s="92" t="s">
        <v>78</v>
      </c>
    </row>
    <row r="1236" spans="1:26" ht="16" hidden="1" x14ac:dyDescent="0.4">
      <c r="A1236" s="92">
        <v>6164</v>
      </c>
      <c r="B1236" s="92">
        <v>6165</v>
      </c>
      <c r="E1236" s="92">
        <v>50</v>
      </c>
      <c r="F1236" s="92" t="str">
        <f>_xlfn.XLOOKUP(B1236, DATA_Moresby_2024_ALL!B:B, DATA_Moresby_2024_ALL!G:G, "")</f>
        <v>6165_20240611_0004_R_0665.jpg</v>
      </c>
      <c r="G1236" s="93" t="str">
        <f t="shared" si="64"/>
        <v>6165_20240611_0004_R_0665.jpg</v>
      </c>
      <c r="H1236" s="92">
        <v>3</v>
      </c>
      <c r="I1236" s="92" t="str">
        <f t="shared" si="65"/>
        <v/>
      </c>
      <c r="J1236" s="79">
        <f>IF(G1236="","X",_xlfn.XLOOKUP(B1236,DATA_Moresby_2024_ALL!B:B,DATA_Moresby_2024_ALL!K:K,""))</f>
        <v>0</v>
      </c>
      <c r="K1236" s="28"/>
      <c r="L1236" s="29"/>
      <c r="M1236" s="28"/>
      <c r="N1236" s="19"/>
      <c r="O1236" s="19"/>
      <c r="P1236" s="19" t="str">
        <f t="shared" si="63"/>
        <v/>
      </c>
      <c r="Q1236" s="19"/>
      <c r="X1236" s="92" t="s">
        <v>78</v>
      </c>
      <c r="Y1236" s="92" t="s">
        <v>78</v>
      </c>
      <c r="Z1236" s="92" t="s">
        <v>78</v>
      </c>
    </row>
    <row r="1237" spans="1:26" ht="16" hidden="1" x14ac:dyDescent="0.4">
      <c r="A1237" s="92">
        <v>6169</v>
      </c>
      <c r="B1237" s="92">
        <v>6170</v>
      </c>
      <c r="E1237" s="92">
        <v>50</v>
      </c>
      <c r="F1237" s="92" t="str">
        <f>_xlfn.XLOOKUP(B1237, DATA_Moresby_2024_ALL!B:B, DATA_Moresby_2024_ALL!G:G, "")</f>
        <v>6170_20240611_0004_R_0652.jpg</v>
      </c>
      <c r="G1237" s="93" t="str">
        <f t="shared" si="64"/>
        <v>6170_20240611_0004_R_0652.jpg</v>
      </c>
      <c r="H1237" s="92">
        <v>3</v>
      </c>
      <c r="I1237" s="92" t="str">
        <f t="shared" si="65"/>
        <v/>
      </c>
      <c r="J1237" s="79">
        <f>IF(G1237="","X",_xlfn.XLOOKUP(B1237,DATA_Moresby_2024_ALL!B:B,DATA_Moresby_2024_ALL!K:K,""))</f>
        <v>0</v>
      </c>
      <c r="K1237" s="28"/>
      <c r="L1237" s="29"/>
      <c r="M1237" s="28"/>
      <c r="N1237" s="19"/>
      <c r="O1237" s="19"/>
      <c r="P1237" s="19" t="str">
        <f t="shared" si="63"/>
        <v/>
      </c>
      <c r="Q1237" s="19"/>
      <c r="X1237" s="92" t="s">
        <v>78</v>
      </c>
      <c r="Y1237" s="92" t="s">
        <v>78</v>
      </c>
      <c r="Z1237" s="92" t="s">
        <v>78</v>
      </c>
    </row>
    <row r="1238" spans="1:26" ht="16" hidden="1" x14ac:dyDescent="0.4">
      <c r="A1238" s="92">
        <v>6174</v>
      </c>
      <c r="B1238" s="92">
        <v>6175</v>
      </c>
      <c r="E1238" s="92">
        <v>50</v>
      </c>
      <c r="F1238" s="92" t="str">
        <f>_xlfn.XLOOKUP(B1238, DATA_Moresby_2024_ALL!B:B, DATA_Moresby_2024_ALL!G:G, "")</f>
        <v>6175_20240611_0004_R_0639.jpg</v>
      </c>
      <c r="G1238" s="93" t="str">
        <f t="shared" si="64"/>
        <v>6175_20240611_0004_R_0639.jpg</v>
      </c>
      <c r="H1238" s="92">
        <v>3</v>
      </c>
      <c r="I1238" s="92" t="str">
        <f t="shared" si="65"/>
        <v/>
      </c>
      <c r="J1238" s="79">
        <f>IF(G1238="","X",_xlfn.XLOOKUP(B1238,DATA_Moresby_2024_ALL!B:B,DATA_Moresby_2024_ALL!K:K,""))</f>
        <v>0</v>
      </c>
      <c r="K1238" s="28"/>
      <c r="L1238" s="29"/>
      <c r="M1238" s="28"/>
      <c r="N1238" s="19"/>
      <c r="O1238" s="19"/>
      <c r="P1238" s="19" t="str">
        <f t="shared" si="63"/>
        <v/>
      </c>
      <c r="Q1238" s="19"/>
      <c r="X1238" s="92" t="s">
        <v>78</v>
      </c>
      <c r="Y1238" s="92" t="s">
        <v>78</v>
      </c>
      <c r="Z1238" s="92" t="s">
        <v>78</v>
      </c>
    </row>
    <row r="1239" spans="1:26" ht="16" hidden="1" x14ac:dyDescent="0.4">
      <c r="A1239" s="92">
        <v>6179</v>
      </c>
      <c r="B1239" s="92">
        <v>6180</v>
      </c>
      <c r="E1239" s="92">
        <v>50</v>
      </c>
      <c r="F1239" s="92" t="str">
        <f>_xlfn.XLOOKUP(B1239, DATA_Moresby_2024_ALL!B:B, DATA_Moresby_2024_ALL!G:G, "")</f>
        <v>6180_20240611_0004_R_0627.jpg</v>
      </c>
      <c r="G1239" s="93" t="str">
        <f t="shared" si="64"/>
        <v>6180_20240611_0004_R_0627.jpg</v>
      </c>
      <c r="H1239" s="92">
        <v>3</v>
      </c>
      <c r="I1239" s="92" t="str">
        <f t="shared" si="65"/>
        <v/>
      </c>
      <c r="J1239" s="79">
        <f>IF(G1239="","X",_xlfn.XLOOKUP(B1239,DATA_Moresby_2024_ALL!B:B,DATA_Moresby_2024_ALL!K:K,""))</f>
        <v>0</v>
      </c>
      <c r="K1239" s="28"/>
      <c r="L1239" s="29"/>
      <c r="M1239" s="28"/>
      <c r="N1239" s="19"/>
      <c r="O1239" s="19"/>
      <c r="P1239" s="19" t="str">
        <f t="shared" si="63"/>
        <v/>
      </c>
      <c r="Q1239" s="19"/>
      <c r="X1239" s="92" t="s">
        <v>78</v>
      </c>
      <c r="Y1239" s="92" t="s">
        <v>78</v>
      </c>
      <c r="Z1239" s="92" t="s">
        <v>78</v>
      </c>
    </row>
    <row r="1240" spans="1:26" ht="16" hidden="1" x14ac:dyDescent="0.4">
      <c r="A1240" s="92">
        <v>6184</v>
      </c>
      <c r="B1240" s="92">
        <v>6185</v>
      </c>
      <c r="E1240" s="92">
        <v>50</v>
      </c>
      <c r="F1240" s="92" t="str">
        <f>_xlfn.XLOOKUP(B1240, DATA_Moresby_2024_ALL!B:B, DATA_Moresby_2024_ALL!G:G, "")</f>
        <v>6185_20240611_0004_R_0614.jpg</v>
      </c>
      <c r="G1240" s="93" t="str">
        <f t="shared" si="64"/>
        <v>6185_20240611_0004_R_0614.jpg</v>
      </c>
      <c r="H1240" s="92">
        <v>3</v>
      </c>
      <c r="I1240" s="92" t="str">
        <f t="shared" si="65"/>
        <v/>
      </c>
      <c r="J1240" s="79">
        <f>IF(G1240="","X",_xlfn.XLOOKUP(B1240,DATA_Moresby_2024_ALL!B:B,DATA_Moresby_2024_ALL!K:K,""))</f>
        <v>0</v>
      </c>
      <c r="K1240" s="28"/>
      <c r="L1240" s="29"/>
      <c r="M1240" s="28"/>
      <c r="N1240" s="19"/>
      <c r="O1240" s="19"/>
      <c r="P1240" s="19" t="str">
        <f t="shared" si="63"/>
        <v/>
      </c>
      <c r="Q1240" s="19"/>
      <c r="X1240" s="92" t="s">
        <v>78</v>
      </c>
      <c r="Y1240" s="92" t="s">
        <v>78</v>
      </c>
      <c r="Z1240" s="92" t="s">
        <v>78</v>
      </c>
    </row>
    <row r="1241" spans="1:26" ht="16" hidden="1" x14ac:dyDescent="0.4">
      <c r="A1241" s="92">
        <v>6189</v>
      </c>
      <c r="B1241" s="92">
        <v>6190</v>
      </c>
      <c r="E1241" s="92">
        <v>50</v>
      </c>
      <c r="F1241" s="92" t="str">
        <f>_xlfn.XLOOKUP(B1241, DATA_Moresby_2024_ALL!B:B, DATA_Moresby_2024_ALL!G:G, "")</f>
        <v>6190_20240611_0004_R_0599.jpg</v>
      </c>
      <c r="G1241" s="93" t="str">
        <f t="shared" si="64"/>
        <v>6190_20240611_0004_R_0599.jpg</v>
      </c>
      <c r="H1241" s="92">
        <v>3</v>
      </c>
      <c r="J1241" s="79">
        <f>IF(G1241="","X",_xlfn.XLOOKUP(B1241,DATA_Moresby_2024_ALL!B:B,DATA_Moresby_2024_ALL!K:K,""))</f>
        <v>1</v>
      </c>
      <c r="K1241" s="28"/>
      <c r="L1241" s="29"/>
      <c r="M1241" s="28"/>
      <c r="N1241" s="19">
        <v>2</v>
      </c>
      <c r="O1241" s="19">
        <v>2</v>
      </c>
      <c r="P1241" s="19">
        <f t="shared" si="63"/>
        <v>4</v>
      </c>
      <c r="Q1241" s="19">
        <v>2</v>
      </c>
      <c r="X1241" s="92" t="s">
        <v>78</v>
      </c>
      <c r="Y1241" s="92" t="s">
        <v>78</v>
      </c>
      <c r="Z1241" s="92" t="s">
        <v>78</v>
      </c>
    </row>
    <row r="1242" spans="1:26" ht="16" hidden="1" x14ac:dyDescent="0.4">
      <c r="A1242" s="92">
        <v>6194</v>
      </c>
      <c r="B1242" s="92">
        <v>6195</v>
      </c>
      <c r="E1242" s="92">
        <v>50</v>
      </c>
      <c r="F1242" s="92" t="str">
        <f>_xlfn.XLOOKUP(B1242, DATA_Moresby_2024_ALL!B:B, DATA_Moresby_2024_ALL!G:G, "")</f>
        <v>6195_20240611_0004_R_0586.jpg</v>
      </c>
      <c r="G1242" s="93" t="str">
        <f t="shared" si="64"/>
        <v>6195_20240611_0004_R_0586.jpg</v>
      </c>
      <c r="H1242" s="92">
        <v>3</v>
      </c>
      <c r="I1242" s="92" t="str">
        <f t="shared" ref="I1242:I1245" si="66">IF(G1242="","X","")</f>
        <v/>
      </c>
      <c r="J1242" s="79">
        <f>IF(G1242="","X",_xlfn.XLOOKUP(B1242,DATA_Moresby_2024_ALL!B:B,DATA_Moresby_2024_ALL!K:K,""))</f>
        <v>0</v>
      </c>
      <c r="K1242" s="28"/>
      <c r="L1242" s="29"/>
      <c r="M1242" s="28"/>
      <c r="N1242" s="19"/>
      <c r="O1242" s="19"/>
      <c r="P1242" s="19" t="str">
        <f t="shared" si="63"/>
        <v/>
      </c>
      <c r="Q1242" s="19"/>
      <c r="X1242" s="92" t="s">
        <v>78</v>
      </c>
      <c r="Y1242" s="92" t="s">
        <v>78</v>
      </c>
      <c r="Z1242" s="92" t="s">
        <v>78</v>
      </c>
    </row>
    <row r="1243" spans="1:26" ht="16" hidden="1" x14ac:dyDescent="0.4">
      <c r="A1243" s="92">
        <v>6199</v>
      </c>
      <c r="B1243" s="92">
        <v>6200</v>
      </c>
      <c r="E1243" s="92">
        <v>50</v>
      </c>
      <c r="F1243" s="92" t="str">
        <f>_xlfn.XLOOKUP(B1243, DATA_Moresby_2024_ALL!B:B, DATA_Moresby_2024_ALL!G:G, "")</f>
        <v>6200_20240611_0004_R_0573.jpg</v>
      </c>
      <c r="G1243" s="93" t="str">
        <f t="shared" si="64"/>
        <v>6200_20240611_0004_R_0573.jpg</v>
      </c>
      <c r="H1243" s="92">
        <v>3</v>
      </c>
      <c r="I1243" s="92" t="str">
        <f t="shared" si="66"/>
        <v/>
      </c>
      <c r="J1243" s="79">
        <f>IF(G1243="","X",_xlfn.XLOOKUP(B1243,DATA_Moresby_2024_ALL!B:B,DATA_Moresby_2024_ALL!K:K,""))</f>
        <v>0</v>
      </c>
      <c r="K1243" s="28"/>
      <c r="L1243" s="29"/>
      <c r="M1243" s="28"/>
      <c r="N1243" s="19"/>
      <c r="O1243" s="19"/>
      <c r="P1243" s="19" t="str">
        <f t="shared" si="63"/>
        <v/>
      </c>
      <c r="Q1243" s="19"/>
      <c r="X1243" s="92" t="s">
        <v>78</v>
      </c>
      <c r="Y1243" s="92" t="s">
        <v>78</v>
      </c>
      <c r="Z1243" s="92" t="s">
        <v>78</v>
      </c>
    </row>
    <row r="1244" spans="1:26" ht="16" hidden="1" x14ac:dyDescent="0.4">
      <c r="A1244" s="92">
        <v>6204</v>
      </c>
      <c r="B1244" s="92">
        <v>6205</v>
      </c>
      <c r="E1244" s="92">
        <v>50</v>
      </c>
      <c r="F1244" s="92" t="str">
        <f>_xlfn.XLOOKUP(B1244, DATA_Moresby_2024_ALL!B:B, DATA_Moresby_2024_ALL!G:G, "")</f>
        <v>6205_20240611_0004_R_0558.jpg</v>
      </c>
      <c r="G1244" s="93" t="str">
        <f t="shared" si="64"/>
        <v>6205_20240611_0004_R_0558.jpg</v>
      </c>
      <c r="H1244" s="92">
        <v>3</v>
      </c>
      <c r="I1244" s="92" t="str">
        <f t="shared" si="66"/>
        <v/>
      </c>
      <c r="J1244" s="79">
        <f>IF(G1244="","X",_xlfn.XLOOKUP(B1244,DATA_Moresby_2024_ALL!B:B,DATA_Moresby_2024_ALL!K:K,""))</f>
        <v>0</v>
      </c>
      <c r="K1244" s="28"/>
      <c r="L1244" s="29"/>
      <c r="M1244" s="28"/>
      <c r="N1244" s="19"/>
      <c r="O1244" s="19"/>
      <c r="P1244" s="19" t="str">
        <f t="shared" si="63"/>
        <v/>
      </c>
      <c r="Q1244" s="19"/>
      <c r="X1244" s="92" t="s">
        <v>78</v>
      </c>
      <c r="Y1244" s="92" t="s">
        <v>78</v>
      </c>
      <c r="Z1244" s="92" t="s">
        <v>78</v>
      </c>
    </row>
    <row r="1245" spans="1:26" ht="16" hidden="1" x14ac:dyDescent="0.4">
      <c r="A1245" s="92">
        <v>6209</v>
      </c>
      <c r="B1245" s="92">
        <v>6210</v>
      </c>
      <c r="E1245" s="92">
        <v>50</v>
      </c>
      <c r="F1245" s="92" t="str">
        <f>_xlfn.XLOOKUP(B1245, DATA_Moresby_2024_ALL!B:B, DATA_Moresby_2024_ALL!G:G, "")</f>
        <v>6210_20240611_0004_R_0546.jpg</v>
      </c>
      <c r="G1245" s="93" t="str">
        <f t="shared" si="64"/>
        <v>6210_20240611_0004_R_0546.jpg</v>
      </c>
      <c r="H1245" s="92">
        <v>3</v>
      </c>
      <c r="I1245" s="92" t="str">
        <f t="shared" si="66"/>
        <v/>
      </c>
      <c r="J1245" s="79">
        <f>IF(G1245="","X",_xlfn.XLOOKUP(B1245,DATA_Moresby_2024_ALL!B:B,DATA_Moresby_2024_ALL!K:K,""))</f>
        <v>0</v>
      </c>
      <c r="K1245" s="28"/>
      <c r="L1245" s="29"/>
      <c r="M1245" s="28"/>
      <c r="N1245" s="19"/>
      <c r="O1245" s="19"/>
      <c r="P1245" s="19" t="str">
        <f t="shared" si="63"/>
        <v/>
      </c>
      <c r="Q1245" s="19"/>
      <c r="X1245" s="92" t="s">
        <v>78</v>
      </c>
      <c r="Y1245" s="92" t="s">
        <v>78</v>
      </c>
      <c r="Z1245" s="92" t="s">
        <v>78</v>
      </c>
    </row>
    <row r="1246" spans="1:26" ht="16" hidden="1" x14ac:dyDescent="0.4">
      <c r="A1246" s="92">
        <v>6214</v>
      </c>
      <c r="B1246" s="92">
        <v>6215</v>
      </c>
      <c r="E1246" s="92">
        <v>50</v>
      </c>
      <c r="F1246" s="92" t="str">
        <f>_xlfn.XLOOKUP(B1246, DATA_Moresby_2024_ALL!B:B, DATA_Moresby_2024_ALL!G:G, "")</f>
        <v>6215_20240611_0004_R_0532.jpg</v>
      </c>
      <c r="G1246" s="93" t="str">
        <f t="shared" si="64"/>
        <v>6215_20240611_0004_R_0532.jpg</v>
      </c>
      <c r="H1246" s="92">
        <v>3</v>
      </c>
      <c r="J1246" s="79">
        <f>IF(G1246="","X",_xlfn.XLOOKUP(B1246,DATA_Moresby_2024_ALL!B:B,DATA_Moresby_2024_ALL!K:K,""))</f>
        <v>1</v>
      </c>
      <c r="K1246" s="28"/>
      <c r="L1246" s="29"/>
      <c r="M1246" s="28"/>
      <c r="N1246" s="19">
        <v>2</v>
      </c>
      <c r="O1246" s="19">
        <v>2</v>
      </c>
      <c r="P1246" s="19">
        <f t="shared" ref="O1246:Q1308" si="67">IF($J1246=1,4,"")</f>
        <v>4</v>
      </c>
      <c r="Q1246" s="19">
        <v>2</v>
      </c>
      <c r="X1246" s="92" t="s">
        <v>78</v>
      </c>
      <c r="Y1246" s="92" t="s">
        <v>78</v>
      </c>
      <c r="Z1246" s="92" t="s">
        <v>78</v>
      </c>
    </row>
    <row r="1247" spans="1:26" ht="16" hidden="1" x14ac:dyDescent="0.4">
      <c r="A1247" s="92">
        <v>6219</v>
      </c>
      <c r="B1247" s="92">
        <v>6220</v>
      </c>
      <c r="E1247" s="92">
        <v>50</v>
      </c>
      <c r="F1247" s="92" t="str">
        <f>_xlfn.XLOOKUP(B1247, DATA_Moresby_2024_ALL!B:B, DATA_Moresby_2024_ALL!G:G, "")</f>
        <v>6220_20240611_0004_R_0518.jpg</v>
      </c>
      <c r="G1247" s="93" t="str">
        <f t="shared" si="64"/>
        <v>6220_20240611_0004_R_0518.jpg</v>
      </c>
      <c r="H1247" s="92">
        <v>3</v>
      </c>
      <c r="J1247" s="79">
        <f>IF(G1247="","X",_xlfn.XLOOKUP(B1247,DATA_Moresby_2024_ALL!B:B,DATA_Moresby_2024_ALL!K:K,""))</f>
        <v>1</v>
      </c>
      <c r="K1247" s="28"/>
      <c r="L1247" s="29"/>
      <c r="M1247" s="28"/>
      <c r="N1247" s="19">
        <v>2</v>
      </c>
      <c r="O1247" s="19">
        <v>2</v>
      </c>
      <c r="P1247" s="19">
        <f t="shared" si="67"/>
        <v>4</v>
      </c>
      <c r="Q1247" s="19">
        <v>2</v>
      </c>
      <c r="X1247" s="92" t="s">
        <v>78</v>
      </c>
      <c r="Y1247" s="92" t="s">
        <v>78</v>
      </c>
      <c r="Z1247" s="92" t="s">
        <v>78</v>
      </c>
    </row>
    <row r="1248" spans="1:26" ht="16" hidden="1" x14ac:dyDescent="0.4">
      <c r="A1248" s="92">
        <v>6224</v>
      </c>
      <c r="B1248" s="92">
        <v>6225</v>
      </c>
      <c r="E1248" s="92">
        <v>50</v>
      </c>
      <c r="F1248" s="92" t="str">
        <f>_xlfn.XLOOKUP(B1248, DATA_Moresby_2024_ALL!B:B, DATA_Moresby_2024_ALL!G:G, "")</f>
        <v>6225_20240611_0004_R_0506.jpg</v>
      </c>
      <c r="G1248" s="93" t="str">
        <f t="shared" si="64"/>
        <v>6225_20240611_0004_R_0506.jpg</v>
      </c>
      <c r="H1248" s="92">
        <v>3</v>
      </c>
      <c r="J1248" s="79">
        <f>IF(G1248="","X",_xlfn.XLOOKUP(B1248,DATA_Moresby_2024_ALL!B:B,DATA_Moresby_2024_ALL!K:K,""))</f>
        <v>1</v>
      </c>
      <c r="K1248" s="28"/>
      <c r="L1248" s="29"/>
      <c r="M1248" s="28"/>
      <c r="N1248" s="19">
        <v>2</v>
      </c>
      <c r="O1248" s="19">
        <v>2</v>
      </c>
      <c r="P1248" s="19">
        <f t="shared" si="67"/>
        <v>4</v>
      </c>
      <c r="Q1248" s="19">
        <v>3</v>
      </c>
      <c r="X1248" s="92" t="s">
        <v>78</v>
      </c>
      <c r="Y1248" s="92" t="s">
        <v>78</v>
      </c>
      <c r="Z1248" s="92" t="s">
        <v>78</v>
      </c>
    </row>
    <row r="1249" spans="1:26" ht="16" hidden="1" x14ac:dyDescent="0.4">
      <c r="A1249" s="92">
        <v>6229</v>
      </c>
      <c r="B1249" s="92">
        <v>6230</v>
      </c>
      <c r="E1249" s="92">
        <v>50</v>
      </c>
      <c r="F1249" s="92" t="str">
        <f>_xlfn.XLOOKUP(B1249, DATA_Moresby_2024_ALL!B:B, DATA_Moresby_2024_ALL!G:G, "")</f>
        <v>6230_20240611_0004_R_0493.jpg</v>
      </c>
      <c r="G1249" s="93" t="str">
        <f t="shared" si="64"/>
        <v>6230_20240611_0004_R_0493.jpg</v>
      </c>
      <c r="H1249" s="92">
        <v>3</v>
      </c>
      <c r="J1249" s="79">
        <f>IF(G1249="","X",_xlfn.XLOOKUP(B1249,DATA_Moresby_2024_ALL!B:B,DATA_Moresby_2024_ALL!K:K,""))</f>
        <v>1</v>
      </c>
      <c r="K1249" s="28"/>
      <c r="L1249" s="29"/>
      <c r="M1249" s="28"/>
      <c r="N1249" s="19">
        <v>2</v>
      </c>
      <c r="O1249" s="19">
        <v>2</v>
      </c>
      <c r="P1249" s="19">
        <f t="shared" si="67"/>
        <v>4</v>
      </c>
      <c r="Q1249" s="19">
        <v>2</v>
      </c>
      <c r="X1249" s="92" t="s">
        <v>78</v>
      </c>
      <c r="Y1249" s="92" t="s">
        <v>78</v>
      </c>
      <c r="Z1249" s="92" t="s">
        <v>78</v>
      </c>
    </row>
    <row r="1250" spans="1:26" ht="16" hidden="1" x14ac:dyDescent="0.4">
      <c r="A1250" s="92">
        <v>6234</v>
      </c>
      <c r="B1250" s="92">
        <v>6235</v>
      </c>
      <c r="E1250" s="92">
        <v>50</v>
      </c>
      <c r="F1250" s="92" t="str">
        <f>_xlfn.XLOOKUP(B1250, DATA_Moresby_2024_ALL!B:B, DATA_Moresby_2024_ALL!G:G, "")</f>
        <v>6235_20240611_0004_R_0480.jpg</v>
      </c>
      <c r="G1250" s="93" t="str">
        <f t="shared" si="64"/>
        <v>6235_20240611_0004_R_0480.jpg</v>
      </c>
      <c r="H1250" s="92">
        <v>3</v>
      </c>
      <c r="J1250" s="79">
        <f>IF(G1250="","X",_xlfn.XLOOKUP(B1250,DATA_Moresby_2024_ALL!B:B,DATA_Moresby_2024_ALL!K:K,""))</f>
        <v>1</v>
      </c>
      <c r="K1250" s="28"/>
      <c r="L1250" s="29"/>
      <c r="M1250" s="28"/>
      <c r="N1250" s="19">
        <v>2</v>
      </c>
      <c r="O1250" s="19">
        <v>2</v>
      </c>
      <c r="P1250" s="19">
        <f t="shared" si="67"/>
        <v>4</v>
      </c>
      <c r="Q1250" s="19">
        <v>2</v>
      </c>
      <c r="X1250" s="92" t="s">
        <v>78</v>
      </c>
      <c r="Y1250" s="92" t="s">
        <v>78</v>
      </c>
      <c r="Z1250" s="92" t="s">
        <v>78</v>
      </c>
    </row>
    <row r="1251" spans="1:26" ht="16" hidden="1" x14ac:dyDescent="0.4">
      <c r="A1251" s="92">
        <v>6239</v>
      </c>
      <c r="B1251" s="92">
        <v>6240</v>
      </c>
      <c r="E1251" s="92">
        <v>50</v>
      </c>
      <c r="F1251" s="92" t="str">
        <f>_xlfn.XLOOKUP(B1251, DATA_Moresby_2024_ALL!B:B, DATA_Moresby_2024_ALL!G:G, "")</f>
        <v>6240_20240611_0004_R_0469.jpg</v>
      </c>
      <c r="G1251" s="93" t="str">
        <f t="shared" si="64"/>
        <v>6240_20240611_0004_R_0469.jpg</v>
      </c>
      <c r="H1251" s="92">
        <v>3</v>
      </c>
      <c r="I1251" s="92" t="str">
        <f>IF(G1251="","X","")</f>
        <v/>
      </c>
      <c r="J1251" s="79">
        <f>IF(G1251="","X",_xlfn.XLOOKUP(B1251,DATA_Moresby_2024_ALL!B:B,DATA_Moresby_2024_ALL!K:K,""))</f>
        <v>0</v>
      </c>
      <c r="K1251" s="28"/>
      <c r="L1251" s="29"/>
      <c r="M1251" s="28"/>
      <c r="N1251" s="19"/>
      <c r="O1251" s="19"/>
      <c r="P1251" s="19" t="str">
        <f t="shared" si="67"/>
        <v/>
      </c>
      <c r="Q1251" s="19"/>
      <c r="X1251" s="92" t="s">
        <v>78</v>
      </c>
      <c r="Y1251" s="92" t="s">
        <v>78</v>
      </c>
      <c r="Z1251" s="92" t="s">
        <v>78</v>
      </c>
    </row>
    <row r="1252" spans="1:26" ht="16" hidden="1" x14ac:dyDescent="0.4">
      <c r="A1252" s="92">
        <v>6244</v>
      </c>
      <c r="B1252" s="92">
        <v>6245</v>
      </c>
      <c r="E1252" s="92">
        <v>50</v>
      </c>
      <c r="F1252" s="92" t="str">
        <f>_xlfn.XLOOKUP(B1252, DATA_Moresby_2024_ALL!B:B, DATA_Moresby_2024_ALL!G:G, "")</f>
        <v>6245_20240611_0004_R_0455.jpg</v>
      </c>
      <c r="G1252" s="93" t="str">
        <f t="shared" si="64"/>
        <v>6245_20240611_0004_R_0455.jpg</v>
      </c>
      <c r="H1252" s="92">
        <v>3</v>
      </c>
      <c r="J1252" s="79">
        <f>IF(G1252="","X",_xlfn.XLOOKUP(B1252,DATA_Moresby_2024_ALL!B:B,DATA_Moresby_2024_ALL!K:K,""))</f>
        <v>1</v>
      </c>
      <c r="K1252" s="28"/>
      <c r="L1252" s="29"/>
      <c r="M1252" s="28"/>
      <c r="N1252" s="19">
        <v>3</v>
      </c>
      <c r="O1252" s="19">
        <v>3</v>
      </c>
      <c r="P1252" s="19">
        <f t="shared" si="67"/>
        <v>4</v>
      </c>
      <c r="Q1252" s="19">
        <v>2</v>
      </c>
      <c r="X1252" s="92" t="s">
        <v>78</v>
      </c>
      <c r="Y1252" s="92" t="s">
        <v>78</v>
      </c>
      <c r="Z1252" s="92" t="s">
        <v>78</v>
      </c>
    </row>
    <row r="1253" spans="1:26" ht="16" hidden="1" x14ac:dyDescent="0.4">
      <c r="A1253" s="92">
        <v>6249</v>
      </c>
      <c r="B1253" s="92">
        <v>6250</v>
      </c>
      <c r="E1253" s="92">
        <v>50</v>
      </c>
      <c r="F1253" s="92" t="str">
        <f>_xlfn.XLOOKUP(B1253, DATA_Moresby_2024_ALL!B:B, DATA_Moresby_2024_ALL!G:G, "")</f>
        <v>6250_20240611_0004_R_0441.jpg</v>
      </c>
      <c r="G1253" s="93" t="str">
        <f t="shared" si="64"/>
        <v>6250_20240611_0004_R_0441.jpg</v>
      </c>
      <c r="H1253" s="92">
        <v>3</v>
      </c>
      <c r="J1253" s="79">
        <f>IF(G1253="","X",_xlfn.XLOOKUP(B1253,DATA_Moresby_2024_ALL!B:B,DATA_Moresby_2024_ALL!K:K,""))</f>
        <v>1</v>
      </c>
      <c r="K1253" s="28"/>
      <c r="L1253" s="29"/>
      <c r="M1253" s="28"/>
      <c r="N1253" s="19">
        <v>3</v>
      </c>
      <c r="O1253" s="19">
        <v>2</v>
      </c>
      <c r="P1253" s="19">
        <f t="shared" si="67"/>
        <v>4</v>
      </c>
      <c r="Q1253" s="19">
        <v>2</v>
      </c>
      <c r="X1253" s="92" t="s">
        <v>78</v>
      </c>
      <c r="Y1253" s="92" t="s">
        <v>78</v>
      </c>
      <c r="Z1253" s="92" t="s">
        <v>78</v>
      </c>
    </row>
    <row r="1254" spans="1:26" ht="16" hidden="1" x14ac:dyDescent="0.4">
      <c r="A1254" s="92">
        <v>6254</v>
      </c>
      <c r="B1254" s="92">
        <v>6255</v>
      </c>
      <c r="E1254" s="92">
        <v>50</v>
      </c>
      <c r="F1254" s="92" t="str">
        <f>_xlfn.XLOOKUP(B1254, DATA_Moresby_2024_ALL!B:B, DATA_Moresby_2024_ALL!G:G, "")</f>
        <v>6255_20240611_0004_R_0427.jpg</v>
      </c>
      <c r="G1254" s="93" t="str">
        <f t="shared" si="64"/>
        <v>6255_20240611_0004_R_0427.jpg</v>
      </c>
      <c r="H1254" s="92">
        <v>3</v>
      </c>
      <c r="J1254" s="79">
        <f>IF(G1254="","X",_xlfn.XLOOKUP(B1254,DATA_Moresby_2024_ALL!B:B,DATA_Moresby_2024_ALL!K:K,""))</f>
        <v>1</v>
      </c>
      <c r="K1254" s="28"/>
      <c r="L1254" s="29"/>
      <c r="M1254" s="28"/>
      <c r="N1254" s="19">
        <v>3</v>
      </c>
      <c r="O1254" s="19">
        <v>2</v>
      </c>
      <c r="P1254" s="19">
        <f t="shared" si="67"/>
        <v>4</v>
      </c>
      <c r="Q1254" s="19">
        <v>3</v>
      </c>
      <c r="X1254" s="92" t="s">
        <v>78</v>
      </c>
      <c r="Y1254" s="92" t="s">
        <v>78</v>
      </c>
      <c r="Z1254" s="92" t="s">
        <v>78</v>
      </c>
    </row>
    <row r="1255" spans="1:26" ht="16" hidden="1" x14ac:dyDescent="0.4">
      <c r="A1255" s="92">
        <v>6259</v>
      </c>
      <c r="B1255" s="92">
        <v>6260</v>
      </c>
      <c r="E1255" s="92">
        <v>50</v>
      </c>
      <c r="F1255" s="92" t="str">
        <f>_xlfn.XLOOKUP(B1255, DATA_Moresby_2024_ALL!B:B, DATA_Moresby_2024_ALL!G:G, "")</f>
        <v>6260_20240611_0004_R_0413.jpg</v>
      </c>
      <c r="G1255" s="93" t="str">
        <f t="shared" si="64"/>
        <v>6260_20240611_0004_R_0413.jpg</v>
      </c>
      <c r="H1255" s="92">
        <v>3</v>
      </c>
      <c r="I1255" s="92" t="str">
        <f t="shared" ref="I1255:I1256" si="68">IF(G1255="","X","")</f>
        <v/>
      </c>
      <c r="J1255" s="79">
        <f>IF(G1255="","X",_xlfn.XLOOKUP(B1255,DATA_Moresby_2024_ALL!B:B,DATA_Moresby_2024_ALL!K:K,""))</f>
        <v>0</v>
      </c>
      <c r="K1255" s="28"/>
      <c r="L1255" s="29"/>
      <c r="M1255" s="28"/>
      <c r="N1255" s="19"/>
      <c r="O1255" s="19"/>
      <c r="P1255" s="19" t="str">
        <f t="shared" si="67"/>
        <v/>
      </c>
      <c r="Q1255" s="19"/>
      <c r="X1255" s="92" t="s">
        <v>78</v>
      </c>
      <c r="Y1255" s="92" t="s">
        <v>78</v>
      </c>
      <c r="Z1255" s="92" t="s">
        <v>78</v>
      </c>
    </row>
    <row r="1256" spans="1:26" ht="16" hidden="1" x14ac:dyDescent="0.4">
      <c r="A1256" s="92">
        <v>6264</v>
      </c>
      <c r="B1256" s="92">
        <v>6265</v>
      </c>
      <c r="E1256" s="92">
        <v>50</v>
      </c>
      <c r="F1256" s="92" t="str">
        <f>_xlfn.XLOOKUP(B1256, DATA_Moresby_2024_ALL!B:B, DATA_Moresby_2024_ALL!G:G, "")</f>
        <v>6265_20240611_0004_R_0399.jpg</v>
      </c>
      <c r="G1256" s="93" t="str">
        <f t="shared" si="64"/>
        <v>6265_20240611_0004_R_0399.jpg</v>
      </c>
      <c r="H1256" s="92">
        <v>3</v>
      </c>
      <c r="I1256" s="92" t="str">
        <f t="shared" si="68"/>
        <v/>
      </c>
      <c r="J1256" s="79">
        <f>IF(G1256="","X",_xlfn.XLOOKUP(B1256,DATA_Moresby_2024_ALL!B:B,DATA_Moresby_2024_ALL!K:K,""))</f>
        <v>0</v>
      </c>
      <c r="K1256" s="28"/>
      <c r="L1256" s="29"/>
      <c r="M1256" s="28"/>
      <c r="N1256" s="19"/>
      <c r="O1256" s="19"/>
      <c r="P1256" s="19" t="str">
        <f t="shared" si="67"/>
        <v/>
      </c>
      <c r="Q1256" s="19"/>
      <c r="X1256" s="92" t="s">
        <v>78</v>
      </c>
      <c r="Y1256" s="92" t="s">
        <v>78</v>
      </c>
      <c r="Z1256" s="92" t="s">
        <v>78</v>
      </c>
    </row>
    <row r="1257" spans="1:26" ht="16" hidden="1" x14ac:dyDescent="0.4">
      <c r="A1257" s="92">
        <v>6269</v>
      </c>
      <c r="B1257" s="92">
        <v>6270</v>
      </c>
      <c r="E1257" s="92">
        <v>50</v>
      </c>
      <c r="F1257" s="92" t="str">
        <f>_xlfn.XLOOKUP(B1257, DATA_Moresby_2024_ALL!B:B, DATA_Moresby_2024_ALL!G:G, "")</f>
        <v>6270_20240611_0004_R_0385.jpg</v>
      </c>
      <c r="G1257" s="93" t="str">
        <f t="shared" si="64"/>
        <v>6270_20240611_0004_R_0385.jpg</v>
      </c>
      <c r="H1257" s="92">
        <v>3</v>
      </c>
      <c r="J1257" s="79">
        <f>IF(G1257="","X",_xlfn.XLOOKUP(B1257,DATA_Moresby_2024_ALL!B:B,DATA_Moresby_2024_ALL!K:K,""))</f>
        <v>1</v>
      </c>
      <c r="K1257" s="28"/>
      <c r="L1257" s="29"/>
      <c r="M1257" s="28"/>
      <c r="N1257" s="19">
        <v>3</v>
      </c>
      <c r="O1257" s="19">
        <v>3</v>
      </c>
      <c r="P1257" s="19">
        <f t="shared" si="67"/>
        <v>4</v>
      </c>
      <c r="Q1257" s="19">
        <v>3</v>
      </c>
      <c r="X1257" s="92" t="s">
        <v>78</v>
      </c>
      <c r="Y1257" s="92" t="s">
        <v>78</v>
      </c>
      <c r="Z1257" s="92" t="s">
        <v>78</v>
      </c>
    </row>
    <row r="1258" spans="1:26" ht="16" hidden="1" x14ac:dyDescent="0.4">
      <c r="A1258" s="92">
        <v>6274</v>
      </c>
      <c r="B1258" s="92">
        <v>6275</v>
      </c>
      <c r="E1258" s="92">
        <v>50</v>
      </c>
      <c r="F1258" s="92" t="str">
        <f>_xlfn.XLOOKUP(B1258, DATA_Moresby_2024_ALL!B:B, DATA_Moresby_2024_ALL!G:G, "")</f>
        <v>6275_20240611_0004_R_0370.jpg</v>
      </c>
      <c r="G1258" s="93" t="str">
        <f t="shared" si="64"/>
        <v>6275_20240611_0004_R_0370.jpg</v>
      </c>
      <c r="H1258" s="92">
        <v>3</v>
      </c>
      <c r="J1258" s="79">
        <f>IF(G1258="","X",_xlfn.XLOOKUP(B1258,DATA_Moresby_2024_ALL!B:B,DATA_Moresby_2024_ALL!K:K,""))</f>
        <v>1</v>
      </c>
      <c r="K1258" s="28"/>
      <c r="L1258" s="29"/>
      <c r="M1258" s="28"/>
      <c r="N1258" s="19">
        <v>2</v>
      </c>
      <c r="O1258" s="19">
        <v>3</v>
      </c>
      <c r="P1258" s="19">
        <f t="shared" si="67"/>
        <v>4</v>
      </c>
      <c r="Q1258" s="19">
        <v>3</v>
      </c>
      <c r="X1258" s="92" t="s">
        <v>78</v>
      </c>
      <c r="Y1258" s="92" t="s">
        <v>78</v>
      </c>
      <c r="Z1258" s="92" t="s">
        <v>78</v>
      </c>
    </row>
    <row r="1259" spans="1:26" ht="16" hidden="1" x14ac:dyDescent="0.4">
      <c r="A1259" s="92">
        <v>6279</v>
      </c>
      <c r="B1259" s="92">
        <v>6280</v>
      </c>
      <c r="E1259" s="92">
        <v>50</v>
      </c>
      <c r="F1259" s="92" t="str">
        <f>_xlfn.XLOOKUP(B1259, DATA_Moresby_2024_ALL!B:B, DATA_Moresby_2024_ALL!G:G, "")</f>
        <v>6280_20240611_0004_R_0356.jpg</v>
      </c>
      <c r="G1259" s="93" t="str">
        <f t="shared" si="64"/>
        <v>6280_20240611_0004_R_0356.jpg</v>
      </c>
      <c r="H1259" s="92">
        <v>3</v>
      </c>
      <c r="J1259" s="79">
        <f>IF(G1259="","X",_xlfn.XLOOKUP(B1259,DATA_Moresby_2024_ALL!B:B,DATA_Moresby_2024_ALL!K:K,""))</f>
        <v>1</v>
      </c>
      <c r="K1259" s="28"/>
      <c r="L1259" s="29"/>
      <c r="M1259" s="28"/>
      <c r="N1259" s="19">
        <v>3</v>
      </c>
      <c r="O1259" s="19">
        <v>3</v>
      </c>
      <c r="P1259" s="19">
        <f t="shared" si="67"/>
        <v>4</v>
      </c>
      <c r="Q1259" s="19">
        <v>3</v>
      </c>
      <c r="X1259" s="92" t="s">
        <v>78</v>
      </c>
      <c r="Y1259" s="92" t="s">
        <v>78</v>
      </c>
      <c r="Z1259" s="92" t="s">
        <v>78</v>
      </c>
    </row>
    <row r="1260" spans="1:26" ht="16" x14ac:dyDescent="0.4">
      <c r="A1260" s="92">
        <v>6284</v>
      </c>
      <c r="B1260" s="92">
        <v>6285</v>
      </c>
      <c r="E1260" s="92">
        <v>50</v>
      </c>
      <c r="F1260" s="92" t="str">
        <f>_xlfn.XLOOKUP(B1260, DATA_Moresby_2024_ALL!B:B, DATA_Moresby_2024_ALL!G:G, "")</f>
        <v>6285_20240611_0004_R_0343.jpg</v>
      </c>
      <c r="G1260" s="93" t="str">
        <f t="shared" si="64"/>
        <v>6285_20240611_0004_R_0343.jpg</v>
      </c>
      <c r="H1260" s="92">
        <v>2</v>
      </c>
      <c r="J1260" s="79">
        <f>IF(G1260="","X",_xlfn.XLOOKUP(B1260,DATA_Moresby_2024_ALL!B:B,DATA_Moresby_2024_ALL!K:K,""))</f>
        <v>1</v>
      </c>
      <c r="K1260" s="28"/>
      <c r="L1260" s="29"/>
      <c r="M1260" s="28"/>
      <c r="N1260" s="19">
        <v>4</v>
      </c>
      <c r="O1260" s="19">
        <f t="shared" si="67"/>
        <v>4</v>
      </c>
      <c r="P1260" s="19">
        <f t="shared" si="67"/>
        <v>4</v>
      </c>
      <c r="Q1260" s="19">
        <v>3</v>
      </c>
      <c r="X1260" s="92">
        <v>4</v>
      </c>
      <c r="Y1260" s="92">
        <v>4</v>
      </c>
      <c r="Z1260" s="92">
        <v>3</v>
      </c>
    </row>
    <row r="1261" spans="1:26" ht="16" x14ac:dyDescent="0.4">
      <c r="A1261" s="92">
        <v>6289</v>
      </c>
      <c r="B1261" s="92">
        <v>6290</v>
      </c>
      <c r="E1261" s="92">
        <v>50</v>
      </c>
      <c r="F1261" s="92" t="str">
        <f>_xlfn.XLOOKUP(B1261, DATA_Moresby_2024_ALL!B:B, DATA_Moresby_2024_ALL!G:G, "")</f>
        <v>6290_20240611_0004_R_0329.jpg</v>
      </c>
      <c r="G1261" s="93" t="str">
        <f t="shared" si="64"/>
        <v>6290_20240611_0004_R_0329.jpg</v>
      </c>
      <c r="H1261" s="92">
        <v>2</v>
      </c>
      <c r="J1261" s="79">
        <f>IF(G1261="","X",_xlfn.XLOOKUP(B1261,DATA_Moresby_2024_ALL!B:B,DATA_Moresby_2024_ALL!K:K,""))</f>
        <v>1</v>
      </c>
      <c r="K1261" s="28"/>
      <c r="L1261" s="29"/>
      <c r="M1261" s="28"/>
      <c r="N1261" s="19">
        <v>3</v>
      </c>
      <c r="O1261" s="19">
        <v>3</v>
      </c>
      <c r="P1261" s="19">
        <f t="shared" si="67"/>
        <v>4</v>
      </c>
      <c r="Q1261" s="19">
        <v>2</v>
      </c>
      <c r="X1261" s="92">
        <v>4</v>
      </c>
      <c r="Y1261" s="92">
        <v>4</v>
      </c>
      <c r="Z1261" s="92">
        <v>3</v>
      </c>
    </row>
    <row r="1262" spans="1:26" ht="16" x14ac:dyDescent="0.4">
      <c r="A1262" s="92">
        <v>6294</v>
      </c>
      <c r="B1262" s="92">
        <v>6295</v>
      </c>
      <c r="E1262" s="92">
        <v>50</v>
      </c>
      <c r="F1262" s="92" t="str">
        <f>_xlfn.XLOOKUP(B1262, DATA_Moresby_2024_ALL!B:B, DATA_Moresby_2024_ALL!G:G, "")</f>
        <v>6295_20240611_0004_R_0315.jpg</v>
      </c>
      <c r="G1262" s="93" t="str">
        <f t="shared" si="64"/>
        <v>6295_20240611_0004_R_0315.jpg</v>
      </c>
      <c r="H1262" s="92">
        <v>2</v>
      </c>
      <c r="J1262" s="79">
        <f>IF(G1262="","X",_xlfn.XLOOKUP(B1262,DATA_Moresby_2024_ALL!B:B,DATA_Moresby_2024_ALL!K:K,""))</f>
        <v>1</v>
      </c>
      <c r="K1262" s="28"/>
      <c r="L1262" s="29"/>
      <c r="M1262" s="28"/>
      <c r="N1262" s="19">
        <v>3</v>
      </c>
      <c r="O1262" s="19">
        <v>4</v>
      </c>
      <c r="P1262" s="19">
        <f t="shared" si="67"/>
        <v>4</v>
      </c>
      <c r="Q1262" s="19">
        <v>3</v>
      </c>
      <c r="X1262" s="92">
        <v>3</v>
      </c>
      <c r="Y1262" s="92">
        <v>3</v>
      </c>
      <c r="Z1262" s="92">
        <v>3</v>
      </c>
    </row>
    <row r="1263" spans="1:26" ht="16" x14ac:dyDescent="0.4">
      <c r="A1263" s="92">
        <v>6299</v>
      </c>
      <c r="B1263" s="92">
        <v>6300</v>
      </c>
      <c r="E1263" s="92">
        <v>50</v>
      </c>
      <c r="F1263" s="92" t="str">
        <f>_xlfn.XLOOKUP(B1263, DATA_Moresby_2024_ALL!B:B, DATA_Moresby_2024_ALL!G:G, "")</f>
        <v>6300_20240611_0004_R_0301.jpg</v>
      </c>
      <c r="G1263" s="93" t="str">
        <f t="shared" si="64"/>
        <v>6300_20240611_0004_R_0301.jpg</v>
      </c>
      <c r="H1263" s="92">
        <v>2</v>
      </c>
      <c r="J1263" s="79">
        <f>IF(G1263="","X",_xlfn.XLOOKUP(B1263,DATA_Moresby_2024_ALL!B:B,DATA_Moresby_2024_ALL!K:K,""))</f>
        <v>1</v>
      </c>
      <c r="K1263" s="28"/>
      <c r="L1263" s="29"/>
      <c r="M1263" s="28"/>
      <c r="N1263" s="19">
        <v>4</v>
      </c>
      <c r="O1263" s="19">
        <v>2</v>
      </c>
      <c r="P1263" s="19">
        <f t="shared" si="67"/>
        <v>4</v>
      </c>
      <c r="Q1263" s="19">
        <v>3</v>
      </c>
      <c r="X1263" s="92">
        <v>3</v>
      </c>
      <c r="Y1263" s="92">
        <v>3</v>
      </c>
      <c r="Z1263" s="92">
        <v>3</v>
      </c>
    </row>
    <row r="1264" spans="1:26" ht="16" x14ac:dyDescent="0.4">
      <c r="A1264" s="92">
        <v>6304</v>
      </c>
      <c r="B1264" s="92">
        <v>6305</v>
      </c>
      <c r="E1264" s="92">
        <v>50</v>
      </c>
      <c r="F1264" s="92" t="str">
        <f>_xlfn.XLOOKUP(B1264, DATA_Moresby_2024_ALL!B:B, DATA_Moresby_2024_ALL!G:G, "")</f>
        <v>6305_20240611_0004_R_0287.jpg</v>
      </c>
      <c r="G1264" s="93" t="str">
        <f t="shared" si="64"/>
        <v>6305_20240611_0004_R_0287.jpg</v>
      </c>
      <c r="H1264" s="92">
        <v>2</v>
      </c>
      <c r="J1264" s="79">
        <f>IF(G1264="","X",_xlfn.XLOOKUP(B1264,DATA_Moresby_2024_ALL!B:B,DATA_Moresby_2024_ALL!K:K,""))</f>
        <v>1</v>
      </c>
      <c r="K1264" s="28"/>
      <c r="L1264" s="29"/>
      <c r="M1264" s="28"/>
      <c r="N1264" s="19">
        <v>3</v>
      </c>
      <c r="O1264" s="19">
        <v>3</v>
      </c>
      <c r="P1264" s="19">
        <f t="shared" si="67"/>
        <v>4</v>
      </c>
      <c r="Q1264" s="19">
        <v>3</v>
      </c>
      <c r="X1264" s="92">
        <v>4</v>
      </c>
      <c r="Y1264" s="92">
        <v>4</v>
      </c>
      <c r="Z1264" s="92">
        <v>2</v>
      </c>
    </row>
    <row r="1265" spans="1:26" ht="16" x14ac:dyDescent="0.4">
      <c r="A1265" s="92">
        <v>6309</v>
      </c>
      <c r="B1265" s="92">
        <v>6310</v>
      </c>
      <c r="E1265" s="92">
        <v>50</v>
      </c>
      <c r="F1265" s="92" t="str">
        <f>_xlfn.XLOOKUP(B1265, DATA_Moresby_2024_ALL!B:B, DATA_Moresby_2024_ALL!G:G, "")</f>
        <v>6310_20240611_0004_R_0273.jpg</v>
      </c>
      <c r="G1265" s="93" t="str">
        <f t="shared" si="64"/>
        <v>6310_20240611_0004_R_0273.jpg</v>
      </c>
      <c r="H1265" s="92">
        <v>2</v>
      </c>
      <c r="J1265" s="79">
        <f>IF(G1265="","X",_xlfn.XLOOKUP(B1265,DATA_Moresby_2024_ALL!B:B,DATA_Moresby_2024_ALL!K:K,""))</f>
        <v>1</v>
      </c>
      <c r="K1265" s="28"/>
      <c r="L1265" s="29"/>
      <c r="M1265" s="28"/>
      <c r="N1265" s="19">
        <v>4</v>
      </c>
      <c r="O1265" s="19">
        <v>3</v>
      </c>
      <c r="P1265" s="19">
        <f t="shared" si="67"/>
        <v>4</v>
      </c>
      <c r="Q1265" s="19">
        <v>3</v>
      </c>
      <c r="X1265" s="92">
        <v>3</v>
      </c>
      <c r="Y1265" s="92">
        <v>2</v>
      </c>
      <c r="Z1265" s="92">
        <v>3</v>
      </c>
    </row>
    <row r="1266" spans="1:26" ht="16" x14ac:dyDescent="0.4">
      <c r="A1266" s="92">
        <v>6314</v>
      </c>
      <c r="B1266" s="92">
        <v>6315</v>
      </c>
      <c r="E1266" s="92">
        <v>50</v>
      </c>
      <c r="F1266" s="92" t="str">
        <f>_xlfn.XLOOKUP(B1266, DATA_Moresby_2024_ALL!B:B, DATA_Moresby_2024_ALL!G:G, "")</f>
        <v>6315_20240611_0004_R_0259.jpg</v>
      </c>
      <c r="G1266" s="93" t="str">
        <f t="shared" si="64"/>
        <v>6315_20240611_0004_R_0259.jpg</v>
      </c>
      <c r="H1266" s="92">
        <v>2</v>
      </c>
      <c r="J1266" s="79">
        <f>IF(G1266="","X",_xlfn.XLOOKUP(B1266,DATA_Moresby_2024_ALL!B:B,DATA_Moresby_2024_ALL!K:K,""))</f>
        <v>1</v>
      </c>
      <c r="K1266" s="28"/>
      <c r="L1266" s="29"/>
      <c r="M1266" s="28"/>
      <c r="N1266" s="19">
        <v>4</v>
      </c>
      <c r="O1266" s="19">
        <v>3</v>
      </c>
      <c r="P1266" s="19">
        <f t="shared" si="67"/>
        <v>4</v>
      </c>
      <c r="Q1266" s="19">
        <v>3</v>
      </c>
      <c r="X1266" s="92">
        <v>2</v>
      </c>
      <c r="Y1266" s="92">
        <v>2</v>
      </c>
      <c r="Z1266" s="92">
        <v>3</v>
      </c>
    </row>
    <row r="1267" spans="1:26" ht="16" x14ac:dyDescent="0.4">
      <c r="A1267" s="92">
        <v>6319</v>
      </c>
      <c r="B1267" s="92">
        <v>6320</v>
      </c>
      <c r="E1267" s="92">
        <v>50</v>
      </c>
      <c r="F1267" s="92" t="str">
        <f>_xlfn.XLOOKUP(B1267, DATA_Moresby_2024_ALL!B:B, DATA_Moresby_2024_ALL!G:G, "")</f>
        <v>6320_20240611_0004_R_0244.jpg</v>
      </c>
      <c r="G1267" s="93" t="str">
        <f t="shared" si="64"/>
        <v>6320_20240611_0004_R_0244.jpg</v>
      </c>
      <c r="H1267" s="92">
        <v>2</v>
      </c>
      <c r="I1267" s="92" t="str">
        <f>IF(G1267="","X","")</f>
        <v/>
      </c>
      <c r="J1267" s="79">
        <v>1</v>
      </c>
      <c r="K1267" s="28"/>
      <c r="L1267" s="29"/>
      <c r="M1267" s="28"/>
      <c r="N1267" s="19">
        <v>4</v>
      </c>
      <c r="O1267" s="19">
        <v>4</v>
      </c>
      <c r="P1267" s="19">
        <f t="shared" si="67"/>
        <v>4</v>
      </c>
      <c r="Q1267" s="19">
        <v>3</v>
      </c>
      <c r="X1267" s="92">
        <v>4</v>
      </c>
      <c r="Y1267" s="92">
        <v>4</v>
      </c>
      <c r="Z1267" s="92">
        <v>3</v>
      </c>
    </row>
    <row r="1268" spans="1:26" ht="16" x14ac:dyDescent="0.4">
      <c r="A1268" s="92">
        <v>6324</v>
      </c>
      <c r="B1268" s="92">
        <v>6325</v>
      </c>
      <c r="E1268" s="92">
        <v>50</v>
      </c>
      <c r="F1268" s="92" t="str">
        <f>_xlfn.XLOOKUP(B1268, DATA_Moresby_2024_ALL!B:B, DATA_Moresby_2024_ALL!G:G, "")</f>
        <v>6325_20240611_0004_R_0231.jpg</v>
      </c>
      <c r="G1268" s="93" t="str">
        <f t="shared" si="64"/>
        <v>6325_20240611_0004_R_0231.jpg</v>
      </c>
      <c r="H1268" s="92">
        <v>2</v>
      </c>
      <c r="J1268" s="79">
        <f>IF(G1268="","X",_xlfn.XLOOKUP(B1268,DATA_Moresby_2024_ALL!B:B,DATA_Moresby_2024_ALL!K:K,""))</f>
        <v>1</v>
      </c>
      <c r="K1268" s="28"/>
      <c r="L1268" s="29"/>
      <c r="M1268" s="28"/>
      <c r="N1268" s="19">
        <v>4</v>
      </c>
      <c r="O1268" s="19">
        <v>4</v>
      </c>
      <c r="P1268" s="19">
        <f t="shared" si="67"/>
        <v>4</v>
      </c>
      <c r="Q1268" s="19">
        <v>4</v>
      </c>
      <c r="X1268" s="92">
        <v>4</v>
      </c>
      <c r="Y1268" s="92">
        <v>4</v>
      </c>
      <c r="Z1268" s="92">
        <v>4</v>
      </c>
    </row>
    <row r="1269" spans="1:26" ht="16" x14ac:dyDescent="0.4">
      <c r="A1269" s="92">
        <v>6329</v>
      </c>
      <c r="B1269" s="92">
        <v>6330</v>
      </c>
      <c r="E1269" s="92">
        <v>50</v>
      </c>
      <c r="F1269" s="92" t="str">
        <f>_xlfn.XLOOKUP(B1269, DATA_Moresby_2024_ALL!B:B, DATA_Moresby_2024_ALL!G:G, "")</f>
        <v>6330_20240611_0004_R_0217.jpg</v>
      </c>
      <c r="G1269" s="93" t="str">
        <f t="shared" si="64"/>
        <v>6330_20240611_0004_R_0217.jpg</v>
      </c>
      <c r="H1269" s="92">
        <v>2</v>
      </c>
      <c r="J1269" s="79">
        <f>IF(G1269="","X",_xlfn.XLOOKUP(B1269,DATA_Moresby_2024_ALL!B:B,DATA_Moresby_2024_ALL!K:K,""))</f>
        <v>1</v>
      </c>
      <c r="K1269" s="28"/>
      <c r="L1269" s="29"/>
      <c r="M1269" s="28"/>
      <c r="N1269" s="19">
        <v>3</v>
      </c>
      <c r="O1269" s="19">
        <v>4</v>
      </c>
      <c r="P1269" s="19">
        <f t="shared" si="67"/>
        <v>4</v>
      </c>
      <c r="Q1269" s="19">
        <v>3</v>
      </c>
      <c r="X1269" s="92">
        <v>3</v>
      </c>
      <c r="Y1269" s="92">
        <v>4</v>
      </c>
      <c r="Z1269" s="92">
        <v>3</v>
      </c>
    </row>
    <row r="1270" spans="1:26" ht="16" x14ac:dyDescent="0.4">
      <c r="A1270" s="92">
        <v>6334</v>
      </c>
      <c r="B1270" s="92">
        <v>6335</v>
      </c>
      <c r="E1270" s="92">
        <v>50</v>
      </c>
      <c r="F1270" s="92" t="str">
        <f>_xlfn.XLOOKUP(B1270, DATA_Moresby_2024_ALL!B:B, DATA_Moresby_2024_ALL!G:G, "")</f>
        <v>6335_20240611_0004_R_0202.jpg</v>
      </c>
      <c r="G1270" s="93" t="str">
        <f t="shared" si="64"/>
        <v>6335_20240611_0004_R_0202.jpg</v>
      </c>
      <c r="H1270" s="92">
        <v>2</v>
      </c>
      <c r="J1270" s="79">
        <f>IF(G1270="","X",_xlfn.XLOOKUP(B1270,DATA_Moresby_2024_ALL!B:B,DATA_Moresby_2024_ALL!K:K,""))</f>
        <v>1</v>
      </c>
      <c r="K1270" s="28"/>
      <c r="L1270" s="29"/>
      <c r="M1270" s="28"/>
      <c r="N1270" s="19">
        <v>4</v>
      </c>
      <c r="O1270" s="19">
        <v>3</v>
      </c>
      <c r="P1270" s="19">
        <f t="shared" si="67"/>
        <v>4</v>
      </c>
      <c r="Q1270" s="19">
        <v>3</v>
      </c>
      <c r="X1270" s="92">
        <v>3</v>
      </c>
      <c r="Y1270" s="92">
        <v>4</v>
      </c>
      <c r="Z1270" s="92">
        <v>3</v>
      </c>
    </row>
    <row r="1271" spans="1:26" ht="16" x14ac:dyDescent="0.4">
      <c r="A1271" s="92">
        <v>6339</v>
      </c>
      <c r="B1271" s="92">
        <v>6340</v>
      </c>
      <c r="E1271" s="92">
        <v>50</v>
      </c>
      <c r="F1271" s="92" t="str">
        <f>_xlfn.XLOOKUP(B1271, DATA_Moresby_2024_ALL!B:B, DATA_Moresby_2024_ALL!G:G, "")</f>
        <v>6340_20240611_0004_R_0187.jpg</v>
      </c>
      <c r="G1271" s="93" t="str">
        <f t="shared" si="64"/>
        <v>6340_20240611_0004_R_0187.jpg</v>
      </c>
      <c r="H1271" s="92">
        <v>2</v>
      </c>
      <c r="J1271" s="79">
        <f>IF(G1271="","X",_xlfn.XLOOKUP(B1271,DATA_Moresby_2024_ALL!B:B,DATA_Moresby_2024_ALL!K:K,""))</f>
        <v>1</v>
      </c>
      <c r="K1271" s="28"/>
      <c r="L1271" s="29"/>
      <c r="M1271" s="28"/>
      <c r="N1271" s="19">
        <v>3</v>
      </c>
      <c r="O1271" s="19">
        <v>4</v>
      </c>
      <c r="P1271" s="19">
        <f t="shared" si="67"/>
        <v>4</v>
      </c>
      <c r="Q1271" s="19">
        <v>4</v>
      </c>
      <c r="X1271" s="92">
        <v>3</v>
      </c>
      <c r="Y1271" s="92">
        <v>4</v>
      </c>
      <c r="Z1271" s="92">
        <v>2</v>
      </c>
    </row>
    <row r="1272" spans="1:26" ht="16" x14ac:dyDescent="0.4">
      <c r="A1272" s="92">
        <v>6344</v>
      </c>
      <c r="B1272" s="92">
        <v>6345</v>
      </c>
      <c r="E1272" s="92">
        <v>50</v>
      </c>
      <c r="F1272" s="92" t="str">
        <f>_xlfn.XLOOKUP(B1272, DATA_Moresby_2024_ALL!B:B, DATA_Moresby_2024_ALL!G:G, "")</f>
        <v>6345_20240611_0004_R_0171.jpg</v>
      </c>
      <c r="G1272" s="93" t="str">
        <f t="shared" si="64"/>
        <v>6345_20240611_0004_R_0171.jpg</v>
      </c>
      <c r="H1272" s="92">
        <v>2</v>
      </c>
      <c r="J1272" s="79">
        <f>IF(G1272="","X",_xlfn.XLOOKUP(B1272,DATA_Moresby_2024_ALL!B:B,DATA_Moresby_2024_ALL!K:K,""))</f>
        <v>1</v>
      </c>
      <c r="K1272" s="28"/>
      <c r="L1272" s="29"/>
      <c r="M1272" s="28"/>
      <c r="N1272" s="19">
        <v>3</v>
      </c>
      <c r="O1272" s="19">
        <v>4</v>
      </c>
      <c r="P1272" s="19">
        <f t="shared" si="67"/>
        <v>4</v>
      </c>
      <c r="Q1272" s="19">
        <v>4</v>
      </c>
      <c r="X1272" s="92">
        <v>3</v>
      </c>
      <c r="Y1272" s="92">
        <v>4</v>
      </c>
      <c r="Z1272" s="92">
        <v>3</v>
      </c>
    </row>
    <row r="1273" spans="1:26" ht="16" x14ac:dyDescent="0.4">
      <c r="A1273" s="92">
        <v>6349</v>
      </c>
      <c r="B1273" s="92">
        <v>6350</v>
      </c>
      <c r="E1273" s="92">
        <v>50</v>
      </c>
      <c r="F1273" s="92" t="str">
        <f>_xlfn.XLOOKUP(B1273, DATA_Moresby_2024_ALL!B:B, DATA_Moresby_2024_ALL!G:G, "")</f>
        <v>6350_20240611_0004_R_0155.jpg</v>
      </c>
      <c r="G1273" s="93" t="str">
        <f t="shared" si="64"/>
        <v>6350_20240611_0004_R_0155.jpg</v>
      </c>
      <c r="H1273" s="92">
        <v>2</v>
      </c>
      <c r="J1273" s="79">
        <f>IF(G1273="","X",_xlfn.XLOOKUP(B1273,DATA_Moresby_2024_ALL!B:B,DATA_Moresby_2024_ALL!K:K,""))</f>
        <v>1</v>
      </c>
      <c r="K1273" s="28"/>
      <c r="L1273" s="29"/>
      <c r="M1273" s="28"/>
      <c r="N1273" s="19">
        <v>4</v>
      </c>
      <c r="O1273" s="19">
        <f t="shared" si="67"/>
        <v>4</v>
      </c>
      <c r="P1273" s="19">
        <f t="shared" si="67"/>
        <v>4</v>
      </c>
      <c r="Q1273" s="19">
        <v>3</v>
      </c>
      <c r="X1273" s="92">
        <v>3</v>
      </c>
      <c r="Y1273" s="92">
        <v>4</v>
      </c>
      <c r="Z1273" s="92">
        <v>2</v>
      </c>
    </row>
    <row r="1274" spans="1:26" ht="16" x14ac:dyDescent="0.4">
      <c r="A1274" s="92">
        <v>6354</v>
      </c>
      <c r="B1274" s="92">
        <v>6355</v>
      </c>
      <c r="E1274" s="92">
        <v>50</v>
      </c>
      <c r="F1274" s="92" t="str">
        <f>_xlfn.XLOOKUP(B1274, DATA_Moresby_2024_ALL!B:B, DATA_Moresby_2024_ALL!G:G, "")</f>
        <v>6355_20240611_0004_R_0139.jpg</v>
      </c>
      <c r="G1274" s="93" t="str">
        <f t="shared" si="64"/>
        <v>6355_20240611_0004_R_0139.jpg</v>
      </c>
      <c r="H1274" s="92">
        <v>2</v>
      </c>
      <c r="J1274" s="79">
        <f>IF(G1274="","X",_xlfn.XLOOKUP(B1274,DATA_Moresby_2024_ALL!B:B,DATA_Moresby_2024_ALL!K:K,""))</f>
        <v>1</v>
      </c>
      <c r="K1274" s="28"/>
      <c r="L1274" s="29"/>
      <c r="M1274" s="28"/>
      <c r="N1274" s="19">
        <v>4</v>
      </c>
      <c r="O1274" s="19">
        <f t="shared" si="67"/>
        <v>4</v>
      </c>
      <c r="P1274" s="19">
        <f t="shared" si="67"/>
        <v>4</v>
      </c>
      <c r="Q1274" s="19">
        <v>4</v>
      </c>
      <c r="X1274" s="92">
        <v>4</v>
      </c>
      <c r="Y1274" s="92">
        <v>4</v>
      </c>
      <c r="Z1274" s="92">
        <v>2</v>
      </c>
    </row>
    <row r="1275" spans="1:26" ht="16" x14ac:dyDescent="0.4">
      <c r="A1275" s="92">
        <v>6359</v>
      </c>
      <c r="B1275" s="92">
        <v>6360</v>
      </c>
      <c r="E1275" s="92">
        <v>50</v>
      </c>
      <c r="F1275" s="92" t="str">
        <f>_xlfn.XLOOKUP(B1275, DATA_Moresby_2024_ALL!B:B, DATA_Moresby_2024_ALL!G:G, "")</f>
        <v>6360_20240611_0004_R_0125.jpg</v>
      </c>
      <c r="G1275" s="93" t="str">
        <f t="shared" si="64"/>
        <v>6360_20240611_0004_R_0125.jpg</v>
      </c>
      <c r="H1275" s="92">
        <v>2</v>
      </c>
      <c r="J1275" s="79">
        <f>IF(G1275="","X",_xlfn.XLOOKUP(B1275,DATA_Moresby_2024_ALL!B:B,DATA_Moresby_2024_ALL!K:K,""))</f>
        <v>1</v>
      </c>
      <c r="K1275" s="28"/>
      <c r="L1275" s="29"/>
      <c r="M1275" s="28"/>
      <c r="N1275" s="19">
        <v>4</v>
      </c>
      <c r="O1275" s="19">
        <v>4</v>
      </c>
      <c r="P1275" s="19">
        <f t="shared" si="67"/>
        <v>4</v>
      </c>
      <c r="Q1275" s="19">
        <v>4</v>
      </c>
      <c r="X1275" s="92">
        <v>4</v>
      </c>
      <c r="Y1275" s="92">
        <v>4</v>
      </c>
      <c r="Z1275" s="92">
        <v>3</v>
      </c>
    </row>
    <row r="1276" spans="1:26" ht="16" x14ac:dyDescent="0.4">
      <c r="A1276" s="92">
        <v>6364</v>
      </c>
      <c r="B1276" s="92">
        <v>6365</v>
      </c>
      <c r="E1276" s="92">
        <v>50</v>
      </c>
      <c r="F1276" s="92" t="str">
        <f>_xlfn.XLOOKUP(B1276, DATA_Moresby_2024_ALL!B:B, DATA_Moresby_2024_ALL!G:G, "")</f>
        <v>6365_20240611_0004_R_0107.jpg</v>
      </c>
      <c r="G1276" s="93" t="str">
        <f t="shared" si="64"/>
        <v>6365_20240611_0004_R_0107.jpg</v>
      </c>
      <c r="H1276" s="92">
        <v>2</v>
      </c>
      <c r="J1276" s="79">
        <f>IF(G1276="","X",_xlfn.XLOOKUP(B1276,DATA_Moresby_2024_ALL!B:B,DATA_Moresby_2024_ALL!K:K,""))</f>
        <v>1</v>
      </c>
      <c r="K1276" s="28"/>
      <c r="L1276" s="29"/>
      <c r="M1276" s="28"/>
      <c r="N1276" s="19">
        <v>3</v>
      </c>
      <c r="O1276" s="19">
        <v>3</v>
      </c>
      <c r="P1276" s="19">
        <f t="shared" si="67"/>
        <v>4</v>
      </c>
      <c r="Q1276" s="19">
        <v>3</v>
      </c>
      <c r="X1276" s="92">
        <v>4</v>
      </c>
      <c r="Y1276" s="92">
        <v>4</v>
      </c>
      <c r="Z1276" s="92">
        <v>3</v>
      </c>
    </row>
    <row r="1277" spans="1:26" ht="16" x14ac:dyDescent="0.4">
      <c r="A1277" s="92">
        <v>6369</v>
      </c>
      <c r="B1277" s="92">
        <v>6370</v>
      </c>
      <c r="E1277" s="92">
        <v>50</v>
      </c>
      <c r="F1277" s="92" t="str">
        <f>_xlfn.XLOOKUP(B1277, DATA_Moresby_2024_ALL!B:B, DATA_Moresby_2024_ALL!G:G, "")</f>
        <v>6370_20240611_0004_R_0091.jpg</v>
      </c>
      <c r="G1277" s="93" t="str">
        <f t="shared" si="64"/>
        <v>6370_20240611_0004_R_0091.jpg</v>
      </c>
      <c r="H1277" s="92">
        <v>2</v>
      </c>
      <c r="J1277" s="79">
        <f>IF(G1277="","X",_xlfn.XLOOKUP(B1277,DATA_Moresby_2024_ALL!B:B,DATA_Moresby_2024_ALL!K:K,""))</f>
        <v>1</v>
      </c>
      <c r="K1277" s="28"/>
      <c r="L1277" s="29"/>
      <c r="M1277" s="28"/>
      <c r="N1277" s="19">
        <v>4</v>
      </c>
      <c r="O1277" s="19">
        <v>3</v>
      </c>
      <c r="P1277" s="19">
        <f t="shared" si="67"/>
        <v>4</v>
      </c>
      <c r="Q1277" s="19">
        <v>3</v>
      </c>
      <c r="X1277" s="92">
        <v>4</v>
      </c>
      <c r="Y1277" s="92">
        <v>4</v>
      </c>
      <c r="Z1277" s="92">
        <v>3</v>
      </c>
    </row>
    <row r="1278" spans="1:26" ht="16" x14ac:dyDescent="0.4">
      <c r="A1278" s="92">
        <v>6374</v>
      </c>
      <c r="B1278" s="92">
        <v>6375</v>
      </c>
      <c r="E1278" s="92">
        <v>50</v>
      </c>
      <c r="F1278" s="92" t="str">
        <f>_xlfn.XLOOKUP(B1278, DATA_Moresby_2024_ALL!B:B, DATA_Moresby_2024_ALL!G:G, "")</f>
        <v>6375_20240611_0004_R_0075.jpg</v>
      </c>
      <c r="G1278" s="93" t="str">
        <f t="shared" si="64"/>
        <v>6375_20240611_0004_R_0075.jpg</v>
      </c>
      <c r="H1278" s="92">
        <v>2</v>
      </c>
      <c r="J1278" s="79">
        <f>IF(G1278="","X",_xlfn.XLOOKUP(B1278,DATA_Moresby_2024_ALL!B:B,DATA_Moresby_2024_ALL!K:K,""))</f>
        <v>1</v>
      </c>
      <c r="K1278" s="28"/>
      <c r="L1278" s="29"/>
      <c r="M1278" s="28"/>
      <c r="N1278" s="19">
        <v>4</v>
      </c>
      <c r="O1278" s="19">
        <v>3</v>
      </c>
      <c r="P1278" s="19">
        <f t="shared" si="67"/>
        <v>4</v>
      </c>
      <c r="Q1278" s="19">
        <v>3</v>
      </c>
      <c r="X1278" s="92">
        <v>3</v>
      </c>
      <c r="Y1278" s="92">
        <v>4</v>
      </c>
      <c r="Z1278" s="92">
        <v>3</v>
      </c>
    </row>
    <row r="1279" spans="1:26" ht="16" x14ac:dyDescent="0.4">
      <c r="A1279" s="92">
        <v>6379</v>
      </c>
      <c r="B1279" s="92">
        <v>6380</v>
      </c>
      <c r="E1279" s="92">
        <v>50</v>
      </c>
      <c r="F1279" s="92" t="str">
        <f>_xlfn.XLOOKUP(B1279, DATA_Moresby_2024_ALL!B:B, DATA_Moresby_2024_ALL!G:G, "")</f>
        <v>6380_20240611_0004_R_0058.jpg</v>
      </c>
      <c r="G1279" s="93" t="str">
        <f t="shared" si="64"/>
        <v>6380_20240611_0004_R_0058.jpg</v>
      </c>
      <c r="H1279" s="92">
        <v>2</v>
      </c>
      <c r="J1279" s="79">
        <f>IF(G1279="","X",_xlfn.XLOOKUP(B1279,DATA_Moresby_2024_ALL!B:B,DATA_Moresby_2024_ALL!K:K,""))</f>
        <v>1</v>
      </c>
      <c r="K1279" s="28"/>
      <c r="L1279" s="29"/>
      <c r="M1279" s="28"/>
      <c r="N1279" s="19">
        <v>4</v>
      </c>
      <c r="O1279" s="19">
        <v>3</v>
      </c>
      <c r="P1279" s="19">
        <f t="shared" si="67"/>
        <v>4</v>
      </c>
      <c r="Q1279" s="19">
        <f t="shared" si="67"/>
        <v>4</v>
      </c>
      <c r="X1279" s="92">
        <v>4</v>
      </c>
      <c r="Y1279" s="92">
        <v>4</v>
      </c>
      <c r="Z1279" s="92">
        <v>2</v>
      </c>
    </row>
    <row r="1280" spans="1:26" ht="16" x14ac:dyDescent="0.4">
      <c r="A1280" s="92">
        <v>6384</v>
      </c>
      <c r="B1280" s="92">
        <v>6385</v>
      </c>
      <c r="E1280" s="92">
        <v>50</v>
      </c>
      <c r="F1280" s="92" t="str">
        <f>_xlfn.XLOOKUP(B1280, DATA_Moresby_2024_ALL!B:B, DATA_Moresby_2024_ALL!G:G, "")</f>
        <v>6385_20240611_0004_R_0035.jpg</v>
      </c>
      <c r="G1280" s="93" t="str">
        <f t="shared" si="64"/>
        <v>6385_20240611_0004_R_0035.jpg</v>
      </c>
      <c r="H1280" s="92">
        <v>2</v>
      </c>
      <c r="J1280" s="79">
        <f>IF(G1280="","X",_xlfn.XLOOKUP(B1280,DATA_Moresby_2024_ALL!B:B,DATA_Moresby_2024_ALL!K:K,""))</f>
        <v>1</v>
      </c>
      <c r="K1280" s="28"/>
      <c r="L1280" s="29"/>
      <c r="M1280" s="28"/>
      <c r="N1280" s="19">
        <v>4</v>
      </c>
      <c r="O1280" s="19">
        <v>3</v>
      </c>
      <c r="P1280" s="19">
        <f t="shared" si="67"/>
        <v>4</v>
      </c>
      <c r="Q1280" s="19">
        <v>4</v>
      </c>
      <c r="X1280" s="92">
        <v>4</v>
      </c>
      <c r="Y1280" s="92">
        <v>4</v>
      </c>
      <c r="Z1280" s="92">
        <v>3</v>
      </c>
    </row>
    <row r="1281" spans="1:27" ht="16" x14ac:dyDescent="0.4">
      <c r="A1281" s="92">
        <v>6389</v>
      </c>
      <c r="B1281" s="92">
        <v>6390</v>
      </c>
      <c r="E1281" s="92">
        <v>50</v>
      </c>
      <c r="F1281" s="92" t="str">
        <f>_xlfn.XLOOKUP(B1281, DATA_Moresby_2024_ALL!B:B, DATA_Moresby_2024_ALL!G:G, "")</f>
        <v>6390_20240611_0004_R_0009.jpg</v>
      </c>
      <c r="G1281" s="93" t="str">
        <f t="shared" si="64"/>
        <v>6390_20240611_0004_R_0009.jpg</v>
      </c>
      <c r="H1281" s="92">
        <v>2</v>
      </c>
      <c r="J1281" s="79">
        <f>IF(G1281="","X",_xlfn.XLOOKUP(B1281,DATA_Moresby_2024_ALL!B:B,DATA_Moresby_2024_ALL!K:K,""))</f>
        <v>1</v>
      </c>
      <c r="K1281" s="28"/>
      <c r="L1281" s="29"/>
      <c r="M1281" s="28"/>
      <c r="N1281" s="19">
        <v>4</v>
      </c>
      <c r="O1281" s="19">
        <f t="shared" si="67"/>
        <v>4</v>
      </c>
      <c r="P1281" s="19">
        <f t="shared" si="67"/>
        <v>4</v>
      </c>
      <c r="Q1281" s="19">
        <f t="shared" si="67"/>
        <v>4</v>
      </c>
      <c r="X1281" s="92">
        <v>4</v>
      </c>
      <c r="Y1281" s="92">
        <v>4</v>
      </c>
      <c r="Z1281" s="92">
        <v>3</v>
      </c>
    </row>
    <row r="1282" spans="1:27" ht="16" x14ac:dyDescent="0.4">
      <c r="A1282" s="92">
        <v>6394</v>
      </c>
      <c r="B1282" s="92">
        <v>6395</v>
      </c>
      <c r="E1282" s="92">
        <v>50</v>
      </c>
      <c r="F1282" s="92">
        <f>_xlfn.XLOOKUP(B1282, DATA_Moresby_2024_ALL!B:B, DATA_Moresby_2024_ALL!G:G, "")</f>
        <v>0</v>
      </c>
      <c r="G1282" s="93"/>
      <c r="H1282" s="92">
        <v>2</v>
      </c>
      <c r="I1282" s="92" t="str">
        <f t="shared" ref="I1282:I1284" si="69">IF(G1282="","X","")</f>
        <v>X</v>
      </c>
      <c r="J1282" s="79" t="str">
        <f>IF(G1282="","X",_xlfn.XLOOKUP(B1282,DATA_Moresby_2024_ALL!B:B,DATA_Moresby_2024_ALL!K:K,""))</f>
        <v>X</v>
      </c>
      <c r="K1282" s="28"/>
      <c r="L1282" s="29"/>
      <c r="M1282" s="28"/>
      <c r="N1282" s="19" t="str">
        <f t="shared" ref="N1282:Q1309" si="70">IF($J1282=1,4,"")</f>
        <v/>
      </c>
      <c r="O1282" s="19" t="str">
        <f t="shared" si="67"/>
        <v/>
      </c>
      <c r="P1282" s="19" t="str">
        <f t="shared" si="67"/>
        <v/>
      </c>
      <c r="Q1282" s="19" t="str">
        <f t="shared" si="67"/>
        <v/>
      </c>
      <c r="X1282" s="92">
        <v>4</v>
      </c>
      <c r="Y1282" s="92">
        <v>4</v>
      </c>
      <c r="Z1282" s="92">
        <v>2</v>
      </c>
    </row>
    <row r="1283" spans="1:27" ht="16" x14ac:dyDescent="0.4">
      <c r="A1283" s="92">
        <v>6399</v>
      </c>
      <c r="B1283" s="92">
        <v>6400</v>
      </c>
      <c r="E1283" s="92">
        <v>50</v>
      </c>
      <c r="F1283" s="92">
        <f>_xlfn.XLOOKUP(B1283, DATA_Moresby_2024_ALL!B:B, DATA_Moresby_2024_ALL!G:G, "")</f>
        <v>0</v>
      </c>
      <c r="G1283" s="93"/>
      <c r="H1283" s="92">
        <v>2</v>
      </c>
      <c r="I1283" s="92" t="str">
        <f t="shared" si="69"/>
        <v>X</v>
      </c>
      <c r="J1283" s="79" t="str">
        <f>IF(G1283="","X",_xlfn.XLOOKUP(B1283,DATA_Moresby_2024_ALL!B:B,DATA_Moresby_2024_ALL!K:K,""))</f>
        <v>X</v>
      </c>
      <c r="K1283" s="28"/>
      <c r="L1283" s="29"/>
      <c r="M1283" s="28"/>
      <c r="N1283" s="19" t="str">
        <f t="shared" si="70"/>
        <v/>
      </c>
      <c r="O1283" s="19" t="str">
        <f t="shared" si="67"/>
        <v/>
      </c>
      <c r="P1283" s="19" t="str">
        <f t="shared" si="67"/>
        <v/>
      </c>
      <c r="Q1283" s="19" t="str">
        <f t="shared" si="67"/>
        <v/>
      </c>
      <c r="X1283" s="92">
        <v>4</v>
      </c>
      <c r="Y1283" s="92">
        <v>4</v>
      </c>
      <c r="Z1283" s="92">
        <v>3</v>
      </c>
    </row>
    <row r="1284" spans="1:27" ht="16" x14ac:dyDescent="0.4">
      <c r="A1284" s="92">
        <v>6404</v>
      </c>
      <c r="B1284" s="92">
        <v>6405</v>
      </c>
      <c r="E1284" s="92">
        <v>50</v>
      </c>
      <c r="F1284" s="92">
        <f>_xlfn.XLOOKUP(B1284, DATA_Moresby_2024_ALL!B:B, DATA_Moresby_2024_ALL!G:G, "")</f>
        <v>0</v>
      </c>
      <c r="G1284" s="93"/>
      <c r="H1284" s="92">
        <v>2</v>
      </c>
      <c r="I1284" s="92" t="str">
        <f t="shared" si="69"/>
        <v>X</v>
      </c>
      <c r="J1284" s="79" t="str">
        <f>IF(G1284="","X",_xlfn.XLOOKUP(B1284,DATA_Moresby_2024_ALL!B:B,DATA_Moresby_2024_ALL!K:K,""))</f>
        <v>X</v>
      </c>
      <c r="K1284" s="28"/>
      <c r="L1284" s="29"/>
      <c r="M1284" s="28"/>
      <c r="N1284" s="19" t="str">
        <f t="shared" si="70"/>
        <v/>
      </c>
      <c r="O1284" s="19" t="str">
        <f t="shared" si="67"/>
        <v/>
      </c>
      <c r="P1284" s="19" t="str">
        <f t="shared" si="67"/>
        <v/>
      </c>
      <c r="Q1284" s="19" t="str">
        <f t="shared" si="67"/>
        <v/>
      </c>
      <c r="X1284" s="92">
        <v>4</v>
      </c>
      <c r="Y1284" s="92">
        <v>4</v>
      </c>
      <c r="Z1284" s="92">
        <v>3</v>
      </c>
    </row>
    <row r="1285" spans="1:27" ht="16" x14ac:dyDescent="0.4">
      <c r="A1285" s="92">
        <v>6409</v>
      </c>
      <c r="B1285" s="92">
        <v>6410</v>
      </c>
      <c r="E1285" s="92">
        <v>50</v>
      </c>
      <c r="F1285" s="92" t="str">
        <f>_xlfn.XLOOKUP(B1285, DATA_Moresby_2024_ALL!B:B, DATA_Moresby_2024_ALL!G:G, "")</f>
        <v>6410_20240611_0011_L_0015.jpg</v>
      </c>
      <c r="G1285" s="93" t="str">
        <f t="shared" si="64"/>
        <v>6410_20240611_0011_L_0015.jpg</v>
      </c>
      <c r="H1285" s="92">
        <v>2</v>
      </c>
      <c r="J1285" s="79">
        <f>IF(G1285="","X",_xlfn.XLOOKUP(B1285,DATA_Moresby_2024_ALL!B:B,DATA_Moresby_2024_ALL!K:K,""))</f>
        <v>1</v>
      </c>
      <c r="K1285" s="28"/>
      <c r="L1285" s="29"/>
      <c r="M1285" s="28"/>
      <c r="N1285" s="19">
        <v>4</v>
      </c>
      <c r="O1285" s="19">
        <f t="shared" si="67"/>
        <v>4</v>
      </c>
      <c r="P1285" s="19">
        <f t="shared" si="67"/>
        <v>4</v>
      </c>
      <c r="Q1285" s="19">
        <f t="shared" si="67"/>
        <v>4</v>
      </c>
      <c r="X1285" s="92">
        <v>4</v>
      </c>
      <c r="Y1285" s="92">
        <v>4</v>
      </c>
      <c r="Z1285" s="92">
        <v>2</v>
      </c>
    </row>
    <row r="1286" spans="1:27" ht="16" x14ac:dyDescent="0.4">
      <c r="A1286" s="92">
        <v>6414</v>
      </c>
      <c r="B1286" s="92">
        <v>6415</v>
      </c>
      <c r="E1286" s="92">
        <v>50</v>
      </c>
      <c r="F1286" s="92" t="str">
        <f>_xlfn.XLOOKUP(B1286, DATA_Moresby_2024_ALL!B:B, DATA_Moresby_2024_ALL!G:G, "")</f>
        <v>6415_20240611_0011_L_0031.jpg</v>
      </c>
      <c r="G1286" s="93" t="str">
        <f t="shared" si="64"/>
        <v>6415_20240611_0011_L_0031.jpg</v>
      </c>
      <c r="H1286" s="92">
        <v>2</v>
      </c>
      <c r="J1286" s="79">
        <f>IF(G1286="","X",_xlfn.XLOOKUP(B1286,DATA_Moresby_2024_ALL!B:B,DATA_Moresby_2024_ALL!K:K,""))</f>
        <v>1</v>
      </c>
      <c r="K1286" s="28"/>
      <c r="L1286" s="29"/>
      <c r="M1286" s="28"/>
      <c r="N1286" s="19">
        <f t="shared" si="70"/>
        <v>4</v>
      </c>
      <c r="O1286" s="19">
        <f t="shared" si="67"/>
        <v>4</v>
      </c>
      <c r="P1286" s="19">
        <f t="shared" si="67"/>
        <v>4</v>
      </c>
      <c r="Q1286" s="19">
        <v>3</v>
      </c>
      <c r="X1286" s="92">
        <v>4</v>
      </c>
      <c r="Y1286" s="92">
        <v>4</v>
      </c>
      <c r="Z1286" s="92">
        <v>3</v>
      </c>
    </row>
    <row r="1287" spans="1:27" ht="16" x14ac:dyDescent="0.4">
      <c r="A1287" s="92">
        <v>6419</v>
      </c>
      <c r="B1287" s="92">
        <v>6420</v>
      </c>
      <c r="E1287" s="92">
        <v>50</v>
      </c>
      <c r="F1287" s="92" t="str">
        <f>_xlfn.XLOOKUP(B1287, DATA_Moresby_2024_ALL!B:B, DATA_Moresby_2024_ALL!G:G, "")</f>
        <v>6420_20240611_0011_L_0046.jpg</v>
      </c>
      <c r="G1287" s="93" t="str">
        <f t="shared" si="64"/>
        <v>6420_20240611_0011_L_0046.jpg</v>
      </c>
      <c r="H1287" s="92">
        <v>2</v>
      </c>
      <c r="J1287" s="79">
        <f>IF(G1287="","X",_xlfn.XLOOKUP(B1287,DATA_Moresby_2024_ALL!B:B,DATA_Moresby_2024_ALL!K:K,""))</f>
        <v>1</v>
      </c>
      <c r="K1287" s="28"/>
      <c r="L1287" s="29"/>
      <c r="M1287" s="28"/>
      <c r="N1287" s="19">
        <f t="shared" si="70"/>
        <v>4</v>
      </c>
      <c r="O1287" s="19">
        <f t="shared" si="67"/>
        <v>4</v>
      </c>
      <c r="P1287" s="19">
        <f t="shared" si="67"/>
        <v>4</v>
      </c>
      <c r="Q1287" s="19">
        <f t="shared" si="67"/>
        <v>4</v>
      </c>
      <c r="X1287" s="92">
        <v>4</v>
      </c>
      <c r="Y1287" s="92">
        <v>4</v>
      </c>
      <c r="Z1287" s="92">
        <v>3</v>
      </c>
    </row>
    <row r="1288" spans="1:27" ht="16" x14ac:dyDescent="0.4">
      <c r="A1288" s="92">
        <v>6424</v>
      </c>
      <c r="B1288" s="92">
        <v>6425</v>
      </c>
      <c r="E1288" s="92">
        <v>50</v>
      </c>
      <c r="F1288" s="92" t="str">
        <f>_xlfn.XLOOKUP(B1288, DATA_Moresby_2024_ALL!B:B, DATA_Moresby_2024_ALL!G:G, "")</f>
        <v>6425_20240611_0011_L_0060.jpg</v>
      </c>
      <c r="G1288" s="93" t="str">
        <f t="shared" si="64"/>
        <v>6425_20240611_0011_L_0060.jpg</v>
      </c>
      <c r="H1288" s="92">
        <v>2</v>
      </c>
      <c r="J1288" s="79">
        <f>IF(G1288="","X",_xlfn.XLOOKUP(B1288,DATA_Moresby_2024_ALL!B:B,DATA_Moresby_2024_ALL!K:K,""))</f>
        <v>1</v>
      </c>
      <c r="K1288" s="28"/>
      <c r="L1288" s="29"/>
      <c r="M1288" s="28"/>
      <c r="N1288" s="19">
        <f t="shared" si="70"/>
        <v>4</v>
      </c>
      <c r="O1288" s="19">
        <f t="shared" si="67"/>
        <v>4</v>
      </c>
      <c r="P1288" s="19">
        <f t="shared" si="67"/>
        <v>4</v>
      </c>
      <c r="Q1288" s="19">
        <v>3</v>
      </c>
      <c r="X1288" s="92">
        <v>4</v>
      </c>
      <c r="Y1288" s="92">
        <v>4</v>
      </c>
      <c r="Z1288" s="92">
        <v>2</v>
      </c>
    </row>
    <row r="1289" spans="1:27" ht="16" x14ac:dyDescent="0.4">
      <c r="A1289" s="92">
        <v>6429</v>
      </c>
      <c r="B1289" s="92">
        <v>6430</v>
      </c>
      <c r="E1289" s="92">
        <v>50</v>
      </c>
      <c r="F1289" s="92" t="str">
        <f>_xlfn.XLOOKUP(B1289, DATA_Moresby_2024_ALL!B:B, DATA_Moresby_2024_ALL!G:G, "")</f>
        <v>6430_20240611_0011_L_0075.jpg</v>
      </c>
      <c r="G1289" s="93" t="str">
        <f t="shared" si="64"/>
        <v>6430_20240611_0011_L_0075.jpg</v>
      </c>
      <c r="H1289" s="92">
        <v>2</v>
      </c>
      <c r="J1289" s="79">
        <f>IF(G1289="","X",_xlfn.XLOOKUP(B1289,DATA_Moresby_2024_ALL!B:B,DATA_Moresby_2024_ALL!K:K,""))</f>
        <v>1</v>
      </c>
      <c r="K1289" s="28"/>
      <c r="L1289" s="29"/>
      <c r="M1289" s="28"/>
      <c r="N1289" s="19">
        <v>4</v>
      </c>
      <c r="O1289" s="19">
        <v>4</v>
      </c>
      <c r="P1289" s="19">
        <f t="shared" si="67"/>
        <v>4</v>
      </c>
      <c r="Q1289" s="19">
        <v>4</v>
      </c>
      <c r="X1289" s="92">
        <v>4</v>
      </c>
      <c r="Y1289" s="92">
        <v>4</v>
      </c>
      <c r="Z1289" s="92">
        <v>3</v>
      </c>
    </row>
    <row r="1290" spans="1:27" ht="16" x14ac:dyDescent="0.4">
      <c r="A1290" s="92">
        <v>6434</v>
      </c>
      <c r="B1290" s="92">
        <v>6435</v>
      </c>
      <c r="E1290" s="92">
        <v>50</v>
      </c>
      <c r="F1290" s="92" t="str">
        <f>_xlfn.XLOOKUP(B1290, DATA_Moresby_2024_ALL!B:B, DATA_Moresby_2024_ALL!G:G, "")</f>
        <v>6435_20240611_0011_L_0088.jpg</v>
      </c>
      <c r="G1290" s="93" t="str">
        <f t="shared" si="64"/>
        <v>6435_20240611_0011_L_0088.jpg</v>
      </c>
      <c r="H1290" s="92">
        <v>2</v>
      </c>
      <c r="J1290" s="79">
        <f>IF(G1290="","X",_xlfn.XLOOKUP(B1290,DATA_Moresby_2024_ALL!B:B,DATA_Moresby_2024_ALL!K:K,""))</f>
        <v>1</v>
      </c>
      <c r="K1290" s="28"/>
      <c r="L1290" s="29"/>
      <c r="M1290" s="28"/>
      <c r="N1290" s="19">
        <v>4</v>
      </c>
      <c r="O1290" s="19">
        <f t="shared" si="67"/>
        <v>4</v>
      </c>
      <c r="P1290" s="19">
        <f t="shared" si="67"/>
        <v>4</v>
      </c>
      <c r="Q1290" s="19">
        <f t="shared" si="67"/>
        <v>4</v>
      </c>
      <c r="X1290" s="92">
        <v>4</v>
      </c>
      <c r="Y1290" s="92">
        <v>4</v>
      </c>
      <c r="Z1290" s="92">
        <v>3</v>
      </c>
    </row>
    <row r="1291" spans="1:27" ht="16" x14ac:dyDescent="0.4">
      <c r="A1291" s="92">
        <v>6439</v>
      </c>
      <c r="B1291" s="92">
        <v>6440</v>
      </c>
      <c r="E1291" s="92">
        <v>50</v>
      </c>
      <c r="F1291" s="92" t="str">
        <f>_xlfn.XLOOKUP(B1291, DATA_Moresby_2024_ALL!B:B, DATA_Moresby_2024_ALL!G:G, "")</f>
        <v>6440_20240611_0011_L_0103.jpg</v>
      </c>
      <c r="G1291" s="93" t="str">
        <f t="shared" si="64"/>
        <v>6440_20240611_0011_L_0103.jpg</v>
      </c>
      <c r="H1291" s="92">
        <v>2</v>
      </c>
      <c r="J1291" s="79">
        <f>IF(G1291="","X",_xlfn.XLOOKUP(B1291,DATA_Moresby_2024_ALL!B:B,DATA_Moresby_2024_ALL!K:K,""))</f>
        <v>1</v>
      </c>
      <c r="K1291" s="28"/>
      <c r="L1291" s="29"/>
      <c r="M1291" s="28"/>
      <c r="N1291" s="19">
        <v>4</v>
      </c>
      <c r="O1291" s="19">
        <v>4</v>
      </c>
      <c r="P1291" s="19">
        <f t="shared" si="67"/>
        <v>4</v>
      </c>
      <c r="Q1291" s="19">
        <f t="shared" si="67"/>
        <v>4</v>
      </c>
      <c r="X1291" s="92">
        <v>4</v>
      </c>
      <c r="Y1291" s="92">
        <v>3</v>
      </c>
      <c r="Z1291" s="92">
        <v>4</v>
      </c>
    </row>
    <row r="1292" spans="1:27" ht="16" x14ac:dyDescent="0.4">
      <c r="A1292" s="92">
        <v>6444</v>
      </c>
      <c r="B1292" s="92">
        <v>6445</v>
      </c>
      <c r="E1292" s="92">
        <v>50</v>
      </c>
      <c r="F1292" s="92" t="str">
        <f>_xlfn.XLOOKUP(B1292, DATA_Moresby_2024_ALL!B:B, DATA_Moresby_2024_ALL!G:G, "")</f>
        <v>6445_20240611_0011_L_0116.jpg</v>
      </c>
      <c r="G1292" s="93" t="str">
        <f t="shared" si="64"/>
        <v>6445_20240611_0011_L_0116.jpg</v>
      </c>
      <c r="H1292" s="92">
        <v>2</v>
      </c>
      <c r="J1292" s="79">
        <f>IF(G1292="","X",_xlfn.XLOOKUP(B1292,DATA_Moresby_2024_ALL!B:B,DATA_Moresby_2024_ALL!K:K,""))</f>
        <v>1</v>
      </c>
      <c r="K1292" s="28"/>
      <c r="L1292" s="29"/>
      <c r="M1292" s="28"/>
      <c r="N1292" s="19">
        <v>4</v>
      </c>
      <c r="O1292" s="19">
        <v>3</v>
      </c>
      <c r="P1292" s="19">
        <f t="shared" si="67"/>
        <v>4</v>
      </c>
      <c r="Q1292" s="19">
        <f t="shared" si="67"/>
        <v>4</v>
      </c>
      <c r="X1292" s="92" t="s">
        <v>78</v>
      </c>
      <c r="Y1292" s="92" t="s">
        <v>78</v>
      </c>
      <c r="Z1292" s="92" t="s">
        <v>78</v>
      </c>
    </row>
    <row r="1293" spans="1:27" ht="16" x14ac:dyDescent="0.4">
      <c r="A1293" s="92">
        <v>6449</v>
      </c>
      <c r="B1293" s="92">
        <v>6450</v>
      </c>
      <c r="E1293" s="92">
        <v>50</v>
      </c>
      <c r="F1293" s="92" t="str">
        <f>_xlfn.XLOOKUP(B1293, DATA_Moresby_2024_ALL!B:B, DATA_Moresby_2024_ALL!G:G, "")</f>
        <v>6450_20240611_0011_L_0130.jpg</v>
      </c>
      <c r="G1293" s="93" t="str">
        <f t="shared" si="64"/>
        <v>6450_20240611_0011_L_0130.jpg</v>
      </c>
      <c r="H1293" s="92">
        <v>2</v>
      </c>
      <c r="J1293" s="79">
        <f>IF(G1293="","X",_xlfn.XLOOKUP(B1293,DATA_Moresby_2024_ALL!B:B,DATA_Moresby_2024_ALL!K:K,""))</f>
        <v>1</v>
      </c>
      <c r="K1293" s="28"/>
      <c r="L1293" s="29"/>
      <c r="M1293" s="28"/>
      <c r="N1293" s="19">
        <v>3</v>
      </c>
      <c r="O1293" s="19">
        <v>4</v>
      </c>
      <c r="P1293" s="19">
        <f t="shared" si="67"/>
        <v>4</v>
      </c>
      <c r="Q1293" s="19">
        <v>3</v>
      </c>
      <c r="X1293" s="92" t="s">
        <v>78</v>
      </c>
      <c r="Y1293" s="92" t="s">
        <v>78</v>
      </c>
      <c r="Z1293" s="92" t="s">
        <v>78</v>
      </c>
    </row>
    <row r="1294" spans="1:27" ht="16" x14ac:dyDescent="0.4">
      <c r="A1294" s="92">
        <v>6454</v>
      </c>
      <c r="B1294" s="92">
        <v>6455</v>
      </c>
      <c r="E1294" s="92">
        <v>50</v>
      </c>
      <c r="F1294" s="92" t="str">
        <f>_xlfn.XLOOKUP(B1294, DATA_Moresby_2024_ALL!B:B, DATA_Moresby_2024_ALL!G:G, "")</f>
        <v>6455_20240611_0011_L_0145.jpg</v>
      </c>
      <c r="G1294" s="93" t="str">
        <f t="shared" ref="G1294:G1340" si="71">HYPERLINK("D:\Data From Lucan\2024\Moresby\Frames_for_Analysis_50\" &amp; F1294,F1294)</f>
        <v>6455_20240611_0011_L_0145.jpg</v>
      </c>
      <c r="H1294" s="92">
        <v>2</v>
      </c>
      <c r="J1294" s="79">
        <f>IF(G1294="","X",_xlfn.XLOOKUP(B1294,DATA_Moresby_2024_ALL!B:B,DATA_Moresby_2024_ALL!K:K,""))</f>
        <v>1</v>
      </c>
      <c r="K1294" s="28"/>
      <c r="L1294" s="29"/>
      <c r="M1294" s="28"/>
      <c r="N1294" s="19">
        <v>4</v>
      </c>
      <c r="O1294" s="19">
        <v>4</v>
      </c>
      <c r="P1294" s="19">
        <f t="shared" si="67"/>
        <v>4</v>
      </c>
      <c r="Q1294" s="19">
        <v>3</v>
      </c>
      <c r="X1294" s="92">
        <v>4</v>
      </c>
      <c r="Y1294" s="92">
        <v>4</v>
      </c>
      <c r="Z1294" s="92">
        <v>2</v>
      </c>
    </row>
    <row r="1295" spans="1:27" ht="16" x14ac:dyDescent="0.4">
      <c r="A1295" s="92">
        <v>6459</v>
      </c>
      <c r="B1295" s="92">
        <v>6460</v>
      </c>
      <c r="E1295" s="92">
        <v>50</v>
      </c>
      <c r="F1295" s="92" t="str">
        <f>_xlfn.XLOOKUP(B1295, DATA_Moresby_2024_ALL!B:B, DATA_Moresby_2024_ALL!G:G, "")</f>
        <v>6460_20240611_0011_L_0159.jpg</v>
      </c>
      <c r="G1295" s="93" t="str">
        <f t="shared" si="71"/>
        <v>6460_20240611_0011_L_0159.jpg</v>
      </c>
      <c r="H1295" s="92">
        <v>2</v>
      </c>
      <c r="J1295" s="79">
        <f>IF(G1295="","X",_xlfn.XLOOKUP(B1295,DATA_Moresby_2024_ALL!B:B,DATA_Moresby_2024_ALL!K:K,""))</f>
        <v>1</v>
      </c>
      <c r="K1295" s="28"/>
      <c r="L1295" s="29"/>
      <c r="M1295" s="28"/>
      <c r="N1295" s="19">
        <v>3</v>
      </c>
      <c r="O1295" s="19">
        <v>4</v>
      </c>
      <c r="P1295" s="19">
        <f t="shared" si="67"/>
        <v>4</v>
      </c>
      <c r="Q1295" s="19">
        <v>4</v>
      </c>
      <c r="X1295" s="92">
        <v>4</v>
      </c>
      <c r="Y1295" s="92">
        <v>4</v>
      </c>
      <c r="Z1295" s="92">
        <v>3</v>
      </c>
      <c r="AA1295" s="80"/>
    </row>
    <row r="1296" spans="1:27" ht="16" x14ac:dyDescent="0.4">
      <c r="A1296" s="92">
        <v>6464</v>
      </c>
      <c r="B1296" s="92">
        <v>6465</v>
      </c>
      <c r="E1296" s="92">
        <v>50</v>
      </c>
      <c r="F1296" s="92" t="str">
        <f>_xlfn.XLOOKUP(B1296, DATA_Moresby_2024_ALL!B:B, DATA_Moresby_2024_ALL!G:G, "")</f>
        <v>6465_20240611_0011_L_0173.jpg</v>
      </c>
      <c r="G1296" s="93" t="str">
        <f t="shared" si="71"/>
        <v>6465_20240611_0011_L_0173.jpg</v>
      </c>
      <c r="H1296" s="92">
        <v>2</v>
      </c>
      <c r="J1296" s="79">
        <f>IF(G1296="","X",_xlfn.XLOOKUP(B1296,DATA_Moresby_2024_ALL!B:B,DATA_Moresby_2024_ALL!K:K,""))</f>
        <v>1</v>
      </c>
      <c r="K1296" s="28"/>
      <c r="L1296" s="29"/>
      <c r="M1296" s="28"/>
      <c r="N1296" s="19">
        <v>4</v>
      </c>
      <c r="O1296" s="19">
        <v>4</v>
      </c>
      <c r="P1296" s="19">
        <f t="shared" si="67"/>
        <v>4</v>
      </c>
      <c r="Q1296" s="19">
        <v>3</v>
      </c>
      <c r="X1296" s="92" t="s">
        <v>78</v>
      </c>
      <c r="Y1296" s="92" t="s">
        <v>78</v>
      </c>
      <c r="Z1296" s="92" t="s">
        <v>78</v>
      </c>
    </row>
    <row r="1297" spans="1:26" ht="16" x14ac:dyDescent="0.4">
      <c r="A1297" s="92">
        <v>6469</v>
      </c>
      <c r="B1297" s="92">
        <v>6470</v>
      </c>
      <c r="E1297" s="92">
        <v>50</v>
      </c>
      <c r="F1297" s="92" t="str">
        <f>_xlfn.XLOOKUP(B1297, DATA_Moresby_2024_ALL!B:B, DATA_Moresby_2024_ALL!G:G, "")</f>
        <v>6470_20240611_0011_L_0188.jpg</v>
      </c>
      <c r="G1297" s="93" t="str">
        <f t="shared" si="71"/>
        <v>6470_20240611_0011_L_0188.jpg</v>
      </c>
      <c r="H1297" s="92">
        <v>2</v>
      </c>
      <c r="J1297" s="79">
        <f>IF(G1297="","X",_xlfn.XLOOKUP(B1297,DATA_Moresby_2024_ALL!B:B,DATA_Moresby_2024_ALL!K:K,""))</f>
        <v>1</v>
      </c>
      <c r="K1297" s="28"/>
      <c r="L1297" s="29"/>
      <c r="M1297" s="28"/>
      <c r="N1297" s="19">
        <v>4</v>
      </c>
      <c r="O1297" s="19">
        <v>4</v>
      </c>
      <c r="P1297" s="19">
        <f t="shared" si="67"/>
        <v>4</v>
      </c>
      <c r="Q1297" s="19">
        <v>4</v>
      </c>
      <c r="X1297" s="92">
        <v>4</v>
      </c>
      <c r="Y1297" s="92">
        <v>4</v>
      </c>
      <c r="Z1297" s="92">
        <v>3</v>
      </c>
    </row>
    <row r="1298" spans="1:26" ht="16" x14ac:dyDescent="0.4">
      <c r="A1298" s="92">
        <v>6474</v>
      </c>
      <c r="B1298" s="92">
        <v>6475</v>
      </c>
      <c r="E1298" s="92">
        <v>50</v>
      </c>
      <c r="F1298" s="92" t="str">
        <f>_xlfn.XLOOKUP(B1298, DATA_Moresby_2024_ALL!B:B, DATA_Moresby_2024_ALL!G:G, "")</f>
        <v>6475_20240611_0011_L_0203.jpg</v>
      </c>
      <c r="G1298" s="93" t="str">
        <f t="shared" si="71"/>
        <v>6475_20240611_0011_L_0203.jpg</v>
      </c>
      <c r="H1298" s="92">
        <v>2</v>
      </c>
      <c r="J1298" s="79">
        <f>IF(G1298="","X",_xlfn.XLOOKUP(B1298,DATA_Moresby_2024_ALL!B:B,DATA_Moresby_2024_ALL!K:K,""))</f>
        <v>1</v>
      </c>
      <c r="K1298" s="28"/>
      <c r="L1298" s="29"/>
      <c r="M1298" s="28"/>
      <c r="N1298" s="19">
        <v>4</v>
      </c>
      <c r="O1298" s="19">
        <v>4</v>
      </c>
      <c r="P1298" s="19">
        <f t="shared" si="67"/>
        <v>4</v>
      </c>
      <c r="Q1298" s="19">
        <v>4</v>
      </c>
      <c r="X1298" s="92" t="s">
        <v>78</v>
      </c>
      <c r="Y1298" s="92" t="s">
        <v>78</v>
      </c>
      <c r="Z1298" s="92" t="s">
        <v>78</v>
      </c>
    </row>
    <row r="1299" spans="1:26" ht="16" x14ac:dyDescent="0.4">
      <c r="A1299" s="92">
        <v>6479</v>
      </c>
      <c r="B1299" s="92">
        <v>6480</v>
      </c>
      <c r="E1299" s="92">
        <v>50</v>
      </c>
      <c r="F1299" s="92" t="str">
        <f>_xlfn.XLOOKUP(B1299, DATA_Moresby_2024_ALL!B:B, DATA_Moresby_2024_ALL!G:G, "")</f>
        <v>6480_20240611_0011_L_0217.jpg</v>
      </c>
      <c r="G1299" s="93" t="str">
        <f t="shared" si="71"/>
        <v>6480_20240611_0011_L_0217.jpg</v>
      </c>
      <c r="H1299" s="92">
        <v>2</v>
      </c>
      <c r="J1299" s="79">
        <f>IF(G1299="","X",_xlfn.XLOOKUP(B1299,DATA_Moresby_2024_ALL!B:B,DATA_Moresby_2024_ALL!K:K,""))</f>
        <v>1</v>
      </c>
      <c r="K1299" s="28"/>
      <c r="L1299" s="29"/>
      <c r="M1299" s="28"/>
      <c r="N1299" s="19">
        <v>4</v>
      </c>
      <c r="O1299" s="19">
        <v>4</v>
      </c>
      <c r="P1299" s="19">
        <f t="shared" si="67"/>
        <v>4</v>
      </c>
      <c r="Q1299" s="19">
        <f t="shared" si="67"/>
        <v>4</v>
      </c>
      <c r="X1299" s="92" t="s">
        <v>78</v>
      </c>
      <c r="Y1299" s="92" t="s">
        <v>78</v>
      </c>
      <c r="Z1299" s="92" t="s">
        <v>78</v>
      </c>
    </row>
    <row r="1300" spans="1:26" ht="16" x14ac:dyDescent="0.4">
      <c r="A1300" s="92">
        <v>6484</v>
      </c>
      <c r="B1300" s="92">
        <v>6485</v>
      </c>
      <c r="E1300" s="92">
        <v>50</v>
      </c>
      <c r="F1300" s="92" t="str">
        <f>_xlfn.XLOOKUP(B1300, DATA_Moresby_2024_ALL!B:B, DATA_Moresby_2024_ALL!G:G, "")</f>
        <v>6485_20240611_0011_L_0232.jpg</v>
      </c>
      <c r="G1300" s="93" t="str">
        <f t="shared" si="71"/>
        <v>6485_20240611_0011_L_0232.jpg</v>
      </c>
      <c r="H1300" s="92">
        <v>2</v>
      </c>
      <c r="J1300" s="79">
        <f>IF(G1300="","X",_xlfn.XLOOKUP(B1300,DATA_Moresby_2024_ALL!B:B,DATA_Moresby_2024_ALL!K:K,""))</f>
        <v>1</v>
      </c>
      <c r="K1300" s="28"/>
      <c r="L1300" s="29"/>
      <c r="M1300" s="28"/>
      <c r="N1300" s="19">
        <v>4</v>
      </c>
      <c r="O1300" s="19">
        <v>4</v>
      </c>
      <c r="P1300" s="19">
        <f t="shared" si="67"/>
        <v>4</v>
      </c>
      <c r="Q1300" s="19">
        <f t="shared" si="67"/>
        <v>4</v>
      </c>
      <c r="X1300" s="92" t="s">
        <v>78</v>
      </c>
      <c r="Y1300" s="92" t="s">
        <v>78</v>
      </c>
      <c r="Z1300" s="92" t="s">
        <v>78</v>
      </c>
    </row>
    <row r="1301" spans="1:26" ht="16" x14ac:dyDescent="0.4">
      <c r="A1301" s="92">
        <v>6489</v>
      </c>
      <c r="B1301" s="92">
        <v>6490</v>
      </c>
      <c r="E1301" s="92">
        <v>50</v>
      </c>
      <c r="F1301" s="92" t="str">
        <f>_xlfn.XLOOKUP(B1301, DATA_Moresby_2024_ALL!B:B, DATA_Moresby_2024_ALL!G:G, "")</f>
        <v>6490_20240611_0011_L_0246.jpg</v>
      </c>
      <c r="G1301" s="93" t="str">
        <f t="shared" si="71"/>
        <v>6490_20240611_0011_L_0246.jpg</v>
      </c>
      <c r="H1301" s="92">
        <v>2</v>
      </c>
      <c r="J1301" s="79">
        <f>IF(G1301="","X",_xlfn.XLOOKUP(B1301,DATA_Moresby_2024_ALL!B:B,DATA_Moresby_2024_ALL!K:K,""))</f>
        <v>1</v>
      </c>
      <c r="K1301" s="28"/>
      <c r="L1301" s="29"/>
      <c r="M1301" s="28"/>
      <c r="N1301" s="19">
        <f t="shared" si="70"/>
        <v>4</v>
      </c>
      <c r="O1301" s="19">
        <v>4</v>
      </c>
      <c r="P1301" s="19">
        <f t="shared" si="67"/>
        <v>4</v>
      </c>
      <c r="Q1301" s="19">
        <f t="shared" si="67"/>
        <v>4</v>
      </c>
      <c r="X1301" s="92" t="s">
        <v>78</v>
      </c>
      <c r="Y1301" s="92" t="s">
        <v>78</v>
      </c>
      <c r="Z1301" s="92" t="s">
        <v>78</v>
      </c>
    </row>
    <row r="1302" spans="1:26" ht="16" x14ac:dyDescent="0.4">
      <c r="A1302" s="92">
        <v>6494</v>
      </c>
      <c r="B1302" s="92">
        <v>6495</v>
      </c>
      <c r="E1302" s="92">
        <v>50</v>
      </c>
      <c r="F1302" s="92" t="str">
        <f>_xlfn.XLOOKUP(B1302, DATA_Moresby_2024_ALL!B:B, DATA_Moresby_2024_ALL!G:G, "")</f>
        <v>6495_20240611_0011_L_0261.jpg</v>
      </c>
      <c r="G1302" s="93" t="str">
        <f t="shared" si="71"/>
        <v>6495_20240611_0011_L_0261.jpg</v>
      </c>
      <c r="H1302" s="92">
        <v>2</v>
      </c>
      <c r="J1302" s="79">
        <f>IF(G1302="","X",_xlfn.XLOOKUP(B1302,DATA_Moresby_2024_ALL!B:B,DATA_Moresby_2024_ALL!K:K,""))</f>
        <v>1</v>
      </c>
      <c r="K1302" s="28"/>
      <c r="L1302" s="29"/>
      <c r="M1302" s="28"/>
      <c r="N1302" s="19">
        <f t="shared" si="70"/>
        <v>4</v>
      </c>
      <c r="O1302" s="19">
        <v>4</v>
      </c>
      <c r="P1302" s="19">
        <f t="shared" si="67"/>
        <v>4</v>
      </c>
      <c r="Q1302" s="19">
        <f t="shared" si="67"/>
        <v>4</v>
      </c>
      <c r="X1302" s="92" t="s">
        <v>78</v>
      </c>
      <c r="Y1302" s="92" t="s">
        <v>78</v>
      </c>
      <c r="Z1302" s="92" t="s">
        <v>78</v>
      </c>
    </row>
    <row r="1303" spans="1:26" ht="16" x14ac:dyDescent="0.4">
      <c r="A1303" s="92">
        <v>6499</v>
      </c>
      <c r="B1303" s="92">
        <v>6500</v>
      </c>
      <c r="E1303" s="92">
        <v>50</v>
      </c>
      <c r="F1303" s="92" t="str">
        <f>_xlfn.XLOOKUP(B1303, DATA_Moresby_2024_ALL!B:B, DATA_Moresby_2024_ALL!G:G, "")</f>
        <v>6500_20240611_0011_L_0276.jpg</v>
      </c>
      <c r="G1303" s="93" t="str">
        <f t="shared" si="71"/>
        <v>6500_20240611_0011_L_0276.jpg</v>
      </c>
      <c r="H1303" s="92">
        <v>2</v>
      </c>
      <c r="J1303" s="79">
        <f>IF(G1303="","X",_xlfn.XLOOKUP(B1303,DATA_Moresby_2024_ALL!B:B,DATA_Moresby_2024_ALL!K:K,""))</f>
        <v>1</v>
      </c>
      <c r="K1303" s="28"/>
      <c r="L1303" s="29"/>
      <c r="M1303" s="28"/>
      <c r="N1303" s="19">
        <f t="shared" si="70"/>
        <v>4</v>
      </c>
      <c r="O1303" s="19">
        <v>4</v>
      </c>
      <c r="P1303" s="19">
        <f t="shared" si="67"/>
        <v>4</v>
      </c>
      <c r="Q1303" s="19">
        <v>3</v>
      </c>
      <c r="X1303" s="92" t="s">
        <v>78</v>
      </c>
      <c r="Y1303" s="92" t="s">
        <v>78</v>
      </c>
      <c r="Z1303" s="92" t="s">
        <v>78</v>
      </c>
    </row>
    <row r="1304" spans="1:26" ht="16" x14ac:dyDescent="0.4">
      <c r="A1304" s="92">
        <v>6504</v>
      </c>
      <c r="B1304" s="92">
        <v>6505</v>
      </c>
      <c r="E1304" s="92">
        <v>50</v>
      </c>
      <c r="F1304" s="92" t="str">
        <f>_xlfn.XLOOKUP(B1304, DATA_Moresby_2024_ALL!B:B, DATA_Moresby_2024_ALL!G:G, "")</f>
        <v>6505_20240611_0011_L_0291.jpg</v>
      </c>
      <c r="G1304" s="93" t="str">
        <f t="shared" si="71"/>
        <v>6505_20240611_0011_L_0291.jpg</v>
      </c>
      <c r="H1304" s="92">
        <v>2</v>
      </c>
      <c r="J1304" s="79">
        <f>IF(G1304="","X",_xlfn.XLOOKUP(B1304,DATA_Moresby_2024_ALL!B:B,DATA_Moresby_2024_ALL!K:K,""))</f>
        <v>1</v>
      </c>
      <c r="K1304" s="28"/>
      <c r="L1304" s="29"/>
      <c r="M1304" s="28"/>
      <c r="N1304" s="19">
        <v>4</v>
      </c>
      <c r="O1304" s="19">
        <v>4</v>
      </c>
      <c r="P1304" s="19">
        <f t="shared" si="67"/>
        <v>4</v>
      </c>
      <c r="Q1304" s="19">
        <v>3</v>
      </c>
      <c r="X1304" s="92" t="s">
        <v>78</v>
      </c>
      <c r="Y1304" s="92" t="s">
        <v>78</v>
      </c>
      <c r="Z1304" s="92" t="s">
        <v>78</v>
      </c>
    </row>
    <row r="1305" spans="1:26" ht="16" x14ac:dyDescent="0.4">
      <c r="A1305" s="92">
        <v>6509</v>
      </c>
      <c r="B1305" s="92">
        <v>6510</v>
      </c>
      <c r="E1305" s="92">
        <v>50</v>
      </c>
      <c r="F1305" s="92" t="str">
        <f>_xlfn.XLOOKUP(B1305, DATA_Moresby_2024_ALL!B:B, DATA_Moresby_2024_ALL!G:G, "")</f>
        <v>6510_20240611_0011_L_0304.jpg</v>
      </c>
      <c r="G1305" s="93" t="str">
        <f t="shared" si="71"/>
        <v>6510_20240611_0011_L_0304.jpg</v>
      </c>
      <c r="H1305" s="92">
        <v>2</v>
      </c>
      <c r="J1305" s="79">
        <f>IF(G1305="","X",_xlfn.XLOOKUP(B1305,DATA_Moresby_2024_ALL!B:B,DATA_Moresby_2024_ALL!K:K,""))</f>
        <v>1</v>
      </c>
      <c r="K1305" s="28"/>
      <c r="L1305" s="29"/>
      <c r="M1305" s="28"/>
      <c r="N1305" s="19">
        <f t="shared" si="70"/>
        <v>4</v>
      </c>
      <c r="O1305" s="19">
        <f t="shared" si="67"/>
        <v>4</v>
      </c>
      <c r="P1305" s="19">
        <f t="shared" si="67"/>
        <v>4</v>
      </c>
      <c r="Q1305" s="19">
        <f t="shared" si="67"/>
        <v>4</v>
      </c>
      <c r="X1305" s="92" t="s">
        <v>78</v>
      </c>
      <c r="Y1305" s="92" t="s">
        <v>78</v>
      </c>
      <c r="Z1305" s="92" t="s">
        <v>78</v>
      </c>
    </row>
    <row r="1306" spans="1:26" ht="16" x14ac:dyDescent="0.4">
      <c r="A1306" s="92">
        <v>6514</v>
      </c>
      <c r="B1306" s="92">
        <v>6515</v>
      </c>
      <c r="E1306" s="92">
        <v>50</v>
      </c>
      <c r="F1306" s="92" t="str">
        <f>_xlfn.XLOOKUP(B1306, DATA_Moresby_2024_ALL!B:B, DATA_Moresby_2024_ALL!G:G, "")</f>
        <v>6515_20240611_0011_L_0319.jpg</v>
      </c>
      <c r="G1306" s="93" t="str">
        <f t="shared" si="71"/>
        <v>6515_20240611_0011_L_0319.jpg</v>
      </c>
      <c r="H1306" s="92">
        <v>2</v>
      </c>
      <c r="J1306" s="79">
        <f>IF(G1306="","X",_xlfn.XLOOKUP(B1306,DATA_Moresby_2024_ALL!B:B,DATA_Moresby_2024_ALL!K:K,""))</f>
        <v>1</v>
      </c>
      <c r="K1306" s="28"/>
      <c r="L1306" s="29"/>
      <c r="M1306" s="28"/>
      <c r="N1306" s="19">
        <v>4</v>
      </c>
      <c r="O1306" s="19">
        <v>4</v>
      </c>
      <c r="P1306" s="19">
        <f t="shared" si="67"/>
        <v>4</v>
      </c>
      <c r="Q1306" s="19">
        <v>3</v>
      </c>
      <c r="X1306" s="92" t="s">
        <v>78</v>
      </c>
      <c r="Y1306" s="92" t="s">
        <v>78</v>
      </c>
      <c r="Z1306" s="92" t="s">
        <v>78</v>
      </c>
    </row>
    <row r="1307" spans="1:26" ht="16" x14ac:dyDescent="0.4">
      <c r="A1307" s="92">
        <v>6519</v>
      </c>
      <c r="B1307" s="92">
        <v>6520</v>
      </c>
      <c r="E1307" s="92">
        <v>50</v>
      </c>
      <c r="F1307" s="92" t="str">
        <f>_xlfn.XLOOKUP(B1307, DATA_Moresby_2024_ALL!B:B, DATA_Moresby_2024_ALL!G:G, "")</f>
        <v>6520_20240611_0011_L_0333.jpg</v>
      </c>
      <c r="G1307" s="93" t="str">
        <f t="shared" si="71"/>
        <v>6520_20240611_0011_L_0333.jpg</v>
      </c>
      <c r="H1307" s="92">
        <v>2</v>
      </c>
      <c r="J1307" s="79">
        <f>IF(G1307="","X",_xlfn.XLOOKUP(B1307,DATA_Moresby_2024_ALL!B:B,DATA_Moresby_2024_ALL!K:K,""))</f>
        <v>1</v>
      </c>
      <c r="K1307" s="28"/>
      <c r="L1307" s="29"/>
      <c r="M1307" s="28"/>
      <c r="N1307" s="19">
        <v>4</v>
      </c>
      <c r="O1307" s="19">
        <f t="shared" si="67"/>
        <v>4</v>
      </c>
      <c r="P1307" s="19">
        <f t="shared" si="67"/>
        <v>4</v>
      </c>
      <c r="Q1307" s="19">
        <f t="shared" si="67"/>
        <v>4</v>
      </c>
      <c r="X1307" s="92" t="s">
        <v>78</v>
      </c>
      <c r="Y1307" s="92" t="s">
        <v>78</v>
      </c>
      <c r="Z1307" s="92" t="s">
        <v>78</v>
      </c>
    </row>
    <row r="1308" spans="1:26" ht="16" x14ac:dyDescent="0.4">
      <c r="A1308" s="92">
        <v>6524</v>
      </c>
      <c r="B1308" s="92">
        <v>6525</v>
      </c>
      <c r="E1308" s="92">
        <v>50</v>
      </c>
      <c r="F1308" s="92" t="str">
        <f>_xlfn.XLOOKUP(B1308, DATA_Moresby_2024_ALL!B:B, DATA_Moresby_2024_ALL!G:G, "")</f>
        <v>6525_20240611_0011_L_0347.jpg</v>
      </c>
      <c r="G1308" s="93" t="str">
        <f t="shared" si="71"/>
        <v>6525_20240611_0011_L_0347.jpg</v>
      </c>
      <c r="H1308" s="92">
        <v>2</v>
      </c>
      <c r="J1308" s="79">
        <f>IF(G1308="","X",_xlfn.XLOOKUP(B1308,DATA_Moresby_2024_ALL!B:B,DATA_Moresby_2024_ALL!K:K,""))</f>
        <v>1</v>
      </c>
      <c r="K1308" s="28"/>
      <c r="L1308" s="29"/>
      <c r="M1308" s="28"/>
      <c r="N1308" s="19">
        <f t="shared" si="70"/>
        <v>4</v>
      </c>
      <c r="O1308" s="19">
        <f t="shared" si="67"/>
        <v>4</v>
      </c>
      <c r="P1308" s="19">
        <f t="shared" si="67"/>
        <v>4</v>
      </c>
      <c r="Q1308" s="19">
        <f t="shared" si="67"/>
        <v>4</v>
      </c>
      <c r="X1308" s="92" t="s">
        <v>78</v>
      </c>
      <c r="Y1308" s="92" t="s">
        <v>78</v>
      </c>
      <c r="Z1308" s="92" t="s">
        <v>78</v>
      </c>
    </row>
    <row r="1309" spans="1:26" ht="16" x14ac:dyDescent="0.4">
      <c r="A1309" s="92">
        <v>6529</v>
      </c>
      <c r="B1309" s="92">
        <v>6530</v>
      </c>
      <c r="E1309" s="92">
        <v>50</v>
      </c>
      <c r="F1309" s="92" t="str">
        <f>_xlfn.XLOOKUP(B1309, DATA_Moresby_2024_ALL!B:B, DATA_Moresby_2024_ALL!G:G, "")</f>
        <v>6530_20240611_0011_L_0361.jpg</v>
      </c>
      <c r="G1309" s="93" t="str">
        <f t="shared" si="71"/>
        <v>6530_20240611_0011_L_0361.jpg</v>
      </c>
      <c r="H1309" s="92">
        <v>2</v>
      </c>
      <c r="J1309" s="79">
        <f>IF(G1309="","X",_xlfn.XLOOKUP(B1309,DATA_Moresby_2024_ALL!B:B,DATA_Moresby_2024_ALL!K:K,""))</f>
        <v>1</v>
      </c>
      <c r="K1309" s="28"/>
      <c r="L1309" s="29"/>
      <c r="M1309" s="28"/>
      <c r="N1309" s="19">
        <f t="shared" si="70"/>
        <v>4</v>
      </c>
      <c r="O1309" s="19">
        <f t="shared" si="70"/>
        <v>4</v>
      </c>
      <c r="P1309" s="19">
        <f t="shared" si="70"/>
        <v>4</v>
      </c>
      <c r="Q1309" s="19">
        <f t="shared" si="70"/>
        <v>4</v>
      </c>
      <c r="X1309" s="92" t="s">
        <v>78</v>
      </c>
      <c r="Y1309" s="92" t="s">
        <v>78</v>
      </c>
      <c r="Z1309" s="92" t="s">
        <v>78</v>
      </c>
    </row>
    <row r="1310" spans="1:26" ht="16" x14ac:dyDescent="0.4">
      <c r="A1310" s="92">
        <v>6534</v>
      </c>
      <c r="B1310" s="92">
        <v>6535</v>
      </c>
      <c r="E1310" s="92">
        <v>50</v>
      </c>
      <c r="F1310" s="92" t="str">
        <f>_xlfn.XLOOKUP(B1310, DATA_Moresby_2024_ALL!B:B, DATA_Moresby_2024_ALL!G:G, "")</f>
        <v>6535_20240611_0011_L_0376.jpg</v>
      </c>
      <c r="G1310" s="93" t="str">
        <f t="shared" si="71"/>
        <v>6535_20240611_0011_L_0376.jpg</v>
      </c>
      <c r="H1310" s="92">
        <v>2</v>
      </c>
      <c r="J1310" s="79">
        <f>IF(G1310="","X",_xlfn.XLOOKUP(B1310,DATA_Moresby_2024_ALL!B:B,DATA_Moresby_2024_ALL!K:K,""))</f>
        <v>1</v>
      </c>
      <c r="K1310" s="28"/>
      <c r="L1310" s="29"/>
      <c r="M1310" s="28"/>
      <c r="N1310" s="19">
        <f t="shared" ref="N1310:Q1373" si="72">IF($J1310=1,4,"")</f>
        <v>4</v>
      </c>
      <c r="O1310" s="19">
        <f t="shared" si="72"/>
        <v>4</v>
      </c>
      <c r="P1310" s="19">
        <f t="shared" si="72"/>
        <v>4</v>
      </c>
      <c r="Q1310" s="19">
        <f t="shared" si="72"/>
        <v>4</v>
      </c>
      <c r="X1310" s="92" t="s">
        <v>78</v>
      </c>
      <c r="Y1310" s="92" t="s">
        <v>78</v>
      </c>
      <c r="Z1310" s="92" t="s">
        <v>78</v>
      </c>
    </row>
    <row r="1311" spans="1:26" ht="16" x14ac:dyDescent="0.4">
      <c r="A1311" s="92">
        <v>6539</v>
      </c>
      <c r="B1311" s="92">
        <v>6540</v>
      </c>
      <c r="E1311" s="92">
        <v>50</v>
      </c>
      <c r="F1311" s="92" t="str">
        <f>_xlfn.XLOOKUP(B1311, DATA_Moresby_2024_ALL!B:B, DATA_Moresby_2024_ALL!G:G, "")</f>
        <v>6540_20240611_0002_R_1209.jpg</v>
      </c>
      <c r="G1311" s="93" t="str">
        <f t="shared" si="71"/>
        <v>6540_20240611_0002_R_1209.jpg</v>
      </c>
      <c r="H1311" s="92">
        <v>2</v>
      </c>
      <c r="J1311" s="79">
        <f>IF(G1311="","X",_xlfn.XLOOKUP(B1311,DATA_Moresby_2024_ALL!B:B,DATA_Moresby_2024_ALL!K:K,""))</f>
        <v>1</v>
      </c>
      <c r="K1311" s="28"/>
      <c r="L1311" s="29"/>
      <c r="M1311" s="28"/>
      <c r="N1311" s="19">
        <f t="shared" si="72"/>
        <v>4</v>
      </c>
      <c r="O1311" s="19">
        <f t="shared" si="72"/>
        <v>4</v>
      </c>
      <c r="P1311" s="19">
        <f t="shared" si="72"/>
        <v>4</v>
      </c>
      <c r="Q1311" s="19">
        <f t="shared" si="72"/>
        <v>4</v>
      </c>
      <c r="X1311" s="92" t="s">
        <v>78</v>
      </c>
      <c r="Y1311" s="92" t="s">
        <v>78</v>
      </c>
      <c r="Z1311" s="92" t="s">
        <v>78</v>
      </c>
    </row>
    <row r="1312" spans="1:26" ht="16" x14ac:dyDescent="0.4">
      <c r="A1312" s="92">
        <v>6544</v>
      </c>
      <c r="B1312" s="92">
        <v>6545</v>
      </c>
      <c r="E1312" s="92">
        <v>50</v>
      </c>
      <c r="F1312" s="92" t="str">
        <f>_xlfn.XLOOKUP(B1312, DATA_Moresby_2024_ALL!B:B, DATA_Moresby_2024_ALL!G:G, "")</f>
        <v>6545_20240611_0002_R_1191.jpg</v>
      </c>
      <c r="G1312" s="93" t="str">
        <f t="shared" si="71"/>
        <v>6545_20240611_0002_R_1191.jpg</v>
      </c>
      <c r="H1312" s="92">
        <v>2</v>
      </c>
      <c r="J1312" s="79">
        <f>IF(G1312="","X",_xlfn.XLOOKUP(B1312,DATA_Moresby_2024_ALL!B:B,DATA_Moresby_2024_ALL!K:K,""))</f>
        <v>1</v>
      </c>
      <c r="K1312" s="28"/>
      <c r="L1312" s="29"/>
      <c r="M1312" s="28"/>
      <c r="N1312" s="19">
        <v>4</v>
      </c>
      <c r="O1312" s="19">
        <v>3</v>
      </c>
      <c r="P1312" s="19">
        <f t="shared" si="72"/>
        <v>4</v>
      </c>
      <c r="Q1312" s="19">
        <f t="shared" si="72"/>
        <v>4</v>
      </c>
      <c r="X1312" s="92" t="s">
        <v>78</v>
      </c>
      <c r="Y1312" s="92" t="s">
        <v>78</v>
      </c>
      <c r="Z1312" s="92" t="s">
        <v>78</v>
      </c>
    </row>
    <row r="1313" spans="1:26" ht="16" x14ac:dyDescent="0.4">
      <c r="A1313" s="92">
        <v>6549</v>
      </c>
      <c r="B1313" s="92">
        <v>6550</v>
      </c>
      <c r="E1313" s="92">
        <v>50</v>
      </c>
      <c r="F1313" s="92" t="str">
        <f>_xlfn.XLOOKUP(B1313, DATA_Moresby_2024_ALL!B:B, DATA_Moresby_2024_ALL!G:G, "")</f>
        <v>6550_20240611_0002_R_1175.jpg</v>
      </c>
      <c r="G1313" s="93" t="str">
        <f t="shared" si="71"/>
        <v>6550_20240611_0002_R_1175.jpg</v>
      </c>
      <c r="H1313" s="92">
        <v>2</v>
      </c>
      <c r="J1313" s="79">
        <f>IF(G1313="","X",_xlfn.XLOOKUP(B1313,DATA_Moresby_2024_ALL!B:B,DATA_Moresby_2024_ALL!K:K,""))</f>
        <v>1</v>
      </c>
      <c r="K1313" s="28"/>
      <c r="L1313" s="29"/>
      <c r="M1313" s="28"/>
      <c r="N1313" s="19">
        <f t="shared" si="72"/>
        <v>4</v>
      </c>
      <c r="O1313" s="19">
        <f t="shared" si="72"/>
        <v>4</v>
      </c>
      <c r="P1313" s="19">
        <f t="shared" si="72"/>
        <v>4</v>
      </c>
      <c r="Q1313" s="19">
        <f t="shared" si="72"/>
        <v>4</v>
      </c>
      <c r="X1313" s="92" t="s">
        <v>78</v>
      </c>
      <c r="Y1313" s="92" t="s">
        <v>78</v>
      </c>
      <c r="Z1313" s="92" t="s">
        <v>78</v>
      </c>
    </row>
    <row r="1314" spans="1:26" ht="16" x14ac:dyDescent="0.4">
      <c r="A1314" s="92">
        <v>6554</v>
      </c>
      <c r="B1314" s="92">
        <v>6555</v>
      </c>
      <c r="E1314" s="92">
        <v>50</v>
      </c>
      <c r="F1314" s="92" t="str">
        <f>_xlfn.XLOOKUP(B1314, DATA_Moresby_2024_ALL!B:B, DATA_Moresby_2024_ALL!G:G, "")</f>
        <v>6555_20240611_0002_R_1159.jpg</v>
      </c>
      <c r="G1314" s="93" t="str">
        <f t="shared" si="71"/>
        <v>6555_20240611_0002_R_1159.jpg</v>
      </c>
      <c r="H1314" s="92">
        <v>2</v>
      </c>
      <c r="J1314" s="79">
        <f>IF(G1314="","X",_xlfn.XLOOKUP(B1314,DATA_Moresby_2024_ALL!B:B,DATA_Moresby_2024_ALL!K:K,""))</f>
        <v>1</v>
      </c>
      <c r="K1314" s="28"/>
      <c r="L1314" s="29"/>
      <c r="M1314" s="28"/>
      <c r="N1314" s="19">
        <f t="shared" si="72"/>
        <v>4</v>
      </c>
      <c r="O1314" s="19">
        <v>3</v>
      </c>
      <c r="P1314" s="19">
        <f t="shared" si="72"/>
        <v>4</v>
      </c>
      <c r="Q1314" s="19">
        <f t="shared" si="72"/>
        <v>4</v>
      </c>
      <c r="X1314" s="92" t="s">
        <v>78</v>
      </c>
      <c r="Y1314" s="92" t="s">
        <v>78</v>
      </c>
      <c r="Z1314" s="92" t="s">
        <v>78</v>
      </c>
    </row>
    <row r="1315" spans="1:26" ht="16" x14ac:dyDescent="0.4">
      <c r="A1315" s="92">
        <v>6559</v>
      </c>
      <c r="B1315" s="92">
        <v>6560</v>
      </c>
      <c r="E1315" s="92">
        <v>50</v>
      </c>
      <c r="F1315" s="92" t="str">
        <f>_xlfn.XLOOKUP(B1315, DATA_Moresby_2024_ALL!B:B, DATA_Moresby_2024_ALL!G:G, "")</f>
        <v>6560_20240611_0002_R_1138.jpg</v>
      </c>
      <c r="G1315" s="93" t="str">
        <f t="shared" si="71"/>
        <v>6560_20240611_0002_R_1138.jpg</v>
      </c>
      <c r="H1315" s="92">
        <v>2</v>
      </c>
      <c r="J1315" s="79">
        <f>IF(G1315="","X",_xlfn.XLOOKUP(B1315,DATA_Moresby_2024_ALL!B:B,DATA_Moresby_2024_ALL!K:K,""))</f>
        <v>1</v>
      </c>
      <c r="K1315" s="28"/>
      <c r="L1315" s="29"/>
      <c r="M1315" s="28"/>
      <c r="N1315" s="19">
        <f t="shared" si="72"/>
        <v>4</v>
      </c>
      <c r="O1315" s="19">
        <f t="shared" si="72"/>
        <v>4</v>
      </c>
      <c r="P1315" s="19">
        <f t="shared" si="72"/>
        <v>4</v>
      </c>
      <c r="Q1315" s="19">
        <f t="shared" si="72"/>
        <v>4</v>
      </c>
      <c r="X1315" s="92">
        <v>4</v>
      </c>
      <c r="Y1315" s="92">
        <v>4</v>
      </c>
      <c r="Z1315" s="92">
        <v>4</v>
      </c>
    </row>
    <row r="1316" spans="1:26" ht="16" x14ac:dyDescent="0.4">
      <c r="A1316" s="92">
        <v>6564</v>
      </c>
      <c r="B1316" s="92">
        <v>6565</v>
      </c>
      <c r="E1316" s="92">
        <v>50</v>
      </c>
      <c r="F1316" s="92" t="str">
        <f>_xlfn.XLOOKUP(B1316, DATA_Moresby_2024_ALL!B:B, DATA_Moresby_2024_ALL!G:G, "")</f>
        <v>6565_20240611_0002_R_1117.jpg</v>
      </c>
      <c r="G1316" s="93" t="str">
        <f t="shared" si="71"/>
        <v>6565_20240611_0002_R_1117.jpg</v>
      </c>
      <c r="H1316" s="92">
        <v>2</v>
      </c>
      <c r="J1316" s="79">
        <f>IF(G1316="","X",_xlfn.XLOOKUP(B1316,DATA_Moresby_2024_ALL!B:B,DATA_Moresby_2024_ALL!K:K,""))</f>
        <v>1</v>
      </c>
      <c r="K1316" s="28"/>
      <c r="L1316" s="29"/>
      <c r="M1316" s="28"/>
      <c r="N1316" s="19">
        <f t="shared" si="72"/>
        <v>4</v>
      </c>
      <c r="O1316" s="19">
        <f t="shared" si="72"/>
        <v>4</v>
      </c>
      <c r="P1316" s="19">
        <f t="shared" si="72"/>
        <v>4</v>
      </c>
      <c r="Q1316" s="19">
        <f t="shared" si="72"/>
        <v>4</v>
      </c>
      <c r="X1316" s="92">
        <v>4</v>
      </c>
      <c r="Y1316" s="92">
        <v>4</v>
      </c>
      <c r="Z1316" s="92">
        <v>4</v>
      </c>
    </row>
    <row r="1317" spans="1:26" ht="16" x14ac:dyDescent="0.4">
      <c r="A1317" s="92">
        <v>6569</v>
      </c>
      <c r="B1317" s="92">
        <v>6570</v>
      </c>
      <c r="E1317" s="92">
        <v>50</v>
      </c>
      <c r="F1317" s="92" t="str">
        <f>_xlfn.XLOOKUP(B1317, DATA_Moresby_2024_ALL!B:B, DATA_Moresby_2024_ALL!G:G, "")</f>
        <v>6570_20240611_0002_R_1100.jpg</v>
      </c>
      <c r="G1317" s="93" t="str">
        <f t="shared" si="71"/>
        <v>6570_20240611_0002_R_1100.jpg</v>
      </c>
      <c r="H1317" s="92">
        <v>2</v>
      </c>
      <c r="J1317" s="79">
        <f>IF(G1317="","X",_xlfn.XLOOKUP(B1317,DATA_Moresby_2024_ALL!B:B,DATA_Moresby_2024_ALL!K:K,""))</f>
        <v>1</v>
      </c>
      <c r="K1317" s="28"/>
      <c r="L1317" s="29"/>
      <c r="M1317" s="28"/>
      <c r="N1317" s="19">
        <f t="shared" si="72"/>
        <v>4</v>
      </c>
      <c r="O1317" s="19">
        <f t="shared" si="72"/>
        <v>4</v>
      </c>
      <c r="P1317" s="19">
        <f t="shared" si="72"/>
        <v>4</v>
      </c>
      <c r="Q1317" s="19">
        <f t="shared" si="72"/>
        <v>4</v>
      </c>
      <c r="X1317" s="92">
        <v>4</v>
      </c>
      <c r="Y1317" s="92">
        <v>4</v>
      </c>
      <c r="Z1317" s="92">
        <v>4</v>
      </c>
    </row>
    <row r="1318" spans="1:26" ht="16" x14ac:dyDescent="0.4">
      <c r="A1318" s="92">
        <v>6574</v>
      </c>
      <c r="B1318" s="92">
        <v>6575</v>
      </c>
      <c r="E1318" s="92">
        <v>50</v>
      </c>
      <c r="F1318" s="92" t="str">
        <f>_xlfn.XLOOKUP(B1318, DATA_Moresby_2024_ALL!B:B, DATA_Moresby_2024_ALL!G:G, "")</f>
        <v>6575_20240611_0002_R_1056.jpg</v>
      </c>
      <c r="G1318" s="93" t="str">
        <f t="shared" si="71"/>
        <v>6575_20240611_0002_R_1056.jpg</v>
      </c>
      <c r="H1318" s="92">
        <v>2</v>
      </c>
      <c r="J1318" s="79">
        <f>IF(G1318="","X",_xlfn.XLOOKUP(B1318,DATA_Moresby_2024_ALL!B:B,DATA_Moresby_2024_ALL!K:K,""))</f>
        <v>1</v>
      </c>
      <c r="K1318" s="28"/>
      <c r="L1318" s="29"/>
      <c r="M1318" s="28"/>
      <c r="N1318" s="19">
        <f t="shared" si="72"/>
        <v>4</v>
      </c>
      <c r="O1318" s="19">
        <f t="shared" si="72"/>
        <v>4</v>
      </c>
      <c r="P1318" s="19">
        <f t="shared" si="72"/>
        <v>4</v>
      </c>
      <c r="Q1318" s="19">
        <f t="shared" si="72"/>
        <v>4</v>
      </c>
      <c r="X1318" s="92">
        <v>4</v>
      </c>
      <c r="Y1318" s="92">
        <v>4</v>
      </c>
      <c r="Z1318" s="92">
        <v>4</v>
      </c>
    </row>
    <row r="1319" spans="1:26" ht="16" x14ac:dyDescent="0.4">
      <c r="A1319" s="92">
        <v>6579</v>
      </c>
      <c r="B1319" s="92">
        <v>6580</v>
      </c>
      <c r="E1319" s="92">
        <v>50</v>
      </c>
      <c r="F1319" s="92" t="str">
        <f>_xlfn.XLOOKUP(B1319, DATA_Moresby_2024_ALL!B:B, DATA_Moresby_2024_ALL!G:G, "")</f>
        <v>6580_20240611_0002_R_1040.jpg</v>
      </c>
      <c r="G1319" s="93" t="str">
        <f t="shared" si="71"/>
        <v>6580_20240611_0002_R_1040.jpg</v>
      </c>
      <c r="H1319" s="92">
        <v>2</v>
      </c>
      <c r="J1319" s="79">
        <f>IF(G1319="","X",_xlfn.XLOOKUP(B1319,DATA_Moresby_2024_ALL!B:B,DATA_Moresby_2024_ALL!K:K,""))</f>
        <v>1</v>
      </c>
      <c r="K1319" s="28"/>
      <c r="L1319" s="29"/>
      <c r="M1319" s="28"/>
      <c r="N1319" s="19">
        <f t="shared" si="72"/>
        <v>4</v>
      </c>
      <c r="O1319" s="19">
        <f t="shared" si="72"/>
        <v>4</v>
      </c>
      <c r="P1319" s="19">
        <f t="shared" si="72"/>
        <v>4</v>
      </c>
      <c r="Q1319" s="19">
        <f t="shared" si="72"/>
        <v>4</v>
      </c>
      <c r="X1319" s="92">
        <v>4</v>
      </c>
      <c r="Y1319" s="92">
        <v>4</v>
      </c>
      <c r="Z1319" s="92">
        <v>4</v>
      </c>
    </row>
    <row r="1320" spans="1:26" ht="16" x14ac:dyDescent="0.4">
      <c r="A1320" s="92">
        <v>6584</v>
      </c>
      <c r="B1320" s="92">
        <v>6585</v>
      </c>
      <c r="E1320" s="92">
        <v>50</v>
      </c>
      <c r="F1320" s="92" t="str">
        <f>_xlfn.XLOOKUP(B1320, DATA_Moresby_2024_ALL!B:B, DATA_Moresby_2024_ALL!G:G, "")</f>
        <v>6585_20240611_0002_R_1029.jpg</v>
      </c>
      <c r="G1320" s="93" t="str">
        <f t="shared" si="71"/>
        <v>6585_20240611_0002_R_1029.jpg</v>
      </c>
      <c r="H1320" s="92">
        <v>2</v>
      </c>
      <c r="J1320" s="79">
        <f>IF(G1320="","X",_xlfn.XLOOKUP(B1320,DATA_Moresby_2024_ALL!B:B,DATA_Moresby_2024_ALL!K:K,""))</f>
        <v>1</v>
      </c>
      <c r="K1320" s="28"/>
      <c r="L1320" s="29"/>
      <c r="M1320" s="28"/>
      <c r="N1320" s="19">
        <f t="shared" si="72"/>
        <v>4</v>
      </c>
      <c r="O1320" s="19">
        <f t="shared" si="72"/>
        <v>4</v>
      </c>
      <c r="P1320" s="19">
        <f t="shared" si="72"/>
        <v>4</v>
      </c>
      <c r="Q1320" s="19">
        <f t="shared" si="72"/>
        <v>4</v>
      </c>
      <c r="X1320" s="92">
        <v>4</v>
      </c>
      <c r="Y1320" s="92">
        <v>4</v>
      </c>
      <c r="Z1320" s="92">
        <v>4</v>
      </c>
    </row>
    <row r="1321" spans="1:26" ht="16" x14ac:dyDescent="0.4">
      <c r="A1321" s="92">
        <v>6589</v>
      </c>
      <c r="B1321" s="92">
        <v>6590</v>
      </c>
      <c r="E1321" s="92">
        <v>50</v>
      </c>
      <c r="F1321" s="92" t="str">
        <f>_xlfn.XLOOKUP(B1321, DATA_Moresby_2024_ALL!B:B, DATA_Moresby_2024_ALL!G:G, "")</f>
        <v>6590_20240611_0002_R_1012.jpg</v>
      </c>
      <c r="G1321" s="93" t="str">
        <f t="shared" si="71"/>
        <v>6590_20240611_0002_R_1012.jpg</v>
      </c>
      <c r="H1321" s="92">
        <v>2</v>
      </c>
      <c r="J1321" s="79">
        <f>IF(G1321="","X",_xlfn.XLOOKUP(B1321,DATA_Moresby_2024_ALL!B:B,DATA_Moresby_2024_ALL!K:K,""))</f>
        <v>1</v>
      </c>
      <c r="K1321" s="28"/>
      <c r="L1321" s="29"/>
      <c r="M1321" s="28"/>
      <c r="N1321" s="19">
        <f t="shared" si="72"/>
        <v>4</v>
      </c>
      <c r="O1321" s="19">
        <f t="shared" si="72"/>
        <v>4</v>
      </c>
      <c r="P1321" s="19">
        <f t="shared" si="72"/>
        <v>4</v>
      </c>
      <c r="Q1321" s="19">
        <f t="shared" si="72"/>
        <v>4</v>
      </c>
      <c r="X1321" s="92">
        <v>4</v>
      </c>
      <c r="Y1321" s="92">
        <v>4</v>
      </c>
      <c r="Z1321" s="92">
        <v>4</v>
      </c>
    </row>
    <row r="1322" spans="1:26" ht="16" x14ac:dyDescent="0.4">
      <c r="A1322" s="92">
        <v>6594</v>
      </c>
      <c r="B1322" s="92">
        <v>6595</v>
      </c>
      <c r="E1322" s="92">
        <v>50</v>
      </c>
      <c r="F1322" s="92" t="str">
        <f>_xlfn.XLOOKUP(B1322, DATA_Moresby_2024_ALL!B:B, DATA_Moresby_2024_ALL!G:G, "")</f>
        <v>6595_20240611_0002_R_0997.jpg</v>
      </c>
      <c r="G1322" s="93" t="str">
        <f t="shared" si="71"/>
        <v>6595_20240611_0002_R_0997.jpg</v>
      </c>
      <c r="H1322" s="92">
        <v>2</v>
      </c>
      <c r="J1322" s="79">
        <f>IF(G1322="","X",_xlfn.XLOOKUP(B1322,DATA_Moresby_2024_ALL!B:B,DATA_Moresby_2024_ALL!K:K,""))</f>
        <v>1</v>
      </c>
      <c r="K1322" s="28"/>
      <c r="L1322" s="29"/>
      <c r="M1322" s="28"/>
      <c r="N1322" s="19">
        <f t="shared" si="72"/>
        <v>4</v>
      </c>
      <c r="O1322" s="19">
        <f t="shared" si="72"/>
        <v>4</v>
      </c>
      <c r="P1322" s="19">
        <f t="shared" si="72"/>
        <v>4</v>
      </c>
      <c r="Q1322" s="19">
        <v>3</v>
      </c>
      <c r="X1322" s="92">
        <v>4</v>
      </c>
      <c r="Y1322" s="92">
        <v>4</v>
      </c>
      <c r="Z1322" s="92">
        <v>3</v>
      </c>
    </row>
    <row r="1323" spans="1:26" ht="16" x14ac:dyDescent="0.4">
      <c r="A1323" s="92">
        <v>6599</v>
      </c>
      <c r="B1323" s="92">
        <v>6600</v>
      </c>
      <c r="E1323" s="92">
        <v>50</v>
      </c>
      <c r="F1323" s="92" t="str">
        <f>_xlfn.XLOOKUP(B1323, DATA_Moresby_2024_ALL!B:B, DATA_Moresby_2024_ALL!G:G, "")</f>
        <v>6600_20240611_0002_R_0981.jpg</v>
      </c>
      <c r="G1323" s="93" t="str">
        <f t="shared" si="71"/>
        <v>6600_20240611_0002_R_0981.jpg</v>
      </c>
      <c r="H1323" s="92">
        <v>2</v>
      </c>
      <c r="J1323" s="79">
        <f>IF(G1323="","X",_xlfn.XLOOKUP(B1323,DATA_Moresby_2024_ALL!B:B,DATA_Moresby_2024_ALL!K:K,""))</f>
        <v>1</v>
      </c>
      <c r="K1323" s="28"/>
      <c r="L1323" s="29"/>
      <c r="M1323" s="28"/>
      <c r="N1323" s="19">
        <f t="shared" si="72"/>
        <v>4</v>
      </c>
      <c r="O1323" s="19">
        <f t="shared" si="72"/>
        <v>4</v>
      </c>
      <c r="P1323" s="19">
        <f t="shared" si="72"/>
        <v>4</v>
      </c>
      <c r="Q1323" s="19">
        <f t="shared" si="72"/>
        <v>4</v>
      </c>
      <c r="X1323" s="92">
        <v>4</v>
      </c>
      <c r="Y1323" s="92">
        <v>4</v>
      </c>
      <c r="Z1323" s="92">
        <v>4</v>
      </c>
    </row>
    <row r="1324" spans="1:26" ht="16" x14ac:dyDescent="0.4">
      <c r="A1324" s="92">
        <v>6604</v>
      </c>
      <c r="B1324" s="75">
        <v>6605</v>
      </c>
      <c r="E1324" s="92">
        <v>50</v>
      </c>
      <c r="F1324" s="92" t="str">
        <f>_xlfn.XLOOKUP(B1324, DATA_Moresby_2024_ALL!B:B, DATA_Moresby_2024_ALL!G:G, "")</f>
        <v>6605_20240611_0002_R_0967.jpg</v>
      </c>
      <c r="G1324" s="93" t="str">
        <f t="shared" si="71"/>
        <v>6605_20240611_0002_R_0967.jpg</v>
      </c>
      <c r="H1324" s="75">
        <v>2</v>
      </c>
      <c r="J1324" s="79">
        <f>IF(G1324="","X",_xlfn.XLOOKUP(B1324,DATA_Moresby_2024_ALL!B:B,DATA_Moresby_2024_ALL!K:K,""))</f>
        <v>1</v>
      </c>
      <c r="K1324" s="28"/>
      <c r="L1324" s="29"/>
      <c r="M1324" s="28"/>
      <c r="N1324" s="19">
        <f t="shared" si="72"/>
        <v>4</v>
      </c>
      <c r="O1324" s="19">
        <f t="shared" si="72"/>
        <v>4</v>
      </c>
      <c r="P1324" s="19">
        <f t="shared" si="72"/>
        <v>4</v>
      </c>
      <c r="Q1324" s="19">
        <f t="shared" si="72"/>
        <v>4</v>
      </c>
      <c r="X1324" s="92">
        <v>4</v>
      </c>
      <c r="Y1324" s="92">
        <v>4</v>
      </c>
      <c r="Z1324" s="92">
        <v>3</v>
      </c>
    </row>
    <row r="1325" spans="1:26" ht="16" x14ac:dyDescent="0.4">
      <c r="A1325" s="92">
        <v>6609</v>
      </c>
      <c r="B1325" s="75">
        <v>6610</v>
      </c>
      <c r="E1325" s="92">
        <v>50</v>
      </c>
      <c r="F1325" s="92" t="str">
        <f>_xlfn.XLOOKUP(B1325, DATA_Moresby_2024_ALL!B:B, DATA_Moresby_2024_ALL!G:G, "")</f>
        <v>6610_20240611_0002_R_0950.jpg</v>
      </c>
      <c r="G1325" s="93" t="str">
        <f t="shared" si="71"/>
        <v>6610_20240611_0002_R_0950.jpg</v>
      </c>
      <c r="H1325" s="75">
        <v>2</v>
      </c>
      <c r="J1325" s="79">
        <f>IF(G1325="","X",_xlfn.XLOOKUP(B1325,DATA_Moresby_2024_ALL!B:B,DATA_Moresby_2024_ALL!K:K,""))</f>
        <v>1</v>
      </c>
      <c r="K1325" s="28"/>
      <c r="L1325" s="29"/>
      <c r="M1325" s="28"/>
      <c r="N1325" s="19">
        <f t="shared" si="72"/>
        <v>4</v>
      </c>
      <c r="O1325" s="19">
        <f t="shared" si="72"/>
        <v>4</v>
      </c>
      <c r="P1325" s="19">
        <f t="shared" si="72"/>
        <v>4</v>
      </c>
      <c r="Q1325" s="19">
        <v>3</v>
      </c>
      <c r="X1325" s="92">
        <v>4</v>
      </c>
      <c r="Y1325" s="92">
        <v>4</v>
      </c>
      <c r="Z1325" s="92">
        <v>3</v>
      </c>
    </row>
    <row r="1326" spans="1:26" ht="16" x14ac:dyDescent="0.4">
      <c r="A1326" s="92">
        <v>6614</v>
      </c>
      <c r="B1326" s="75">
        <v>6615</v>
      </c>
      <c r="E1326" s="92">
        <v>50</v>
      </c>
      <c r="F1326" s="92" t="str">
        <f>_xlfn.XLOOKUP(B1326, DATA_Moresby_2024_ALL!B:B, DATA_Moresby_2024_ALL!G:G, "")</f>
        <v>6615_20240611_0002_R_0934.jpg</v>
      </c>
      <c r="G1326" s="93" t="str">
        <f t="shared" si="71"/>
        <v>6615_20240611_0002_R_0934.jpg</v>
      </c>
      <c r="H1326" s="75">
        <v>2</v>
      </c>
      <c r="J1326" s="79">
        <f>IF(G1326="","X",_xlfn.XLOOKUP(B1326,DATA_Moresby_2024_ALL!B:B,DATA_Moresby_2024_ALL!K:K,""))</f>
        <v>1</v>
      </c>
      <c r="K1326" s="28"/>
      <c r="L1326" s="29"/>
      <c r="M1326" s="28"/>
      <c r="N1326" s="19">
        <f t="shared" si="72"/>
        <v>4</v>
      </c>
      <c r="O1326" s="19">
        <f t="shared" si="72"/>
        <v>4</v>
      </c>
      <c r="P1326" s="19">
        <f t="shared" si="72"/>
        <v>4</v>
      </c>
      <c r="Q1326" s="19">
        <f t="shared" si="72"/>
        <v>4</v>
      </c>
      <c r="X1326" s="92">
        <v>4</v>
      </c>
      <c r="Y1326" s="92">
        <v>4</v>
      </c>
      <c r="Z1326" s="92">
        <v>3</v>
      </c>
    </row>
    <row r="1327" spans="1:26" ht="16" x14ac:dyDescent="0.4">
      <c r="A1327" s="92">
        <v>6619</v>
      </c>
      <c r="B1327" s="75">
        <v>6620</v>
      </c>
      <c r="E1327" s="92">
        <v>50</v>
      </c>
      <c r="F1327" s="92" t="str">
        <f>_xlfn.XLOOKUP(B1327, DATA_Moresby_2024_ALL!B:B, DATA_Moresby_2024_ALL!G:G, "")</f>
        <v>6620_20240611_0002_R_0918.jpg</v>
      </c>
      <c r="G1327" s="93" t="str">
        <f t="shared" si="71"/>
        <v>6620_20240611_0002_R_0918.jpg</v>
      </c>
      <c r="H1327" s="75">
        <v>2</v>
      </c>
      <c r="J1327" s="79">
        <f>IF(G1327="","X",_xlfn.XLOOKUP(B1327,DATA_Moresby_2024_ALL!B:B,DATA_Moresby_2024_ALL!K:K,""))</f>
        <v>1</v>
      </c>
      <c r="K1327" s="28"/>
      <c r="L1327" s="29"/>
      <c r="M1327" s="28"/>
      <c r="N1327" s="19">
        <f t="shared" si="72"/>
        <v>4</v>
      </c>
      <c r="O1327" s="19">
        <f t="shared" si="72"/>
        <v>4</v>
      </c>
      <c r="P1327" s="19">
        <f t="shared" si="72"/>
        <v>4</v>
      </c>
      <c r="Q1327" s="19">
        <v>3</v>
      </c>
      <c r="X1327" s="92">
        <v>4</v>
      </c>
      <c r="Y1327" s="92">
        <v>4</v>
      </c>
      <c r="Z1327" s="92">
        <v>3</v>
      </c>
    </row>
    <row r="1328" spans="1:26" ht="16" x14ac:dyDescent="0.4">
      <c r="A1328" s="92">
        <v>6624</v>
      </c>
      <c r="B1328" s="75">
        <v>6625</v>
      </c>
      <c r="E1328" s="92">
        <v>50</v>
      </c>
      <c r="F1328" s="92" t="str">
        <f>_xlfn.XLOOKUP(B1328, DATA_Moresby_2024_ALL!B:B, DATA_Moresby_2024_ALL!G:G, "")</f>
        <v>6625_20240611_0002_R_0901.jpg</v>
      </c>
      <c r="G1328" s="93" t="str">
        <f t="shared" si="71"/>
        <v>6625_20240611_0002_R_0901.jpg</v>
      </c>
      <c r="H1328" s="75">
        <v>2</v>
      </c>
      <c r="J1328" s="79">
        <f>IF(G1328="","X",_xlfn.XLOOKUP(B1328,DATA_Moresby_2024_ALL!B:B,DATA_Moresby_2024_ALL!K:K,""))</f>
        <v>1</v>
      </c>
      <c r="K1328" s="28"/>
      <c r="L1328" s="29"/>
      <c r="M1328" s="28"/>
      <c r="N1328" s="19">
        <f t="shared" si="72"/>
        <v>4</v>
      </c>
      <c r="O1328" s="19">
        <f t="shared" si="72"/>
        <v>4</v>
      </c>
      <c r="P1328" s="19">
        <f t="shared" si="72"/>
        <v>4</v>
      </c>
      <c r="Q1328" s="19">
        <f t="shared" si="72"/>
        <v>4</v>
      </c>
      <c r="X1328" s="92">
        <v>3</v>
      </c>
      <c r="Y1328" s="92">
        <v>3</v>
      </c>
      <c r="Z1328" s="92">
        <v>3</v>
      </c>
    </row>
    <row r="1329" spans="1:26" ht="16" x14ac:dyDescent="0.4">
      <c r="A1329" s="92">
        <v>6629</v>
      </c>
      <c r="B1329" s="75">
        <v>6630</v>
      </c>
      <c r="E1329" s="92">
        <v>50</v>
      </c>
      <c r="F1329" s="92" t="str">
        <f>_xlfn.XLOOKUP(B1329, DATA_Moresby_2024_ALL!B:B, DATA_Moresby_2024_ALL!G:G, "")</f>
        <v>6630_20240611_0002_R_0886.jpg</v>
      </c>
      <c r="G1329" s="93" t="str">
        <f t="shared" si="71"/>
        <v>6630_20240611_0002_R_0886.jpg</v>
      </c>
      <c r="H1329" s="75">
        <v>2</v>
      </c>
      <c r="J1329" s="79">
        <f>IF(G1329="","X",_xlfn.XLOOKUP(B1329,DATA_Moresby_2024_ALL!B:B,DATA_Moresby_2024_ALL!K:K,""))</f>
        <v>1</v>
      </c>
      <c r="K1329" s="28"/>
      <c r="L1329" s="29"/>
      <c r="M1329" s="28"/>
      <c r="N1329" s="19">
        <f t="shared" si="72"/>
        <v>4</v>
      </c>
      <c r="O1329" s="19">
        <f t="shared" si="72"/>
        <v>4</v>
      </c>
      <c r="P1329" s="19">
        <f t="shared" si="72"/>
        <v>4</v>
      </c>
      <c r="Q1329" s="19">
        <f t="shared" si="72"/>
        <v>4</v>
      </c>
      <c r="X1329" s="92">
        <v>3</v>
      </c>
      <c r="Y1329" s="92">
        <v>2</v>
      </c>
      <c r="Z1329" s="92">
        <v>3</v>
      </c>
    </row>
    <row r="1330" spans="1:26" ht="16" x14ac:dyDescent="0.4">
      <c r="A1330" s="92">
        <v>6634</v>
      </c>
      <c r="B1330" s="75">
        <v>6635</v>
      </c>
      <c r="E1330" s="92">
        <v>50</v>
      </c>
      <c r="F1330" s="92" t="str">
        <f>_xlfn.XLOOKUP(B1330, DATA_Moresby_2024_ALL!B:B, DATA_Moresby_2024_ALL!G:G, "")</f>
        <v>6635_20240611_0002_R_0872.jpg</v>
      </c>
      <c r="G1330" s="93" t="str">
        <f t="shared" si="71"/>
        <v>6635_20240611_0002_R_0872.jpg</v>
      </c>
      <c r="H1330" s="75">
        <v>2</v>
      </c>
      <c r="J1330" s="79">
        <f>IF(G1330="","X",_xlfn.XLOOKUP(B1330,DATA_Moresby_2024_ALL!B:B,DATA_Moresby_2024_ALL!K:K,""))</f>
        <v>1</v>
      </c>
      <c r="K1330" s="28"/>
      <c r="L1330" s="29"/>
      <c r="M1330" s="28"/>
      <c r="N1330" s="19">
        <f t="shared" si="72"/>
        <v>4</v>
      </c>
      <c r="O1330" s="19">
        <f t="shared" si="72"/>
        <v>4</v>
      </c>
      <c r="P1330" s="19">
        <f t="shared" si="72"/>
        <v>4</v>
      </c>
      <c r="Q1330" s="19">
        <v>3</v>
      </c>
      <c r="X1330" s="92">
        <v>4</v>
      </c>
      <c r="Y1330" s="92">
        <v>4</v>
      </c>
      <c r="Z1330" s="92">
        <v>3</v>
      </c>
    </row>
    <row r="1331" spans="1:26" ht="16" x14ac:dyDescent="0.4">
      <c r="A1331" s="92">
        <v>6639</v>
      </c>
      <c r="B1331" s="75">
        <v>6640</v>
      </c>
      <c r="E1331" s="92">
        <v>50</v>
      </c>
      <c r="F1331" s="92" t="str">
        <f>_xlfn.XLOOKUP(B1331, DATA_Moresby_2024_ALL!B:B, DATA_Moresby_2024_ALL!G:G, "")</f>
        <v>6640_20240611_0002_R_0858.jpg</v>
      </c>
      <c r="G1331" s="93" t="str">
        <f t="shared" si="71"/>
        <v>6640_20240611_0002_R_0858.jpg</v>
      </c>
      <c r="H1331" s="75">
        <v>2</v>
      </c>
      <c r="J1331" s="79">
        <f>IF(G1331="","X",_xlfn.XLOOKUP(B1331,DATA_Moresby_2024_ALL!B:B,DATA_Moresby_2024_ALL!K:K,""))</f>
        <v>1</v>
      </c>
      <c r="K1331" s="28"/>
      <c r="L1331" s="29"/>
      <c r="M1331" s="28"/>
      <c r="N1331" s="19">
        <f t="shared" si="72"/>
        <v>4</v>
      </c>
      <c r="O1331" s="19">
        <f t="shared" si="72"/>
        <v>4</v>
      </c>
      <c r="P1331" s="19">
        <f t="shared" si="72"/>
        <v>4</v>
      </c>
      <c r="Q1331" s="19">
        <v>4</v>
      </c>
      <c r="X1331" s="92">
        <v>4</v>
      </c>
      <c r="Y1331" s="92">
        <v>4</v>
      </c>
      <c r="Z1331" s="92">
        <v>2</v>
      </c>
    </row>
    <row r="1332" spans="1:26" ht="16" x14ac:dyDescent="0.4">
      <c r="A1332" s="92">
        <v>6644</v>
      </c>
      <c r="B1332" s="75">
        <v>6645</v>
      </c>
      <c r="E1332" s="92">
        <v>50</v>
      </c>
      <c r="F1332" s="92" t="str">
        <f>_xlfn.XLOOKUP(B1332, DATA_Moresby_2024_ALL!B:B, DATA_Moresby_2024_ALL!G:G, "")</f>
        <v>6645_20240611_0002_R_0845.jpg</v>
      </c>
      <c r="G1332" s="93" t="str">
        <f t="shared" si="71"/>
        <v>6645_20240611_0002_R_0845.jpg</v>
      </c>
      <c r="H1332" s="75">
        <v>2</v>
      </c>
      <c r="J1332" s="79">
        <f>IF(G1332="","X",_xlfn.XLOOKUP(B1332,DATA_Moresby_2024_ALL!B:B,DATA_Moresby_2024_ALL!K:K,""))</f>
        <v>1</v>
      </c>
      <c r="K1332" s="28"/>
      <c r="L1332" s="29"/>
      <c r="M1332" s="28"/>
      <c r="N1332" s="19">
        <f t="shared" si="72"/>
        <v>4</v>
      </c>
      <c r="O1332" s="19">
        <f t="shared" si="72"/>
        <v>4</v>
      </c>
      <c r="P1332" s="19">
        <f t="shared" si="72"/>
        <v>4</v>
      </c>
      <c r="Q1332" s="19">
        <v>3</v>
      </c>
      <c r="X1332" s="92">
        <v>4</v>
      </c>
      <c r="Y1332" s="92">
        <v>4</v>
      </c>
      <c r="Z1332" s="92">
        <v>3</v>
      </c>
    </row>
    <row r="1333" spans="1:26" ht="16" x14ac:dyDescent="0.4">
      <c r="A1333" s="92">
        <v>6649</v>
      </c>
      <c r="B1333" s="75">
        <v>6650</v>
      </c>
      <c r="E1333" s="92">
        <v>50</v>
      </c>
      <c r="F1333" s="92" t="str">
        <f>_xlfn.XLOOKUP(B1333, DATA_Moresby_2024_ALL!B:B, DATA_Moresby_2024_ALL!G:G, "")</f>
        <v>6650_20240611_0002_R_0829.jpg</v>
      </c>
      <c r="G1333" s="93" t="str">
        <f t="shared" si="71"/>
        <v>6650_20240611_0002_R_0829.jpg</v>
      </c>
      <c r="H1333" s="75">
        <v>2</v>
      </c>
      <c r="J1333" s="79">
        <f>IF(G1333="","X",_xlfn.XLOOKUP(B1333,DATA_Moresby_2024_ALL!B:B,DATA_Moresby_2024_ALL!K:K,""))</f>
        <v>1</v>
      </c>
      <c r="K1333" s="28"/>
      <c r="L1333" s="29"/>
      <c r="M1333" s="28"/>
      <c r="N1333" s="19">
        <f t="shared" si="72"/>
        <v>4</v>
      </c>
      <c r="O1333" s="19">
        <f t="shared" si="72"/>
        <v>4</v>
      </c>
      <c r="P1333" s="19">
        <f t="shared" si="72"/>
        <v>4</v>
      </c>
      <c r="Q1333" s="19">
        <v>3</v>
      </c>
      <c r="X1333" s="92">
        <v>3</v>
      </c>
      <c r="Y1333" s="92">
        <v>4</v>
      </c>
      <c r="Z1333" s="92">
        <v>3</v>
      </c>
    </row>
    <row r="1334" spans="1:26" ht="16" x14ac:dyDescent="0.4">
      <c r="A1334" s="92">
        <v>6654</v>
      </c>
      <c r="B1334" s="75">
        <v>6655</v>
      </c>
      <c r="E1334" s="92">
        <v>50</v>
      </c>
      <c r="F1334" s="92" t="str">
        <f>_xlfn.XLOOKUP(B1334, DATA_Moresby_2024_ALL!B:B, DATA_Moresby_2024_ALL!G:G, "")</f>
        <v>6655_20240611_0002_R_0814.jpg</v>
      </c>
      <c r="G1334" s="93" t="str">
        <f t="shared" si="71"/>
        <v>6655_20240611_0002_R_0814.jpg</v>
      </c>
      <c r="H1334" s="75">
        <v>2</v>
      </c>
      <c r="J1334" s="79">
        <f>IF(G1334="","X",_xlfn.XLOOKUP(B1334,DATA_Moresby_2024_ALL!B:B,DATA_Moresby_2024_ALL!K:K,""))</f>
        <v>1</v>
      </c>
      <c r="K1334" s="28"/>
      <c r="L1334" s="29"/>
      <c r="M1334" s="28"/>
      <c r="N1334" s="19">
        <f t="shared" si="72"/>
        <v>4</v>
      </c>
      <c r="O1334" s="19">
        <f t="shared" si="72"/>
        <v>4</v>
      </c>
      <c r="P1334" s="19">
        <f t="shared" si="72"/>
        <v>4</v>
      </c>
      <c r="Q1334" s="19">
        <v>3</v>
      </c>
      <c r="X1334" s="92">
        <v>4</v>
      </c>
      <c r="Y1334" s="92">
        <v>4</v>
      </c>
      <c r="Z1334" s="92">
        <v>4</v>
      </c>
    </row>
    <row r="1335" spans="1:26" ht="16" x14ac:dyDescent="0.4">
      <c r="A1335" s="92">
        <v>6659</v>
      </c>
      <c r="B1335" s="75">
        <v>6660</v>
      </c>
      <c r="E1335" s="92">
        <v>50</v>
      </c>
      <c r="F1335" s="92" t="str">
        <f>_xlfn.XLOOKUP(B1335, DATA_Moresby_2024_ALL!B:B, DATA_Moresby_2024_ALL!G:G, "")</f>
        <v>6660_20240611_0002_R_0800.jpg</v>
      </c>
      <c r="G1335" s="93" t="str">
        <f t="shared" si="71"/>
        <v>6660_20240611_0002_R_0800.jpg</v>
      </c>
      <c r="H1335" s="75">
        <v>2</v>
      </c>
      <c r="J1335" s="79">
        <f>IF(G1335="","X",_xlfn.XLOOKUP(B1335,DATA_Moresby_2024_ALL!B:B,DATA_Moresby_2024_ALL!K:K,""))</f>
        <v>1</v>
      </c>
      <c r="K1335" s="28"/>
      <c r="L1335" s="29"/>
      <c r="M1335" s="28"/>
      <c r="N1335" s="19">
        <f t="shared" si="72"/>
        <v>4</v>
      </c>
      <c r="O1335" s="19">
        <f t="shared" si="72"/>
        <v>4</v>
      </c>
      <c r="P1335" s="19">
        <f t="shared" si="72"/>
        <v>4</v>
      </c>
      <c r="Q1335" s="19">
        <f t="shared" si="72"/>
        <v>4</v>
      </c>
      <c r="X1335" s="92">
        <v>4</v>
      </c>
      <c r="Y1335" s="92">
        <v>4</v>
      </c>
      <c r="Z1335" s="92">
        <v>3</v>
      </c>
    </row>
    <row r="1336" spans="1:26" ht="16" x14ac:dyDescent="0.4">
      <c r="A1336" s="92">
        <v>6664</v>
      </c>
      <c r="B1336" s="75">
        <v>6665</v>
      </c>
      <c r="E1336" s="92">
        <v>50</v>
      </c>
      <c r="F1336" s="92" t="str">
        <f>_xlfn.XLOOKUP(B1336, DATA_Moresby_2024_ALL!B:B, DATA_Moresby_2024_ALL!G:G, "")</f>
        <v>6665_20240611_0002_R_0788.jpg</v>
      </c>
      <c r="G1336" s="93" t="str">
        <f t="shared" si="71"/>
        <v>6665_20240611_0002_R_0788.jpg</v>
      </c>
      <c r="H1336" s="75">
        <v>2</v>
      </c>
      <c r="J1336" s="79">
        <f>IF(G1336="","X",_xlfn.XLOOKUP(B1336,DATA_Moresby_2024_ALL!B:B,DATA_Moresby_2024_ALL!K:K,""))</f>
        <v>1</v>
      </c>
      <c r="K1336" s="28"/>
      <c r="L1336" s="29"/>
      <c r="M1336" s="28"/>
      <c r="N1336" s="19">
        <f t="shared" si="72"/>
        <v>4</v>
      </c>
      <c r="O1336" s="19">
        <f t="shared" si="72"/>
        <v>4</v>
      </c>
      <c r="P1336" s="19">
        <f t="shared" si="72"/>
        <v>4</v>
      </c>
      <c r="Q1336" s="19">
        <f t="shared" si="72"/>
        <v>4</v>
      </c>
      <c r="X1336" s="92">
        <v>4</v>
      </c>
      <c r="Y1336" s="92">
        <v>4</v>
      </c>
      <c r="Z1336" s="92">
        <v>3</v>
      </c>
    </row>
    <row r="1337" spans="1:26" ht="16" x14ac:dyDescent="0.4">
      <c r="A1337" s="92">
        <v>6669</v>
      </c>
      <c r="B1337" s="75">
        <v>6670</v>
      </c>
      <c r="E1337" s="92">
        <v>50</v>
      </c>
      <c r="F1337" s="92" t="str">
        <f>_xlfn.XLOOKUP(B1337, DATA_Moresby_2024_ALL!B:B, DATA_Moresby_2024_ALL!G:G, "")</f>
        <v>6670_20240611_0002_R_0775.jpg</v>
      </c>
      <c r="G1337" s="93" t="str">
        <f t="shared" si="71"/>
        <v>6670_20240611_0002_R_0775.jpg</v>
      </c>
      <c r="H1337" s="75">
        <v>2</v>
      </c>
      <c r="J1337" s="79">
        <f>IF(G1337="","X",_xlfn.XLOOKUP(B1337,DATA_Moresby_2024_ALL!B:B,DATA_Moresby_2024_ALL!K:K,""))</f>
        <v>1</v>
      </c>
      <c r="K1337" s="28"/>
      <c r="L1337" s="29"/>
      <c r="M1337" s="28"/>
      <c r="N1337" s="19">
        <f t="shared" si="72"/>
        <v>4</v>
      </c>
      <c r="O1337" s="19">
        <f t="shared" si="72"/>
        <v>4</v>
      </c>
      <c r="P1337" s="19">
        <f t="shared" si="72"/>
        <v>4</v>
      </c>
      <c r="Q1337" s="19">
        <v>3</v>
      </c>
      <c r="X1337" s="92">
        <v>4</v>
      </c>
      <c r="Y1337" s="92">
        <v>3</v>
      </c>
      <c r="Z1337" s="92">
        <v>4</v>
      </c>
    </row>
    <row r="1338" spans="1:26" ht="16" x14ac:dyDescent="0.4">
      <c r="A1338" s="92">
        <v>6674</v>
      </c>
      <c r="B1338" s="75">
        <v>6675</v>
      </c>
      <c r="E1338" s="92">
        <v>50</v>
      </c>
      <c r="F1338" s="92" t="str">
        <f>_xlfn.XLOOKUP(B1338, DATA_Moresby_2024_ALL!B:B, DATA_Moresby_2024_ALL!G:G, "")</f>
        <v>6675_20240611_0002_R_0761.jpg</v>
      </c>
      <c r="G1338" s="93" t="str">
        <f t="shared" si="71"/>
        <v>6675_20240611_0002_R_0761.jpg</v>
      </c>
      <c r="H1338" s="75">
        <v>2</v>
      </c>
      <c r="J1338" s="79">
        <f>IF(G1338="","X",_xlfn.XLOOKUP(B1338,DATA_Moresby_2024_ALL!B:B,DATA_Moresby_2024_ALL!K:K,""))</f>
        <v>1</v>
      </c>
      <c r="K1338" s="28"/>
      <c r="L1338" s="29"/>
      <c r="M1338" s="28"/>
      <c r="N1338" s="19">
        <f t="shared" si="72"/>
        <v>4</v>
      </c>
      <c r="O1338" s="19">
        <f t="shared" si="72"/>
        <v>4</v>
      </c>
      <c r="P1338" s="19">
        <f t="shared" si="72"/>
        <v>4</v>
      </c>
      <c r="Q1338" s="19">
        <f t="shared" si="72"/>
        <v>4</v>
      </c>
      <c r="X1338" s="92">
        <v>4</v>
      </c>
      <c r="Y1338" s="92">
        <v>4</v>
      </c>
      <c r="Z1338" s="92">
        <v>3</v>
      </c>
    </row>
    <row r="1339" spans="1:26" ht="16" x14ac:dyDescent="0.4">
      <c r="A1339" s="92">
        <v>6679</v>
      </c>
      <c r="B1339" s="75">
        <v>6680</v>
      </c>
      <c r="E1339" s="92">
        <v>50</v>
      </c>
      <c r="F1339" s="92" t="str">
        <f>_xlfn.XLOOKUP(B1339, DATA_Moresby_2024_ALL!B:B, DATA_Moresby_2024_ALL!G:G, "")</f>
        <v>6680_20240611_0002_R_0748.jpg</v>
      </c>
      <c r="G1339" s="93" t="str">
        <f t="shared" si="71"/>
        <v>6680_20240611_0002_R_0748.jpg</v>
      </c>
      <c r="H1339" s="75">
        <v>2</v>
      </c>
      <c r="J1339" s="79">
        <f>IF(G1339="","X",_xlfn.XLOOKUP(B1339,DATA_Moresby_2024_ALL!B:B,DATA_Moresby_2024_ALL!K:K,""))</f>
        <v>1</v>
      </c>
      <c r="K1339" s="28"/>
      <c r="L1339" s="29"/>
      <c r="M1339" s="28"/>
      <c r="N1339" s="19">
        <f t="shared" si="72"/>
        <v>4</v>
      </c>
      <c r="O1339" s="19">
        <f t="shared" si="72"/>
        <v>4</v>
      </c>
      <c r="P1339" s="19">
        <f t="shared" si="72"/>
        <v>4</v>
      </c>
      <c r="Q1339" s="19">
        <f t="shared" si="72"/>
        <v>4</v>
      </c>
      <c r="X1339" s="92">
        <v>4</v>
      </c>
      <c r="Y1339" s="92">
        <v>4</v>
      </c>
      <c r="Z1339" s="92">
        <v>2</v>
      </c>
    </row>
    <row r="1340" spans="1:26" ht="16" x14ac:dyDescent="0.4">
      <c r="A1340" s="92">
        <v>6684</v>
      </c>
      <c r="B1340" s="75">
        <v>6685</v>
      </c>
      <c r="E1340" s="92">
        <v>50</v>
      </c>
      <c r="F1340" s="92" t="str">
        <f>_xlfn.XLOOKUP(B1340, DATA_Moresby_2024_ALL!B:B, DATA_Moresby_2024_ALL!G:G, "")</f>
        <v>6685_20240611_0002_R_0735.jpg</v>
      </c>
      <c r="G1340" s="93" t="str">
        <f t="shared" si="71"/>
        <v>6685_20240611_0002_R_0735.jpg</v>
      </c>
      <c r="H1340" s="75">
        <v>2</v>
      </c>
      <c r="J1340" s="79">
        <f>IF(G1340="","X",_xlfn.XLOOKUP(B1340,DATA_Moresby_2024_ALL!B:B,DATA_Moresby_2024_ALL!K:K,""))</f>
        <v>1</v>
      </c>
      <c r="K1340" s="28"/>
      <c r="L1340" s="29"/>
      <c r="M1340" s="28"/>
      <c r="N1340" s="19">
        <f t="shared" si="72"/>
        <v>4</v>
      </c>
      <c r="O1340" s="19">
        <f t="shared" si="72"/>
        <v>4</v>
      </c>
      <c r="P1340" s="19">
        <f t="shared" si="72"/>
        <v>4</v>
      </c>
      <c r="Q1340" s="19">
        <f t="shared" si="72"/>
        <v>4</v>
      </c>
      <c r="X1340" s="92">
        <v>4</v>
      </c>
      <c r="Y1340" s="92">
        <v>4</v>
      </c>
      <c r="Z1340" s="92">
        <v>4</v>
      </c>
    </row>
    <row r="1341" spans="1:26" ht="16" x14ac:dyDescent="0.4">
      <c r="A1341" s="92">
        <v>6689</v>
      </c>
      <c r="B1341" s="75">
        <v>6690</v>
      </c>
      <c r="E1341" s="92">
        <v>50</v>
      </c>
      <c r="F1341" s="92">
        <f>_xlfn.XLOOKUP(B1341, DATA_Moresby_2024_ALL!B:B, DATA_Moresby_2024_ALL!G:G, "")</f>
        <v>0</v>
      </c>
      <c r="G1341" s="93"/>
      <c r="H1341" s="75">
        <v>2</v>
      </c>
      <c r="I1341" s="92" t="str">
        <f t="shared" ref="I1341:I1388" si="73">IF(G1341="","X","")</f>
        <v>X</v>
      </c>
      <c r="J1341" s="79" t="str">
        <f>IF(G1341="","X",_xlfn.XLOOKUP(B1341,DATA_Moresby_2024_ALL!B:B,DATA_Moresby_2024_ALL!K:K,""))</f>
        <v>X</v>
      </c>
      <c r="K1341" s="28"/>
      <c r="L1341" s="29"/>
      <c r="M1341" s="28"/>
      <c r="N1341" s="19" t="str">
        <f t="shared" si="72"/>
        <v/>
      </c>
      <c r="O1341" s="19" t="str">
        <f t="shared" si="72"/>
        <v/>
      </c>
      <c r="P1341" s="19" t="str">
        <f t="shared" si="72"/>
        <v/>
      </c>
      <c r="Q1341" s="19" t="str">
        <f t="shared" si="72"/>
        <v/>
      </c>
      <c r="X1341" s="92" t="s">
        <v>78</v>
      </c>
      <c r="Y1341" s="92" t="s">
        <v>78</v>
      </c>
      <c r="Z1341" s="92" t="s">
        <v>78</v>
      </c>
    </row>
    <row r="1342" spans="1:26" ht="16" x14ac:dyDescent="0.4">
      <c r="A1342" s="92">
        <v>6694</v>
      </c>
      <c r="B1342" s="75">
        <v>6695</v>
      </c>
      <c r="E1342" s="92">
        <v>50</v>
      </c>
      <c r="F1342" s="92">
        <f>_xlfn.XLOOKUP(B1342, DATA_Moresby_2024_ALL!B:B, DATA_Moresby_2024_ALL!G:G, "")</f>
        <v>0</v>
      </c>
      <c r="G1342" s="93"/>
      <c r="H1342" s="75">
        <v>2</v>
      </c>
      <c r="I1342" s="92" t="str">
        <f t="shared" si="73"/>
        <v>X</v>
      </c>
      <c r="J1342" s="79" t="str">
        <f>IF(G1342="","X",_xlfn.XLOOKUP(B1342,DATA_Moresby_2024_ALL!B:B,DATA_Moresby_2024_ALL!K:K,""))</f>
        <v>X</v>
      </c>
      <c r="K1342" s="28"/>
      <c r="L1342" s="29"/>
      <c r="M1342" s="28"/>
      <c r="N1342" s="19" t="str">
        <f t="shared" si="72"/>
        <v/>
      </c>
      <c r="O1342" s="19" t="str">
        <f t="shared" si="72"/>
        <v/>
      </c>
      <c r="P1342" s="19" t="str">
        <f t="shared" si="72"/>
        <v/>
      </c>
      <c r="Q1342" s="19" t="str">
        <f t="shared" si="72"/>
        <v/>
      </c>
      <c r="X1342" s="92" t="s">
        <v>78</v>
      </c>
      <c r="Y1342" s="92" t="s">
        <v>78</v>
      </c>
      <c r="Z1342" s="92" t="s">
        <v>78</v>
      </c>
    </row>
    <row r="1343" spans="1:26" ht="16" x14ac:dyDescent="0.4">
      <c r="A1343" s="92">
        <v>6699</v>
      </c>
      <c r="B1343" s="75">
        <v>6700</v>
      </c>
      <c r="E1343" s="92">
        <v>50</v>
      </c>
      <c r="F1343" s="92">
        <f>_xlfn.XLOOKUP(B1343, DATA_Moresby_2024_ALL!B:B, DATA_Moresby_2024_ALL!G:G, "")</f>
        <v>0</v>
      </c>
      <c r="G1343" s="93"/>
      <c r="H1343" s="75">
        <v>2</v>
      </c>
      <c r="I1343" s="92" t="str">
        <f t="shared" si="73"/>
        <v>X</v>
      </c>
      <c r="J1343" s="79" t="str">
        <f>IF(G1343="","X",_xlfn.XLOOKUP(B1343,DATA_Moresby_2024_ALL!B:B,DATA_Moresby_2024_ALL!K:K,""))</f>
        <v>X</v>
      </c>
      <c r="K1343" s="28"/>
      <c r="L1343" s="29"/>
      <c r="M1343" s="28"/>
      <c r="N1343" s="19" t="str">
        <f t="shared" si="72"/>
        <v/>
      </c>
      <c r="O1343" s="19" t="str">
        <f t="shared" si="72"/>
        <v/>
      </c>
      <c r="P1343" s="19" t="str">
        <f t="shared" si="72"/>
        <v/>
      </c>
      <c r="Q1343" s="19" t="str">
        <f t="shared" si="72"/>
        <v/>
      </c>
      <c r="X1343" s="92" t="s">
        <v>78</v>
      </c>
      <c r="Y1343" s="92" t="s">
        <v>78</v>
      </c>
      <c r="Z1343" s="92" t="s">
        <v>78</v>
      </c>
    </row>
    <row r="1344" spans="1:26" ht="16" x14ac:dyDescent="0.4">
      <c r="A1344" s="92">
        <v>6704</v>
      </c>
      <c r="B1344" s="75">
        <v>6705</v>
      </c>
      <c r="E1344" s="92">
        <v>50</v>
      </c>
      <c r="F1344" s="92">
        <f>_xlfn.XLOOKUP(B1344, DATA_Moresby_2024_ALL!B:B, DATA_Moresby_2024_ALL!G:G, "")</f>
        <v>0</v>
      </c>
      <c r="G1344" s="93"/>
      <c r="H1344" s="75">
        <v>2</v>
      </c>
      <c r="I1344" s="92" t="str">
        <f t="shared" si="73"/>
        <v>X</v>
      </c>
      <c r="J1344" s="79" t="str">
        <f>IF(G1344="","X",_xlfn.XLOOKUP(B1344,DATA_Moresby_2024_ALL!B:B,DATA_Moresby_2024_ALL!K:K,""))</f>
        <v>X</v>
      </c>
      <c r="K1344" s="28"/>
      <c r="L1344" s="29"/>
      <c r="M1344" s="28"/>
      <c r="N1344" s="19" t="str">
        <f t="shared" si="72"/>
        <v/>
      </c>
      <c r="O1344" s="19" t="str">
        <f t="shared" si="72"/>
        <v/>
      </c>
      <c r="P1344" s="19" t="str">
        <f t="shared" si="72"/>
        <v/>
      </c>
      <c r="Q1344" s="19" t="str">
        <f t="shared" si="72"/>
        <v/>
      </c>
      <c r="X1344" s="92" t="s">
        <v>78</v>
      </c>
      <c r="Y1344" s="92" t="s">
        <v>78</v>
      </c>
      <c r="Z1344" s="92" t="s">
        <v>78</v>
      </c>
    </row>
    <row r="1345" spans="1:26" ht="16" x14ac:dyDescent="0.4">
      <c r="A1345" s="92">
        <v>6709</v>
      </c>
      <c r="B1345" s="75">
        <v>6710</v>
      </c>
      <c r="E1345" s="92">
        <v>50</v>
      </c>
      <c r="F1345" s="92">
        <f>_xlfn.XLOOKUP(B1345, DATA_Moresby_2024_ALL!B:B, DATA_Moresby_2024_ALL!G:G, "")</f>
        <v>0</v>
      </c>
      <c r="G1345" s="93"/>
      <c r="H1345" s="75">
        <v>2</v>
      </c>
      <c r="I1345" s="92" t="str">
        <f t="shared" si="73"/>
        <v>X</v>
      </c>
      <c r="J1345" s="79" t="str">
        <f>IF(G1345="","X",_xlfn.XLOOKUP(B1345,DATA_Moresby_2024_ALL!B:B,DATA_Moresby_2024_ALL!K:K,""))</f>
        <v>X</v>
      </c>
      <c r="K1345" s="28"/>
      <c r="L1345" s="29"/>
      <c r="M1345" s="28"/>
      <c r="N1345" s="19" t="str">
        <f t="shared" si="72"/>
        <v/>
      </c>
      <c r="O1345" s="19" t="str">
        <f t="shared" si="72"/>
        <v/>
      </c>
      <c r="P1345" s="19" t="str">
        <f t="shared" si="72"/>
        <v/>
      </c>
      <c r="Q1345" s="19" t="str">
        <f t="shared" si="72"/>
        <v/>
      </c>
      <c r="X1345" s="92" t="s">
        <v>78</v>
      </c>
      <c r="Y1345" s="92" t="s">
        <v>78</v>
      </c>
      <c r="Z1345" s="92" t="s">
        <v>78</v>
      </c>
    </row>
    <row r="1346" spans="1:26" ht="16" x14ac:dyDescent="0.4">
      <c r="A1346" s="92">
        <v>6714</v>
      </c>
      <c r="B1346" s="75">
        <v>6715</v>
      </c>
      <c r="E1346" s="92">
        <v>50</v>
      </c>
      <c r="F1346" s="92">
        <f>_xlfn.XLOOKUP(B1346, DATA_Moresby_2024_ALL!B:B, DATA_Moresby_2024_ALL!G:G, "")</f>
        <v>0</v>
      </c>
      <c r="G1346" s="93"/>
      <c r="H1346" s="75">
        <v>2</v>
      </c>
      <c r="I1346" s="92" t="str">
        <f t="shared" si="73"/>
        <v>X</v>
      </c>
      <c r="J1346" s="79" t="str">
        <f>IF(G1346="","X",_xlfn.XLOOKUP(B1346,DATA_Moresby_2024_ALL!B:B,DATA_Moresby_2024_ALL!K:K,""))</f>
        <v>X</v>
      </c>
      <c r="K1346" s="28"/>
      <c r="L1346" s="29"/>
      <c r="M1346" s="28"/>
      <c r="N1346" s="19" t="str">
        <f t="shared" si="72"/>
        <v/>
      </c>
      <c r="O1346" s="19" t="str">
        <f t="shared" si="72"/>
        <v/>
      </c>
      <c r="P1346" s="19" t="str">
        <f t="shared" si="72"/>
        <v/>
      </c>
      <c r="Q1346" s="19" t="str">
        <f t="shared" si="72"/>
        <v/>
      </c>
      <c r="X1346" s="92" t="s">
        <v>78</v>
      </c>
      <c r="Y1346" s="92" t="s">
        <v>78</v>
      </c>
      <c r="Z1346" s="92" t="s">
        <v>78</v>
      </c>
    </row>
    <row r="1347" spans="1:26" ht="16" x14ac:dyDescent="0.4">
      <c r="A1347" s="92">
        <v>6719</v>
      </c>
      <c r="B1347" s="75">
        <v>6720</v>
      </c>
      <c r="E1347" s="92">
        <v>50</v>
      </c>
      <c r="F1347" s="92">
        <f>_xlfn.XLOOKUP(B1347, DATA_Moresby_2024_ALL!B:B, DATA_Moresby_2024_ALL!G:G, "")</f>
        <v>0</v>
      </c>
      <c r="G1347" s="93"/>
      <c r="H1347" s="75">
        <v>2</v>
      </c>
      <c r="I1347" s="92" t="str">
        <f t="shared" si="73"/>
        <v>X</v>
      </c>
      <c r="J1347" s="79" t="str">
        <f>IF(G1347="","X",_xlfn.XLOOKUP(B1347,DATA_Moresby_2024_ALL!B:B,DATA_Moresby_2024_ALL!K:K,""))</f>
        <v>X</v>
      </c>
      <c r="K1347" s="28"/>
      <c r="L1347" s="29"/>
      <c r="M1347" s="28"/>
      <c r="N1347" s="19" t="str">
        <f t="shared" si="72"/>
        <v/>
      </c>
      <c r="O1347" s="19" t="str">
        <f t="shared" si="72"/>
        <v/>
      </c>
      <c r="P1347" s="19" t="str">
        <f t="shared" si="72"/>
        <v/>
      </c>
      <c r="Q1347" s="19" t="str">
        <f t="shared" si="72"/>
        <v/>
      </c>
      <c r="X1347" s="92" t="s">
        <v>78</v>
      </c>
      <c r="Y1347" s="92" t="s">
        <v>78</v>
      </c>
      <c r="Z1347" s="92" t="s">
        <v>78</v>
      </c>
    </row>
    <row r="1348" spans="1:26" ht="16" x14ac:dyDescent="0.4">
      <c r="A1348" s="92">
        <v>6724</v>
      </c>
      <c r="B1348" s="75">
        <v>6725</v>
      </c>
      <c r="E1348" s="92">
        <v>50</v>
      </c>
      <c r="F1348" s="92">
        <f>_xlfn.XLOOKUP(B1348, DATA_Moresby_2024_ALL!B:B, DATA_Moresby_2024_ALL!G:G, "")</f>
        <v>0</v>
      </c>
      <c r="G1348" s="93"/>
      <c r="H1348" s="75">
        <v>2</v>
      </c>
      <c r="I1348" s="92" t="str">
        <f t="shared" si="73"/>
        <v>X</v>
      </c>
      <c r="J1348" s="79" t="str">
        <f>IF(G1348="","X",_xlfn.XLOOKUP(B1348,DATA_Moresby_2024_ALL!B:B,DATA_Moresby_2024_ALL!K:K,""))</f>
        <v>X</v>
      </c>
      <c r="K1348" s="28"/>
      <c r="L1348" s="29"/>
      <c r="M1348" s="28"/>
      <c r="N1348" s="19" t="str">
        <f t="shared" si="72"/>
        <v/>
      </c>
      <c r="O1348" s="19" t="str">
        <f t="shared" si="72"/>
        <v/>
      </c>
      <c r="P1348" s="19" t="str">
        <f t="shared" si="72"/>
        <v/>
      </c>
      <c r="Q1348" s="19" t="str">
        <f t="shared" si="72"/>
        <v/>
      </c>
      <c r="X1348" s="92" t="s">
        <v>78</v>
      </c>
      <c r="Y1348" s="92" t="s">
        <v>78</v>
      </c>
      <c r="Z1348" s="92" t="s">
        <v>78</v>
      </c>
    </row>
    <row r="1349" spans="1:26" ht="16" x14ac:dyDescent="0.4">
      <c r="A1349" s="92">
        <v>6729</v>
      </c>
      <c r="B1349" s="75">
        <v>6730</v>
      </c>
      <c r="E1349" s="92">
        <v>50</v>
      </c>
      <c r="F1349" s="92">
        <f>_xlfn.XLOOKUP(B1349, DATA_Moresby_2024_ALL!B:B, DATA_Moresby_2024_ALL!G:G, "")</f>
        <v>0</v>
      </c>
      <c r="G1349" s="93"/>
      <c r="H1349" s="75">
        <v>2</v>
      </c>
      <c r="I1349" s="92" t="str">
        <f t="shared" si="73"/>
        <v>X</v>
      </c>
      <c r="J1349" s="79" t="str">
        <f>IF(G1349="","X",_xlfn.XLOOKUP(B1349,DATA_Moresby_2024_ALL!B:B,DATA_Moresby_2024_ALL!K:K,""))</f>
        <v>X</v>
      </c>
      <c r="K1349" s="28"/>
      <c r="L1349" s="29"/>
      <c r="M1349" s="28"/>
      <c r="N1349" s="19" t="str">
        <f t="shared" si="72"/>
        <v/>
      </c>
      <c r="O1349" s="19" t="str">
        <f t="shared" si="72"/>
        <v/>
      </c>
      <c r="P1349" s="19" t="str">
        <f t="shared" si="72"/>
        <v/>
      </c>
      <c r="Q1349" s="19" t="str">
        <f t="shared" si="72"/>
        <v/>
      </c>
      <c r="X1349" s="92" t="s">
        <v>78</v>
      </c>
      <c r="Y1349" s="92" t="s">
        <v>78</v>
      </c>
      <c r="Z1349" s="92" t="s">
        <v>78</v>
      </c>
    </row>
    <row r="1350" spans="1:26" ht="16" x14ac:dyDescent="0.4">
      <c r="A1350" s="92">
        <v>6734</v>
      </c>
      <c r="B1350" s="75">
        <v>6735</v>
      </c>
      <c r="E1350" s="92">
        <v>50</v>
      </c>
      <c r="F1350" s="92">
        <f>_xlfn.XLOOKUP(B1350, DATA_Moresby_2024_ALL!B:B, DATA_Moresby_2024_ALL!G:G, "")</f>
        <v>0</v>
      </c>
      <c r="G1350" s="93"/>
      <c r="H1350" s="75">
        <v>2</v>
      </c>
      <c r="I1350" s="92" t="str">
        <f t="shared" si="73"/>
        <v>X</v>
      </c>
      <c r="J1350" s="79" t="str">
        <f>IF(G1350="","X",_xlfn.XLOOKUP(B1350,DATA_Moresby_2024_ALL!B:B,DATA_Moresby_2024_ALL!K:K,""))</f>
        <v>X</v>
      </c>
      <c r="K1350" s="28"/>
      <c r="L1350" s="29"/>
      <c r="M1350" s="28"/>
      <c r="N1350" s="19" t="str">
        <f t="shared" si="72"/>
        <v/>
      </c>
      <c r="O1350" s="19" t="str">
        <f t="shared" si="72"/>
        <v/>
      </c>
      <c r="P1350" s="19" t="str">
        <f t="shared" si="72"/>
        <v/>
      </c>
      <c r="Q1350" s="19" t="str">
        <f t="shared" si="72"/>
        <v/>
      </c>
      <c r="X1350" s="92" t="s">
        <v>78</v>
      </c>
      <c r="Y1350" s="92" t="s">
        <v>78</v>
      </c>
      <c r="Z1350" s="92" t="s">
        <v>78</v>
      </c>
    </row>
    <row r="1351" spans="1:26" ht="16" x14ac:dyDescent="0.4">
      <c r="A1351" s="92">
        <v>6739</v>
      </c>
      <c r="B1351" s="75">
        <v>6740</v>
      </c>
      <c r="E1351" s="92">
        <v>50</v>
      </c>
      <c r="F1351" s="92">
        <f>_xlfn.XLOOKUP(B1351, DATA_Moresby_2024_ALL!B:B, DATA_Moresby_2024_ALL!G:G, "")</f>
        <v>0</v>
      </c>
      <c r="G1351" s="93"/>
      <c r="H1351" s="75">
        <v>2</v>
      </c>
      <c r="I1351" s="92" t="str">
        <f t="shared" si="73"/>
        <v>X</v>
      </c>
      <c r="J1351" s="79" t="str">
        <f>IF(G1351="","X",_xlfn.XLOOKUP(B1351,DATA_Moresby_2024_ALL!B:B,DATA_Moresby_2024_ALL!K:K,""))</f>
        <v>X</v>
      </c>
      <c r="K1351" s="28"/>
      <c r="L1351" s="29"/>
      <c r="M1351" s="28"/>
      <c r="N1351" s="19" t="str">
        <f t="shared" si="72"/>
        <v/>
      </c>
      <c r="O1351" s="19" t="str">
        <f t="shared" si="72"/>
        <v/>
      </c>
      <c r="P1351" s="19" t="str">
        <f t="shared" si="72"/>
        <v/>
      </c>
      <c r="Q1351" s="19" t="str">
        <f t="shared" si="72"/>
        <v/>
      </c>
      <c r="X1351" s="92" t="s">
        <v>78</v>
      </c>
      <c r="Y1351" s="92" t="s">
        <v>78</v>
      </c>
      <c r="Z1351" s="92" t="s">
        <v>78</v>
      </c>
    </row>
    <row r="1352" spans="1:26" ht="16" x14ac:dyDescent="0.4">
      <c r="A1352" s="92">
        <v>6744</v>
      </c>
      <c r="B1352" s="75">
        <v>6745</v>
      </c>
      <c r="E1352" s="92">
        <v>50</v>
      </c>
      <c r="F1352" s="92">
        <f>_xlfn.XLOOKUP(B1352, DATA_Moresby_2024_ALL!B:B, DATA_Moresby_2024_ALL!G:G, "")</f>
        <v>0</v>
      </c>
      <c r="G1352" s="93"/>
      <c r="H1352" s="75">
        <v>2</v>
      </c>
      <c r="I1352" s="92" t="str">
        <f t="shared" si="73"/>
        <v>X</v>
      </c>
      <c r="J1352" s="79" t="str">
        <f>IF(G1352="","X",_xlfn.XLOOKUP(B1352,DATA_Moresby_2024_ALL!B:B,DATA_Moresby_2024_ALL!K:K,""))</f>
        <v>X</v>
      </c>
      <c r="K1352" s="28"/>
      <c r="L1352" s="29"/>
      <c r="M1352" s="28"/>
      <c r="N1352" s="19" t="str">
        <f t="shared" si="72"/>
        <v/>
      </c>
      <c r="O1352" s="19" t="str">
        <f t="shared" si="72"/>
        <v/>
      </c>
      <c r="P1352" s="19" t="str">
        <f t="shared" si="72"/>
        <v/>
      </c>
      <c r="Q1352" s="19" t="str">
        <f t="shared" si="72"/>
        <v/>
      </c>
      <c r="X1352" s="92" t="s">
        <v>78</v>
      </c>
      <c r="Y1352" s="92" t="s">
        <v>78</v>
      </c>
      <c r="Z1352" s="92" t="s">
        <v>78</v>
      </c>
    </row>
    <row r="1353" spans="1:26" ht="16" x14ac:dyDescent="0.4">
      <c r="A1353" s="92">
        <v>6749</v>
      </c>
      <c r="B1353" s="75">
        <v>6750</v>
      </c>
      <c r="E1353" s="92">
        <v>50</v>
      </c>
      <c r="F1353" s="92">
        <f>_xlfn.XLOOKUP(B1353, DATA_Moresby_2024_ALL!B:B, DATA_Moresby_2024_ALL!G:G, "")</f>
        <v>0</v>
      </c>
      <c r="G1353" s="93"/>
      <c r="H1353" s="75">
        <v>2</v>
      </c>
      <c r="I1353" s="92" t="str">
        <f t="shared" si="73"/>
        <v>X</v>
      </c>
      <c r="J1353" s="79" t="str">
        <f>IF(G1353="","X",_xlfn.XLOOKUP(B1353,DATA_Moresby_2024_ALL!B:B,DATA_Moresby_2024_ALL!K:K,""))</f>
        <v>X</v>
      </c>
      <c r="K1353" s="28"/>
      <c r="L1353" s="29"/>
      <c r="M1353" s="28"/>
      <c r="N1353" s="19" t="str">
        <f t="shared" si="72"/>
        <v/>
      </c>
      <c r="O1353" s="19" t="str">
        <f t="shared" si="72"/>
        <v/>
      </c>
      <c r="P1353" s="19" t="str">
        <f t="shared" si="72"/>
        <v/>
      </c>
      <c r="Q1353" s="19" t="str">
        <f t="shared" si="72"/>
        <v/>
      </c>
      <c r="X1353" s="92" t="s">
        <v>78</v>
      </c>
      <c r="Y1353" s="92" t="s">
        <v>78</v>
      </c>
      <c r="Z1353" s="92" t="s">
        <v>78</v>
      </c>
    </row>
    <row r="1354" spans="1:26" ht="16" x14ac:dyDescent="0.4">
      <c r="A1354" s="92">
        <v>6754</v>
      </c>
      <c r="B1354" s="75">
        <v>6755</v>
      </c>
      <c r="E1354" s="92">
        <v>50</v>
      </c>
      <c r="F1354" s="92">
        <f>_xlfn.XLOOKUP(B1354, DATA_Moresby_2024_ALL!B:B, DATA_Moresby_2024_ALL!G:G, "")</f>
        <v>0</v>
      </c>
      <c r="G1354" s="93"/>
      <c r="H1354" s="75">
        <v>2</v>
      </c>
      <c r="I1354" s="92" t="str">
        <f t="shared" si="73"/>
        <v>X</v>
      </c>
      <c r="J1354" s="79" t="str">
        <f>IF(G1354="","X",_xlfn.XLOOKUP(B1354,DATA_Moresby_2024_ALL!B:B,DATA_Moresby_2024_ALL!K:K,""))</f>
        <v>X</v>
      </c>
      <c r="K1354" s="28"/>
      <c r="L1354" s="29"/>
      <c r="M1354" s="28"/>
      <c r="N1354" s="19" t="str">
        <f t="shared" si="72"/>
        <v/>
      </c>
      <c r="O1354" s="19" t="str">
        <f t="shared" si="72"/>
        <v/>
      </c>
      <c r="P1354" s="19" t="str">
        <f t="shared" si="72"/>
        <v/>
      </c>
      <c r="Q1354" s="19" t="str">
        <f t="shared" si="72"/>
        <v/>
      </c>
      <c r="X1354" s="92" t="s">
        <v>78</v>
      </c>
      <c r="Y1354" s="92" t="s">
        <v>78</v>
      </c>
      <c r="Z1354" s="92" t="s">
        <v>78</v>
      </c>
    </row>
    <row r="1355" spans="1:26" ht="16" x14ac:dyDescent="0.4">
      <c r="A1355" s="92">
        <v>6759</v>
      </c>
      <c r="B1355" s="75">
        <v>6760</v>
      </c>
      <c r="E1355" s="92">
        <v>50</v>
      </c>
      <c r="F1355" s="92">
        <f>_xlfn.XLOOKUP(B1355, DATA_Moresby_2024_ALL!B:B, DATA_Moresby_2024_ALL!G:G, "")</f>
        <v>0</v>
      </c>
      <c r="G1355" s="93"/>
      <c r="H1355" s="75">
        <v>1</v>
      </c>
      <c r="I1355" s="92" t="str">
        <f t="shared" si="73"/>
        <v>X</v>
      </c>
      <c r="J1355" s="79" t="str">
        <f>IF(G1355="","X",_xlfn.XLOOKUP(B1355,DATA_Moresby_2024_ALL!B:B,DATA_Moresby_2024_ALL!K:K,""))</f>
        <v>X</v>
      </c>
      <c r="K1355" s="28"/>
      <c r="L1355" s="29"/>
      <c r="M1355" s="28"/>
      <c r="N1355" s="19" t="str">
        <f t="shared" si="72"/>
        <v/>
      </c>
      <c r="O1355" s="19" t="str">
        <f t="shared" si="72"/>
        <v/>
      </c>
      <c r="P1355" s="19" t="str">
        <f t="shared" si="72"/>
        <v/>
      </c>
      <c r="Q1355" s="19" t="str">
        <f t="shared" si="72"/>
        <v/>
      </c>
      <c r="X1355" s="92" t="s">
        <v>78</v>
      </c>
      <c r="Y1355" s="92" t="s">
        <v>78</v>
      </c>
      <c r="Z1355" s="92" t="s">
        <v>78</v>
      </c>
    </row>
    <row r="1356" spans="1:26" ht="16" x14ac:dyDescent="0.4">
      <c r="A1356" s="92">
        <v>6764</v>
      </c>
      <c r="B1356" s="75">
        <v>6765</v>
      </c>
      <c r="E1356" s="92">
        <v>50</v>
      </c>
      <c r="F1356" s="92">
        <f>_xlfn.XLOOKUP(B1356, DATA_Moresby_2024_ALL!B:B, DATA_Moresby_2024_ALL!G:G, "")</f>
        <v>0</v>
      </c>
      <c r="G1356" s="93"/>
      <c r="H1356" s="75">
        <v>1</v>
      </c>
      <c r="I1356" s="92" t="str">
        <f t="shared" si="73"/>
        <v>X</v>
      </c>
      <c r="J1356" s="79" t="str">
        <f>IF(G1356="","X",_xlfn.XLOOKUP(B1356,DATA_Moresby_2024_ALL!B:B,DATA_Moresby_2024_ALL!K:K,""))</f>
        <v>X</v>
      </c>
      <c r="K1356" s="28"/>
      <c r="L1356" s="29"/>
      <c r="M1356" s="28"/>
      <c r="N1356" s="19" t="str">
        <f t="shared" si="72"/>
        <v/>
      </c>
      <c r="O1356" s="19" t="str">
        <f t="shared" si="72"/>
        <v/>
      </c>
      <c r="P1356" s="19" t="str">
        <f t="shared" si="72"/>
        <v/>
      </c>
      <c r="Q1356" s="19" t="str">
        <f t="shared" si="72"/>
        <v/>
      </c>
      <c r="X1356" s="92" t="s">
        <v>78</v>
      </c>
      <c r="Y1356" s="92" t="s">
        <v>78</v>
      </c>
      <c r="Z1356" s="92" t="s">
        <v>78</v>
      </c>
    </row>
    <row r="1357" spans="1:26" ht="16" x14ac:dyDescent="0.4">
      <c r="A1357" s="92">
        <v>6769</v>
      </c>
      <c r="B1357" s="75">
        <v>6770</v>
      </c>
      <c r="E1357" s="92">
        <v>50</v>
      </c>
      <c r="F1357" s="92">
        <f>_xlfn.XLOOKUP(B1357, DATA_Moresby_2024_ALL!B:B, DATA_Moresby_2024_ALL!G:G, "")</f>
        <v>0</v>
      </c>
      <c r="G1357" s="93"/>
      <c r="H1357" s="75">
        <v>1</v>
      </c>
      <c r="I1357" s="92" t="str">
        <f t="shared" si="73"/>
        <v>X</v>
      </c>
      <c r="J1357" s="79" t="str">
        <f>IF(G1357="","X",_xlfn.XLOOKUP(B1357,DATA_Moresby_2024_ALL!B:B,DATA_Moresby_2024_ALL!K:K,""))</f>
        <v>X</v>
      </c>
      <c r="K1357" s="28"/>
      <c r="L1357" s="29"/>
      <c r="M1357" s="28"/>
      <c r="N1357" s="19" t="str">
        <f t="shared" si="72"/>
        <v/>
      </c>
      <c r="O1357" s="19" t="str">
        <f t="shared" si="72"/>
        <v/>
      </c>
      <c r="P1357" s="19" t="str">
        <f t="shared" si="72"/>
        <v/>
      </c>
      <c r="Q1357" s="19" t="str">
        <f t="shared" si="72"/>
        <v/>
      </c>
      <c r="X1357" s="92" t="s">
        <v>78</v>
      </c>
      <c r="Y1357" s="92" t="s">
        <v>78</v>
      </c>
      <c r="Z1357" s="92" t="s">
        <v>78</v>
      </c>
    </row>
    <row r="1358" spans="1:26" ht="16" x14ac:dyDescent="0.4">
      <c r="A1358" s="92">
        <v>6774</v>
      </c>
      <c r="B1358" s="75">
        <v>6775</v>
      </c>
      <c r="E1358" s="92">
        <v>50</v>
      </c>
      <c r="F1358" s="92">
        <f>_xlfn.XLOOKUP(B1358, DATA_Moresby_2024_ALL!B:B, DATA_Moresby_2024_ALL!G:G, "")</f>
        <v>0</v>
      </c>
      <c r="G1358" s="93"/>
      <c r="H1358" s="75">
        <v>1</v>
      </c>
      <c r="I1358" s="92" t="str">
        <f t="shared" si="73"/>
        <v>X</v>
      </c>
      <c r="J1358" s="79" t="str">
        <f>IF(G1358="","X",_xlfn.XLOOKUP(B1358,DATA_Moresby_2024_ALL!B:B,DATA_Moresby_2024_ALL!K:K,""))</f>
        <v>X</v>
      </c>
      <c r="K1358" s="28"/>
      <c r="L1358" s="29"/>
      <c r="M1358" s="28"/>
      <c r="N1358" s="19" t="str">
        <f t="shared" si="72"/>
        <v/>
      </c>
      <c r="O1358" s="19" t="str">
        <f t="shared" si="72"/>
        <v/>
      </c>
      <c r="P1358" s="19" t="str">
        <f t="shared" si="72"/>
        <v/>
      </c>
      <c r="Q1358" s="19" t="str">
        <f t="shared" si="72"/>
        <v/>
      </c>
      <c r="X1358" s="92" t="s">
        <v>78</v>
      </c>
      <c r="Y1358" s="92" t="s">
        <v>78</v>
      </c>
      <c r="Z1358" s="92" t="s">
        <v>78</v>
      </c>
    </row>
    <row r="1359" spans="1:26" ht="16" x14ac:dyDescent="0.4">
      <c r="A1359" s="92">
        <v>6779</v>
      </c>
      <c r="B1359" s="75">
        <v>6780</v>
      </c>
      <c r="E1359" s="92">
        <v>50</v>
      </c>
      <c r="F1359" s="92">
        <f>_xlfn.XLOOKUP(B1359, DATA_Moresby_2024_ALL!B:B, DATA_Moresby_2024_ALL!G:G, "")</f>
        <v>0</v>
      </c>
      <c r="G1359" s="93"/>
      <c r="H1359" s="75">
        <v>1</v>
      </c>
      <c r="I1359" s="92" t="str">
        <f t="shared" si="73"/>
        <v>X</v>
      </c>
      <c r="J1359" s="79" t="str">
        <f>IF(G1359="","X",_xlfn.XLOOKUP(B1359,DATA_Moresby_2024_ALL!B:B,DATA_Moresby_2024_ALL!K:K,""))</f>
        <v>X</v>
      </c>
      <c r="K1359" s="28"/>
      <c r="L1359" s="29"/>
      <c r="M1359" s="28"/>
      <c r="N1359" s="19" t="str">
        <f t="shared" si="72"/>
        <v/>
      </c>
      <c r="O1359" s="19" t="str">
        <f t="shared" si="72"/>
        <v/>
      </c>
      <c r="P1359" s="19" t="str">
        <f t="shared" si="72"/>
        <v/>
      </c>
      <c r="Q1359" s="19" t="str">
        <f t="shared" si="72"/>
        <v/>
      </c>
      <c r="X1359" s="92" t="s">
        <v>78</v>
      </c>
      <c r="Y1359" s="92" t="s">
        <v>78</v>
      </c>
      <c r="Z1359" s="92" t="s">
        <v>78</v>
      </c>
    </row>
    <row r="1360" spans="1:26" ht="16" x14ac:dyDescent="0.4">
      <c r="A1360" s="92">
        <v>6784</v>
      </c>
      <c r="B1360" s="75">
        <v>6785</v>
      </c>
      <c r="E1360" s="92">
        <v>50</v>
      </c>
      <c r="F1360" s="92">
        <f>_xlfn.XLOOKUP(B1360, DATA_Moresby_2024_ALL!B:B, DATA_Moresby_2024_ALL!G:G, "")</f>
        <v>0</v>
      </c>
      <c r="G1360" s="93"/>
      <c r="H1360" s="75">
        <v>1</v>
      </c>
      <c r="I1360" s="92" t="str">
        <f t="shared" si="73"/>
        <v>X</v>
      </c>
      <c r="J1360" s="79" t="str">
        <f>IF(G1360="","X",_xlfn.XLOOKUP(B1360,DATA_Moresby_2024_ALL!B:B,DATA_Moresby_2024_ALL!K:K,""))</f>
        <v>X</v>
      </c>
      <c r="K1360" s="28"/>
      <c r="L1360" s="29"/>
      <c r="M1360" s="28"/>
      <c r="N1360" s="19" t="str">
        <f t="shared" si="72"/>
        <v/>
      </c>
      <c r="O1360" s="19" t="str">
        <f t="shared" si="72"/>
        <v/>
      </c>
      <c r="P1360" s="19" t="str">
        <f t="shared" si="72"/>
        <v/>
      </c>
      <c r="Q1360" s="19" t="str">
        <f t="shared" si="72"/>
        <v/>
      </c>
      <c r="X1360" s="92" t="s">
        <v>78</v>
      </c>
      <c r="Y1360" s="92" t="s">
        <v>78</v>
      </c>
      <c r="Z1360" s="92" t="s">
        <v>78</v>
      </c>
    </row>
    <row r="1361" spans="1:26" ht="16" x14ac:dyDescent="0.4">
      <c r="A1361" s="92">
        <v>6789</v>
      </c>
      <c r="B1361" s="75">
        <v>6790</v>
      </c>
      <c r="E1361" s="92">
        <v>50</v>
      </c>
      <c r="F1361" s="92">
        <f>_xlfn.XLOOKUP(B1361, DATA_Moresby_2024_ALL!B:B, DATA_Moresby_2024_ALL!G:G, "")</f>
        <v>0</v>
      </c>
      <c r="G1361" s="93"/>
      <c r="H1361" s="75">
        <v>1</v>
      </c>
      <c r="I1361" s="92" t="str">
        <f t="shared" si="73"/>
        <v>X</v>
      </c>
      <c r="J1361" s="79" t="str">
        <f>IF(G1361="","X",_xlfn.XLOOKUP(B1361,DATA_Moresby_2024_ALL!B:B,DATA_Moresby_2024_ALL!K:K,""))</f>
        <v>X</v>
      </c>
      <c r="K1361" s="28"/>
      <c r="L1361" s="29"/>
      <c r="M1361" s="28"/>
      <c r="N1361" s="19" t="str">
        <f t="shared" si="72"/>
        <v/>
      </c>
      <c r="O1361" s="19" t="str">
        <f t="shared" si="72"/>
        <v/>
      </c>
      <c r="P1361" s="19" t="str">
        <f t="shared" si="72"/>
        <v/>
      </c>
      <c r="Q1361" s="19" t="str">
        <f t="shared" si="72"/>
        <v/>
      </c>
      <c r="X1361" s="92" t="s">
        <v>78</v>
      </c>
      <c r="Y1361" s="92" t="s">
        <v>78</v>
      </c>
      <c r="Z1361" s="92" t="s">
        <v>78</v>
      </c>
    </row>
    <row r="1362" spans="1:26" ht="16" x14ac:dyDescent="0.4">
      <c r="A1362" s="92">
        <v>6794</v>
      </c>
      <c r="B1362" s="75">
        <v>6795</v>
      </c>
      <c r="E1362" s="92">
        <v>50</v>
      </c>
      <c r="F1362" s="92">
        <f>_xlfn.XLOOKUP(B1362, DATA_Moresby_2024_ALL!B:B, DATA_Moresby_2024_ALL!G:G, "")</f>
        <v>0</v>
      </c>
      <c r="G1362" s="93"/>
      <c r="H1362" s="75">
        <v>1</v>
      </c>
      <c r="I1362" s="92" t="str">
        <f t="shared" si="73"/>
        <v>X</v>
      </c>
      <c r="J1362" s="79" t="str">
        <f>IF(G1362="","X",_xlfn.XLOOKUP(B1362,DATA_Moresby_2024_ALL!B:B,DATA_Moresby_2024_ALL!K:K,""))</f>
        <v>X</v>
      </c>
      <c r="K1362" s="28"/>
      <c r="L1362" s="29"/>
      <c r="M1362" s="28"/>
      <c r="N1362" s="19" t="str">
        <f t="shared" si="72"/>
        <v/>
      </c>
      <c r="O1362" s="19" t="str">
        <f t="shared" si="72"/>
        <v/>
      </c>
      <c r="P1362" s="19" t="str">
        <f t="shared" si="72"/>
        <v/>
      </c>
      <c r="Q1362" s="19" t="str">
        <f t="shared" si="72"/>
        <v/>
      </c>
      <c r="X1362" s="92" t="s">
        <v>78</v>
      </c>
      <c r="Y1362" s="92" t="s">
        <v>78</v>
      </c>
      <c r="Z1362" s="92" t="s">
        <v>78</v>
      </c>
    </row>
    <row r="1363" spans="1:26" ht="16" x14ac:dyDescent="0.4">
      <c r="A1363" s="92">
        <v>6799</v>
      </c>
      <c r="B1363" s="75">
        <v>6800</v>
      </c>
      <c r="E1363" s="92">
        <v>50</v>
      </c>
      <c r="F1363" s="92">
        <f>_xlfn.XLOOKUP(B1363, DATA_Moresby_2024_ALL!B:B, DATA_Moresby_2024_ALL!G:G, "")</f>
        <v>0</v>
      </c>
      <c r="G1363" s="93"/>
      <c r="H1363" s="75">
        <v>1</v>
      </c>
      <c r="I1363" s="92" t="str">
        <f t="shared" si="73"/>
        <v>X</v>
      </c>
      <c r="J1363" s="79" t="str">
        <f>IF(G1363="","X",_xlfn.XLOOKUP(B1363,DATA_Moresby_2024_ALL!B:B,DATA_Moresby_2024_ALL!K:K,""))</f>
        <v>X</v>
      </c>
      <c r="K1363" s="28"/>
      <c r="L1363" s="29"/>
      <c r="M1363" s="28"/>
      <c r="N1363" s="19" t="str">
        <f t="shared" si="72"/>
        <v/>
      </c>
      <c r="O1363" s="19" t="str">
        <f t="shared" si="72"/>
        <v/>
      </c>
      <c r="P1363" s="19" t="str">
        <f t="shared" si="72"/>
        <v/>
      </c>
      <c r="Q1363" s="19" t="str">
        <f t="shared" si="72"/>
        <v/>
      </c>
      <c r="X1363" s="92" t="s">
        <v>78</v>
      </c>
      <c r="Y1363" s="92" t="s">
        <v>78</v>
      </c>
      <c r="Z1363" s="92" t="s">
        <v>78</v>
      </c>
    </row>
    <row r="1364" spans="1:26" ht="16" x14ac:dyDescent="0.4">
      <c r="A1364" s="92">
        <v>6804</v>
      </c>
      <c r="B1364" s="75">
        <v>6805</v>
      </c>
      <c r="E1364" s="92">
        <v>50</v>
      </c>
      <c r="F1364" s="92">
        <f>_xlfn.XLOOKUP(B1364, DATA_Moresby_2024_ALL!B:B, DATA_Moresby_2024_ALL!G:G, "")</f>
        <v>0</v>
      </c>
      <c r="G1364" s="93"/>
      <c r="H1364" s="75">
        <v>1</v>
      </c>
      <c r="I1364" s="92" t="str">
        <f t="shared" si="73"/>
        <v>X</v>
      </c>
      <c r="J1364" s="79" t="str">
        <f>IF(G1364="","X",_xlfn.XLOOKUP(B1364,DATA_Moresby_2024_ALL!B:B,DATA_Moresby_2024_ALL!K:K,""))</f>
        <v>X</v>
      </c>
      <c r="K1364" s="28"/>
      <c r="L1364" s="29"/>
      <c r="M1364" s="28"/>
      <c r="N1364" s="19" t="str">
        <f t="shared" si="72"/>
        <v/>
      </c>
      <c r="O1364" s="19" t="str">
        <f t="shared" si="72"/>
        <v/>
      </c>
      <c r="P1364" s="19" t="str">
        <f t="shared" si="72"/>
        <v/>
      </c>
      <c r="Q1364" s="19" t="str">
        <f t="shared" si="72"/>
        <v/>
      </c>
      <c r="X1364" s="92" t="s">
        <v>78</v>
      </c>
      <c r="Y1364" s="92" t="s">
        <v>78</v>
      </c>
      <c r="Z1364" s="92" t="s">
        <v>78</v>
      </c>
    </row>
    <row r="1365" spans="1:26" ht="16" x14ac:dyDescent="0.4">
      <c r="A1365" s="92">
        <v>6809</v>
      </c>
      <c r="B1365" s="75">
        <v>6810</v>
      </c>
      <c r="E1365" s="92">
        <v>50</v>
      </c>
      <c r="F1365" s="92">
        <f>_xlfn.XLOOKUP(B1365, DATA_Moresby_2024_ALL!B:B, DATA_Moresby_2024_ALL!G:G, "")</f>
        <v>0</v>
      </c>
      <c r="G1365" s="93"/>
      <c r="H1365" s="75">
        <v>1</v>
      </c>
      <c r="I1365" s="92" t="str">
        <f t="shared" si="73"/>
        <v>X</v>
      </c>
      <c r="J1365" s="79" t="str">
        <f>IF(G1365="","X",_xlfn.XLOOKUP(B1365,DATA_Moresby_2024_ALL!B:B,DATA_Moresby_2024_ALL!K:K,""))</f>
        <v>X</v>
      </c>
      <c r="K1365" s="28"/>
      <c r="L1365" s="29"/>
      <c r="M1365" s="28"/>
      <c r="N1365" s="19" t="str">
        <f t="shared" si="72"/>
        <v/>
      </c>
      <c r="O1365" s="19" t="str">
        <f t="shared" si="72"/>
        <v/>
      </c>
      <c r="P1365" s="19" t="str">
        <f t="shared" si="72"/>
        <v/>
      </c>
      <c r="Q1365" s="19" t="str">
        <f t="shared" si="72"/>
        <v/>
      </c>
      <c r="X1365" s="92" t="s">
        <v>78</v>
      </c>
      <c r="Y1365" s="92" t="s">
        <v>78</v>
      </c>
      <c r="Z1365" s="92" t="s">
        <v>78</v>
      </c>
    </row>
    <row r="1366" spans="1:26" ht="16" x14ac:dyDescent="0.4">
      <c r="A1366" s="92">
        <v>6814</v>
      </c>
      <c r="B1366" s="75">
        <v>6815</v>
      </c>
      <c r="E1366" s="92">
        <v>50</v>
      </c>
      <c r="F1366" s="92">
        <f>_xlfn.XLOOKUP(B1366, DATA_Moresby_2024_ALL!B:B, DATA_Moresby_2024_ALL!G:G, "")</f>
        <v>0</v>
      </c>
      <c r="G1366" s="93"/>
      <c r="H1366" s="75">
        <v>1</v>
      </c>
      <c r="I1366" s="92" t="str">
        <f t="shared" si="73"/>
        <v>X</v>
      </c>
      <c r="J1366" s="79" t="str">
        <f>IF(G1366="","X",_xlfn.XLOOKUP(B1366,DATA_Moresby_2024_ALL!B:B,DATA_Moresby_2024_ALL!K:K,""))</f>
        <v>X</v>
      </c>
      <c r="K1366" s="28"/>
      <c r="L1366" s="29"/>
      <c r="M1366" s="28"/>
      <c r="N1366" s="19" t="str">
        <f t="shared" si="72"/>
        <v/>
      </c>
      <c r="O1366" s="19" t="str">
        <f t="shared" si="72"/>
        <v/>
      </c>
      <c r="P1366" s="19" t="str">
        <f t="shared" si="72"/>
        <v/>
      </c>
      <c r="Q1366" s="19" t="str">
        <f t="shared" si="72"/>
        <v/>
      </c>
      <c r="X1366" s="92" t="s">
        <v>78</v>
      </c>
      <c r="Y1366" s="92" t="s">
        <v>78</v>
      </c>
      <c r="Z1366" s="92" t="s">
        <v>78</v>
      </c>
    </row>
    <row r="1367" spans="1:26" ht="16" x14ac:dyDescent="0.4">
      <c r="A1367" s="92">
        <v>6819</v>
      </c>
      <c r="B1367" s="75">
        <v>6820</v>
      </c>
      <c r="E1367" s="92">
        <v>50</v>
      </c>
      <c r="F1367" s="92">
        <f>_xlfn.XLOOKUP(B1367, DATA_Moresby_2024_ALL!B:B, DATA_Moresby_2024_ALL!G:G, "")</f>
        <v>0</v>
      </c>
      <c r="G1367" s="93"/>
      <c r="H1367" s="75">
        <v>1</v>
      </c>
      <c r="I1367" s="92" t="str">
        <f t="shared" si="73"/>
        <v>X</v>
      </c>
      <c r="J1367" s="79" t="str">
        <f>IF(G1367="","X",_xlfn.XLOOKUP(B1367,DATA_Moresby_2024_ALL!B:B,DATA_Moresby_2024_ALL!K:K,""))</f>
        <v>X</v>
      </c>
      <c r="K1367" s="28"/>
      <c r="L1367" s="29"/>
      <c r="M1367" s="28"/>
      <c r="N1367" s="19" t="str">
        <f t="shared" si="72"/>
        <v/>
      </c>
      <c r="O1367" s="19" t="str">
        <f t="shared" si="72"/>
        <v/>
      </c>
      <c r="P1367" s="19" t="str">
        <f t="shared" si="72"/>
        <v/>
      </c>
      <c r="Q1367" s="19" t="str">
        <f t="shared" si="72"/>
        <v/>
      </c>
      <c r="X1367" s="92" t="s">
        <v>78</v>
      </c>
      <c r="Y1367" s="92" t="s">
        <v>78</v>
      </c>
      <c r="Z1367" s="92" t="s">
        <v>78</v>
      </c>
    </row>
    <row r="1368" spans="1:26" ht="16" x14ac:dyDescent="0.4">
      <c r="A1368" s="92">
        <v>6824</v>
      </c>
      <c r="B1368" s="75">
        <v>6825</v>
      </c>
      <c r="E1368" s="92">
        <v>50</v>
      </c>
      <c r="F1368" s="92">
        <f>_xlfn.XLOOKUP(B1368, DATA_Moresby_2024_ALL!B:B, DATA_Moresby_2024_ALL!G:G, "")</f>
        <v>0</v>
      </c>
      <c r="G1368" s="93"/>
      <c r="H1368" s="75">
        <v>1</v>
      </c>
      <c r="I1368" s="92" t="str">
        <f t="shared" si="73"/>
        <v>X</v>
      </c>
      <c r="J1368" s="79" t="str">
        <f>IF(G1368="","X",_xlfn.XLOOKUP(B1368,DATA_Moresby_2024_ALL!B:B,DATA_Moresby_2024_ALL!K:K,""))</f>
        <v>X</v>
      </c>
      <c r="K1368" s="28"/>
      <c r="L1368" s="29"/>
      <c r="M1368" s="28"/>
      <c r="N1368" s="19" t="str">
        <f t="shared" si="72"/>
        <v/>
      </c>
      <c r="O1368" s="19" t="str">
        <f t="shared" si="72"/>
        <v/>
      </c>
      <c r="P1368" s="19" t="str">
        <f t="shared" si="72"/>
        <v/>
      </c>
      <c r="Q1368" s="19" t="str">
        <f t="shared" si="72"/>
        <v/>
      </c>
      <c r="X1368" s="92" t="s">
        <v>78</v>
      </c>
      <c r="Y1368" s="92" t="s">
        <v>78</v>
      </c>
      <c r="Z1368" s="92" t="s">
        <v>78</v>
      </c>
    </row>
    <row r="1369" spans="1:26" ht="16" x14ac:dyDescent="0.4">
      <c r="A1369" s="92">
        <v>6829</v>
      </c>
      <c r="B1369" s="75">
        <v>6830</v>
      </c>
      <c r="E1369" s="92">
        <v>50</v>
      </c>
      <c r="F1369" s="92">
        <f>_xlfn.XLOOKUP(B1369, DATA_Moresby_2024_ALL!B:B, DATA_Moresby_2024_ALL!G:G, "")</f>
        <v>0</v>
      </c>
      <c r="G1369" s="93"/>
      <c r="H1369" s="75">
        <v>1</v>
      </c>
      <c r="I1369" s="92" t="str">
        <f t="shared" si="73"/>
        <v>X</v>
      </c>
      <c r="J1369" s="79" t="str">
        <f>IF(G1369="","X",_xlfn.XLOOKUP(B1369,DATA_Moresby_2024_ALL!B:B,DATA_Moresby_2024_ALL!K:K,""))</f>
        <v>X</v>
      </c>
      <c r="K1369" s="28"/>
      <c r="L1369" s="29"/>
      <c r="M1369" s="28"/>
      <c r="N1369" s="19" t="str">
        <f t="shared" si="72"/>
        <v/>
      </c>
      <c r="O1369" s="19" t="str">
        <f t="shared" si="72"/>
        <v/>
      </c>
      <c r="P1369" s="19" t="str">
        <f t="shared" si="72"/>
        <v/>
      </c>
      <c r="Q1369" s="19" t="str">
        <f t="shared" si="72"/>
        <v/>
      </c>
      <c r="X1369" s="92" t="s">
        <v>78</v>
      </c>
      <c r="Y1369" s="92" t="s">
        <v>78</v>
      </c>
      <c r="Z1369" s="92" t="s">
        <v>78</v>
      </c>
    </row>
    <row r="1370" spans="1:26" ht="16" x14ac:dyDescent="0.4">
      <c r="A1370" s="92">
        <v>6834</v>
      </c>
      <c r="B1370" s="75">
        <v>6835</v>
      </c>
      <c r="E1370" s="92">
        <v>50</v>
      </c>
      <c r="F1370" s="92">
        <f>_xlfn.XLOOKUP(B1370, DATA_Moresby_2024_ALL!B:B, DATA_Moresby_2024_ALL!G:G, "")</f>
        <v>0</v>
      </c>
      <c r="G1370" s="93"/>
      <c r="H1370" s="75">
        <v>1</v>
      </c>
      <c r="I1370" s="92" t="str">
        <f t="shared" si="73"/>
        <v>X</v>
      </c>
      <c r="J1370" s="79" t="str">
        <f>IF(G1370="","X",_xlfn.XLOOKUP(B1370,DATA_Moresby_2024_ALL!B:B,DATA_Moresby_2024_ALL!K:K,""))</f>
        <v>X</v>
      </c>
      <c r="K1370" s="28"/>
      <c r="L1370" s="29"/>
      <c r="M1370" s="28"/>
      <c r="N1370" s="19" t="str">
        <f t="shared" si="72"/>
        <v/>
      </c>
      <c r="O1370" s="19" t="str">
        <f t="shared" si="72"/>
        <v/>
      </c>
      <c r="P1370" s="19" t="str">
        <f t="shared" si="72"/>
        <v/>
      </c>
      <c r="Q1370" s="19" t="str">
        <f t="shared" si="72"/>
        <v/>
      </c>
      <c r="X1370" s="92" t="s">
        <v>78</v>
      </c>
      <c r="Y1370" s="92" t="s">
        <v>78</v>
      </c>
      <c r="Z1370" s="92" t="s">
        <v>78</v>
      </c>
    </row>
    <row r="1371" spans="1:26" ht="16" x14ac:dyDescent="0.4">
      <c r="A1371" s="92">
        <v>6839</v>
      </c>
      <c r="B1371" s="75">
        <v>6840</v>
      </c>
      <c r="E1371" s="92">
        <v>50</v>
      </c>
      <c r="F1371" s="92">
        <f>_xlfn.XLOOKUP(B1371, DATA_Moresby_2024_ALL!B:B, DATA_Moresby_2024_ALL!G:G, "")</f>
        <v>0</v>
      </c>
      <c r="G1371" s="93"/>
      <c r="H1371" s="75">
        <v>1</v>
      </c>
      <c r="I1371" s="92" t="str">
        <f t="shared" si="73"/>
        <v>X</v>
      </c>
      <c r="J1371" s="79" t="str">
        <f>IF(G1371="","X",_xlfn.XLOOKUP(B1371,DATA_Moresby_2024_ALL!B:B,DATA_Moresby_2024_ALL!K:K,""))</f>
        <v>X</v>
      </c>
      <c r="K1371" s="28"/>
      <c r="L1371" s="29"/>
      <c r="M1371" s="28"/>
      <c r="N1371" s="19" t="str">
        <f t="shared" si="72"/>
        <v/>
      </c>
      <c r="O1371" s="19" t="str">
        <f t="shared" si="72"/>
        <v/>
      </c>
      <c r="P1371" s="19" t="str">
        <f t="shared" si="72"/>
        <v/>
      </c>
      <c r="Q1371" s="19" t="str">
        <f t="shared" si="72"/>
        <v/>
      </c>
      <c r="X1371" s="92" t="s">
        <v>78</v>
      </c>
      <c r="Y1371" s="92" t="s">
        <v>78</v>
      </c>
      <c r="Z1371" s="92" t="s">
        <v>78</v>
      </c>
    </row>
    <row r="1372" spans="1:26" ht="16" x14ac:dyDescent="0.4">
      <c r="A1372" s="92">
        <v>6844</v>
      </c>
      <c r="B1372" s="75">
        <v>6845</v>
      </c>
      <c r="E1372" s="92">
        <v>50</v>
      </c>
      <c r="F1372" s="92">
        <f>_xlfn.XLOOKUP(B1372, DATA_Moresby_2024_ALL!B:B, DATA_Moresby_2024_ALL!G:G, "")</f>
        <v>0</v>
      </c>
      <c r="G1372" s="93"/>
      <c r="H1372" s="75">
        <v>1</v>
      </c>
      <c r="I1372" s="92" t="str">
        <f t="shared" si="73"/>
        <v>X</v>
      </c>
      <c r="J1372" s="79" t="str">
        <f>IF(G1372="","X",_xlfn.XLOOKUP(B1372,DATA_Moresby_2024_ALL!B:B,DATA_Moresby_2024_ALL!K:K,""))</f>
        <v>X</v>
      </c>
      <c r="K1372" s="28"/>
      <c r="L1372" s="29"/>
      <c r="M1372" s="28"/>
      <c r="N1372" s="19" t="str">
        <f t="shared" si="72"/>
        <v/>
      </c>
      <c r="O1372" s="19" t="str">
        <f t="shared" si="72"/>
        <v/>
      </c>
      <c r="P1372" s="19" t="str">
        <f t="shared" si="72"/>
        <v/>
      </c>
      <c r="Q1372" s="19" t="str">
        <f t="shared" si="72"/>
        <v/>
      </c>
      <c r="X1372" s="92" t="s">
        <v>78</v>
      </c>
      <c r="Y1372" s="92" t="s">
        <v>78</v>
      </c>
      <c r="Z1372" s="92" t="s">
        <v>78</v>
      </c>
    </row>
    <row r="1373" spans="1:26" ht="16" x14ac:dyDescent="0.4">
      <c r="A1373" s="92">
        <v>6849</v>
      </c>
      <c r="B1373" s="75">
        <v>6850</v>
      </c>
      <c r="E1373" s="92">
        <v>50</v>
      </c>
      <c r="F1373" s="92">
        <f>_xlfn.XLOOKUP(B1373, DATA_Moresby_2024_ALL!B:B, DATA_Moresby_2024_ALL!G:G, "")</f>
        <v>0</v>
      </c>
      <c r="G1373" s="93"/>
      <c r="H1373" s="75">
        <v>1</v>
      </c>
      <c r="I1373" s="92" t="str">
        <f t="shared" si="73"/>
        <v>X</v>
      </c>
      <c r="J1373" s="79" t="str">
        <f>IF(G1373="","X",_xlfn.XLOOKUP(B1373,DATA_Moresby_2024_ALL!B:B,DATA_Moresby_2024_ALL!K:K,""))</f>
        <v>X</v>
      </c>
      <c r="K1373" s="28"/>
      <c r="L1373" s="29"/>
      <c r="M1373" s="28"/>
      <c r="N1373" s="19" t="str">
        <f t="shared" si="72"/>
        <v/>
      </c>
      <c r="O1373" s="19" t="str">
        <f t="shared" si="72"/>
        <v/>
      </c>
      <c r="P1373" s="19" t="str">
        <f t="shared" si="72"/>
        <v/>
      </c>
      <c r="Q1373" s="19" t="str">
        <f t="shared" ref="O1373:Q1436" si="74">IF($J1373=1,4,"")</f>
        <v/>
      </c>
      <c r="X1373" s="92" t="s">
        <v>78</v>
      </c>
      <c r="Y1373" s="92" t="s">
        <v>78</v>
      </c>
      <c r="Z1373" s="92" t="s">
        <v>78</v>
      </c>
    </row>
    <row r="1374" spans="1:26" ht="16" x14ac:dyDescent="0.4">
      <c r="A1374" s="92">
        <v>6854</v>
      </c>
      <c r="B1374" s="75">
        <v>6855</v>
      </c>
      <c r="E1374" s="92">
        <v>50</v>
      </c>
      <c r="F1374" s="92">
        <f>_xlfn.XLOOKUP(B1374, DATA_Moresby_2024_ALL!B:B, DATA_Moresby_2024_ALL!G:G, "")</f>
        <v>0</v>
      </c>
      <c r="G1374" s="93"/>
      <c r="H1374" s="75">
        <v>1</v>
      </c>
      <c r="I1374" s="92" t="str">
        <f t="shared" si="73"/>
        <v>X</v>
      </c>
      <c r="J1374" s="79" t="str">
        <f>IF(G1374="","X",_xlfn.XLOOKUP(B1374,DATA_Moresby_2024_ALL!B:B,DATA_Moresby_2024_ALL!K:K,""))</f>
        <v>X</v>
      </c>
      <c r="K1374" s="28"/>
      <c r="L1374" s="29"/>
      <c r="M1374" s="28"/>
      <c r="N1374" s="19" t="str">
        <f t="shared" ref="N1374:Q1437" si="75">IF($J1374=1,4,"")</f>
        <v/>
      </c>
      <c r="O1374" s="19" t="str">
        <f t="shared" si="74"/>
        <v/>
      </c>
      <c r="P1374" s="19" t="str">
        <f t="shared" si="74"/>
        <v/>
      </c>
      <c r="Q1374" s="19" t="str">
        <f t="shared" si="74"/>
        <v/>
      </c>
      <c r="X1374" s="92" t="s">
        <v>78</v>
      </c>
      <c r="Y1374" s="92" t="s">
        <v>78</v>
      </c>
      <c r="Z1374" s="92" t="s">
        <v>78</v>
      </c>
    </row>
    <row r="1375" spans="1:26" ht="16" x14ac:dyDescent="0.4">
      <c r="A1375" s="92">
        <v>6859</v>
      </c>
      <c r="B1375" s="75">
        <v>6860</v>
      </c>
      <c r="E1375" s="92">
        <v>50</v>
      </c>
      <c r="F1375" s="92">
        <f>_xlfn.XLOOKUP(B1375, DATA_Moresby_2024_ALL!B:B, DATA_Moresby_2024_ALL!G:G, "")</f>
        <v>0</v>
      </c>
      <c r="G1375" s="93"/>
      <c r="H1375" s="75">
        <v>1</v>
      </c>
      <c r="I1375" s="92" t="str">
        <f t="shared" si="73"/>
        <v>X</v>
      </c>
      <c r="J1375" s="79" t="str">
        <f>IF(G1375="","X",_xlfn.XLOOKUP(B1375,DATA_Moresby_2024_ALL!B:B,DATA_Moresby_2024_ALL!K:K,""))</f>
        <v>X</v>
      </c>
      <c r="K1375" s="28"/>
      <c r="L1375" s="29"/>
      <c r="M1375" s="28"/>
      <c r="N1375" s="19" t="str">
        <f t="shared" si="75"/>
        <v/>
      </c>
      <c r="O1375" s="19" t="str">
        <f t="shared" si="74"/>
        <v/>
      </c>
      <c r="P1375" s="19" t="str">
        <f t="shared" si="74"/>
        <v/>
      </c>
      <c r="Q1375" s="19" t="str">
        <f t="shared" si="74"/>
        <v/>
      </c>
      <c r="X1375" s="92" t="s">
        <v>78</v>
      </c>
      <c r="Y1375" s="92" t="s">
        <v>78</v>
      </c>
      <c r="Z1375" s="92" t="s">
        <v>78</v>
      </c>
    </row>
    <row r="1376" spans="1:26" ht="16" x14ac:dyDescent="0.4">
      <c r="A1376" s="92">
        <v>6864</v>
      </c>
      <c r="B1376" s="75">
        <v>6865</v>
      </c>
      <c r="E1376" s="92">
        <v>50</v>
      </c>
      <c r="F1376" s="92">
        <f>_xlfn.XLOOKUP(B1376, DATA_Moresby_2024_ALL!B:B, DATA_Moresby_2024_ALL!G:G, "")</f>
        <v>0</v>
      </c>
      <c r="G1376" s="93"/>
      <c r="H1376" s="75">
        <v>1</v>
      </c>
      <c r="I1376" s="92" t="str">
        <f t="shared" si="73"/>
        <v>X</v>
      </c>
      <c r="J1376" s="79" t="str">
        <f>IF(G1376="","X",_xlfn.XLOOKUP(B1376,DATA_Moresby_2024_ALL!B:B,DATA_Moresby_2024_ALL!K:K,""))</f>
        <v>X</v>
      </c>
      <c r="K1376" s="28"/>
      <c r="L1376" s="29"/>
      <c r="M1376" s="28"/>
      <c r="N1376" s="19" t="str">
        <f t="shared" si="75"/>
        <v/>
      </c>
      <c r="O1376" s="19" t="str">
        <f t="shared" si="74"/>
        <v/>
      </c>
      <c r="P1376" s="19" t="str">
        <f t="shared" si="74"/>
        <v/>
      </c>
      <c r="Q1376" s="19" t="str">
        <f t="shared" si="74"/>
        <v/>
      </c>
      <c r="X1376" s="92" t="s">
        <v>78</v>
      </c>
      <c r="Y1376" s="92" t="s">
        <v>78</v>
      </c>
      <c r="Z1376" s="92" t="s">
        <v>78</v>
      </c>
    </row>
    <row r="1377" spans="1:26" ht="16" x14ac:dyDescent="0.4">
      <c r="A1377" s="92">
        <v>6869</v>
      </c>
      <c r="B1377" s="75">
        <v>6870</v>
      </c>
      <c r="E1377" s="92">
        <v>50</v>
      </c>
      <c r="F1377" s="92">
        <f>_xlfn.XLOOKUP(B1377, DATA_Moresby_2024_ALL!B:B, DATA_Moresby_2024_ALL!G:G, "")</f>
        <v>0</v>
      </c>
      <c r="G1377" s="93"/>
      <c r="H1377" s="75">
        <v>1</v>
      </c>
      <c r="I1377" s="92" t="str">
        <f t="shared" si="73"/>
        <v>X</v>
      </c>
      <c r="J1377" s="79" t="str">
        <f>IF(G1377="","X",_xlfn.XLOOKUP(B1377,DATA_Moresby_2024_ALL!B:B,DATA_Moresby_2024_ALL!K:K,""))</f>
        <v>X</v>
      </c>
      <c r="K1377" s="28"/>
      <c r="L1377" s="29"/>
      <c r="M1377" s="28"/>
      <c r="N1377" s="19" t="str">
        <f t="shared" si="75"/>
        <v/>
      </c>
      <c r="O1377" s="19" t="str">
        <f t="shared" si="74"/>
        <v/>
      </c>
      <c r="P1377" s="19" t="str">
        <f t="shared" si="74"/>
        <v/>
      </c>
      <c r="Q1377" s="19" t="str">
        <f t="shared" si="74"/>
        <v/>
      </c>
      <c r="X1377" s="92" t="s">
        <v>78</v>
      </c>
      <c r="Y1377" s="92" t="s">
        <v>78</v>
      </c>
      <c r="Z1377" s="92" t="s">
        <v>78</v>
      </c>
    </row>
    <row r="1378" spans="1:26" ht="16" x14ac:dyDescent="0.4">
      <c r="A1378" s="92">
        <v>6874</v>
      </c>
      <c r="B1378" s="75">
        <v>6875</v>
      </c>
      <c r="E1378" s="92">
        <v>50</v>
      </c>
      <c r="F1378" s="92">
        <f>_xlfn.XLOOKUP(B1378, DATA_Moresby_2024_ALL!B:B, DATA_Moresby_2024_ALL!G:G, "")</f>
        <v>0</v>
      </c>
      <c r="G1378" s="93"/>
      <c r="H1378" s="75">
        <v>1</v>
      </c>
      <c r="I1378" s="92" t="str">
        <f t="shared" si="73"/>
        <v>X</v>
      </c>
      <c r="J1378" s="79" t="str">
        <f>IF(G1378="","X",_xlfn.XLOOKUP(B1378,DATA_Moresby_2024_ALL!B:B,DATA_Moresby_2024_ALL!K:K,""))</f>
        <v>X</v>
      </c>
      <c r="K1378" s="28"/>
      <c r="L1378" s="29"/>
      <c r="M1378" s="28"/>
      <c r="N1378" s="19" t="str">
        <f t="shared" si="75"/>
        <v/>
      </c>
      <c r="O1378" s="19" t="str">
        <f t="shared" si="74"/>
        <v/>
      </c>
      <c r="P1378" s="19" t="str">
        <f t="shared" si="74"/>
        <v/>
      </c>
      <c r="Q1378" s="19" t="str">
        <f t="shared" si="74"/>
        <v/>
      </c>
      <c r="X1378" s="92" t="s">
        <v>78</v>
      </c>
      <c r="Y1378" s="92" t="s">
        <v>78</v>
      </c>
      <c r="Z1378" s="92" t="s">
        <v>78</v>
      </c>
    </row>
    <row r="1379" spans="1:26" ht="16" x14ac:dyDescent="0.4">
      <c r="A1379" s="92">
        <v>6879</v>
      </c>
      <c r="B1379" s="75">
        <v>6880</v>
      </c>
      <c r="E1379" s="92">
        <v>50</v>
      </c>
      <c r="F1379" s="92">
        <f>_xlfn.XLOOKUP(B1379, DATA_Moresby_2024_ALL!B:B, DATA_Moresby_2024_ALL!G:G, "")</f>
        <v>0</v>
      </c>
      <c r="G1379" s="93"/>
      <c r="H1379" s="75">
        <v>1</v>
      </c>
      <c r="I1379" s="92" t="str">
        <f t="shared" si="73"/>
        <v>X</v>
      </c>
      <c r="J1379" s="79" t="str">
        <f>IF(G1379="","X",_xlfn.XLOOKUP(B1379,DATA_Moresby_2024_ALL!B:B,DATA_Moresby_2024_ALL!K:K,""))</f>
        <v>X</v>
      </c>
      <c r="K1379" s="28"/>
      <c r="L1379" s="29"/>
      <c r="M1379" s="28"/>
      <c r="N1379" s="19" t="str">
        <f t="shared" si="75"/>
        <v/>
      </c>
      <c r="O1379" s="19" t="str">
        <f t="shared" si="74"/>
        <v/>
      </c>
      <c r="P1379" s="19" t="str">
        <f t="shared" si="74"/>
        <v/>
      </c>
      <c r="Q1379" s="19" t="str">
        <f t="shared" si="74"/>
        <v/>
      </c>
      <c r="X1379" s="92" t="s">
        <v>78</v>
      </c>
      <c r="Y1379" s="92" t="s">
        <v>78</v>
      </c>
      <c r="Z1379" s="92" t="s">
        <v>78</v>
      </c>
    </row>
    <row r="1380" spans="1:26" ht="16" x14ac:dyDescent="0.4">
      <c r="A1380" s="92">
        <v>6884</v>
      </c>
      <c r="B1380" s="75">
        <v>6885</v>
      </c>
      <c r="E1380" s="92">
        <v>50</v>
      </c>
      <c r="F1380" s="92">
        <f>_xlfn.XLOOKUP(B1380, DATA_Moresby_2024_ALL!B:B, DATA_Moresby_2024_ALL!G:G, "")</f>
        <v>0</v>
      </c>
      <c r="G1380" s="93"/>
      <c r="H1380" s="75">
        <v>1</v>
      </c>
      <c r="I1380" s="92" t="str">
        <f t="shared" si="73"/>
        <v>X</v>
      </c>
      <c r="J1380" s="79" t="str">
        <f>IF(G1380="","X",_xlfn.XLOOKUP(B1380,DATA_Moresby_2024_ALL!B:B,DATA_Moresby_2024_ALL!K:K,""))</f>
        <v>X</v>
      </c>
      <c r="K1380" s="28"/>
      <c r="L1380" s="29"/>
      <c r="M1380" s="28"/>
      <c r="N1380" s="19" t="str">
        <f t="shared" si="75"/>
        <v/>
      </c>
      <c r="O1380" s="19" t="str">
        <f t="shared" si="74"/>
        <v/>
      </c>
      <c r="P1380" s="19" t="str">
        <f t="shared" si="74"/>
        <v/>
      </c>
      <c r="Q1380" s="19" t="str">
        <f t="shared" si="74"/>
        <v/>
      </c>
      <c r="X1380" s="92" t="s">
        <v>78</v>
      </c>
      <c r="Y1380" s="92" t="s">
        <v>78</v>
      </c>
      <c r="Z1380" s="92" t="s">
        <v>78</v>
      </c>
    </row>
    <row r="1381" spans="1:26" ht="16" x14ac:dyDescent="0.4">
      <c r="A1381" s="92">
        <v>6889</v>
      </c>
      <c r="B1381" s="75">
        <v>6890</v>
      </c>
      <c r="E1381" s="92">
        <v>50</v>
      </c>
      <c r="F1381" s="92">
        <f>_xlfn.XLOOKUP(B1381, DATA_Moresby_2024_ALL!B:B, DATA_Moresby_2024_ALL!G:G, "")</f>
        <v>0</v>
      </c>
      <c r="G1381" s="93"/>
      <c r="H1381" s="75">
        <v>1</v>
      </c>
      <c r="I1381" s="92" t="str">
        <f t="shared" si="73"/>
        <v>X</v>
      </c>
      <c r="J1381" s="79" t="str">
        <f>IF(G1381="","X",_xlfn.XLOOKUP(B1381,DATA_Moresby_2024_ALL!B:B,DATA_Moresby_2024_ALL!K:K,""))</f>
        <v>X</v>
      </c>
      <c r="K1381" s="28"/>
      <c r="L1381" s="29"/>
      <c r="M1381" s="28"/>
      <c r="N1381" s="19" t="str">
        <f t="shared" si="75"/>
        <v/>
      </c>
      <c r="O1381" s="19" t="str">
        <f t="shared" si="74"/>
        <v/>
      </c>
      <c r="P1381" s="19" t="str">
        <f t="shared" si="74"/>
        <v/>
      </c>
      <c r="Q1381" s="19" t="str">
        <f t="shared" si="74"/>
        <v/>
      </c>
      <c r="X1381" s="92" t="s">
        <v>78</v>
      </c>
      <c r="Y1381" s="92" t="s">
        <v>78</v>
      </c>
      <c r="Z1381" s="92" t="s">
        <v>78</v>
      </c>
    </row>
    <row r="1382" spans="1:26" ht="16" x14ac:dyDescent="0.4">
      <c r="A1382" s="92">
        <v>6894</v>
      </c>
      <c r="B1382" s="75">
        <v>6895</v>
      </c>
      <c r="E1382" s="92">
        <v>50</v>
      </c>
      <c r="F1382" s="92">
        <f>_xlfn.XLOOKUP(B1382, DATA_Moresby_2024_ALL!B:B, DATA_Moresby_2024_ALL!G:G, "")</f>
        <v>0</v>
      </c>
      <c r="G1382" s="93"/>
      <c r="H1382" s="75">
        <v>1</v>
      </c>
      <c r="I1382" s="92" t="str">
        <f t="shared" si="73"/>
        <v>X</v>
      </c>
      <c r="J1382" s="79" t="str">
        <f>IF(G1382="","X",_xlfn.XLOOKUP(B1382,DATA_Moresby_2024_ALL!B:B,DATA_Moresby_2024_ALL!K:K,""))</f>
        <v>X</v>
      </c>
      <c r="K1382" s="28"/>
      <c r="L1382" s="29"/>
      <c r="M1382" s="28"/>
      <c r="N1382" s="19" t="str">
        <f t="shared" si="75"/>
        <v/>
      </c>
      <c r="O1382" s="19" t="str">
        <f t="shared" si="74"/>
        <v/>
      </c>
      <c r="P1382" s="19" t="str">
        <f t="shared" si="74"/>
        <v/>
      </c>
      <c r="Q1382" s="19" t="str">
        <f t="shared" si="74"/>
        <v/>
      </c>
      <c r="X1382" s="92" t="s">
        <v>78</v>
      </c>
      <c r="Y1382" s="92" t="s">
        <v>78</v>
      </c>
      <c r="Z1382" s="92" t="s">
        <v>78</v>
      </c>
    </row>
    <row r="1383" spans="1:26" ht="16" x14ac:dyDescent="0.4">
      <c r="A1383" s="92">
        <v>6899</v>
      </c>
      <c r="B1383" s="75">
        <v>6900</v>
      </c>
      <c r="E1383" s="92">
        <v>50</v>
      </c>
      <c r="F1383" s="92">
        <f>_xlfn.XLOOKUP(B1383, DATA_Moresby_2024_ALL!B:B, DATA_Moresby_2024_ALL!G:G, "")</f>
        <v>0</v>
      </c>
      <c r="G1383" s="93"/>
      <c r="H1383" s="75">
        <v>1</v>
      </c>
      <c r="I1383" s="92" t="str">
        <f t="shared" si="73"/>
        <v>X</v>
      </c>
      <c r="J1383" s="79" t="str">
        <f>IF(G1383="","X",_xlfn.XLOOKUP(B1383,DATA_Moresby_2024_ALL!B:B,DATA_Moresby_2024_ALL!K:K,""))</f>
        <v>X</v>
      </c>
      <c r="K1383" s="28"/>
      <c r="L1383" s="29"/>
      <c r="M1383" s="28"/>
      <c r="N1383" s="19" t="str">
        <f t="shared" si="75"/>
        <v/>
      </c>
      <c r="O1383" s="19" t="str">
        <f t="shared" si="74"/>
        <v/>
      </c>
      <c r="P1383" s="19" t="str">
        <f t="shared" si="74"/>
        <v/>
      </c>
      <c r="Q1383" s="19" t="str">
        <f t="shared" si="74"/>
        <v/>
      </c>
      <c r="X1383" s="92" t="s">
        <v>78</v>
      </c>
      <c r="Y1383" s="92" t="s">
        <v>78</v>
      </c>
      <c r="Z1383" s="92" t="s">
        <v>78</v>
      </c>
    </row>
    <row r="1384" spans="1:26" ht="16" x14ac:dyDescent="0.4">
      <c r="A1384" s="92">
        <v>6904</v>
      </c>
      <c r="B1384" s="75">
        <v>6905</v>
      </c>
      <c r="E1384" s="92">
        <v>50</v>
      </c>
      <c r="F1384" s="92">
        <f>_xlfn.XLOOKUP(B1384, DATA_Moresby_2024_ALL!B:B, DATA_Moresby_2024_ALL!G:G, "")</f>
        <v>0</v>
      </c>
      <c r="G1384" s="93"/>
      <c r="H1384" s="75">
        <v>1</v>
      </c>
      <c r="I1384" s="92" t="str">
        <f t="shared" si="73"/>
        <v>X</v>
      </c>
      <c r="J1384" s="79" t="str">
        <f>IF(G1384="","X",_xlfn.XLOOKUP(B1384,DATA_Moresby_2024_ALL!B:B,DATA_Moresby_2024_ALL!K:K,""))</f>
        <v>X</v>
      </c>
      <c r="K1384" s="28"/>
      <c r="L1384" s="29"/>
      <c r="M1384" s="28"/>
      <c r="N1384" s="19" t="str">
        <f t="shared" si="75"/>
        <v/>
      </c>
      <c r="O1384" s="19" t="str">
        <f t="shared" si="74"/>
        <v/>
      </c>
      <c r="P1384" s="19" t="str">
        <f t="shared" si="74"/>
        <v/>
      </c>
      <c r="Q1384" s="19" t="str">
        <f t="shared" si="74"/>
        <v/>
      </c>
      <c r="X1384" s="92" t="s">
        <v>78</v>
      </c>
      <c r="Y1384" s="92" t="s">
        <v>78</v>
      </c>
      <c r="Z1384" s="92" t="s">
        <v>78</v>
      </c>
    </row>
    <row r="1385" spans="1:26" ht="16" x14ac:dyDescent="0.4">
      <c r="A1385" s="92">
        <v>6909</v>
      </c>
      <c r="B1385" s="75">
        <v>6910</v>
      </c>
      <c r="E1385" s="92">
        <v>50</v>
      </c>
      <c r="F1385" s="92">
        <f>_xlfn.XLOOKUP(B1385, DATA_Moresby_2024_ALL!B:B, DATA_Moresby_2024_ALL!G:G, "")</f>
        <v>0</v>
      </c>
      <c r="G1385" s="93"/>
      <c r="H1385" s="75">
        <v>1</v>
      </c>
      <c r="I1385" s="92" t="str">
        <f t="shared" si="73"/>
        <v>X</v>
      </c>
      <c r="J1385" s="79" t="str">
        <f>IF(G1385="","X",_xlfn.XLOOKUP(B1385,DATA_Moresby_2024_ALL!B:B,DATA_Moresby_2024_ALL!K:K,""))</f>
        <v>X</v>
      </c>
      <c r="K1385" s="28"/>
      <c r="L1385" s="29"/>
      <c r="M1385" s="28"/>
      <c r="N1385" s="19" t="str">
        <f t="shared" si="75"/>
        <v/>
      </c>
      <c r="O1385" s="19" t="str">
        <f t="shared" si="74"/>
        <v/>
      </c>
      <c r="P1385" s="19" t="str">
        <f t="shared" si="74"/>
        <v/>
      </c>
      <c r="Q1385" s="19" t="str">
        <f t="shared" si="74"/>
        <v/>
      </c>
      <c r="X1385" s="92" t="s">
        <v>78</v>
      </c>
      <c r="Y1385" s="92" t="s">
        <v>78</v>
      </c>
      <c r="Z1385" s="92" t="s">
        <v>78</v>
      </c>
    </row>
    <row r="1386" spans="1:26" ht="16" x14ac:dyDescent="0.4">
      <c r="A1386" s="92">
        <v>6914</v>
      </c>
      <c r="B1386" s="75">
        <v>6915</v>
      </c>
      <c r="E1386" s="92">
        <v>50</v>
      </c>
      <c r="F1386" s="92">
        <f>_xlfn.XLOOKUP(B1386, DATA_Moresby_2024_ALL!B:B, DATA_Moresby_2024_ALL!G:G, "")</f>
        <v>0</v>
      </c>
      <c r="G1386" s="93"/>
      <c r="H1386" s="75">
        <v>1</v>
      </c>
      <c r="I1386" s="92" t="str">
        <f t="shared" si="73"/>
        <v>X</v>
      </c>
      <c r="J1386" s="79" t="str">
        <f>IF(G1386="","X",_xlfn.XLOOKUP(B1386,DATA_Moresby_2024_ALL!B:B,DATA_Moresby_2024_ALL!K:K,""))</f>
        <v>X</v>
      </c>
      <c r="K1386" s="28"/>
      <c r="L1386" s="29"/>
      <c r="M1386" s="28"/>
      <c r="N1386" s="19" t="str">
        <f t="shared" si="75"/>
        <v/>
      </c>
      <c r="O1386" s="19" t="str">
        <f t="shared" si="74"/>
        <v/>
      </c>
      <c r="P1386" s="19" t="str">
        <f t="shared" si="74"/>
        <v/>
      </c>
      <c r="Q1386" s="19" t="str">
        <f t="shared" si="74"/>
        <v/>
      </c>
      <c r="X1386" s="92" t="s">
        <v>78</v>
      </c>
      <c r="Y1386" s="92" t="s">
        <v>78</v>
      </c>
      <c r="Z1386" s="92" t="s">
        <v>78</v>
      </c>
    </row>
    <row r="1387" spans="1:26" ht="16" x14ac:dyDescent="0.4">
      <c r="A1387" s="92">
        <v>6919</v>
      </c>
      <c r="B1387" s="75">
        <v>6920</v>
      </c>
      <c r="E1387" s="92">
        <v>50</v>
      </c>
      <c r="F1387" s="92">
        <f>_xlfn.XLOOKUP(B1387, DATA_Moresby_2024_ALL!B:B, DATA_Moresby_2024_ALL!G:G, "")</f>
        <v>0</v>
      </c>
      <c r="G1387" s="93"/>
      <c r="H1387" s="75">
        <v>1</v>
      </c>
      <c r="I1387" s="92" t="str">
        <f t="shared" si="73"/>
        <v>X</v>
      </c>
      <c r="J1387" s="79" t="str">
        <f>IF(G1387="","X",_xlfn.XLOOKUP(B1387,DATA_Moresby_2024_ALL!B:B,DATA_Moresby_2024_ALL!K:K,""))</f>
        <v>X</v>
      </c>
      <c r="K1387" s="28"/>
      <c r="L1387" s="29"/>
      <c r="M1387" s="28"/>
      <c r="N1387" s="19" t="str">
        <f t="shared" si="75"/>
        <v/>
      </c>
      <c r="O1387" s="19" t="str">
        <f t="shared" si="74"/>
        <v/>
      </c>
      <c r="P1387" s="19" t="str">
        <f t="shared" si="74"/>
        <v/>
      </c>
      <c r="Q1387" s="19" t="str">
        <f t="shared" si="74"/>
        <v/>
      </c>
      <c r="X1387" s="92" t="s">
        <v>78</v>
      </c>
      <c r="Y1387" s="92" t="s">
        <v>78</v>
      </c>
      <c r="Z1387" s="92" t="s">
        <v>78</v>
      </c>
    </row>
    <row r="1388" spans="1:26" ht="16" x14ac:dyDescent="0.4">
      <c r="A1388" s="92">
        <v>6924</v>
      </c>
      <c r="B1388" s="75">
        <v>6925</v>
      </c>
      <c r="E1388" s="92">
        <v>50</v>
      </c>
      <c r="F1388" s="92">
        <f>_xlfn.XLOOKUP(B1388, DATA_Moresby_2024_ALL!B:B, DATA_Moresby_2024_ALL!G:G, "")</f>
        <v>0</v>
      </c>
      <c r="G1388" s="93"/>
      <c r="H1388" s="75">
        <v>1</v>
      </c>
      <c r="I1388" s="92" t="str">
        <f t="shared" si="73"/>
        <v>X</v>
      </c>
      <c r="J1388" s="79" t="str">
        <f>IF(G1388="","X",_xlfn.XLOOKUP(B1388,DATA_Moresby_2024_ALL!B:B,DATA_Moresby_2024_ALL!K:K,""))</f>
        <v>X</v>
      </c>
      <c r="K1388" s="28"/>
      <c r="L1388" s="29"/>
      <c r="M1388" s="28"/>
      <c r="N1388" s="19" t="str">
        <f t="shared" si="75"/>
        <v/>
      </c>
      <c r="O1388" s="19" t="str">
        <f t="shared" si="74"/>
        <v/>
      </c>
      <c r="P1388" s="19" t="str">
        <f t="shared" si="74"/>
        <v/>
      </c>
      <c r="Q1388" s="19" t="str">
        <f t="shared" si="74"/>
        <v/>
      </c>
      <c r="X1388" s="92" t="s">
        <v>78</v>
      </c>
      <c r="Y1388" s="92" t="s">
        <v>78</v>
      </c>
      <c r="Z1388" s="92" t="s">
        <v>78</v>
      </c>
    </row>
    <row r="1389" spans="1:26" ht="16" x14ac:dyDescent="0.4">
      <c r="A1389" s="92">
        <v>6929</v>
      </c>
      <c r="B1389" s="75">
        <v>6930</v>
      </c>
      <c r="E1389" s="92">
        <v>50</v>
      </c>
      <c r="F1389" s="92" t="str">
        <f>_xlfn.XLOOKUP(B1389, DATA_Moresby_2024_ALL!B:B, DATA_Moresby_2024_ALL!G:G, "")</f>
        <v>6930_20240611_0002_R_0721.jpg</v>
      </c>
      <c r="G1389" s="93" t="str">
        <f t="shared" ref="G1389:G1411" si="76">HYPERLINK("D:\Data From Lucan\2024\Moresby\Frames_for_Analysis_50\" &amp; F1389,F1389)</f>
        <v>6930_20240611_0002_R_0721.jpg</v>
      </c>
      <c r="H1389" s="75">
        <v>2</v>
      </c>
      <c r="J1389" s="79">
        <f>IF(G1389="","X",_xlfn.XLOOKUP(B1389,DATA_Moresby_2024_ALL!B:B,DATA_Moresby_2024_ALL!K:K,""))</f>
        <v>1</v>
      </c>
      <c r="K1389" s="28"/>
      <c r="L1389" s="29"/>
      <c r="M1389" s="28"/>
      <c r="N1389" s="19">
        <f t="shared" si="75"/>
        <v>4</v>
      </c>
      <c r="O1389" s="19">
        <f t="shared" si="74"/>
        <v>4</v>
      </c>
      <c r="P1389" s="19">
        <f t="shared" si="74"/>
        <v>4</v>
      </c>
      <c r="Q1389" s="19">
        <v>3</v>
      </c>
      <c r="X1389" s="92">
        <v>4</v>
      </c>
      <c r="Y1389" s="92">
        <v>4</v>
      </c>
      <c r="Z1389" s="92">
        <v>3</v>
      </c>
    </row>
    <row r="1390" spans="1:26" ht="16" x14ac:dyDescent="0.4">
      <c r="A1390" s="92">
        <v>6934</v>
      </c>
      <c r="B1390" s="75">
        <v>6935</v>
      </c>
      <c r="E1390" s="92">
        <v>50</v>
      </c>
      <c r="F1390" s="92" t="str">
        <f>_xlfn.XLOOKUP(B1390, DATA_Moresby_2024_ALL!B:B, DATA_Moresby_2024_ALL!G:G, "")</f>
        <v>6935_20240611_0002_R_0706.jpg</v>
      </c>
      <c r="G1390" s="93" t="str">
        <f t="shared" si="76"/>
        <v>6935_20240611_0002_R_0706.jpg</v>
      </c>
      <c r="H1390" s="75">
        <v>1</v>
      </c>
      <c r="J1390" s="79">
        <f>IF(G1390="","X",_xlfn.XLOOKUP(B1390,DATA_Moresby_2024_ALL!B:B,DATA_Moresby_2024_ALL!K:K,""))</f>
        <v>1</v>
      </c>
      <c r="K1390" s="28"/>
      <c r="L1390" s="29"/>
      <c r="M1390" s="28"/>
      <c r="N1390" s="19">
        <f t="shared" si="75"/>
        <v>4</v>
      </c>
      <c r="O1390" s="19">
        <f t="shared" si="74"/>
        <v>4</v>
      </c>
      <c r="P1390" s="19">
        <f t="shared" si="74"/>
        <v>4</v>
      </c>
      <c r="Q1390" s="19">
        <f t="shared" si="74"/>
        <v>4</v>
      </c>
      <c r="X1390" s="92">
        <v>4</v>
      </c>
      <c r="Y1390" s="92">
        <v>4</v>
      </c>
      <c r="Z1390" s="92">
        <v>3</v>
      </c>
    </row>
    <row r="1391" spans="1:26" ht="16" x14ac:dyDescent="0.4">
      <c r="A1391" s="92">
        <v>6939</v>
      </c>
      <c r="B1391" s="75">
        <v>6940</v>
      </c>
      <c r="E1391" s="92">
        <v>50</v>
      </c>
      <c r="F1391" s="92" t="str">
        <f>_xlfn.XLOOKUP(B1391, DATA_Moresby_2024_ALL!B:B, DATA_Moresby_2024_ALL!G:G, "")</f>
        <v>6940_20240611_0002_R_0692.jpg</v>
      </c>
      <c r="G1391" s="93" t="str">
        <f t="shared" si="76"/>
        <v>6940_20240611_0002_R_0692.jpg</v>
      </c>
      <c r="H1391" s="75">
        <v>1</v>
      </c>
      <c r="J1391" s="79">
        <f>IF(G1391="","X",_xlfn.XLOOKUP(B1391,DATA_Moresby_2024_ALL!B:B,DATA_Moresby_2024_ALL!K:K,""))</f>
        <v>1</v>
      </c>
      <c r="K1391" s="28"/>
      <c r="L1391" s="29"/>
      <c r="M1391" s="28"/>
      <c r="N1391" s="19">
        <f t="shared" si="75"/>
        <v>4</v>
      </c>
      <c r="O1391" s="19">
        <f t="shared" si="74"/>
        <v>4</v>
      </c>
      <c r="P1391" s="19">
        <f t="shared" si="74"/>
        <v>4</v>
      </c>
      <c r="Q1391" s="19">
        <f t="shared" si="74"/>
        <v>4</v>
      </c>
      <c r="X1391" s="92">
        <v>4</v>
      </c>
      <c r="Y1391" s="92">
        <v>4</v>
      </c>
      <c r="Z1391" s="92">
        <v>3</v>
      </c>
    </row>
    <row r="1392" spans="1:26" ht="16" x14ac:dyDescent="0.4">
      <c r="A1392" s="92">
        <v>6944</v>
      </c>
      <c r="B1392" s="75">
        <v>6945</v>
      </c>
      <c r="E1392" s="92">
        <v>50</v>
      </c>
      <c r="F1392" s="92" t="str">
        <f>_xlfn.XLOOKUP(B1392, DATA_Moresby_2024_ALL!B:B, DATA_Moresby_2024_ALL!G:G, "")</f>
        <v>6945_20240611_0002_R_0680.jpg</v>
      </c>
      <c r="G1392" s="93" t="str">
        <f t="shared" si="76"/>
        <v>6945_20240611_0002_R_0680.jpg</v>
      </c>
      <c r="H1392" s="75">
        <v>1</v>
      </c>
      <c r="J1392" s="79">
        <f>IF(G1392="","X",_xlfn.XLOOKUP(B1392,DATA_Moresby_2024_ALL!B:B,DATA_Moresby_2024_ALL!K:K,""))</f>
        <v>1</v>
      </c>
      <c r="K1392" s="28"/>
      <c r="L1392" s="29"/>
      <c r="M1392" s="28"/>
      <c r="N1392" s="19">
        <f t="shared" si="75"/>
        <v>4</v>
      </c>
      <c r="O1392" s="19">
        <v>3</v>
      </c>
      <c r="P1392" s="19">
        <f t="shared" si="74"/>
        <v>4</v>
      </c>
      <c r="Q1392" s="19">
        <f t="shared" si="74"/>
        <v>4</v>
      </c>
      <c r="X1392" s="92">
        <v>4</v>
      </c>
      <c r="Y1392" s="92">
        <v>4</v>
      </c>
      <c r="Z1392" s="92">
        <v>2</v>
      </c>
    </row>
    <row r="1393" spans="1:26" ht="16" x14ac:dyDescent="0.4">
      <c r="A1393" s="92">
        <v>6949</v>
      </c>
      <c r="B1393" s="75">
        <v>6950</v>
      </c>
      <c r="E1393" s="92">
        <v>50</v>
      </c>
      <c r="F1393" s="92" t="str">
        <f>_xlfn.XLOOKUP(B1393, DATA_Moresby_2024_ALL!B:B, DATA_Moresby_2024_ALL!G:G, "")</f>
        <v>6950_20240611_0002_R_0665.jpg</v>
      </c>
      <c r="G1393" s="93" t="str">
        <f t="shared" si="76"/>
        <v>6950_20240611_0002_R_0665.jpg</v>
      </c>
      <c r="H1393" s="75">
        <v>1</v>
      </c>
      <c r="J1393" s="79">
        <f>IF(G1393="","X",_xlfn.XLOOKUP(B1393,DATA_Moresby_2024_ALL!B:B,DATA_Moresby_2024_ALL!K:K,""))</f>
        <v>1</v>
      </c>
      <c r="K1393" s="28"/>
      <c r="L1393" s="29"/>
      <c r="M1393" s="28"/>
      <c r="N1393" s="19">
        <f t="shared" si="75"/>
        <v>4</v>
      </c>
      <c r="O1393" s="19">
        <v>3</v>
      </c>
      <c r="P1393" s="19">
        <f t="shared" si="74"/>
        <v>4</v>
      </c>
      <c r="Q1393" s="19">
        <v>3</v>
      </c>
      <c r="X1393" s="92">
        <v>4</v>
      </c>
      <c r="Y1393" s="92">
        <v>4</v>
      </c>
      <c r="Z1393" s="92">
        <v>4</v>
      </c>
    </row>
    <row r="1394" spans="1:26" ht="16" x14ac:dyDescent="0.4">
      <c r="A1394" s="92">
        <v>6954</v>
      </c>
      <c r="B1394" s="75">
        <v>6955</v>
      </c>
      <c r="E1394" s="92">
        <v>50</v>
      </c>
      <c r="F1394" s="92" t="str">
        <f>_xlfn.XLOOKUP(B1394, DATA_Moresby_2024_ALL!B:B, DATA_Moresby_2024_ALL!G:G, "")</f>
        <v>6955_20240611_0002_R_0651.jpg</v>
      </c>
      <c r="G1394" s="93" t="str">
        <f t="shared" si="76"/>
        <v>6955_20240611_0002_R_0651.jpg</v>
      </c>
      <c r="H1394" s="75">
        <v>1</v>
      </c>
      <c r="J1394" s="79">
        <f>IF(G1394="","X",_xlfn.XLOOKUP(B1394,DATA_Moresby_2024_ALL!B:B,DATA_Moresby_2024_ALL!K:K,""))</f>
        <v>1</v>
      </c>
      <c r="K1394" s="28"/>
      <c r="L1394" s="29"/>
      <c r="M1394" s="28"/>
      <c r="N1394" s="19">
        <v>3</v>
      </c>
      <c r="O1394" s="19">
        <v>3</v>
      </c>
      <c r="P1394" s="19">
        <f t="shared" si="74"/>
        <v>4</v>
      </c>
      <c r="Q1394" s="19">
        <v>3</v>
      </c>
      <c r="X1394" s="92">
        <v>4</v>
      </c>
      <c r="Y1394" s="92">
        <v>4</v>
      </c>
      <c r="Z1394" s="92">
        <v>4</v>
      </c>
    </row>
    <row r="1395" spans="1:26" ht="16" x14ac:dyDescent="0.4">
      <c r="A1395" s="92">
        <v>6959</v>
      </c>
      <c r="B1395" s="75">
        <v>6960</v>
      </c>
      <c r="E1395" s="92">
        <v>50</v>
      </c>
      <c r="F1395" s="92" t="str">
        <f>_xlfn.XLOOKUP(B1395, DATA_Moresby_2024_ALL!B:B, DATA_Moresby_2024_ALL!G:G, "")</f>
        <v>6960_20240611_0002_R_0636.jpg</v>
      </c>
      <c r="G1395" s="93" t="str">
        <f t="shared" si="76"/>
        <v>6960_20240611_0002_R_0636.jpg</v>
      </c>
      <c r="H1395" s="75">
        <v>1</v>
      </c>
      <c r="J1395" s="79">
        <f>IF(G1395="","X",_xlfn.XLOOKUP(B1395,DATA_Moresby_2024_ALL!B:B,DATA_Moresby_2024_ALL!K:K,""))</f>
        <v>1</v>
      </c>
      <c r="K1395" s="28"/>
      <c r="L1395" s="29"/>
      <c r="M1395" s="28"/>
      <c r="N1395" s="19">
        <f t="shared" si="75"/>
        <v>4</v>
      </c>
      <c r="O1395" s="19">
        <f t="shared" si="74"/>
        <v>4</v>
      </c>
      <c r="P1395" s="19">
        <f t="shared" si="74"/>
        <v>4</v>
      </c>
      <c r="Q1395" s="19">
        <f t="shared" si="74"/>
        <v>4</v>
      </c>
      <c r="X1395" s="92">
        <v>4</v>
      </c>
      <c r="Y1395" s="92">
        <v>4</v>
      </c>
      <c r="Z1395" s="92">
        <v>3</v>
      </c>
    </row>
    <row r="1396" spans="1:26" ht="16" x14ac:dyDescent="0.4">
      <c r="A1396" s="92">
        <v>6964</v>
      </c>
      <c r="B1396" s="75">
        <v>6965</v>
      </c>
      <c r="E1396" s="92">
        <v>50</v>
      </c>
      <c r="F1396" s="92" t="str">
        <f>_xlfn.XLOOKUP(B1396, DATA_Moresby_2024_ALL!B:B, DATA_Moresby_2024_ALL!G:G, "")</f>
        <v>6965_20240611_0002_R_0619.jpg</v>
      </c>
      <c r="G1396" s="93" t="str">
        <f t="shared" si="76"/>
        <v>6965_20240611_0002_R_0619.jpg</v>
      </c>
      <c r="H1396" s="75">
        <v>1</v>
      </c>
      <c r="J1396" s="79">
        <f>IF(G1396="","X",_xlfn.XLOOKUP(B1396,DATA_Moresby_2024_ALL!B:B,DATA_Moresby_2024_ALL!K:K,""))</f>
        <v>1</v>
      </c>
      <c r="K1396" s="28"/>
      <c r="L1396" s="29"/>
      <c r="M1396" s="28"/>
      <c r="N1396" s="19">
        <f t="shared" si="75"/>
        <v>4</v>
      </c>
      <c r="O1396" s="19">
        <v>3</v>
      </c>
      <c r="P1396" s="19">
        <f t="shared" si="74"/>
        <v>4</v>
      </c>
      <c r="Q1396" s="19">
        <f t="shared" si="74"/>
        <v>4</v>
      </c>
      <c r="X1396" s="92">
        <v>4</v>
      </c>
      <c r="Y1396" s="92">
        <v>4</v>
      </c>
      <c r="Z1396" s="92">
        <v>3</v>
      </c>
    </row>
    <row r="1397" spans="1:26" ht="16" x14ac:dyDescent="0.4">
      <c r="A1397" s="92">
        <v>6969</v>
      </c>
      <c r="B1397" s="75">
        <v>6970</v>
      </c>
      <c r="E1397" s="92">
        <v>50</v>
      </c>
      <c r="F1397" s="92" t="str">
        <f>_xlfn.XLOOKUP(B1397, DATA_Moresby_2024_ALL!B:B, DATA_Moresby_2024_ALL!G:G, "")</f>
        <v>6970_20240611_0002_R_0604.jpg</v>
      </c>
      <c r="G1397" s="93" t="str">
        <f t="shared" si="76"/>
        <v>6970_20240611_0002_R_0604.jpg</v>
      </c>
      <c r="H1397" s="75">
        <v>1</v>
      </c>
      <c r="J1397" s="79">
        <f>IF(G1397="","X",_xlfn.XLOOKUP(B1397,DATA_Moresby_2024_ALL!B:B,DATA_Moresby_2024_ALL!K:K,""))</f>
        <v>1</v>
      </c>
      <c r="K1397" s="28"/>
      <c r="L1397" s="29"/>
      <c r="M1397" s="28"/>
      <c r="N1397" s="19">
        <f t="shared" si="75"/>
        <v>4</v>
      </c>
      <c r="O1397" s="19">
        <f t="shared" si="74"/>
        <v>4</v>
      </c>
      <c r="P1397" s="19">
        <f t="shared" si="74"/>
        <v>4</v>
      </c>
      <c r="Q1397" s="19">
        <v>3</v>
      </c>
      <c r="X1397" s="92">
        <v>4</v>
      </c>
      <c r="Y1397" s="92">
        <v>4</v>
      </c>
      <c r="Z1397" s="92">
        <v>3</v>
      </c>
    </row>
    <row r="1398" spans="1:26" ht="16" x14ac:dyDescent="0.4">
      <c r="A1398" s="92">
        <v>6974</v>
      </c>
      <c r="B1398" s="75">
        <v>6975</v>
      </c>
      <c r="E1398" s="92">
        <v>50</v>
      </c>
      <c r="F1398" s="92" t="str">
        <f>_xlfn.XLOOKUP(B1398, DATA_Moresby_2024_ALL!B:B, DATA_Moresby_2024_ALL!G:G, "")</f>
        <v>6975_20240611_0002_R_0588.jpg</v>
      </c>
      <c r="G1398" s="93" t="str">
        <f t="shared" si="76"/>
        <v>6975_20240611_0002_R_0588.jpg</v>
      </c>
      <c r="H1398" s="75">
        <v>1</v>
      </c>
      <c r="J1398" s="79">
        <f>IF(G1398="","X",_xlfn.XLOOKUP(B1398,DATA_Moresby_2024_ALL!B:B,DATA_Moresby_2024_ALL!K:K,""))</f>
        <v>1</v>
      </c>
      <c r="K1398" s="28"/>
      <c r="L1398" s="29"/>
      <c r="M1398" s="28"/>
      <c r="N1398" s="19">
        <f t="shared" si="75"/>
        <v>4</v>
      </c>
      <c r="O1398" s="19">
        <f t="shared" si="74"/>
        <v>4</v>
      </c>
      <c r="P1398" s="19">
        <f t="shared" si="74"/>
        <v>4</v>
      </c>
      <c r="Q1398" s="19">
        <f t="shared" si="74"/>
        <v>4</v>
      </c>
      <c r="X1398" s="92">
        <v>4</v>
      </c>
      <c r="Y1398" s="92">
        <v>4</v>
      </c>
      <c r="Z1398" s="92">
        <v>3</v>
      </c>
    </row>
    <row r="1399" spans="1:26" ht="16" x14ac:dyDescent="0.4">
      <c r="A1399" s="92">
        <v>6979</v>
      </c>
      <c r="B1399" s="75">
        <v>6980</v>
      </c>
      <c r="E1399" s="92">
        <v>50</v>
      </c>
      <c r="F1399" s="92" t="str">
        <f>_xlfn.XLOOKUP(B1399, DATA_Moresby_2024_ALL!B:B, DATA_Moresby_2024_ALL!G:G, "")</f>
        <v>6980_20240611_0002_R_0573.jpg</v>
      </c>
      <c r="G1399" s="93" t="str">
        <f t="shared" si="76"/>
        <v>6980_20240611_0002_R_0573.jpg</v>
      </c>
      <c r="H1399" s="75">
        <v>1</v>
      </c>
      <c r="J1399" s="79">
        <f>IF(G1399="","X",_xlfn.XLOOKUP(B1399,DATA_Moresby_2024_ALL!B:B,DATA_Moresby_2024_ALL!K:K,""))</f>
        <v>1</v>
      </c>
      <c r="K1399" s="28"/>
      <c r="L1399" s="29"/>
      <c r="M1399" s="28"/>
      <c r="N1399" s="19">
        <v>3</v>
      </c>
      <c r="O1399" s="19">
        <v>3</v>
      </c>
      <c r="P1399" s="19">
        <f t="shared" si="74"/>
        <v>4</v>
      </c>
      <c r="Q1399" s="19">
        <f t="shared" si="74"/>
        <v>4</v>
      </c>
      <c r="X1399" s="92">
        <v>4</v>
      </c>
      <c r="Y1399" s="92">
        <v>4</v>
      </c>
      <c r="Z1399" s="92">
        <v>3</v>
      </c>
    </row>
    <row r="1400" spans="1:26" ht="16" x14ac:dyDescent="0.4">
      <c r="A1400" s="92">
        <v>6984</v>
      </c>
      <c r="B1400" s="75">
        <v>6985</v>
      </c>
      <c r="E1400" s="92">
        <v>50</v>
      </c>
      <c r="F1400" s="92" t="str">
        <f>_xlfn.XLOOKUP(B1400, DATA_Moresby_2024_ALL!B:B, DATA_Moresby_2024_ALL!G:G, "")</f>
        <v>6985_20240611_0002_R_0557.jpg</v>
      </c>
      <c r="G1400" s="93" t="str">
        <f t="shared" si="76"/>
        <v>6985_20240611_0002_R_0557.jpg</v>
      </c>
      <c r="H1400" s="75">
        <v>1</v>
      </c>
      <c r="J1400" s="79">
        <f>IF(G1400="","X",_xlfn.XLOOKUP(B1400,DATA_Moresby_2024_ALL!B:B,DATA_Moresby_2024_ALL!K:K,""))</f>
        <v>1</v>
      </c>
      <c r="K1400" s="28"/>
      <c r="L1400" s="29"/>
      <c r="M1400" s="28"/>
      <c r="N1400" s="19">
        <f t="shared" si="75"/>
        <v>4</v>
      </c>
      <c r="O1400" s="19">
        <f t="shared" si="74"/>
        <v>4</v>
      </c>
      <c r="P1400" s="19">
        <f t="shared" si="74"/>
        <v>4</v>
      </c>
      <c r="Q1400" s="19">
        <v>3</v>
      </c>
      <c r="X1400" s="92">
        <v>4</v>
      </c>
      <c r="Y1400" s="92">
        <v>4</v>
      </c>
      <c r="Z1400" s="92">
        <v>3</v>
      </c>
    </row>
    <row r="1401" spans="1:26" ht="16" x14ac:dyDescent="0.4">
      <c r="A1401" s="92">
        <v>6989</v>
      </c>
      <c r="B1401" s="75">
        <v>6990</v>
      </c>
      <c r="E1401" s="92">
        <v>50</v>
      </c>
      <c r="F1401" s="92" t="str">
        <f>_xlfn.XLOOKUP(B1401, DATA_Moresby_2024_ALL!B:B, DATA_Moresby_2024_ALL!G:G, "")</f>
        <v>6990_20240611_0002_R_0540.jpg</v>
      </c>
      <c r="G1401" s="93" t="str">
        <f t="shared" si="76"/>
        <v>6990_20240611_0002_R_0540.jpg</v>
      </c>
      <c r="H1401" s="75">
        <v>1</v>
      </c>
      <c r="J1401" s="79">
        <f>IF(G1401="","X",_xlfn.XLOOKUP(B1401,DATA_Moresby_2024_ALL!B:B,DATA_Moresby_2024_ALL!K:K,""))</f>
        <v>1</v>
      </c>
      <c r="K1401" s="28"/>
      <c r="L1401" s="29"/>
      <c r="M1401" s="28"/>
      <c r="N1401" s="19">
        <f t="shared" si="75"/>
        <v>4</v>
      </c>
      <c r="O1401" s="19">
        <f t="shared" si="74"/>
        <v>4</v>
      </c>
      <c r="P1401" s="19">
        <f t="shared" si="74"/>
        <v>4</v>
      </c>
      <c r="Q1401" s="19">
        <f t="shared" si="74"/>
        <v>4</v>
      </c>
      <c r="X1401" s="92">
        <v>4</v>
      </c>
      <c r="Y1401" s="92">
        <v>4</v>
      </c>
      <c r="Z1401" s="92">
        <v>4</v>
      </c>
    </row>
    <row r="1402" spans="1:26" ht="16" x14ac:dyDescent="0.4">
      <c r="A1402" s="92">
        <v>6994</v>
      </c>
      <c r="B1402" s="75">
        <v>6995</v>
      </c>
      <c r="E1402" s="92">
        <v>50</v>
      </c>
      <c r="F1402" s="92" t="str">
        <f>_xlfn.XLOOKUP(B1402, DATA_Moresby_2024_ALL!B:B, DATA_Moresby_2024_ALL!G:G, "")</f>
        <v>6995_20240611_0002_R_0524.jpg</v>
      </c>
      <c r="G1402" s="93" t="str">
        <f t="shared" si="76"/>
        <v>6995_20240611_0002_R_0524.jpg</v>
      </c>
      <c r="H1402" s="75">
        <v>1</v>
      </c>
      <c r="J1402" s="79">
        <f>IF(G1402="","X",_xlfn.XLOOKUP(B1402,DATA_Moresby_2024_ALL!B:B,DATA_Moresby_2024_ALL!K:K,""))</f>
        <v>1</v>
      </c>
      <c r="K1402" s="28"/>
      <c r="L1402" s="29"/>
      <c r="M1402" s="28"/>
      <c r="N1402" s="19">
        <f t="shared" si="75"/>
        <v>4</v>
      </c>
      <c r="O1402" s="19">
        <f t="shared" si="74"/>
        <v>4</v>
      </c>
      <c r="P1402" s="19">
        <f t="shared" si="74"/>
        <v>4</v>
      </c>
      <c r="Q1402" s="19">
        <f t="shared" si="74"/>
        <v>4</v>
      </c>
      <c r="X1402" s="92">
        <v>4</v>
      </c>
      <c r="Y1402" s="92">
        <v>4</v>
      </c>
      <c r="Z1402" s="92">
        <v>3</v>
      </c>
    </row>
    <row r="1403" spans="1:26" ht="16" x14ac:dyDescent="0.4">
      <c r="A1403" s="92">
        <v>6999</v>
      </c>
      <c r="B1403" s="75">
        <v>7000</v>
      </c>
      <c r="E1403" s="92">
        <v>50</v>
      </c>
      <c r="F1403" s="92" t="str">
        <f>_xlfn.XLOOKUP(B1403, DATA_Moresby_2024_ALL!B:B, DATA_Moresby_2024_ALL!G:G, "")</f>
        <v>7000_20240611_0002_R_0510.jpg</v>
      </c>
      <c r="G1403" s="93" t="str">
        <f t="shared" si="76"/>
        <v>7000_20240611_0002_R_0510.jpg</v>
      </c>
      <c r="H1403" s="75">
        <v>1</v>
      </c>
      <c r="J1403" s="79">
        <f>IF(G1403="","X",_xlfn.XLOOKUP(B1403,DATA_Moresby_2024_ALL!B:B,DATA_Moresby_2024_ALL!K:K,""))</f>
        <v>1</v>
      </c>
      <c r="K1403" s="28"/>
      <c r="L1403" s="29"/>
      <c r="M1403" s="28"/>
      <c r="N1403" s="19">
        <f t="shared" si="75"/>
        <v>4</v>
      </c>
      <c r="O1403" s="19">
        <f t="shared" si="74"/>
        <v>4</v>
      </c>
      <c r="P1403" s="19">
        <f t="shared" si="74"/>
        <v>4</v>
      </c>
      <c r="Q1403" s="19">
        <f t="shared" si="74"/>
        <v>4</v>
      </c>
      <c r="X1403" s="92">
        <v>4</v>
      </c>
      <c r="Y1403" s="92">
        <v>4</v>
      </c>
      <c r="Z1403" s="92">
        <v>3</v>
      </c>
    </row>
    <row r="1404" spans="1:26" ht="16" x14ac:dyDescent="0.4">
      <c r="A1404" s="92">
        <v>7004</v>
      </c>
      <c r="B1404" s="75">
        <v>7005</v>
      </c>
      <c r="E1404" s="92">
        <v>50</v>
      </c>
      <c r="F1404" s="92" t="str">
        <f>_xlfn.XLOOKUP(B1404, DATA_Moresby_2024_ALL!B:B, DATA_Moresby_2024_ALL!G:G, "")</f>
        <v>7005_20240611_0002_R_0495.jpg</v>
      </c>
      <c r="G1404" s="93" t="str">
        <f t="shared" si="76"/>
        <v>7005_20240611_0002_R_0495.jpg</v>
      </c>
      <c r="H1404" s="75">
        <v>1</v>
      </c>
      <c r="J1404" s="79">
        <f>IF(G1404="","X",_xlfn.XLOOKUP(B1404,DATA_Moresby_2024_ALL!B:B,DATA_Moresby_2024_ALL!K:K,""))</f>
        <v>1</v>
      </c>
      <c r="K1404" s="28"/>
      <c r="L1404" s="29"/>
      <c r="M1404" s="28"/>
      <c r="N1404" s="19">
        <f t="shared" si="75"/>
        <v>4</v>
      </c>
      <c r="O1404" s="19">
        <f t="shared" si="74"/>
        <v>4</v>
      </c>
      <c r="P1404" s="19">
        <f t="shared" si="74"/>
        <v>4</v>
      </c>
      <c r="Q1404" s="19">
        <f t="shared" si="74"/>
        <v>4</v>
      </c>
      <c r="X1404" s="92">
        <v>4</v>
      </c>
      <c r="Y1404" s="92">
        <v>4</v>
      </c>
      <c r="Z1404" s="92">
        <v>3</v>
      </c>
    </row>
    <row r="1405" spans="1:26" ht="16" x14ac:dyDescent="0.4">
      <c r="A1405" s="92">
        <v>7009</v>
      </c>
      <c r="B1405" s="75">
        <v>7010</v>
      </c>
      <c r="E1405" s="92">
        <v>50</v>
      </c>
      <c r="F1405" s="92" t="str">
        <f>_xlfn.XLOOKUP(B1405, DATA_Moresby_2024_ALL!B:B, DATA_Moresby_2024_ALL!G:G, "")</f>
        <v>7010_20240611_0002_R_0479.jpg</v>
      </c>
      <c r="G1405" s="93" t="str">
        <f t="shared" si="76"/>
        <v>7010_20240611_0002_R_0479.jpg</v>
      </c>
      <c r="H1405" s="75">
        <v>1</v>
      </c>
      <c r="J1405" s="79">
        <f>IF(G1405="","X",_xlfn.XLOOKUP(B1405,DATA_Moresby_2024_ALL!B:B,DATA_Moresby_2024_ALL!K:K,""))</f>
        <v>1</v>
      </c>
      <c r="K1405" s="28"/>
      <c r="L1405" s="29"/>
      <c r="M1405" s="28"/>
      <c r="N1405" s="19">
        <f t="shared" si="75"/>
        <v>4</v>
      </c>
      <c r="O1405" s="19">
        <f t="shared" si="74"/>
        <v>4</v>
      </c>
      <c r="P1405" s="19">
        <f t="shared" si="74"/>
        <v>4</v>
      </c>
      <c r="Q1405" s="19">
        <v>3</v>
      </c>
      <c r="X1405" s="92">
        <v>4</v>
      </c>
      <c r="Y1405" s="92">
        <v>4</v>
      </c>
      <c r="Z1405" s="92">
        <v>3</v>
      </c>
    </row>
    <row r="1406" spans="1:26" ht="16" x14ac:dyDescent="0.4">
      <c r="A1406" s="92">
        <v>7014</v>
      </c>
      <c r="B1406" s="75">
        <v>7015</v>
      </c>
      <c r="E1406" s="92">
        <v>50</v>
      </c>
      <c r="F1406" s="92" t="str">
        <f>_xlfn.XLOOKUP(B1406, DATA_Moresby_2024_ALL!B:B, DATA_Moresby_2024_ALL!G:G, "")</f>
        <v>7015_20240611_0002_R_0463.jpg</v>
      </c>
      <c r="G1406" s="93" t="str">
        <f t="shared" si="76"/>
        <v>7015_20240611_0002_R_0463.jpg</v>
      </c>
      <c r="H1406" s="75">
        <v>1</v>
      </c>
      <c r="J1406" s="79">
        <f>IF(G1406="","X",_xlfn.XLOOKUP(B1406,DATA_Moresby_2024_ALL!B:B,DATA_Moresby_2024_ALL!K:K,""))</f>
        <v>1</v>
      </c>
      <c r="K1406" s="28"/>
      <c r="L1406" s="29"/>
      <c r="M1406" s="28"/>
      <c r="N1406" s="19">
        <f t="shared" si="75"/>
        <v>4</v>
      </c>
      <c r="O1406" s="19">
        <f t="shared" si="74"/>
        <v>4</v>
      </c>
      <c r="P1406" s="19">
        <f t="shared" si="74"/>
        <v>4</v>
      </c>
      <c r="Q1406" s="19">
        <v>3</v>
      </c>
      <c r="X1406" s="92">
        <v>4</v>
      </c>
      <c r="Y1406" s="92">
        <v>4</v>
      </c>
      <c r="Z1406" s="92">
        <v>4</v>
      </c>
    </row>
    <row r="1407" spans="1:26" ht="16" x14ac:dyDescent="0.4">
      <c r="A1407" s="92">
        <v>7019</v>
      </c>
      <c r="B1407" s="75">
        <v>7020</v>
      </c>
      <c r="E1407" s="92">
        <v>50</v>
      </c>
      <c r="F1407" s="92" t="str">
        <f>_xlfn.XLOOKUP(B1407, DATA_Moresby_2024_ALL!B:B, DATA_Moresby_2024_ALL!G:G, "")</f>
        <v>7020_20240611_0002_R_0448.jpg</v>
      </c>
      <c r="G1407" s="93" t="str">
        <f t="shared" si="76"/>
        <v>7020_20240611_0002_R_0448.jpg</v>
      </c>
      <c r="H1407" s="75">
        <v>1</v>
      </c>
      <c r="J1407" s="79">
        <f>IF(G1407="","X",_xlfn.XLOOKUP(B1407,DATA_Moresby_2024_ALL!B:B,DATA_Moresby_2024_ALL!K:K,""))</f>
        <v>1</v>
      </c>
      <c r="K1407" s="28"/>
      <c r="L1407" s="29"/>
      <c r="M1407" s="28"/>
      <c r="N1407" s="19">
        <f t="shared" si="75"/>
        <v>4</v>
      </c>
      <c r="O1407" s="19">
        <f t="shared" si="74"/>
        <v>4</v>
      </c>
      <c r="P1407" s="19">
        <f t="shared" si="74"/>
        <v>4</v>
      </c>
      <c r="Q1407" s="19">
        <v>3</v>
      </c>
      <c r="X1407" s="92">
        <v>4</v>
      </c>
      <c r="Y1407" s="92">
        <v>4</v>
      </c>
      <c r="Z1407" s="92">
        <v>3</v>
      </c>
    </row>
    <row r="1408" spans="1:26" ht="16" x14ac:dyDescent="0.4">
      <c r="A1408" s="92">
        <v>7024</v>
      </c>
      <c r="B1408" s="75">
        <v>7025</v>
      </c>
      <c r="E1408" s="92">
        <v>50</v>
      </c>
      <c r="F1408" s="92" t="str">
        <f>_xlfn.XLOOKUP(B1408, DATA_Moresby_2024_ALL!B:B, DATA_Moresby_2024_ALL!G:G, "")</f>
        <v>7025_20240611_0002_R_0433.jpg</v>
      </c>
      <c r="G1408" s="93" t="str">
        <f t="shared" si="76"/>
        <v>7025_20240611_0002_R_0433.jpg</v>
      </c>
      <c r="H1408" s="75">
        <v>1</v>
      </c>
      <c r="J1408" s="79">
        <f>IF(G1408="","X",_xlfn.XLOOKUP(B1408,DATA_Moresby_2024_ALL!B:B,DATA_Moresby_2024_ALL!K:K,""))</f>
        <v>1</v>
      </c>
      <c r="K1408" s="28"/>
      <c r="L1408" s="29"/>
      <c r="M1408" s="28"/>
      <c r="N1408" s="19">
        <f t="shared" si="75"/>
        <v>4</v>
      </c>
      <c r="O1408" s="19">
        <f t="shared" si="74"/>
        <v>4</v>
      </c>
      <c r="P1408" s="19">
        <f t="shared" si="74"/>
        <v>4</v>
      </c>
      <c r="Q1408" s="19">
        <f t="shared" si="74"/>
        <v>4</v>
      </c>
      <c r="X1408" s="92">
        <v>4</v>
      </c>
      <c r="Y1408" s="92">
        <v>4</v>
      </c>
      <c r="Z1408" s="92">
        <v>3</v>
      </c>
    </row>
    <row r="1409" spans="1:26" ht="16" x14ac:dyDescent="0.4">
      <c r="A1409" s="92">
        <v>7029</v>
      </c>
      <c r="B1409" s="75">
        <v>7030</v>
      </c>
      <c r="E1409" s="92">
        <v>50</v>
      </c>
      <c r="F1409" s="92" t="str">
        <f>_xlfn.XLOOKUP(B1409, DATA_Moresby_2024_ALL!B:B, DATA_Moresby_2024_ALL!G:G, "")</f>
        <v>7030_20240611_0002_R_0417.jpg</v>
      </c>
      <c r="G1409" s="93" t="str">
        <f t="shared" si="76"/>
        <v>7030_20240611_0002_R_0417.jpg</v>
      </c>
      <c r="H1409" s="75">
        <v>1</v>
      </c>
      <c r="J1409" s="79">
        <f>IF(G1409="","X",_xlfn.XLOOKUP(B1409,DATA_Moresby_2024_ALL!B:B,DATA_Moresby_2024_ALL!K:K,""))</f>
        <v>1</v>
      </c>
      <c r="K1409" s="28"/>
      <c r="L1409" s="29"/>
      <c r="M1409" s="28"/>
      <c r="N1409" s="19">
        <f t="shared" si="75"/>
        <v>4</v>
      </c>
      <c r="O1409" s="19">
        <f t="shared" si="74"/>
        <v>4</v>
      </c>
      <c r="P1409" s="19">
        <f t="shared" si="74"/>
        <v>4</v>
      </c>
      <c r="Q1409" s="19">
        <v>3</v>
      </c>
      <c r="X1409" s="92">
        <v>4</v>
      </c>
      <c r="Y1409" s="92">
        <v>4</v>
      </c>
      <c r="Z1409" s="92">
        <v>3</v>
      </c>
    </row>
    <row r="1410" spans="1:26" ht="16" x14ac:dyDescent="0.4">
      <c r="A1410" s="92">
        <v>7034</v>
      </c>
      <c r="B1410" s="75">
        <v>7035</v>
      </c>
      <c r="E1410" s="92">
        <v>50</v>
      </c>
      <c r="F1410" s="92" t="str">
        <f>_xlfn.XLOOKUP(B1410, DATA_Moresby_2024_ALL!B:B, DATA_Moresby_2024_ALL!G:G, "")</f>
        <v>7035_20240611_0002_R_0403.jpg</v>
      </c>
      <c r="G1410" s="93" t="str">
        <f t="shared" si="76"/>
        <v>7035_20240611_0002_R_0403.jpg</v>
      </c>
      <c r="H1410" s="75">
        <v>1</v>
      </c>
      <c r="J1410" s="79">
        <f>IF(G1410="","X",_xlfn.XLOOKUP(B1410,DATA_Moresby_2024_ALL!B:B,DATA_Moresby_2024_ALL!K:K,""))</f>
        <v>1</v>
      </c>
      <c r="K1410" s="28"/>
      <c r="L1410" s="29"/>
      <c r="M1410" s="28"/>
      <c r="N1410" s="19">
        <f t="shared" si="75"/>
        <v>4</v>
      </c>
      <c r="O1410" s="19">
        <f t="shared" si="74"/>
        <v>4</v>
      </c>
      <c r="P1410" s="19">
        <f t="shared" si="74"/>
        <v>4</v>
      </c>
      <c r="Q1410" s="19">
        <f t="shared" si="74"/>
        <v>4</v>
      </c>
      <c r="X1410" s="92">
        <v>4</v>
      </c>
      <c r="Y1410" s="92">
        <v>4</v>
      </c>
      <c r="Z1410" s="92">
        <v>3</v>
      </c>
    </row>
    <row r="1411" spans="1:26" ht="16" x14ac:dyDescent="0.4">
      <c r="A1411" s="92">
        <v>7039</v>
      </c>
      <c r="B1411" s="75">
        <v>7040</v>
      </c>
      <c r="E1411" s="92">
        <v>50</v>
      </c>
      <c r="F1411" s="92" t="str">
        <f>_xlfn.XLOOKUP(B1411, DATA_Moresby_2024_ALL!B:B, DATA_Moresby_2024_ALL!G:G, "")</f>
        <v>7040_20240611_0002_R_0387.jpg</v>
      </c>
      <c r="G1411" s="93" t="str">
        <f t="shared" si="76"/>
        <v>7040_20240611_0002_R_0387.jpg</v>
      </c>
      <c r="H1411" s="75">
        <v>1</v>
      </c>
      <c r="J1411" s="79">
        <f>IF(G1411="","X",_xlfn.XLOOKUP(B1411,DATA_Moresby_2024_ALL!B:B,DATA_Moresby_2024_ALL!K:K,""))</f>
        <v>1</v>
      </c>
      <c r="K1411" s="28"/>
      <c r="L1411" s="29"/>
      <c r="M1411" s="28"/>
      <c r="N1411" s="19">
        <f t="shared" si="75"/>
        <v>4</v>
      </c>
      <c r="O1411" s="19">
        <f t="shared" si="74"/>
        <v>4</v>
      </c>
      <c r="P1411" s="19">
        <f t="shared" si="74"/>
        <v>4</v>
      </c>
      <c r="Q1411" s="19">
        <v>3</v>
      </c>
      <c r="X1411" s="92">
        <v>4</v>
      </c>
      <c r="Y1411" s="92">
        <v>4</v>
      </c>
      <c r="Z1411" s="92">
        <v>3</v>
      </c>
    </row>
    <row r="1412" spans="1:26" ht="16" x14ac:dyDescent="0.4">
      <c r="A1412" s="92">
        <v>7044</v>
      </c>
      <c r="B1412" s="75">
        <v>7045</v>
      </c>
      <c r="E1412" s="92">
        <v>50</v>
      </c>
      <c r="F1412" s="92">
        <f>_xlfn.XLOOKUP(B1412, DATA_Moresby_2024_ALL!B:B, DATA_Moresby_2024_ALL!G:G, "")</f>
        <v>0</v>
      </c>
      <c r="G1412" s="93"/>
      <c r="H1412" s="75">
        <v>1</v>
      </c>
      <c r="I1412" s="92" t="str">
        <f t="shared" ref="I1412:I1425" si="77">IF(G1412="","X","")</f>
        <v>X</v>
      </c>
      <c r="J1412" s="79" t="str">
        <f>IF(G1412="","X",_xlfn.XLOOKUP(B1412,DATA_Moresby_2024_ALL!B:B,DATA_Moresby_2024_ALL!K:K,""))</f>
        <v>X</v>
      </c>
      <c r="K1412" s="28"/>
      <c r="L1412" s="29"/>
      <c r="M1412" s="28"/>
      <c r="N1412" s="19" t="str">
        <f t="shared" si="75"/>
        <v/>
      </c>
      <c r="O1412" s="19" t="str">
        <f t="shared" si="74"/>
        <v/>
      </c>
      <c r="P1412" s="19" t="str">
        <f t="shared" si="74"/>
        <v/>
      </c>
      <c r="Q1412" s="19" t="str">
        <f t="shared" si="74"/>
        <v/>
      </c>
      <c r="X1412" s="92" t="s">
        <v>78</v>
      </c>
      <c r="Y1412" s="92" t="s">
        <v>78</v>
      </c>
      <c r="Z1412" s="92" t="s">
        <v>78</v>
      </c>
    </row>
    <row r="1413" spans="1:26" ht="16" x14ac:dyDescent="0.4">
      <c r="A1413" s="92">
        <v>7049</v>
      </c>
      <c r="B1413" s="75">
        <v>7050</v>
      </c>
      <c r="E1413" s="92">
        <v>50</v>
      </c>
      <c r="F1413" s="92">
        <f>_xlfn.XLOOKUP(B1413, DATA_Moresby_2024_ALL!B:B, DATA_Moresby_2024_ALL!G:G, "")</f>
        <v>0</v>
      </c>
      <c r="G1413" s="93"/>
      <c r="H1413" s="75">
        <v>1</v>
      </c>
      <c r="I1413" s="92" t="str">
        <f t="shared" si="77"/>
        <v>X</v>
      </c>
      <c r="J1413" s="79" t="str">
        <f>IF(G1413="","X",_xlfn.XLOOKUP(B1413,DATA_Moresby_2024_ALL!B:B,DATA_Moresby_2024_ALL!K:K,""))</f>
        <v>X</v>
      </c>
      <c r="K1413" s="28"/>
      <c r="L1413" s="29"/>
      <c r="M1413" s="28"/>
      <c r="N1413" s="19" t="str">
        <f t="shared" si="75"/>
        <v/>
      </c>
      <c r="O1413" s="19" t="str">
        <f t="shared" si="74"/>
        <v/>
      </c>
      <c r="P1413" s="19" t="str">
        <f t="shared" si="74"/>
        <v/>
      </c>
      <c r="Q1413" s="19" t="str">
        <f t="shared" si="74"/>
        <v/>
      </c>
      <c r="X1413" s="92" t="s">
        <v>78</v>
      </c>
      <c r="Y1413" s="92" t="s">
        <v>78</v>
      </c>
      <c r="Z1413" s="92" t="s">
        <v>78</v>
      </c>
    </row>
    <row r="1414" spans="1:26" ht="16" x14ac:dyDescent="0.4">
      <c r="A1414" s="92">
        <v>7054</v>
      </c>
      <c r="B1414" s="75">
        <v>7055</v>
      </c>
      <c r="E1414" s="92">
        <v>50</v>
      </c>
      <c r="F1414" s="92">
        <f>_xlfn.XLOOKUP(B1414, DATA_Moresby_2024_ALL!B:B, DATA_Moresby_2024_ALL!G:G, "")</f>
        <v>0</v>
      </c>
      <c r="G1414" s="93"/>
      <c r="H1414" s="75">
        <v>1</v>
      </c>
      <c r="I1414" s="92" t="str">
        <f t="shared" si="77"/>
        <v>X</v>
      </c>
      <c r="J1414" s="79" t="str">
        <f>IF(G1414="","X",_xlfn.XLOOKUP(B1414,DATA_Moresby_2024_ALL!B:B,DATA_Moresby_2024_ALL!K:K,""))</f>
        <v>X</v>
      </c>
      <c r="K1414" s="28"/>
      <c r="L1414" s="29"/>
      <c r="M1414" s="28"/>
      <c r="N1414" s="19" t="str">
        <f t="shared" si="75"/>
        <v/>
      </c>
      <c r="O1414" s="19" t="str">
        <f t="shared" si="74"/>
        <v/>
      </c>
      <c r="P1414" s="19" t="str">
        <f t="shared" si="74"/>
        <v/>
      </c>
      <c r="Q1414" s="19" t="str">
        <f t="shared" si="74"/>
        <v/>
      </c>
      <c r="X1414" s="92">
        <v>4</v>
      </c>
      <c r="Y1414" s="92">
        <v>4</v>
      </c>
      <c r="Z1414" s="92">
        <v>3</v>
      </c>
    </row>
    <row r="1415" spans="1:26" ht="16" x14ac:dyDescent="0.4">
      <c r="A1415" s="92">
        <v>7059</v>
      </c>
      <c r="B1415" s="75">
        <v>7060</v>
      </c>
      <c r="E1415" s="92">
        <v>50</v>
      </c>
      <c r="F1415" s="92">
        <f>_xlfn.XLOOKUP(B1415, DATA_Moresby_2024_ALL!B:B, DATA_Moresby_2024_ALL!G:G, "")</f>
        <v>0</v>
      </c>
      <c r="G1415" s="93"/>
      <c r="H1415" s="75">
        <v>1</v>
      </c>
      <c r="I1415" s="92" t="str">
        <f t="shared" si="77"/>
        <v>X</v>
      </c>
      <c r="J1415" s="79" t="str">
        <f>IF(G1415="","X",_xlfn.XLOOKUP(B1415,DATA_Moresby_2024_ALL!B:B,DATA_Moresby_2024_ALL!K:K,""))</f>
        <v>X</v>
      </c>
      <c r="K1415" s="28"/>
      <c r="L1415" s="29"/>
      <c r="M1415" s="28"/>
      <c r="N1415" s="19" t="str">
        <f t="shared" si="75"/>
        <v/>
      </c>
      <c r="O1415" s="19" t="str">
        <f t="shared" si="74"/>
        <v/>
      </c>
      <c r="P1415" s="19" t="str">
        <f t="shared" si="74"/>
        <v/>
      </c>
      <c r="Q1415" s="19" t="str">
        <f t="shared" si="74"/>
        <v/>
      </c>
      <c r="X1415" s="92">
        <v>4</v>
      </c>
      <c r="Y1415" s="92">
        <v>4</v>
      </c>
      <c r="Z1415" s="92">
        <v>3</v>
      </c>
    </row>
    <row r="1416" spans="1:26" ht="16" x14ac:dyDescent="0.4">
      <c r="A1416" s="92">
        <v>7064</v>
      </c>
      <c r="B1416" s="75">
        <v>7065</v>
      </c>
      <c r="E1416" s="92">
        <v>50</v>
      </c>
      <c r="F1416" s="92">
        <f>_xlfn.XLOOKUP(B1416, DATA_Moresby_2024_ALL!B:B, DATA_Moresby_2024_ALL!G:G, "")</f>
        <v>0</v>
      </c>
      <c r="G1416" s="93"/>
      <c r="H1416" s="75">
        <v>1</v>
      </c>
      <c r="I1416" s="92" t="str">
        <f t="shared" si="77"/>
        <v>X</v>
      </c>
      <c r="J1416" s="79" t="str">
        <f>IF(G1416="","X",_xlfn.XLOOKUP(B1416,DATA_Moresby_2024_ALL!B:B,DATA_Moresby_2024_ALL!K:K,""))</f>
        <v>X</v>
      </c>
      <c r="K1416" s="28"/>
      <c r="L1416" s="29"/>
      <c r="M1416" s="28"/>
      <c r="N1416" s="19" t="str">
        <f t="shared" si="75"/>
        <v/>
      </c>
      <c r="O1416" s="19" t="str">
        <f t="shared" si="74"/>
        <v/>
      </c>
      <c r="P1416" s="19" t="str">
        <f t="shared" si="74"/>
        <v/>
      </c>
      <c r="Q1416" s="19" t="str">
        <f t="shared" si="74"/>
        <v/>
      </c>
      <c r="X1416" s="92">
        <v>4</v>
      </c>
      <c r="Y1416" s="92">
        <v>4</v>
      </c>
      <c r="Z1416" s="92">
        <v>4</v>
      </c>
    </row>
    <row r="1417" spans="1:26" ht="16" x14ac:dyDescent="0.4">
      <c r="A1417" s="92">
        <v>7069</v>
      </c>
      <c r="B1417" s="75">
        <v>7070</v>
      </c>
      <c r="E1417" s="92">
        <v>50</v>
      </c>
      <c r="F1417" s="92">
        <f>_xlfn.XLOOKUP(B1417, DATA_Moresby_2024_ALL!B:B, DATA_Moresby_2024_ALL!G:G, "")</f>
        <v>0</v>
      </c>
      <c r="G1417" s="93"/>
      <c r="H1417" s="75">
        <v>1</v>
      </c>
      <c r="I1417" s="92" t="str">
        <f t="shared" si="77"/>
        <v>X</v>
      </c>
      <c r="J1417" s="79" t="str">
        <f>IF(G1417="","X",_xlfn.XLOOKUP(B1417,DATA_Moresby_2024_ALL!B:B,DATA_Moresby_2024_ALL!K:K,""))</f>
        <v>X</v>
      </c>
      <c r="K1417" s="28"/>
      <c r="L1417" s="29"/>
      <c r="M1417" s="28"/>
      <c r="N1417" s="19" t="str">
        <f t="shared" si="75"/>
        <v/>
      </c>
      <c r="O1417" s="19" t="str">
        <f t="shared" si="74"/>
        <v/>
      </c>
      <c r="P1417" s="19" t="str">
        <f t="shared" si="74"/>
        <v/>
      </c>
      <c r="Q1417" s="19" t="str">
        <f t="shared" si="74"/>
        <v/>
      </c>
      <c r="X1417" s="92">
        <v>4</v>
      </c>
      <c r="Y1417" s="92">
        <v>4</v>
      </c>
      <c r="Z1417" s="92">
        <v>3</v>
      </c>
    </row>
    <row r="1418" spans="1:26" ht="16" x14ac:dyDescent="0.4">
      <c r="A1418" s="92">
        <v>7074</v>
      </c>
      <c r="B1418" s="75">
        <v>7075</v>
      </c>
      <c r="E1418" s="92">
        <v>50</v>
      </c>
      <c r="F1418" s="92">
        <f>_xlfn.XLOOKUP(B1418, DATA_Moresby_2024_ALL!B:B, DATA_Moresby_2024_ALL!G:G, "")</f>
        <v>0</v>
      </c>
      <c r="G1418" s="93"/>
      <c r="H1418" s="75">
        <v>1</v>
      </c>
      <c r="I1418" s="92" t="str">
        <f t="shared" si="77"/>
        <v>X</v>
      </c>
      <c r="J1418" s="79" t="str">
        <f>IF(G1418="","X",_xlfn.XLOOKUP(B1418,DATA_Moresby_2024_ALL!B:B,DATA_Moresby_2024_ALL!K:K,""))</f>
        <v>X</v>
      </c>
      <c r="K1418" s="28"/>
      <c r="L1418" s="29"/>
      <c r="M1418" s="28"/>
      <c r="N1418" s="19" t="str">
        <f t="shared" si="75"/>
        <v/>
      </c>
      <c r="O1418" s="19" t="str">
        <f t="shared" si="74"/>
        <v/>
      </c>
      <c r="P1418" s="19" t="str">
        <f t="shared" si="74"/>
        <v/>
      </c>
      <c r="Q1418" s="19" t="str">
        <f t="shared" si="74"/>
        <v/>
      </c>
      <c r="X1418" s="92">
        <v>4</v>
      </c>
      <c r="Y1418" s="92">
        <v>4</v>
      </c>
      <c r="Z1418" s="92">
        <v>3</v>
      </c>
    </row>
    <row r="1419" spans="1:26" ht="16" x14ac:dyDescent="0.4">
      <c r="A1419" s="92">
        <v>7079</v>
      </c>
      <c r="B1419" s="75">
        <v>7080</v>
      </c>
      <c r="E1419" s="92">
        <v>50</v>
      </c>
      <c r="F1419" s="92">
        <f>_xlfn.XLOOKUP(B1419, DATA_Moresby_2024_ALL!B:B, DATA_Moresby_2024_ALL!G:G, "")</f>
        <v>0</v>
      </c>
      <c r="G1419" s="93"/>
      <c r="H1419" s="75">
        <v>1</v>
      </c>
      <c r="I1419" s="92" t="str">
        <f t="shared" si="77"/>
        <v>X</v>
      </c>
      <c r="J1419" s="79" t="str">
        <f>IF(G1419="","X",_xlfn.XLOOKUP(B1419,DATA_Moresby_2024_ALL!B:B,DATA_Moresby_2024_ALL!K:K,""))</f>
        <v>X</v>
      </c>
      <c r="K1419" s="28"/>
      <c r="L1419" s="29"/>
      <c r="M1419" s="28"/>
      <c r="N1419" s="19" t="str">
        <f t="shared" si="75"/>
        <v/>
      </c>
      <c r="O1419" s="19" t="str">
        <f t="shared" si="74"/>
        <v/>
      </c>
      <c r="P1419" s="19" t="str">
        <f t="shared" si="74"/>
        <v/>
      </c>
      <c r="Q1419" s="19" t="str">
        <f t="shared" si="74"/>
        <v/>
      </c>
      <c r="X1419" s="92">
        <v>4</v>
      </c>
      <c r="Y1419" s="92">
        <v>4</v>
      </c>
      <c r="Z1419" s="92">
        <v>4</v>
      </c>
    </row>
    <row r="1420" spans="1:26" ht="16" x14ac:dyDescent="0.4">
      <c r="A1420" s="92">
        <v>7084</v>
      </c>
      <c r="B1420" s="75">
        <v>7085</v>
      </c>
      <c r="E1420" s="92">
        <v>50</v>
      </c>
      <c r="F1420" s="92">
        <f>_xlfn.XLOOKUP(B1420, DATA_Moresby_2024_ALL!B:B, DATA_Moresby_2024_ALL!G:G, "")</f>
        <v>0</v>
      </c>
      <c r="G1420" s="93"/>
      <c r="H1420" s="75">
        <v>1</v>
      </c>
      <c r="I1420" s="92" t="str">
        <f t="shared" si="77"/>
        <v>X</v>
      </c>
      <c r="J1420" s="79" t="str">
        <f>IF(G1420="","X",_xlfn.XLOOKUP(B1420,DATA_Moresby_2024_ALL!B:B,DATA_Moresby_2024_ALL!K:K,""))</f>
        <v>X</v>
      </c>
      <c r="K1420" s="28"/>
      <c r="L1420" s="29"/>
      <c r="M1420" s="28"/>
      <c r="N1420" s="19" t="str">
        <f t="shared" si="75"/>
        <v/>
      </c>
      <c r="O1420" s="19" t="str">
        <f t="shared" si="74"/>
        <v/>
      </c>
      <c r="P1420" s="19" t="str">
        <f t="shared" si="74"/>
        <v/>
      </c>
      <c r="Q1420" s="19" t="str">
        <f t="shared" si="74"/>
        <v/>
      </c>
      <c r="X1420" s="92">
        <v>4</v>
      </c>
      <c r="Y1420" s="92">
        <v>4</v>
      </c>
      <c r="Z1420" s="92">
        <v>3</v>
      </c>
    </row>
    <row r="1421" spans="1:26" ht="16" x14ac:dyDescent="0.4">
      <c r="A1421" s="92">
        <v>7089</v>
      </c>
      <c r="B1421" s="75">
        <v>7090</v>
      </c>
      <c r="E1421" s="92">
        <v>50</v>
      </c>
      <c r="F1421" s="92">
        <f>_xlfn.XLOOKUP(B1421, DATA_Moresby_2024_ALL!B:B, DATA_Moresby_2024_ALL!G:G, "")</f>
        <v>0</v>
      </c>
      <c r="G1421" s="93"/>
      <c r="H1421" s="75">
        <v>1</v>
      </c>
      <c r="I1421" s="92" t="str">
        <f t="shared" si="77"/>
        <v>X</v>
      </c>
      <c r="J1421" s="79" t="str">
        <f>IF(G1421="","X",_xlfn.XLOOKUP(B1421,DATA_Moresby_2024_ALL!B:B,DATA_Moresby_2024_ALL!K:K,""))</f>
        <v>X</v>
      </c>
      <c r="K1421" s="28"/>
      <c r="L1421" s="29"/>
      <c r="M1421" s="28"/>
      <c r="N1421" s="19" t="str">
        <f t="shared" si="75"/>
        <v/>
      </c>
      <c r="O1421" s="19" t="str">
        <f t="shared" si="74"/>
        <v/>
      </c>
      <c r="P1421" s="19" t="str">
        <f t="shared" si="74"/>
        <v/>
      </c>
      <c r="Q1421" s="19" t="str">
        <f t="shared" si="74"/>
        <v/>
      </c>
      <c r="X1421" s="92">
        <v>4</v>
      </c>
      <c r="Y1421" s="92">
        <v>4</v>
      </c>
      <c r="Z1421" s="92">
        <v>4</v>
      </c>
    </row>
    <row r="1422" spans="1:26" ht="16" x14ac:dyDescent="0.4">
      <c r="A1422" s="92">
        <v>7094</v>
      </c>
      <c r="B1422" s="75">
        <v>7095</v>
      </c>
      <c r="E1422" s="92">
        <v>50</v>
      </c>
      <c r="F1422" s="92">
        <f>_xlfn.XLOOKUP(B1422, DATA_Moresby_2024_ALL!B:B, DATA_Moresby_2024_ALL!G:G, "")</f>
        <v>0</v>
      </c>
      <c r="G1422" s="93"/>
      <c r="H1422" s="75">
        <v>1</v>
      </c>
      <c r="I1422" s="92" t="str">
        <f t="shared" si="77"/>
        <v>X</v>
      </c>
      <c r="J1422" s="79" t="str">
        <f>IF(G1422="","X",_xlfn.XLOOKUP(B1422,DATA_Moresby_2024_ALL!B:B,DATA_Moresby_2024_ALL!K:K,""))</f>
        <v>X</v>
      </c>
      <c r="K1422" s="28"/>
      <c r="L1422" s="29"/>
      <c r="M1422" s="28"/>
      <c r="N1422" s="19" t="str">
        <f t="shared" si="75"/>
        <v/>
      </c>
      <c r="O1422" s="19" t="str">
        <f t="shared" si="74"/>
        <v/>
      </c>
      <c r="P1422" s="19" t="str">
        <f t="shared" si="74"/>
        <v/>
      </c>
      <c r="Q1422" s="19" t="str">
        <f t="shared" si="74"/>
        <v/>
      </c>
      <c r="X1422" s="92">
        <v>4</v>
      </c>
      <c r="Y1422" s="92">
        <v>4</v>
      </c>
      <c r="Z1422" s="92">
        <v>3</v>
      </c>
    </row>
    <row r="1423" spans="1:26" ht="16" x14ac:dyDescent="0.4">
      <c r="A1423" s="92">
        <v>7099</v>
      </c>
      <c r="B1423" s="75">
        <v>7100</v>
      </c>
      <c r="E1423" s="92">
        <v>50</v>
      </c>
      <c r="F1423" s="92">
        <f>_xlfn.XLOOKUP(B1423, DATA_Moresby_2024_ALL!B:B, DATA_Moresby_2024_ALL!G:G, "")</f>
        <v>0</v>
      </c>
      <c r="G1423" s="93"/>
      <c r="H1423" s="75">
        <v>1</v>
      </c>
      <c r="I1423" s="92" t="str">
        <f t="shared" si="77"/>
        <v>X</v>
      </c>
      <c r="J1423" s="79" t="str">
        <f>IF(G1423="","X",_xlfn.XLOOKUP(B1423,DATA_Moresby_2024_ALL!B:B,DATA_Moresby_2024_ALL!K:K,""))</f>
        <v>X</v>
      </c>
      <c r="K1423" s="28"/>
      <c r="L1423" s="29"/>
      <c r="M1423" s="28"/>
      <c r="N1423" s="19" t="str">
        <f t="shared" si="75"/>
        <v/>
      </c>
      <c r="O1423" s="19" t="str">
        <f t="shared" si="74"/>
        <v/>
      </c>
      <c r="P1423" s="19" t="str">
        <f t="shared" si="74"/>
        <v/>
      </c>
      <c r="Q1423" s="19" t="str">
        <f t="shared" si="74"/>
        <v/>
      </c>
      <c r="X1423" s="92">
        <v>4</v>
      </c>
      <c r="Y1423" s="92">
        <v>4</v>
      </c>
      <c r="Z1423" s="92">
        <v>3</v>
      </c>
    </row>
    <row r="1424" spans="1:26" ht="16" x14ac:dyDescent="0.4">
      <c r="A1424" s="92">
        <v>7104</v>
      </c>
      <c r="B1424" s="75">
        <v>7105</v>
      </c>
      <c r="E1424" s="92">
        <v>50</v>
      </c>
      <c r="F1424" s="92">
        <f>_xlfn.XLOOKUP(B1424, DATA_Moresby_2024_ALL!B:B, DATA_Moresby_2024_ALL!G:G, "")</f>
        <v>0</v>
      </c>
      <c r="G1424" s="93"/>
      <c r="H1424" s="75">
        <v>1</v>
      </c>
      <c r="I1424" s="92" t="str">
        <f t="shared" si="77"/>
        <v>X</v>
      </c>
      <c r="J1424" s="79" t="str">
        <f>IF(G1424="","X",_xlfn.XLOOKUP(B1424,DATA_Moresby_2024_ALL!B:B,DATA_Moresby_2024_ALL!K:K,""))</f>
        <v>X</v>
      </c>
      <c r="K1424" s="28"/>
      <c r="L1424" s="29"/>
      <c r="M1424" s="28"/>
      <c r="N1424" s="19" t="str">
        <f t="shared" si="75"/>
        <v/>
      </c>
      <c r="O1424" s="19" t="str">
        <f t="shared" si="74"/>
        <v/>
      </c>
      <c r="P1424" s="19" t="str">
        <f t="shared" si="74"/>
        <v/>
      </c>
      <c r="Q1424" s="19" t="str">
        <f t="shared" si="74"/>
        <v/>
      </c>
      <c r="X1424" s="92">
        <v>4</v>
      </c>
      <c r="Y1424" s="92">
        <v>4</v>
      </c>
      <c r="Z1424" s="92">
        <v>4</v>
      </c>
    </row>
    <row r="1425" spans="1:26" ht="16" x14ac:dyDescent="0.4">
      <c r="A1425" s="92">
        <v>7109</v>
      </c>
      <c r="B1425" s="75">
        <v>7110</v>
      </c>
      <c r="E1425" s="92">
        <v>50</v>
      </c>
      <c r="F1425" s="92">
        <f>_xlfn.XLOOKUP(B1425, DATA_Moresby_2024_ALL!B:B, DATA_Moresby_2024_ALL!G:G, "")</f>
        <v>0</v>
      </c>
      <c r="G1425" s="93"/>
      <c r="H1425" s="75">
        <v>1</v>
      </c>
      <c r="I1425" s="92" t="str">
        <f t="shared" si="77"/>
        <v>X</v>
      </c>
      <c r="J1425" s="79" t="str">
        <f>IF(G1425="","X",_xlfn.XLOOKUP(B1425,DATA_Moresby_2024_ALL!B:B,DATA_Moresby_2024_ALL!K:K,""))</f>
        <v>X</v>
      </c>
      <c r="K1425" s="28"/>
      <c r="L1425" s="29"/>
      <c r="M1425" s="28"/>
      <c r="N1425" s="19" t="str">
        <f t="shared" si="75"/>
        <v/>
      </c>
      <c r="O1425" s="19" t="str">
        <f t="shared" si="74"/>
        <v/>
      </c>
      <c r="P1425" s="19" t="str">
        <f t="shared" si="74"/>
        <v/>
      </c>
      <c r="Q1425" s="19" t="str">
        <f t="shared" si="74"/>
        <v/>
      </c>
      <c r="X1425" s="92">
        <v>4</v>
      </c>
      <c r="Y1425" s="92">
        <v>4</v>
      </c>
      <c r="Z1425" s="92">
        <v>4</v>
      </c>
    </row>
    <row r="1426" spans="1:26" ht="16" x14ac:dyDescent="0.4">
      <c r="A1426" s="92">
        <v>7114</v>
      </c>
      <c r="B1426" s="75">
        <v>7115</v>
      </c>
      <c r="E1426" s="92">
        <v>50</v>
      </c>
      <c r="F1426" s="92" t="str">
        <f>_xlfn.XLOOKUP(B1426, DATA_Moresby_2024_ALL!B:B, DATA_Moresby_2024_ALL!G:G, "")</f>
        <v>7115_20240611_0002_R_0362.jpg</v>
      </c>
      <c r="G1426" s="93" t="str">
        <f t="shared" ref="G1426:G1450" si="78">HYPERLINK("D:\Data From Lucan\2024\Moresby\Frames_for_Analysis_50\" &amp; F1426,F1426)</f>
        <v>7115_20240611_0002_R_0362.jpg</v>
      </c>
      <c r="H1426" s="75">
        <v>1</v>
      </c>
      <c r="J1426" s="79">
        <f>IF(G1426="","X",_xlfn.XLOOKUP(B1426,DATA_Moresby_2024_ALL!B:B,DATA_Moresby_2024_ALL!K:K,""))</f>
        <v>1</v>
      </c>
      <c r="K1426" s="28"/>
      <c r="L1426" s="29"/>
      <c r="M1426" s="28"/>
      <c r="N1426" s="19">
        <f t="shared" si="75"/>
        <v>4</v>
      </c>
      <c r="O1426" s="19">
        <f t="shared" si="74"/>
        <v>4</v>
      </c>
      <c r="P1426" s="19">
        <f t="shared" si="74"/>
        <v>4</v>
      </c>
      <c r="Q1426" s="19">
        <v>3</v>
      </c>
      <c r="X1426" s="92">
        <v>4</v>
      </c>
      <c r="Y1426" s="92">
        <v>4</v>
      </c>
      <c r="Z1426" s="92">
        <v>3</v>
      </c>
    </row>
    <row r="1427" spans="1:26" ht="16" x14ac:dyDescent="0.4">
      <c r="A1427" s="92">
        <v>7119</v>
      </c>
      <c r="B1427" s="75">
        <v>7120</v>
      </c>
      <c r="E1427" s="92">
        <v>50</v>
      </c>
      <c r="F1427" s="92" t="str">
        <f>_xlfn.XLOOKUP(B1427, DATA_Moresby_2024_ALL!B:B, DATA_Moresby_2024_ALL!G:G, "")</f>
        <v>7120_20240611_0002_R_0346.jpg</v>
      </c>
      <c r="G1427" s="93" t="str">
        <f t="shared" si="78"/>
        <v>7120_20240611_0002_R_0346.jpg</v>
      </c>
      <c r="H1427" s="75">
        <v>1</v>
      </c>
      <c r="J1427" s="79">
        <f>IF(G1427="","X",_xlfn.XLOOKUP(B1427,DATA_Moresby_2024_ALL!B:B,DATA_Moresby_2024_ALL!K:K,""))</f>
        <v>1</v>
      </c>
      <c r="K1427" s="28"/>
      <c r="L1427" s="29"/>
      <c r="M1427" s="28"/>
      <c r="N1427" s="19">
        <f t="shared" si="75"/>
        <v>4</v>
      </c>
      <c r="O1427" s="19">
        <f t="shared" si="74"/>
        <v>4</v>
      </c>
      <c r="P1427" s="19">
        <f t="shared" si="74"/>
        <v>4</v>
      </c>
      <c r="Q1427" s="19">
        <v>3</v>
      </c>
      <c r="X1427" s="92">
        <v>4</v>
      </c>
      <c r="Y1427" s="92">
        <v>4</v>
      </c>
      <c r="Z1427" s="92">
        <v>3</v>
      </c>
    </row>
    <row r="1428" spans="1:26" ht="16" x14ac:dyDescent="0.4">
      <c r="A1428" s="92">
        <v>7124</v>
      </c>
      <c r="B1428" s="75">
        <v>7125</v>
      </c>
      <c r="E1428" s="92">
        <v>50</v>
      </c>
      <c r="F1428" s="92" t="str">
        <f>_xlfn.XLOOKUP(B1428, DATA_Moresby_2024_ALL!B:B, DATA_Moresby_2024_ALL!G:G, "")</f>
        <v>7125_20240611_0002_R_0331.jpg</v>
      </c>
      <c r="G1428" s="93" t="str">
        <f t="shared" si="78"/>
        <v>7125_20240611_0002_R_0331.jpg</v>
      </c>
      <c r="H1428" s="75">
        <v>1</v>
      </c>
      <c r="J1428" s="79">
        <f>IF(G1428="","X",_xlfn.XLOOKUP(B1428,DATA_Moresby_2024_ALL!B:B,DATA_Moresby_2024_ALL!K:K,""))</f>
        <v>1</v>
      </c>
      <c r="K1428" s="28"/>
      <c r="L1428" s="29"/>
      <c r="M1428" s="28"/>
      <c r="N1428" s="19">
        <f t="shared" si="75"/>
        <v>4</v>
      </c>
      <c r="O1428" s="19">
        <f t="shared" si="74"/>
        <v>4</v>
      </c>
      <c r="P1428" s="19">
        <f t="shared" si="74"/>
        <v>4</v>
      </c>
      <c r="Q1428" s="19">
        <f t="shared" si="74"/>
        <v>4</v>
      </c>
      <c r="X1428" s="92">
        <v>4</v>
      </c>
      <c r="Y1428" s="92">
        <v>4</v>
      </c>
      <c r="Z1428" s="92">
        <v>2</v>
      </c>
    </row>
    <row r="1429" spans="1:26" ht="16" x14ac:dyDescent="0.4">
      <c r="A1429" s="92">
        <v>7129</v>
      </c>
      <c r="B1429" s="75">
        <v>7130</v>
      </c>
      <c r="E1429" s="92">
        <v>50</v>
      </c>
      <c r="F1429" s="92" t="str">
        <f>_xlfn.XLOOKUP(B1429, DATA_Moresby_2024_ALL!B:B, DATA_Moresby_2024_ALL!G:G, "")</f>
        <v>7130_20240611_0002_R_0315.jpg</v>
      </c>
      <c r="G1429" s="93" t="str">
        <f t="shared" si="78"/>
        <v>7130_20240611_0002_R_0315.jpg</v>
      </c>
      <c r="H1429" s="75">
        <v>1</v>
      </c>
      <c r="J1429" s="79">
        <f>IF(G1429="","X",_xlfn.XLOOKUP(B1429,DATA_Moresby_2024_ALL!B:B,DATA_Moresby_2024_ALL!K:K,""))</f>
        <v>1</v>
      </c>
      <c r="K1429" s="28"/>
      <c r="L1429" s="29"/>
      <c r="M1429" s="28"/>
      <c r="N1429" s="19">
        <f t="shared" si="75"/>
        <v>4</v>
      </c>
      <c r="O1429" s="19">
        <f t="shared" si="74"/>
        <v>4</v>
      </c>
      <c r="P1429" s="19">
        <f t="shared" si="74"/>
        <v>4</v>
      </c>
      <c r="Q1429" s="19">
        <v>3</v>
      </c>
      <c r="X1429" s="92">
        <v>4</v>
      </c>
      <c r="Y1429" s="92">
        <v>4</v>
      </c>
      <c r="Z1429" s="92">
        <v>3</v>
      </c>
    </row>
    <row r="1430" spans="1:26" ht="16" x14ac:dyDescent="0.4">
      <c r="A1430" s="92">
        <v>7134</v>
      </c>
      <c r="B1430" s="75">
        <v>7135</v>
      </c>
      <c r="E1430" s="92">
        <v>50</v>
      </c>
      <c r="F1430" s="92" t="str">
        <f>_xlfn.XLOOKUP(B1430, DATA_Moresby_2024_ALL!B:B, DATA_Moresby_2024_ALL!G:G, "")</f>
        <v>7135_20240611_0002_R_0300.jpg</v>
      </c>
      <c r="G1430" s="93" t="str">
        <f t="shared" si="78"/>
        <v>7135_20240611_0002_R_0300.jpg</v>
      </c>
      <c r="H1430" s="75">
        <v>1</v>
      </c>
      <c r="J1430" s="79">
        <f>IF(G1430="","X",_xlfn.XLOOKUP(B1430,DATA_Moresby_2024_ALL!B:B,DATA_Moresby_2024_ALL!K:K,""))</f>
        <v>1</v>
      </c>
      <c r="K1430" s="28"/>
      <c r="L1430" s="29"/>
      <c r="M1430" s="28"/>
      <c r="N1430" s="19">
        <f t="shared" si="75"/>
        <v>4</v>
      </c>
      <c r="O1430" s="19">
        <f t="shared" si="74"/>
        <v>4</v>
      </c>
      <c r="P1430" s="19">
        <f t="shared" si="74"/>
        <v>4</v>
      </c>
      <c r="Q1430" s="19">
        <f t="shared" si="74"/>
        <v>4</v>
      </c>
      <c r="X1430" s="92">
        <v>4</v>
      </c>
      <c r="Y1430" s="92">
        <v>4</v>
      </c>
      <c r="Z1430" s="92">
        <v>3</v>
      </c>
    </row>
    <row r="1431" spans="1:26" ht="16" x14ac:dyDescent="0.4">
      <c r="A1431" s="92">
        <v>7139</v>
      </c>
      <c r="B1431" s="75">
        <v>7140</v>
      </c>
      <c r="E1431" s="92">
        <v>50</v>
      </c>
      <c r="F1431" s="92" t="str">
        <f>_xlfn.XLOOKUP(B1431, DATA_Moresby_2024_ALL!B:B, DATA_Moresby_2024_ALL!G:G, "")</f>
        <v>7140_20240611_0002_R_0286.jpg</v>
      </c>
      <c r="G1431" s="93" t="str">
        <f t="shared" si="78"/>
        <v>7140_20240611_0002_R_0286.jpg</v>
      </c>
      <c r="H1431" s="75">
        <v>1</v>
      </c>
      <c r="J1431" s="79">
        <f>IF(G1431="","X",_xlfn.XLOOKUP(B1431,DATA_Moresby_2024_ALL!B:B,DATA_Moresby_2024_ALL!K:K,""))</f>
        <v>1</v>
      </c>
      <c r="K1431" s="28"/>
      <c r="L1431" s="29"/>
      <c r="M1431" s="28"/>
      <c r="N1431" s="19">
        <f t="shared" si="75"/>
        <v>4</v>
      </c>
      <c r="O1431" s="19">
        <f t="shared" si="74"/>
        <v>4</v>
      </c>
      <c r="P1431" s="19">
        <f t="shared" si="74"/>
        <v>4</v>
      </c>
      <c r="Q1431" s="19">
        <v>3</v>
      </c>
      <c r="X1431" s="92">
        <v>4</v>
      </c>
      <c r="Y1431" s="92">
        <v>4</v>
      </c>
      <c r="Z1431" s="92">
        <v>3</v>
      </c>
    </row>
    <row r="1432" spans="1:26" ht="16" x14ac:dyDescent="0.4">
      <c r="A1432" s="92">
        <v>7144</v>
      </c>
      <c r="B1432" s="75">
        <v>7145</v>
      </c>
      <c r="E1432" s="92">
        <v>50</v>
      </c>
      <c r="F1432" s="92" t="str">
        <f>_xlfn.XLOOKUP(B1432, DATA_Moresby_2024_ALL!B:B, DATA_Moresby_2024_ALL!G:G, "")</f>
        <v>7145_20240611_0002_R_0273.jpg</v>
      </c>
      <c r="G1432" s="93" t="str">
        <f t="shared" si="78"/>
        <v>7145_20240611_0002_R_0273.jpg</v>
      </c>
      <c r="H1432" s="75">
        <v>1</v>
      </c>
      <c r="J1432" s="79">
        <f>IF(G1432="","X",_xlfn.XLOOKUP(B1432,DATA_Moresby_2024_ALL!B:B,DATA_Moresby_2024_ALL!K:K,""))</f>
        <v>1</v>
      </c>
      <c r="K1432" s="28"/>
      <c r="L1432" s="29"/>
      <c r="M1432" s="28"/>
      <c r="N1432" s="19">
        <f t="shared" si="75"/>
        <v>4</v>
      </c>
      <c r="O1432" s="19">
        <f t="shared" si="74"/>
        <v>4</v>
      </c>
      <c r="P1432" s="19">
        <f t="shared" si="74"/>
        <v>4</v>
      </c>
      <c r="Q1432" s="19">
        <v>3</v>
      </c>
      <c r="X1432" s="92">
        <v>4</v>
      </c>
      <c r="Y1432" s="92">
        <v>4</v>
      </c>
      <c r="Z1432" s="92">
        <v>3</v>
      </c>
    </row>
    <row r="1433" spans="1:26" ht="16" x14ac:dyDescent="0.4">
      <c r="A1433" s="92">
        <v>7149</v>
      </c>
      <c r="B1433" s="75">
        <v>7150</v>
      </c>
      <c r="E1433" s="92">
        <v>50</v>
      </c>
      <c r="F1433" s="92" t="str">
        <f>_xlfn.XLOOKUP(B1433, DATA_Moresby_2024_ALL!B:B, DATA_Moresby_2024_ALL!G:G, "")</f>
        <v>7150_20240611_0002_R_0257.jpg</v>
      </c>
      <c r="G1433" s="93" t="str">
        <f t="shared" si="78"/>
        <v>7150_20240611_0002_R_0257.jpg</v>
      </c>
      <c r="H1433" s="75">
        <v>1</v>
      </c>
      <c r="J1433" s="79">
        <f>IF(G1433="","X",_xlfn.XLOOKUP(B1433,DATA_Moresby_2024_ALL!B:B,DATA_Moresby_2024_ALL!K:K,""))</f>
        <v>1</v>
      </c>
      <c r="K1433" s="28"/>
      <c r="L1433" s="29"/>
      <c r="M1433" s="28"/>
      <c r="N1433" s="19">
        <f t="shared" si="75"/>
        <v>4</v>
      </c>
      <c r="O1433" s="19">
        <f t="shared" si="74"/>
        <v>4</v>
      </c>
      <c r="P1433" s="19">
        <f t="shared" si="74"/>
        <v>4</v>
      </c>
      <c r="Q1433" s="19">
        <v>3</v>
      </c>
      <c r="X1433" s="92">
        <v>4</v>
      </c>
      <c r="Y1433" s="92">
        <v>4</v>
      </c>
      <c r="Z1433" s="92">
        <v>3</v>
      </c>
    </row>
    <row r="1434" spans="1:26" ht="16" x14ac:dyDescent="0.4">
      <c r="A1434" s="92">
        <v>7154</v>
      </c>
      <c r="B1434" s="75">
        <v>7155</v>
      </c>
      <c r="E1434" s="92">
        <v>50</v>
      </c>
      <c r="F1434" s="92" t="str">
        <f>_xlfn.XLOOKUP(B1434, DATA_Moresby_2024_ALL!B:B, DATA_Moresby_2024_ALL!G:G, "")</f>
        <v>7155_20240611_0002_R_0241.jpg</v>
      </c>
      <c r="G1434" s="93" t="str">
        <f t="shared" si="78"/>
        <v>7155_20240611_0002_R_0241.jpg</v>
      </c>
      <c r="H1434" s="75">
        <v>1</v>
      </c>
      <c r="J1434" s="79">
        <f>IF(G1434="","X",_xlfn.XLOOKUP(B1434,DATA_Moresby_2024_ALL!B:B,DATA_Moresby_2024_ALL!K:K,""))</f>
        <v>1</v>
      </c>
      <c r="K1434" s="28"/>
      <c r="L1434" s="29"/>
      <c r="M1434" s="28"/>
      <c r="N1434" s="19">
        <f t="shared" si="75"/>
        <v>4</v>
      </c>
      <c r="O1434" s="19">
        <f t="shared" si="74"/>
        <v>4</v>
      </c>
      <c r="P1434" s="19">
        <f t="shared" si="74"/>
        <v>4</v>
      </c>
      <c r="Q1434" s="19">
        <v>3</v>
      </c>
      <c r="X1434" s="92">
        <v>4</v>
      </c>
      <c r="Y1434" s="92">
        <v>4</v>
      </c>
      <c r="Z1434" s="92">
        <v>4</v>
      </c>
    </row>
    <row r="1435" spans="1:26" ht="16" x14ac:dyDescent="0.4">
      <c r="A1435" s="92">
        <v>7159</v>
      </c>
      <c r="B1435" s="75">
        <v>7160</v>
      </c>
      <c r="E1435" s="92">
        <v>50</v>
      </c>
      <c r="F1435" s="92" t="str">
        <f>_xlfn.XLOOKUP(B1435, DATA_Moresby_2024_ALL!B:B, DATA_Moresby_2024_ALL!G:G, "")</f>
        <v>7160_20240611_0002_R_0222.jpg</v>
      </c>
      <c r="G1435" s="93" t="str">
        <f t="shared" si="78"/>
        <v>7160_20240611_0002_R_0222.jpg</v>
      </c>
      <c r="H1435" s="75">
        <v>1</v>
      </c>
      <c r="J1435" s="79">
        <f>IF(G1435="","X",_xlfn.XLOOKUP(B1435,DATA_Moresby_2024_ALL!B:B,DATA_Moresby_2024_ALL!K:K,""))</f>
        <v>1</v>
      </c>
      <c r="K1435" s="28"/>
      <c r="L1435" s="29"/>
      <c r="M1435" s="28"/>
      <c r="N1435" s="19">
        <f t="shared" si="75"/>
        <v>4</v>
      </c>
      <c r="O1435" s="19">
        <f t="shared" si="74"/>
        <v>4</v>
      </c>
      <c r="P1435" s="19">
        <f t="shared" si="74"/>
        <v>4</v>
      </c>
      <c r="Q1435" s="19">
        <f t="shared" si="74"/>
        <v>4</v>
      </c>
      <c r="X1435" s="92">
        <v>4</v>
      </c>
      <c r="Y1435" s="92">
        <v>4</v>
      </c>
      <c r="Z1435" s="92">
        <v>4</v>
      </c>
    </row>
    <row r="1436" spans="1:26" ht="16" x14ac:dyDescent="0.4">
      <c r="A1436" s="92">
        <v>7164</v>
      </c>
      <c r="B1436" s="75">
        <v>7165</v>
      </c>
      <c r="E1436" s="92">
        <v>50</v>
      </c>
      <c r="F1436" s="92" t="str">
        <f>_xlfn.XLOOKUP(B1436, DATA_Moresby_2024_ALL!B:B, DATA_Moresby_2024_ALL!G:G, "")</f>
        <v>7165_20240611_0002_R_0206.jpg</v>
      </c>
      <c r="G1436" s="93" t="str">
        <f t="shared" si="78"/>
        <v>7165_20240611_0002_R_0206.jpg</v>
      </c>
      <c r="H1436" s="75">
        <v>1</v>
      </c>
      <c r="J1436" s="79">
        <f>IF(G1436="","X",_xlfn.XLOOKUP(B1436,DATA_Moresby_2024_ALL!B:B,DATA_Moresby_2024_ALL!K:K,""))</f>
        <v>1</v>
      </c>
      <c r="K1436" s="28"/>
      <c r="L1436" s="29"/>
      <c r="M1436" s="28"/>
      <c r="N1436" s="19">
        <f t="shared" si="75"/>
        <v>4</v>
      </c>
      <c r="O1436" s="19">
        <f t="shared" si="74"/>
        <v>4</v>
      </c>
      <c r="P1436" s="19">
        <f t="shared" si="74"/>
        <v>4</v>
      </c>
      <c r="Q1436" s="19">
        <f t="shared" si="74"/>
        <v>4</v>
      </c>
      <c r="X1436" s="92">
        <v>4</v>
      </c>
      <c r="Y1436" s="92">
        <v>4</v>
      </c>
      <c r="Z1436" s="92">
        <v>4</v>
      </c>
    </row>
    <row r="1437" spans="1:26" ht="16" x14ac:dyDescent="0.4">
      <c r="A1437" s="92">
        <v>7169</v>
      </c>
      <c r="B1437" s="75">
        <v>7170</v>
      </c>
      <c r="E1437" s="92">
        <v>50</v>
      </c>
      <c r="F1437" s="92" t="str">
        <f>_xlfn.XLOOKUP(B1437, DATA_Moresby_2024_ALL!B:B, DATA_Moresby_2024_ALL!G:G, "")</f>
        <v>7170_20240611_0002_R_0187.jpg</v>
      </c>
      <c r="G1437" s="93" t="str">
        <f t="shared" si="78"/>
        <v>7170_20240611_0002_R_0187.jpg</v>
      </c>
      <c r="H1437" s="75">
        <v>1</v>
      </c>
      <c r="J1437" s="79">
        <f>IF(G1437="","X",_xlfn.XLOOKUP(B1437,DATA_Moresby_2024_ALL!B:B,DATA_Moresby_2024_ALL!K:K,""))</f>
        <v>1</v>
      </c>
      <c r="K1437" s="28"/>
      <c r="L1437" s="29"/>
      <c r="M1437" s="28"/>
      <c r="N1437" s="19">
        <f t="shared" si="75"/>
        <v>4</v>
      </c>
      <c r="O1437" s="19">
        <f t="shared" si="75"/>
        <v>4</v>
      </c>
      <c r="P1437" s="19">
        <f t="shared" si="75"/>
        <v>4</v>
      </c>
      <c r="Q1437" s="19">
        <f t="shared" si="75"/>
        <v>4</v>
      </c>
      <c r="X1437" s="92">
        <v>4</v>
      </c>
      <c r="Y1437" s="92">
        <v>4</v>
      </c>
      <c r="Z1437" s="92">
        <v>4</v>
      </c>
    </row>
    <row r="1438" spans="1:26" ht="16" x14ac:dyDescent="0.4">
      <c r="A1438" s="92">
        <v>7174</v>
      </c>
      <c r="B1438" s="75">
        <v>7175</v>
      </c>
      <c r="E1438" s="92">
        <v>50</v>
      </c>
      <c r="F1438" s="92" t="str">
        <f>_xlfn.XLOOKUP(B1438, DATA_Moresby_2024_ALL!B:B, DATA_Moresby_2024_ALL!G:G, "")</f>
        <v>7175_20240611_0002_R_0166.jpg</v>
      </c>
      <c r="G1438" s="93" t="str">
        <f t="shared" si="78"/>
        <v>7175_20240611_0002_R_0166.jpg</v>
      </c>
      <c r="H1438" s="75">
        <v>1</v>
      </c>
      <c r="J1438" s="79">
        <f>IF(G1438="","X",_xlfn.XLOOKUP(B1438,DATA_Moresby_2024_ALL!B:B,DATA_Moresby_2024_ALL!K:K,""))</f>
        <v>1</v>
      </c>
      <c r="K1438" s="28"/>
      <c r="L1438" s="29"/>
      <c r="M1438" s="28"/>
      <c r="N1438" s="19">
        <f t="shared" ref="N1438:Q1501" si="79">IF($J1438=1,4,"")</f>
        <v>4</v>
      </c>
      <c r="O1438" s="19">
        <f t="shared" si="79"/>
        <v>4</v>
      </c>
      <c r="P1438" s="19">
        <f t="shared" si="79"/>
        <v>4</v>
      </c>
      <c r="Q1438" s="19">
        <f t="shared" si="79"/>
        <v>4</v>
      </c>
      <c r="X1438" s="92">
        <v>4</v>
      </c>
      <c r="Y1438" s="92">
        <v>4</v>
      </c>
      <c r="Z1438" s="92">
        <v>3</v>
      </c>
    </row>
    <row r="1439" spans="1:26" ht="16" x14ac:dyDescent="0.4">
      <c r="A1439" s="92">
        <v>7179</v>
      </c>
      <c r="B1439" s="75">
        <v>7180</v>
      </c>
      <c r="E1439" s="92">
        <v>50</v>
      </c>
      <c r="F1439" s="92" t="str">
        <f>_xlfn.XLOOKUP(B1439, DATA_Moresby_2024_ALL!B:B, DATA_Moresby_2024_ALL!G:G, "")</f>
        <v>7180_20240611_0002_R_0148.jpg</v>
      </c>
      <c r="G1439" s="93" t="str">
        <f t="shared" si="78"/>
        <v>7180_20240611_0002_R_0148.jpg</v>
      </c>
      <c r="H1439" s="75">
        <v>1</v>
      </c>
      <c r="J1439" s="79">
        <f>IF(G1439="","X",_xlfn.XLOOKUP(B1439,DATA_Moresby_2024_ALL!B:B,DATA_Moresby_2024_ALL!K:K,""))</f>
        <v>1</v>
      </c>
      <c r="K1439" s="28"/>
      <c r="L1439" s="29"/>
      <c r="M1439" s="28"/>
      <c r="N1439" s="19">
        <f t="shared" si="79"/>
        <v>4</v>
      </c>
      <c r="O1439" s="19">
        <f t="shared" si="79"/>
        <v>4</v>
      </c>
      <c r="P1439" s="19">
        <f t="shared" si="79"/>
        <v>4</v>
      </c>
      <c r="Q1439" s="19">
        <f t="shared" si="79"/>
        <v>4</v>
      </c>
      <c r="X1439" s="92">
        <v>4</v>
      </c>
      <c r="Y1439" s="92">
        <v>4</v>
      </c>
      <c r="Z1439" s="92">
        <v>3</v>
      </c>
    </row>
    <row r="1440" spans="1:26" ht="16" x14ac:dyDescent="0.4">
      <c r="A1440" s="92">
        <v>7184</v>
      </c>
      <c r="B1440" s="75">
        <v>7185</v>
      </c>
      <c r="E1440" s="92">
        <v>50</v>
      </c>
      <c r="F1440" s="92" t="str">
        <f>_xlfn.XLOOKUP(B1440, DATA_Moresby_2024_ALL!B:B, DATA_Moresby_2024_ALL!G:G, "")</f>
        <v>7185_20240611_0002_R_0128.jpg</v>
      </c>
      <c r="G1440" s="93" t="str">
        <f t="shared" si="78"/>
        <v>7185_20240611_0002_R_0128.jpg</v>
      </c>
      <c r="H1440" s="75">
        <v>1</v>
      </c>
      <c r="J1440" s="79">
        <f>IF(G1440="","X",_xlfn.XLOOKUP(B1440,DATA_Moresby_2024_ALL!B:B,DATA_Moresby_2024_ALL!K:K,""))</f>
        <v>1</v>
      </c>
      <c r="K1440" s="28"/>
      <c r="L1440" s="29"/>
      <c r="M1440" s="28"/>
      <c r="N1440" s="19">
        <f t="shared" si="79"/>
        <v>4</v>
      </c>
      <c r="O1440" s="19">
        <f t="shared" si="79"/>
        <v>4</v>
      </c>
      <c r="P1440" s="19">
        <f t="shared" si="79"/>
        <v>4</v>
      </c>
      <c r="Q1440" s="19">
        <f t="shared" si="79"/>
        <v>4</v>
      </c>
      <c r="X1440" s="92">
        <v>4</v>
      </c>
      <c r="Y1440" s="92">
        <v>4</v>
      </c>
      <c r="Z1440" s="92">
        <v>3</v>
      </c>
    </row>
    <row r="1441" spans="1:26" ht="16" x14ac:dyDescent="0.4">
      <c r="A1441" s="92">
        <v>7189</v>
      </c>
      <c r="B1441" s="75">
        <v>7190</v>
      </c>
      <c r="E1441" s="92">
        <v>50</v>
      </c>
      <c r="F1441" s="92" t="str">
        <f>_xlfn.XLOOKUP(B1441, DATA_Moresby_2024_ALL!B:B, DATA_Moresby_2024_ALL!G:G, "")</f>
        <v>7190_20240611_0002_R_0113.jpg</v>
      </c>
      <c r="G1441" s="93" t="str">
        <f t="shared" si="78"/>
        <v>7190_20240611_0002_R_0113.jpg</v>
      </c>
      <c r="H1441" s="75">
        <v>1</v>
      </c>
      <c r="J1441" s="79">
        <f>IF(G1441="","X",_xlfn.XLOOKUP(B1441,DATA_Moresby_2024_ALL!B:B,DATA_Moresby_2024_ALL!K:K,""))</f>
        <v>1</v>
      </c>
      <c r="K1441" s="28"/>
      <c r="L1441" s="29"/>
      <c r="M1441" s="28"/>
      <c r="N1441" s="19">
        <f t="shared" si="79"/>
        <v>4</v>
      </c>
      <c r="O1441" s="19">
        <f t="shared" si="79"/>
        <v>4</v>
      </c>
      <c r="P1441" s="19">
        <f t="shared" si="79"/>
        <v>4</v>
      </c>
      <c r="Q1441" s="19">
        <v>3</v>
      </c>
      <c r="X1441" s="92">
        <v>4</v>
      </c>
      <c r="Y1441" s="92">
        <v>4</v>
      </c>
      <c r="Z1441" s="92">
        <v>3</v>
      </c>
    </row>
    <row r="1442" spans="1:26" ht="16" x14ac:dyDescent="0.4">
      <c r="A1442" s="92">
        <v>7194</v>
      </c>
      <c r="B1442" s="75">
        <v>7195</v>
      </c>
      <c r="E1442" s="92">
        <v>50</v>
      </c>
      <c r="F1442" s="92" t="str">
        <f>_xlfn.XLOOKUP(B1442, DATA_Moresby_2024_ALL!B:B, DATA_Moresby_2024_ALL!G:G, "")</f>
        <v>7195_20240611_0002_R_0099.jpg</v>
      </c>
      <c r="G1442" s="93" t="str">
        <f t="shared" si="78"/>
        <v>7195_20240611_0002_R_0099.jpg</v>
      </c>
      <c r="H1442" s="75">
        <v>1</v>
      </c>
      <c r="J1442" s="79">
        <f>IF(G1442="","X",_xlfn.XLOOKUP(B1442,DATA_Moresby_2024_ALL!B:B,DATA_Moresby_2024_ALL!K:K,""))</f>
        <v>1</v>
      </c>
      <c r="K1442" s="28"/>
      <c r="L1442" s="29"/>
      <c r="M1442" s="28"/>
      <c r="N1442" s="19">
        <f t="shared" si="79"/>
        <v>4</v>
      </c>
      <c r="O1442" s="19">
        <f t="shared" si="79"/>
        <v>4</v>
      </c>
      <c r="P1442" s="19">
        <f t="shared" si="79"/>
        <v>4</v>
      </c>
      <c r="Q1442" s="19">
        <f t="shared" si="79"/>
        <v>4</v>
      </c>
      <c r="X1442" s="92">
        <v>4</v>
      </c>
      <c r="Y1442" s="92">
        <v>4</v>
      </c>
      <c r="Z1442" s="92">
        <v>3</v>
      </c>
    </row>
    <row r="1443" spans="1:26" ht="16" x14ac:dyDescent="0.4">
      <c r="A1443" s="92">
        <v>7199</v>
      </c>
      <c r="B1443" s="75">
        <v>7200</v>
      </c>
      <c r="E1443" s="92">
        <v>50</v>
      </c>
      <c r="F1443" s="92" t="str">
        <f>_xlfn.XLOOKUP(B1443, DATA_Moresby_2024_ALL!B:B, DATA_Moresby_2024_ALL!G:G, "")</f>
        <v>7200_20240611_0002_R_0077.jpg</v>
      </c>
      <c r="G1443" s="93" t="str">
        <f t="shared" si="78"/>
        <v>7200_20240611_0002_R_0077.jpg</v>
      </c>
      <c r="H1443" s="75">
        <v>1</v>
      </c>
      <c r="J1443" s="79">
        <f>IF(G1443="","X",_xlfn.XLOOKUP(B1443,DATA_Moresby_2024_ALL!B:B,DATA_Moresby_2024_ALL!K:K,""))</f>
        <v>1</v>
      </c>
      <c r="K1443" s="28"/>
      <c r="L1443" s="29"/>
      <c r="M1443" s="28"/>
      <c r="N1443" s="19">
        <f t="shared" si="79"/>
        <v>4</v>
      </c>
      <c r="O1443" s="19">
        <f t="shared" si="79"/>
        <v>4</v>
      </c>
      <c r="P1443" s="19">
        <f t="shared" si="79"/>
        <v>4</v>
      </c>
      <c r="Q1443" s="19">
        <f t="shared" si="79"/>
        <v>4</v>
      </c>
      <c r="X1443" s="92">
        <v>4</v>
      </c>
      <c r="Y1443" s="92">
        <v>4</v>
      </c>
      <c r="Z1443" s="92">
        <v>3</v>
      </c>
    </row>
    <row r="1444" spans="1:26" ht="16" x14ac:dyDescent="0.4">
      <c r="A1444" s="92">
        <v>7204</v>
      </c>
      <c r="B1444" s="75">
        <v>7205</v>
      </c>
      <c r="E1444" s="92">
        <v>50</v>
      </c>
      <c r="F1444" s="92">
        <f>_xlfn.XLOOKUP(B1444, DATA_Moresby_2024_ALL!B:B, DATA_Moresby_2024_ALL!G:G, "")</f>
        <v>0</v>
      </c>
      <c r="G1444" s="93"/>
      <c r="H1444" s="75">
        <v>1</v>
      </c>
      <c r="I1444" s="92" t="str">
        <f t="shared" ref="I1444:I1507" si="80">IF(G1444="","X","")</f>
        <v>X</v>
      </c>
      <c r="J1444" s="79" t="str">
        <f>IF(G1444="","X",_xlfn.XLOOKUP(B1444,DATA_Moresby_2024_ALL!B:B,DATA_Moresby_2024_ALL!K:K,""))</f>
        <v>X</v>
      </c>
      <c r="K1444" s="28"/>
      <c r="L1444" s="29"/>
      <c r="M1444" s="28"/>
      <c r="N1444" s="19" t="str">
        <f t="shared" si="79"/>
        <v/>
      </c>
      <c r="O1444" s="19" t="str">
        <f t="shared" si="79"/>
        <v/>
      </c>
      <c r="P1444" s="19" t="str">
        <f t="shared" si="79"/>
        <v/>
      </c>
      <c r="Q1444" s="19" t="str">
        <f t="shared" si="79"/>
        <v/>
      </c>
      <c r="X1444" s="92">
        <v>4</v>
      </c>
      <c r="Y1444" s="92">
        <v>4</v>
      </c>
      <c r="Z1444" s="92">
        <v>4</v>
      </c>
    </row>
    <row r="1445" spans="1:26" ht="16" hidden="1" x14ac:dyDescent="0.4">
      <c r="A1445" s="92">
        <v>7209</v>
      </c>
      <c r="B1445" s="92">
        <v>7210</v>
      </c>
      <c r="E1445" s="92">
        <v>50</v>
      </c>
      <c r="F1445" s="92" t="str">
        <f>_xlfn.XLOOKUP(B1445, DATA_Moresby_2024_ALL!B:B, DATA_Moresby_2024_ALL!G:G, "")</f>
        <v>7210_20240611_0001_R_1009.jpg</v>
      </c>
      <c r="G1445" s="93" t="str">
        <f t="shared" si="78"/>
        <v>7210_20240611_0001_R_1009.jpg</v>
      </c>
      <c r="H1445" s="92">
        <v>7</v>
      </c>
      <c r="I1445" s="92" t="str">
        <f t="shared" si="80"/>
        <v/>
      </c>
      <c r="J1445" s="79">
        <f>IF(G1445="","X",_xlfn.XLOOKUP(B1445,DATA_Moresby_2024_ALL!B:B,DATA_Moresby_2024_ALL!K:K,""))</f>
        <v>0</v>
      </c>
      <c r="K1445" s="28"/>
      <c r="L1445" s="29"/>
      <c r="M1445" s="28"/>
      <c r="N1445" s="19"/>
      <c r="O1445" s="19"/>
      <c r="P1445" s="19" t="str">
        <f t="shared" si="79"/>
        <v/>
      </c>
      <c r="Q1445" s="19"/>
      <c r="X1445" s="92" t="s">
        <v>78</v>
      </c>
      <c r="Y1445" s="92" t="s">
        <v>78</v>
      </c>
      <c r="Z1445" s="92" t="s">
        <v>78</v>
      </c>
    </row>
    <row r="1446" spans="1:26" ht="16" hidden="1" x14ac:dyDescent="0.4">
      <c r="A1446" s="92">
        <v>7214</v>
      </c>
      <c r="B1446" s="92">
        <v>7215</v>
      </c>
      <c r="E1446" s="92">
        <v>50</v>
      </c>
      <c r="F1446" s="92" t="str">
        <f>_xlfn.XLOOKUP(B1446, DATA_Moresby_2024_ALL!B:B, DATA_Moresby_2024_ALL!G:G, "")</f>
        <v>7215_20240611_0001_R_0995.jpg</v>
      </c>
      <c r="G1446" s="93" t="str">
        <f t="shared" si="78"/>
        <v>7215_20240611_0001_R_0995.jpg</v>
      </c>
      <c r="H1446" s="92">
        <v>7</v>
      </c>
      <c r="I1446" s="92" t="str">
        <f t="shared" si="80"/>
        <v/>
      </c>
      <c r="J1446" s="79">
        <f>IF(G1446="","X",_xlfn.XLOOKUP(B1446,DATA_Moresby_2024_ALL!B:B,DATA_Moresby_2024_ALL!K:K,""))</f>
        <v>0</v>
      </c>
      <c r="K1446" s="28"/>
      <c r="L1446" s="29"/>
      <c r="M1446" s="28"/>
      <c r="N1446" s="19"/>
      <c r="O1446" s="19"/>
      <c r="P1446" s="19" t="str">
        <f t="shared" si="79"/>
        <v/>
      </c>
      <c r="Q1446" s="19"/>
      <c r="X1446" s="92" t="s">
        <v>78</v>
      </c>
      <c r="Y1446" s="92" t="s">
        <v>78</v>
      </c>
      <c r="Z1446" s="92" t="s">
        <v>78</v>
      </c>
    </row>
    <row r="1447" spans="1:26" ht="16" hidden="1" x14ac:dyDescent="0.4">
      <c r="A1447" s="92">
        <v>7219</v>
      </c>
      <c r="B1447" s="92">
        <v>7220</v>
      </c>
      <c r="E1447" s="92">
        <v>50</v>
      </c>
      <c r="F1447" s="92">
        <f>_xlfn.XLOOKUP(B1447, DATA_Moresby_2024_ALL!B:B, DATA_Moresby_2024_ALL!G:G, "")</f>
        <v>0</v>
      </c>
      <c r="G1447" s="93"/>
      <c r="H1447" s="92">
        <v>7</v>
      </c>
      <c r="I1447" s="92" t="str">
        <f t="shared" si="80"/>
        <v>X</v>
      </c>
      <c r="J1447" s="79" t="str">
        <f>IF(G1447="","X",_xlfn.XLOOKUP(B1447,DATA_Moresby_2024_ALL!B:B,DATA_Moresby_2024_ALL!K:K,""))</f>
        <v>X</v>
      </c>
      <c r="K1447" s="28"/>
      <c r="L1447" s="29"/>
      <c r="M1447" s="28"/>
      <c r="N1447" s="19" t="str">
        <f t="shared" si="79"/>
        <v/>
      </c>
      <c r="O1447" s="19" t="str">
        <f t="shared" si="79"/>
        <v/>
      </c>
      <c r="P1447" s="19" t="str">
        <f t="shared" si="79"/>
        <v/>
      </c>
      <c r="Q1447" s="19" t="str">
        <f t="shared" si="79"/>
        <v/>
      </c>
      <c r="X1447" s="92" t="s">
        <v>78</v>
      </c>
      <c r="Y1447" s="92" t="s">
        <v>78</v>
      </c>
      <c r="Z1447" s="92" t="s">
        <v>78</v>
      </c>
    </row>
    <row r="1448" spans="1:26" ht="16" hidden="1" x14ac:dyDescent="0.4">
      <c r="A1448" s="92">
        <v>7224</v>
      </c>
      <c r="B1448" s="92">
        <v>7225</v>
      </c>
      <c r="E1448" s="92">
        <v>50</v>
      </c>
      <c r="F1448" s="92" t="str">
        <f>_xlfn.XLOOKUP(B1448, DATA_Moresby_2024_ALL!B:B, DATA_Moresby_2024_ALL!G:G, "")</f>
        <v>7225_20240611_0001_R_0988.jpg</v>
      </c>
      <c r="G1448" s="93" t="str">
        <f t="shared" si="78"/>
        <v>7225_20240611_0001_R_0988.jpg</v>
      </c>
      <c r="H1448" s="92">
        <v>7</v>
      </c>
      <c r="I1448" s="92" t="str">
        <f t="shared" si="80"/>
        <v/>
      </c>
      <c r="J1448" s="79">
        <f>IF(G1448="","X",_xlfn.XLOOKUP(B1448,DATA_Moresby_2024_ALL!B:B,DATA_Moresby_2024_ALL!K:K,""))</f>
        <v>0</v>
      </c>
      <c r="K1448" s="28"/>
      <c r="L1448" s="29"/>
      <c r="M1448" s="28"/>
      <c r="N1448" s="19"/>
      <c r="O1448" s="19"/>
      <c r="P1448" s="19" t="str">
        <f t="shared" si="79"/>
        <v/>
      </c>
      <c r="Q1448" s="19"/>
      <c r="X1448" s="92" t="s">
        <v>78</v>
      </c>
      <c r="Y1448" s="92" t="s">
        <v>78</v>
      </c>
      <c r="Z1448" s="92" t="s">
        <v>78</v>
      </c>
    </row>
    <row r="1449" spans="1:26" ht="16" hidden="1" x14ac:dyDescent="0.4">
      <c r="A1449" s="92">
        <v>7229</v>
      </c>
      <c r="B1449" s="92">
        <v>7230</v>
      </c>
      <c r="E1449" s="92">
        <v>50</v>
      </c>
      <c r="F1449" s="92" t="str">
        <f>_xlfn.XLOOKUP(B1449, DATA_Moresby_2024_ALL!B:B, DATA_Moresby_2024_ALL!G:G, "")</f>
        <v>7230_20240611_0002_R_0009.jpg</v>
      </c>
      <c r="G1449" s="93" t="str">
        <f t="shared" si="78"/>
        <v>7230_20240611_0002_R_0009.jpg</v>
      </c>
      <c r="H1449" s="92">
        <v>7</v>
      </c>
      <c r="I1449" s="92" t="str">
        <f t="shared" si="80"/>
        <v/>
      </c>
      <c r="J1449" s="79">
        <f>IF(G1449="","X",_xlfn.XLOOKUP(B1449,DATA_Moresby_2024_ALL!B:B,DATA_Moresby_2024_ALL!K:K,""))</f>
        <v>0</v>
      </c>
      <c r="K1449" s="28"/>
      <c r="L1449" s="29"/>
      <c r="M1449" s="28"/>
      <c r="N1449" s="19"/>
      <c r="O1449" s="19"/>
      <c r="P1449" s="19" t="str">
        <f t="shared" si="79"/>
        <v/>
      </c>
      <c r="Q1449" s="19"/>
      <c r="X1449" s="92" t="s">
        <v>78</v>
      </c>
      <c r="Y1449" s="92" t="s">
        <v>78</v>
      </c>
      <c r="Z1449" s="92" t="s">
        <v>78</v>
      </c>
    </row>
    <row r="1450" spans="1:26" ht="16" hidden="1" x14ac:dyDescent="0.4">
      <c r="A1450" s="92">
        <v>7234</v>
      </c>
      <c r="B1450" s="92">
        <v>7235</v>
      </c>
      <c r="E1450" s="92">
        <v>50</v>
      </c>
      <c r="F1450" s="92" t="str">
        <f>_xlfn.XLOOKUP(B1450, DATA_Moresby_2024_ALL!B:B, DATA_Moresby_2024_ALL!G:G, "")</f>
        <v>7235_20240611_0001_R_0983.jpg</v>
      </c>
      <c r="G1450" s="93" t="str">
        <f t="shared" si="78"/>
        <v>7235_20240611_0001_R_0983.jpg</v>
      </c>
      <c r="H1450" s="92">
        <v>7</v>
      </c>
      <c r="I1450" s="92" t="str">
        <f t="shared" si="80"/>
        <v/>
      </c>
      <c r="J1450" s="79">
        <f>IF(G1450="","X",_xlfn.XLOOKUP(B1450,DATA_Moresby_2024_ALL!B:B,DATA_Moresby_2024_ALL!K:K,""))</f>
        <v>0</v>
      </c>
      <c r="K1450" s="28"/>
      <c r="L1450" s="29"/>
      <c r="M1450" s="28"/>
      <c r="N1450" s="19"/>
      <c r="O1450" s="19"/>
      <c r="P1450" s="19" t="str">
        <f t="shared" si="79"/>
        <v/>
      </c>
      <c r="Q1450" s="19"/>
      <c r="X1450" s="92" t="s">
        <v>78</v>
      </c>
      <c r="Y1450" s="92" t="s">
        <v>78</v>
      </c>
      <c r="Z1450" s="92" t="s">
        <v>78</v>
      </c>
    </row>
    <row r="1451" spans="1:26" ht="16" hidden="1" x14ac:dyDescent="0.4">
      <c r="A1451" s="92">
        <v>7239</v>
      </c>
      <c r="B1451" s="92">
        <v>7240</v>
      </c>
      <c r="E1451" s="92">
        <v>50</v>
      </c>
      <c r="F1451" s="92">
        <f>_xlfn.XLOOKUP(B1451, DATA_Moresby_2024_ALL!B:B, DATA_Moresby_2024_ALL!G:G, "")</f>
        <v>0</v>
      </c>
      <c r="G1451" s="93"/>
      <c r="H1451" s="92">
        <v>7</v>
      </c>
      <c r="I1451" s="92" t="str">
        <f t="shared" si="80"/>
        <v>X</v>
      </c>
      <c r="J1451" s="79" t="str">
        <f>IF(G1451="","X",_xlfn.XLOOKUP(B1451,DATA_Moresby_2024_ALL!B:B,DATA_Moresby_2024_ALL!K:K,""))</f>
        <v>X</v>
      </c>
      <c r="K1451" s="28"/>
      <c r="L1451" s="29"/>
      <c r="M1451" s="28"/>
      <c r="N1451" s="19" t="str">
        <f t="shared" si="79"/>
        <v/>
      </c>
      <c r="O1451" s="19" t="str">
        <f t="shared" si="79"/>
        <v/>
      </c>
      <c r="P1451" s="19" t="str">
        <f t="shared" si="79"/>
        <v/>
      </c>
      <c r="Q1451" s="19" t="str">
        <f t="shared" si="79"/>
        <v/>
      </c>
      <c r="X1451" s="92" t="s">
        <v>78</v>
      </c>
      <c r="Y1451" s="92" t="s">
        <v>78</v>
      </c>
      <c r="Z1451" s="92" t="s">
        <v>78</v>
      </c>
    </row>
    <row r="1452" spans="1:26" ht="16" hidden="1" x14ac:dyDescent="0.4">
      <c r="A1452" s="92">
        <v>7244</v>
      </c>
      <c r="B1452" s="92">
        <v>7245</v>
      </c>
      <c r="E1452" s="92">
        <v>50</v>
      </c>
      <c r="F1452" s="92">
        <f>_xlfn.XLOOKUP(B1452, DATA_Moresby_2024_ALL!B:B, DATA_Moresby_2024_ALL!G:G, "")</f>
        <v>0</v>
      </c>
      <c r="G1452" s="93"/>
      <c r="H1452" s="92">
        <v>7</v>
      </c>
      <c r="I1452" s="92" t="str">
        <f t="shared" si="80"/>
        <v>X</v>
      </c>
      <c r="J1452" s="79" t="str">
        <f>IF(G1452="","X",_xlfn.XLOOKUP(B1452,DATA_Moresby_2024_ALL!B:B,DATA_Moresby_2024_ALL!K:K,""))</f>
        <v>X</v>
      </c>
      <c r="K1452" s="28"/>
      <c r="L1452" s="29"/>
      <c r="M1452" s="28"/>
      <c r="N1452" s="19" t="str">
        <f t="shared" si="79"/>
        <v/>
      </c>
      <c r="O1452" s="19" t="str">
        <f t="shared" si="79"/>
        <v/>
      </c>
      <c r="P1452" s="19" t="str">
        <f t="shared" si="79"/>
        <v/>
      </c>
      <c r="Q1452" s="19" t="str">
        <f t="shared" si="79"/>
        <v/>
      </c>
      <c r="X1452" s="92" t="s">
        <v>78</v>
      </c>
      <c r="Y1452" s="92" t="s">
        <v>78</v>
      </c>
      <c r="Z1452" s="92" t="s">
        <v>78</v>
      </c>
    </row>
    <row r="1453" spans="1:26" ht="16" hidden="1" x14ac:dyDescent="0.4">
      <c r="A1453" s="92">
        <v>7249</v>
      </c>
      <c r="B1453" s="92">
        <v>7250</v>
      </c>
      <c r="E1453" s="92">
        <v>50</v>
      </c>
      <c r="F1453" s="92">
        <f>_xlfn.XLOOKUP(B1453, DATA_Moresby_2024_ALL!B:B, DATA_Moresby_2024_ALL!G:G, "")</f>
        <v>0</v>
      </c>
      <c r="G1453" s="93"/>
      <c r="H1453" s="92">
        <v>7</v>
      </c>
      <c r="I1453" s="92" t="str">
        <f t="shared" si="80"/>
        <v>X</v>
      </c>
      <c r="J1453" s="79" t="str">
        <f>IF(G1453="","X",_xlfn.XLOOKUP(B1453,DATA_Moresby_2024_ALL!B:B,DATA_Moresby_2024_ALL!K:K,""))</f>
        <v>X</v>
      </c>
      <c r="K1453" s="28"/>
      <c r="L1453" s="29"/>
      <c r="M1453" s="28"/>
      <c r="N1453" s="19" t="str">
        <f t="shared" si="79"/>
        <v/>
      </c>
      <c r="O1453" s="19" t="str">
        <f t="shared" si="79"/>
        <v/>
      </c>
      <c r="P1453" s="19" t="str">
        <f t="shared" si="79"/>
        <v/>
      </c>
      <c r="Q1453" s="19" t="str">
        <f t="shared" si="79"/>
        <v/>
      </c>
      <c r="X1453" s="92" t="s">
        <v>78</v>
      </c>
      <c r="Y1453" s="92" t="s">
        <v>78</v>
      </c>
      <c r="Z1453" s="92" t="s">
        <v>78</v>
      </c>
    </row>
    <row r="1454" spans="1:26" ht="16" hidden="1" x14ac:dyDescent="0.4">
      <c r="A1454" s="92">
        <v>7254</v>
      </c>
      <c r="B1454" s="92">
        <v>7255</v>
      </c>
      <c r="E1454" s="92">
        <v>50</v>
      </c>
      <c r="F1454" s="92">
        <f>_xlfn.XLOOKUP(B1454, DATA_Moresby_2024_ALL!B:B, DATA_Moresby_2024_ALL!G:G, "")</f>
        <v>0</v>
      </c>
      <c r="G1454" s="93"/>
      <c r="H1454" s="92">
        <v>7</v>
      </c>
      <c r="I1454" s="92" t="str">
        <f t="shared" si="80"/>
        <v>X</v>
      </c>
      <c r="J1454" s="79" t="str">
        <f>IF(G1454="","X",_xlfn.XLOOKUP(B1454,DATA_Moresby_2024_ALL!B:B,DATA_Moresby_2024_ALL!K:K,""))</f>
        <v>X</v>
      </c>
      <c r="K1454" s="28"/>
      <c r="L1454" s="29"/>
      <c r="M1454" s="28"/>
      <c r="N1454" s="19" t="str">
        <f t="shared" si="79"/>
        <v/>
      </c>
      <c r="O1454" s="19" t="str">
        <f t="shared" si="79"/>
        <v/>
      </c>
      <c r="P1454" s="19" t="str">
        <f t="shared" si="79"/>
        <v/>
      </c>
      <c r="Q1454" s="19" t="str">
        <f t="shared" si="79"/>
        <v/>
      </c>
      <c r="X1454" s="92" t="s">
        <v>78</v>
      </c>
      <c r="Y1454" s="92" t="s">
        <v>78</v>
      </c>
      <c r="Z1454" s="92" t="s">
        <v>78</v>
      </c>
    </row>
    <row r="1455" spans="1:26" ht="16" hidden="1" x14ac:dyDescent="0.4">
      <c r="A1455" s="92">
        <v>7259</v>
      </c>
      <c r="B1455" s="92">
        <v>7260</v>
      </c>
      <c r="E1455" s="92">
        <v>50</v>
      </c>
      <c r="F1455" s="92">
        <f>_xlfn.XLOOKUP(B1455, DATA_Moresby_2024_ALL!B:B, DATA_Moresby_2024_ALL!G:G, "")</f>
        <v>0</v>
      </c>
      <c r="G1455" s="93"/>
      <c r="H1455" s="92">
        <v>7</v>
      </c>
      <c r="I1455" s="92" t="str">
        <f t="shared" si="80"/>
        <v>X</v>
      </c>
      <c r="J1455" s="79" t="str">
        <f>IF(G1455="","X",_xlfn.XLOOKUP(B1455,DATA_Moresby_2024_ALL!B:B,DATA_Moresby_2024_ALL!K:K,""))</f>
        <v>X</v>
      </c>
      <c r="K1455" s="28"/>
      <c r="L1455" s="29"/>
      <c r="M1455" s="28"/>
      <c r="N1455" s="19" t="str">
        <f t="shared" si="79"/>
        <v/>
      </c>
      <c r="O1455" s="19" t="str">
        <f t="shared" si="79"/>
        <v/>
      </c>
      <c r="P1455" s="19" t="str">
        <f t="shared" si="79"/>
        <v/>
      </c>
      <c r="Q1455" s="19" t="str">
        <f t="shared" si="79"/>
        <v/>
      </c>
      <c r="X1455" s="92" t="s">
        <v>78</v>
      </c>
      <c r="Y1455" s="92" t="s">
        <v>78</v>
      </c>
      <c r="Z1455" s="92" t="s">
        <v>78</v>
      </c>
    </row>
    <row r="1456" spans="1:26" ht="16" hidden="1" x14ac:dyDescent="0.4">
      <c r="A1456" s="92">
        <v>7264</v>
      </c>
      <c r="B1456" s="92">
        <v>7265</v>
      </c>
      <c r="E1456" s="92">
        <v>50</v>
      </c>
      <c r="F1456" s="92">
        <f>_xlfn.XLOOKUP(B1456, DATA_Moresby_2024_ALL!B:B, DATA_Moresby_2024_ALL!G:G, "")</f>
        <v>0</v>
      </c>
      <c r="G1456" s="93"/>
      <c r="H1456" s="92">
        <v>7</v>
      </c>
      <c r="I1456" s="92" t="str">
        <f t="shared" si="80"/>
        <v>X</v>
      </c>
      <c r="J1456" s="79" t="str">
        <f>IF(G1456="","X",_xlfn.XLOOKUP(B1456,DATA_Moresby_2024_ALL!B:B,DATA_Moresby_2024_ALL!K:K,""))</f>
        <v>X</v>
      </c>
      <c r="K1456" s="28"/>
      <c r="L1456" s="29"/>
      <c r="M1456" s="28"/>
      <c r="N1456" s="19" t="str">
        <f t="shared" si="79"/>
        <v/>
      </c>
      <c r="O1456" s="19" t="str">
        <f t="shared" si="79"/>
        <v/>
      </c>
      <c r="P1456" s="19" t="str">
        <f t="shared" si="79"/>
        <v/>
      </c>
      <c r="Q1456" s="19" t="str">
        <f t="shared" si="79"/>
        <v/>
      </c>
      <c r="X1456" s="92" t="s">
        <v>78</v>
      </c>
      <c r="Y1456" s="92" t="s">
        <v>78</v>
      </c>
      <c r="Z1456" s="92" t="s">
        <v>78</v>
      </c>
    </row>
    <row r="1457" spans="1:26" ht="16" hidden="1" x14ac:dyDescent="0.4">
      <c r="A1457" s="92">
        <v>7269</v>
      </c>
      <c r="B1457" s="92">
        <v>7270</v>
      </c>
      <c r="E1457" s="92">
        <v>50</v>
      </c>
      <c r="F1457" s="92">
        <f>_xlfn.XLOOKUP(B1457, DATA_Moresby_2024_ALL!B:B, DATA_Moresby_2024_ALL!G:G, "")</f>
        <v>0</v>
      </c>
      <c r="G1457" s="93"/>
      <c r="H1457" s="92">
        <v>7</v>
      </c>
      <c r="I1457" s="92" t="str">
        <f t="shared" si="80"/>
        <v>X</v>
      </c>
      <c r="J1457" s="79" t="str">
        <f>IF(G1457="","X",_xlfn.XLOOKUP(B1457,DATA_Moresby_2024_ALL!B:B,DATA_Moresby_2024_ALL!K:K,""))</f>
        <v>X</v>
      </c>
      <c r="K1457" s="28"/>
      <c r="L1457" s="29"/>
      <c r="M1457" s="28"/>
      <c r="N1457" s="19" t="str">
        <f t="shared" si="79"/>
        <v/>
      </c>
      <c r="O1457" s="19" t="str">
        <f t="shared" si="79"/>
        <v/>
      </c>
      <c r="P1457" s="19" t="str">
        <f t="shared" si="79"/>
        <v/>
      </c>
      <c r="Q1457" s="19" t="str">
        <f t="shared" si="79"/>
        <v/>
      </c>
      <c r="X1457" s="92" t="s">
        <v>78</v>
      </c>
      <c r="Y1457" s="92" t="s">
        <v>78</v>
      </c>
      <c r="Z1457" s="92" t="s">
        <v>78</v>
      </c>
    </row>
    <row r="1458" spans="1:26" ht="16" hidden="1" x14ac:dyDescent="0.4">
      <c r="A1458" s="92">
        <v>7274</v>
      </c>
      <c r="B1458" s="92">
        <v>7275</v>
      </c>
      <c r="E1458" s="92">
        <v>50</v>
      </c>
      <c r="F1458" s="92">
        <f>_xlfn.XLOOKUP(B1458, DATA_Moresby_2024_ALL!B:B, DATA_Moresby_2024_ALL!G:G, "")</f>
        <v>0</v>
      </c>
      <c r="G1458" s="93"/>
      <c r="H1458" s="92">
        <v>7</v>
      </c>
      <c r="I1458" s="92" t="str">
        <f t="shared" si="80"/>
        <v>X</v>
      </c>
      <c r="J1458" s="79" t="str">
        <f>IF(G1458="","X",_xlfn.XLOOKUP(B1458,DATA_Moresby_2024_ALL!B:B,DATA_Moresby_2024_ALL!K:K,""))</f>
        <v>X</v>
      </c>
      <c r="K1458" s="28"/>
      <c r="L1458" s="29"/>
      <c r="M1458" s="28"/>
      <c r="N1458" s="19" t="str">
        <f t="shared" si="79"/>
        <v/>
      </c>
      <c r="O1458" s="19" t="str">
        <f t="shared" si="79"/>
        <v/>
      </c>
      <c r="P1458" s="19" t="str">
        <f t="shared" si="79"/>
        <v/>
      </c>
      <c r="Q1458" s="19" t="str">
        <f t="shared" si="79"/>
        <v/>
      </c>
      <c r="X1458" s="92" t="s">
        <v>78</v>
      </c>
      <c r="Y1458" s="92" t="s">
        <v>78</v>
      </c>
      <c r="Z1458" s="92" t="s">
        <v>78</v>
      </c>
    </row>
    <row r="1459" spans="1:26" ht="16" hidden="1" x14ac:dyDescent="0.4">
      <c r="A1459" s="92">
        <v>7279</v>
      </c>
      <c r="B1459" s="92">
        <v>7280</v>
      </c>
      <c r="E1459" s="92">
        <v>50</v>
      </c>
      <c r="F1459" s="92">
        <f>_xlfn.XLOOKUP(B1459, DATA_Moresby_2024_ALL!B:B, DATA_Moresby_2024_ALL!G:G, "")</f>
        <v>0</v>
      </c>
      <c r="G1459" s="93"/>
      <c r="H1459" s="92">
        <v>7</v>
      </c>
      <c r="I1459" s="92" t="str">
        <f t="shared" si="80"/>
        <v>X</v>
      </c>
      <c r="J1459" s="79" t="str">
        <f>IF(G1459="","X",_xlfn.XLOOKUP(B1459,DATA_Moresby_2024_ALL!B:B,DATA_Moresby_2024_ALL!K:K,""))</f>
        <v>X</v>
      </c>
      <c r="K1459" s="28"/>
      <c r="L1459" s="29"/>
      <c r="M1459" s="28"/>
      <c r="N1459" s="19" t="str">
        <f t="shared" si="79"/>
        <v/>
      </c>
      <c r="O1459" s="19" t="str">
        <f t="shared" si="79"/>
        <v/>
      </c>
      <c r="P1459" s="19" t="str">
        <f t="shared" si="79"/>
        <v/>
      </c>
      <c r="Q1459" s="19" t="str">
        <f t="shared" si="79"/>
        <v/>
      </c>
      <c r="X1459" s="92" t="s">
        <v>78</v>
      </c>
      <c r="Y1459" s="92" t="s">
        <v>78</v>
      </c>
      <c r="Z1459" s="92" t="s">
        <v>78</v>
      </c>
    </row>
    <row r="1460" spans="1:26" ht="16" hidden="1" x14ac:dyDescent="0.4">
      <c r="A1460" s="92">
        <v>7284</v>
      </c>
      <c r="B1460" s="92">
        <v>7285</v>
      </c>
      <c r="E1460" s="92">
        <v>50</v>
      </c>
      <c r="F1460" s="92">
        <f>_xlfn.XLOOKUP(B1460, DATA_Moresby_2024_ALL!B:B, DATA_Moresby_2024_ALL!G:G, "")</f>
        <v>0</v>
      </c>
      <c r="G1460" s="93"/>
      <c r="H1460" s="92">
        <v>7</v>
      </c>
      <c r="I1460" s="92" t="str">
        <f t="shared" si="80"/>
        <v>X</v>
      </c>
      <c r="J1460" s="79" t="str">
        <f>IF(G1460="","X",_xlfn.XLOOKUP(B1460,DATA_Moresby_2024_ALL!B:B,DATA_Moresby_2024_ALL!K:K,""))</f>
        <v>X</v>
      </c>
      <c r="K1460" s="28"/>
      <c r="L1460" s="29"/>
      <c r="M1460" s="28"/>
      <c r="N1460" s="19" t="str">
        <f t="shared" si="79"/>
        <v/>
      </c>
      <c r="O1460" s="19" t="str">
        <f t="shared" si="79"/>
        <v/>
      </c>
      <c r="P1460" s="19" t="str">
        <f t="shared" si="79"/>
        <v/>
      </c>
      <c r="Q1460" s="19" t="str">
        <f t="shared" si="79"/>
        <v/>
      </c>
      <c r="X1460" s="92" t="s">
        <v>78</v>
      </c>
      <c r="Y1460" s="92" t="s">
        <v>78</v>
      </c>
      <c r="Z1460" s="92" t="s">
        <v>78</v>
      </c>
    </row>
    <row r="1461" spans="1:26" ht="16" hidden="1" x14ac:dyDescent="0.4">
      <c r="A1461" s="92">
        <v>7289</v>
      </c>
      <c r="B1461" s="92">
        <v>7290</v>
      </c>
      <c r="E1461" s="92">
        <v>50</v>
      </c>
      <c r="F1461" s="92">
        <f>_xlfn.XLOOKUP(B1461, DATA_Moresby_2024_ALL!B:B, DATA_Moresby_2024_ALL!G:G, "")</f>
        <v>0</v>
      </c>
      <c r="G1461" s="93"/>
      <c r="H1461" s="92">
        <v>7</v>
      </c>
      <c r="I1461" s="92" t="str">
        <f t="shared" si="80"/>
        <v>X</v>
      </c>
      <c r="J1461" s="79" t="str">
        <f>IF(G1461="","X",_xlfn.XLOOKUP(B1461,DATA_Moresby_2024_ALL!B:B,DATA_Moresby_2024_ALL!K:K,""))</f>
        <v>X</v>
      </c>
      <c r="K1461" s="28"/>
      <c r="L1461" s="29"/>
      <c r="M1461" s="28"/>
      <c r="N1461" s="19" t="str">
        <f t="shared" si="79"/>
        <v/>
      </c>
      <c r="O1461" s="19" t="str">
        <f t="shared" si="79"/>
        <v/>
      </c>
      <c r="P1461" s="19" t="str">
        <f t="shared" si="79"/>
        <v/>
      </c>
      <c r="Q1461" s="19" t="str">
        <f t="shared" si="79"/>
        <v/>
      </c>
      <c r="X1461" s="92" t="s">
        <v>78</v>
      </c>
      <c r="Y1461" s="92" t="s">
        <v>78</v>
      </c>
      <c r="Z1461" s="92" t="s">
        <v>78</v>
      </c>
    </row>
    <row r="1462" spans="1:26" ht="16" hidden="1" x14ac:dyDescent="0.4">
      <c r="A1462" s="92">
        <v>7294</v>
      </c>
      <c r="B1462" s="92">
        <v>7295</v>
      </c>
      <c r="E1462" s="92">
        <v>50</v>
      </c>
      <c r="F1462" s="92">
        <f>_xlfn.XLOOKUP(B1462, DATA_Moresby_2024_ALL!B:B, DATA_Moresby_2024_ALL!G:G, "")</f>
        <v>0</v>
      </c>
      <c r="G1462" s="93"/>
      <c r="H1462" s="92">
        <v>7</v>
      </c>
      <c r="I1462" s="92" t="str">
        <f t="shared" si="80"/>
        <v>X</v>
      </c>
      <c r="J1462" s="79" t="str">
        <f>IF(G1462="","X",_xlfn.XLOOKUP(B1462,DATA_Moresby_2024_ALL!B:B,DATA_Moresby_2024_ALL!K:K,""))</f>
        <v>X</v>
      </c>
      <c r="K1462" s="28"/>
      <c r="L1462" s="29"/>
      <c r="M1462" s="28"/>
      <c r="N1462" s="19" t="str">
        <f t="shared" si="79"/>
        <v/>
      </c>
      <c r="O1462" s="19" t="str">
        <f t="shared" si="79"/>
        <v/>
      </c>
      <c r="P1462" s="19" t="str">
        <f t="shared" si="79"/>
        <v/>
      </c>
      <c r="Q1462" s="19" t="str">
        <f t="shared" si="79"/>
        <v/>
      </c>
      <c r="X1462" s="92" t="s">
        <v>78</v>
      </c>
      <c r="Y1462" s="92" t="s">
        <v>78</v>
      </c>
      <c r="Z1462" s="92" t="s">
        <v>78</v>
      </c>
    </row>
    <row r="1463" spans="1:26" ht="16" hidden="1" x14ac:dyDescent="0.4">
      <c r="A1463" s="92">
        <v>7299</v>
      </c>
      <c r="B1463" s="92">
        <v>7300</v>
      </c>
      <c r="E1463" s="92">
        <v>50</v>
      </c>
      <c r="F1463" s="92">
        <f>_xlfn.XLOOKUP(B1463, DATA_Moresby_2024_ALL!B:B, DATA_Moresby_2024_ALL!G:G, "")</f>
        <v>0</v>
      </c>
      <c r="G1463" s="93"/>
      <c r="H1463" s="92">
        <v>7</v>
      </c>
      <c r="I1463" s="92" t="str">
        <f t="shared" si="80"/>
        <v>X</v>
      </c>
      <c r="J1463" s="79" t="str">
        <f>IF(G1463="","X",_xlfn.XLOOKUP(B1463,DATA_Moresby_2024_ALL!B:B,DATA_Moresby_2024_ALL!K:K,""))</f>
        <v>X</v>
      </c>
      <c r="K1463" s="28"/>
      <c r="L1463" s="29"/>
      <c r="M1463" s="28"/>
      <c r="N1463" s="19" t="str">
        <f t="shared" si="79"/>
        <v/>
      </c>
      <c r="O1463" s="19" t="str">
        <f t="shared" si="79"/>
        <v/>
      </c>
      <c r="P1463" s="19" t="str">
        <f t="shared" si="79"/>
        <v/>
      </c>
      <c r="Q1463" s="19" t="str">
        <f t="shared" si="79"/>
        <v/>
      </c>
      <c r="X1463" s="92" t="s">
        <v>78</v>
      </c>
      <c r="Y1463" s="92" t="s">
        <v>78</v>
      </c>
      <c r="Z1463" s="92" t="s">
        <v>78</v>
      </c>
    </row>
    <row r="1464" spans="1:26" ht="16" hidden="1" x14ac:dyDescent="0.4">
      <c r="A1464" s="92">
        <v>7304</v>
      </c>
      <c r="B1464" s="92">
        <v>7305</v>
      </c>
      <c r="E1464" s="92">
        <v>50</v>
      </c>
      <c r="F1464" s="92">
        <f>_xlfn.XLOOKUP(B1464, DATA_Moresby_2024_ALL!B:B, DATA_Moresby_2024_ALL!G:G, "")</f>
        <v>0</v>
      </c>
      <c r="G1464" s="93"/>
      <c r="H1464" s="92">
        <v>7</v>
      </c>
      <c r="I1464" s="92" t="str">
        <f t="shared" si="80"/>
        <v>X</v>
      </c>
      <c r="J1464" s="79" t="str">
        <f>IF(G1464="","X",_xlfn.XLOOKUP(B1464,DATA_Moresby_2024_ALL!B:B,DATA_Moresby_2024_ALL!K:K,""))</f>
        <v>X</v>
      </c>
      <c r="K1464" s="28"/>
      <c r="L1464" s="29"/>
      <c r="M1464" s="28"/>
      <c r="N1464" s="19" t="str">
        <f t="shared" si="79"/>
        <v/>
      </c>
      <c r="O1464" s="19" t="str">
        <f t="shared" si="79"/>
        <v/>
      </c>
      <c r="P1464" s="19" t="str">
        <f t="shared" si="79"/>
        <v/>
      </c>
      <c r="Q1464" s="19" t="str">
        <f t="shared" si="79"/>
        <v/>
      </c>
      <c r="X1464" s="92" t="s">
        <v>78</v>
      </c>
      <c r="Y1464" s="92" t="s">
        <v>78</v>
      </c>
      <c r="Z1464" s="92" t="s">
        <v>78</v>
      </c>
    </row>
    <row r="1465" spans="1:26" ht="16" hidden="1" x14ac:dyDescent="0.4">
      <c r="A1465" s="92">
        <v>7309</v>
      </c>
      <c r="B1465" s="92">
        <v>7310</v>
      </c>
      <c r="E1465" s="92">
        <v>50</v>
      </c>
      <c r="F1465" s="92">
        <f>_xlfn.XLOOKUP(B1465, DATA_Moresby_2024_ALL!B:B, DATA_Moresby_2024_ALL!G:G, "")</f>
        <v>0</v>
      </c>
      <c r="G1465" s="93"/>
      <c r="H1465" s="92">
        <v>7</v>
      </c>
      <c r="I1465" s="92" t="str">
        <f t="shared" si="80"/>
        <v>X</v>
      </c>
      <c r="J1465" s="79" t="str">
        <f>IF(G1465="","X",_xlfn.XLOOKUP(B1465,DATA_Moresby_2024_ALL!B:B,DATA_Moresby_2024_ALL!K:K,""))</f>
        <v>X</v>
      </c>
      <c r="K1465" s="28"/>
      <c r="L1465" s="29"/>
      <c r="M1465" s="28"/>
      <c r="N1465" s="19" t="str">
        <f t="shared" si="79"/>
        <v/>
      </c>
      <c r="O1465" s="19" t="str">
        <f t="shared" si="79"/>
        <v/>
      </c>
      <c r="P1465" s="19" t="str">
        <f t="shared" si="79"/>
        <v/>
      </c>
      <c r="Q1465" s="19" t="str">
        <f t="shared" si="79"/>
        <v/>
      </c>
      <c r="X1465" s="92" t="s">
        <v>78</v>
      </c>
      <c r="Y1465" s="92" t="s">
        <v>78</v>
      </c>
      <c r="Z1465" s="92" t="s">
        <v>78</v>
      </c>
    </row>
    <row r="1466" spans="1:26" ht="16" hidden="1" x14ac:dyDescent="0.4">
      <c r="A1466" s="92">
        <v>7314</v>
      </c>
      <c r="B1466" s="92">
        <v>7315</v>
      </c>
      <c r="E1466" s="92">
        <v>50</v>
      </c>
      <c r="F1466" s="92">
        <f>_xlfn.XLOOKUP(B1466, DATA_Moresby_2024_ALL!B:B, DATA_Moresby_2024_ALL!G:G, "")</f>
        <v>0</v>
      </c>
      <c r="G1466" s="93"/>
      <c r="H1466" s="92">
        <v>7</v>
      </c>
      <c r="I1466" s="92" t="str">
        <f t="shared" si="80"/>
        <v>X</v>
      </c>
      <c r="J1466" s="79" t="str">
        <f>IF(G1466="","X",_xlfn.XLOOKUP(B1466,DATA_Moresby_2024_ALL!B:B,DATA_Moresby_2024_ALL!K:K,""))</f>
        <v>X</v>
      </c>
      <c r="K1466" s="28"/>
      <c r="L1466" s="29"/>
      <c r="M1466" s="28"/>
      <c r="N1466" s="19" t="str">
        <f t="shared" si="79"/>
        <v/>
      </c>
      <c r="O1466" s="19" t="str">
        <f t="shared" si="79"/>
        <v/>
      </c>
      <c r="P1466" s="19" t="str">
        <f t="shared" si="79"/>
        <v/>
      </c>
      <c r="Q1466" s="19" t="str">
        <f t="shared" si="79"/>
        <v/>
      </c>
      <c r="X1466" s="92" t="s">
        <v>78</v>
      </c>
      <c r="Y1466" s="92" t="s">
        <v>78</v>
      </c>
      <c r="Z1466" s="92" t="s">
        <v>78</v>
      </c>
    </row>
    <row r="1467" spans="1:26" ht="16" hidden="1" x14ac:dyDescent="0.4">
      <c r="A1467" s="92">
        <v>7319</v>
      </c>
      <c r="B1467" s="92">
        <v>7320</v>
      </c>
      <c r="E1467" s="92">
        <v>50</v>
      </c>
      <c r="F1467" s="92">
        <f>_xlfn.XLOOKUP(B1467, DATA_Moresby_2024_ALL!B:B, DATA_Moresby_2024_ALL!G:G, "")</f>
        <v>0</v>
      </c>
      <c r="G1467" s="93"/>
      <c r="H1467" s="92">
        <v>7</v>
      </c>
      <c r="I1467" s="92" t="str">
        <f t="shared" si="80"/>
        <v>X</v>
      </c>
      <c r="J1467" s="79" t="str">
        <f>IF(G1467="","X",_xlfn.XLOOKUP(B1467,DATA_Moresby_2024_ALL!B:B,DATA_Moresby_2024_ALL!K:K,""))</f>
        <v>X</v>
      </c>
      <c r="K1467" s="28"/>
      <c r="L1467" s="29"/>
      <c r="M1467" s="28"/>
      <c r="N1467" s="19" t="str">
        <f t="shared" si="79"/>
        <v/>
      </c>
      <c r="O1467" s="19" t="str">
        <f t="shared" si="79"/>
        <v/>
      </c>
      <c r="P1467" s="19" t="str">
        <f t="shared" si="79"/>
        <v/>
      </c>
      <c r="Q1467" s="19" t="str">
        <f t="shared" si="79"/>
        <v/>
      </c>
      <c r="X1467" s="92" t="s">
        <v>78</v>
      </c>
      <c r="Y1467" s="92" t="s">
        <v>78</v>
      </c>
      <c r="Z1467" s="92" t="s">
        <v>78</v>
      </c>
    </row>
    <row r="1468" spans="1:26" ht="16" hidden="1" x14ac:dyDescent="0.4">
      <c r="A1468" s="92">
        <v>7324</v>
      </c>
      <c r="B1468" s="92">
        <v>7325</v>
      </c>
      <c r="E1468" s="92">
        <v>50</v>
      </c>
      <c r="F1468" s="92">
        <f>_xlfn.XLOOKUP(B1468, DATA_Moresby_2024_ALL!B:B, DATA_Moresby_2024_ALL!G:G, "")</f>
        <v>0</v>
      </c>
      <c r="G1468" s="93"/>
      <c r="H1468" s="92">
        <v>7</v>
      </c>
      <c r="I1468" s="92" t="str">
        <f t="shared" si="80"/>
        <v>X</v>
      </c>
      <c r="J1468" s="79" t="str">
        <f>IF(G1468="","X",_xlfn.XLOOKUP(B1468,DATA_Moresby_2024_ALL!B:B,DATA_Moresby_2024_ALL!K:K,""))</f>
        <v>X</v>
      </c>
      <c r="K1468" s="28"/>
      <c r="L1468" s="29"/>
      <c r="M1468" s="28"/>
      <c r="N1468" s="19" t="str">
        <f t="shared" si="79"/>
        <v/>
      </c>
      <c r="O1468" s="19" t="str">
        <f t="shared" si="79"/>
        <v/>
      </c>
      <c r="P1468" s="19" t="str">
        <f t="shared" si="79"/>
        <v/>
      </c>
      <c r="Q1468" s="19" t="str">
        <f t="shared" si="79"/>
        <v/>
      </c>
      <c r="X1468" s="92" t="s">
        <v>78</v>
      </c>
      <c r="Y1468" s="92" t="s">
        <v>78</v>
      </c>
      <c r="Z1468" s="92" t="s">
        <v>78</v>
      </c>
    </row>
    <row r="1469" spans="1:26" ht="16" hidden="1" x14ac:dyDescent="0.4">
      <c r="A1469" s="92">
        <v>7329</v>
      </c>
      <c r="B1469" s="92">
        <v>7330</v>
      </c>
      <c r="E1469" s="92">
        <v>50</v>
      </c>
      <c r="F1469" s="92">
        <f>_xlfn.XLOOKUP(B1469, DATA_Moresby_2024_ALL!B:B, DATA_Moresby_2024_ALL!G:G, "")</f>
        <v>0</v>
      </c>
      <c r="G1469" s="93"/>
      <c r="H1469" s="92">
        <v>7</v>
      </c>
      <c r="I1469" s="92" t="str">
        <f t="shared" si="80"/>
        <v>X</v>
      </c>
      <c r="J1469" s="79" t="str">
        <f>IF(G1469="","X",_xlfn.XLOOKUP(B1469,DATA_Moresby_2024_ALL!B:B,DATA_Moresby_2024_ALL!K:K,""))</f>
        <v>X</v>
      </c>
      <c r="K1469" s="28"/>
      <c r="L1469" s="29"/>
      <c r="M1469" s="28"/>
      <c r="N1469" s="19" t="str">
        <f t="shared" si="79"/>
        <v/>
      </c>
      <c r="O1469" s="19" t="str">
        <f t="shared" si="79"/>
        <v/>
      </c>
      <c r="P1469" s="19" t="str">
        <f t="shared" si="79"/>
        <v/>
      </c>
      <c r="Q1469" s="19" t="str">
        <f t="shared" si="79"/>
        <v/>
      </c>
      <c r="X1469" s="92" t="s">
        <v>78</v>
      </c>
      <c r="Y1469" s="92" t="s">
        <v>78</v>
      </c>
      <c r="Z1469" s="92" t="s">
        <v>78</v>
      </c>
    </row>
    <row r="1470" spans="1:26" ht="16" hidden="1" x14ac:dyDescent="0.4">
      <c r="A1470" s="92">
        <v>7334</v>
      </c>
      <c r="B1470" s="92">
        <v>7335</v>
      </c>
      <c r="E1470" s="92">
        <v>50</v>
      </c>
      <c r="F1470" s="92">
        <f>_xlfn.XLOOKUP(B1470, DATA_Moresby_2024_ALL!B:B, DATA_Moresby_2024_ALL!G:G, "")</f>
        <v>0</v>
      </c>
      <c r="G1470" s="93"/>
      <c r="H1470" s="92">
        <v>7</v>
      </c>
      <c r="I1470" s="92" t="str">
        <f t="shared" si="80"/>
        <v>X</v>
      </c>
      <c r="J1470" s="79" t="str">
        <f>IF(G1470="","X",_xlfn.XLOOKUP(B1470,DATA_Moresby_2024_ALL!B:B,DATA_Moresby_2024_ALL!K:K,""))</f>
        <v>X</v>
      </c>
      <c r="K1470" s="28"/>
      <c r="L1470" s="29"/>
      <c r="M1470" s="28"/>
      <c r="N1470" s="19" t="str">
        <f t="shared" si="79"/>
        <v/>
      </c>
      <c r="O1470" s="19" t="str">
        <f t="shared" si="79"/>
        <v/>
      </c>
      <c r="P1470" s="19" t="str">
        <f t="shared" si="79"/>
        <v/>
      </c>
      <c r="Q1470" s="19" t="str">
        <f t="shared" si="79"/>
        <v/>
      </c>
      <c r="X1470" s="92" t="s">
        <v>78</v>
      </c>
      <c r="Y1470" s="92" t="s">
        <v>78</v>
      </c>
      <c r="Z1470" s="92" t="s">
        <v>78</v>
      </c>
    </row>
    <row r="1471" spans="1:26" ht="16" hidden="1" x14ac:dyDescent="0.4">
      <c r="A1471" s="92">
        <v>7339</v>
      </c>
      <c r="B1471" s="92">
        <v>7340</v>
      </c>
      <c r="E1471" s="92">
        <v>50</v>
      </c>
      <c r="F1471" s="92">
        <f>_xlfn.XLOOKUP(B1471, DATA_Moresby_2024_ALL!B:B, DATA_Moresby_2024_ALL!G:G, "")</f>
        <v>0</v>
      </c>
      <c r="G1471" s="93"/>
      <c r="H1471" s="92">
        <v>7</v>
      </c>
      <c r="I1471" s="92" t="str">
        <f t="shared" si="80"/>
        <v>X</v>
      </c>
      <c r="J1471" s="79" t="str">
        <f>IF(G1471="","X",_xlfn.XLOOKUP(B1471,DATA_Moresby_2024_ALL!B:B,DATA_Moresby_2024_ALL!K:K,""))</f>
        <v>X</v>
      </c>
      <c r="K1471" s="28"/>
      <c r="L1471" s="29"/>
      <c r="M1471" s="28"/>
      <c r="N1471" s="19" t="str">
        <f t="shared" si="79"/>
        <v/>
      </c>
      <c r="O1471" s="19" t="str">
        <f t="shared" si="79"/>
        <v/>
      </c>
      <c r="P1471" s="19" t="str">
        <f t="shared" si="79"/>
        <v/>
      </c>
      <c r="Q1471" s="19" t="str">
        <f t="shared" si="79"/>
        <v/>
      </c>
      <c r="X1471" s="92" t="s">
        <v>78</v>
      </c>
      <c r="Y1471" s="92" t="s">
        <v>78</v>
      </c>
      <c r="Z1471" s="92" t="s">
        <v>78</v>
      </c>
    </row>
    <row r="1472" spans="1:26" ht="16" hidden="1" x14ac:dyDescent="0.4">
      <c r="A1472" s="92">
        <v>7344</v>
      </c>
      <c r="B1472" s="92">
        <v>7345</v>
      </c>
      <c r="E1472" s="92">
        <v>50</v>
      </c>
      <c r="F1472" s="92">
        <f>_xlfn.XLOOKUP(B1472, DATA_Moresby_2024_ALL!B:B, DATA_Moresby_2024_ALL!G:G, "")</f>
        <v>0</v>
      </c>
      <c r="G1472" s="93"/>
      <c r="H1472" s="92">
        <v>7</v>
      </c>
      <c r="I1472" s="92" t="str">
        <f t="shared" si="80"/>
        <v>X</v>
      </c>
      <c r="J1472" s="79" t="str">
        <f>IF(G1472="","X",_xlfn.XLOOKUP(B1472,DATA_Moresby_2024_ALL!B:B,DATA_Moresby_2024_ALL!K:K,""))</f>
        <v>X</v>
      </c>
      <c r="K1472" s="28"/>
      <c r="L1472" s="29"/>
      <c r="M1472" s="28"/>
      <c r="N1472" s="19" t="str">
        <f t="shared" si="79"/>
        <v/>
      </c>
      <c r="O1472" s="19" t="str">
        <f t="shared" si="79"/>
        <v/>
      </c>
      <c r="P1472" s="19" t="str">
        <f t="shared" si="79"/>
        <v/>
      </c>
      <c r="Q1472" s="19" t="str">
        <f t="shared" si="79"/>
        <v/>
      </c>
      <c r="X1472" s="92" t="s">
        <v>78</v>
      </c>
      <c r="Y1472" s="92" t="s">
        <v>78</v>
      </c>
      <c r="Z1472" s="92" t="s">
        <v>78</v>
      </c>
    </row>
    <row r="1473" spans="1:26" ht="16" hidden="1" x14ac:dyDescent="0.4">
      <c r="A1473" s="92">
        <v>7349</v>
      </c>
      <c r="B1473" s="92">
        <v>7350</v>
      </c>
      <c r="E1473" s="92">
        <v>50</v>
      </c>
      <c r="F1473" s="92">
        <f>_xlfn.XLOOKUP(B1473, DATA_Moresby_2024_ALL!B:B, DATA_Moresby_2024_ALL!G:G, "")</f>
        <v>0</v>
      </c>
      <c r="G1473" s="93"/>
      <c r="H1473" s="92">
        <v>7</v>
      </c>
      <c r="I1473" s="92" t="str">
        <f t="shared" si="80"/>
        <v>X</v>
      </c>
      <c r="J1473" s="79" t="str">
        <f>IF(G1473="","X",_xlfn.XLOOKUP(B1473,DATA_Moresby_2024_ALL!B:B,DATA_Moresby_2024_ALL!K:K,""))</f>
        <v>X</v>
      </c>
      <c r="K1473" s="28"/>
      <c r="L1473" s="29"/>
      <c r="M1473" s="28"/>
      <c r="N1473" s="19" t="str">
        <f t="shared" si="79"/>
        <v/>
      </c>
      <c r="O1473" s="19" t="str">
        <f t="shared" si="79"/>
        <v/>
      </c>
      <c r="P1473" s="19" t="str">
        <f t="shared" si="79"/>
        <v/>
      </c>
      <c r="Q1473" s="19" t="str">
        <f t="shared" si="79"/>
        <v/>
      </c>
      <c r="X1473" s="92" t="s">
        <v>78</v>
      </c>
      <c r="Y1473" s="92" t="s">
        <v>78</v>
      </c>
      <c r="Z1473" s="92" t="s">
        <v>78</v>
      </c>
    </row>
    <row r="1474" spans="1:26" ht="16" hidden="1" x14ac:dyDescent="0.4">
      <c r="A1474" s="92">
        <v>7354</v>
      </c>
      <c r="B1474" s="92">
        <v>7355</v>
      </c>
      <c r="E1474" s="92">
        <v>50</v>
      </c>
      <c r="F1474" s="92">
        <f>_xlfn.XLOOKUP(B1474, DATA_Moresby_2024_ALL!B:B, DATA_Moresby_2024_ALL!G:G, "")</f>
        <v>0</v>
      </c>
      <c r="G1474" s="93"/>
      <c r="H1474" s="92">
        <v>7</v>
      </c>
      <c r="I1474" s="92" t="str">
        <f t="shared" si="80"/>
        <v>X</v>
      </c>
      <c r="J1474" s="79" t="str">
        <f>IF(G1474="","X",_xlfn.XLOOKUP(B1474,DATA_Moresby_2024_ALL!B:B,DATA_Moresby_2024_ALL!K:K,""))</f>
        <v>X</v>
      </c>
      <c r="K1474" s="28"/>
      <c r="L1474" s="29"/>
      <c r="M1474" s="28"/>
      <c r="N1474" s="19" t="str">
        <f t="shared" si="79"/>
        <v/>
      </c>
      <c r="O1474" s="19" t="str">
        <f t="shared" si="79"/>
        <v/>
      </c>
      <c r="P1474" s="19" t="str">
        <f t="shared" si="79"/>
        <v/>
      </c>
      <c r="Q1474" s="19" t="str">
        <f t="shared" si="79"/>
        <v/>
      </c>
      <c r="X1474" s="92" t="s">
        <v>78</v>
      </c>
      <c r="Y1474" s="92" t="s">
        <v>78</v>
      </c>
      <c r="Z1474" s="92" t="s">
        <v>78</v>
      </c>
    </row>
    <row r="1475" spans="1:26" ht="16" hidden="1" x14ac:dyDescent="0.4">
      <c r="A1475" s="92">
        <v>7359</v>
      </c>
      <c r="B1475" s="92">
        <v>7360</v>
      </c>
      <c r="E1475" s="92">
        <v>50</v>
      </c>
      <c r="F1475" s="92">
        <f>_xlfn.XLOOKUP(B1475, DATA_Moresby_2024_ALL!B:B, DATA_Moresby_2024_ALL!G:G, "")</f>
        <v>0</v>
      </c>
      <c r="G1475" s="93"/>
      <c r="H1475" s="92">
        <v>7</v>
      </c>
      <c r="I1475" s="92" t="str">
        <f t="shared" si="80"/>
        <v>X</v>
      </c>
      <c r="J1475" s="79" t="str">
        <f>IF(G1475="","X",_xlfn.XLOOKUP(B1475,DATA_Moresby_2024_ALL!B:B,DATA_Moresby_2024_ALL!K:K,""))</f>
        <v>X</v>
      </c>
      <c r="K1475" s="28"/>
      <c r="L1475" s="29"/>
      <c r="M1475" s="28"/>
      <c r="N1475" s="19" t="str">
        <f t="shared" si="79"/>
        <v/>
      </c>
      <c r="O1475" s="19" t="str">
        <f t="shared" si="79"/>
        <v/>
      </c>
      <c r="P1475" s="19" t="str">
        <f t="shared" si="79"/>
        <v/>
      </c>
      <c r="Q1475" s="19" t="str">
        <f t="shared" si="79"/>
        <v/>
      </c>
      <c r="X1475" s="92" t="s">
        <v>78</v>
      </c>
      <c r="Y1475" s="92" t="s">
        <v>78</v>
      </c>
      <c r="Z1475" s="92" t="s">
        <v>78</v>
      </c>
    </row>
    <row r="1476" spans="1:26" ht="16" hidden="1" x14ac:dyDescent="0.4">
      <c r="A1476" s="92">
        <v>7364</v>
      </c>
      <c r="B1476" s="92">
        <v>7365</v>
      </c>
      <c r="E1476" s="92">
        <v>50</v>
      </c>
      <c r="F1476" s="92">
        <f>_xlfn.XLOOKUP(B1476, DATA_Moresby_2024_ALL!B:B, DATA_Moresby_2024_ALL!G:G, "")</f>
        <v>0</v>
      </c>
      <c r="G1476" s="93"/>
      <c r="H1476" s="92">
        <v>7</v>
      </c>
      <c r="I1476" s="92" t="str">
        <f t="shared" si="80"/>
        <v>X</v>
      </c>
      <c r="J1476" s="79" t="str">
        <f>IF(G1476="","X",_xlfn.XLOOKUP(B1476,DATA_Moresby_2024_ALL!B:B,DATA_Moresby_2024_ALL!K:K,""))</f>
        <v>X</v>
      </c>
      <c r="K1476" s="28"/>
      <c r="L1476" s="29"/>
      <c r="M1476" s="28"/>
      <c r="N1476" s="19" t="str">
        <f t="shared" si="79"/>
        <v/>
      </c>
      <c r="O1476" s="19" t="str">
        <f t="shared" si="79"/>
        <v/>
      </c>
      <c r="P1476" s="19" t="str">
        <f t="shared" si="79"/>
        <v/>
      </c>
      <c r="Q1476" s="19" t="str">
        <f t="shared" si="79"/>
        <v/>
      </c>
      <c r="X1476" s="92" t="s">
        <v>78</v>
      </c>
      <c r="Y1476" s="92" t="s">
        <v>78</v>
      </c>
      <c r="Z1476" s="92" t="s">
        <v>78</v>
      </c>
    </row>
    <row r="1477" spans="1:26" ht="16" hidden="1" x14ac:dyDescent="0.4">
      <c r="A1477" s="92">
        <v>7369</v>
      </c>
      <c r="B1477" s="92">
        <v>7370</v>
      </c>
      <c r="E1477" s="92">
        <v>50</v>
      </c>
      <c r="F1477" s="92">
        <f>_xlfn.XLOOKUP(B1477, DATA_Moresby_2024_ALL!B:B, DATA_Moresby_2024_ALL!G:G, "")</f>
        <v>0</v>
      </c>
      <c r="G1477" s="93"/>
      <c r="H1477" s="92">
        <v>7</v>
      </c>
      <c r="I1477" s="92" t="str">
        <f t="shared" si="80"/>
        <v>X</v>
      </c>
      <c r="J1477" s="79" t="str">
        <f>IF(G1477="","X",_xlfn.XLOOKUP(B1477,DATA_Moresby_2024_ALL!B:B,DATA_Moresby_2024_ALL!K:K,""))</f>
        <v>X</v>
      </c>
      <c r="K1477" s="28"/>
      <c r="L1477" s="29"/>
      <c r="M1477" s="28"/>
      <c r="N1477" s="19" t="str">
        <f t="shared" si="79"/>
        <v/>
      </c>
      <c r="O1477" s="19" t="str">
        <f t="shared" si="79"/>
        <v/>
      </c>
      <c r="P1477" s="19" t="str">
        <f t="shared" si="79"/>
        <v/>
      </c>
      <c r="Q1477" s="19" t="str">
        <f t="shared" si="79"/>
        <v/>
      </c>
      <c r="X1477" s="92" t="s">
        <v>78</v>
      </c>
      <c r="Y1477" s="92" t="s">
        <v>78</v>
      </c>
      <c r="Z1477" s="92" t="s">
        <v>78</v>
      </c>
    </row>
    <row r="1478" spans="1:26" ht="16" hidden="1" x14ac:dyDescent="0.4">
      <c r="A1478" s="92">
        <v>7374</v>
      </c>
      <c r="B1478" s="92">
        <v>7375</v>
      </c>
      <c r="E1478" s="92">
        <v>50</v>
      </c>
      <c r="F1478" s="92">
        <f>_xlfn.XLOOKUP(B1478, DATA_Moresby_2024_ALL!B:B, DATA_Moresby_2024_ALL!G:G, "")</f>
        <v>0</v>
      </c>
      <c r="G1478" s="93"/>
      <c r="H1478" s="92">
        <v>7</v>
      </c>
      <c r="I1478" s="92" t="str">
        <f t="shared" si="80"/>
        <v>X</v>
      </c>
      <c r="J1478" s="79" t="str">
        <f>IF(G1478="","X",_xlfn.XLOOKUP(B1478,DATA_Moresby_2024_ALL!B:B,DATA_Moresby_2024_ALL!K:K,""))</f>
        <v>X</v>
      </c>
      <c r="K1478" s="28"/>
      <c r="L1478" s="29"/>
      <c r="M1478" s="28"/>
      <c r="N1478" s="19" t="str">
        <f t="shared" si="79"/>
        <v/>
      </c>
      <c r="O1478" s="19" t="str">
        <f t="shared" si="79"/>
        <v/>
      </c>
      <c r="P1478" s="19" t="str">
        <f t="shared" si="79"/>
        <v/>
      </c>
      <c r="Q1478" s="19" t="str">
        <f t="shared" si="79"/>
        <v/>
      </c>
      <c r="X1478" s="92" t="s">
        <v>78</v>
      </c>
      <c r="Y1478" s="92" t="s">
        <v>78</v>
      </c>
      <c r="Z1478" s="92" t="s">
        <v>78</v>
      </c>
    </row>
    <row r="1479" spans="1:26" ht="16" hidden="1" x14ac:dyDescent="0.4">
      <c r="A1479" s="92">
        <v>7379</v>
      </c>
      <c r="B1479" s="92">
        <v>7380</v>
      </c>
      <c r="E1479" s="92">
        <v>50</v>
      </c>
      <c r="F1479" s="92">
        <f>_xlfn.XLOOKUP(B1479, DATA_Moresby_2024_ALL!B:B, DATA_Moresby_2024_ALL!G:G, "")</f>
        <v>0</v>
      </c>
      <c r="G1479" s="93"/>
      <c r="H1479" s="92">
        <v>7</v>
      </c>
      <c r="I1479" s="92" t="str">
        <f t="shared" si="80"/>
        <v>X</v>
      </c>
      <c r="J1479" s="79" t="str">
        <f>IF(G1479="","X",_xlfn.XLOOKUP(B1479,DATA_Moresby_2024_ALL!B:B,DATA_Moresby_2024_ALL!K:K,""))</f>
        <v>X</v>
      </c>
      <c r="K1479" s="28"/>
      <c r="L1479" s="29"/>
      <c r="M1479" s="28"/>
      <c r="N1479" s="19" t="str">
        <f t="shared" si="79"/>
        <v/>
      </c>
      <c r="O1479" s="19" t="str">
        <f t="shared" si="79"/>
        <v/>
      </c>
      <c r="P1479" s="19" t="str">
        <f t="shared" si="79"/>
        <v/>
      </c>
      <c r="Q1479" s="19" t="str">
        <f t="shared" si="79"/>
        <v/>
      </c>
      <c r="X1479" s="92" t="s">
        <v>78</v>
      </c>
      <c r="Y1479" s="92" t="s">
        <v>78</v>
      </c>
      <c r="Z1479" s="92" t="s">
        <v>78</v>
      </c>
    </row>
    <row r="1480" spans="1:26" ht="16" hidden="1" x14ac:dyDescent="0.4">
      <c r="A1480" s="92">
        <v>7384</v>
      </c>
      <c r="B1480" s="92">
        <v>7385</v>
      </c>
      <c r="E1480" s="92">
        <v>50</v>
      </c>
      <c r="F1480" s="92">
        <f>_xlfn.XLOOKUP(B1480, DATA_Moresby_2024_ALL!B:B, DATA_Moresby_2024_ALL!G:G, "")</f>
        <v>0</v>
      </c>
      <c r="G1480" s="93"/>
      <c r="H1480" s="92">
        <v>7</v>
      </c>
      <c r="I1480" s="92" t="str">
        <f t="shared" si="80"/>
        <v>X</v>
      </c>
      <c r="J1480" s="79" t="str">
        <f>IF(G1480="","X",_xlfn.XLOOKUP(B1480,DATA_Moresby_2024_ALL!B:B,DATA_Moresby_2024_ALL!K:K,""))</f>
        <v>X</v>
      </c>
      <c r="K1480" s="28"/>
      <c r="L1480" s="29"/>
      <c r="M1480" s="28"/>
      <c r="N1480" s="19" t="str">
        <f t="shared" si="79"/>
        <v/>
      </c>
      <c r="O1480" s="19" t="str">
        <f t="shared" si="79"/>
        <v/>
      </c>
      <c r="P1480" s="19" t="str">
        <f t="shared" si="79"/>
        <v/>
      </c>
      <c r="Q1480" s="19" t="str">
        <f t="shared" si="79"/>
        <v/>
      </c>
      <c r="X1480" s="92" t="s">
        <v>78</v>
      </c>
      <c r="Y1480" s="92" t="s">
        <v>78</v>
      </c>
      <c r="Z1480" s="92" t="s">
        <v>78</v>
      </c>
    </row>
    <row r="1481" spans="1:26" ht="16" hidden="1" x14ac:dyDescent="0.4">
      <c r="A1481" s="92">
        <v>7389</v>
      </c>
      <c r="B1481" s="92">
        <v>7390</v>
      </c>
      <c r="E1481" s="92">
        <v>50</v>
      </c>
      <c r="F1481" s="92">
        <f>_xlfn.XLOOKUP(B1481, DATA_Moresby_2024_ALL!B:B, DATA_Moresby_2024_ALL!G:G, "")</f>
        <v>0</v>
      </c>
      <c r="G1481" s="93"/>
      <c r="H1481" s="92">
        <v>7</v>
      </c>
      <c r="I1481" s="92" t="str">
        <f t="shared" si="80"/>
        <v>X</v>
      </c>
      <c r="J1481" s="79" t="str">
        <f>IF(G1481="","X",_xlfn.XLOOKUP(B1481,DATA_Moresby_2024_ALL!B:B,DATA_Moresby_2024_ALL!K:K,""))</f>
        <v>X</v>
      </c>
      <c r="K1481" s="28"/>
      <c r="L1481" s="29"/>
      <c r="M1481" s="28"/>
      <c r="N1481" s="19" t="str">
        <f t="shared" si="79"/>
        <v/>
      </c>
      <c r="O1481" s="19" t="str">
        <f t="shared" si="79"/>
        <v/>
      </c>
      <c r="P1481" s="19" t="str">
        <f t="shared" si="79"/>
        <v/>
      </c>
      <c r="Q1481" s="19" t="str">
        <f t="shared" si="79"/>
        <v/>
      </c>
      <c r="X1481" s="92" t="s">
        <v>78</v>
      </c>
      <c r="Y1481" s="92" t="s">
        <v>78</v>
      </c>
      <c r="Z1481" s="92" t="s">
        <v>78</v>
      </c>
    </row>
    <row r="1482" spans="1:26" ht="16" hidden="1" x14ac:dyDescent="0.4">
      <c r="A1482" s="92">
        <v>7394</v>
      </c>
      <c r="B1482" s="92">
        <v>7395</v>
      </c>
      <c r="E1482" s="92">
        <v>50</v>
      </c>
      <c r="F1482" s="92">
        <f>_xlfn.XLOOKUP(B1482, DATA_Moresby_2024_ALL!B:B, DATA_Moresby_2024_ALL!G:G, "")</f>
        <v>0</v>
      </c>
      <c r="G1482" s="93"/>
      <c r="H1482" s="92">
        <v>7</v>
      </c>
      <c r="I1482" s="92" t="str">
        <f t="shared" si="80"/>
        <v>X</v>
      </c>
      <c r="J1482" s="79" t="str">
        <f>IF(G1482="","X",_xlfn.XLOOKUP(B1482,DATA_Moresby_2024_ALL!B:B,DATA_Moresby_2024_ALL!K:K,""))</f>
        <v>X</v>
      </c>
      <c r="K1482" s="28"/>
      <c r="L1482" s="29"/>
      <c r="M1482" s="28"/>
      <c r="N1482" s="19" t="str">
        <f t="shared" si="79"/>
        <v/>
      </c>
      <c r="O1482" s="19" t="str">
        <f t="shared" si="79"/>
        <v/>
      </c>
      <c r="P1482" s="19" t="str">
        <f t="shared" si="79"/>
        <v/>
      </c>
      <c r="Q1482" s="19" t="str">
        <f t="shared" si="79"/>
        <v/>
      </c>
      <c r="X1482" s="92" t="s">
        <v>78</v>
      </c>
      <c r="Y1482" s="92" t="s">
        <v>78</v>
      </c>
      <c r="Z1482" s="92" t="s">
        <v>78</v>
      </c>
    </row>
    <row r="1483" spans="1:26" ht="16" hidden="1" x14ac:dyDescent="0.4">
      <c r="A1483" s="92">
        <v>7399</v>
      </c>
      <c r="B1483" s="92">
        <v>7400</v>
      </c>
      <c r="E1483" s="92">
        <v>50</v>
      </c>
      <c r="F1483" s="92">
        <f>_xlfn.XLOOKUP(B1483, DATA_Moresby_2024_ALL!B:B, DATA_Moresby_2024_ALL!G:G, "")</f>
        <v>0</v>
      </c>
      <c r="G1483" s="93"/>
      <c r="H1483" s="92">
        <v>7</v>
      </c>
      <c r="I1483" s="92" t="str">
        <f t="shared" si="80"/>
        <v>X</v>
      </c>
      <c r="J1483" s="79" t="str">
        <f>IF(G1483="","X",_xlfn.XLOOKUP(B1483,DATA_Moresby_2024_ALL!B:B,DATA_Moresby_2024_ALL!K:K,""))</f>
        <v>X</v>
      </c>
      <c r="K1483" s="28"/>
      <c r="L1483" s="29"/>
      <c r="M1483" s="28"/>
      <c r="N1483" s="19" t="str">
        <f t="shared" si="79"/>
        <v/>
      </c>
      <c r="O1483" s="19" t="str">
        <f t="shared" si="79"/>
        <v/>
      </c>
      <c r="P1483" s="19" t="str">
        <f t="shared" si="79"/>
        <v/>
      </c>
      <c r="Q1483" s="19" t="str">
        <f t="shared" si="79"/>
        <v/>
      </c>
      <c r="X1483" s="92" t="s">
        <v>78</v>
      </c>
      <c r="Y1483" s="92" t="s">
        <v>78</v>
      </c>
      <c r="Z1483" s="92" t="s">
        <v>78</v>
      </c>
    </row>
    <row r="1484" spans="1:26" ht="16" hidden="1" x14ac:dyDescent="0.4">
      <c r="A1484" s="92">
        <v>7404</v>
      </c>
      <c r="B1484" s="92">
        <v>7405</v>
      </c>
      <c r="E1484" s="92">
        <v>50</v>
      </c>
      <c r="F1484" s="92">
        <f>_xlfn.XLOOKUP(B1484, DATA_Moresby_2024_ALL!B:B, DATA_Moresby_2024_ALL!G:G, "")</f>
        <v>0</v>
      </c>
      <c r="G1484" s="93"/>
      <c r="H1484" s="92">
        <v>7</v>
      </c>
      <c r="I1484" s="92" t="str">
        <f t="shared" si="80"/>
        <v>X</v>
      </c>
      <c r="J1484" s="79" t="str">
        <f>IF(G1484="","X",_xlfn.XLOOKUP(B1484,DATA_Moresby_2024_ALL!B:B,DATA_Moresby_2024_ALL!K:K,""))</f>
        <v>X</v>
      </c>
      <c r="K1484" s="28"/>
      <c r="L1484" s="29"/>
      <c r="M1484" s="28"/>
      <c r="N1484" s="19" t="str">
        <f t="shared" si="79"/>
        <v/>
      </c>
      <c r="O1484" s="19" t="str">
        <f t="shared" si="79"/>
        <v/>
      </c>
      <c r="P1484" s="19" t="str">
        <f t="shared" si="79"/>
        <v/>
      </c>
      <c r="Q1484" s="19" t="str">
        <f t="shared" si="79"/>
        <v/>
      </c>
      <c r="X1484" s="92" t="s">
        <v>78</v>
      </c>
      <c r="Y1484" s="92" t="s">
        <v>78</v>
      </c>
      <c r="Z1484" s="92" t="s">
        <v>78</v>
      </c>
    </row>
    <row r="1485" spans="1:26" ht="16" hidden="1" x14ac:dyDescent="0.4">
      <c r="A1485" s="92">
        <v>7409</v>
      </c>
      <c r="B1485" s="92">
        <v>7410</v>
      </c>
      <c r="E1485" s="92">
        <v>50</v>
      </c>
      <c r="F1485" s="92">
        <f>_xlfn.XLOOKUP(B1485, DATA_Moresby_2024_ALL!B:B, DATA_Moresby_2024_ALL!G:G, "")</f>
        <v>0</v>
      </c>
      <c r="G1485" s="93"/>
      <c r="H1485" s="92">
        <v>7</v>
      </c>
      <c r="I1485" s="92" t="str">
        <f t="shared" si="80"/>
        <v>X</v>
      </c>
      <c r="J1485" s="79" t="str">
        <f>IF(G1485="","X",_xlfn.XLOOKUP(B1485,DATA_Moresby_2024_ALL!B:B,DATA_Moresby_2024_ALL!K:K,""))</f>
        <v>X</v>
      </c>
      <c r="K1485" s="28"/>
      <c r="L1485" s="29"/>
      <c r="M1485" s="28"/>
      <c r="N1485" s="19" t="str">
        <f t="shared" si="79"/>
        <v/>
      </c>
      <c r="O1485" s="19" t="str">
        <f t="shared" si="79"/>
        <v/>
      </c>
      <c r="P1485" s="19" t="str">
        <f t="shared" si="79"/>
        <v/>
      </c>
      <c r="Q1485" s="19" t="str">
        <f t="shared" si="79"/>
        <v/>
      </c>
      <c r="X1485" s="92" t="s">
        <v>78</v>
      </c>
      <c r="Y1485" s="92" t="s">
        <v>78</v>
      </c>
      <c r="Z1485" s="92" t="s">
        <v>78</v>
      </c>
    </row>
    <row r="1486" spans="1:26" ht="16" hidden="1" x14ac:dyDescent="0.4">
      <c r="A1486" s="92">
        <v>7414</v>
      </c>
      <c r="B1486" s="92">
        <v>7415</v>
      </c>
      <c r="E1486" s="92">
        <v>50</v>
      </c>
      <c r="F1486" s="92">
        <f>_xlfn.XLOOKUP(B1486, DATA_Moresby_2024_ALL!B:B, DATA_Moresby_2024_ALL!G:G, "")</f>
        <v>0</v>
      </c>
      <c r="G1486" s="93"/>
      <c r="H1486" s="92">
        <v>7</v>
      </c>
      <c r="I1486" s="92" t="str">
        <f t="shared" si="80"/>
        <v>X</v>
      </c>
      <c r="J1486" s="79" t="str">
        <f>IF(G1486="","X",_xlfn.XLOOKUP(B1486,DATA_Moresby_2024_ALL!B:B,DATA_Moresby_2024_ALL!K:K,""))</f>
        <v>X</v>
      </c>
      <c r="K1486" s="28"/>
      <c r="L1486" s="29"/>
      <c r="M1486" s="28"/>
      <c r="N1486" s="19" t="str">
        <f t="shared" si="79"/>
        <v/>
      </c>
      <c r="O1486" s="19" t="str">
        <f t="shared" si="79"/>
        <v/>
      </c>
      <c r="P1486" s="19" t="str">
        <f t="shared" si="79"/>
        <v/>
      </c>
      <c r="Q1486" s="19" t="str">
        <f t="shared" si="79"/>
        <v/>
      </c>
      <c r="X1486" s="92" t="s">
        <v>78</v>
      </c>
      <c r="Y1486" s="92" t="s">
        <v>78</v>
      </c>
      <c r="Z1486" s="92" t="s">
        <v>78</v>
      </c>
    </row>
    <row r="1487" spans="1:26" ht="16" hidden="1" x14ac:dyDescent="0.4">
      <c r="A1487" s="92">
        <v>7419</v>
      </c>
      <c r="B1487" s="92">
        <v>7420</v>
      </c>
      <c r="E1487" s="92">
        <v>50</v>
      </c>
      <c r="F1487" s="92">
        <f>_xlfn.XLOOKUP(B1487, DATA_Moresby_2024_ALL!B:B, DATA_Moresby_2024_ALL!G:G, "")</f>
        <v>0</v>
      </c>
      <c r="G1487" s="93"/>
      <c r="H1487" s="92">
        <v>7</v>
      </c>
      <c r="I1487" s="92" t="str">
        <f t="shared" si="80"/>
        <v>X</v>
      </c>
      <c r="J1487" s="79" t="str">
        <f>IF(G1487="","X",_xlfn.XLOOKUP(B1487,DATA_Moresby_2024_ALL!B:B,DATA_Moresby_2024_ALL!K:K,""))</f>
        <v>X</v>
      </c>
      <c r="K1487" s="28"/>
      <c r="L1487" s="29"/>
      <c r="M1487" s="28"/>
      <c r="N1487" s="19" t="str">
        <f t="shared" si="79"/>
        <v/>
      </c>
      <c r="O1487" s="19" t="str">
        <f t="shared" si="79"/>
        <v/>
      </c>
      <c r="P1487" s="19" t="str">
        <f t="shared" si="79"/>
        <v/>
      </c>
      <c r="Q1487" s="19" t="str">
        <f t="shared" si="79"/>
        <v/>
      </c>
      <c r="X1487" s="92" t="s">
        <v>78</v>
      </c>
      <c r="Y1487" s="92" t="s">
        <v>78</v>
      </c>
      <c r="Z1487" s="92" t="s">
        <v>78</v>
      </c>
    </row>
    <row r="1488" spans="1:26" ht="16" hidden="1" x14ac:dyDescent="0.4">
      <c r="A1488" s="92">
        <v>7424</v>
      </c>
      <c r="B1488" s="92">
        <v>7425</v>
      </c>
      <c r="E1488" s="92">
        <v>50</v>
      </c>
      <c r="F1488" s="92">
        <f>_xlfn.XLOOKUP(B1488, DATA_Moresby_2024_ALL!B:B, DATA_Moresby_2024_ALL!G:G, "")</f>
        <v>0</v>
      </c>
      <c r="G1488" s="93"/>
      <c r="H1488" s="92">
        <v>7</v>
      </c>
      <c r="I1488" s="92" t="str">
        <f t="shared" si="80"/>
        <v>X</v>
      </c>
      <c r="J1488" s="79" t="str">
        <f>IF(G1488="","X",_xlfn.XLOOKUP(B1488,DATA_Moresby_2024_ALL!B:B,DATA_Moresby_2024_ALL!K:K,""))</f>
        <v>X</v>
      </c>
      <c r="K1488" s="28"/>
      <c r="L1488" s="29"/>
      <c r="M1488" s="28"/>
      <c r="N1488" s="19" t="str">
        <f t="shared" si="79"/>
        <v/>
      </c>
      <c r="O1488" s="19" t="str">
        <f t="shared" si="79"/>
        <v/>
      </c>
      <c r="P1488" s="19" t="str">
        <f t="shared" si="79"/>
        <v/>
      </c>
      <c r="Q1488" s="19" t="str">
        <f t="shared" si="79"/>
        <v/>
      </c>
      <c r="X1488" s="92" t="s">
        <v>78</v>
      </c>
      <c r="Y1488" s="92" t="s">
        <v>78</v>
      </c>
      <c r="Z1488" s="92" t="s">
        <v>78</v>
      </c>
    </row>
    <row r="1489" spans="1:26" ht="16" hidden="1" x14ac:dyDescent="0.4">
      <c r="A1489" s="92">
        <v>7429</v>
      </c>
      <c r="B1489" s="92">
        <v>7430</v>
      </c>
      <c r="E1489" s="92">
        <v>50</v>
      </c>
      <c r="F1489" s="92">
        <f>_xlfn.XLOOKUP(B1489, DATA_Moresby_2024_ALL!B:B, DATA_Moresby_2024_ALL!G:G, "")</f>
        <v>0</v>
      </c>
      <c r="G1489" s="93"/>
      <c r="H1489" s="92">
        <v>7</v>
      </c>
      <c r="I1489" s="92" t="str">
        <f t="shared" si="80"/>
        <v>X</v>
      </c>
      <c r="J1489" s="79" t="str">
        <f>IF(G1489="","X",_xlfn.XLOOKUP(B1489,DATA_Moresby_2024_ALL!B:B,DATA_Moresby_2024_ALL!K:K,""))</f>
        <v>X</v>
      </c>
      <c r="K1489" s="28"/>
      <c r="L1489" s="29"/>
      <c r="M1489" s="28"/>
      <c r="N1489" s="19" t="str">
        <f t="shared" si="79"/>
        <v/>
      </c>
      <c r="O1489" s="19" t="str">
        <f t="shared" si="79"/>
        <v/>
      </c>
      <c r="P1489" s="19" t="str">
        <f t="shared" si="79"/>
        <v/>
      </c>
      <c r="Q1489" s="19" t="str">
        <f t="shared" si="79"/>
        <v/>
      </c>
      <c r="X1489" s="92" t="s">
        <v>78</v>
      </c>
      <c r="Y1489" s="92" t="s">
        <v>78</v>
      </c>
      <c r="Z1489" s="92" t="s">
        <v>78</v>
      </c>
    </row>
    <row r="1490" spans="1:26" ht="16" hidden="1" x14ac:dyDescent="0.4">
      <c r="A1490" s="92">
        <v>7434</v>
      </c>
      <c r="B1490" s="92">
        <v>7435</v>
      </c>
      <c r="E1490" s="92">
        <v>50</v>
      </c>
      <c r="F1490" s="92">
        <f>_xlfn.XLOOKUP(B1490, DATA_Moresby_2024_ALL!B:B, DATA_Moresby_2024_ALL!G:G, "")</f>
        <v>0</v>
      </c>
      <c r="G1490" s="93"/>
      <c r="H1490" s="92">
        <v>7</v>
      </c>
      <c r="I1490" s="92" t="str">
        <f t="shared" si="80"/>
        <v>X</v>
      </c>
      <c r="J1490" s="79" t="str">
        <f>IF(G1490="","X",_xlfn.XLOOKUP(B1490,DATA_Moresby_2024_ALL!B:B,DATA_Moresby_2024_ALL!K:K,""))</f>
        <v>X</v>
      </c>
      <c r="K1490" s="28"/>
      <c r="L1490" s="29"/>
      <c r="M1490" s="28"/>
      <c r="N1490" s="19" t="str">
        <f t="shared" si="79"/>
        <v/>
      </c>
      <c r="O1490" s="19" t="str">
        <f t="shared" si="79"/>
        <v/>
      </c>
      <c r="P1490" s="19" t="str">
        <f t="shared" si="79"/>
        <v/>
      </c>
      <c r="Q1490" s="19" t="str">
        <f t="shared" si="79"/>
        <v/>
      </c>
      <c r="X1490" s="92" t="s">
        <v>78</v>
      </c>
      <c r="Y1490" s="92" t="s">
        <v>78</v>
      </c>
      <c r="Z1490" s="92" t="s">
        <v>78</v>
      </c>
    </row>
    <row r="1491" spans="1:26" ht="16" hidden="1" x14ac:dyDescent="0.4">
      <c r="A1491" s="92">
        <v>7439</v>
      </c>
      <c r="B1491" s="92">
        <v>7440</v>
      </c>
      <c r="E1491" s="92">
        <v>50</v>
      </c>
      <c r="F1491" s="92">
        <f>_xlfn.XLOOKUP(B1491, DATA_Moresby_2024_ALL!B:B, DATA_Moresby_2024_ALL!G:G, "")</f>
        <v>0</v>
      </c>
      <c r="G1491" s="93"/>
      <c r="H1491" s="92">
        <v>7</v>
      </c>
      <c r="I1491" s="92" t="str">
        <f t="shared" si="80"/>
        <v>X</v>
      </c>
      <c r="J1491" s="79" t="str">
        <f>IF(G1491="","X",_xlfn.XLOOKUP(B1491,DATA_Moresby_2024_ALL!B:B,DATA_Moresby_2024_ALL!K:K,""))</f>
        <v>X</v>
      </c>
      <c r="K1491" s="28"/>
      <c r="L1491" s="29"/>
      <c r="M1491" s="28"/>
      <c r="N1491" s="19" t="str">
        <f t="shared" si="79"/>
        <v/>
      </c>
      <c r="O1491" s="19" t="str">
        <f t="shared" si="79"/>
        <v/>
      </c>
      <c r="P1491" s="19" t="str">
        <f t="shared" si="79"/>
        <v/>
      </c>
      <c r="Q1491" s="19" t="str">
        <f t="shared" si="79"/>
        <v/>
      </c>
      <c r="X1491" s="92" t="s">
        <v>78</v>
      </c>
      <c r="Y1491" s="92" t="s">
        <v>78</v>
      </c>
      <c r="Z1491" s="92" t="s">
        <v>78</v>
      </c>
    </row>
    <row r="1492" spans="1:26" ht="16" hidden="1" x14ac:dyDescent="0.4">
      <c r="A1492" s="92">
        <v>7444</v>
      </c>
      <c r="B1492" s="92">
        <v>7445</v>
      </c>
      <c r="E1492" s="92">
        <v>50</v>
      </c>
      <c r="F1492" s="92">
        <f>_xlfn.XLOOKUP(B1492, DATA_Moresby_2024_ALL!B:B, DATA_Moresby_2024_ALL!G:G, "")</f>
        <v>0</v>
      </c>
      <c r="G1492" s="93"/>
      <c r="H1492" s="92">
        <v>7</v>
      </c>
      <c r="I1492" s="92" t="str">
        <f t="shared" si="80"/>
        <v>X</v>
      </c>
      <c r="J1492" s="79" t="str">
        <f>IF(G1492="","X",_xlfn.XLOOKUP(B1492,DATA_Moresby_2024_ALL!B:B,DATA_Moresby_2024_ALL!K:K,""))</f>
        <v>X</v>
      </c>
      <c r="K1492" s="28"/>
      <c r="L1492" s="29"/>
      <c r="M1492" s="28"/>
      <c r="N1492" s="19" t="str">
        <f t="shared" si="79"/>
        <v/>
      </c>
      <c r="O1492" s="19" t="str">
        <f t="shared" si="79"/>
        <v/>
      </c>
      <c r="P1492" s="19" t="str">
        <f t="shared" si="79"/>
        <v/>
      </c>
      <c r="Q1492" s="19" t="str">
        <f t="shared" si="79"/>
        <v/>
      </c>
      <c r="X1492" s="92" t="s">
        <v>78</v>
      </c>
      <c r="Y1492" s="92" t="s">
        <v>78</v>
      </c>
      <c r="Z1492" s="92" t="s">
        <v>78</v>
      </c>
    </row>
    <row r="1493" spans="1:26" ht="16" hidden="1" x14ac:dyDescent="0.4">
      <c r="A1493" s="92">
        <v>7449</v>
      </c>
      <c r="B1493" s="92">
        <v>7450</v>
      </c>
      <c r="E1493" s="92">
        <v>50</v>
      </c>
      <c r="F1493" s="92">
        <f>_xlfn.XLOOKUP(B1493, DATA_Moresby_2024_ALL!B:B, DATA_Moresby_2024_ALL!G:G, "")</f>
        <v>0</v>
      </c>
      <c r="G1493" s="93"/>
      <c r="H1493" s="92">
        <v>7</v>
      </c>
      <c r="I1493" s="92" t="str">
        <f t="shared" si="80"/>
        <v>X</v>
      </c>
      <c r="J1493" s="79" t="str">
        <f>IF(G1493="","X",_xlfn.XLOOKUP(B1493,DATA_Moresby_2024_ALL!B:B,DATA_Moresby_2024_ALL!K:K,""))</f>
        <v>X</v>
      </c>
      <c r="K1493" s="28"/>
      <c r="L1493" s="29"/>
      <c r="M1493" s="28"/>
      <c r="N1493" s="19" t="str">
        <f t="shared" si="79"/>
        <v/>
      </c>
      <c r="O1493" s="19" t="str">
        <f t="shared" si="79"/>
        <v/>
      </c>
      <c r="P1493" s="19" t="str">
        <f t="shared" si="79"/>
        <v/>
      </c>
      <c r="Q1493" s="19" t="str">
        <f t="shared" si="79"/>
        <v/>
      </c>
      <c r="X1493" s="92" t="s">
        <v>78</v>
      </c>
      <c r="Y1493" s="92" t="s">
        <v>78</v>
      </c>
      <c r="Z1493" s="92" t="s">
        <v>78</v>
      </c>
    </row>
    <row r="1494" spans="1:26" ht="16" hidden="1" x14ac:dyDescent="0.4">
      <c r="A1494" s="92">
        <v>7454</v>
      </c>
      <c r="B1494" s="92">
        <v>7455</v>
      </c>
      <c r="E1494" s="92">
        <v>50</v>
      </c>
      <c r="F1494" s="92">
        <f>_xlfn.XLOOKUP(B1494, DATA_Moresby_2024_ALL!B:B, DATA_Moresby_2024_ALL!G:G, "")</f>
        <v>0</v>
      </c>
      <c r="G1494" s="93"/>
      <c r="H1494" s="92">
        <v>7</v>
      </c>
      <c r="I1494" s="92" t="str">
        <f t="shared" si="80"/>
        <v>X</v>
      </c>
      <c r="J1494" s="79" t="str">
        <f>IF(G1494="","X",_xlfn.XLOOKUP(B1494,DATA_Moresby_2024_ALL!B:B,DATA_Moresby_2024_ALL!K:K,""))</f>
        <v>X</v>
      </c>
      <c r="K1494" s="28"/>
      <c r="L1494" s="29"/>
      <c r="M1494" s="28"/>
      <c r="N1494" s="19" t="str">
        <f t="shared" si="79"/>
        <v/>
      </c>
      <c r="O1494" s="19" t="str">
        <f t="shared" si="79"/>
        <v/>
      </c>
      <c r="P1494" s="19" t="str">
        <f t="shared" si="79"/>
        <v/>
      </c>
      <c r="Q1494" s="19" t="str">
        <f t="shared" si="79"/>
        <v/>
      </c>
      <c r="X1494" s="92" t="s">
        <v>78</v>
      </c>
      <c r="Y1494" s="92" t="s">
        <v>78</v>
      </c>
      <c r="Z1494" s="92" t="s">
        <v>78</v>
      </c>
    </row>
    <row r="1495" spans="1:26" ht="16" hidden="1" x14ac:dyDescent="0.4">
      <c r="A1495" s="92">
        <v>7459</v>
      </c>
      <c r="B1495" s="92">
        <v>7460</v>
      </c>
      <c r="E1495" s="92">
        <v>50</v>
      </c>
      <c r="F1495" s="92">
        <f>_xlfn.XLOOKUP(B1495, DATA_Moresby_2024_ALL!B:B, DATA_Moresby_2024_ALL!G:G, "")</f>
        <v>0</v>
      </c>
      <c r="G1495" s="93"/>
      <c r="H1495" s="92">
        <v>7</v>
      </c>
      <c r="I1495" s="92" t="str">
        <f t="shared" si="80"/>
        <v>X</v>
      </c>
      <c r="J1495" s="79" t="str">
        <f>IF(G1495="","X",_xlfn.XLOOKUP(B1495,DATA_Moresby_2024_ALL!B:B,DATA_Moresby_2024_ALL!K:K,""))</f>
        <v>X</v>
      </c>
      <c r="K1495" s="28"/>
      <c r="L1495" s="29"/>
      <c r="M1495" s="28"/>
      <c r="N1495" s="19" t="str">
        <f t="shared" si="79"/>
        <v/>
      </c>
      <c r="O1495" s="19" t="str">
        <f t="shared" si="79"/>
        <v/>
      </c>
      <c r="P1495" s="19" t="str">
        <f t="shared" si="79"/>
        <v/>
      </c>
      <c r="Q1495" s="19" t="str">
        <f t="shared" si="79"/>
        <v/>
      </c>
      <c r="X1495" s="92" t="s">
        <v>78</v>
      </c>
      <c r="Y1495" s="92" t="s">
        <v>78</v>
      </c>
      <c r="Z1495" s="92" t="s">
        <v>78</v>
      </c>
    </row>
    <row r="1496" spans="1:26" ht="16" hidden="1" x14ac:dyDescent="0.4">
      <c r="A1496" s="92">
        <v>7464</v>
      </c>
      <c r="B1496" s="92">
        <v>7465</v>
      </c>
      <c r="E1496" s="92">
        <v>50</v>
      </c>
      <c r="F1496" s="92">
        <f>_xlfn.XLOOKUP(B1496, DATA_Moresby_2024_ALL!B:B, DATA_Moresby_2024_ALL!G:G, "")</f>
        <v>0</v>
      </c>
      <c r="G1496" s="93"/>
      <c r="H1496" s="92">
        <v>7</v>
      </c>
      <c r="I1496" s="92" t="str">
        <f t="shared" si="80"/>
        <v>X</v>
      </c>
      <c r="J1496" s="79" t="str">
        <f>IF(G1496="","X",_xlfn.XLOOKUP(B1496,DATA_Moresby_2024_ALL!B:B,DATA_Moresby_2024_ALL!K:K,""))</f>
        <v>X</v>
      </c>
      <c r="K1496" s="28"/>
      <c r="L1496" s="29"/>
      <c r="M1496" s="28"/>
      <c r="N1496" s="19" t="str">
        <f t="shared" si="79"/>
        <v/>
      </c>
      <c r="O1496" s="19" t="str">
        <f t="shared" si="79"/>
        <v/>
      </c>
      <c r="P1496" s="19" t="str">
        <f t="shared" si="79"/>
        <v/>
      </c>
      <c r="Q1496" s="19" t="str">
        <f t="shared" si="79"/>
        <v/>
      </c>
      <c r="X1496" s="92" t="s">
        <v>78</v>
      </c>
      <c r="Y1496" s="92" t="s">
        <v>78</v>
      </c>
      <c r="Z1496" s="92" t="s">
        <v>78</v>
      </c>
    </row>
    <row r="1497" spans="1:26" ht="16" hidden="1" x14ac:dyDescent="0.4">
      <c r="A1497" s="92">
        <v>7469</v>
      </c>
      <c r="B1497" s="92">
        <v>7470</v>
      </c>
      <c r="E1497" s="92">
        <v>50</v>
      </c>
      <c r="F1497" s="92">
        <f>_xlfn.XLOOKUP(B1497, DATA_Moresby_2024_ALL!B:B, DATA_Moresby_2024_ALL!G:G, "")</f>
        <v>0</v>
      </c>
      <c r="G1497" s="93"/>
      <c r="H1497" s="92">
        <v>7</v>
      </c>
      <c r="I1497" s="92" t="str">
        <f t="shared" si="80"/>
        <v>X</v>
      </c>
      <c r="J1497" s="79" t="str">
        <f>IF(G1497="","X",_xlfn.XLOOKUP(B1497,DATA_Moresby_2024_ALL!B:B,DATA_Moresby_2024_ALL!K:K,""))</f>
        <v>X</v>
      </c>
      <c r="K1497" s="28"/>
      <c r="L1497" s="29"/>
      <c r="M1497" s="28"/>
      <c r="N1497" s="19" t="str">
        <f t="shared" si="79"/>
        <v/>
      </c>
      <c r="O1497" s="19" t="str">
        <f t="shared" si="79"/>
        <v/>
      </c>
      <c r="P1497" s="19" t="str">
        <f t="shared" si="79"/>
        <v/>
      </c>
      <c r="Q1497" s="19" t="str">
        <f t="shared" si="79"/>
        <v/>
      </c>
      <c r="X1497" s="92" t="s">
        <v>78</v>
      </c>
      <c r="Y1497" s="92" t="s">
        <v>78</v>
      </c>
      <c r="Z1497" s="92" t="s">
        <v>78</v>
      </c>
    </row>
    <row r="1498" spans="1:26" ht="16" hidden="1" x14ac:dyDescent="0.4">
      <c r="A1498" s="92">
        <v>7474</v>
      </c>
      <c r="B1498" s="92">
        <v>7475</v>
      </c>
      <c r="E1498" s="92">
        <v>50</v>
      </c>
      <c r="F1498" s="92">
        <f>_xlfn.XLOOKUP(B1498, DATA_Moresby_2024_ALL!B:B, DATA_Moresby_2024_ALL!G:G, "")</f>
        <v>0</v>
      </c>
      <c r="G1498" s="93"/>
      <c r="H1498" s="92">
        <v>7</v>
      </c>
      <c r="I1498" s="92" t="str">
        <f t="shared" si="80"/>
        <v>X</v>
      </c>
      <c r="J1498" s="79" t="str">
        <f>IF(G1498="","X",_xlfn.XLOOKUP(B1498,DATA_Moresby_2024_ALL!B:B,DATA_Moresby_2024_ALL!K:K,""))</f>
        <v>X</v>
      </c>
      <c r="K1498" s="28"/>
      <c r="L1498" s="29"/>
      <c r="M1498" s="28"/>
      <c r="N1498" s="19" t="str">
        <f t="shared" si="79"/>
        <v/>
      </c>
      <c r="O1498" s="19" t="str">
        <f t="shared" si="79"/>
        <v/>
      </c>
      <c r="P1498" s="19" t="str">
        <f t="shared" si="79"/>
        <v/>
      </c>
      <c r="Q1498" s="19" t="str">
        <f t="shared" si="79"/>
        <v/>
      </c>
      <c r="X1498" s="92" t="s">
        <v>78</v>
      </c>
      <c r="Y1498" s="92" t="s">
        <v>78</v>
      </c>
      <c r="Z1498" s="92" t="s">
        <v>78</v>
      </c>
    </row>
    <row r="1499" spans="1:26" ht="16" hidden="1" x14ac:dyDescent="0.4">
      <c r="A1499" s="92">
        <v>7479</v>
      </c>
      <c r="B1499" s="92">
        <v>7480</v>
      </c>
      <c r="E1499" s="92">
        <v>50</v>
      </c>
      <c r="F1499" s="92">
        <f>_xlfn.XLOOKUP(B1499, DATA_Moresby_2024_ALL!B:B, DATA_Moresby_2024_ALL!G:G, "")</f>
        <v>0</v>
      </c>
      <c r="G1499" s="93"/>
      <c r="H1499" s="92">
        <v>7</v>
      </c>
      <c r="I1499" s="92" t="str">
        <f t="shared" si="80"/>
        <v>X</v>
      </c>
      <c r="J1499" s="79" t="str">
        <f>IF(G1499="","X",_xlfn.XLOOKUP(B1499,DATA_Moresby_2024_ALL!B:B,DATA_Moresby_2024_ALL!K:K,""))</f>
        <v>X</v>
      </c>
      <c r="K1499" s="28"/>
      <c r="L1499" s="29"/>
      <c r="M1499" s="28"/>
      <c r="N1499" s="19" t="str">
        <f t="shared" si="79"/>
        <v/>
      </c>
      <c r="O1499" s="19" t="str">
        <f t="shared" si="79"/>
        <v/>
      </c>
      <c r="P1499" s="19" t="str">
        <f t="shared" si="79"/>
        <v/>
      </c>
      <c r="Q1499" s="19" t="str">
        <f t="shared" si="79"/>
        <v/>
      </c>
      <c r="X1499" s="92" t="s">
        <v>78</v>
      </c>
      <c r="Y1499" s="92" t="s">
        <v>78</v>
      </c>
      <c r="Z1499" s="92" t="s">
        <v>78</v>
      </c>
    </row>
    <row r="1500" spans="1:26" ht="16" hidden="1" x14ac:dyDescent="0.4">
      <c r="A1500" s="92">
        <v>7484</v>
      </c>
      <c r="B1500" s="92">
        <v>7485</v>
      </c>
      <c r="E1500" s="92">
        <v>50</v>
      </c>
      <c r="F1500" s="92">
        <f>_xlfn.XLOOKUP(B1500, DATA_Moresby_2024_ALL!B:B, DATA_Moresby_2024_ALL!G:G, "")</f>
        <v>0</v>
      </c>
      <c r="G1500" s="93"/>
      <c r="H1500" s="92">
        <v>7</v>
      </c>
      <c r="I1500" s="92" t="str">
        <f t="shared" si="80"/>
        <v>X</v>
      </c>
      <c r="J1500" s="79" t="str">
        <f>IF(G1500="","X",_xlfn.XLOOKUP(B1500,DATA_Moresby_2024_ALL!B:B,DATA_Moresby_2024_ALL!K:K,""))</f>
        <v>X</v>
      </c>
      <c r="K1500" s="28"/>
      <c r="L1500" s="29"/>
      <c r="M1500" s="28"/>
      <c r="N1500" s="19" t="str">
        <f t="shared" si="79"/>
        <v/>
      </c>
      <c r="O1500" s="19" t="str">
        <f t="shared" si="79"/>
        <v/>
      </c>
      <c r="P1500" s="19" t="str">
        <f t="shared" si="79"/>
        <v/>
      </c>
      <c r="Q1500" s="19" t="str">
        <f t="shared" si="79"/>
        <v/>
      </c>
      <c r="X1500" s="92" t="s">
        <v>78</v>
      </c>
      <c r="Y1500" s="92" t="s">
        <v>78</v>
      </c>
      <c r="Z1500" s="92" t="s">
        <v>78</v>
      </c>
    </row>
    <row r="1501" spans="1:26" ht="16" hidden="1" x14ac:dyDescent="0.4">
      <c r="A1501" s="92">
        <v>7489</v>
      </c>
      <c r="B1501" s="92">
        <v>7490</v>
      </c>
      <c r="E1501" s="92">
        <v>50</v>
      </c>
      <c r="F1501" s="92">
        <f>_xlfn.XLOOKUP(B1501, DATA_Moresby_2024_ALL!B:B, DATA_Moresby_2024_ALL!G:G, "")</f>
        <v>0</v>
      </c>
      <c r="G1501" s="93"/>
      <c r="H1501" s="92">
        <v>7</v>
      </c>
      <c r="I1501" s="92" t="str">
        <f t="shared" si="80"/>
        <v>X</v>
      </c>
      <c r="J1501" s="79" t="str">
        <f>IF(G1501="","X",_xlfn.XLOOKUP(B1501,DATA_Moresby_2024_ALL!B:B,DATA_Moresby_2024_ALL!K:K,""))</f>
        <v>X</v>
      </c>
      <c r="K1501" s="28"/>
      <c r="L1501" s="29"/>
      <c r="M1501" s="28"/>
      <c r="N1501" s="19" t="str">
        <f t="shared" si="79"/>
        <v/>
      </c>
      <c r="O1501" s="19" t="str">
        <f t="shared" si="79"/>
        <v/>
      </c>
      <c r="P1501" s="19" t="str">
        <f t="shared" si="79"/>
        <v/>
      </c>
      <c r="Q1501" s="19" t="str">
        <f t="shared" ref="O1501:Q1564" si="81">IF($J1501=1,4,"")</f>
        <v/>
      </c>
      <c r="X1501" s="92" t="s">
        <v>78</v>
      </c>
      <c r="Y1501" s="92" t="s">
        <v>78</v>
      </c>
      <c r="Z1501" s="92" t="s">
        <v>78</v>
      </c>
    </row>
    <row r="1502" spans="1:26" ht="16" hidden="1" x14ac:dyDescent="0.4">
      <c r="A1502" s="92">
        <v>7494</v>
      </c>
      <c r="B1502" s="92">
        <v>7495</v>
      </c>
      <c r="E1502" s="92">
        <v>50</v>
      </c>
      <c r="F1502" s="92">
        <f>_xlfn.XLOOKUP(B1502, DATA_Moresby_2024_ALL!B:B, DATA_Moresby_2024_ALL!G:G, "")</f>
        <v>0</v>
      </c>
      <c r="G1502" s="93"/>
      <c r="H1502" s="92">
        <v>7</v>
      </c>
      <c r="I1502" s="92" t="str">
        <f t="shared" si="80"/>
        <v>X</v>
      </c>
      <c r="J1502" s="79" t="str">
        <f>IF(G1502="","X",_xlfn.XLOOKUP(B1502,DATA_Moresby_2024_ALL!B:B,DATA_Moresby_2024_ALL!K:K,""))</f>
        <v>X</v>
      </c>
      <c r="K1502" s="28"/>
      <c r="L1502" s="29"/>
      <c r="M1502" s="28"/>
      <c r="N1502" s="19" t="str">
        <f t="shared" ref="N1502:Q1565" si="82">IF($J1502=1,4,"")</f>
        <v/>
      </c>
      <c r="O1502" s="19" t="str">
        <f t="shared" si="81"/>
        <v/>
      </c>
      <c r="P1502" s="19" t="str">
        <f t="shared" si="81"/>
        <v/>
      </c>
      <c r="Q1502" s="19" t="str">
        <f t="shared" si="81"/>
        <v/>
      </c>
      <c r="X1502" s="92" t="s">
        <v>78</v>
      </c>
      <c r="Y1502" s="92" t="s">
        <v>78</v>
      </c>
      <c r="Z1502" s="92" t="s">
        <v>78</v>
      </c>
    </row>
    <row r="1503" spans="1:26" ht="16" hidden="1" x14ac:dyDescent="0.4">
      <c r="A1503" s="92">
        <v>7499</v>
      </c>
      <c r="B1503" s="92">
        <v>7500</v>
      </c>
      <c r="E1503" s="92">
        <v>50</v>
      </c>
      <c r="F1503" s="92">
        <f>_xlfn.XLOOKUP(B1503, DATA_Moresby_2024_ALL!B:B, DATA_Moresby_2024_ALL!G:G, "")</f>
        <v>0</v>
      </c>
      <c r="G1503" s="93"/>
      <c r="H1503" s="92">
        <v>7</v>
      </c>
      <c r="I1503" s="92" t="str">
        <f t="shared" si="80"/>
        <v>X</v>
      </c>
      <c r="J1503" s="79" t="str">
        <f>IF(G1503="","X",_xlfn.XLOOKUP(B1503,DATA_Moresby_2024_ALL!B:B,DATA_Moresby_2024_ALL!K:K,""))</f>
        <v>X</v>
      </c>
      <c r="K1503" s="28"/>
      <c r="L1503" s="29"/>
      <c r="M1503" s="28"/>
      <c r="N1503" s="19" t="str">
        <f t="shared" si="82"/>
        <v/>
      </c>
      <c r="O1503" s="19" t="str">
        <f t="shared" si="81"/>
        <v/>
      </c>
      <c r="P1503" s="19" t="str">
        <f t="shared" si="81"/>
        <v/>
      </c>
      <c r="Q1503" s="19" t="str">
        <f t="shared" si="81"/>
        <v/>
      </c>
      <c r="X1503" s="92" t="s">
        <v>78</v>
      </c>
      <c r="Y1503" s="92" t="s">
        <v>78</v>
      </c>
      <c r="Z1503" s="92" t="s">
        <v>78</v>
      </c>
    </row>
    <row r="1504" spans="1:26" ht="16" hidden="1" x14ac:dyDescent="0.4">
      <c r="A1504" s="92">
        <v>7504</v>
      </c>
      <c r="B1504" s="92">
        <v>7505</v>
      </c>
      <c r="E1504" s="92">
        <v>50</v>
      </c>
      <c r="F1504" s="92">
        <f>_xlfn.XLOOKUP(B1504, DATA_Moresby_2024_ALL!B:B, DATA_Moresby_2024_ALL!G:G, "")</f>
        <v>0</v>
      </c>
      <c r="G1504" s="93"/>
      <c r="H1504" s="92">
        <v>7</v>
      </c>
      <c r="I1504" s="92" t="str">
        <f t="shared" si="80"/>
        <v>X</v>
      </c>
      <c r="J1504" s="79" t="str">
        <f>IF(G1504="","X",_xlfn.XLOOKUP(B1504,DATA_Moresby_2024_ALL!B:B,DATA_Moresby_2024_ALL!K:K,""))</f>
        <v>X</v>
      </c>
      <c r="K1504" s="28"/>
      <c r="L1504" s="29"/>
      <c r="M1504" s="28"/>
      <c r="N1504" s="19" t="str">
        <f t="shared" si="82"/>
        <v/>
      </c>
      <c r="O1504" s="19" t="str">
        <f t="shared" si="81"/>
        <v/>
      </c>
      <c r="P1504" s="19" t="str">
        <f t="shared" si="81"/>
        <v/>
      </c>
      <c r="Q1504" s="19" t="str">
        <f t="shared" si="81"/>
        <v/>
      </c>
      <c r="X1504" s="92" t="s">
        <v>78</v>
      </c>
      <c r="Y1504" s="92" t="s">
        <v>78</v>
      </c>
      <c r="Z1504" s="92" t="s">
        <v>78</v>
      </c>
    </row>
    <row r="1505" spans="1:26" ht="16" hidden="1" x14ac:dyDescent="0.4">
      <c r="A1505" s="92">
        <v>7509</v>
      </c>
      <c r="B1505" s="92">
        <v>7510</v>
      </c>
      <c r="E1505" s="92">
        <v>50</v>
      </c>
      <c r="F1505" s="92">
        <f>_xlfn.XLOOKUP(B1505, DATA_Moresby_2024_ALL!B:B, DATA_Moresby_2024_ALL!G:G, "")</f>
        <v>0</v>
      </c>
      <c r="G1505" s="93"/>
      <c r="H1505" s="92">
        <v>7</v>
      </c>
      <c r="I1505" s="92" t="str">
        <f t="shared" si="80"/>
        <v>X</v>
      </c>
      <c r="J1505" s="79" t="str">
        <f>IF(G1505="","X",_xlfn.XLOOKUP(B1505,DATA_Moresby_2024_ALL!B:B,DATA_Moresby_2024_ALL!K:K,""))</f>
        <v>X</v>
      </c>
      <c r="K1505" s="28"/>
      <c r="L1505" s="29"/>
      <c r="M1505" s="28"/>
      <c r="N1505" s="19" t="str">
        <f t="shared" si="82"/>
        <v/>
      </c>
      <c r="O1505" s="19" t="str">
        <f t="shared" si="81"/>
        <v/>
      </c>
      <c r="P1505" s="19" t="str">
        <f t="shared" si="81"/>
        <v/>
      </c>
      <c r="Q1505" s="19" t="str">
        <f t="shared" si="81"/>
        <v/>
      </c>
      <c r="X1505" s="92" t="s">
        <v>78</v>
      </c>
      <c r="Y1505" s="92" t="s">
        <v>78</v>
      </c>
      <c r="Z1505" s="92" t="s">
        <v>78</v>
      </c>
    </row>
    <row r="1506" spans="1:26" ht="16" hidden="1" x14ac:dyDescent="0.4">
      <c r="A1506" s="92">
        <v>7514</v>
      </c>
      <c r="B1506" s="92">
        <v>7515</v>
      </c>
      <c r="E1506" s="92">
        <v>50</v>
      </c>
      <c r="F1506" s="92">
        <f>_xlfn.XLOOKUP(B1506, DATA_Moresby_2024_ALL!B:B, DATA_Moresby_2024_ALL!G:G, "")</f>
        <v>0</v>
      </c>
      <c r="G1506" s="93"/>
      <c r="H1506" s="92">
        <v>7</v>
      </c>
      <c r="I1506" s="92" t="str">
        <f t="shared" si="80"/>
        <v>X</v>
      </c>
      <c r="J1506" s="79" t="str">
        <f>IF(G1506="","X",_xlfn.XLOOKUP(B1506,DATA_Moresby_2024_ALL!B:B,DATA_Moresby_2024_ALL!K:K,""))</f>
        <v>X</v>
      </c>
      <c r="K1506" s="28"/>
      <c r="L1506" s="29"/>
      <c r="M1506" s="28"/>
      <c r="N1506" s="19" t="str">
        <f t="shared" si="82"/>
        <v/>
      </c>
      <c r="O1506" s="19" t="str">
        <f t="shared" si="81"/>
        <v/>
      </c>
      <c r="P1506" s="19" t="str">
        <f t="shared" si="81"/>
        <v/>
      </c>
      <c r="Q1506" s="19" t="str">
        <f t="shared" si="81"/>
        <v/>
      </c>
      <c r="X1506" s="92" t="s">
        <v>78</v>
      </c>
      <c r="Y1506" s="92" t="s">
        <v>78</v>
      </c>
      <c r="Z1506" s="92" t="s">
        <v>78</v>
      </c>
    </row>
    <row r="1507" spans="1:26" ht="16" hidden="1" x14ac:dyDescent="0.4">
      <c r="A1507" s="92">
        <v>7519</v>
      </c>
      <c r="B1507" s="92">
        <v>7520</v>
      </c>
      <c r="E1507" s="92">
        <v>50</v>
      </c>
      <c r="F1507" s="92">
        <f>_xlfn.XLOOKUP(B1507, DATA_Moresby_2024_ALL!B:B, DATA_Moresby_2024_ALL!G:G, "")</f>
        <v>0</v>
      </c>
      <c r="G1507" s="93"/>
      <c r="H1507" s="92">
        <v>7</v>
      </c>
      <c r="I1507" s="92" t="str">
        <f t="shared" si="80"/>
        <v>X</v>
      </c>
      <c r="J1507" s="79" t="str">
        <f>IF(G1507="","X",_xlfn.XLOOKUP(B1507,DATA_Moresby_2024_ALL!B:B,DATA_Moresby_2024_ALL!K:K,""))</f>
        <v>X</v>
      </c>
      <c r="K1507" s="28"/>
      <c r="L1507" s="29"/>
      <c r="M1507" s="28"/>
      <c r="N1507" s="19" t="str">
        <f t="shared" si="82"/>
        <v/>
      </c>
      <c r="O1507" s="19" t="str">
        <f t="shared" si="81"/>
        <v/>
      </c>
      <c r="P1507" s="19" t="str">
        <f t="shared" si="81"/>
        <v/>
      </c>
      <c r="Q1507" s="19" t="str">
        <f t="shared" si="81"/>
        <v/>
      </c>
      <c r="X1507" s="92" t="s">
        <v>78</v>
      </c>
      <c r="Y1507" s="92" t="s">
        <v>78</v>
      </c>
      <c r="Z1507" s="92" t="s">
        <v>78</v>
      </c>
    </row>
    <row r="1508" spans="1:26" ht="16" hidden="1" x14ac:dyDescent="0.4">
      <c r="A1508" s="92">
        <v>7524</v>
      </c>
      <c r="B1508" s="92">
        <v>7525</v>
      </c>
      <c r="E1508" s="92">
        <v>50</v>
      </c>
      <c r="F1508" s="92">
        <f>_xlfn.XLOOKUP(B1508, DATA_Moresby_2024_ALL!B:B, DATA_Moresby_2024_ALL!G:G, "")</f>
        <v>0</v>
      </c>
      <c r="G1508" s="93"/>
      <c r="H1508" s="92">
        <v>7</v>
      </c>
      <c r="I1508" s="92" t="str">
        <f t="shared" ref="I1508:I1571" si="83">IF(G1508="","X","")</f>
        <v>X</v>
      </c>
      <c r="J1508" s="79" t="str">
        <f>IF(G1508="","X",_xlfn.XLOOKUP(B1508,DATA_Moresby_2024_ALL!B:B,DATA_Moresby_2024_ALL!K:K,""))</f>
        <v>X</v>
      </c>
      <c r="K1508" s="28"/>
      <c r="L1508" s="29"/>
      <c r="M1508" s="28"/>
      <c r="N1508" s="19" t="str">
        <f t="shared" si="82"/>
        <v/>
      </c>
      <c r="O1508" s="19" t="str">
        <f t="shared" si="81"/>
        <v/>
      </c>
      <c r="P1508" s="19" t="str">
        <f t="shared" si="81"/>
        <v/>
      </c>
      <c r="Q1508" s="19" t="str">
        <f t="shared" si="81"/>
        <v/>
      </c>
      <c r="X1508" s="92" t="s">
        <v>78</v>
      </c>
      <c r="Y1508" s="92" t="s">
        <v>78</v>
      </c>
      <c r="Z1508" s="92" t="s">
        <v>78</v>
      </c>
    </row>
    <row r="1509" spans="1:26" ht="16" hidden="1" x14ac:dyDescent="0.4">
      <c r="A1509" s="92">
        <v>7529</v>
      </c>
      <c r="B1509" s="92">
        <v>7530</v>
      </c>
      <c r="E1509" s="92">
        <v>50</v>
      </c>
      <c r="F1509" s="92">
        <f>_xlfn.XLOOKUP(B1509, DATA_Moresby_2024_ALL!B:B, DATA_Moresby_2024_ALL!G:G, "")</f>
        <v>0</v>
      </c>
      <c r="G1509" s="93"/>
      <c r="H1509" s="92">
        <v>7</v>
      </c>
      <c r="I1509" s="92" t="str">
        <f t="shared" si="83"/>
        <v>X</v>
      </c>
      <c r="J1509" s="79" t="str">
        <f>IF(G1509="","X",_xlfn.XLOOKUP(B1509,DATA_Moresby_2024_ALL!B:B,DATA_Moresby_2024_ALL!K:K,""))</f>
        <v>X</v>
      </c>
      <c r="K1509" s="28"/>
      <c r="L1509" s="29"/>
      <c r="M1509" s="28"/>
      <c r="N1509" s="19" t="str">
        <f t="shared" si="82"/>
        <v/>
      </c>
      <c r="O1509" s="19" t="str">
        <f t="shared" si="81"/>
        <v/>
      </c>
      <c r="P1509" s="19" t="str">
        <f t="shared" si="81"/>
        <v/>
      </c>
      <c r="Q1509" s="19" t="str">
        <f t="shared" si="81"/>
        <v/>
      </c>
      <c r="X1509" s="92" t="s">
        <v>78</v>
      </c>
      <c r="Y1509" s="92" t="s">
        <v>78</v>
      </c>
      <c r="Z1509" s="92" t="s">
        <v>78</v>
      </c>
    </row>
    <row r="1510" spans="1:26" ht="16" hidden="1" x14ac:dyDescent="0.4">
      <c r="A1510" s="92">
        <v>7534</v>
      </c>
      <c r="B1510" s="92">
        <v>7535</v>
      </c>
      <c r="E1510" s="92">
        <v>50</v>
      </c>
      <c r="F1510" s="92">
        <f>_xlfn.XLOOKUP(B1510, DATA_Moresby_2024_ALL!B:B, DATA_Moresby_2024_ALL!G:G, "")</f>
        <v>0</v>
      </c>
      <c r="G1510" s="93"/>
      <c r="H1510" s="92">
        <v>7</v>
      </c>
      <c r="I1510" s="92" t="str">
        <f t="shared" si="83"/>
        <v>X</v>
      </c>
      <c r="J1510" s="79" t="str">
        <f>IF(G1510="","X",_xlfn.XLOOKUP(B1510,DATA_Moresby_2024_ALL!B:B,DATA_Moresby_2024_ALL!K:K,""))</f>
        <v>X</v>
      </c>
      <c r="K1510" s="28"/>
      <c r="L1510" s="29"/>
      <c r="M1510" s="28"/>
      <c r="N1510" s="19" t="str">
        <f t="shared" si="82"/>
        <v/>
      </c>
      <c r="O1510" s="19" t="str">
        <f t="shared" si="81"/>
        <v/>
      </c>
      <c r="P1510" s="19" t="str">
        <f t="shared" si="81"/>
        <v/>
      </c>
      <c r="Q1510" s="19" t="str">
        <f t="shared" si="81"/>
        <v/>
      </c>
      <c r="X1510" s="92" t="s">
        <v>78</v>
      </c>
      <c r="Y1510" s="92" t="s">
        <v>78</v>
      </c>
      <c r="Z1510" s="92" t="s">
        <v>78</v>
      </c>
    </row>
    <row r="1511" spans="1:26" ht="16" hidden="1" x14ac:dyDescent="0.4">
      <c r="A1511" s="92">
        <v>7539</v>
      </c>
      <c r="B1511" s="92">
        <v>7540</v>
      </c>
      <c r="E1511" s="92">
        <v>50</v>
      </c>
      <c r="F1511" s="92">
        <f>_xlfn.XLOOKUP(B1511, DATA_Moresby_2024_ALL!B:B, DATA_Moresby_2024_ALL!G:G, "")</f>
        <v>0</v>
      </c>
      <c r="G1511" s="93"/>
      <c r="H1511" s="92">
        <v>7</v>
      </c>
      <c r="I1511" s="92" t="str">
        <f t="shared" si="83"/>
        <v>X</v>
      </c>
      <c r="J1511" s="79" t="str">
        <f>IF(G1511="","X",_xlfn.XLOOKUP(B1511,DATA_Moresby_2024_ALL!B:B,DATA_Moresby_2024_ALL!K:K,""))</f>
        <v>X</v>
      </c>
      <c r="K1511" s="28"/>
      <c r="L1511" s="29"/>
      <c r="M1511" s="28"/>
      <c r="N1511" s="19" t="str">
        <f t="shared" si="82"/>
        <v/>
      </c>
      <c r="O1511" s="19" t="str">
        <f t="shared" si="81"/>
        <v/>
      </c>
      <c r="P1511" s="19" t="str">
        <f t="shared" si="81"/>
        <v/>
      </c>
      <c r="Q1511" s="19" t="str">
        <f t="shared" si="81"/>
        <v/>
      </c>
      <c r="X1511" s="92" t="s">
        <v>78</v>
      </c>
      <c r="Y1511" s="92" t="s">
        <v>78</v>
      </c>
      <c r="Z1511" s="92" t="s">
        <v>78</v>
      </c>
    </row>
    <row r="1512" spans="1:26" ht="16" hidden="1" x14ac:dyDescent="0.4">
      <c r="A1512" s="92">
        <v>7544</v>
      </c>
      <c r="B1512" s="92">
        <v>7545</v>
      </c>
      <c r="E1512" s="92">
        <v>50</v>
      </c>
      <c r="F1512" s="92">
        <f>_xlfn.XLOOKUP(B1512, DATA_Moresby_2024_ALL!B:B, DATA_Moresby_2024_ALL!G:G, "")</f>
        <v>0</v>
      </c>
      <c r="G1512" s="93"/>
      <c r="H1512" s="92">
        <v>7</v>
      </c>
      <c r="I1512" s="92" t="str">
        <f t="shared" si="83"/>
        <v>X</v>
      </c>
      <c r="J1512" s="79" t="str">
        <f>IF(G1512="","X",_xlfn.XLOOKUP(B1512,DATA_Moresby_2024_ALL!B:B,DATA_Moresby_2024_ALL!K:K,""))</f>
        <v>X</v>
      </c>
      <c r="K1512" s="28"/>
      <c r="L1512" s="29"/>
      <c r="M1512" s="28"/>
      <c r="N1512" s="19" t="str">
        <f t="shared" si="82"/>
        <v/>
      </c>
      <c r="O1512" s="19" t="str">
        <f t="shared" si="81"/>
        <v/>
      </c>
      <c r="P1512" s="19" t="str">
        <f t="shared" si="81"/>
        <v/>
      </c>
      <c r="Q1512" s="19" t="str">
        <f t="shared" si="81"/>
        <v/>
      </c>
      <c r="X1512" s="92" t="s">
        <v>78</v>
      </c>
      <c r="Y1512" s="92" t="s">
        <v>78</v>
      </c>
      <c r="Z1512" s="92" t="s">
        <v>78</v>
      </c>
    </row>
    <row r="1513" spans="1:26" ht="16" hidden="1" x14ac:dyDescent="0.4">
      <c r="A1513" s="92">
        <v>7549</v>
      </c>
      <c r="B1513" s="92">
        <v>7550</v>
      </c>
      <c r="E1513" s="92">
        <v>50</v>
      </c>
      <c r="F1513" s="92">
        <f>_xlfn.XLOOKUP(B1513, DATA_Moresby_2024_ALL!B:B, DATA_Moresby_2024_ALL!G:G, "")</f>
        <v>0</v>
      </c>
      <c r="G1513" s="93"/>
      <c r="H1513" s="92">
        <v>7</v>
      </c>
      <c r="I1513" s="92" t="str">
        <f t="shared" si="83"/>
        <v>X</v>
      </c>
      <c r="J1513" s="79" t="str">
        <f>IF(G1513="","X",_xlfn.XLOOKUP(B1513,DATA_Moresby_2024_ALL!B:B,DATA_Moresby_2024_ALL!K:K,""))</f>
        <v>X</v>
      </c>
      <c r="K1513" s="28"/>
      <c r="L1513" s="29"/>
      <c r="M1513" s="28"/>
      <c r="N1513" s="19" t="str">
        <f t="shared" si="82"/>
        <v/>
      </c>
      <c r="O1513" s="19" t="str">
        <f t="shared" si="81"/>
        <v/>
      </c>
      <c r="P1513" s="19" t="str">
        <f t="shared" si="81"/>
        <v/>
      </c>
      <c r="Q1513" s="19" t="str">
        <f t="shared" si="81"/>
        <v/>
      </c>
      <c r="X1513" s="92" t="s">
        <v>78</v>
      </c>
      <c r="Y1513" s="92" t="s">
        <v>78</v>
      </c>
      <c r="Z1513" s="92" t="s">
        <v>78</v>
      </c>
    </row>
    <row r="1514" spans="1:26" ht="16" hidden="1" x14ac:dyDescent="0.4">
      <c r="A1514" s="92">
        <v>7554</v>
      </c>
      <c r="B1514" s="92">
        <v>7555</v>
      </c>
      <c r="E1514" s="92">
        <v>50</v>
      </c>
      <c r="F1514" s="92">
        <f>_xlfn.XLOOKUP(B1514, DATA_Moresby_2024_ALL!B:B, DATA_Moresby_2024_ALL!G:G, "")</f>
        <v>0</v>
      </c>
      <c r="G1514" s="93"/>
      <c r="H1514" s="92">
        <v>7</v>
      </c>
      <c r="I1514" s="92" t="str">
        <f t="shared" si="83"/>
        <v>X</v>
      </c>
      <c r="J1514" s="79" t="str">
        <f>IF(G1514="","X",_xlfn.XLOOKUP(B1514,DATA_Moresby_2024_ALL!B:B,DATA_Moresby_2024_ALL!K:K,""))</f>
        <v>X</v>
      </c>
      <c r="K1514" s="28"/>
      <c r="L1514" s="29"/>
      <c r="M1514" s="28"/>
      <c r="N1514" s="19" t="str">
        <f t="shared" si="82"/>
        <v/>
      </c>
      <c r="O1514" s="19" t="str">
        <f t="shared" si="81"/>
        <v/>
      </c>
      <c r="P1514" s="19" t="str">
        <f t="shared" si="81"/>
        <v/>
      </c>
      <c r="Q1514" s="19" t="str">
        <f t="shared" si="81"/>
        <v/>
      </c>
      <c r="X1514" s="92" t="s">
        <v>78</v>
      </c>
      <c r="Y1514" s="92" t="s">
        <v>78</v>
      </c>
      <c r="Z1514" s="92" t="s">
        <v>78</v>
      </c>
    </row>
    <row r="1515" spans="1:26" ht="16" hidden="1" x14ac:dyDescent="0.4">
      <c r="A1515" s="92">
        <v>7559</v>
      </c>
      <c r="B1515" s="92">
        <v>7560</v>
      </c>
      <c r="E1515" s="92">
        <v>50</v>
      </c>
      <c r="F1515" s="92">
        <f>_xlfn.XLOOKUP(B1515, DATA_Moresby_2024_ALL!B:B, DATA_Moresby_2024_ALL!G:G, "")</f>
        <v>0</v>
      </c>
      <c r="G1515" s="93"/>
      <c r="H1515" s="92">
        <v>7</v>
      </c>
      <c r="I1515" s="92" t="str">
        <f t="shared" si="83"/>
        <v>X</v>
      </c>
      <c r="J1515" s="79" t="str">
        <f>IF(G1515="","X",_xlfn.XLOOKUP(B1515,DATA_Moresby_2024_ALL!B:B,DATA_Moresby_2024_ALL!K:K,""))</f>
        <v>X</v>
      </c>
      <c r="K1515" s="28"/>
      <c r="L1515" s="29"/>
      <c r="M1515" s="28"/>
      <c r="N1515" s="19" t="str">
        <f t="shared" si="82"/>
        <v/>
      </c>
      <c r="O1515" s="19" t="str">
        <f t="shared" si="81"/>
        <v/>
      </c>
      <c r="P1515" s="19" t="str">
        <f t="shared" si="81"/>
        <v/>
      </c>
      <c r="Q1515" s="19" t="str">
        <f t="shared" si="81"/>
        <v/>
      </c>
      <c r="X1515" s="92" t="s">
        <v>78</v>
      </c>
      <c r="Y1515" s="92" t="s">
        <v>78</v>
      </c>
      <c r="Z1515" s="92" t="s">
        <v>78</v>
      </c>
    </row>
    <row r="1516" spans="1:26" ht="16" hidden="1" x14ac:dyDescent="0.4">
      <c r="A1516" s="92">
        <v>7564</v>
      </c>
      <c r="B1516" s="92">
        <v>7565</v>
      </c>
      <c r="E1516" s="92">
        <v>50</v>
      </c>
      <c r="F1516" s="92">
        <f>_xlfn.XLOOKUP(B1516, DATA_Moresby_2024_ALL!B:B, DATA_Moresby_2024_ALL!G:G, "")</f>
        <v>0</v>
      </c>
      <c r="G1516" s="93"/>
      <c r="H1516" s="92">
        <v>7</v>
      </c>
      <c r="I1516" s="92" t="str">
        <f t="shared" si="83"/>
        <v>X</v>
      </c>
      <c r="J1516" s="79" t="str">
        <f>IF(G1516="","X",_xlfn.XLOOKUP(B1516,DATA_Moresby_2024_ALL!B:B,DATA_Moresby_2024_ALL!K:K,""))</f>
        <v>X</v>
      </c>
      <c r="K1516" s="28"/>
      <c r="L1516" s="29"/>
      <c r="M1516" s="28"/>
      <c r="N1516" s="19" t="str">
        <f t="shared" si="82"/>
        <v/>
      </c>
      <c r="O1516" s="19" t="str">
        <f t="shared" si="81"/>
        <v/>
      </c>
      <c r="P1516" s="19" t="str">
        <f t="shared" si="81"/>
        <v/>
      </c>
      <c r="Q1516" s="19" t="str">
        <f t="shared" si="81"/>
        <v/>
      </c>
      <c r="X1516" s="92" t="s">
        <v>78</v>
      </c>
      <c r="Y1516" s="92" t="s">
        <v>78</v>
      </c>
      <c r="Z1516" s="92" t="s">
        <v>78</v>
      </c>
    </row>
    <row r="1517" spans="1:26" ht="16" hidden="1" x14ac:dyDescent="0.4">
      <c r="A1517" s="92">
        <v>7569</v>
      </c>
      <c r="B1517" s="92">
        <v>7570</v>
      </c>
      <c r="E1517" s="92">
        <v>50</v>
      </c>
      <c r="F1517" s="92">
        <f>_xlfn.XLOOKUP(B1517, DATA_Moresby_2024_ALL!B:B, DATA_Moresby_2024_ALL!G:G, "")</f>
        <v>0</v>
      </c>
      <c r="G1517" s="93"/>
      <c r="H1517" s="92">
        <v>7</v>
      </c>
      <c r="I1517" s="92" t="str">
        <f t="shared" si="83"/>
        <v>X</v>
      </c>
      <c r="J1517" s="79" t="str">
        <f>IF(G1517="","X",_xlfn.XLOOKUP(B1517,DATA_Moresby_2024_ALL!B:B,DATA_Moresby_2024_ALL!K:K,""))</f>
        <v>X</v>
      </c>
      <c r="K1517" s="28"/>
      <c r="L1517" s="29"/>
      <c r="M1517" s="28"/>
      <c r="N1517" s="19" t="str">
        <f t="shared" si="82"/>
        <v/>
      </c>
      <c r="O1517" s="19" t="str">
        <f t="shared" si="81"/>
        <v/>
      </c>
      <c r="P1517" s="19" t="str">
        <f t="shared" si="81"/>
        <v/>
      </c>
      <c r="Q1517" s="19" t="str">
        <f t="shared" si="81"/>
        <v/>
      </c>
      <c r="X1517" s="92" t="s">
        <v>78</v>
      </c>
      <c r="Y1517" s="92" t="s">
        <v>78</v>
      </c>
      <c r="Z1517" s="92" t="s">
        <v>78</v>
      </c>
    </row>
    <row r="1518" spans="1:26" ht="16" hidden="1" x14ac:dyDescent="0.4">
      <c r="A1518" s="92">
        <v>7574</v>
      </c>
      <c r="B1518" s="92">
        <v>7575</v>
      </c>
      <c r="E1518" s="92">
        <v>50</v>
      </c>
      <c r="F1518" s="92">
        <f>_xlfn.XLOOKUP(B1518, DATA_Moresby_2024_ALL!B:B, DATA_Moresby_2024_ALL!G:G, "")</f>
        <v>0</v>
      </c>
      <c r="G1518" s="93"/>
      <c r="H1518" s="92">
        <v>7</v>
      </c>
      <c r="I1518" s="92" t="str">
        <f t="shared" si="83"/>
        <v>X</v>
      </c>
      <c r="J1518" s="79" t="str">
        <f>IF(G1518="","X",_xlfn.XLOOKUP(B1518,DATA_Moresby_2024_ALL!B:B,DATA_Moresby_2024_ALL!K:K,""))</f>
        <v>X</v>
      </c>
      <c r="K1518" s="28"/>
      <c r="L1518" s="29"/>
      <c r="M1518" s="28"/>
      <c r="N1518" s="19" t="str">
        <f t="shared" si="82"/>
        <v/>
      </c>
      <c r="O1518" s="19" t="str">
        <f t="shared" si="81"/>
        <v/>
      </c>
      <c r="P1518" s="19" t="str">
        <f t="shared" si="81"/>
        <v/>
      </c>
      <c r="Q1518" s="19" t="str">
        <f t="shared" si="81"/>
        <v/>
      </c>
      <c r="X1518" s="92" t="s">
        <v>78</v>
      </c>
      <c r="Y1518" s="92" t="s">
        <v>78</v>
      </c>
      <c r="Z1518" s="92" t="s">
        <v>78</v>
      </c>
    </row>
    <row r="1519" spans="1:26" ht="16" hidden="1" x14ac:dyDescent="0.4">
      <c r="A1519" s="92">
        <v>7579</v>
      </c>
      <c r="B1519" s="92">
        <v>7580</v>
      </c>
      <c r="E1519" s="92">
        <v>50</v>
      </c>
      <c r="F1519" s="92">
        <f>_xlfn.XLOOKUP(B1519, DATA_Moresby_2024_ALL!B:B, DATA_Moresby_2024_ALL!G:G, "")</f>
        <v>0</v>
      </c>
      <c r="G1519" s="93"/>
      <c r="H1519" s="92">
        <v>7</v>
      </c>
      <c r="I1519" s="92" t="str">
        <f t="shared" si="83"/>
        <v>X</v>
      </c>
      <c r="J1519" s="79" t="str">
        <f>IF(G1519="","X",_xlfn.XLOOKUP(B1519,DATA_Moresby_2024_ALL!B:B,DATA_Moresby_2024_ALL!K:K,""))</f>
        <v>X</v>
      </c>
      <c r="K1519" s="28"/>
      <c r="L1519" s="29"/>
      <c r="M1519" s="28"/>
      <c r="N1519" s="19" t="str">
        <f t="shared" si="82"/>
        <v/>
      </c>
      <c r="O1519" s="19" t="str">
        <f t="shared" si="81"/>
        <v/>
      </c>
      <c r="P1519" s="19" t="str">
        <f t="shared" si="81"/>
        <v/>
      </c>
      <c r="Q1519" s="19" t="str">
        <f t="shared" si="81"/>
        <v/>
      </c>
      <c r="X1519" s="92" t="s">
        <v>78</v>
      </c>
      <c r="Y1519" s="92" t="s">
        <v>78</v>
      </c>
      <c r="Z1519" s="92" t="s">
        <v>78</v>
      </c>
    </row>
    <row r="1520" spans="1:26" ht="16" hidden="1" x14ac:dyDescent="0.4">
      <c r="A1520" s="92">
        <v>7584</v>
      </c>
      <c r="B1520" s="92">
        <v>7585</v>
      </c>
      <c r="E1520" s="92">
        <v>50</v>
      </c>
      <c r="F1520" s="92">
        <f>_xlfn.XLOOKUP(B1520, DATA_Moresby_2024_ALL!B:B, DATA_Moresby_2024_ALL!G:G, "")</f>
        <v>0</v>
      </c>
      <c r="G1520" s="93"/>
      <c r="H1520" s="92">
        <v>7</v>
      </c>
      <c r="I1520" s="92" t="str">
        <f t="shared" si="83"/>
        <v>X</v>
      </c>
      <c r="J1520" s="79" t="str">
        <f>IF(G1520="","X",_xlfn.XLOOKUP(B1520,DATA_Moresby_2024_ALL!B:B,DATA_Moresby_2024_ALL!K:K,""))</f>
        <v>X</v>
      </c>
      <c r="K1520" s="28"/>
      <c r="L1520" s="29"/>
      <c r="M1520" s="28"/>
      <c r="N1520" s="19" t="str">
        <f t="shared" si="82"/>
        <v/>
      </c>
      <c r="O1520" s="19" t="str">
        <f t="shared" si="81"/>
        <v/>
      </c>
      <c r="P1520" s="19" t="str">
        <f t="shared" si="81"/>
        <v/>
      </c>
      <c r="Q1520" s="19" t="str">
        <f t="shared" si="81"/>
        <v/>
      </c>
      <c r="X1520" s="92" t="s">
        <v>78</v>
      </c>
      <c r="Y1520" s="92" t="s">
        <v>78</v>
      </c>
      <c r="Z1520" s="92" t="s">
        <v>78</v>
      </c>
    </row>
    <row r="1521" spans="1:26" ht="16" hidden="1" x14ac:dyDescent="0.4">
      <c r="A1521" s="92">
        <v>7589</v>
      </c>
      <c r="B1521" s="92">
        <v>7590</v>
      </c>
      <c r="E1521" s="92">
        <v>50</v>
      </c>
      <c r="F1521" s="92">
        <f>_xlfn.XLOOKUP(B1521, DATA_Moresby_2024_ALL!B:B, DATA_Moresby_2024_ALL!G:G, "")</f>
        <v>0</v>
      </c>
      <c r="G1521" s="93"/>
      <c r="H1521" s="92">
        <v>7</v>
      </c>
      <c r="I1521" s="92" t="str">
        <f t="shared" si="83"/>
        <v>X</v>
      </c>
      <c r="J1521" s="79" t="str">
        <f>IF(G1521="","X",_xlfn.XLOOKUP(B1521,DATA_Moresby_2024_ALL!B:B,DATA_Moresby_2024_ALL!K:K,""))</f>
        <v>X</v>
      </c>
      <c r="K1521" s="28"/>
      <c r="L1521" s="29"/>
      <c r="M1521" s="28"/>
      <c r="N1521" s="19" t="str">
        <f t="shared" si="82"/>
        <v/>
      </c>
      <c r="O1521" s="19" t="str">
        <f t="shared" si="81"/>
        <v/>
      </c>
      <c r="P1521" s="19" t="str">
        <f t="shared" si="81"/>
        <v/>
      </c>
      <c r="Q1521" s="19" t="str">
        <f t="shared" si="81"/>
        <v/>
      </c>
      <c r="X1521" s="92" t="s">
        <v>78</v>
      </c>
      <c r="Y1521" s="92" t="s">
        <v>78</v>
      </c>
      <c r="Z1521" s="92" t="s">
        <v>78</v>
      </c>
    </row>
    <row r="1522" spans="1:26" ht="16" hidden="1" x14ac:dyDescent="0.4">
      <c r="A1522" s="92">
        <v>7594</v>
      </c>
      <c r="B1522" s="92">
        <v>7595</v>
      </c>
      <c r="E1522" s="92">
        <v>50</v>
      </c>
      <c r="F1522" s="92">
        <f>_xlfn.XLOOKUP(B1522, DATA_Moresby_2024_ALL!B:B, DATA_Moresby_2024_ALL!G:G, "")</f>
        <v>0</v>
      </c>
      <c r="G1522" s="93"/>
      <c r="H1522" s="92">
        <v>7</v>
      </c>
      <c r="I1522" s="92" t="str">
        <f t="shared" si="83"/>
        <v>X</v>
      </c>
      <c r="J1522" s="79" t="str">
        <f>IF(G1522="","X",_xlfn.XLOOKUP(B1522,DATA_Moresby_2024_ALL!B:B,DATA_Moresby_2024_ALL!K:K,""))</f>
        <v>X</v>
      </c>
      <c r="K1522" s="28"/>
      <c r="L1522" s="29"/>
      <c r="M1522" s="28"/>
      <c r="N1522" s="19" t="str">
        <f t="shared" si="82"/>
        <v/>
      </c>
      <c r="O1522" s="19" t="str">
        <f t="shared" si="81"/>
        <v/>
      </c>
      <c r="P1522" s="19" t="str">
        <f t="shared" si="81"/>
        <v/>
      </c>
      <c r="Q1522" s="19" t="str">
        <f t="shared" si="81"/>
        <v/>
      </c>
      <c r="X1522" s="92" t="s">
        <v>78</v>
      </c>
      <c r="Y1522" s="92" t="s">
        <v>78</v>
      </c>
      <c r="Z1522" s="92" t="s">
        <v>78</v>
      </c>
    </row>
    <row r="1523" spans="1:26" ht="16" hidden="1" x14ac:dyDescent="0.4">
      <c r="A1523" s="92">
        <v>7599</v>
      </c>
      <c r="B1523" s="92">
        <v>7600</v>
      </c>
      <c r="E1523" s="92">
        <v>50</v>
      </c>
      <c r="F1523" s="92">
        <f>_xlfn.XLOOKUP(B1523, DATA_Moresby_2024_ALL!B:B, DATA_Moresby_2024_ALL!G:G, "")</f>
        <v>0</v>
      </c>
      <c r="G1523" s="93"/>
      <c r="H1523" s="92">
        <v>7</v>
      </c>
      <c r="I1523" s="92" t="str">
        <f t="shared" si="83"/>
        <v>X</v>
      </c>
      <c r="J1523" s="79" t="str">
        <f>IF(G1523="","X",_xlfn.XLOOKUP(B1523,DATA_Moresby_2024_ALL!B:B,DATA_Moresby_2024_ALL!K:K,""))</f>
        <v>X</v>
      </c>
      <c r="K1523" s="28"/>
      <c r="L1523" s="29"/>
      <c r="M1523" s="28"/>
      <c r="N1523" s="19" t="str">
        <f t="shared" si="82"/>
        <v/>
      </c>
      <c r="O1523" s="19" t="str">
        <f t="shared" si="81"/>
        <v/>
      </c>
      <c r="P1523" s="19" t="str">
        <f t="shared" si="81"/>
        <v/>
      </c>
      <c r="Q1523" s="19" t="str">
        <f t="shared" si="81"/>
        <v/>
      </c>
      <c r="X1523" s="92" t="s">
        <v>78</v>
      </c>
      <c r="Y1523" s="92" t="s">
        <v>78</v>
      </c>
      <c r="Z1523" s="92" t="s">
        <v>78</v>
      </c>
    </row>
    <row r="1524" spans="1:26" ht="16" hidden="1" x14ac:dyDescent="0.4">
      <c r="A1524" s="92">
        <v>7604</v>
      </c>
      <c r="B1524" s="92">
        <v>7605</v>
      </c>
      <c r="E1524" s="92">
        <v>50</v>
      </c>
      <c r="F1524" s="92">
        <f>_xlfn.XLOOKUP(B1524, DATA_Moresby_2024_ALL!B:B, DATA_Moresby_2024_ALL!G:G, "")</f>
        <v>0</v>
      </c>
      <c r="G1524" s="93"/>
      <c r="H1524" s="92">
        <v>7</v>
      </c>
      <c r="I1524" s="92" t="str">
        <f t="shared" si="83"/>
        <v>X</v>
      </c>
      <c r="J1524" s="79" t="str">
        <f>IF(G1524="","X",_xlfn.XLOOKUP(B1524,DATA_Moresby_2024_ALL!B:B,DATA_Moresby_2024_ALL!K:K,""))</f>
        <v>X</v>
      </c>
      <c r="K1524" s="28"/>
      <c r="L1524" s="29"/>
      <c r="M1524" s="28"/>
      <c r="N1524" s="19" t="str">
        <f t="shared" si="82"/>
        <v/>
      </c>
      <c r="O1524" s="19" t="str">
        <f t="shared" si="81"/>
        <v/>
      </c>
      <c r="P1524" s="19" t="str">
        <f t="shared" si="81"/>
        <v/>
      </c>
      <c r="Q1524" s="19" t="str">
        <f t="shared" si="81"/>
        <v/>
      </c>
      <c r="X1524" s="92" t="s">
        <v>78</v>
      </c>
      <c r="Y1524" s="92" t="s">
        <v>78</v>
      </c>
      <c r="Z1524" s="92" t="s">
        <v>78</v>
      </c>
    </row>
    <row r="1525" spans="1:26" ht="16" hidden="1" x14ac:dyDescent="0.4">
      <c r="A1525" s="92">
        <v>7609</v>
      </c>
      <c r="B1525" s="92">
        <v>7610</v>
      </c>
      <c r="E1525" s="92">
        <v>50</v>
      </c>
      <c r="F1525" s="92">
        <f>_xlfn.XLOOKUP(B1525, DATA_Moresby_2024_ALL!B:B, DATA_Moresby_2024_ALL!G:G, "")</f>
        <v>0</v>
      </c>
      <c r="G1525" s="93"/>
      <c r="H1525" s="92">
        <v>7</v>
      </c>
      <c r="I1525" s="92" t="str">
        <f t="shared" si="83"/>
        <v>X</v>
      </c>
      <c r="J1525" s="79" t="str">
        <f>IF(G1525="","X",_xlfn.XLOOKUP(B1525,DATA_Moresby_2024_ALL!B:B,DATA_Moresby_2024_ALL!K:K,""))</f>
        <v>X</v>
      </c>
      <c r="K1525" s="28"/>
      <c r="L1525" s="29"/>
      <c r="M1525" s="28"/>
      <c r="N1525" s="19" t="str">
        <f t="shared" si="82"/>
        <v/>
      </c>
      <c r="O1525" s="19" t="str">
        <f t="shared" si="81"/>
        <v/>
      </c>
      <c r="P1525" s="19" t="str">
        <f t="shared" si="81"/>
        <v/>
      </c>
      <c r="Q1525" s="19" t="str">
        <f t="shared" si="81"/>
        <v/>
      </c>
      <c r="X1525" s="92" t="s">
        <v>78</v>
      </c>
      <c r="Y1525" s="92" t="s">
        <v>78</v>
      </c>
      <c r="Z1525" s="92" t="s">
        <v>78</v>
      </c>
    </row>
    <row r="1526" spans="1:26" ht="16" hidden="1" x14ac:dyDescent="0.4">
      <c r="A1526" s="92">
        <v>7614</v>
      </c>
      <c r="B1526" s="92">
        <v>7615</v>
      </c>
      <c r="E1526" s="92">
        <v>50</v>
      </c>
      <c r="F1526" s="92">
        <f>_xlfn.XLOOKUP(B1526, DATA_Moresby_2024_ALL!B:B, DATA_Moresby_2024_ALL!G:G, "")</f>
        <v>0</v>
      </c>
      <c r="G1526" s="93"/>
      <c r="H1526" s="92">
        <v>7</v>
      </c>
      <c r="I1526" s="92" t="str">
        <f t="shared" si="83"/>
        <v>X</v>
      </c>
      <c r="J1526" s="79" t="str">
        <f>IF(G1526="","X",_xlfn.XLOOKUP(B1526,DATA_Moresby_2024_ALL!B:B,DATA_Moresby_2024_ALL!K:K,""))</f>
        <v>X</v>
      </c>
      <c r="K1526" s="28"/>
      <c r="L1526" s="29"/>
      <c r="M1526" s="28"/>
      <c r="N1526" s="19" t="str">
        <f t="shared" si="82"/>
        <v/>
      </c>
      <c r="O1526" s="19" t="str">
        <f t="shared" si="81"/>
        <v/>
      </c>
      <c r="P1526" s="19" t="str">
        <f t="shared" si="81"/>
        <v/>
      </c>
      <c r="Q1526" s="19" t="str">
        <f t="shared" si="81"/>
        <v/>
      </c>
      <c r="X1526" s="92" t="s">
        <v>78</v>
      </c>
      <c r="Y1526" s="92" t="s">
        <v>78</v>
      </c>
      <c r="Z1526" s="92" t="s">
        <v>78</v>
      </c>
    </row>
    <row r="1527" spans="1:26" ht="16" hidden="1" x14ac:dyDescent="0.4">
      <c r="A1527" s="92">
        <v>7619</v>
      </c>
      <c r="B1527" s="92">
        <v>7620</v>
      </c>
      <c r="E1527" s="92">
        <v>50</v>
      </c>
      <c r="F1527" s="92">
        <f>_xlfn.XLOOKUP(B1527, DATA_Moresby_2024_ALL!B:B, DATA_Moresby_2024_ALL!G:G, "")</f>
        <v>0</v>
      </c>
      <c r="G1527" s="93"/>
      <c r="H1527" s="92">
        <v>7</v>
      </c>
      <c r="I1527" s="92" t="str">
        <f t="shared" si="83"/>
        <v>X</v>
      </c>
      <c r="J1527" s="79" t="str">
        <f>IF(G1527="","X",_xlfn.XLOOKUP(B1527,DATA_Moresby_2024_ALL!B:B,DATA_Moresby_2024_ALL!K:K,""))</f>
        <v>X</v>
      </c>
      <c r="K1527" s="28"/>
      <c r="L1527" s="29"/>
      <c r="M1527" s="28"/>
      <c r="N1527" s="19" t="str">
        <f t="shared" si="82"/>
        <v/>
      </c>
      <c r="O1527" s="19" t="str">
        <f t="shared" si="81"/>
        <v/>
      </c>
      <c r="P1527" s="19" t="str">
        <f t="shared" si="81"/>
        <v/>
      </c>
      <c r="Q1527" s="19" t="str">
        <f t="shared" si="81"/>
        <v/>
      </c>
      <c r="X1527" s="92" t="s">
        <v>78</v>
      </c>
      <c r="Y1527" s="92" t="s">
        <v>78</v>
      </c>
      <c r="Z1527" s="92" t="s">
        <v>78</v>
      </c>
    </row>
    <row r="1528" spans="1:26" ht="16" hidden="1" x14ac:dyDescent="0.4">
      <c r="A1528" s="92">
        <v>7624</v>
      </c>
      <c r="B1528" s="92">
        <v>7625</v>
      </c>
      <c r="E1528" s="92">
        <v>50</v>
      </c>
      <c r="F1528" s="92">
        <f>_xlfn.XLOOKUP(B1528, DATA_Moresby_2024_ALL!B:B, DATA_Moresby_2024_ALL!G:G, "")</f>
        <v>0</v>
      </c>
      <c r="G1528" s="93"/>
      <c r="H1528" s="92">
        <v>7</v>
      </c>
      <c r="I1528" s="92" t="str">
        <f t="shared" si="83"/>
        <v>X</v>
      </c>
      <c r="J1528" s="79" t="str">
        <f>IF(G1528="","X",_xlfn.XLOOKUP(B1528,DATA_Moresby_2024_ALL!B:B,DATA_Moresby_2024_ALL!K:K,""))</f>
        <v>X</v>
      </c>
      <c r="K1528" s="28"/>
      <c r="L1528" s="29"/>
      <c r="M1528" s="28"/>
      <c r="N1528" s="19" t="str">
        <f t="shared" si="82"/>
        <v/>
      </c>
      <c r="O1528" s="19" t="str">
        <f t="shared" si="81"/>
        <v/>
      </c>
      <c r="P1528" s="19" t="str">
        <f t="shared" si="81"/>
        <v/>
      </c>
      <c r="Q1528" s="19" t="str">
        <f t="shared" si="81"/>
        <v/>
      </c>
      <c r="X1528" s="92" t="s">
        <v>78</v>
      </c>
      <c r="Y1528" s="92" t="s">
        <v>78</v>
      </c>
      <c r="Z1528" s="92" t="s">
        <v>78</v>
      </c>
    </row>
    <row r="1529" spans="1:26" ht="16" hidden="1" x14ac:dyDescent="0.4">
      <c r="A1529" s="92">
        <v>7629</v>
      </c>
      <c r="B1529" s="92">
        <v>7630</v>
      </c>
      <c r="E1529" s="92">
        <v>50</v>
      </c>
      <c r="F1529" s="92">
        <f>_xlfn.XLOOKUP(B1529, DATA_Moresby_2024_ALL!B:B, DATA_Moresby_2024_ALL!G:G, "")</f>
        <v>0</v>
      </c>
      <c r="G1529" s="93"/>
      <c r="H1529" s="92">
        <v>7</v>
      </c>
      <c r="I1529" s="92" t="str">
        <f t="shared" si="83"/>
        <v>X</v>
      </c>
      <c r="J1529" s="79" t="str">
        <f>IF(G1529="","X",_xlfn.XLOOKUP(B1529,DATA_Moresby_2024_ALL!B:B,DATA_Moresby_2024_ALL!K:K,""))</f>
        <v>X</v>
      </c>
      <c r="K1529" s="28"/>
      <c r="L1529" s="29"/>
      <c r="M1529" s="28"/>
      <c r="N1529" s="19" t="str">
        <f t="shared" si="82"/>
        <v/>
      </c>
      <c r="O1529" s="19" t="str">
        <f t="shared" si="81"/>
        <v/>
      </c>
      <c r="P1529" s="19" t="str">
        <f t="shared" si="81"/>
        <v/>
      </c>
      <c r="Q1529" s="19" t="str">
        <f t="shared" si="81"/>
        <v/>
      </c>
      <c r="X1529" s="92" t="s">
        <v>78</v>
      </c>
      <c r="Y1529" s="92" t="s">
        <v>78</v>
      </c>
      <c r="Z1529" s="92" t="s">
        <v>78</v>
      </c>
    </row>
    <row r="1530" spans="1:26" ht="16" hidden="1" x14ac:dyDescent="0.4">
      <c r="A1530" s="92">
        <v>7634</v>
      </c>
      <c r="B1530" s="92">
        <v>7635</v>
      </c>
      <c r="E1530" s="92">
        <v>50</v>
      </c>
      <c r="F1530" s="92">
        <f>_xlfn.XLOOKUP(B1530, DATA_Moresby_2024_ALL!B:B, DATA_Moresby_2024_ALL!G:G, "")</f>
        <v>0</v>
      </c>
      <c r="G1530" s="93"/>
      <c r="H1530" s="92">
        <v>7</v>
      </c>
      <c r="I1530" s="92" t="str">
        <f t="shared" si="83"/>
        <v>X</v>
      </c>
      <c r="J1530" s="79" t="str">
        <f>IF(G1530="","X",_xlfn.XLOOKUP(B1530,DATA_Moresby_2024_ALL!B:B,DATA_Moresby_2024_ALL!K:K,""))</f>
        <v>X</v>
      </c>
      <c r="K1530" s="28"/>
      <c r="L1530" s="29"/>
      <c r="M1530" s="28"/>
      <c r="N1530" s="19" t="str">
        <f t="shared" si="82"/>
        <v/>
      </c>
      <c r="O1530" s="19" t="str">
        <f t="shared" si="81"/>
        <v/>
      </c>
      <c r="P1530" s="19" t="str">
        <f t="shared" si="81"/>
        <v/>
      </c>
      <c r="Q1530" s="19" t="str">
        <f t="shared" si="81"/>
        <v/>
      </c>
      <c r="X1530" s="92" t="s">
        <v>78</v>
      </c>
      <c r="Y1530" s="92" t="s">
        <v>78</v>
      </c>
      <c r="Z1530" s="92" t="s">
        <v>78</v>
      </c>
    </row>
    <row r="1531" spans="1:26" ht="16" hidden="1" x14ac:dyDescent="0.4">
      <c r="A1531" s="92">
        <v>7639</v>
      </c>
      <c r="B1531" s="92">
        <v>7640</v>
      </c>
      <c r="E1531" s="92">
        <v>50</v>
      </c>
      <c r="F1531" s="92">
        <f>_xlfn.XLOOKUP(B1531, DATA_Moresby_2024_ALL!B:B, DATA_Moresby_2024_ALL!G:G, "")</f>
        <v>0</v>
      </c>
      <c r="G1531" s="93"/>
      <c r="H1531" s="92">
        <v>7</v>
      </c>
      <c r="I1531" s="92" t="str">
        <f t="shared" si="83"/>
        <v>X</v>
      </c>
      <c r="J1531" s="79" t="str">
        <f>IF(G1531="","X",_xlfn.XLOOKUP(B1531,DATA_Moresby_2024_ALL!B:B,DATA_Moresby_2024_ALL!K:K,""))</f>
        <v>X</v>
      </c>
      <c r="K1531" s="28"/>
      <c r="L1531" s="29"/>
      <c r="M1531" s="28"/>
      <c r="N1531" s="19" t="str">
        <f t="shared" si="82"/>
        <v/>
      </c>
      <c r="O1531" s="19" t="str">
        <f t="shared" si="81"/>
        <v/>
      </c>
      <c r="P1531" s="19" t="str">
        <f t="shared" si="81"/>
        <v/>
      </c>
      <c r="Q1531" s="19" t="str">
        <f t="shared" si="81"/>
        <v/>
      </c>
      <c r="X1531" s="92" t="s">
        <v>78</v>
      </c>
      <c r="Y1531" s="92" t="s">
        <v>78</v>
      </c>
      <c r="Z1531" s="92" t="s">
        <v>78</v>
      </c>
    </row>
    <row r="1532" spans="1:26" ht="16" hidden="1" x14ac:dyDescent="0.4">
      <c r="A1532" s="92">
        <v>7644</v>
      </c>
      <c r="B1532" s="92">
        <v>7645</v>
      </c>
      <c r="E1532" s="92">
        <v>50</v>
      </c>
      <c r="F1532" s="92">
        <f>_xlfn.XLOOKUP(B1532, DATA_Moresby_2024_ALL!B:B, DATA_Moresby_2024_ALL!G:G, "")</f>
        <v>0</v>
      </c>
      <c r="G1532" s="93"/>
      <c r="H1532" s="92">
        <v>7</v>
      </c>
      <c r="I1532" s="92" t="str">
        <f t="shared" si="83"/>
        <v>X</v>
      </c>
      <c r="J1532" s="79" t="str">
        <f>IF(G1532="","X",_xlfn.XLOOKUP(B1532,DATA_Moresby_2024_ALL!B:B,DATA_Moresby_2024_ALL!K:K,""))</f>
        <v>X</v>
      </c>
      <c r="K1532" s="28"/>
      <c r="L1532" s="29"/>
      <c r="M1532" s="28"/>
      <c r="N1532" s="19" t="str">
        <f t="shared" si="82"/>
        <v/>
      </c>
      <c r="O1532" s="19" t="str">
        <f t="shared" si="81"/>
        <v/>
      </c>
      <c r="P1532" s="19" t="str">
        <f t="shared" si="81"/>
        <v/>
      </c>
      <c r="Q1532" s="19" t="str">
        <f t="shared" si="81"/>
        <v/>
      </c>
      <c r="X1532" s="92" t="s">
        <v>78</v>
      </c>
      <c r="Y1532" s="92" t="s">
        <v>78</v>
      </c>
      <c r="Z1532" s="92" t="s">
        <v>78</v>
      </c>
    </row>
    <row r="1533" spans="1:26" ht="16" hidden="1" x14ac:dyDescent="0.4">
      <c r="A1533" s="92">
        <v>7649</v>
      </c>
      <c r="B1533" s="92">
        <v>7650</v>
      </c>
      <c r="E1533" s="92">
        <v>50</v>
      </c>
      <c r="F1533" s="92">
        <f>_xlfn.XLOOKUP(B1533, DATA_Moresby_2024_ALL!B:B, DATA_Moresby_2024_ALL!G:G, "")</f>
        <v>0</v>
      </c>
      <c r="G1533" s="93"/>
      <c r="H1533" s="92">
        <v>7</v>
      </c>
      <c r="I1533" s="92" t="str">
        <f t="shared" si="83"/>
        <v>X</v>
      </c>
      <c r="J1533" s="79" t="str">
        <f>IF(G1533="","X",_xlfn.XLOOKUP(B1533,DATA_Moresby_2024_ALL!B:B,DATA_Moresby_2024_ALL!K:K,""))</f>
        <v>X</v>
      </c>
      <c r="K1533" s="28"/>
      <c r="L1533" s="29"/>
      <c r="M1533" s="28"/>
      <c r="N1533" s="19" t="str">
        <f t="shared" si="82"/>
        <v/>
      </c>
      <c r="O1533" s="19" t="str">
        <f t="shared" si="81"/>
        <v/>
      </c>
      <c r="P1533" s="19" t="str">
        <f t="shared" si="81"/>
        <v/>
      </c>
      <c r="Q1533" s="19" t="str">
        <f t="shared" si="81"/>
        <v/>
      </c>
      <c r="X1533" s="92" t="s">
        <v>78</v>
      </c>
      <c r="Y1533" s="92" t="s">
        <v>78</v>
      </c>
      <c r="Z1533" s="92" t="s">
        <v>78</v>
      </c>
    </row>
    <row r="1534" spans="1:26" ht="16" hidden="1" x14ac:dyDescent="0.4">
      <c r="A1534" s="92">
        <v>7654</v>
      </c>
      <c r="B1534" s="92">
        <v>7655</v>
      </c>
      <c r="E1534" s="92">
        <v>50</v>
      </c>
      <c r="F1534" s="92">
        <f>_xlfn.XLOOKUP(B1534, DATA_Moresby_2024_ALL!B:B, DATA_Moresby_2024_ALL!G:G, "")</f>
        <v>0</v>
      </c>
      <c r="G1534" s="93"/>
      <c r="H1534" s="92">
        <v>7</v>
      </c>
      <c r="I1534" s="92" t="str">
        <f t="shared" si="83"/>
        <v>X</v>
      </c>
      <c r="J1534" s="79" t="str">
        <f>IF(G1534="","X",_xlfn.XLOOKUP(B1534,DATA_Moresby_2024_ALL!B:B,DATA_Moresby_2024_ALL!K:K,""))</f>
        <v>X</v>
      </c>
      <c r="K1534" s="28"/>
      <c r="L1534" s="29"/>
      <c r="M1534" s="28"/>
      <c r="N1534" s="19" t="str">
        <f t="shared" si="82"/>
        <v/>
      </c>
      <c r="O1534" s="19" t="str">
        <f t="shared" si="81"/>
        <v/>
      </c>
      <c r="P1534" s="19" t="str">
        <f t="shared" si="81"/>
        <v/>
      </c>
      <c r="Q1534" s="19" t="str">
        <f t="shared" si="81"/>
        <v/>
      </c>
      <c r="X1534" s="92" t="s">
        <v>78</v>
      </c>
      <c r="Y1534" s="92" t="s">
        <v>78</v>
      </c>
      <c r="Z1534" s="92" t="s">
        <v>78</v>
      </c>
    </row>
    <row r="1535" spans="1:26" ht="16" hidden="1" x14ac:dyDescent="0.4">
      <c r="A1535" s="92">
        <v>7659</v>
      </c>
      <c r="B1535" s="92">
        <v>7660</v>
      </c>
      <c r="E1535" s="92">
        <v>50</v>
      </c>
      <c r="F1535" s="92">
        <f>_xlfn.XLOOKUP(B1535, DATA_Moresby_2024_ALL!B:B, DATA_Moresby_2024_ALL!G:G, "")</f>
        <v>0</v>
      </c>
      <c r="G1535" s="93"/>
      <c r="H1535" s="92">
        <v>7</v>
      </c>
      <c r="I1535" s="92" t="str">
        <f t="shared" si="83"/>
        <v>X</v>
      </c>
      <c r="J1535" s="79" t="str">
        <f>IF(G1535="","X",_xlfn.XLOOKUP(B1535,DATA_Moresby_2024_ALL!B:B,DATA_Moresby_2024_ALL!K:K,""))</f>
        <v>X</v>
      </c>
      <c r="K1535" s="28"/>
      <c r="L1535" s="29"/>
      <c r="M1535" s="28"/>
      <c r="N1535" s="19" t="str">
        <f t="shared" si="82"/>
        <v/>
      </c>
      <c r="O1535" s="19" t="str">
        <f t="shared" si="81"/>
        <v/>
      </c>
      <c r="P1535" s="19" t="str">
        <f t="shared" si="81"/>
        <v/>
      </c>
      <c r="Q1535" s="19" t="str">
        <f t="shared" si="81"/>
        <v/>
      </c>
      <c r="X1535" s="92" t="s">
        <v>78</v>
      </c>
      <c r="Y1535" s="92" t="s">
        <v>78</v>
      </c>
      <c r="Z1535" s="92" t="s">
        <v>78</v>
      </c>
    </row>
    <row r="1536" spans="1:26" ht="16" hidden="1" x14ac:dyDescent="0.4">
      <c r="A1536" s="92">
        <v>7664</v>
      </c>
      <c r="B1536" s="92">
        <v>7665</v>
      </c>
      <c r="E1536" s="92">
        <v>50</v>
      </c>
      <c r="F1536" s="92">
        <f>_xlfn.XLOOKUP(B1536, DATA_Moresby_2024_ALL!B:B, DATA_Moresby_2024_ALL!G:G, "")</f>
        <v>0</v>
      </c>
      <c r="G1536" s="93"/>
      <c r="H1536" s="92">
        <v>7</v>
      </c>
      <c r="I1536" s="92" t="str">
        <f t="shared" si="83"/>
        <v>X</v>
      </c>
      <c r="J1536" s="79" t="str">
        <f>IF(G1536="","X",_xlfn.XLOOKUP(B1536,DATA_Moresby_2024_ALL!B:B,DATA_Moresby_2024_ALL!K:K,""))</f>
        <v>X</v>
      </c>
      <c r="K1536" s="28"/>
      <c r="L1536" s="29"/>
      <c r="M1536" s="28"/>
      <c r="N1536" s="19" t="str">
        <f t="shared" si="82"/>
        <v/>
      </c>
      <c r="O1536" s="19" t="str">
        <f t="shared" si="81"/>
        <v/>
      </c>
      <c r="P1536" s="19" t="str">
        <f t="shared" si="81"/>
        <v/>
      </c>
      <c r="Q1536" s="19" t="str">
        <f t="shared" si="81"/>
        <v/>
      </c>
      <c r="X1536" s="92" t="s">
        <v>78</v>
      </c>
      <c r="Y1536" s="92" t="s">
        <v>78</v>
      </c>
      <c r="Z1536" s="92" t="s">
        <v>78</v>
      </c>
    </row>
    <row r="1537" spans="1:26" ht="16" hidden="1" x14ac:dyDescent="0.4">
      <c r="A1537" s="92">
        <v>7669</v>
      </c>
      <c r="B1537" s="92">
        <v>7670</v>
      </c>
      <c r="E1537" s="92">
        <v>50</v>
      </c>
      <c r="F1537" s="92">
        <f>_xlfn.XLOOKUP(B1537, DATA_Moresby_2024_ALL!B:B, DATA_Moresby_2024_ALL!G:G, "")</f>
        <v>0</v>
      </c>
      <c r="G1537" s="93"/>
      <c r="H1537" s="92">
        <v>7</v>
      </c>
      <c r="I1537" s="92" t="str">
        <f t="shared" si="83"/>
        <v>X</v>
      </c>
      <c r="J1537" s="79" t="str">
        <f>IF(G1537="","X",_xlfn.XLOOKUP(B1537,DATA_Moresby_2024_ALL!B:B,DATA_Moresby_2024_ALL!K:K,""))</f>
        <v>X</v>
      </c>
      <c r="K1537" s="28"/>
      <c r="L1537" s="29"/>
      <c r="M1537" s="28"/>
      <c r="N1537" s="19" t="str">
        <f t="shared" si="82"/>
        <v/>
      </c>
      <c r="O1537" s="19" t="str">
        <f t="shared" si="81"/>
        <v/>
      </c>
      <c r="P1537" s="19" t="str">
        <f t="shared" si="81"/>
        <v/>
      </c>
      <c r="Q1537" s="19" t="str">
        <f t="shared" si="81"/>
        <v/>
      </c>
      <c r="X1537" s="92" t="s">
        <v>78</v>
      </c>
      <c r="Y1537" s="92" t="s">
        <v>78</v>
      </c>
      <c r="Z1537" s="92" t="s">
        <v>78</v>
      </c>
    </row>
    <row r="1538" spans="1:26" ht="16" hidden="1" x14ac:dyDescent="0.4">
      <c r="A1538" s="92">
        <v>7674</v>
      </c>
      <c r="B1538" s="92">
        <v>7675</v>
      </c>
      <c r="E1538" s="92">
        <v>50</v>
      </c>
      <c r="F1538" s="92">
        <f>_xlfn.XLOOKUP(B1538, DATA_Moresby_2024_ALL!B:B, DATA_Moresby_2024_ALL!G:G, "")</f>
        <v>0</v>
      </c>
      <c r="G1538" s="93"/>
      <c r="H1538" s="92">
        <v>7</v>
      </c>
      <c r="I1538" s="92" t="str">
        <f t="shared" si="83"/>
        <v>X</v>
      </c>
      <c r="J1538" s="79" t="str">
        <f>IF(G1538="","X",_xlfn.XLOOKUP(B1538,DATA_Moresby_2024_ALL!B:B,DATA_Moresby_2024_ALL!K:K,""))</f>
        <v>X</v>
      </c>
      <c r="K1538" s="28"/>
      <c r="L1538" s="29"/>
      <c r="M1538" s="28"/>
      <c r="N1538" s="19" t="str">
        <f t="shared" si="82"/>
        <v/>
      </c>
      <c r="O1538" s="19" t="str">
        <f t="shared" si="81"/>
        <v/>
      </c>
      <c r="P1538" s="19" t="str">
        <f t="shared" si="81"/>
        <v/>
      </c>
      <c r="Q1538" s="19" t="str">
        <f t="shared" si="81"/>
        <v/>
      </c>
      <c r="X1538" s="92" t="s">
        <v>78</v>
      </c>
      <c r="Y1538" s="92" t="s">
        <v>78</v>
      </c>
      <c r="Z1538" s="92" t="s">
        <v>78</v>
      </c>
    </row>
    <row r="1539" spans="1:26" ht="16" hidden="1" x14ac:dyDescent="0.4">
      <c r="A1539" s="92">
        <v>7679</v>
      </c>
      <c r="B1539" s="92">
        <v>7680</v>
      </c>
      <c r="E1539" s="92">
        <v>50</v>
      </c>
      <c r="F1539" s="92">
        <f>_xlfn.XLOOKUP(B1539, DATA_Moresby_2024_ALL!B:B, DATA_Moresby_2024_ALL!G:G, "")</f>
        <v>0</v>
      </c>
      <c r="G1539" s="93"/>
      <c r="H1539" s="92">
        <v>7</v>
      </c>
      <c r="I1539" s="92" t="str">
        <f t="shared" si="83"/>
        <v>X</v>
      </c>
      <c r="J1539" s="79" t="str">
        <f>IF(G1539="","X",_xlfn.XLOOKUP(B1539,DATA_Moresby_2024_ALL!B:B,DATA_Moresby_2024_ALL!K:K,""))</f>
        <v>X</v>
      </c>
      <c r="K1539" s="28"/>
      <c r="L1539" s="29"/>
      <c r="M1539" s="28"/>
      <c r="N1539" s="19" t="str">
        <f t="shared" si="82"/>
        <v/>
      </c>
      <c r="O1539" s="19" t="str">
        <f t="shared" si="81"/>
        <v/>
      </c>
      <c r="P1539" s="19" t="str">
        <f t="shared" si="81"/>
        <v/>
      </c>
      <c r="Q1539" s="19" t="str">
        <f t="shared" si="81"/>
        <v/>
      </c>
      <c r="X1539" s="92" t="s">
        <v>78</v>
      </c>
      <c r="Y1539" s="92" t="s">
        <v>78</v>
      </c>
      <c r="Z1539" s="92" t="s">
        <v>78</v>
      </c>
    </row>
    <row r="1540" spans="1:26" ht="16" hidden="1" x14ac:dyDescent="0.4">
      <c r="A1540" s="92">
        <v>7684</v>
      </c>
      <c r="B1540" s="92">
        <v>7685</v>
      </c>
      <c r="E1540" s="92">
        <v>50</v>
      </c>
      <c r="F1540" s="92">
        <f>_xlfn.XLOOKUP(B1540, DATA_Moresby_2024_ALL!B:B, DATA_Moresby_2024_ALL!G:G, "")</f>
        <v>0</v>
      </c>
      <c r="G1540" s="93"/>
      <c r="H1540" s="92">
        <v>7</v>
      </c>
      <c r="I1540" s="92" t="str">
        <f t="shared" si="83"/>
        <v>X</v>
      </c>
      <c r="J1540" s="79" t="str">
        <f>IF(G1540="","X",_xlfn.XLOOKUP(B1540,DATA_Moresby_2024_ALL!B:B,DATA_Moresby_2024_ALL!K:K,""))</f>
        <v>X</v>
      </c>
      <c r="K1540" s="28"/>
      <c r="L1540" s="29"/>
      <c r="M1540" s="28"/>
      <c r="N1540" s="19" t="str">
        <f t="shared" si="82"/>
        <v/>
      </c>
      <c r="O1540" s="19" t="str">
        <f t="shared" si="81"/>
        <v/>
      </c>
      <c r="P1540" s="19" t="str">
        <f t="shared" si="81"/>
        <v/>
      </c>
      <c r="Q1540" s="19" t="str">
        <f t="shared" si="81"/>
        <v/>
      </c>
      <c r="X1540" s="92" t="s">
        <v>78</v>
      </c>
      <c r="Y1540" s="92" t="s">
        <v>78</v>
      </c>
      <c r="Z1540" s="92" t="s">
        <v>78</v>
      </c>
    </row>
    <row r="1541" spans="1:26" ht="16" hidden="1" x14ac:dyDescent="0.4">
      <c r="A1541" s="92">
        <v>7689</v>
      </c>
      <c r="B1541" s="92">
        <v>7690</v>
      </c>
      <c r="E1541" s="92">
        <v>50</v>
      </c>
      <c r="F1541" s="92">
        <f>_xlfn.XLOOKUP(B1541, DATA_Moresby_2024_ALL!B:B, DATA_Moresby_2024_ALL!G:G, "")</f>
        <v>0</v>
      </c>
      <c r="G1541" s="93"/>
      <c r="H1541" s="92">
        <v>7</v>
      </c>
      <c r="I1541" s="92" t="str">
        <f t="shared" si="83"/>
        <v>X</v>
      </c>
      <c r="J1541" s="79" t="str">
        <f>IF(G1541="","X",_xlfn.XLOOKUP(B1541,DATA_Moresby_2024_ALL!B:B,DATA_Moresby_2024_ALL!K:K,""))</f>
        <v>X</v>
      </c>
      <c r="K1541" s="28"/>
      <c r="L1541" s="29"/>
      <c r="M1541" s="28"/>
      <c r="N1541" s="19" t="str">
        <f t="shared" si="82"/>
        <v/>
      </c>
      <c r="O1541" s="19" t="str">
        <f t="shared" si="81"/>
        <v/>
      </c>
      <c r="P1541" s="19" t="str">
        <f t="shared" si="81"/>
        <v/>
      </c>
      <c r="Q1541" s="19" t="str">
        <f t="shared" si="81"/>
        <v/>
      </c>
      <c r="X1541" s="92" t="s">
        <v>78</v>
      </c>
      <c r="Y1541" s="92" t="s">
        <v>78</v>
      </c>
      <c r="Z1541" s="92" t="s">
        <v>78</v>
      </c>
    </row>
    <row r="1542" spans="1:26" ht="16" hidden="1" x14ac:dyDescent="0.4">
      <c r="A1542" s="92">
        <v>7694</v>
      </c>
      <c r="B1542" s="92">
        <v>7695</v>
      </c>
      <c r="E1542" s="92">
        <v>50</v>
      </c>
      <c r="F1542" s="92">
        <f>_xlfn.XLOOKUP(B1542, DATA_Moresby_2024_ALL!B:B, DATA_Moresby_2024_ALL!G:G, "")</f>
        <v>0</v>
      </c>
      <c r="G1542" s="93"/>
      <c r="H1542" s="92">
        <v>7</v>
      </c>
      <c r="I1542" s="92" t="str">
        <f t="shared" si="83"/>
        <v>X</v>
      </c>
      <c r="J1542" s="79" t="str">
        <f>IF(G1542="","X",_xlfn.XLOOKUP(B1542,DATA_Moresby_2024_ALL!B:B,DATA_Moresby_2024_ALL!K:K,""))</f>
        <v>X</v>
      </c>
      <c r="K1542" s="28"/>
      <c r="L1542" s="29"/>
      <c r="M1542" s="28"/>
      <c r="N1542" s="19" t="str">
        <f t="shared" si="82"/>
        <v/>
      </c>
      <c r="O1542" s="19" t="str">
        <f t="shared" si="81"/>
        <v/>
      </c>
      <c r="P1542" s="19" t="str">
        <f t="shared" si="81"/>
        <v/>
      </c>
      <c r="Q1542" s="19" t="str">
        <f t="shared" si="81"/>
        <v/>
      </c>
      <c r="X1542" s="92" t="s">
        <v>78</v>
      </c>
      <c r="Y1542" s="92" t="s">
        <v>78</v>
      </c>
      <c r="Z1542" s="92" t="s">
        <v>78</v>
      </c>
    </row>
    <row r="1543" spans="1:26" ht="16" hidden="1" x14ac:dyDescent="0.4">
      <c r="A1543" s="92">
        <v>7699</v>
      </c>
      <c r="B1543" s="92">
        <v>7700</v>
      </c>
      <c r="E1543" s="92">
        <v>50</v>
      </c>
      <c r="F1543" s="92">
        <f>_xlfn.XLOOKUP(B1543, DATA_Moresby_2024_ALL!B:B, DATA_Moresby_2024_ALL!G:G, "")</f>
        <v>0</v>
      </c>
      <c r="G1543" s="93"/>
      <c r="H1543" s="92">
        <v>7</v>
      </c>
      <c r="I1543" s="92" t="str">
        <f t="shared" si="83"/>
        <v>X</v>
      </c>
      <c r="J1543" s="79" t="str">
        <f>IF(G1543="","X",_xlfn.XLOOKUP(B1543,DATA_Moresby_2024_ALL!B:B,DATA_Moresby_2024_ALL!K:K,""))</f>
        <v>X</v>
      </c>
      <c r="K1543" s="28"/>
      <c r="L1543" s="29"/>
      <c r="M1543" s="28"/>
      <c r="N1543" s="19" t="str">
        <f t="shared" si="82"/>
        <v/>
      </c>
      <c r="O1543" s="19" t="str">
        <f t="shared" si="81"/>
        <v/>
      </c>
      <c r="P1543" s="19" t="str">
        <f t="shared" si="81"/>
        <v/>
      </c>
      <c r="Q1543" s="19" t="str">
        <f t="shared" si="81"/>
        <v/>
      </c>
      <c r="X1543" s="92" t="s">
        <v>78</v>
      </c>
      <c r="Y1543" s="92" t="s">
        <v>78</v>
      </c>
      <c r="Z1543" s="92" t="s">
        <v>78</v>
      </c>
    </row>
    <row r="1544" spans="1:26" ht="16" hidden="1" x14ac:dyDescent="0.4">
      <c r="A1544" s="92">
        <v>7704</v>
      </c>
      <c r="B1544" s="92">
        <v>7705</v>
      </c>
      <c r="E1544" s="92">
        <v>50</v>
      </c>
      <c r="F1544" s="92">
        <f>_xlfn.XLOOKUP(B1544, DATA_Moresby_2024_ALL!B:B, DATA_Moresby_2024_ALL!G:G, "")</f>
        <v>0</v>
      </c>
      <c r="G1544" s="93"/>
      <c r="H1544" s="92">
        <v>7</v>
      </c>
      <c r="I1544" s="92" t="str">
        <f t="shared" si="83"/>
        <v>X</v>
      </c>
      <c r="J1544" s="79" t="str">
        <f>IF(G1544="","X",_xlfn.XLOOKUP(B1544,DATA_Moresby_2024_ALL!B:B,DATA_Moresby_2024_ALL!K:K,""))</f>
        <v>X</v>
      </c>
      <c r="K1544" s="28"/>
      <c r="L1544" s="29"/>
      <c r="M1544" s="28"/>
      <c r="N1544" s="19" t="str">
        <f t="shared" si="82"/>
        <v/>
      </c>
      <c r="O1544" s="19" t="str">
        <f t="shared" si="81"/>
        <v/>
      </c>
      <c r="P1544" s="19" t="str">
        <f t="shared" si="81"/>
        <v/>
      </c>
      <c r="Q1544" s="19" t="str">
        <f t="shared" si="81"/>
        <v/>
      </c>
      <c r="X1544" s="92" t="s">
        <v>78</v>
      </c>
      <c r="Y1544" s="92" t="s">
        <v>78</v>
      </c>
      <c r="Z1544" s="92" t="s">
        <v>78</v>
      </c>
    </row>
    <row r="1545" spans="1:26" ht="16" hidden="1" x14ac:dyDescent="0.4">
      <c r="A1545" s="92">
        <v>7709</v>
      </c>
      <c r="B1545" s="92">
        <v>7710</v>
      </c>
      <c r="E1545" s="92">
        <v>50</v>
      </c>
      <c r="F1545" s="92">
        <f>_xlfn.XLOOKUP(B1545, DATA_Moresby_2024_ALL!B:B, DATA_Moresby_2024_ALL!G:G, "")</f>
        <v>0</v>
      </c>
      <c r="G1545" s="93"/>
      <c r="H1545" s="92">
        <v>7</v>
      </c>
      <c r="I1545" s="92" t="str">
        <f t="shared" si="83"/>
        <v>X</v>
      </c>
      <c r="J1545" s="79" t="str">
        <f>IF(G1545="","X",_xlfn.XLOOKUP(B1545,DATA_Moresby_2024_ALL!B:B,DATA_Moresby_2024_ALL!K:K,""))</f>
        <v>X</v>
      </c>
      <c r="K1545" s="28"/>
      <c r="L1545" s="29"/>
      <c r="M1545" s="28"/>
      <c r="N1545" s="19" t="str">
        <f t="shared" si="82"/>
        <v/>
      </c>
      <c r="O1545" s="19" t="str">
        <f t="shared" si="81"/>
        <v/>
      </c>
      <c r="P1545" s="19" t="str">
        <f t="shared" si="81"/>
        <v/>
      </c>
      <c r="Q1545" s="19" t="str">
        <f t="shared" si="81"/>
        <v/>
      </c>
      <c r="X1545" s="92" t="s">
        <v>78</v>
      </c>
      <c r="Y1545" s="92" t="s">
        <v>78</v>
      </c>
      <c r="Z1545" s="92" t="s">
        <v>78</v>
      </c>
    </row>
    <row r="1546" spans="1:26" ht="16" hidden="1" x14ac:dyDescent="0.4">
      <c r="A1546" s="92">
        <v>7714</v>
      </c>
      <c r="B1546" s="92">
        <v>7715</v>
      </c>
      <c r="E1546" s="92">
        <v>50</v>
      </c>
      <c r="F1546" s="92">
        <f>_xlfn.XLOOKUP(B1546, DATA_Moresby_2024_ALL!B:B, DATA_Moresby_2024_ALL!G:G, "")</f>
        <v>0</v>
      </c>
      <c r="G1546" s="93"/>
      <c r="H1546" s="92">
        <v>7</v>
      </c>
      <c r="I1546" s="92" t="str">
        <f t="shared" si="83"/>
        <v>X</v>
      </c>
      <c r="J1546" s="79" t="str">
        <f>IF(G1546="","X",_xlfn.XLOOKUP(B1546,DATA_Moresby_2024_ALL!B:B,DATA_Moresby_2024_ALL!K:K,""))</f>
        <v>X</v>
      </c>
      <c r="K1546" s="28"/>
      <c r="L1546" s="29"/>
      <c r="M1546" s="28"/>
      <c r="N1546" s="19" t="str">
        <f t="shared" si="82"/>
        <v/>
      </c>
      <c r="O1546" s="19" t="str">
        <f t="shared" si="81"/>
        <v/>
      </c>
      <c r="P1546" s="19" t="str">
        <f t="shared" si="81"/>
        <v/>
      </c>
      <c r="Q1546" s="19" t="str">
        <f t="shared" si="81"/>
        <v/>
      </c>
      <c r="X1546" s="92" t="s">
        <v>78</v>
      </c>
      <c r="Y1546" s="92" t="s">
        <v>78</v>
      </c>
      <c r="Z1546" s="92" t="s">
        <v>78</v>
      </c>
    </row>
    <row r="1547" spans="1:26" ht="16" hidden="1" x14ac:dyDescent="0.4">
      <c r="A1547" s="92">
        <v>7719</v>
      </c>
      <c r="B1547" s="92">
        <v>7720</v>
      </c>
      <c r="E1547" s="92">
        <v>50</v>
      </c>
      <c r="F1547" s="92">
        <f>_xlfn.XLOOKUP(B1547, DATA_Moresby_2024_ALL!B:B, DATA_Moresby_2024_ALL!G:G, "")</f>
        <v>0</v>
      </c>
      <c r="G1547" s="93"/>
      <c r="H1547" s="92">
        <v>7</v>
      </c>
      <c r="I1547" s="92" t="str">
        <f t="shared" si="83"/>
        <v>X</v>
      </c>
      <c r="J1547" s="79" t="str">
        <f>IF(G1547="","X",_xlfn.XLOOKUP(B1547,DATA_Moresby_2024_ALL!B:B,DATA_Moresby_2024_ALL!K:K,""))</f>
        <v>X</v>
      </c>
      <c r="K1547" s="28"/>
      <c r="L1547" s="29"/>
      <c r="M1547" s="28"/>
      <c r="N1547" s="19" t="str">
        <f t="shared" si="82"/>
        <v/>
      </c>
      <c r="O1547" s="19" t="str">
        <f t="shared" si="81"/>
        <v/>
      </c>
      <c r="P1547" s="19" t="str">
        <f t="shared" si="81"/>
        <v/>
      </c>
      <c r="Q1547" s="19" t="str">
        <f t="shared" si="81"/>
        <v/>
      </c>
      <c r="X1547" s="92" t="s">
        <v>78</v>
      </c>
      <c r="Y1547" s="92" t="s">
        <v>78</v>
      </c>
      <c r="Z1547" s="92" t="s">
        <v>78</v>
      </c>
    </row>
    <row r="1548" spans="1:26" ht="16" hidden="1" x14ac:dyDescent="0.4">
      <c r="A1548" s="92">
        <v>7724</v>
      </c>
      <c r="B1548" s="92">
        <v>7725</v>
      </c>
      <c r="E1548" s="92">
        <v>50</v>
      </c>
      <c r="F1548" s="92">
        <f>_xlfn.XLOOKUP(B1548, DATA_Moresby_2024_ALL!B:B, DATA_Moresby_2024_ALL!G:G, "")</f>
        <v>0</v>
      </c>
      <c r="G1548" s="93"/>
      <c r="H1548" s="92">
        <v>7</v>
      </c>
      <c r="I1548" s="92" t="str">
        <f t="shared" si="83"/>
        <v>X</v>
      </c>
      <c r="J1548" s="79" t="str">
        <f>IF(G1548="","X",_xlfn.XLOOKUP(B1548,DATA_Moresby_2024_ALL!B:B,DATA_Moresby_2024_ALL!K:K,""))</f>
        <v>X</v>
      </c>
      <c r="K1548" s="28"/>
      <c r="L1548" s="29"/>
      <c r="M1548" s="28"/>
      <c r="N1548" s="19" t="str">
        <f t="shared" si="82"/>
        <v/>
      </c>
      <c r="O1548" s="19" t="str">
        <f t="shared" si="81"/>
        <v/>
      </c>
      <c r="P1548" s="19" t="str">
        <f t="shared" si="81"/>
        <v/>
      </c>
      <c r="Q1548" s="19" t="str">
        <f t="shared" si="81"/>
        <v/>
      </c>
      <c r="X1548" s="92" t="s">
        <v>78</v>
      </c>
      <c r="Y1548" s="92" t="s">
        <v>78</v>
      </c>
      <c r="Z1548" s="92" t="s">
        <v>78</v>
      </c>
    </row>
    <row r="1549" spans="1:26" ht="16" hidden="1" x14ac:dyDescent="0.4">
      <c r="A1549" s="92">
        <v>7729</v>
      </c>
      <c r="B1549" s="92">
        <v>7730</v>
      </c>
      <c r="E1549" s="92">
        <v>50</v>
      </c>
      <c r="F1549" s="92">
        <f>_xlfn.XLOOKUP(B1549, DATA_Moresby_2024_ALL!B:B, DATA_Moresby_2024_ALL!G:G, "")</f>
        <v>0</v>
      </c>
      <c r="G1549" s="93"/>
      <c r="H1549" s="92">
        <v>7</v>
      </c>
      <c r="I1549" s="92" t="str">
        <f t="shared" si="83"/>
        <v>X</v>
      </c>
      <c r="J1549" s="79" t="str">
        <f>IF(G1549="","X",_xlfn.XLOOKUP(B1549,DATA_Moresby_2024_ALL!B:B,DATA_Moresby_2024_ALL!K:K,""))</f>
        <v>X</v>
      </c>
      <c r="K1549" s="28"/>
      <c r="L1549" s="29"/>
      <c r="M1549" s="28"/>
      <c r="N1549" s="19" t="str">
        <f t="shared" si="82"/>
        <v/>
      </c>
      <c r="O1549" s="19" t="str">
        <f t="shared" si="81"/>
        <v/>
      </c>
      <c r="P1549" s="19" t="str">
        <f t="shared" si="81"/>
        <v/>
      </c>
      <c r="Q1549" s="19" t="str">
        <f t="shared" si="81"/>
        <v/>
      </c>
      <c r="X1549" s="92" t="s">
        <v>78</v>
      </c>
      <c r="Y1549" s="92" t="s">
        <v>78</v>
      </c>
      <c r="Z1549" s="92" t="s">
        <v>78</v>
      </c>
    </row>
    <row r="1550" spans="1:26" ht="16" hidden="1" x14ac:dyDescent="0.4">
      <c r="A1550" s="92">
        <v>7734</v>
      </c>
      <c r="B1550" s="92">
        <v>7735</v>
      </c>
      <c r="E1550" s="92">
        <v>50</v>
      </c>
      <c r="F1550" s="92">
        <f>_xlfn.XLOOKUP(B1550, DATA_Moresby_2024_ALL!B:B, DATA_Moresby_2024_ALL!G:G, "")</f>
        <v>0</v>
      </c>
      <c r="G1550" s="93"/>
      <c r="H1550" s="92">
        <v>7</v>
      </c>
      <c r="I1550" s="92" t="str">
        <f t="shared" si="83"/>
        <v>X</v>
      </c>
      <c r="J1550" s="79" t="str">
        <f>IF(G1550="","X",_xlfn.XLOOKUP(B1550,DATA_Moresby_2024_ALL!B:B,DATA_Moresby_2024_ALL!K:K,""))</f>
        <v>X</v>
      </c>
      <c r="K1550" s="28"/>
      <c r="L1550" s="29"/>
      <c r="M1550" s="28"/>
      <c r="N1550" s="19" t="str">
        <f t="shared" si="82"/>
        <v/>
      </c>
      <c r="O1550" s="19" t="str">
        <f t="shared" si="81"/>
        <v/>
      </c>
      <c r="P1550" s="19" t="str">
        <f t="shared" si="81"/>
        <v/>
      </c>
      <c r="Q1550" s="19" t="str">
        <f t="shared" si="81"/>
        <v/>
      </c>
      <c r="X1550" s="92" t="s">
        <v>78</v>
      </c>
      <c r="Y1550" s="92" t="s">
        <v>78</v>
      </c>
      <c r="Z1550" s="92" t="s">
        <v>78</v>
      </c>
    </row>
    <row r="1551" spans="1:26" ht="16" hidden="1" x14ac:dyDescent="0.4">
      <c r="A1551" s="92">
        <v>7739</v>
      </c>
      <c r="B1551" s="92">
        <v>7740</v>
      </c>
      <c r="E1551" s="92">
        <v>50</v>
      </c>
      <c r="F1551" s="92">
        <f>_xlfn.XLOOKUP(B1551, DATA_Moresby_2024_ALL!B:B, DATA_Moresby_2024_ALL!G:G, "")</f>
        <v>0</v>
      </c>
      <c r="G1551" s="93"/>
      <c r="H1551" s="92">
        <v>7</v>
      </c>
      <c r="I1551" s="92" t="str">
        <f t="shared" si="83"/>
        <v>X</v>
      </c>
      <c r="J1551" s="79" t="str">
        <f>IF(G1551="","X",_xlfn.XLOOKUP(B1551,DATA_Moresby_2024_ALL!B:B,DATA_Moresby_2024_ALL!K:K,""))</f>
        <v>X</v>
      </c>
      <c r="K1551" s="28"/>
      <c r="L1551" s="29"/>
      <c r="M1551" s="28"/>
      <c r="N1551" s="19" t="str">
        <f t="shared" si="82"/>
        <v/>
      </c>
      <c r="O1551" s="19" t="str">
        <f t="shared" si="81"/>
        <v/>
      </c>
      <c r="P1551" s="19" t="str">
        <f t="shared" si="81"/>
        <v/>
      </c>
      <c r="Q1551" s="19" t="str">
        <f t="shared" si="81"/>
        <v/>
      </c>
      <c r="X1551" s="92" t="s">
        <v>78</v>
      </c>
      <c r="Y1551" s="92" t="s">
        <v>78</v>
      </c>
      <c r="Z1551" s="92" t="s">
        <v>78</v>
      </c>
    </row>
    <row r="1552" spans="1:26" ht="16" hidden="1" x14ac:dyDescent="0.4">
      <c r="A1552" s="92">
        <v>7744</v>
      </c>
      <c r="B1552" s="92">
        <v>7745</v>
      </c>
      <c r="E1552" s="92">
        <v>50</v>
      </c>
      <c r="F1552" s="92">
        <f>_xlfn.XLOOKUP(B1552, DATA_Moresby_2024_ALL!B:B, DATA_Moresby_2024_ALL!G:G, "")</f>
        <v>0</v>
      </c>
      <c r="G1552" s="93"/>
      <c r="H1552" s="92">
        <v>7</v>
      </c>
      <c r="I1552" s="92" t="str">
        <f t="shared" si="83"/>
        <v>X</v>
      </c>
      <c r="J1552" s="79" t="str">
        <f>IF(G1552="","X",_xlfn.XLOOKUP(B1552,DATA_Moresby_2024_ALL!B:B,DATA_Moresby_2024_ALL!K:K,""))</f>
        <v>X</v>
      </c>
      <c r="K1552" s="28"/>
      <c r="L1552" s="29"/>
      <c r="M1552" s="28"/>
      <c r="N1552" s="19" t="str">
        <f t="shared" si="82"/>
        <v/>
      </c>
      <c r="O1552" s="19" t="str">
        <f t="shared" si="81"/>
        <v/>
      </c>
      <c r="P1552" s="19" t="str">
        <f t="shared" si="81"/>
        <v/>
      </c>
      <c r="Q1552" s="19" t="str">
        <f t="shared" si="81"/>
        <v/>
      </c>
      <c r="X1552" s="92" t="s">
        <v>78</v>
      </c>
      <c r="Y1552" s="92" t="s">
        <v>78</v>
      </c>
      <c r="Z1552" s="92" t="s">
        <v>78</v>
      </c>
    </row>
    <row r="1553" spans="1:26" ht="16" hidden="1" x14ac:dyDescent="0.4">
      <c r="A1553" s="92">
        <v>7749</v>
      </c>
      <c r="B1553" s="92">
        <v>7750</v>
      </c>
      <c r="E1553" s="92">
        <v>50</v>
      </c>
      <c r="F1553" s="92">
        <f>_xlfn.XLOOKUP(B1553, DATA_Moresby_2024_ALL!B:B, DATA_Moresby_2024_ALL!G:G, "")</f>
        <v>0</v>
      </c>
      <c r="G1553" s="93"/>
      <c r="H1553" s="92">
        <v>7</v>
      </c>
      <c r="I1553" s="92" t="str">
        <f t="shared" si="83"/>
        <v>X</v>
      </c>
      <c r="J1553" s="79" t="str">
        <f>IF(G1553="","X",_xlfn.XLOOKUP(B1553,DATA_Moresby_2024_ALL!B:B,DATA_Moresby_2024_ALL!K:K,""))</f>
        <v>X</v>
      </c>
      <c r="K1553" s="28"/>
      <c r="L1553" s="29"/>
      <c r="M1553" s="28"/>
      <c r="N1553" s="19" t="str">
        <f t="shared" si="82"/>
        <v/>
      </c>
      <c r="O1553" s="19" t="str">
        <f t="shared" si="81"/>
        <v/>
      </c>
      <c r="P1553" s="19" t="str">
        <f t="shared" si="81"/>
        <v/>
      </c>
      <c r="Q1553" s="19" t="str">
        <f t="shared" si="81"/>
        <v/>
      </c>
      <c r="X1553" s="92" t="s">
        <v>78</v>
      </c>
      <c r="Y1553" s="92" t="s">
        <v>78</v>
      </c>
      <c r="Z1553" s="92" t="s">
        <v>78</v>
      </c>
    </row>
    <row r="1554" spans="1:26" ht="16" hidden="1" x14ac:dyDescent="0.4">
      <c r="A1554" s="92">
        <v>7754</v>
      </c>
      <c r="B1554" s="92">
        <v>7755</v>
      </c>
      <c r="E1554" s="92">
        <v>50</v>
      </c>
      <c r="F1554" s="92">
        <f>_xlfn.XLOOKUP(B1554, DATA_Moresby_2024_ALL!B:B, DATA_Moresby_2024_ALL!G:G, "")</f>
        <v>0</v>
      </c>
      <c r="G1554" s="93"/>
      <c r="H1554" s="92">
        <v>7</v>
      </c>
      <c r="I1554" s="92" t="str">
        <f t="shared" si="83"/>
        <v>X</v>
      </c>
      <c r="J1554" s="79" t="str">
        <f>IF(G1554="","X",_xlfn.XLOOKUP(B1554,DATA_Moresby_2024_ALL!B:B,DATA_Moresby_2024_ALL!K:K,""))</f>
        <v>X</v>
      </c>
      <c r="K1554" s="28"/>
      <c r="L1554" s="29"/>
      <c r="M1554" s="28"/>
      <c r="N1554" s="19" t="str">
        <f t="shared" si="82"/>
        <v/>
      </c>
      <c r="O1554" s="19" t="str">
        <f t="shared" si="81"/>
        <v/>
      </c>
      <c r="P1554" s="19" t="str">
        <f t="shared" si="81"/>
        <v/>
      </c>
      <c r="Q1554" s="19" t="str">
        <f t="shared" si="81"/>
        <v/>
      </c>
      <c r="X1554" s="92" t="s">
        <v>78</v>
      </c>
      <c r="Y1554" s="92" t="s">
        <v>78</v>
      </c>
      <c r="Z1554" s="92" t="s">
        <v>78</v>
      </c>
    </row>
    <row r="1555" spans="1:26" ht="16" hidden="1" x14ac:dyDescent="0.4">
      <c r="A1555" s="92">
        <v>7759</v>
      </c>
      <c r="B1555" s="92">
        <v>7760</v>
      </c>
      <c r="E1555" s="92">
        <v>50</v>
      </c>
      <c r="F1555" s="92">
        <f>_xlfn.XLOOKUP(B1555, DATA_Moresby_2024_ALL!B:B, DATA_Moresby_2024_ALL!G:G, "")</f>
        <v>0</v>
      </c>
      <c r="G1555" s="93"/>
      <c r="H1555" s="92">
        <v>7</v>
      </c>
      <c r="I1555" s="92" t="str">
        <f t="shared" si="83"/>
        <v>X</v>
      </c>
      <c r="J1555" s="79" t="str">
        <f>IF(G1555="","X",_xlfn.XLOOKUP(B1555,DATA_Moresby_2024_ALL!B:B,DATA_Moresby_2024_ALL!K:K,""))</f>
        <v>X</v>
      </c>
      <c r="K1555" s="28"/>
      <c r="L1555" s="29"/>
      <c r="M1555" s="28"/>
      <c r="N1555" s="19" t="str">
        <f t="shared" si="82"/>
        <v/>
      </c>
      <c r="O1555" s="19" t="str">
        <f t="shared" si="81"/>
        <v/>
      </c>
      <c r="P1555" s="19" t="str">
        <f t="shared" si="81"/>
        <v/>
      </c>
      <c r="Q1555" s="19" t="str">
        <f t="shared" si="81"/>
        <v/>
      </c>
      <c r="X1555" s="92" t="s">
        <v>78</v>
      </c>
      <c r="Y1555" s="92" t="s">
        <v>78</v>
      </c>
      <c r="Z1555" s="92" t="s">
        <v>78</v>
      </c>
    </row>
    <row r="1556" spans="1:26" ht="16" hidden="1" x14ac:dyDescent="0.4">
      <c r="A1556" s="92">
        <v>7764</v>
      </c>
      <c r="B1556" s="92">
        <v>7765</v>
      </c>
      <c r="E1556" s="92">
        <v>50</v>
      </c>
      <c r="F1556" s="92">
        <f>_xlfn.XLOOKUP(B1556, DATA_Moresby_2024_ALL!B:B, DATA_Moresby_2024_ALL!G:G, "")</f>
        <v>0</v>
      </c>
      <c r="G1556" s="93"/>
      <c r="H1556" s="92">
        <v>7</v>
      </c>
      <c r="I1556" s="92" t="str">
        <f t="shared" si="83"/>
        <v>X</v>
      </c>
      <c r="J1556" s="79" t="str">
        <f>IF(G1556="","X",_xlfn.XLOOKUP(B1556,DATA_Moresby_2024_ALL!B:B,DATA_Moresby_2024_ALL!K:K,""))</f>
        <v>X</v>
      </c>
      <c r="K1556" s="28"/>
      <c r="L1556" s="29"/>
      <c r="M1556" s="28"/>
      <c r="N1556" s="19" t="str">
        <f t="shared" si="82"/>
        <v/>
      </c>
      <c r="O1556" s="19" t="str">
        <f t="shared" si="81"/>
        <v/>
      </c>
      <c r="P1556" s="19" t="str">
        <f t="shared" si="81"/>
        <v/>
      </c>
      <c r="Q1556" s="19" t="str">
        <f t="shared" si="81"/>
        <v/>
      </c>
      <c r="X1556" s="92" t="s">
        <v>78</v>
      </c>
      <c r="Y1556" s="92" t="s">
        <v>78</v>
      </c>
      <c r="Z1556" s="92" t="s">
        <v>78</v>
      </c>
    </row>
    <row r="1557" spans="1:26" ht="16" hidden="1" x14ac:dyDescent="0.4">
      <c r="A1557" s="92">
        <v>7769</v>
      </c>
      <c r="B1557" s="92">
        <v>7770</v>
      </c>
      <c r="E1557" s="92">
        <v>50</v>
      </c>
      <c r="F1557" s="92">
        <f>_xlfn.XLOOKUP(B1557, DATA_Moresby_2024_ALL!B:B, DATA_Moresby_2024_ALL!G:G, "")</f>
        <v>0</v>
      </c>
      <c r="G1557" s="93"/>
      <c r="H1557" s="92">
        <v>7</v>
      </c>
      <c r="I1557" s="92" t="str">
        <f t="shared" si="83"/>
        <v>X</v>
      </c>
      <c r="J1557" s="79" t="str">
        <f>IF(G1557="","X",_xlfn.XLOOKUP(B1557,DATA_Moresby_2024_ALL!B:B,DATA_Moresby_2024_ALL!K:K,""))</f>
        <v>X</v>
      </c>
      <c r="K1557" s="28"/>
      <c r="L1557" s="29"/>
      <c r="M1557" s="28"/>
      <c r="N1557" s="19" t="str">
        <f t="shared" si="82"/>
        <v/>
      </c>
      <c r="O1557" s="19" t="str">
        <f t="shared" si="81"/>
        <v/>
      </c>
      <c r="P1557" s="19" t="str">
        <f t="shared" si="81"/>
        <v/>
      </c>
      <c r="Q1557" s="19" t="str">
        <f t="shared" si="81"/>
        <v/>
      </c>
      <c r="X1557" s="92" t="s">
        <v>78</v>
      </c>
      <c r="Y1557" s="92" t="s">
        <v>78</v>
      </c>
      <c r="Z1557" s="92" t="s">
        <v>78</v>
      </c>
    </row>
    <row r="1558" spans="1:26" ht="16" hidden="1" x14ac:dyDescent="0.4">
      <c r="A1558" s="92">
        <v>7774</v>
      </c>
      <c r="B1558" s="92">
        <v>7775</v>
      </c>
      <c r="E1558" s="92">
        <v>50</v>
      </c>
      <c r="F1558" s="92">
        <f>_xlfn.XLOOKUP(B1558, DATA_Moresby_2024_ALL!B:B, DATA_Moresby_2024_ALL!G:G, "")</f>
        <v>0</v>
      </c>
      <c r="G1558" s="93"/>
      <c r="H1558" s="92">
        <v>7</v>
      </c>
      <c r="I1558" s="92" t="str">
        <f t="shared" si="83"/>
        <v>X</v>
      </c>
      <c r="J1558" s="79" t="str">
        <f>IF(G1558="","X",_xlfn.XLOOKUP(B1558,DATA_Moresby_2024_ALL!B:B,DATA_Moresby_2024_ALL!K:K,""))</f>
        <v>X</v>
      </c>
      <c r="K1558" s="28"/>
      <c r="L1558" s="29"/>
      <c r="M1558" s="28"/>
      <c r="N1558" s="19" t="str">
        <f t="shared" si="82"/>
        <v/>
      </c>
      <c r="O1558" s="19" t="str">
        <f t="shared" si="81"/>
        <v/>
      </c>
      <c r="P1558" s="19" t="str">
        <f t="shared" si="81"/>
        <v/>
      </c>
      <c r="Q1558" s="19" t="str">
        <f t="shared" si="81"/>
        <v/>
      </c>
      <c r="X1558" s="92" t="s">
        <v>78</v>
      </c>
      <c r="Y1558" s="92" t="s">
        <v>78</v>
      </c>
      <c r="Z1558" s="92" t="s">
        <v>78</v>
      </c>
    </row>
    <row r="1559" spans="1:26" ht="16" hidden="1" x14ac:dyDescent="0.4">
      <c r="A1559" s="92">
        <v>7779</v>
      </c>
      <c r="B1559" s="92">
        <v>7780</v>
      </c>
      <c r="E1559" s="92">
        <v>50</v>
      </c>
      <c r="F1559" s="92">
        <f>_xlfn.XLOOKUP(B1559, DATA_Moresby_2024_ALL!B:B, DATA_Moresby_2024_ALL!G:G, "")</f>
        <v>0</v>
      </c>
      <c r="G1559" s="93"/>
      <c r="H1559" s="92">
        <v>7</v>
      </c>
      <c r="I1559" s="92" t="str">
        <f t="shared" si="83"/>
        <v>X</v>
      </c>
      <c r="J1559" s="79" t="str">
        <f>IF(G1559="","X",_xlfn.XLOOKUP(B1559,DATA_Moresby_2024_ALL!B:B,DATA_Moresby_2024_ALL!K:K,""))</f>
        <v>X</v>
      </c>
      <c r="K1559" s="28"/>
      <c r="L1559" s="29"/>
      <c r="M1559" s="28"/>
      <c r="N1559" s="19" t="str">
        <f t="shared" si="82"/>
        <v/>
      </c>
      <c r="O1559" s="19" t="str">
        <f t="shared" si="81"/>
        <v/>
      </c>
      <c r="P1559" s="19" t="str">
        <f t="shared" si="81"/>
        <v/>
      </c>
      <c r="Q1559" s="19" t="str">
        <f t="shared" si="81"/>
        <v/>
      </c>
      <c r="X1559" s="92" t="s">
        <v>78</v>
      </c>
      <c r="Y1559" s="92" t="s">
        <v>78</v>
      </c>
      <c r="Z1559" s="92" t="s">
        <v>78</v>
      </c>
    </row>
    <row r="1560" spans="1:26" ht="16" hidden="1" x14ac:dyDescent="0.4">
      <c r="A1560" s="92">
        <v>7784</v>
      </c>
      <c r="B1560" s="92">
        <v>7785</v>
      </c>
      <c r="E1560" s="92">
        <v>50</v>
      </c>
      <c r="F1560" s="92">
        <f>_xlfn.XLOOKUP(B1560, DATA_Moresby_2024_ALL!B:B, DATA_Moresby_2024_ALL!G:G, "")</f>
        <v>0</v>
      </c>
      <c r="G1560" s="93"/>
      <c r="H1560" s="92">
        <v>7</v>
      </c>
      <c r="I1560" s="92" t="str">
        <f t="shared" si="83"/>
        <v>X</v>
      </c>
      <c r="J1560" s="79" t="str">
        <f>IF(G1560="","X",_xlfn.XLOOKUP(B1560,DATA_Moresby_2024_ALL!B:B,DATA_Moresby_2024_ALL!K:K,""))</f>
        <v>X</v>
      </c>
      <c r="K1560" s="28"/>
      <c r="L1560" s="29"/>
      <c r="M1560" s="28"/>
      <c r="N1560" s="19" t="str">
        <f t="shared" si="82"/>
        <v/>
      </c>
      <c r="O1560" s="19" t="str">
        <f t="shared" si="81"/>
        <v/>
      </c>
      <c r="P1560" s="19" t="str">
        <f t="shared" si="81"/>
        <v/>
      </c>
      <c r="Q1560" s="19" t="str">
        <f t="shared" si="81"/>
        <v/>
      </c>
      <c r="X1560" s="92" t="s">
        <v>78</v>
      </c>
      <c r="Y1560" s="92" t="s">
        <v>78</v>
      </c>
      <c r="Z1560" s="92" t="s">
        <v>78</v>
      </c>
    </row>
    <row r="1561" spans="1:26" ht="16" hidden="1" x14ac:dyDescent="0.4">
      <c r="A1561" s="92">
        <v>7789</v>
      </c>
      <c r="B1561" s="92">
        <v>7790</v>
      </c>
      <c r="E1561" s="92">
        <v>50</v>
      </c>
      <c r="F1561" s="92">
        <f>_xlfn.XLOOKUP(B1561, DATA_Moresby_2024_ALL!B:B, DATA_Moresby_2024_ALL!G:G, "")</f>
        <v>0</v>
      </c>
      <c r="G1561" s="93"/>
      <c r="H1561" s="92">
        <v>7</v>
      </c>
      <c r="I1561" s="92" t="str">
        <f t="shared" si="83"/>
        <v>X</v>
      </c>
      <c r="J1561" s="79" t="str">
        <f>IF(G1561="","X",_xlfn.XLOOKUP(B1561,DATA_Moresby_2024_ALL!B:B,DATA_Moresby_2024_ALL!K:K,""))</f>
        <v>X</v>
      </c>
      <c r="K1561" s="28"/>
      <c r="L1561" s="29"/>
      <c r="M1561" s="28"/>
      <c r="N1561" s="19" t="str">
        <f t="shared" si="82"/>
        <v/>
      </c>
      <c r="O1561" s="19" t="str">
        <f t="shared" si="81"/>
        <v/>
      </c>
      <c r="P1561" s="19" t="str">
        <f t="shared" si="81"/>
        <v/>
      </c>
      <c r="Q1561" s="19" t="str">
        <f t="shared" si="81"/>
        <v/>
      </c>
      <c r="X1561" s="92" t="s">
        <v>78</v>
      </c>
      <c r="Y1561" s="92" t="s">
        <v>78</v>
      </c>
      <c r="Z1561" s="92" t="s">
        <v>78</v>
      </c>
    </row>
    <row r="1562" spans="1:26" ht="16" hidden="1" x14ac:dyDescent="0.4">
      <c r="A1562" s="92">
        <v>7794</v>
      </c>
      <c r="B1562" s="92">
        <v>7795</v>
      </c>
      <c r="E1562" s="92">
        <v>50</v>
      </c>
      <c r="F1562" s="92">
        <f>_xlfn.XLOOKUP(B1562, DATA_Moresby_2024_ALL!B:B, DATA_Moresby_2024_ALL!G:G, "")</f>
        <v>0</v>
      </c>
      <c r="G1562" s="93"/>
      <c r="H1562" s="92">
        <v>7</v>
      </c>
      <c r="I1562" s="92" t="str">
        <f t="shared" si="83"/>
        <v>X</v>
      </c>
      <c r="J1562" s="79" t="str">
        <f>IF(G1562="","X",_xlfn.XLOOKUP(B1562,DATA_Moresby_2024_ALL!B:B,DATA_Moresby_2024_ALL!K:K,""))</f>
        <v>X</v>
      </c>
      <c r="K1562" s="28"/>
      <c r="L1562" s="29"/>
      <c r="M1562" s="28"/>
      <c r="N1562" s="19" t="str">
        <f t="shared" si="82"/>
        <v/>
      </c>
      <c r="O1562" s="19" t="str">
        <f t="shared" si="81"/>
        <v/>
      </c>
      <c r="P1562" s="19" t="str">
        <f t="shared" si="81"/>
        <v/>
      </c>
      <c r="Q1562" s="19" t="str">
        <f t="shared" si="81"/>
        <v/>
      </c>
      <c r="X1562" s="92" t="s">
        <v>78</v>
      </c>
      <c r="Y1562" s="92" t="s">
        <v>78</v>
      </c>
      <c r="Z1562" s="92" t="s">
        <v>78</v>
      </c>
    </row>
    <row r="1563" spans="1:26" ht="16" hidden="1" x14ac:dyDescent="0.4">
      <c r="A1563" s="92">
        <v>7799</v>
      </c>
      <c r="B1563" s="92">
        <v>7800</v>
      </c>
      <c r="E1563" s="92">
        <v>50</v>
      </c>
      <c r="F1563" s="92">
        <f>_xlfn.XLOOKUP(B1563, DATA_Moresby_2024_ALL!B:B, DATA_Moresby_2024_ALL!G:G, "")</f>
        <v>0</v>
      </c>
      <c r="G1563" s="93"/>
      <c r="H1563" s="92">
        <v>7</v>
      </c>
      <c r="I1563" s="92" t="str">
        <f t="shared" si="83"/>
        <v>X</v>
      </c>
      <c r="J1563" s="79" t="str">
        <f>IF(G1563="","X",_xlfn.XLOOKUP(B1563,DATA_Moresby_2024_ALL!B:B,DATA_Moresby_2024_ALL!K:K,""))</f>
        <v>X</v>
      </c>
      <c r="K1563" s="28"/>
      <c r="L1563" s="29"/>
      <c r="M1563" s="28"/>
      <c r="N1563" s="19" t="str">
        <f t="shared" si="82"/>
        <v/>
      </c>
      <c r="O1563" s="19" t="str">
        <f t="shared" si="81"/>
        <v/>
      </c>
      <c r="P1563" s="19" t="str">
        <f t="shared" si="81"/>
        <v/>
      </c>
      <c r="Q1563" s="19" t="str">
        <f t="shared" si="81"/>
        <v/>
      </c>
      <c r="X1563" s="92" t="s">
        <v>78</v>
      </c>
      <c r="Y1563" s="92" t="s">
        <v>78</v>
      </c>
      <c r="Z1563" s="92" t="s">
        <v>78</v>
      </c>
    </row>
    <row r="1564" spans="1:26" ht="16" hidden="1" x14ac:dyDescent="0.4">
      <c r="A1564" s="92">
        <v>7804</v>
      </c>
      <c r="B1564" s="92">
        <v>7805</v>
      </c>
      <c r="E1564" s="92">
        <v>50</v>
      </c>
      <c r="F1564" s="92">
        <f>_xlfn.XLOOKUP(B1564, DATA_Moresby_2024_ALL!B:B, DATA_Moresby_2024_ALL!G:G, "")</f>
        <v>0</v>
      </c>
      <c r="G1564" s="93"/>
      <c r="H1564" s="92">
        <v>7</v>
      </c>
      <c r="I1564" s="92" t="str">
        <f t="shared" si="83"/>
        <v>X</v>
      </c>
      <c r="J1564" s="79" t="str">
        <f>IF(G1564="","X",_xlfn.XLOOKUP(B1564,DATA_Moresby_2024_ALL!B:B,DATA_Moresby_2024_ALL!K:K,""))</f>
        <v>X</v>
      </c>
      <c r="K1564" s="28"/>
      <c r="L1564" s="29"/>
      <c r="M1564" s="28"/>
      <c r="N1564" s="19" t="str">
        <f t="shared" si="82"/>
        <v/>
      </c>
      <c r="O1564" s="19" t="str">
        <f t="shared" si="81"/>
        <v/>
      </c>
      <c r="P1564" s="19" t="str">
        <f t="shared" si="81"/>
        <v/>
      </c>
      <c r="Q1564" s="19" t="str">
        <f t="shared" si="81"/>
        <v/>
      </c>
      <c r="X1564" s="92" t="s">
        <v>78</v>
      </c>
      <c r="Y1564" s="92" t="s">
        <v>78</v>
      </c>
      <c r="Z1564" s="92" t="s">
        <v>78</v>
      </c>
    </row>
    <row r="1565" spans="1:26" ht="16" hidden="1" x14ac:dyDescent="0.4">
      <c r="A1565" s="92">
        <v>7809</v>
      </c>
      <c r="B1565" s="92">
        <v>7810</v>
      </c>
      <c r="E1565" s="92">
        <v>50</v>
      </c>
      <c r="F1565" s="92">
        <f>_xlfn.XLOOKUP(B1565, DATA_Moresby_2024_ALL!B:B, DATA_Moresby_2024_ALL!G:G, "")</f>
        <v>0</v>
      </c>
      <c r="G1565" s="93"/>
      <c r="H1565" s="92">
        <v>7</v>
      </c>
      <c r="I1565" s="92" t="str">
        <f t="shared" si="83"/>
        <v>X</v>
      </c>
      <c r="J1565" s="79" t="str">
        <f>IF(G1565="","X",_xlfn.XLOOKUP(B1565,DATA_Moresby_2024_ALL!B:B,DATA_Moresby_2024_ALL!K:K,""))</f>
        <v>X</v>
      </c>
      <c r="K1565" s="28"/>
      <c r="L1565" s="29"/>
      <c r="M1565" s="28"/>
      <c r="N1565" s="19" t="str">
        <f t="shared" si="82"/>
        <v/>
      </c>
      <c r="O1565" s="19" t="str">
        <f t="shared" si="82"/>
        <v/>
      </c>
      <c r="P1565" s="19" t="str">
        <f t="shared" si="82"/>
        <v/>
      </c>
      <c r="Q1565" s="19" t="str">
        <f t="shared" si="82"/>
        <v/>
      </c>
      <c r="X1565" s="92" t="s">
        <v>78</v>
      </c>
      <c r="Y1565" s="92" t="s">
        <v>78</v>
      </c>
      <c r="Z1565" s="92" t="s">
        <v>78</v>
      </c>
    </row>
    <row r="1566" spans="1:26" ht="16" hidden="1" x14ac:dyDescent="0.4">
      <c r="A1566" s="92">
        <v>7814</v>
      </c>
      <c r="B1566" s="92">
        <v>7815</v>
      </c>
      <c r="E1566" s="92">
        <v>50</v>
      </c>
      <c r="F1566" s="92">
        <f>_xlfn.XLOOKUP(B1566, DATA_Moresby_2024_ALL!B:B, DATA_Moresby_2024_ALL!G:G, "")</f>
        <v>0</v>
      </c>
      <c r="G1566" s="93"/>
      <c r="H1566" s="92">
        <v>7</v>
      </c>
      <c r="I1566" s="92" t="str">
        <f t="shared" si="83"/>
        <v>X</v>
      </c>
      <c r="J1566" s="79" t="str">
        <f>IF(G1566="","X",_xlfn.XLOOKUP(B1566,DATA_Moresby_2024_ALL!B:B,DATA_Moresby_2024_ALL!K:K,""))</f>
        <v>X</v>
      </c>
      <c r="K1566" s="28"/>
      <c r="L1566" s="29"/>
      <c r="M1566" s="28"/>
      <c r="N1566" s="19" t="str">
        <f t="shared" ref="N1566:Q1629" si="84">IF($J1566=1,4,"")</f>
        <v/>
      </c>
      <c r="O1566" s="19" t="str">
        <f t="shared" si="84"/>
        <v/>
      </c>
      <c r="P1566" s="19" t="str">
        <f t="shared" si="84"/>
        <v/>
      </c>
      <c r="Q1566" s="19" t="str">
        <f t="shared" si="84"/>
        <v/>
      </c>
      <c r="X1566" s="92" t="s">
        <v>78</v>
      </c>
      <c r="Y1566" s="92" t="s">
        <v>78</v>
      </c>
      <c r="Z1566" s="92" t="s">
        <v>78</v>
      </c>
    </row>
    <row r="1567" spans="1:26" ht="16" hidden="1" x14ac:dyDescent="0.4">
      <c r="A1567" s="92">
        <v>7819</v>
      </c>
      <c r="B1567" s="92">
        <v>7820</v>
      </c>
      <c r="E1567" s="92">
        <v>50</v>
      </c>
      <c r="F1567" s="92">
        <f>_xlfn.XLOOKUP(B1567, DATA_Moresby_2024_ALL!B:B, DATA_Moresby_2024_ALL!G:G, "")</f>
        <v>0</v>
      </c>
      <c r="G1567" s="93"/>
      <c r="H1567" s="92">
        <v>7</v>
      </c>
      <c r="I1567" s="92" t="str">
        <f t="shared" si="83"/>
        <v>X</v>
      </c>
      <c r="J1567" s="79" t="str">
        <f>IF(G1567="","X",_xlfn.XLOOKUP(B1567,DATA_Moresby_2024_ALL!B:B,DATA_Moresby_2024_ALL!K:K,""))</f>
        <v>X</v>
      </c>
      <c r="K1567" s="28"/>
      <c r="L1567" s="29"/>
      <c r="M1567" s="28"/>
      <c r="N1567" s="19" t="str">
        <f t="shared" si="84"/>
        <v/>
      </c>
      <c r="O1567" s="19" t="str">
        <f t="shared" si="84"/>
        <v/>
      </c>
      <c r="P1567" s="19" t="str">
        <f t="shared" si="84"/>
        <v/>
      </c>
      <c r="Q1567" s="19" t="str">
        <f t="shared" si="84"/>
        <v/>
      </c>
      <c r="X1567" s="92" t="s">
        <v>78</v>
      </c>
      <c r="Y1567" s="92" t="s">
        <v>78</v>
      </c>
      <c r="Z1567" s="92" t="s">
        <v>78</v>
      </c>
    </row>
    <row r="1568" spans="1:26" ht="16" hidden="1" x14ac:dyDescent="0.4">
      <c r="A1568" s="92">
        <v>7824</v>
      </c>
      <c r="B1568" s="92">
        <v>7825</v>
      </c>
      <c r="E1568" s="92">
        <v>50</v>
      </c>
      <c r="F1568" s="92">
        <f>_xlfn.XLOOKUP(B1568, DATA_Moresby_2024_ALL!B:B, DATA_Moresby_2024_ALL!G:G, "")</f>
        <v>0</v>
      </c>
      <c r="G1568" s="93"/>
      <c r="H1568" s="92">
        <v>7</v>
      </c>
      <c r="I1568" s="92" t="str">
        <f t="shared" si="83"/>
        <v>X</v>
      </c>
      <c r="J1568" s="79" t="str">
        <f>IF(G1568="","X",_xlfn.XLOOKUP(B1568,DATA_Moresby_2024_ALL!B:B,DATA_Moresby_2024_ALL!K:K,""))</f>
        <v>X</v>
      </c>
      <c r="K1568" s="28"/>
      <c r="L1568" s="29"/>
      <c r="M1568" s="28"/>
      <c r="N1568" s="19" t="str">
        <f t="shared" si="84"/>
        <v/>
      </c>
      <c r="O1568" s="19" t="str">
        <f t="shared" si="84"/>
        <v/>
      </c>
      <c r="P1568" s="19" t="str">
        <f t="shared" si="84"/>
        <v/>
      </c>
      <c r="Q1568" s="19" t="str">
        <f t="shared" si="84"/>
        <v/>
      </c>
      <c r="X1568" s="92" t="s">
        <v>78</v>
      </c>
      <c r="Y1568" s="92" t="s">
        <v>78</v>
      </c>
      <c r="Z1568" s="92" t="s">
        <v>78</v>
      </c>
    </row>
    <row r="1569" spans="1:26" ht="16" hidden="1" x14ac:dyDescent="0.4">
      <c r="A1569" s="92">
        <v>7829</v>
      </c>
      <c r="B1569" s="92">
        <v>7830</v>
      </c>
      <c r="E1569" s="92">
        <v>50</v>
      </c>
      <c r="F1569" s="92">
        <f>_xlfn.XLOOKUP(B1569, DATA_Moresby_2024_ALL!B:B, DATA_Moresby_2024_ALL!G:G, "")</f>
        <v>0</v>
      </c>
      <c r="G1569" s="93"/>
      <c r="H1569" s="92">
        <v>7</v>
      </c>
      <c r="I1569" s="92" t="str">
        <f t="shared" si="83"/>
        <v>X</v>
      </c>
      <c r="J1569" s="79" t="str">
        <f>IF(G1569="","X",_xlfn.XLOOKUP(B1569,DATA_Moresby_2024_ALL!B:B,DATA_Moresby_2024_ALL!K:K,""))</f>
        <v>X</v>
      </c>
      <c r="K1569" s="28"/>
      <c r="L1569" s="29"/>
      <c r="M1569" s="28"/>
      <c r="N1569" s="19" t="str">
        <f t="shared" si="84"/>
        <v/>
      </c>
      <c r="O1569" s="19" t="str">
        <f t="shared" si="84"/>
        <v/>
      </c>
      <c r="P1569" s="19" t="str">
        <f t="shared" si="84"/>
        <v/>
      </c>
      <c r="Q1569" s="19" t="str">
        <f t="shared" si="84"/>
        <v/>
      </c>
      <c r="X1569" s="92" t="s">
        <v>78</v>
      </c>
      <c r="Y1569" s="92" t="s">
        <v>78</v>
      </c>
      <c r="Z1569" s="92" t="s">
        <v>78</v>
      </c>
    </row>
    <row r="1570" spans="1:26" ht="16" hidden="1" x14ac:dyDescent="0.4">
      <c r="A1570" s="92">
        <v>7834</v>
      </c>
      <c r="B1570" s="92">
        <v>7835</v>
      </c>
      <c r="E1570" s="92">
        <v>50</v>
      </c>
      <c r="F1570" s="92">
        <f>_xlfn.XLOOKUP(B1570, DATA_Moresby_2024_ALL!B:B, DATA_Moresby_2024_ALL!G:G, "")</f>
        <v>0</v>
      </c>
      <c r="G1570" s="93"/>
      <c r="H1570" s="92">
        <v>7</v>
      </c>
      <c r="I1570" s="92" t="str">
        <f t="shared" si="83"/>
        <v>X</v>
      </c>
      <c r="J1570" s="79" t="str">
        <f>IF(G1570="","X",_xlfn.XLOOKUP(B1570,DATA_Moresby_2024_ALL!B:B,DATA_Moresby_2024_ALL!K:K,""))</f>
        <v>X</v>
      </c>
      <c r="K1570" s="28"/>
      <c r="L1570" s="29"/>
      <c r="M1570" s="28"/>
      <c r="N1570" s="19" t="str">
        <f t="shared" si="84"/>
        <v/>
      </c>
      <c r="O1570" s="19" t="str">
        <f t="shared" si="84"/>
        <v/>
      </c>
      <c r="P1570" s="19" t="str">
        <f t="shared" si="84"/>
        <v/>
      </c>
      <c r="Q1570" s="19" t="str">
        <f t="shared" si="84"/>
        <v/>
      </c>
      <c r="X1570" s="92" t="s">
        <v>78</v>
      </c>
      <c r="Y1570" s="92" t="s">
        <v>78</v>
      </c>
      <c r="Z1570" s="92" t="s">
        <v>78</v>
      </c>
    </row>
    <row r="1571" spans="1:26" ht="16" hidden="1" x14ac:dyDescent="0.4">
      <c r="A1571" s="92">
        <v>7839</v>
      </c>
      <c r="B1571" s="92">
        <v>7840</v>
      </c>
      <c r="E1571" s="92">
        <v>50</v>
      </c>
      <c r="F1571" s="92">
        <f>_xlfn.XLOOKUP(B1571, DATA_Moresby_2024_ALL!B:B, DATA_Moresby_2024_ALL!G:G, "")</f>
        <v>0</v>
      </c>
      <c r="G1571" s="93"/>
      <c r="H1571" s="92">
        <v>7</v>
      </c>
      <c r="I1571" s="92" t="str">
        <f t="shared" si="83"/>
        <v>X</v>
      </c>
      <c r="J1571" s="79" t="str">
        <f>IF(G1571="","X",_xlfn.XLOOKUP(B1571,DATA_Moresby_2024_ALL!B:B,DATA_Moresby_2024_ALL!K:K,""))</f>
        <v>X</v>
      </c>
      <c r="K1571" s="28"/>
      <c r="L1571" s="29"/>
      <c r="M1571" s="28"/>
      <c r="N1571" s="19" t="str">
        <f t="shared" si="84"/>
        <v/>
      </c>
      <c r="O1571" s="19" t="str">
        <f t="shared" si="84"/>
        <v/>
      </c>
      <c r="P1571" s="19" t="str">
        <f t="shared" si="84"/>
        <v/>
      </c>
      <c r="Q1571" s="19" t="str">
        <f t="shared" si="84"/>
        <v/>
      </c>
      <c r="X1571" s="92" t="s">
        <v>78</v>
      </c>
      <c r="Y1571" s="92" t="s">
        <v>78</v>
      </c>
      <c r="Z1571" s="92" t="s">
        <v>78</v>
      </c>
    </row>
    <row r="1572" spans="1:26" ht="16" hidden="1" x14ac:dyDescent="0.4">
      <c r="A1572" s="92">
        <v>7844</v>
      </c>
      <c r="B1572" s="92">
        <v>7845</v>
      </c>
      <c r="E1572" s="92">
        <v>50</v>
      </c>
      <c r="F1572" s="92">
        <f>_xlfn.XLOOKUP(B1572, DATA_Moresby_2024_ALL!B:B, DATA_Moresby_2024_ALL!G:G, "")</f>
        <v>0</v>
      </c>
      <c r="G1572" s="93"/>
      <c r="H1572" s="92">
        <v>7</v>
      </c>
      <c r="I1572" s="92" t="str">
        <f t="shared" ref="I1572:I1635" si="85">IF(G1572="","X","")</f>
        <v>X</v>
      </c>
      <c r="J1572" s="79" t="str">
        <f>IF(G1572="","X",_xlfn.XLOOKUP(B1572,DATA_Moresby_2024_ALL!B:B,DATA_Moresby_2024_ALL!K:K,""))</f>
        <v>X</v>
      </c>
      <c r="K1572" s="28"/>
      <c r="L1572" s="29"/>
      <c r="M1572" s="28"/>
      <c r="N1572" s="19" t="str">
        <f t="shared" si="84"/>
        <v/>
      </c>
      <c r="O1572" s="19" t="str">
        <f t="shared" si="84"/>
        <v/>
      </c>
      <c r="P1572" s="19" t="str">
        <f t="shared" si="84"/>
        <v/>
      </c>
      <c r="Q1572" s="19" t="str">
        <f t="shared" si="84"/>
        <v/>
      </c>
      <c r="X1572" s="92" t="s">
        <v>78</v>
      </c>
      <c r="Y1572" s="92" t="s">
        <v>78</v>
      </c>
      <c r="Z1572" s="92" t="s">
        <v>78</v>
      </c>
    </row>
    <row r="1573" spans="1:26" ht="16" hidden="1" x14ac:dyDescent="0.4">
      <c r="A1573" s="92">
        <v>7849</v>
      </c>
      <c r="B1573" s="92">
        <v>7850</v>
      </c>
      <c r="E1573" s="92">
        <v>50</v>
      </c>
      <c r="F1573" s="92">
        <f>_xlfn.XLOOKUP(B1573, DATA_Moresby_2024_ALL!B:B, DATA_Moresby_2024_ALL!G:G, "")</f>
        <v>0</v>
      </c>
      <c r="G1573" s="93"/>
      <c r="H1573" s="92">
        <v>7</v>
      </c>
      <c r="I1573" s="92" t="str">
        <f t="shared" si="85"/>
        <v>X</v>
      </c>
      <c r="J1573" s="79" t="str">
        <f>IF(G1573="","X",_xlfn.XLOOKUP(B1573,DATA_Moresby_2024_ALL!B:B,DATA_Moresby_2024_ALL!K:K,""))</f>
        <v>X</v>
      </c>
      <c r="K1573" s="28"/>
      <c r="L1573" s="29"/>
      <c r="M1573" s="28"/>
      <c r="N1573" s="19" t="str">
        <f t="shared" si="84"/>
        <v/>
      </c>
      <c r="O1573" s="19" t="str">
        <f t="shared" si="84"/>
        <v/>
      </c>
      <c r="P1573" s="19" t="str">
        <f t="shared" si="84"/>
        <v/>
      </c>
      <c r="Q1573" s="19" t="str">
        <f t="shared" si="84"/>
        <v/>
      </c>
      <c r="X1573" s="92" t="s">
        <v>78</v>
      </c>
      <c r="Y1573" s="92" t="s">
        <v>78</v>
      </c>
      <c r="Z1573" s="92" t="s">
        <v>78</v>
      </c>
    </row>
    <row r="1574" spans="1:26" ht="16" hidden="1" x14ac:dyDescent="0.4">
      <c r="A1574" s="92">
        <v>7854</v>
      </c>
      <c r="B1574" s="92">
        <v>7855</v>
      </c>
      <c r="E1574" s="92">
        <v>50</v>
      </c>
      <c r="F1574" s="92">
        <f>_xlfn.XLOOKUP(B1574, DATA_Moresby_2024_ALL!B:B, DATA_Moresby_2024_ALL!G:G, "")</f>
        <v>0</v>
      </c>
      <c r="G1574" s="93"/>
      <c r="H1574" s="92">
        <v>7</v>
      </c>
      <c r="I1574" s="92" t="str">
        <f t="shared" si="85"/>
        <v>X</v>
      </c>
      <c r="J1574" s="79" t="str">
        <f>IF(G1574="","X",_xlfn.XLOOKUP(B1574,DATA_Moresby_2024_ALL!B:B,DATA_Moresby_2024_ALL!K:K,""))</f>
        <v>X</v>
      </c>
      <c r="K1574" s="28"/>
      <c r="L1574" s="29"/>
      <c r="M1574" s="28"/>
      <c r="N1574" s="19" t="str">
        <f t="shared" si="84"/>
        <v/>
      </c>
      <c r="O1574" s="19" t="str">
        <f t="shared" si="84"/>
        <v/>
      </c>
      <c r="P1574" s="19" t="str">
        <f t="shared" si="84"/>
        <v/>
      </c>
      <c r="Q1574" s="19" t="str">
        <f t="shared" si="84"/>
        <v/>
      </c>
      <c r="X1574" s="92" t="s">
        <v>78</v>
      </c>
      <c r="Y1574" s="92" t="s">
        <v>78</v>
      </c>
      <c r="Z1574" s="92" t="s">
        <v>78</v>
      </c>
    </row>
    <row r="1575" spans="1:26" ht="16" hidden="1" x14ac:dyDescent="0.4">
      <c r="A1575" s="92">
        <v>7859</v>
      </c>
      <c r="B1575" s="92">
        <v>7860</v>
      </c>
      <c r="E1575" s="92">
        <v>50</v>
      </c>
      <c r="F1575" s="92">
        <f>_xlfn.XLOOKUP(B1575, DATA_Moresby_2024_ALL!B:B, DATA_Moresby_2024_ALL!G:G, "")</f>
        <v>0</v>
      </c>
      <c r="G1575" s="93"/>
      <c r="H1575" s="92">
        <v>7</v>
      </c>
      <c r="I1575" s="92" t="str">
        <f t="shared" si="85"/>
        <v>X</v>
      </c>
      <c r="J1575" s="79" t="str">
        <f>IF(G1575="","X",_xlfn.XLOOKUP(B1575,DATA_Moresby_2024_ALL!B:B,DATA_Moresby_2024_ALL!K:K,""))</f>
        <v>X</v>
      </c>
      <c r="K1575" s="28"/>
      <c r="L1575" s="29"/>
      <c r="M1575" s="28"/>
      <c r="N1575" s="19" t="str">
        <f t="shared" si="84"/>
        <v/>
      </c>
      <c r="O1575" s="19" t="str">
        <f t="shared" si="84"/>
        <v/>
      </c>
      <c r="P1575" s="19" t="str">
        <f t="shared" si="84"/>
        <v/>
      </c>
      <c r="Q1575" s="19" t="str">
        <f t="shared" si="84"/>
        <v/>
      </c>
      <c r="X1575" s="92" t="s">
        <v>78</v>
      </c>
      <c r="Y1575" s="92" t="s">
        <v>78</v>
      </c>
      <c r="Z1575" s="92" t="s">
        <v>78</v>
      </c>
    </row>
    <row r="1576" spans="1:26" ht="16" hidden="1" x14ac:dyDescent="0.4">
      <c r="A1576" s="92">
        <v>7864</v>
      </c>
      <c r="B1576" s="92">
        <v>7865</v>
      </c>
      <c r="E1576" s="92">
        <v>50</v>
      </c>
      <c r="F1576" s="92">
        <f>_xlfn.XLOOKUP(B1576, DATA_Moresby_2024_ALL!B:B, DATA_Moresby_2024_ALL!G:G, "")</f>
        <v>0</v>
      </c>
      <c r="G1576" s="93"/>
      <c r="H1576" s="92">
        <v>7</v>
      </c>
      <c r="I1576" s="92" t="str">
        <f t="shared" si="85"/>
        <v>X</v>
      </c>
      <c r="J1576" s="79" t="str">
        <f>IF(G1576="","X",_xlfn.XLOOKUP(B1576,DATA_Moresby_2024_ALL!B:B,DATA_Moresby_2024_ALL!K:K,""))</f>
        <v>X</v>
      </c>
      <c r="K1576" s="28"/>
      <c r="L1576" s="29"/>
      <c r="M1576" s="28"/>
      <c r="N1576" s="19" t="str">
        <f t="shared" si="84"/>
        <v/>
      </c>
      <c r="O1576" s="19" t="str">
        <f t="shared" si="84"/>
        <v/>
      </c>
      <c r="P1576" s="19" t="str">
        <f t="shared" si="84"/>
        <v/>
      </c>
      <c r="Q1576" s="19" t="str">
        <f t="shared" si="84"/>
        <v/>
      </c>
      <c r="X1576" s="92" t="s">
        <v>78</v>
      </c>
      <c r="Y1576" s="92" t="s">
        <v>78</v>
      </c>
      <c r="Z1576" s="92" t="s">
        <v>78</v>
      </c>
    </row>
    <row r="1577" spans="1:26" ht="16" hidden="1" x14ac:dyDescent="0.4">
      <c r="A1577" s="92">
        <v>7869</v>
      </c>
      <c r="B1577" s="92">
        <v>7870</v>
      </c>
      <c r="E1577" s="92">
        <v>50</v>
      </c>
      <c r="F1577" s="92">
        <f>_xlfn.XLOOKUP(B1577, DATA_Moresby_2024_ALL!B:B, DATA_Moresby_2024_ALL!G:G, "")</f>
        <v>0</v>
      </c>
      <c r="G1577" s="93"/>
      <c r="H1577" s="92">
        <v>7</v>
      </c>
      <c r="I1577" s="92" t="str">
        <f t="shared" si="85"/>
        <v>X</v>
      </c>
      <c r="J1577" s="79" t="str">
        <f>IF(G1577="","X",_xlfn.XLOOKUP(B1577,DATA_Moresby_2024_ALL!B:B,DATA_Moresby_2024_ALL!K:K,""))</f>
        <v>X</v>
      </c>
      <c r="K1577" s="28"/>
      <c r="L1577" s="29"/>
      <c r="M1577" s="28"/>
      <c r="N1577" s="19" t="str">
        <f t="shared" si="84"/>
        <v/>
      </c>
      <c r="O1577" s="19" t="str">
        <f t="shared" si="84"/>
        <v/>
      </c>
      <c r="P1577" s="19" t="str">
        <f t="shared" si="84"/>
        <v/>
      </c>
      <c r="Q1577" s="19" t="str">
        <f t="shared" si="84"/>
        <v/>
      </c>
      <c r="X1577" s="92" t="s">
        <v>78</v>
      </c>
      <c r="Y1577" s="92" t="s">
        <v>78</v>
      </c>
      <c r="Z1577" s="92" t="s">
        <v>78</v>
      </c>
    </row>
    <row r="1578" spans="1:26" ht="16" hidden="1" x14ac:dyDescent="0.4">
      <c r="A1578" s="92">
        <v>7874</v>
      </c>
      <c r="B1578" s="92">
        <v>7875</v>
      </c>
      <c r="E1578" s="92">
        <v>50</v>
      </c>
      <c r="F1578" s="92">
        <f>_xlfn.XLOOKUP(B1578, DATA_Moresby_2024_ALL!B:B, DATA_Moresby_2024_ALL!G:G, "")</f>
        <v>0</v>
      </c>
      <c r="G1578" s="93"/>
      <c r="H1578" s="92">
        <v>7</v>
      </c>
      <c r="I1578" s="92" t="str">
        <f t="shared" si="85"/>
        <v>X</v>
      </c>
      <c r="J1578" s="79" t="str">
        <f>IF(G1578="","X",_xlfn.XLOOKUP(B1578,DATA_Moresby_2024_ALL!B:B,DATA_Moresby_2024_ALL!K:K,""))</f>
        <v>X</v>
      </c>
      <c r="K1578" s="28"/>
      <c r="L1578" s="29"/>
      <c r="M1578" s="28"/>
      <c r="N1578" s="19" t="str">
        <f t="shared" si="84"/>
        <v/>
      </c>
      <c r="O1578" s="19" t="str">
        <f t="shared" si="84"/>
        <v/>
      </c>
      <c r="P1578" s="19" t="str">
        <f t="shared" si="84"/>
        <v/>
      </c>
      <c r="Q1578" s="19" t="str">
        <f t="shared" si="84"/>
        <v/>
      </c>
      <c r="X1578" s="92" t="s">
        <v>78</v>
      </c>
      <c r="Y1578" s="92" t="s">
        <v>78</v>
      </c>
      <c r="Z1578" s="92" t="s">
        <v>78</v>
      </c>
    </row>
    <row r="1579" spans="1:26" ht="16" hidden="1" x14ac:dyDescent="0.4">
      <c r="A1579" s="92">
        <v>7879</v>
      </c>
      <c r="B1579" s="92">
        <v>7880</v>
      </c>
      <c r="E1579" s="92">
        <v>50</v>
      </c>
      <c r="F1579" s="92">
        <f>_xlfn.XLOOKUP(B1579, DATA_Moresby_2024_ALL!B:B, DATA_Moresby_2024_ALL!G:G, "")</f>
        <v>0</v>
      </c>
      <c r="G1579" s="93"/>
      <c r="H1579" s="92">
        <v>7</v>
      </c>
      <c r="I1579" s="92" t="str">
        <f t="shared" si="85"/>
        <v>X</v>
      </c>
      <c r="J1579" s="79" t="str">
        <f>IF(G1579="","X",_xlfn.XLOOKUP(B1579,DATA_Moresby_2024_ALL!B:B,DATA_Moresby_2024_ALL!K:K,""))</f>
        <v>X</v>
      </c>
      <c r="K1579" s="28"/>
      <c r="L1579" s="29"/>
      <c r="M1579" s="28"/>
      <c r="N1579" s="19" t="str">
        <f t="shared" si="84"/>
        <v/>
      </c>
      <c r="O1579" s="19" t="str">
        <f t="shared" si="84"/>
        <v/>
      </c>
      <c r="P1579" s="19" t="str">
        <f t="shared" si="84"/>
        <v/>
      </c>
      <c r="Q1579" s="19" t="str">
        <f t="shared" si="84"/>
        <v/>
      </c>
      <c r="X1579" s="92" t="s">
        <v>78</v>
      </c>
      <c r="Y1579" s="92" t="s">
        <v>78</v>
      </c>
      <c r="Z1579" s="92" t="s">
        <v>78</v>
      </c>
    </row>
    <row r="1580" spans="1:26" ht="16" hidden="1" x14ac:dyDescent="0.4">
      <c r="A1580" s="92">
        <v>7884</v>
      </c>
      <c r="B1580" s="92">
        <v>7885</v>
      </c>
      <c r="E1580" s="92">
        <v>50</v>
      </c>
      <c r="F1580" s="92">
        <f>_xlfn.XLOOKUP(B1580, DATA_Moresby_2024_ALL!B:B, DATA_Moresby_2024_ALL!G:G, "")</f>
        <v>0</v>
      </c>
      <c r="G1580" s="93"/>
      <c r="H1580" s="92">
        <v>7</v>
      </c>
      <c r="I1580" s="92" t="str">
        <f t="shared" si="85"/>
        <v>X</v>
      </c>
      <c r="J1580" s="79" t="str">
        <f>IF(G1580="","X",_xlfn.XLOOKUP(B1580,DATA_Moresby_2024_ALL!B:B,DATA_Moresby_2024_ALL!K:K,""))</f>
        <v>X</v>
      </c>
      <c r="K1580" s="28"/>
      <c r="L1580" s="29"/>
      <c r="M1580" s="28"/>
      <c r="N1580" s="19" t="str">
        <f t="shared" si="84"/>
        <v/>
      </c>
      <c r="O1580" s="19" t="str">
        <f t="shared" si="84"/>
        <v/>
      </c>
      <c r="P1580" s="19" t="str">
        <f t="shared" si="84"/>
        <v/>
      </c>
      <c r="Q1580" s="19" t="str">
        <f t="shared" si="84"/>
        <v/>
      </c>
      <c r="X1580" s="92" t="s">
        <v>78</v>
      </c>
      <c r="Y1580" s="92" t="s">
        <v>78</v>
      </c>
      <c r="Z1580" s="92" t="s">
        <v>78</v>
      </c>
    </row>
    <row r="1581" spans="1:26" ht="16" hidden="1" x14ac:dyDescent="0.4">
      <c r="A1581" s="92">
        <v>7889</v>
      </c>
      <c r="B1581" s="92">
        <v>7890</v>
      </c>
      <c r="E1581" s="92">
        <v>50</v>
      </c>
      <c r="F1581" s="92">
        <f>_xlfn.XLOOKUP(B1581, DATA_Moresby_2024_ALL!B:B, DATA_Moresby_2024_ALL!G:G, "")</f>
        <v>0</v>
      </c>
      <c r="G1581" s="93"/>
      <c r="H1581" s="92">
        <v>7</v>
      </c>
      <c r="I1581" s="92" t="str">
        <f t="shared" si="85"/>
        <v>X</v>
      </c>
      <c r="J1581" s="79" t="str">
        <f>IF(G1581="","X",_xlfn.XLOOKUP(B1581,DATA_Moresby_2024_ALL!B:B,DATA_Moresby_2024_ALL!K:K,""))</f>
        <v>X</v>
      </c>
      <c r="K1581" s="28"/>
      <c r="L1581" s="29"/>
      <c r="M1581" s="28"/>
      <c r="N1581" s="19" t="str">
        <f t="shared" si="84"/>
        <v/>
      </c>
      <c r="O1581" s="19" t="str">
        <f t="shared" si="84"/>
        <v/>
      </c>
      <c r="P1581" s="19" t="str">
        <f t="shared" si="84"/>
        <v/>
      </c>
      <c r="Q1581" s="19" t="str">
        <f t="shared" si="84"/>
        <v/>
      </c>
      <c r="X1581" s="92" t="s">
        <v>78</v>
      </c>
      <c r="Y1581" s="92" t="s">
        <v>78</v>
      </c>
      <c r="Z1581" s="92" t="s">
        <v>78</v>
      </c>
    </row>
    <row r="1582" spans="1:26" ht="16" hidden="1" x14ac:dyDescent="0.4">
      <c r="A1582" s="92">
        <v>7894</v>
      </c>
      <c r="B1582" s="92">
        <v>7895</v>
      </c>
      <c r="E1582" s="92">
        <v>50</v>
      </c>
      <c r="F1582" s="92">
        <f>_xlfn.XLOOKUP(B1582, DATA_Moresby_2024_ALL!B:B, DATA_Moresby_2024_ALL!G:G, "")</f>
        <v>0</v>
      </c>
      <c r="G1582" s="93"/>
      <c r="H1582" s="92">
        <v>7</v>
      </c>
      <c r="I1582" s="92" t="str">
        <f t="shared" si="85"/>
        <v>X</v>
      </c>
      <c r="J1582" s="79" t="str">
        <f>IF(G1582="","X",_xlfn.XLOOKUP(B1582,DATA_Moresby_2024_ALL!B:B,DATA_Moresby_2024_ALL!K:K,""))</f>
        <v>X</v>
      </c>
      <c r="K1582" s="28"/>
      <c r="L1582" s="29"/>
      <c r="M1582" s="28"/>
      <c r="N1582" s="19" t="str">
        <f t="shared" si="84"/>
        <v/>
      </c>
      <c r="O1582" s="19" t="str">
        <f t="shared" si="84"/>
        <v/>
      </c>
      <c r="P1582" s="19" t="str">
        <f t="shared" si="84"/>
        <v/>
      </c>
      <c r="Q1582" s="19" t="str">
        <f t="shared" si="84"/>
        <v/>
      </c>
      <c r="X1582" s="92" t="s">
        <v>78</v>
      </c>
      <c r="Y1582" s="92" t="s">
        <v>78</v>
      </c>
      <c r="Z1582" s="92" t="s">
        <v>78</v>
      </c>
    </row>
    <row r="1583" spans="1:26" ht="16" hidden="1" x14ac:dyDescent="0.4">
      <c r="A1583" s="92">
        <v>7899</v>
      </c>
      <c r="B1583" s="92">
        <v>7900</v>
      </c>
      <c r="E1583" s="92">
        <v>50</v>
      </c>
      <c r="F1583" s="92">
        <f>_xlfn.XLOOKUP(B1583, DATA_Moresby_2024_ALL!B:B, DATA_Moresby_2024_ALL!G:G, "")</f>
        <v>0</v>
      </c>
      <c r="G1583" s="93"/>
      <c r="H1583" s="92">
        <v>7</v>
      </c>
      <c r="I1583" s="92" t="str">
        <f t="shared" si="85"/>
        <v>X</v>
      </c>
      <c r="J1583" s="79" t="str">
        <f>IF(G1583="","X",_xlfn.XLOOKUP(B1583,DATA_Moresby_2024_ALL!B:B,DATA_Moresby_2024_ALL!K:K,""))</f>
        <v>X</v>
      </c>
      <c r="K1583" s="28"/>
      <c r="L1583" s="29"/>
      <c r="M1583" s="28"/>
      <c r="N1583" s="19" t="str">
        <f t="shared" si="84"/>
        <v/>
      </c>
      <c r="O1583" s="19" t="str">
        <f t="shared" si="84"/>
        <v/>
      </c>
      <c r="P1583" s="19" t="str">
        <f t="shared" si="84"/>
        <v/>
      </c>
      <c r="Q1583" s="19" t="str">
        <f t="shared" si="84"/>
        <v/>
      </c>
      <c r="X1583" s="92" t="s">
        <v>78</v>
      </c>
      <c r="Y1583" s="92" t="s">
        <v>78</v>
      </c>
      <c r="Z1583" s="92" t="s">
        <v>78</v>
      </c>
    </row>
    <row r="1584" spans="1:26" ht="16" hidden="1" x14ac:dyDescent="0.4">
      <c r="A1584" s="92">
        <v>7904</v>
      </c>
      <c r="B1584" s="92">
        <v>7905</v>
      </c>
      <c r="E1584" s="92">
        <v>50</v>
      </c>
      <c r="F1584" s="92">
        <f>_xlfn.XLOOKUP(B1584, DATA_Moresby_2024_ALL!B:B, DATA_Moresby_2024_ALL!G:G, "")</f>
        <v>0</v>
      </c>
      <c r="G1584" s="93"/>
      <c r="H1584" s="92">
        <v>7</v>
      </c>
      <c r="I1584" s="92" t="str">
        <f t="shared" si="85"/>
        <v>X</v>
      </c>
      <c r="J1584" s="79" t="str">
        <f>IF(G1584="","X",_xlfn.XLOOKUP(B1584,DATA_Moresby_2024_ALL!B:B,DATA_Moresby_2024_ALL!K:K,""))</f>
        <v>X</v>
      </c>
      <c r="K1584" s="28"/>
      <c r="L1584" s="29"/>
      <c r="M1584" s="28"/>
      <c r="N1584" s="19" t="str">
        <f t="shared" si="84"/>
        <v/>
      </c>
      <c r="O1584" s="19" t="str">
        <f t="shared" si="84"/>
        <v/>
      </c>
      <c r="P1584" s="19" t="str">
        <f t="shared" si="84"/>
        <v/>
      </c>
      <c r="Q1584" s="19" t="str">
        <f t="shared" si="84"/>
        <v/>
      </c>
      <c r="X1584" s="92" t="s">
        <v>78</v>
      </c>
      <c r="Y1584" s="92" t="s">
        <v>78</v>
      </c>
      <c r="Z1584" s="92" t="s">
        <v>78</v>
      </c>
    </row>
    <row r="1585" spans="1:26" ht="16" hidden="1" x14ac:dyDescent="0.4">
      <c r="A1585" s="92">
        <v>7909</v>
      </c>
      <c r="B1585" s="92">
        <v>7910</v>
      </c>
      <c r="E1585" s="92">
        <v>50</v>
      </c>
      <c r="F1585" s="92">
        <f>_xlfn.XLOOKUP(B1585, DATA_Moresby_2024_ALL!B:B, DATA_Moresby_2024_ALL!G:G, "")</f>
        <v>0</v>
      </c>
      <c r="G1585" s="93"/>
      <c r="H1585" s="92">
        <v>7</v>
      </c>
      <c r="I1585" s="92" t="str">
        <f t="shared" si="85"/>
        <v>X</v>
      </c>
      <c r="J1585" s="79" t="str">
        <f>IF(G1585="","X",_xlfn.XLOOKUP(B1585,DATA_Moresby_2024_ALL!B:B,DATA_Moresby_2024_ALL!K:K,""))</f>
        <v>X</v>
      </c>
      <c r="K1585" s="28"/>
      <c r="L1585" s="29"/>
      <c r="M1585" s="28"/>
      <c r="N1585" s="19" t="str">
        <f t="shared" si="84"/>
        <v/>
      </c>
      <c r="O1585" s="19" t="str">
        <f t="shared" si="84"/>
        <v/>
      </c>
      <c r="P1585" s="19" t="str">
        <f t="shared" si="84"/>
        <v/>
      </c>
      <c r="Q1585" s="19" t="str">
        <f t="shared" si="84"/>
        <v/>
      </c>
      <c r="X1585" s="92" t="s">
        <v>78</v>
      </c>
      <c r="Y1585" s="92" t="s">
        <v>78</v>
      </c>
      <c r="Z1585" s="92" t="s">
        <v>78</v>
      </c>
    </row>
    <row r="1586" spans="1:26" ht="16" hidden="1" x14ac:dyDescent="0.4">
      <c r="A1586" s="92">
        <v>7914</v>
      </c>
      <c r="B1586" s="92">
        <v>7915</v>
      </c>
      <c r="E1586" s="92">
        <v>50</v>
      </c>
      <c r="F1586" s="92">
        <f>_xlfn.XLOOKUP(B1586, DATA_Moresby_2024_ALL!B:B, DATA_Moresby_2024_ALL!G:G, "")</f>
        <v>0</v>
      </c>
      <c r="G1586" s="93"/>
      <c r="H1586" s="92">
        <v>7</v>
      </c>
      <c r="I1586" s="92" t="str">
        <f t="shared" si="85"/>
        <v>X</v>
      </c>
      <c r="J1586" s="79" t="str">
        <f>IF(G1586="","X",_xlfn.XLOOKUP(B1586,DATA_Moresby_2024_ALL!B:B,DATA_Moresby_2024_ALL!K:K,""))</f>
        <v>X</v>
      </c>
      <c r="K1586" s="28"/>
      <c r="L1586" s="29"/>
      <c r="M1586" s="28"/>
      <c r="N1586" s="19" t="str">
        <f t="shared" si="84"/>
        <v/>
      </c>
      <c r="O1586" s="19" t="str">
        <f t="shared" si="84"/>
        <v/>
      </c>
      <c r="P1586" s="19" t="str">
        <f t="shared" si="84"/>
        <v/>
      </c>
      <c r="Q1586" s="19" t="str">
        <f t="shared" si="84"/>
        <v/>
      </c>
      <c r="X1586" s="92" t="s">
        <v>78</v>
      </c>
      <c r="Y1586" s="92" t="s">
        <v>78</v>
      </c>
      <c r="Z1586" s="92" t="s">
        <v>78</v>
      </c>
    </row>
    <row r="1587" spans="1:26" ht="16" hidden="1" x14ac:dyDescent="0.4">
      <c r="A1587" s="92">
        <v>7919</v>
      </c>
      <c r="B1587" s="92">
        <v>7920</v>
      </c>
      <c r="E1587" s="92">
        <v>50</v>
      </c>
      <c r="F1587" s="92">
        <f>_xlfn.XLOOKUP(B1587, DATA_Moresby_2024_ALL!B:B, DATA_Moresby_2024_ALL!G:G, "")</f>
        <v>0</v>
      </c>
      <c r="G1587" s="93"/>
      <c r="H1587" s="92">
        <v>7</v>
      </c>
      <c r="I1587" s="92" t="str">
        <f t="shared" si="85"/>
        <v>X</v>
      </c>
      <c r="J1587" s="79" t="str">
        <f>IF(G1587="","X",_xlfn.XLOOKUP(B1587,DATA_Moresby_2024_ALL!B:B,DATA_Moresby_2024_ALL!K:K,""))</f>
        <v>X</v>
      </c>
      <c r="K1587" s="28"/>
      <c r="L1587" s="29"/>
      <c r="M1587" s="28"/>
      <c r="N1587" s="19" t="str">
        <f t="shared" si="84"/>
        <v/>
      </c>
      <c r="O1587" s="19" t="str">
        <f t="shared" si="84"/>
        <v/>
      </c>
      <c r="P1587" s="19" t="str">
        <f t="shared" si="84"/>
        <v/>
      </c>
      <c r="Q1587" s="19" t="str">
        <f t="shared" si="84"/>
        <v/>
      </c>
      <c r="X1587" s="92" t="s">
        <v>78</v>
      </c>
      <c r="Y1587" s="92" t="s">
        <v>78</v>
      </c>
      <c r="Z1587" s="92" t="s">
        <v>78</v>
      </c>
    </row>
    <row r="1588" spans="1:26" ht="16" hidden="1" x14ac:dyDescent="0.4">
      <c r="A1588" s="92">
        <v>7924</v>
      </c>
      <c r="B1588" s="92">
        <v>7925</v>
      </c>
      <c r="E1588" s="92">
        <v>50</v>
      </c>
      <c r="F1588" s="92">
        <f>_xlfn.XLOOKUP(B1588, DATA_Moresby_2024_ALL!B:B, DATA_Moresby_2024_ALL!G:G, "")</f>
        <v>0</v>
      </c>
      <c r="G1588" s="93"/>
      <c r="H1588" s="92">
        <v>7</v>
      </c>
      <c r="I1588" s="92" t="str">
        <f t="shared" si="85"/>
        <v>X</v>
      </c>
      <c r="J1588" s="79" t="str">
        <f>IF(G1588="","X",_xlfn.XLOOKUP(B1588,DATA_Moresby_2024_ALL!B:B,DATA_Moresby_2024_ALL!K:K,""))</f>
        <v>X</v>
      </c>
      <c r="K1588" s="28"/>
      <c r="L1588" s="29"/>
      <c r="M1588" s="28"/>
      <c r="N1588" s="19" t="str">
        <f t="shared" si="84"/>
        <v/>
      </c>
      <c r="O1588" s="19" t="str">
        <f t="shared" si="84"/>
        <v/>
      </c>
      <c r="P1588" s="19" t="str">
        <f t="shared" si="84"/>
        <v/>
      </c>
      <c r="Q1588" s="19" t="str">
        <f t="shared" si="84"/>
        <v/>
      </c>
      <c r="X1588" s="92" t="s">
        <v>78</v>
      </c>
      <c r="Y1588" s="92" t="s">
        <v>78</v>
      </c>
      <c r="Z1588" s="92" t="s">
        <v>78</v>
      </c>
    </row>
    <row r="1589" spans="1:26" ht="16" hidden="1" x14ac:dyDescent="0.4">
      <c r="A1589" s="92">
        <v>7929</v>
      </c>
      <c r="B1589" s="92">
        <v>7930</v>
      </c>
      <c r="E1589" s="92">
        <v>50</v>
      </c>
      <c r="F1589" s="92">
        <f>_xlfn.XLOOKUP(B1589, DATA_Moresby_2024_ALL!B:B, DATA_Moresby_2024_ALL!G:G, "")</f>
        <v>0</v>
      </c>
      <c r="G1589" s="93"/>
      <c r="H1589" s="92">
        <v>7</v>
      </c>
      <c r="I1589" s="92" t="str">
        <f t="shared" si="85"/>
        <v>X</v>
      </c>
      <c r="J1589" s="79" t="str">
        <f>IF(G1589="","X",_xlfn.XLOOKUP(B1589,DATA_Moresby_2024_ALL!B:B,DATA_Moresby_2024_ALL!K:K,""))</f>
        <v>X</v>
      </c>
      <c r="K1589" s="28"/>
      <c r="L1589" s="29"/>
      <c r="M1589" s="28"/>
      <c r="N1589" s="19" t="str">
        <f t="shared" si="84"/>
        <v/>
      </c>
      <c r="O1589" s="19" t="str">
        <f t="shared" si="84"/>
        <v/>
      </c>
      <c r="P1589" s="19" t="str">
        <f t="shared" si="84"/>
        <v/>
      </c>
      <c r="Q1589" s="19" t="str">
        <f t="shared" si="84"/>
        <v/>
      </c>
      <c r="X1589" s="92" t="s">
        <v>78</v>
      </c>
      <c r="Y1589" s="92" t="s">
        <v>78</v>
      </c>
      <c r="Z1589" s="92" t="s">
        <v>78</v>
      </c>
    </row>
    <row r="1590" spans="1:26" ht="16" hidden="1" x14ac:dyDescent="0.4">
      <c r="A1590" s="92">
        <v>7934</v>
      </c>
      <c r="B1590" s="92">
        <v>7935</v>
      </c>
      <c r="E1590" s="92">
        <v>50</v>
      </c>
      <c r="F1590" s="92">
        <f>_xlfn.XLOOKUP(B1590, DATA_Moresby_2024_ALL!B:B, DATA_Moresby_2024_ALL!G:G, "")</f>
        <v>0</v>
      </c>
      <c r="G1590" s="93"/>
      <c r="H1590" s="92">
        <v>7</v>
      </c>
      <c r="I1590" s="92" t="str">
        <f t="shared" si="85"/>
        <v>X</v>
      </c>
      <c r="J1590" s="79" t="str">
        <f>IF(G1590="","X",_xlfn.XLOOKUP(B1590,DATA_Moresby_2024_ALL!B:B,DATA_Moresby_2024_ALL!K:K,""))</f>
        <v>X</v>
      </c>
      <c r="K1590" s="28"/>
      <c r="L1590" s="29"/>
      <c r="M1590" s="28"/>
      <c r="N1590" s="19" t="str">
        <f t="shared" si="84"/>
        <v/>
      </c>
      <c r="O1590" s="19" t="str">
        <f t="shared" si="84"/>
        <v/>
      </c>
      <c r="P1590" s="19" t="str">
        <f t="shared" si="84"/>
        <v/>
      </c>
      <c r="Q1590" s="19" t="str">
        <f t="shared" si="84"/>
        <v/>
      </c>
      <c r="X1590" s="92" t="s">
        <v>78</v>
      </c>
      <c r="Y1590" s="92" t="s">
        <v>78</v>
      </c>
      <c r="Z1590" s="92" t="s">
        <v>78</v>
      </c>
    </row>
    <row r="1591" spans="1:26" ht="16" hidden="1" x14ac:dyDescent="0.4">
      <c r="A1591" s="92">
        <v>7939</v>
      </c>
      <c r="B1591" s="92">
        <v>7940</v>
      </c>
      <c r="E1591" s="92">
        <v>50</v>
      </c>
      <c r="F1591" s="92">
        <f>_xlfn.XLOOKUP(B1591, DATA_Moresby_2024_ALL!B:B, DATA_Moresby_2024_ALL!G:G, "")</f>
        <v>0</v>
      </c>
      <c r="G1591" s="93"/>
      <c r="H1591" s="92">
        <v>7</v>
      </c>
      <c r="I1591" s="92" t="str">
        <f t="shared" si="85"/>
        <v>X</v>
      </c>
      <c r="J1591" s="79" t="str">
        <f>IF(G1591="","X",_xlfn.XLOOKUP(B1591,DATA_Moresby_2024_ALL!B:B,DATA_Moresby_2024_ALL!K:K,""))</f>
        <v>X</v>
      </c>
      <c r="K1591" s="28"/>
      <c r="L1591" s="29"/>
      <c r="M1591" s="28"/>
      <c r="N1591" s="19" t="str">
        <f t="shared" si="84"/>
        <v/>
      </c>
      <c r="O1591" s="19" t="str">
        <f t="shared" si="84"/>
        <v/>
      </c>
      <c r="P1591" s="19" t="str">
        <f t="shared" si="84"/>
        <v/>
      </c>
      <c r="Q1591" s="19" t="str">
        <f t="shared" si="84"/>
        <v/>
      </c>
      <c r="X1591" s="92" t="s">
        <v>78</v>
      </c>
      <c r="Y1591" s="92" t="s">
        <v>78</v>
      </c>
      <c r="Z1591" s="92" t="s">
        <v>78</v>
      </c>
    </row>
    <row r="1592" spans="1:26" ht="16" hidden="1" x14ac:dyDescent="0.4">
      <c r="A1592" s="92">
        <v>7944</v>
      </c>
      <c r="B1592" s="92">
        <v>7945</v>
      </c>
      <c r="E1592" s="92">
        <v>50</v>
      </c>
      <c r="F1592" s="92">
        <f>_xlfn.XLOOKUP(B1592, DATA_Moresby_2024_ALL!B:B, DATA_Moresby_2024_ALL!G:G, "")</f>
        <v>0</v>
      </c>
      <c r="G1592" s="93"/>
      <c r="H1592" s="92">
        <v>7</v>
      </c>
      <c r="I1592" s="92" t="str">
        <f t="shared" si="85"/>
        <v>X</v>
      </c>
      <c r="J1592" s="79" t="str">
        <f>IF(G1592="","X",_xlfn.XLOOKUP(B1592,DATA_Moresby_2024_ALL!B:B,DATA_Moresby_2024_ALL!K:K,""))</f>
        <v>X</v>
      </c>
      <c r="K1592" s="28"/>
      <c r="L1592" s="29"/>
      <c r="M1592" s="28"/>
      <c r="N1592" s="19" t="str">
        <f t="shared" si="84"/>
        <v/>
      </c>
      <c r="O1592" s="19" t="str">
        <f t="shared" si="84"/>
        <v/>
      </c>
      <c r="P1592" s="19" t="str">
        <f t="shared" si="84"/>
        <v/>
      </c>
      <c r="Q1592" s="19" t="str">
        <f t="shared" si="84"/>
        <v/>
      </c>
      <c r="X1592" s="92" t="s">
        <v>78</v>
      </c>
      <c r="Y1592" s="92" t="s">
        <v>78</v>
      </c>
      <c r="Z1592" s="92" t="s">
        <v>78</v>
      </c>
    </row>
    <row r="1593" spans="1:26" ht="16" hidden="1" x14ac:dyDescent="0.4">
      <c r="A1593" s="92">
        <v>7949</v>
      </c>
      <c r="B1593" s="92">
        <v>7950</v>
      </c>
      <c r="E1593" s="92">
        <v>50</v>
      </c>
      <c r="F1593" s="92">
        <f>_xlfn.XLOOKUP(B1593, DATA_Moresby_2024_ALL!B:B, DATA_Moresby_2024_ALL!G:G, "")</f>
        <v>0</v>
      </c>
      <c r="G1593" s="93"/>
      <c r="H1593" s="92">
        <v>7</v>
      </c>
      <c r="I1593" s="92" t="str">
        <f t="shared" si="85"/>
        <v>X</v>
      </c>
      <c r="J1593" s="79" t="str">
        <f>IF(G1593="","X",_xlfn.XLOOKUP(B1593,DATA_Moresby_2024_ALL!B:B,DATA_Moresby_2024_ALL!K:K,""))</f>
        <v>X</v>
      </c>
      <c r="K1593" s="28"/>
      <c r="L1593" s="29"/>
      <c r="M1593" s="28"/>
      <c r="N1593" s="19" t="str">
        <f t="shared" si="84"/>
        <v/>
      </c>
      <c r="O1593" s="19" t="str">
        <f t="shared" si="84"/>
        <v/>
      </c>
      <c r="P1593" s="19" t="str">
        <f t="shared" si="84"/>
        <v/>
      </c>
      <c r="Q1593" s="19" t="str">
        <f t="shared" si="84"/>
        <v/>
      </c>
      <c r="X1593" s="92" t="s">
        <v>78</v>
      </c>
      <c r="Y1593" s="92" t="s">
        <v>78</v>
      </c>
      <c r="Z1593" s="92" t="s">
        <v>78</v>
      </c>
    </row>
    <row r="1594" spans="1:26" ht="16" hidden="1" x14ac:dyDescent="0.4">
      <c r="A1594" s="92">
        <v>7954</v>
      </c>
      <c r="B1594" s="92">
        <v>7955</v>
      </c>
      <c r="E1594" s="92">
        <v>50</v>
      </c>
      <c r="F1594" s="92">
        <f>_xlfn.XLOOKUP(B1594, DATA_Moresby_2024_ALL!B:B, DATA_Moresby_2024_ALL!G:G, "")</f>
        <v>0</v>
      </c>
      <c r="G1594" s="93"/>
      <c r="H1594" s="92">
        <v>7</v>
      </c>
      <c r="I1594" s="92" t="str">
        <f t="shared" si="85"/>
        <v>X</v>
      </c>
      <c r="J1594" s="79" t="str">
        <f>IF(G1594="","X",_xlfn.XLOOKUP(B1594,DATA_Moresby_2024_ALL!B:B,DATA_Moresby_2024_ALL!K:K,""))</f>
        <v>X</v>
      </c>
      <c r="K1594" s="28"/>
      <c r="L1594" s="29"/>
      <c r="M1594" s="28"/>
      <c r="N1594" s="19" t="str">
        <f t="shared" si="84"/>
        <v/>
      </c>
      <c r="O1594" s="19" t="str">
        <f t="shared" si="84"/>
        <v/>
      </c>
      <c r="P1594" s="19" t="str">
        <f t="shared" si="84"/>
        <v/>
      </c>
      <c r="Q1594" s="19" t="str">
        <f t="shared" si="84"/>
        <v/>
      </c>
      <c r="X1594" s="92" t="s">
        <v>78</v>
      </c>
      <c r="Y1594" s="92" t="s">
        <v>78</v>
      </c>
      <c r="Z1594" s="92" t="s">
        <v>78</v>
      </c>
    </row>
    <row r="1595" spans="1:26" ht="16" hidden="1" x14ac:dyDescent="0.4">
      <c r="A1595" s="92">
        <v>7959</v>
      </c>
      <c r="B1595" s="92">
        <v>7960</v>
      </c>
      <c r="E1595" s="92">
        <v>50</v>
      </c>
      <c r="F1595" s="92">
        <f>_xlfn.XLOOKUP(B1595, DATA_Moresby_2024_ALL!B:B, DATA_Moresby_2024_ALL!G:G, "")</f>
        <v>0</v>
      </c>
      <c r="G1595" s="93"/>
      <c r="H1595" s="92">
        <v>7</v>
      </c>
      <c r="I1595" s="92" t="str">
        <f t="shared" si="85"/>
        <v>X</v>
      </c>
      <c r="J1595" s="79" t="str">
        <f>IF(G1595="","X",_xlfn.XLOOKUP(B1595,DATA_Moresby_2024_ALL!B:B,DATA_Moresby_2024_ALL!K:K,""))</f>
        <v>X</v>
      </c>
      <c r="K1595" s="28"/>
      <c r="L1595" s="29"/>
      <c r="M1595" s="28"/>
      <c r="N1595" s="19" t="str">
        <f t="shared" si="84"/>
        <v/>
      </c>
      <c r="O1595" s="19" t="str">
        <f t="shared" si="84"/>
        <v/>
      </c>
      <c r="P1595" s="19" t="str">
        <f t="shared" si="84"/>
        <v/>
      </c>
      <c r="Q1595" s="19" t="str">
        <f t="shared" si="84"/>
        <v/>
      </c>
      <c r="X1595" s="92" t="s">
        <v>78</v>
      </c>
      <c r="Y1595" s="92" t="s">
        <v>78</v>
      </c>
      <c r="Z1595" s="92" t="s">
        <v>78</v>
      </c>
    </row>
    <row r="1596" spans="1:26" ht="16" hidden="1" x14ac:dyDescent="0.4">
      <c r="A1596" s="92">
        <v>7964</v>
      </c>
      <c r="B1596" s="92">
        <v>7965</v>
      </c>
      <c r="E1596" s="92">
        <v>50</v>
      </c>
      <c r="F1596" s="92">
        <f>_xlfn.XLOOKUP(B1596, DATA_Moresby_2024_ALL!B:B, DATA_Moresby_2024_ALL!G:G, "")</f>
        <v>0</v>
      </c>
      <c r="G1596" s="93"/>
      <c r="H1596" s="92">
        <v>7</v>
      </c>
      <c r="I1596" s="92" t="str">
        <f t="shared" si="85"/>
        <v>X</v>
      </c>
      <c r="J1596" s="79" t="str">
        <f>IF(G1596="","X",_xlfn.XLOOKUP(B1596,DATA_Moresby_2024_ALL!B:B,DATA_Moresby_2024_ALL!K:K,""))</f>
        <v>X</v>
      </c>
      <c r="K1596" s="28"/>
      <c r="L1596" s="29"/>
      <c r="M1596" s="28"/>
      <c r="N1596" s="19" t="str">
        <f t="shared" si="84"/>
        <v/>
      </c>
      <c r="O1596" s="19" t="str">
        <f t="shared" si="84"/>
        <v/>
      </c>
      <c r="P1596" s="19" t="str">
        <f t="shared" si="84"/>
        <v/>
      </c>
      <c r="Q1596" s="19" t="str">
        <f t="shared" si="84"/>
        <v/>
      </c>
      <c r="X1596" s="92" t="s">
        <v>78</v>
      </c>
      <c r="Y1596" s="92" t="s">
        <v>78</v>
      </c>
      <c r="Z1596" s="92" t="s">
        <v>78</v>
      </c>
    </row>
    <row r="1597" spans="1:26" ht="16" hidden="1" x14ac:dyDescent="0.4">
      <c r="A1597" s="92">
        <v>7969</v>
      </c>
      <c r="B1597" s="92">
        <v>7970</v>
      </c>
      <c r="E1597" s="92">
        <v>50</v>
      </c>
      <c r="F1597" s="92">
        <f>_xlfn.XLOOKUP(B1597, DATA_Moresby_2024_ALL!B:B, DATA_Moresby_2024_ALL!G:G, "")</f>
        <v>0</v>
      </c>
      <c r="G1597" s="93"/>
      <c r="H1597" s="92">
        <v>7</v>
      </c>
      <c r="I1597" s="92" t="str">
        <f t="shared" si="85"/>
        <v>X</v>
      </c>
      <c r="J1597" s="79" t="str">
        <f>IF(G1597="","X",_xlfn.XLOOKUP(B1597,DATA_Moresby_2024_ALL!B:B,DATA_Moresby_2024_ALL!K:K,""))</f>
        <v>X</v>
      </c>
      <c r="K1597" s="28"/>
      <c r="L1597" s="29"/>
      <c r="M1597" s="28"/>
      <c r="N1597" s="19" t="str">
        <f t="shared" si="84"/>
        <v/>
      </c>
      <c r="O1597" s="19" t="str">
        <f t="shared" si="84"/>
        <v/>
      </c>
      <c r="P1597" s="19" t="str">
        <f t="shared" si="84"/>
        <v/>
      </c>
      <c r="Q1597" s="19" t="str">
        <f t="shared" si="84"/>
        <v/>
      </c>
      <c r="X1597" s="92" t="s">
        <v>78</v>
      </c>
      <c r="Y1597" s="92" t="s">
        <v>78</v>
      </c>
      <c r="Z1597" s="92" t="s">
        <v>78</v>
      </c>
    </row>
    <row r="1598" spans="1:26" ht="16" hidden="1" x14ac:dyDescent="0.4">
      <c r="A1598" s="92">
        <v>7974</v>
      </c>
      <c r="B1598" s="92">
        <v>7975</v>
      </c>
      <c r="E1598" s="92">
        <v>50</v>
      </c>
      <c r="F1598" s="92">
        <f>_xlfn.XLOOKUP(B1598, DATA_Moresby_2024_ALL!B:B, DATA_Moresby_2024_ALL!G:G, "")</f>
        <v>0</v>
      </c>
      <c r="G1598" s="93"/>
      <c r="H1598" s="92">
        <v>7</v>
      </c>
      <c r="I1598" s="92" t="str">
        <f t="shared" si="85"/>
        <v>X</v>
      </c>
      <c r="J1598" s="79" t="str">
        <f>IF(G1598="","X",_xlfn.XLOOKUP(B1598,DATA_Moresby_2024_ALL!B:B,DATA_Moresby_2024_ALL!K:K,""))</f>
        <v>X</v>
      </c>
      <c r="K1598" s="28"/>
      <c r="L1598" s="29"/>
      <c r="M1598" s="28"/>
      <c r="N1598" s="19" t="str">
        <f t="shared" si="84"/>
        <v/>
      </c>
      <c r="O1598" s="19" t="str">
        <f t="shared" si="84"/>
        <v/>
      </c>
      <c r="P1598" s="19" t="str">
        <f t="shared" si="84"/>
        <v/>
      </c>
      <c r="Q1598" s="19" t="str">
        <f t="shared" si="84"/>
        <v/>
      </c>
      <c r="X1598" s="92" t="s">
        <v>78</v>
      </c>
      <c r="Y1598" s="92" t="s">
        <v>78</v>
      </c>
      <c r="Z1598" s="92" t="s">
        <v>78</v>
      </c>
    </row>
    <row r="1599" spans="1:26" ht="16" hidden="1" x14ac:dyDescent="0.4">
      <c r="A1599" s="92">
        <v>7979</v>
      </c>
      <c r="B1599" s="92">
        <v>7980</v>
      </c>
      <c r="E1599" s="92">
        <v>50</v>
      </c>
      <c r="F1599" s="92">
        <f>_xlfn.XLOOKUP(B1599, DATA_Moresby_2024_ALL!B:B, DATA_Moresby_2024_ALL!G:G, "")</f>
        <v>0</v>
      </c>
      <c r="G1599" s="93"/>
      <c r="H1599" s="92">
        <v>7</v>
      </c>
      <c r="I1599" s="92" t="str">
        <f t="shared" si="85"/>
        <v>X</v>
      </c>
      <c r="J1599" s="79" t="str">
        <f>IF(G1599="","X",_xlfn.XLOOKUP(B1599,DATA_Moresby_2024_ALL!B:B,DATA_Moresby_2024_ALL!K:K,""))</f>
        <v>X</v>
      </c>
      <c r="K1599" s="28"/>
      <c r="L1599" s="29"/>
      <c r="M1599" s="28"/>
      <c r="N1599" s="19" t="str">
        <f t="shared" si="84"/>
        <v/>
      </c>
      <c r="O1599" s="19" t="str">
        <f t="shared" si="84"/>
        <v/>
      </c>
      <c r="P1599" s="19" t="str">
        <f t="shared" si="84"/>
        <v/>
      </c>
      <c r="Q1599" s="19" t="str">
        <f t="shared" si="84"/>
        <v/>
      </c>
      <c r="X1599" s="92" t="s">
        <v>78</v>
      </c>
      <c r="Y1599" s="92" t="s">
        <v>78</v>
      </c>
      <c r="Z1599" s="92" t="s">
        <v>78</v>
      </c>
    </row>
    <row r="1600" spans="1:26" ht="16" hidden="1" x14ac:dyDescent="0.4">
      <c r="A1600" s="92">
        <v>7984</v>
      </c>
      <c r="B1600" s="92">
        <v>7985</v>
      </c>
      <c r="E1600" s="92">
        <v>50</v>
      </c>
      <c r="F1600" s="92">
        <f>_xlfn.XLOOKUP(B1600, DATA_Moresby_2024_ALL!B:B, DATA_Moresby_2024_ALL!G:G, "")</f>
        <v>0</v>
      </c>
      <c r="G1600" s="93"/>
      <c r="H1600" s="92">
        <v>7</v>
      </c>
      <c r="I1600" s="92" t="str">
        <f t="shared" si="85"/>
        <v>X</v>
      </c>
      <c r="J1600" s="79" t="str">
        <f>IF(G1600="","X",_xlfn.XLOOKUP(B1600,DATA_Moresby_2024_ALL!B:B,DATA_Moresby_2024_ALL!K:K,""))</f>
        <v>X</v>
      </c>
      <c r="K1600" s="28"/>
      <c r="L1600" s="29"/>
      <c r="M1600" s="28"/>
      <c r="N1600" s="19" t="str">
        <f t="shared" si="84"/>
        <v/>
      </c>
      <c r="O1600" s="19" t="str">
        <f t="shared" si="84"/>
        <v/>
      </c>
      <c r="P1600" s="19" t="str">
        <f t="shared" si="84"/>
        <v/>
      </c>
      <c r="Q1600" s="19" t="str">
        <f t="shared" si="84"/>
        <v/>
      </c>
      <c r="X1600" s="92" t="s">
        <v>78</v>
      </c>
      <c r="Y1600" s="92" t="s">
        <v>78</v>
      </c>
      <c r="Z1600" s="92" t="s">
        <v>78</v>
      </c>
    </row>
    <row r="1601" spans="1:26" ht="16" hidden="1" x14ac:dyDescent="0.4">
      <c r="A1601" s="92">
        <v>7989</v>
      </c>
      <c r="B1601" s="92">
        <v>7990</v>
      </c>
      <c r="E1601" s="92">
        <v>50</v>
      </c>
      <c r="F1601" s="92">
        <f>_xlfn.XLOOKUP(B1601, DATA_Moresby_2024_ALL!B:B, DATA_Moresby_2024_ALL!G:G, "")</f>
        <v>0</v>
      </c>
      <c r="G1601" s="93"/>
      <c r="H1601" s="92">
        <v>7</v>
      </c>
      <c r="I1601" s="92" t="str">
        <f t="shared" si="85"/>
        <v>X</v>
      </c>
      <c r="J1601" s="79" t="str">
        <f>IF(G1601="","X",_xlfn.XLOOKUP(B1601,DATA_Moresby_2024_ALL!B:B,DATA_Moresby_2024_ALL!K:K,""))</f>
        <v>X</v>
      </c>
      <c r="K1601" s="28"/>
      <c r="L1601" s="29"/>
      <c r="M1601" s="28"/>
      <c r="N1601" s="19" t="str">
        <f t="shared" si="84"/>
        <v/>
      </c>
      <c r="O1601" s="19" t="str">
        <f t="shared" si="84"/>
        <v/>
      </c>
      <c r="P1601" s="19" t="str">
        <f t="shared" si="84"/>
        <v/>
      </c>
      <c r="Q1601" s="19" t="str">
        <f t="shared" si="84"/>
        <v/>
      </c>
      <c r="X1601" s="92" t="s">
        <v>78</v>
      </c>
      <c r="Y1601" s="92" t="s">
        <v>78</v>
      </c>
      <c r="Z1601" s="92" t="s">
        <v>78</v>
      </c>
    </row>
    <row r="1602" spans="1:26" ht="16" hidden="1" x14ac:dyDescent="0.4">
      <c r="A1602" s="92">
        <v>7994</v>
      </c>
      <c r="B1602" s="92">
        <v>7995</v>
      </c>
      <c r="E1602" s="92">
        <v>50</v>
      </c>
      <c r="F1602" s="92">
        <f>_xlfn.XLOOKUP(B1602, DATA_Moresby_2024_ALL!B:B, DATA_Moresby_2024_ALL!G:G, "")</f>
        <v>0</v>
      </c>
      <c r="G1602" s="93"/>
      <c r="H1602" s="92">
        <v>7</v>
      </c>
      <c r="I1602" s="92" t="str">
        <f t="shared" si="85"/>
        <v>X</v>
      </c>
      <c r="J1602" s="79" t="str">
        <f>IF(G1602="","X",_xlfn.XLOOKUP(B1602,DATA_Moresby_2024_ALL!B:B,DATA_Moresby_2024_ALL!K:K,""))</f>
        <v>X</v>
      </c>
      <c r="K1602" s="28"/>
      <c r="L1602" s="29"/>
      <c r="M1602" s="28"/>
      <c r="N1602" s="19" t="str">
        <f t="shared" si="84"/>
        <v/>
      </c>
      <c r="O1602" s="19" t="str">
        <f t="shared" si="84"/>
        <v/>
      </c>
      <c r="P1602" s="19" t="str">
        <f t="shared" si="84"/>
        <v/>
      </c>
      <c r="Q1602" s="19" t="str">
        <f t="shared" si="84"/>
        <v/>
      </c>
      <c r="X1602" s="92" t="s">
        <v>78</v>
      </c>
      <c r="Y1602" s="92" t="s">
        <v>78</v>
      </c>
      <c r="Z1602" s="92" t="s">
        <v>78</v>
      </c>
    </row>
    <row r="1603" spans="1:26" ht="16" hidden="1" x14ac:dyDescent="0.4">
      <c r="A1603" s="92">
        <v>7999</v>
      </c>
      <c r="B1603" s="92">
        <v>8000</v>
      </c>
      <c r="E1603" s="92">
        <v>50</v>
      </c>
      <c r="F1603" s="92">
        <f>_xlfn.XLOOKUP(B1603, DATA_Moresby_2024_ALL!B:B, DATA_Moresby_2024_ALL!G:G, "")</f>
        <v>0</v>
      </c>
      <c r="G1603" s="93"/>
      <c r="H1603" s="92">
        <v>7</v>
      </c>
      <c r="I1603" s="92" t="str">
        <f t="shared" si="85"/>
        <v>X</v>
      </c>
      <c r="J1603" s="79" t="str">
        <f>IF(G1603="","X",_xlfn.XLOOKUP(B1603,DATA_Moresby_2024_ALL!B:B,DATA_Moresby_2024_ALL!K:K,""))</f>
        <v>X</v>
      </c>
      <c r="K1603" s="28"/>
      <c r="L1603" s="29"/>
      <c r="M1603" s="28"/>
      <c r="N1603" s="19" t="str">
        <f t="shared" si="84"/>
        <v/>
      </c>
      <c r="O1603" s="19" t="str">
        <f t="shared" si="84"/>
        <v/>
      </c>
      <c r="P1603" s="19" t="str">
        <f t="shared" si="84"/>
        <v/>
      </c>
      <c r="Q1603" s="19" t="str">
        <f t="shared" si="84"/>
        <v/>
      </c>
      <c r="X1603" s="92" t="s">
        <v>78</v>
      </c>
      <c r="Y1603" s="92" t="s">
        <v>78</v>
      </c>
      <c r="Z1603" s="92" t="s">
        <v>78</v>
      </c>
    </row>
    <row r="1604" spans="1:26" ht="16" hidden="1" x14ac:dyDescent="0.4">
      <c r="A1604" s="92">
        <v>8004</v>
      </c>
      <c r="B1604" s="92">
        <v>8005</v>
      </c>
      <c r="E1604" s="92">
        <v>50</v>
      </c>
      <c r="F1604" s="92">
        <f>_xlfn.XLOOKUP(B1604, DATA_Moresby_2024_ALL!B:B, DATA_Moresby_2024_ALL!G:G, "")</f>
        <v>0</v>
      </c>
      <c r="G1604" s="93"/>
      <c r="H1604" s="92">
        <v>7</v>
      </c>
      <c r="I1604" s="92" t="str">
        <f t="shared" si="85"/>
        <v>X</v>
      </c>
      <c r="J1604" s="79" t="str">
        <f>IF(G1604="","X",_xlfn.XLOOKUP(B1604,DATA_Moresby_2024_ALL!B:B,DATA_Moresby_2024_ALL!K:K,""))</f>
        <v>X</v>
      </c>
      <c r="K1604" s="28"/>
      <c r="L1604" s="29"/>
      <c r="M1604" s="28"/>
      <c r="N1604" s="19" t="str">
        <f t="shared" si="84"/>
        <v/>
      </c>
      <c r="O1604" s="19" t="str">
        <f t="shared" si="84"/>
        <v/>
      </c>
      <c r="P1604" s="19" t="str">
        <f t="shared" si="84"/>
        <v/>
      </c>
      <c r="Q1604" s="19" t="str">
        <f t="shared" si="84"/>
        <v/>
      </c>
      <c r="X1604" s="92" t="s">
        <v>78</v>
      </c>
      <c r="Y1604" s="92" t="s">
        <v>78</v>
      </c>
      <c r="Z1604" s="92" t="s">
        <v>78</v>
      </c>
    </row>
    <row r="1605" spans="1:26" ht="16" hidden="1" x14ac:dyDescent="0.4">
      <c r="A1605" s="92">
        <v>8009</v>
      </c>
      <c r="B1605" s="92">
        <v>8010</v>
      </c>
      <c r="E1605" s="92">
        <v>50</v>
      </c>
      <c r="F1605" s="92">
        <f>_xlfn.XLOOKUP(B1605, DATA_Moresby_2024_ALL!B:B, DATA_Moresby_2024_ALL!G:G, "")</f>
        <v>0</v>
      </c>
      <c r="G1605" s="93"/>
      <c r="H1605" s="92">
        <v>7</v>
      </c>
      <c r="I1605" s="92" t="str">
        <f t="shared" si="85"/>
        <v>X</v>
      </c>
      <c r="J1605" s="79" t="str">
        <f>IF(G1605="","X",_xlfn.XLOOKUP(B1605,DATA_Moresby_2024_ALL!B:B,DATA_Moresby_2024_ALL!K:K,""))</f>
        <v>X</v>
      </c>
      <c r="K1605" s="28"/>
      <c r="L1605" s="29"/>
      <c r="M1605" s="28"/>
      <c r="N1605" s="19" t="str">
        <f t="shared" si="84"/>
        <v/>
      </c>
      <c r="O1605" s="19" t="str">
        <f t="shared" si="84"/>
        <v/>
      </c>
      <c r="P1605" s="19" t="str">
        <f t="shared" si="84"/>
        <v/>
      </c>
      <c r="Q1605" s="19" t="str">
        <f t="shared" si="84"/>
        <v/>
      </c>
      <c r="X1605" s="92" t="s">
        <v>78</v>
      </c>
      <c r="Y1605" s="92" t="s">
        <v>78</v>
      </c>
      <c r="Z1605" s="92" t="s">
        <v>78</v>
      </c>
    </row>
    <row r="1606" spans="1:26" ht="16" hidden="1" x14ac:dyDescent="0.4">
      <c r="A1606" s="92">
        <v>8014</v>
      </c>
      <c r="B1606" s="92">
        <v>8015</v>
      </c>
      <c r="E1606" s="92">
        <v>50</v>
      </c>
      <c r="F1606" s="92">
        <f>_xlfn.XLOOKUP(B1606, DATA_Moresby_2024_ALL!B:B, DATA_Moresby_2024_ALL!G:G, "")</f>
        <v>0</v>
      </c>
      <c r="G1606" s="93"/>
      <c r="H1606" s="92">
        <v>7</v>
      </c>
      <c r="I1606" s="92" t="str">
        <f t="shared" si="85"/>
        <v>X</v>
      </c>
      <c r="J1606" s="79" t="str">
        <f>IF(G1606="","X",_xlfn.XLOOKUP(B1606,DATA_Moresby_2024_ALL!B:B,DATA_Moresby_2024_ALL!K:K,""))</f>
        <v>X</v>
      </c>
      <c r="K1606" s="28"/>
      <c r="L1606" s="29"/>
      <c r="M1606" s="28"/>
      <c r="N1606" s="19" t="str">
        <f t="shared" si="84"/>
        <v/>
      </c>
      <c r="O1606" s="19" t="str">
        <f t="shared" si="84"/>
        <v/>
      </c>
      <c r="P1606" s="19" t="str">
        <f t="shared" si="84"/>
        <v/>
      </c>
      <c r="Q1606" s="19" t="str">
        <f t="shared" si="84"/>
        <v/>
      </c>
      <c r="X1606" s="92" t="s">
        <v>78</v>
      </c>
      <c r="Y1606" s="92" t="s">
        <v>78</v>
      </c>
      <c r="Z1606" s="92" t="s">
        <v>78</v>
      </c>
    </row>
    <row r="1607" spans="1:26" ht="16" hidden="1" x14ac:dyDescent="0.4">
      <c r="A1607" s="92">
        <v>8019</v>
      </c>
      <c r="B1607" s="92">
        <v>8020</v>
      </c>
      <c r="E1607" s="92">
        <v>50</v>
      </c>
      <c r="F1607" s="92">
        <f>_xlfn.XLOOKUP(B1607, DATA_Moresby_2024_ALL!B:B, DATA_Moresby_2024_ALL!G:G, "")</f>
        <v>0</v>
      </c>
      <c r="G1607" s="93"/>
      <c r="H1607" s="92">
        <v>7</v>
      </c>
      <c r="I1607" s="92" t="str">
        <f t="shared" si="85"/>
        <v>X</v>
      </c>
      <c r="J1607" s="79" t="str">
        <f>IF(G1607="","X",_xlfn.XLOOKUP(B1607,DATA_Moresby_2024_ALL!B:B,DATA_Moresby_2024_ALL!K:K,""))</f>
        <v>X</v>
      </c>
      <c r="K1607" s="28"/>
      <c r="L1607" s="29"/>
      <c r="M1607" s="28"/>
      <c r="N1607" s="19" t="str">
        <f t="shared" si="84"/>
        <v/>
      </c>
      <c r="O1607" s="19" t="str">
        <f t="shared" si="84"/>
        <v/>
      </c>
      <c r="P1607" s="19" t="str">
        <f t="shared" si="84"/>
        <v/>
      </c>
      <c r="Q1607" s="19" t="str">
        <f t="shared" si="84"/>
        <v/>
      </c>
      <c r="X1607" s="92" t="s">
        <v>78</v>
      </c>
      <c r="Y1607" s="92" t="s">
        <v>78</v>
      </c>
      <c r="Z1607" s="92" t="s">
        <v>78</v>
      </c>
    </row>
    <row r="1608" spans="1:26" ht="16" hidden="1" x14ac:dyDescent="0.4">
      <c r="A1608" s="92">
        <v>8024</v>
      </c>
      <c r="B1608" s="92">
        <v>8025</v>
      </c>
      <c r="E1608" s="92">
        <v>50</v>
      </c>
      <c r="F1608" s="92">
        <f>_xlfn.XLOOKUP(B1608, DATA_Moresby_2024_ALL!B:B, DATA_Moresby_2024_ALL!G:G, "")</f>
        <v>0</v>
      </c>
      <c r="G1608" s="93"/>
      <c r="H1608" s="92">
        <v>7</v>
      </c>
      <c r="I1608" s="92" t="str">
        <f t="shared" si="85"/>
        <v>X</v>
      </c>
      <c r="J1608" s="79" t="str">
        <f>IF(G1608="","X",_xlfn.XLOOKUP(B1608,DATA_Moresby_2024_ALL!B:B,DATA_Moresby_2024_ALL!K:K,""))</f>
        <v>X</v>
      </c>
      <c r="K1608" s="28"/>
      <c r="L1608" s="29"/>
      <c r="M1608" s="28"/>
      <c r="N1608" s="19" t="str">
        <f t="shared" si="84"/>
        <v/>
      </c>
      <c r="O1608" s="19" t="str">
        <f t="shared" si="84"/>
        <v/>
      </c>
      <c r="P1608" s="19" t="str">
        <f t="shared" si="84"/>
        <v/>
      </c>
      <c r="Q1608" s="19" t="str">
        <f t="shared" si="84"/>
        <v/>
      </c>
      <c r="X1608" s="92" t="s">
        <v>78</v>
      </c>
      <c r="Y1608" s="92" t="s">
        <v>78</v>
      </c>
      <c r="Z1608" s="92" t="s">
        <v>78</v>
      </c>
    </row>
    <row r="1609" spans="1:26" ht="16" hidden="1" x14ac:dyDescent="0.4">
      <c r="A1609" s="92">
        <v>8029</v>
      </c>
      <c r="B1609" s="92">
        <v>8030</v>
      </c>
      <c r="E1609" s="92">
        <v>50</v>
      </c>
      <c r="F1609" s="92">
        <f>_xlfn.XLOOKUP(B1609, DATA_Moresby_2024_ALL!B:B, DATA_Moresby_2024_ALL!G:G, "")</f>
        <v>0</v>
      </c>
      <c r="G1609" s="93"/>
      <c r="H1609" s="92">
        <v>7</v>
      </c>
      <c r="I1609" s="92" t="str">
        <f t="shared" si="85"/>
        <v>X</v>
      </c>
      <c r="J1609" s="79" t="str">
        <f>IF(G1609="","X",_xlfn.XLOOKUP(B1609,DATA_Moresby_2024_ALL!B:B,DATA_Moresby_2024_ALL!K:K,""))</f>
        <v>X</v>
      </c>
      <c r="K1609" s="28"/>
      <c r="L1609" s="29"/>
      <c r="M1609" s="28"/>
      <c r="N1609" s="19" t="str">
        <f t="shared" si="84"/>
        <v/>
      </c>
      <c r="O1609" s="19" t="str">
        <f t="shared" si="84"/>
        <v/>
      </c>
      <c r="P1609" s="19" t="str">
        <f t="shared" si="84"/>
        <v/>
      </c>
      <c r="Q1609" s="19" t="str">
        <f t="shared" si="84"/>
        <v/>
      </c>
      <c r="X1609" s="92" t="s">
        <v>78</v>
      </c>
      <c r="Y1609" s="92" t="s">
        <v>78</v>
      </c>
      <c r="Z1609" s="92" t="s">
        <v>78</v>
      </c>
    </row>
    <row r="1610" spans="1:26" ht="16" hidden="1" x14ac:dyDescent="0.4">
      <c r="A1610" s="92">
        <v>8034</v>
      </c>
      <c r="B1610" s="92">
        <v>8035</v>
      </c>
      <c r="E1610" s="92">
        <v>50</v>
      </c>
      <c r="F1610" s="92">
        <f>_xlfn.XLOOKUP(B1610, DATA_Moresby_2024_ALL!B:B, DATA_Moresby_2024_ALL!G:G, "")</f>
        <v>0</v>
      </c>
      <c r="G1610" s="93"/>
      <c r="H1610" s="92">
        <v>7</v>
      </c>
      <c r="I1610" s="92" t="str">
        <f t="shared" si="85"/>
        <v>X</v>
      </c>
      <c r="J1610" s="79" t="str">
        <f>IF(G1610="","X",_xlfn.XLOOKUP(B1610,DATA_Moresby_2024_ALL!B:B,DATA_Moresby_2024_ALL!K:K,""))</f>
        <v>X</v>
      </c>
      <c r="K1610" s="28"/>
      <c r="L1610" s="29"/>
      <c r="M1610" s="28"/>
      <c r="N1610" s="19" t="str">
        <f t="shared" si="84"/>
        <v/>
      </c>
      <c r="O1610" s="19" t="str">
        <f t="shared" si="84"/>
        <v/>
      </c>
      <c r="P1610" s="19" t="str">
        <f t="shared" si="84"/>
        <v/>
      </c>
      <c r="Q1610" s="19" t="str">
        <f t="shared" si="84"/>
        <v/>
      </c>
      <c r="X1610" s="92" t="s">
        <v>78</v>
      </c>
      <c r="Y1610" s="92" t="s">
        <v>78</v>
      </c>
      <c r="Z1610" s="92" t="s">
        <v>78</v>
      </c>
    </row>
    <row r="1611" spans="1:26" ht="16" hidden="1" x14ac:dyDescent="0.4">
      <c r="A1611" s="92">
        <v>8039</v>
      </c>
      <c r="B1611" s="92">
        <v>8040</v>
      </c>
      <c r="E1611" s="92">
        <v>50</v>
      </c>
      <c r="F1611" s="92">
        <f>_xlfn.XLOOKUP(B1611, DATA_Moresby_2024_ALL!B:B, DATA_Moresby_2024_ALL!G:G, "")</f>
        <v>0</v>
      </c>
      <c r="G1611" s="93"/>
      <c r="H1611" s="92">
        <v>7</v>
      </c>
      <c r="I1611" s="92" t="str">
        <f t="shared" si="85"/>
        <v>X</v>
      </c>
      <c r="J1611" s="79" t="str">
        <f>IF(G1611="","X",_xlfn.XLOOKUP(B1611,DATA_Moresby_2024_ALL!B:B,DATA_Moresby_2024_ALL!K:K,""))</f>
        <v>X</v>
      </c>
      <c r="K1611" s="28"/>
      <c r="L1611" s="29"/>
      <c r="M1611" s="28"/>
      <c r="N1611" s="19" t="str">
        <f t="shared" si="84"/>
        <v/>
      </c>
      <c r="O1611" s="19" t="str">
        <f t="shared" si="84"/>
        <v/>
      </c>
      <c r="P1611" s="19" t="str">
        <f t="shared" si="84"/>
        <v/>
      </c>
      <c r="Q1611" s="19" t="str">
        <f t="shared" si="84"/>
        <v/>
      </c>
      <c r="X1611" s="92" t="s">
        <v>78</v>
      </c>
      <c r="Y1611" s="92" t="s">
        <v>78</v>
      </c>
      <c r="Z1611" s="92" t="s">
        <v>78</v>
      </c>
    </row>
    <row r="1612" spans="1:26" ht="16" hidden="1" x14ac:dyDescent="0.4">
      <c r="A1612" s="92">
        <v>8044</v>
      </c>
      <c r="B1612" s="92">
        <v>8045</v>
      </c>
      <c r="E1612" s="92">
        <v>50</v>
      </c>
      <c r="F1612" s="92">
        <f>_xlfn.XLOOKUP(B1612, DATA_Moresby_2024_ALL!B:B, DATA_Moresby_2024_ALL!G:G, "")</f>
        <v>0</v>
      </c>
      <c r="G1612" s="93"/>
      <c r="H1612" s="92">
        <v>7</v>
      </c>
      <c r="I1612" s="92" t="str">
        <f t="shared" si="85"/>
        <v>X</v>
      </c>
      <c r="J1612" s="79" t="str">
        <f>IF(G1612="","X",_xlfn.XLOOKUP(B1612,DATA_Moresby_2024_ALL!B:B,DATA_Moresby_2024_ALL!K:K,""))</f>
        <v>X</v>
      </c>
      <c r="K1612" s="28"/>
      <c r="L1612" s="29"/>
      <c r="M1612" s="28"/>
      <c r="N1612" s="19" t="str">
        <f t="shared" si="84"/>
        <v/>
      </c>
      <c r="O1612" s="19" t="str">
        <f t="shared" si="84"/>
        <v/>
      </c>
      <c r="P1612" s="19" t="str">
        <f t="shared" si="84"/>
        <v/>
      </c>
      <c r="Q1612" s="19" t="str">
        <f t="shared" si="84"/>
        <v/>
      </c>
      <c r="X1612" s="92" t="s">
        <v>78</v>
      </c>
      <c r="Y1612" s="92" t="s">
        <v>78</v>
      </c>
      <c r="Z1612" s="92" t="s">
        <v>78</v>
      </c>
    </row>
    <row r="1613" spans="1:26" ht="16" hidden="1" x14ac:dyDescent="0.4">
      <c r="A1613" s="92">
        <v>8049</v>
      </c>
      <c r="B1613" s="92">
        <v>8050</v>
      </c>
      <c r="E1613" s="92">
        <v>50</v>
      </c>
      <c r="F1613" s="92">
        <f>_xlfn.XLOOKUP(B1613, DATA_Moresby_2024_ALL!B:B, DATA_Moresby_2024_ALL!G:G, "")</f>
        <v>0</v>
      </c>
      <c r="G1613" s="93"/>
      <c r="H1613" s="92">
        <v>7</v>
      </c>
      <c r="I1613" s="92" t="str">
        <f t="shared" si="85"/>
        <v>X</v>
      </c>
      <c r="J1613" s="79" t="str">
        <f>IF(G1613="","X",_xlfn.XLOOKUP(B1613,DATA_Moresby_2024_ALL!B:B,DATA_Moresby_2024_ALL!K:K,""))</f>
        <v>X</v>
      </c>
      <c r="K1613" s="28"/>
      <c r="L1613" s="29"/>
      <c r="M1613" s="28"/>
      <c r="N1613" s="19" t="str">
        <f t="shared" si="84"/>
        <v/>
      </c>
      <c r="O1613" s="19" t="str">
        <f t="shared" si="84"/>
        <v/>
      </c>
      <c r="P1613" s="19" t="str">
        <f t="shared" si="84"/>
        <v/>
      </c>
      <c r="Q1613" s="19" t="str">
        <f t="shared" si="84"/>
        <v/>
      </c>
      <c r="X1613" s="92" t="s">
        <v>78</v>
      </c>
      <c r="Y1613" s="92" t="s">
        <v>78</v>
      </c>
      <c r="Z1613" s="92" t="s">
        <v>78</v>
      </c>
    </row>
    <row r="1614" spans="1:26" ht="16" hidden="1" x14ac:dyDescent="0.4">
      <c r="A1614" s="92">
        <v>8054</v>
      </c>
      <c r="B1614" s="92">
        <v>8055</v>
      </c>
      <c r="E1614" s="92">
        <v>50</v>
      </c>
      <c r="F1614" s="92">
        <f>_xlfn.XLOOKUP(B1614, DATA_Moresby_2024_ALL!B:B, DATA_Moresby_2024_ALL!G:G, "")</f>
        <v>0</v>
      </c>
      <c r="G1614" s="93"/>
      <c r="H1614" s="92">
        <v>7</v>
      </c>
      <c r="I1614" s="92" t="str">
        <f t="shared" si="85"/>
        <v>X</v>
      </c>
      <c r="J1614" s="79" t="str">
        <f>IF(G1614="","X",_xlfn.XLOOKUP(B1614,DATA_Moresby_2024_ALL!B:B,DATA_Moresby_2024_ALL!K:K,""))</f>
        <v>X</v>
      </c>
      <c r="K1614" s="28"/>
      <c r="L1614" s="29"/>
      <c r="M1614" s="28"/>
      <c r="N1614" s="19" t="str">
        <f t="shared" si="84"/>
        <v/>
      </c>
      <c r="O1614" s="19" t="str">
        <f t="shared" si="84"/>
        <v/>
      </c>
      <c r="P1614" s="19" t="str">
        <f t="shared" si="84"/>
        <v/>
      </c>
      <c r="Q1614" s="19" t="str">
        <f t="shared" si="84"/>
        <v/>
      </c>
      <c r="X1614" s="92" t="s">
        <v>78</v>
      </c>
      <c r="Y1614" s="92" t="s">
        <v>78</v>
      </c>
      <c r="Z1614" s="92" t="s">
        <v>78</v>
      </c>
    </row>
    <row r="1615" spans="1:26" ht="16" hidden="1" x14ac:dyDescent="0.4">
      <c r="A1615" s="92">
        <v>8059</v>
      </c>
      <c r="B1615" s="92">
        <v>8060</v>
      </c>
      <c r="E1615" s="92">
        <v>50</v>
      </c>
      <c r="F1615" s="92">
        <f>_xlfn.XLOOKUP(B1615, DATA_Moresby_2024_ALL!B:B, DATA_Moresby_2024_ALL!G:G, "")</f>
        <v>0</v>
      </c>
      <c r="G1615" s="93"/>
      <c r="H1615" s="92">
        <v>7</v>
      </c>
      <c r="I1615" s="92" t="str">
        <f t="shared" si="85"/>
        <v>X</v>
      </c>
      <c r="J1615" s="79" t="str">
        <f>IF(G1615="","X",_xlfn.XLOOKUP(B1615,DATA_Moresby_2024_ALL!B:B,DATA_Moresby_2024_ALL!K:K,""))</f>
        <v>X</v>
      </c>
      <c r="K1615" s="28"/>
      <c r="L1615" s="29"/>
      <c r="M1615" s="28"/>
      <c r="N1615" s="19" t="str">
        <f t="shared" si="84"/>
        <v/>
      </c>
      <c r="O1615" s="19" t="str">
        <f t="shared" si="84"/>
        <v/>
      </c>
      <c r="P1615" s="19" t="str">
        <f t="shared" si="84"/>
        <v/>
      </c>
      <c r="Q1615" s="19" t="str">
        <f t="shared" si="84"/>
        <v/>
      </c>
      <c r="X1615" s="92" t="s">
        <v>78</v>
      </c>
      <c r="Y1615" s="92" t="s">
        <v>78</v>
      </c>
      <c r="Z1615" s="92" t="s">
        <v>78</v>
      </c>
    </row>
    <row r="1616" spans="1:26" ht="16" hidden="1" x14ac:dyDescent="0.4">
      <c r="A1616" s="92">
        <v>8064</v>
      </c>
      <c r="B1616" s="92">
        <v>8065</v>
      </c>
      <c r="E1616" s="92">
        <v>50</v>
      </c>
      <c r="F1616" s="92">
        <f>_xlfn.XLOOKUP(B1616, DATA_Moresby_2024_ALL!B:B, DATA_Moresby_2024_ALL!G:G, "")</f>
        <v>0</v>
      </c>
      <c r="G1616" s="93"/>
      <c r="H1616" s="92">
        <v>7</v>
      </c>
      <c r="I1616" s="92" t="str">
        <f t="shared" si="85"/>
        <v>X</v>
      </c>
      <c r="J1616" s="79" t="str">
        <f>IF(G1616="","X",_xlfn.XLOOKUP(B1616,DATA_Moresby_2024_ALL!B:B,DATA_Moresby_2024_ALL!K:K,""))</f>
        <v>X</v>
      </c>
      <c r="K1616" s="28"/>
      <c r="L1616" s="29"/>
      <c r="M1616" s="28"/>
      <c r="N1616" s="19" t="str">
        <f t="shared" si="84"/>
        <v/>
      </c>
      <c r="O1616" s="19" t="str">
        <f t="shared" si="84"/>
        <v/>
      </c>
      <c r="P1616" s="19" t="str">
        <f t="shared" si="84"/>
        <v/>
      </c>
      <c r="Q1616" s="19" t="str">
        <f t="shared" si="84"/>
        <v/>
      </c>
      <c r="X1616" s="92" t="s">
        <v>78</v>
      </c>
      <c r="Y1616" s="92" t="s">
        <v>78</v>
      </c>
      <c r="Z1616" s="92" t="s">
        <v>78</v>
      </c>
    </row>
    <row r="1617" spans="1:26" ht="16" hidden="1" x14ac:dyDescent="0.4">
      <c r="A1617" s="92">
        <v>8069</v>
      </c>
      <c r="B1617" s="92">
        <v>8070</v>
      </c>
      <c r="E1617" s="92">
        <v>50</v>
      </c>
      <c r="F1617" s="92">
        <f>_xlfn.XLOOKUP(B1617, DATA_Moresby_2024_ALL!B:B, DATA_Moresby_2024_ALL!G:G, "")</f>
        <v>0</v>
      </c>
      <c r="G1617" s="93"/>
      <c r="H1617" s="92">
        <v>7</v>
      </c>
      <c r="I1617" s="92" t="str">
        <f t="shared" si="85"/>
        <v>X</v>
      </c>
      <c r="J1617" s="79" t="str">
        <f>IF(G1617="","X",_xlfn.XLOOKUP(B1617,DATA_Moresby_2024_ALL!B:B,DATA_Moresby_2024_ALL!K:K,""))</f>
        <v>X</v>
      </c>
      <c r="K1617" s="28"/>
      <c r="L1617" s="29"/>
      <c r="M1617" s="28"/>
      <c r="N1617" s="19" t="str">
        <f t="shared" si="84"/>
        <v/>
      </c>
      <c r="O1617" s="19" t="str">
        <f t="shared" si="84"/>
        <v/>
      </c>
      <c r="P1617" s="19" t="str">
        <f t="shared" si="84"/>
        <v/>
      </c>
      <c r="Q1617" s="19" t="str">
        <f t="shared" si="84"/>
        <v/>
      </c>
      <c r="X1617" s="92" t="s">
        <v>78</v>
      </c>
      <c r="Y1617" s="92" t="s">
        <v>78</v>
      </c>
      <c r="Z1617" s="92" t="s">
        <v>78</v>
      </c>
    </row>
    <row r="1618" spans="1:26" ht="16" hidden="1" x14ac:dyDescent="0.4">
      <c r="A1618" s="92">
        <v>8074</v>
      </c>
      <c r="B1618" s="92">
        <v>8075</v>
      </c>
      <c r="E1618" s="92">
        <v>50</v>
      </c>
      <c r="F1618" s="92">
        <f>_xlfn.XLOOKUP(B1618, DATA_Moresby_2024_ALL!B:B, DATA_Moresby_2024_ALL!G:G, "")</f>
        <v>0</v>
      </c>
      <c r="G1618" s="93"/>
      <c r="H1618" s="92">
        <v>7</v>
      </c>
      <c r="I1618" s="92" t="str">
        <f t="shared" si="85"/>
        <v>X</v>
      </c>
      <c r="J1618" s="79" t="str">
        <f>IF(G1618="","X",_xlfn.XLOOKUP(B1618,DATA_Moresby_2024_ALL!B:B,DATA_Moresby_2024_ALL!K:K,""))</f>
        <v>X</v>
      </c>
      <c r="K1618" s="28"/>
      <c r="L1618" s="29"/>
      <c r="M1618" s="28"/>
      <c r="N1618" s="19" t="str">
        <f t="shared" si="84"/>
        <v/>
      </c>
      <c r="O1618" s="19" t="str">
        <f t="shared" si="84"/>
        <v/>
      </c>
      <c r="P1618" s="19" t="str">
        <f t="shared" si="84"/>
        <v/>
      </c>
      <c r="Q1618" s="19" t="str">
        <f t="shared" si="84"/>
        <v/>
      </c>
      <c r="X1618" s="92" t="s">
        <v>78</v>
      </c>
      <c r="Y1618" s="92" t="s">
        <v>78</v>
      </c>
      <c r="Z1618" s="92" t="s">
        <v>78</v>
      </c>
    </row>
    <row r="1619" spans="1:26" ht="16" hidden="1" x14ac:dyDescent="0.4">
      <c r="A1619" s="92">
        <v>8079</v>
      </c>
      <c r="B1619" s="92">
        <v>8080</v>
      </c>
      <c r="E1619" s="92">
        <v>50</v>
      </c>
      <c r="F1619" s="92">
        <f>_xlfn.XLOOKUP(B1619, DATA_Moresby_2024_ALL!B:B, DATA_Moresby_2024_ALL!G:G, "")</f>
        <v>0</v>
      </c>
      <c r="G1619" s="93"/>
      <c r="H1619" s="92">
        <v>7</v>
      </c>
      <c r="I1619" s="92" t="str">
        <f t="shared" si="85"/>
        <v>X</v>
      </c>
      <c r="J1619" s="79" t="str">
        <f>IF(G1619="","X",_xlfn.XLOOKUP(B1619,DATA_Moresby_2024_ALL!B:B,DATA_Moresby_2024_ALL!K:K,""))</f>
        <v>X</v>
      </c>
      <c r="K1619" s="28"/>
      <c r="L1619" s="29"/>
      <c r="M1619" s="28"/>
      <c r="N1619" s="19" t="str">
        <f t="shared" si="84"/>
        <v/>
      </c>
      <c r="O1619" s="19" t="str">
        <f t="shared" si="84"/>
        <v/>
      </c>
      <c r="P1619" s="19" t="str">
        <f t="shared" si="84"/>
        <v/>
      </c>
      <c r="Q1619" s="19" t="str">
        <f t="shared" si="84"/>
        <v/>
      </c>
      <c r="X1619" s="92" t="s">
        <v>78</v>
      </c>
      <c r="Y1619" s="92" t="s">
        <v>78</v>
      </c>
      <c r="Z1619" s="92" t="s">
        <v>78</v>
      </c>
    </row>
    <row r="1620" spans="1:26" ht="16" hidden="1" x14ac:dyDescent="0.4">
      <c r="A1620" s="92">
        <v>8084</v>
      </c>
      <c r="B1620" s="92">
        <v>8085</v>
      </c>
      <c r="E1620" s="92">
        <v>50</v>
      </c>
      <c r="F1620" s="92">
        <f>_xlfn.XLOOKUP(B1620, DATA_Moresby_2024_ALL!B:B, DATA_Moresby_2024_ALL!G:G, "")</f>
        <v>0</v>
      </c>
      <c r="G1620" s="93"/>
      <c r="H1620" s="92">
        <v>7</v>
      </c>
      <c r="I1620" s="92" t="str">
        <f t="shared" si="85"/>
        <v>X</v>
      </c>
      <c r="J1620" s="79" t="str">
        <f>IF(G1620="","X",_xlfn.XLOOKUP(B1620,DATA_Moresby_2024_ALL!B:B,DATA_Moresby_2024_ALL!K:K,""))</f>
        <v>X</v>
      </c>
      <c r="K1620" s="28"/>
      <c r="L1620" s="29"/>
      <c r="M1620" s="28"/>
      <c r="N1620" s="19" t="str">
        <f t="shared" si="84"/>
        <v/>
      </c>
      <c r="O1620" s="19" t="str">
        <f t="shared" si="84"/>
        <v/>
      </c>
      <c r="P1620" s="19" t="str">
        <f t="shared" si="84"/>
        <v/>
      </c>
      <c r="Q1620" s="19" t="str">
        <f t="shared" si="84"/>
        <v/>
      </c>
      <c r="X1620" s="92" t="s">
        <v>78</v>
      </c>
      <c r="Y1620" s="92" t="s">
        <v>78</v>
      </c>
      <c r="Z1620" s="92" t="s">
        <v>78</v>
      </c>
    </row>
    <row r="1621" spans="1:26" ht="16" hidden="1" x14ac:dyDescent="0.4">
      <c r="A1621" s="92">
        <v>8089</v>
      </c>
      <c r="B1621" s="92">
        <v>8090</v>
      </c>
      <c r="E1621" s="92">
        <v>50</v>
      </c>
      <c r="F1621" s="92">
        <f>_xlfn.XLOOKUP(B1621, DATA_Moresby_2024_ALL!B:B, DATA_Moresby_2024_ALL!G:G, "")</f>
        <v>0</v>
      </c>
      <c r="G1621" s="93"/>
      <c r="H1621" s="92">
        <v>7</v>
      </c>
      <c r="I1621" s="92" t="str">
        <f t="shared" si="85"/>
        <v>X</v>
      </c>
      <c r="J1621" s="79" t="str">
        <f>IF(G1621="","X",_xlfn.XLOOKUP(B1621,DATA_Moresby_2024_ALL!B:B,DATA_Moresby_2024_ALL!K:K,""))</f>
        <v>X</v>
      </c>
      <c r="K1621" s="28"/>
      <c r="L1621" s="29"/>
      <c r="M1621" s="28"/>
      <c r="N1621" s="19" t="str">
        <f t="shared" si="84"/>
        <v/>
      </c>
      <c r="O1621" s="19" t="str">
        <f t="shared" si="84"/>
        <v/>
      </c>
      <c r="P1621" s="19" t="str">
        <f t="shared" si="84"/>
        <v/>
      </c>
      <c r="Q1621" s="19" t="str">
        <f t="shared" si="84"/>
        <v/>
      </c>
      <c r="X1621" s="92" t="s">
        <v>78</v>
      </c>
      <c r="Y1621" s="92" t="s">
        <v>78</v>
      </c>
      <c r="Z1621" s="92" t="s">
        <v>78</v>
      </c>
    </row>
    <row r="1622" spans="1:26" ht="16" hidden="1" x14ac:dyDescent="0.4">
      <c r="A1622" s="92">
        <v>8094</v>
      </c>
      <c r="B1622" s="92">
        <v>8095</v>
      </c>
      <c r="E1622" s="92">
        <v>50</v>
      </c>
      <c r="F1622" s="92">
        <f>_xlfn.XLOOKUP(B1622, DATA_Moresby_2024_ALL!B:B, DATA_Moresby_2024_ALL!G:G, "")</f>
        <v>0</v>
      </c>
      <c r="G1622" s="93"/>
      <c r="H1622" s="92">
        <v>7</v>
      </c>
      <c r="I1622" s="92" t="str">
        <f t="shared" si="85"/>
        <v>X</v>
      </c>
      <c r="J1622" s="79" t="str">
        <f>IF(G1622="","X",_xlfn.XLOOKUP(B1622,DATA_Moresby_2024_ALL!B:B,DATA_Moresby_2024_ALL!K:K,""))</f>
        <v>X</v>
      </c>
      <c r="K1622" s="28"/>
      <c r="L1622" s="29"/>
      <c r="M1622" s="28"/>
      <c r="N1622" s="19" t="str">
        <f t="shared" si="84"/>
        <v/>
      </c>
      <c r="O1622" s="19" t="str">
        <f t="shared" si="84"/>
        <v/>
      </c>
      <c r="P1622" s="19" t="str">
        <f t="shared" si="84"/>
        <v/>
      </c>
      <c r="Q1622" s="19" t="str">
        <f t="shared" si="84"/>
        <v/>
      </c>
      <c r="X1622" s="92" t="s">
        <v>78</v>
      </c>
      <c r="Y1622" s="92" t="s">
        <v>78</v>
      </c>
      <c r="Z1622" s="92" t="s">
        <v>78</v>
      </c>
    </row>
    <row r="1623" spans="1:26" ht="16" hidden="1" x14ac:dyDescent="0.4">
      <c r="A1623" s="92">
        <v>8099</v>
      </c>
      <c r="B1623" s="92">
        <v>8100</v>
      </c>
      <c r="E1623" s="92">
        <v>50</v>
      </c>
      <c r="F1623" s="92">
        <f>_xlfn.XLOOKUP(B1623, DATA_Moresby_2024_ALL!B:B, DATA_Moresby_2024_ALL!G:G, "")</f>
        <v>0</v>
      </c>
      <c r="G1623" s="93"/>
      <c r="H1623" s="92">
        <v>7</v>
      </c>
      <c r="I1623" s="92" t="str">
        <f t="shared" si="85"/>
        <v>X</v>
      </c>
      <c r="J1623" s="79" t="str">
        <f>IF(G1623="","X",_xlfn.XLOOKUP(B1623,DATA_Moresby_2024_ALL!B:B,DATA_Moresby_2024_ALL!K:K,""))</f>
        <v>X</v>
      </c>
      <c r="K1623" s="28"/>
      <c r="L1623" s="29"/>
      <c r="M1623" s="28"/>
      <c r="N1623" s="19" t="str">
        <f t="shared" si="84"/>
        <v/>
      </c>
      <c r="O1623" s="19" t="str">
        <f t="shared" si="84"/>
        <v/>
      </c>
      <c r="P1623" s="19" t="str">
        <f t="shared" si="84"/>
        <v/>
      </c>
      <c r="Q1623" s="19" t="str">
        <f t="shared" si="84"/>
        <v/>
      </c>
      <c r="X1623" s="92" t="s">
        <v>78</v>
      </c>
      <c r="Y1623" s="92" t="s">
        <v>78</v>
      </c>
      <c r="Z1623" s="92" t="s">
        <v>78</v>
      </c>
    </row>
    <row r="1624" spans="1:26" ht="16" hidden="1" x14ac:dyDescent="0.4">
      <c r="A1624" s="92">
        <v>8104</v>
      </c>
      <c r="B1624" s="92">
        <v>8105</v>
      </c>
      <c r="E1624" s="92">
        <v>50</v>
      </c>
      <c r="F1624" s="92">
        <f>_xlfn.XLOOKUP(B1624, DATA_Moresby_2024_ALL!B:B, DATA_Moresby_2024_ALL!G:G, "")</f>
        <v>0</v>
      </c>
      <c r="G1624" s="93"/>
      <c r="H1624" s="92">
        <v>7</v>
      </c>
      <c r="I1624" s="92" t="str">
        <f t="shared" si="85"/>
        <v>X</v>
      </c>
      <c r="J1624" s="79" t="str">
        <f>IF(G1624="","X",_xlfn.XLOOKUP(B1624,DATA_Moresby_2024_ALL!B:B,DATA_Moresby_2024_ALL!K:K,""))</f>
        <v>X</v>
      </c>
      <c r="K1624" s="28"/>
      <c r="L1624" s="29"/>
      <c r="M1624" s="28"/>
      <c r="N1624" s="19" t="str">
        <f t="shared" si="84"/>
        <v/>
      </c>
      <c r="O1624" s="19" t="str">
        <f t="shared" si="84"/>
        <v/>
      </c>
      <c r="P1624" s="19" t="str">
        <f t="shared" si="84"/>
        <v/>
      </c>
      <c r="Q1624" s="19" t="str">
        <f t="shared" si="84"/>
        <v/>
      </c>
      <c r="X1624" s="92" t="s">
        <v>78</v>
      </c>
      <c r="Y1624" s="92" t="s">
        <v>78</v>
      </c>
      <c r="Z1624" s="92" t="s">
        <v>78</v>
      </c>
    </row>
    <row r="1625" spans="1:26" ht="16" hidden="1" x14ac:dyDescent="0.4">
      <c r="A1625" s="92">
        <v>8109</v>
      </c>
      <c r="B1625" s="92">
        <v>8110</v>
      </c>
      <c r="E1625" s="92">
        <v>50</v>
      </c>
      <c r="F1625" s="92">
        <f>_xlfn.XLOOKUP(B1625, DATA_Moresby_2024_ALL!B:B, DATA_Moresby_2024_ALL!G:G, "")</f>
        <v>0</v>
      </c>
      <c r="G1625" s="93"/>
      <c r="H1625" s="92">
        <v>7</v>
      </c>
      <c r="I1625" s="92" t="str">
        <f t="shared" si="85"/>
        <v>X</v>
      </c>
      <c r="J1625" s="79" t="str">
        <f>IF(G1625="","X",_xlfn.XLOOKUP(B1625,DATA_Moresby_2024_ALL!B:B,DATA_Moresby_2024_ALL!K:K,""))</f>
        <v>X</v>
      </c>
      <c r="K1625" s="28"/>
      <c r="L1625" s="29"/>
      <c r="M1625" s="28"/>
      <c r="N1625" s="19" t="str">
        <f t="shared" si="84"/>
        <v/>
      </c>
      <c r="O1625" s="19" t="str">
        <f t="shared" si="84"/>
        <v/>
      </c>
      <c r="P1625" s="19" t="str">
        <f t="shared" si="84"/>
        <v/>
      </c>
      <c r="Q1625" s="19" t="str">
        <f t="shared" si="84"/>
        <v/>
      </c>
      <c r="X1625" s="92" t="s">
        <v>78</v>
      </c>
      <c r="Y1625" s="92" t="s">
        <v>78</v>
      </c>
      <c r="Z1625" s="92" t="s">
        <v>78</v>
      </c>
    </row>
    <row r="1626" spans="1:26" ht="16" hidden="1" x14ac:dyDescent="0.4">
      <c r="A1626" s="92">
        <v>8114</v>
      </c>
      <c r="B1626" s="92">
        <v>8115</v>
      </c>
      <c r="E1626" s="92">
        <v>50</v>
      </c>
      <c r="F1626" s="92">
        <f>_xlfn.XLOOKUP(B1626, DATA_Moresby_2024_ALL!B:B, DATA_Moresby_2024_ALL!G:G, "")</f>
        <v>0</v>
      </c>
      <c r="G1626" s="93"/>
      <c r="H1626" s="92">
        <v>7</v>
      </c>
      <c r="I1626" s="92" t="str">
        <f t="shared" si="85"/>
        <v>X</v>
      </c>
      <c r="J1626" s="79" t="str">
        <f>IF(G1626="","X",_xlfn.XLOOKUP(B1626,DATA_Moresby_2024_ALL!B:B,DATA_Moresby_2024_ALL!K:K,""))</f>
        <v>X</v>
      </c>
      <c r="K1626" s="28"/>
      <c r="L1626" s="29"/>
      <c r="M1626" s="28"/>
      <c r="N1626" s="19" t="str">
        <f t="shared" si="84"/>
        <v/>
      </c>
      <c r="O1626" s="19" t="str">
        <f t="shared" si="84"/>
        <v/>
      </c>
      <c r="P1626" s="19" t="str">
        <f t="shared" si="84"/>
        <v/>
      </c>
      <c r="Q1626" s="19" t="str">
        <f t="shared" si="84"/>
        <v/>
      </c>
      <c r="X1626" s="92" t="s">
        <v>78</v>
      </c>
      <c r="Y1626" s="92" t="s">
        <v>78</v>
      </c>
      <c r="Z1626" s="92" t="s">
        <v>78</v>
      </c>
    </row>
    <row r="1627" spans="1:26" ht="16" hidden="1" x14ac:dyDescent="0.4">
      <c r="A1627" s="92">
        <v>8119</v>
      </c>
      <c r="B1627" s="92">
        <v>8120</v>
      </c>
      <c r="E1627" s="92">
        <v>50</v>
      </c>
      <c r="F1627" s="92">
        <f>_xlfn.XLOOKUP(B1627, DATA_Moresby_2024_ALL!B:B, DATA_Moresby_2024_ALL!G:G, "")</f>
        <v>0</v>
      </c>
      <c r="G1627" s="93"/>
      <c r="H1627" s="92">
        <v>7</v>
      </c>
      <c r="I1627" s="92" t="str">
        <f t="shared" si="85"/>
        <v>X</v>
      </c>
      <c r="J1627" s="79" t="str">
        <f>IF(G1627="","X",_xlfn.XLOOKUP(B1627,DATA_Moresby_2024_ALL!B:B,DATA_Moresby_2024_ALL!K:K,""))</f>
        <v>X</v>
      </c>
      <c r="K1627" s="28"/>
      <c r="L1627" s="29"/>
      <c r="M1627" s="28"/>
      <c r="N1627" s="19" t="str">
        <f t="shared" si="84"/>
        <v/>
      </c>
      <c r="O1627" s="19" t="str">
        <f t="shared" si="84"/>
        <v/>
      </c>
      <c r="P1627" s="19" t="str">
        <f t="shared" si="84"/>
        <v/>
      </c>
      <c r="Q1627" s="19" t="str">
        <f t="shared" si="84"/>
        <v/>
      </c>
      <c r="X1627" s="92" t="s">
        <v>78</v>
      </c>
      <c r="Y1627" s="92" t="s">
        <v>78</v>
      </c>
      <c r="Z1627" s="92" t="s">
        <v>78</v>
      </c>
    </row>
    <row r="1628" spans="1:26" ht="16" hidden="1" x14ac:dyDescent="0.4">
      <c r="A1628" s="92">
        <v>8124</v>
      </c>
      <c r="B1628" s="92">
        <v>8125</v>
      </c>
      <c r="E1628" s="92">
        <v>50</v>
      </c>
      <c r="F1628" s="92">
        <f>_xlfn.XLOOKUP(B1628, DATA_Moresby_2024_ALL!B:B, DATA_Moresby_2024_ALL!G:G, "")</f>
        <v>0</v>
      </c>
      <c r="G1628" s="93"/>
      <c r="H1628" s="92">
        <v>7</v>
      </c>
      <c r="I1628" s="92" t="str">
        <f t="shared" si="85"/>
        <v>X</v>
      </c>
      <c r="J1628" s="79" t="str">
        <f>IF(G1628="","X",_xlfn.XLOOKUP(B1628,DATA_Moresby_2024_ALL!B:B,DATA_Moresby_2024_ALL!K:K,""))</f>
        <v>X</v>
      </c>
      <c r="K1628" s="28"/>
      <c r="L1628" s="29"/>
      <c r="M1628" s="28"/>
      <c r="N1628" s="19" t="str">
        <f t="shared" si="84"/>
        <v/>
      </c>
      <c r="O1628" s="19" t="str">
        <f t="shared" si="84"/>
        <v/>
      </c>
      <c r="P1628" s="19" t="str">
        <f t="shared" si="84"/>
        <v/>
      </c>
      <c r="Q1628" s="19" t="str">
        <f t="shared" si="84"/>
        <v/>
      </c>
      <c r="X1628" s="92" t="s">
        <v>78</v>
      </c>
      <c r="Y1628" s="92" t="s">
        <v>78</v>
      </c>
      <c r="Z1628" s="92" t="s">
        <v>78</v>
      </c>
    </row>
    <row r="1629" spans="1:26" ht="16" hidden="1" x14ac:dyDescent="0.4">
      <c r="A1629" s="92">
        <v>8129</v>
      </c>
      <c r="B1629" s="92">
        <v>8130</v>
      </c>
      <c r="E1629" s="92">
        <v>50</v>
      </c>
      <c r="F1629" s="92">
        <f>_xlfn.XLOOKUP(B1629, DATA_Moresby_2024_ALL!B:B, DATA_Moresby_2024_ALL!G:G, "")</f>
        <v>0</v>
      </c>
      <c r="G1629" s="93"/>
      <c r="H1629" s="92">
        <v>7</v>
      </c>
      <c r="I1629" s="92" t="str">
        <f t="shared" si="85"/>
        <v>X</v>
      </c>
      <c r="J1629" s="79" t="str">
        <f>IF(G1629="","X",_xlfn.XLOOKUP(B1629,DATA_Moresby_2024_ALL!B:B,DATA_Moresby_2024_ALL!K:K,""))</f>
        <v>X</v>
      </c>
      <c r="K1629" s="28"/>
      <c r="L1629" s="29"/>
      <c r="M1629" s="28"/>
      <c r="N1629" s="19" t="str">
        <f t="shared" si="84"/>
        <v/>
      </c>
      <c r="O1629" s="19" t="str">
        <f t="shared" si="84"/>
        <v/>
      </c>
      <c r="P1629" s="19" t="str">
        <f t="shared" si="84"/>
        <v/>
      </c>
      <c r="Q1629" s="19" t="str">
        <f t="shared" ref="O1629:Q1692" si="86">IF($J1629=1,4,"")</f>
        <v/>
      </c>
      <c r="X1629" s="92" t="s">
        <v>78</v>
      </c>
      <c r="Y1629" s="92" t="s">
        <v>78</v>
      </c>
      <c r="Z1629" s="92" t="s">
        <v>78</v>
      </c>
    </row>
    <row r="1630" spans="1:26" ht="16" hidden="1" x14ac:dyDescent="0.4">
      <c r="A1630" s="92">
        <v>8134</v>
      </c>
      <c r="B1630" s="92">
        <v>8135</v>
      </c>
      <c r="E1630" s="92">
        <v>50</v>
      </c>
      <c r="F1630" s="92">
        <f>_xlfn.XLOOKUP(B1630, DATA_Moresby_2024_ALL!B:B, DATA_Moresby_2024_ALL!G:G, "")</f>
        <v>0</v>
      </c>
      <c r="G1630" s="93"/>
      <c r="H1630" s="92">
        <v>7</v>
      </c>
      <c r="I1630" s="92" t="str">
        <f t="shared" si="85"/>
        <v>X</v>
      </c>
      <c r="J1630" s="79" t="str">
        <f>IF(G1630="","X",_xlfn.XLOOKUP(B1630,DATA_Moresby_2024_ALL!B:B,DATA_Moresby_2024_ALL!K:K,""))</f>
        <v>X</v>
      </c>
      <c r="K1630" s="28"/>
      <c r="L1630" s="29"/>
      <c r="M1630" s="28"/>
      <c r="N1630" s="19" t="str">
        <f t="shared" ref="N1630:Q1693" si="87">IF($J1630=1,4,"")</f>
        <v/>
      </c>
      <c r="O1630" s="19" t="str">
        <f t="shared" si="86"/>
        <v/>
      </c>
      <c r="P1630" s="19" t="str">
        <f t="shared" si="86"/>
        <v/>
      </c>
      <c r="Q1630" s="19" t="str">
        <f t="shared" si="86"/>
        <v/>
      </c>
      <c r="X1630" s="92" t="s">
        <v>78</v>
      </c>
      <c r="Y1630" s="92" t="s">
        <v>78</v>
      </c>
      <c r="Z1630" s="92" t="s">
        <v>78</v>
      </c>
    </row>
    <row r="1631" spans="1:26" ht="16" hidden="1" x14ac:dyDescent="0.4">
      <c r="A1631" s="92">
        <v>8139</v>
      </c>
      <c r="B1631" s="92">
        <v>8140</v>
      </c>
      <c r="E1631" s="92">
        <v>50</v>
      </c>
      <c r="F1631" s="92">
        <f>_xlfn.XLOOKUP(B1631, DATA_Moresby_2024_ALL!B:B, DATA_Moresby_2024_ALL!G:G, "")</f>
        <v>0</v>
      </c>
      <c r="G1631" s="93"/>
      <c r="H1631" s="92">
        <v>7</v>
      </c>
      <c r="I1631" s="92" t="str">
        <f t="shared" si="85"/>
        <v>X</v>
      </c>
      <c r="J1631" s="79" t="str">
        <f>IF(G1631="","X",_xlfn.XLOOKUP(B1631,DATA_Moresby_2024_ALL!B:B,DATA_Moresby_2024_ALL!K:K,""))</f>
        <v>X</v>
      </c>
      <c r="K1631" s="28"/>
      <c r="L1631" s="29"/>
      <c r="M1631" s="28"/>
      <c r="N1631" s="19" t="str">
        <f t="shared" si="87"/>
        <v/>
      </c>
      <c r="O1631" s="19" t="str">
        <f t="shared" si="86"/>
        <v/>
      </c>
      <c r="P1631" s="19" t="str">
        <f t="shared" si="86"/>
        <v/>
      </c>
      <c r="Q1631" s="19" t="str">
        <f t="shared" si="86"/>
        <v/>
      </c>
      <c r="X1631" s="92" t="s">
        <v>78</v>
      </c>
      <c r="Y1631" s="92" t="s">
        <v>78</v>
      </c>
      <c r="Z1631" s="92" t="s">
        <v>78</v>
      </c>
    </row>
    <row r="1632" spans="1:26" ht="16" hidden="1" x14ac:dyDescent="0.4">
      <c r="A1632" s="92">
        <v>8144</v>
      </c>
      <c r="B1632" s="92">
        <v>8145</v>
      </c>
      <c r="E1632" s="92">
        <v>50</v>
      </c>
      <c r="F1632" s="92">
        <f>_xlfn.XLOOKUP(B1632, DATA_Moresby_2024_ALL!B:B, DATA_Moresby_2024_ALL!G:G, "")</f>
        <v>0</v>
      </c>
      <c r="G1632" s="93"/>
      <c r="H1632" s="92">
        <v>7</v>
      </c>
      <c r="I1632" s="92" t="str">
        <f t="shared" si="85"/>
        <v>X</v>
      </c>
      <c r="J1632" s="79" t="str">
        <f>IF(G1632="","X",_xlfn.XLOOKUP(B1632,DATA_Moresby_2024_ALL!B:B,DATA_Moresby_2024_ALL!K:K,""))</f>
        <v>X</v>
      </c>
      <c r="K1632" s="28"/>
      <c r="L1632" s="29"/>
      <c r="M1632" s="28"/>
      <c r="N1632" s="19" t="str">
        <f t="shared" si="87"/>
        <v/>
      </c>
      <c r="O1632" s="19" t="str">
        <f t="shared" si="86"/>
        <v/>
      </c>
      <c r="P1632" s="19" t="str">
        <f t="shared" si="86"/>
        <v/>
      </c>
      <c r="Q1632" s="19" t="str">
        <f t="shared" si="86"/>
        <v/>
      </c>
      <c r="X1632" s="92" t="s">
        <v>78</v>
      </c>
      <c r="Y1632" s="92" t="s">
        <v>78</v>
      </c>
      <c r="Z1632" s="92" t="s">
        <v>78</v>
      </c>
    </row>
    <row r="1633" spans="1:26" ht="16" hidden="1" x14ac:dyDescent="0.4">
      <c r="A1633" s="92">
        <v>8149</v>
      </c>
      <c r="B1633" s="92">
        <v>8150</v>
      </c>
      <c r="E1633" s="92">
        <v>50</v>
      </c>
      <c r="F1633" s="92">
        <f>_xlfn.XLOOKUP(B1633, DATA_Moresby_2024_ALL!B:B, DATA_Moresby_2024_ALL!G:G, "")</f>
        <v>0</v>
      </c>
      <c r="G1633" s="93"/>
      <c r="H1633" s="92">
        <v>7</v>
      </c>
      <c r="I1633" s="92" t="str">
        <f t="shared" si="85"/>
        <v>X</v>
      </c>
      <c r="J1633" s="79" t="str">
        <f>IF(G1633="","X",_xlfn.XLOOKUP(B1633,DATA_Moresby_2024_ALL!B:B,DATA_Moresby_2024_ALL!K:K,""))</f>
        <v>X</v>
      </c>
      <c r="K1633" s="28"/>
      <c r="L1633" s="29"/>
      <c r="M1633" s="28"/>
      <c r="N1633" s="19" t="str">
        <f t="shared" si="87"/>
        <v/>
      </c>
      <c r="O1633" s="19" t="str">
        <f t="shared" si="86"/>
        <v/>
      </c>
      <c r="P1633" s="19" t="str">
        <f t="shared" si="86"/>
        <v/>
      </c>
      <c r="Q1633" s="19" t="str">
        <f t="shared" si="86"/>
        <v/>
      </c>
      <c r="X1633" s="92" t="s">
        <v>78</v>
      </c>
      <c r="Y1633" s="92" t="s">
        <v>78</v>
      </c>
      <c r="Z1633" s="92" t="s">
        <v>78</v>
      </c>
    </row>
    <row r="1634" spans="1:26" ht="16" hidden="1" x14ac:dyDescent="0.4">
      <c r="A1634" s="92">
        <v>8154</v>
      </c>
      <c r="B1634" s="92">
        <v>8155</v>
      </c>
      <c r="E1634" s="92">
        <v>50</v>
      </c>
      <c r="F1634" s="92">
        <f>_xlfn.XLOOKUP(B1634, DATA_Moresby_2024_ALL!B:B, DATA_Moresby_2024_ALL!G:G, "")</f>
        <v>0</v>
      </c>
      <c r="G1634" s="93"/>
      <c r="H1634" s="92">
        <v>7</v>
      </c>
      <c r="I1634" s="92" t="str">
        <f t="shared" si="85"/>
        <v>X</v>
      </c>
      <c r="J1634" s="79" t="str">
        <f>IF(G1634="","X",_xlfn.XLOOKUP(B1634,DATA_Moresby_2024_ALL!B:B,DATA_Moresby_2024_ALL!K:K,""))</f>
        <v>X</v>
      </c>
      <c r="K1634" s="28"/>
      <c r="L1634" s="29"/>
      <c r="M1634" s="28"/>
      <c r="N1634" s="19" t="str">
        <f t="shared" si="87"/>
        <v/>
      </c>
      <c r="O1634" s="19" t="str">
        <f t="shared" si="86"/>
        <v/>
      </c>
      <c r="P1634" s="19" t="str">
        <f t="shared" si="86"/>
        <v/>
      </c>
      <c r="Q1634" s="19" t="str">
        <f t="shared" si="86"/>
        <v/>
      </c>
      <c r="X1634" s="92" t="s">
        <v>78</v>
      </c>
      <c r="Y1634" s="92" t="s">
        <v>78</v>
      </c>
      <c r="Z1634" s="92" t="s">
        <v>78</v>
      </c>
    </row>
    <row r="1635" spans="1:26" ht="16" hidden="1" x14ac:dyDescent="0.4">
      <c r="A1635" s="92">
        <v>8159</v>
      </c>
      <c r="B1635" s="92">
        <v>8160</v>
      </c>
      <c r="E1635" s="92">
        <v>50</v>
      </c>
      <c r="F1635" s="92">
        <f>_xlfn.XLOOKUP(B1635, DATA_Moresby_2024_ALL!B:B, DATA_Moresby_2024_ALL!G:G, "")</f>
        <v>0</v>
      </c>
      <c r="G1635" s="93"/>
      <c r="H1635" s="92">
        <v>7</v>
      </c>
      <c r="I1635" s="92" t="str">
        <f t="shared" si="85"/>
        <v>X</v>
      </c>
      <c r="J1635" s="79" t="str">
        <f>IF(G1635="","X",_xlfn.XLOOKUP(B1635,DATA_Moresby_2024_ALL!B:B,DATA_Moresby_2024_ALL!K:K,""))</f>
        <v>X</v>
      </c>
      <c r="K1635" s="28"/>
      <c r="L1635" s="29"/>
      <c r="M1635" s="28"/>
      <c r="N1635" s="19" t="str">
        <f t="shared" si="87"/>
        <v/>
      </c>
      <c r="O1635" s="19" t="str">
        <f t="shared" si="86"/>
        <v/>
      </c>
      <c r="P1635" s="19" t="str">
        <f t="shared" si="86"/>
        <v/>
      </c>
      <c r="Q1635" s="19" t="str">
        <f t="shared" si="86"/>
        <v/>
      </c>
      <c r="X1635" s="92" t="s">
        <v>78</v>
      </c>
      <c r="Y1635" s="92" t="s">
        <v>78</v>
      </c>
      <c r="Z1635" s="92" t="s">
        <v>78</v>
      </c>
    </row>
    <row r="1636" spans="1:26" ht="16" hidden="1" x14ac:dyDescent="0.4">
      <c r="A1636" s="92">
        <v>8164</v>
      </c>
      <c r="B1636" s="92">
        <v>8165</v>
      </c>
      <c r="E1636" s="92">
        <v>50</v>
      </c>
      <c r="F1636" s="92">
        <f>_xlfn.XLOOKUP(B1636, DATA_Moresby_2024_ALL!B:B, DATA_Moresby_2024_ALL!G:G, "")</f>
        <v>0</v>
      </c>
      <c r="G1636" s="93"/>
      <c r="H1636" s="92">
        <v>7</v>
      </c>
      <c r="I1636" s="92" t="str">
        <f t="shared" ref="I1636:I1699" si="88">IF(G1636="","X","")</f>
        <v>X</v>
      </c>
      <c r="J1636" s="79" t="str">
        <f>IF(G1636="","X",_xlfn.XLOOKUP(B1636,DATA_Moresby_2024_ALL!B:B,DATA_Moresby_2024_ALL!K:K,""))</f>
        <v>X</v>
      </c>
      <c r="K1636" s="28"/>
      <c r="L1636" s="29"/>
      <c r="M1636" s="28"/>
      <c r="N1636" s="19" t="str">
        <f t="shared" si="87"/>
        <v/>
      </c>
      <c r="O1636" s="19" t="str">
        <f t="shared" si="86"/>
        <v/>
      </c>
      <c r="P1636" s="19" t="str">
        <f t="shared" si="86"/>
        <v/>
      </c>
      <c r="Q1636" s="19" t="str">
        <f t="shared" si="86"/>
        <v/>
      </c>
      <c r="X1636" s="92" t="s">
        <v>78</v>
      </c>
      <c r="Y1636" s="92" t="s">
        <v>78</v>
      </c>
      <c r="Z1636" s="92" t="s">
        <v>78</v>
      </c>
    </row>
    <row r="1637" spans="1:26" ht="16" hidden="1" x14ac:dyDescent="0.4">
      <c r="A1637" s="92">
        <v>8169</v>
      </c>
      <c r="B1637" s="92">
        <v>8170</v>
      </c>
      <c r="E1637" s="92">
        <v>50</v>
      </c>
      <c r="F1637" s="92">
        <f>_xlfn.XLOOKUP(B1637, DATA_Moresby_2024_ALL!B:B, DATA_Moresby_2024_ALL!G:G, "")</f>
        <v>0</v>
      </c>
      <c r="G1637" s="93"/>
      <c r="H1637" s="92">
        <v>7</v>
      </c>
      <c r="I1637" s="92" t="str">
        <f t="shared" si="88"/>
        <v>X</v>
      </c>
      <c r="J1637" s="79" t="str">
        <f>IF(G1637="","X",_xlfn.XLOOKUP(B1637,DATA_Moresby_2024_ALL!B:B,DATA_Moresby_2024_ALL!K:K,""))</f>
        <v>X</v>
      </c>
      <c r="K1637" s="28"/>
      <c r="L1637" s="29"/>
      <c r="M1637" s="28"/>
      <c r="N1637" s="19" t="str">
        <f t="shared" si="87"/>
        <v/>
      </c>
      <c r="O1637" s="19" t="str">
        <f t="shared" si="86"/>
        <v/>
      </c>
      <c r="P1637" s="19" t="str">
        <f t="shared" si="86"/>
        <v/>
      </c>
      <c r="Q1637" s="19" t="str">
        <f t="shared" si="86"/>
        <v/>
      </c>
      <c r="X1637" s="92" t="s">
        <v>78</v>
      </c>
      <c r="Y1637" s="92" t="s">
        <v>78</v>
      </c>
      <c r="Z1637" s="92" t="s">
        <v>78</v>
      </c>
    </row>
    <row r="1638" spans="1:26" ht="16" hidden="1" x14ac:dyDescent="0.4">
      <c r="A1638" s="92">
        <v>8174</v>
      </c>
      <c r="B1638" s="92">
        <v>8175</v>
      </c>
      <c r="E1638" s="92">
        <v>50</v>
      </c>
      <c r="F1638" s="92">
        <f>_xlfn.XLOOKUP(B1638, DATA_Moresby_2024_ALL!B:B, DATA_Moresby_2024_ALL!G:G, "")</f>
        <v>0</v>
      </c>
      <c r="G1638" s="93"/>
      <c r="H1638" s="92">
        <v>7</v>
      </c>
      <c r="I1638" s="92" t="str">
        <f t="shared" si="88"/>
        <v>X</v>
      </c>
      <c r="J1638" s="79" t="str">
        <f>IF(G1638="","X",_xlfn.XLOOKUP(B1638,DATA_Moresby_2024_ALL!B:B,DATA_Moresby_2024_ALL!K:K,""))</f>
        <v>X</v>
      </c>
      <c r="K1638" s="28"/>
      <c r="L1638" s="29"/>
      <c r="M1638" s="28"/>
      <c r="N1638" s="19" t="str">
        <f t="shared" si="87"/>
        <v/>
      </c>
      <c r="O1638" s="19" t="str">
        <f t="shared" si="86"/>
        <v/>
      </c>
      <c r="P1638" s="19" t="str">
        <f t="shared" si="86"/>
        <v/>
      </c>
      <c r="Q1638" s="19" t="str">
        <f t="shared" si="86"/>
        <v/>
      </c>
      <c r="X1638" s="92" t="s">
        <v>78</v>
      </c>
      <c r="Y1638" s="92" t="s">
        <v>78</v>
      </c>
      <c r="Z1638" s="92" t="s">
        <v>78</v>
      </c>
    </row>
    <row r="1639" spans="1:26" ht="16" hidden="1" x14ac:dyDescent="0.4">
      <c r="A1639" s="92">
        <v>8179</v>
      </c>
      <c r="B1639" s="92">
        <v>8180</v>
      </c>
      <c r="E1639" s="92">
        <v>50</v>
      </c>
      <c r="F1639" s="92">
        <f>_xlfn.XLOOKUP(B1639, DATA_Moresby_2024_ALL!B:B, DATA_Moresby_2024_ALL!G:G, "")</f>
        <v>0</v>
      </c>
      <c r="G1639" s="93"/>
      <c r="H1639" s="92">
        <v>7</v>
      </c>
      <c r="I1639" s="92" t="str">
        <f t="shared" si="88"/>
        <v>X</v>
      </c>
      <c r="J1639" s="79" t="str">
        <f>IF(G1639="","X",_xlfn.XLOOKUP(B1639,DATA_Moresby_2024_ALL!B:B,DATA_Moresby_2024_ALL!K:K,""))</f>
        <v>X</v>
      </c>
      <c r="K1639" s="28"/>
      <c r="L1639" s="29"/>
      <c r="M1639" s="28"/>
      <c r="N1639" s="19" t="str">
        <f t="shared" si="87"/>
        <v/>
      </c>
      <c r="O1639" s="19" t="str">
        <f t="shared" si="86"/>
        <v/>
      </c>
      <c r="P1639" s="19" t="str">
        <f t="shared" si="86"/>
        <v/>
      </c>
      <c r="Q1639" s="19" t="str">
        <f t="shared" si="86"/>
        <v/>
      </c>
      <c r="X1639" s="92" t="s">
        <v>78</v>
      </c>
      <c r="Y1639" s="92" t="s">
        <v>78</v>
      </c>
      <c r="Z1639" s="92" t="s">
        <v>78</v>
      </c>
    </row>
    <row r="1640" spans="1:26" ht="16" hidden="1" x14ac:dyDescent="0.4">
      <c r="A1640" s="92">
        <v>8184</v>
      </c>
      <c r="B1640" s="92">
        <v>8185</v>
      </c>
      <c r="E1640" s="92">
        <v>50</v>
      </c>
      <c r="F1640" s="92">
        <f>_xlfn.XLOOKUP(B1640, DATA_Moresby_2024_ALL!B:B, DATA_Moresby_2024_ALL!G:G, "")</f>
        <v>0</v>
      </c>
      <c r="G1640" s="93"/>
      <c r="H1640" s="92">
        <v>7</v>
      </c>
      <c r="I1640" s="92" t="str">
        <f t="shared" si="88"/>
        <v>X</v>
      </c>
      <c r="J1640" s="79" t="str">
        <f>IF(G1640="","X",_xlfn.XLOOKUP(B1640,DATA_Moresby_2024_ALL!B:B,DATA_Moresby_2024_ALL!K:K,""))</f>
        <v>X</v>
      </c>
      <c r="K1640" s="28"/>
      <c r="L1640" s="29"/>
      <c r="M1640" s="28"/>
      <c r="N1640" s="19" t="str">
        <f t="shared" si="87"/>
        <v/>
      </c>
      <c r="O1640" s="19" t="str">
        <f t="shared" si="86"/>
        <v/>
      </c>
      <c r="P1640" s="19" t="str">
        <f t="shared" si="86"/>
        <v/>
      </c>
      <c r="Q1640" s="19" t="str">
        <f t="shared" si="86"/>
        <v/>
      </c>
      <c r="X1640" s="92" t="s">
        <v>78</v>
      </c>
      <c r="Y1640" s="92" t="s">
        <v>78</v>
      </c>
      <c r="Z1640" s="92" t="s">
        <v>78</v>
      </c>
    </row>
    <row r="1641" spans="1:26" ht="16" hidden="1" x14ac:dyDescent="0.4">
      <c r="A1641" s="92">
        <v>8189</v>
      </c>
      <c r="B1641" s="92">
        <v>8190</v>
      </c>
      <c r="E1641" s="92">
        <v>50</v>
      </c>
      <c r="F1641" s="92">
        <f>_xlfn.XLOOKUP(B1641, DATA_Moresby_2024_ALL!B:B, DATA_Moresby_2024_ALL!G:G, "")</f>
        <v>0</v>
      </c>
      <c r="G1641" s="93"/>
      <c r="H1641" s="92">
        <v>7</v>
      </c>
      <c r="I1641" s="92" t="str">
        <f t="shared" si="88"/>
        <v>X</v>
      </c>
      <c r="J1641" s="79" t="str">
        <f>IF(G1641="","X",_xlfn.XLOOKUP(B1641,DATA_Moresby_2024_ALL!B:B,DATA_Moresby_2024_ALL!K:K,""))</f>
        <v>X</v>
      </c>
      <c r="K1641" s="28"/>
      <c r="L1641" s="29"/>
      <c r="M1641" s="28"/>
      <c r="N1641" s="19" t="str">
        <f t="shared" si="87"/>
        <v/>
      </c>
      <c r="O1641" s="19" t="str">
        <f t="shared" si="86"/>
        <v/>
      </c>
      <c r="P1641" s="19" t="str">
        <f t="shared" si="86"/>
        <v/>
      </c>
      <c r="Q1641" s="19" t="str">
        <f t="shared" si="86"/>
        <v/>
      </c>
      <c r="X1641" s="92" t="s">
        <v>78</v>
      </c>
      <c r="Y1641" s="92" t="s">
        <v>78</v>
      </c>
      <c r="Z1641" s="92" t="s">
        <v>78</v>
      </c>
    </row>
    <row r="1642" spans="1:26" ht="16" hidden="1" x14ac:dyDescent="0.4">
      <c r="A1642" s="92">
        <v>8194</v>
      </c>
      <c r="B1642" s="92">
        <v>8195</v>
      </c>
      <c r="E1642" s="92">
        <v>50</v>
      </c>
      <c r="F1642" s="92">
        <f>_xlfn.XLOOKUP(B1642, DATA_Moresby_2024_ALL!B:B, DATA_Moresby_2024_ALL!G:G, "")</f>
        <v>0</v>
      </c>
      <c r="G1642" s="93"/>
      <c r="H1642" s="92">
        <v>7</v>
      </c>
      <c r="I1642" s="92" t="str">
        <f t="shared" si="88"/>
        <v>X</v>
      </c>
      <c r="J1642" s="79" t="str">
        <f>IF(G1642="","X",_xlfn.XLOOKUP(B1642,DATA_Moresby_2024_ALL!B:B,DATA_Moresby_2024_ALL!K:K,""))</f>
        <v>X</v>
      </c>
      <c r="K1642" s="28"/>
      <c r="L1642" s="29"/>
      <c r="M1642" s="28"/>
      <c r="N1642" s="19" t="str">
        <f t="shared" si="87"/>
        <v/>
      </c>
      <c r="O1642" s="19" t="str">
        <f t="shared" si="86"/>
        <v/>
      </c>
      <c r="P1642" s="19" t="str">
        <f t="shared" si="86"/>
        <v/>
      </c>
      <c r="Q1642" s="19" t="str">
        <f t="shared" si="86"/>
        <v/>
      </c>
      <c r="X1642" s="92" t="s">
        <v>78</v>
      </c>
      <c r="Y1642" s="92" t="s">
        <v>78</v>
      </c>
      <c r="Z1642" s="92" t="s">
        <v>78</v>
      </c>
    </row>
    <row r="1643" spans="1:26" ht="16" hidden="1" x14ac:dyDescent="0.4">
      <c r="A1643" s="92">
        <v>8199</v>
      </c>
      <c r="B1643" s="92">
        <v>8200</v>
      </c>
      <c r="E1643" s="92">
        <v>50</v>
      </c>
      <c r="F1643" s="92">
        <f>_xlfn.XLOOKUP(B1643, DATA_Moresby_2024_ALL!B:B, DATA_Moresby_2024_ALL!G:G, "")</f>
        <v>0</v>
      </c>
      <c r="G1643" s="93"/>
      <c r="H1643" s="92">
        <v>7</v>
      </c>
      <c r="I1643" s="92" t="str">
        <f t="shared" si="88"/>
        <v>X</v>
      </c>
      <c r="J1643" s="79" t="str">
        <f>IF(G1643="","X",_xlfn.XLOOKUP(B1643,DATA_Moresby_2024_ALL!B:B,DATA_Moresby_2024_ALL!K:K,""))</f>
        <v>X</v>
      </c>
      <c r="K1643" s="28"/>
      <c r="L1643" s="29"/>
      <c r="M1643" s="28"/>
      <c r="N1643" s="19" t="str">
        <f t="shared" si="87"/>
        <v/>
      </c>
      <c r="O1643" s="19" t="str">
        <f t="shared" si="86"/>
        <v/>
      </c>
      <c r="P1643" s="19" t="str">
        <f t="shared" si="86"/>
        <v/>
      </c>
      <c r="Q1643" s="19" t="str">
        <f t="shared" si="86"/>
        <v/>
      </c>
      <c r="X1643" s="92" t="s">
        <v>78</v>
      </c>
      <c r="Y1643" s="92" t="s">
        <v>78</v>
      </c>
      <c r="Z1643" s="92" t="s">
        <v>78</v>
      </c>
    </row>
    <row r="1644" spans="1:26" ht="16" hidden="1" x14ac:dyDescent="0.4">
      <c r="A1644" s="92">
        <v>8204</v>
      </c>
      <c r="B1644" s="92">
        <v>8205</v>
      </c>
      <c r="E1644" s="92">
        <v>50</v>
      </c>
      <c r="F1644" s="92">
        <f>_xlfn.XLOOKUP(B1644, DATA_Moresby_2024_ALL!B:B, DATA_Moresby_2024_ALL!G:G, "")</f>
        <v>0</v>
      </c>
      <c r="G1644" s="93"/>
      <c r="H1644" s="92">
        <v>7</v>
      </c>
      <c r="I1644" s="92" t="str">
        <f t="shared" si="88"/>
        <v>X</v>
      </c>
      <c r="J1644" s="79" t="str">
        <f>IF(G1644="","X",_xlfn.XLOOKUP(B1644,DATA_Moresby_2024_ALL!B:B,DATA_Moresby_2024_ALL!K:K,""))</f>
        <v>X</v>
      </c>
      <c r="K1644" s="28"/>
      <c r="L1644" s="29"/>
      <c r="M1644" s="28"/>
      <c r="N1644" s="19" t="str">
        <f t="shared" si="87"/>
        <v/>
      </c>
      <c r="O1644" s="19" t="str">
        <f t="shared" si="86"/>
        <v/>
      </c>
      <c r="P1644" s="19" t="str">
        <f t="shared" si="86"/>
        <v/>
      </c>
      <c r="Q1644" s="19" t="str">
        <f t="shared" si="86"/>
        <v/>
      </c>
      <c r="X1644" s="92" t="s">
        <v>78</v>
      </c>
      <c r="Y1644" s="92" t="s">
        <v>78</v>
      </c>
      <c r="Z1644" s="92" t="s">
        <v>78</v>
      </c>
    </row>
    <row r="1645" spans="1:26" ht="16" hidden="1" x14ac:dyDescent="0.4">
      <c r="A1645" s="92">
        <v>8209</v>
      </c>
      <c r="B1645" s="92">
        <v>8210</v>
      </c>
      <c r="E1645" s="92">
        <v>50</v>
      </c>
      <c r="F1645" s="92">
        <f>_xlfn.XLOOKUP(B1645, DATA_Moresby_2024_ALL!B:B, DATA_Moresby_2024_ALL!G:G, "")</f>
        <v>0</v>
      </c>
      <c r="G1645" s="93"/>
      <c r="H1645" s="92">
        <v>7</v>
      </c>
      <c r="I1645" s="92" t="str">
        <f t="shared" si="88"/>
        <v>X</v>
      </c>
      <c r="J1645" s="79" t="str">
        <f>IF(G1645="","X",_xlfn.XLOOKUP(B1645,DATA_Moresby_2024_ALL!B:B,DATA_Moresby_2024_ALL!K:K,""))</f>
        <v>X</v>
      </c>
      <c r="K1645" s="28"/>
      <c r="L1645" s="29"/>
      <c r="M1645" s="28"/>
      <c r="N1645" s="19" t="str">
        <f t="shared" si="87"/>
        <v/>
      </c>
      <c r="O1645" s="19" t="str">
        <f t="shared" si="86"/>
        <v/>
      </c>
      <c r="P1645" s="19" t="str">
        <f t="shared" si="86"/>
        <v/>
      </c>
      <c r="Q1645" s="19" t="str">
        <f t="shared" si="86"/>
        <v/>
      </c>
      <c r="X1645" s="92" t="s">
        <v>78</v>
      </c>
      <c r="Y1645" s="92" t="s">
        <v>78</v>
      </c>
      <c r="Z1645" s="92" t="s">
        <v>78</v>
      </c>
    </row>
    <row r="1646" spans="1:26" ht="16" hidden="1" x14ac:dyDescent="0.4">
      <c r="A1646" s="92">
        <v>8214</v>
      </c>
      <c r="B1646" s="92">
        <v>8215</v>
      </c>
      <c r="E1646" s="92">
        <v>50</v>
      </c>
      <c r="F1646" s="92">
        <f>_xlfn.XLOOKUP(B1646, DATA_Moresby_2024_ALL!B:B, DATA_Moresby_2024_ALL!G:G, "")</f>
        <v>0</v>
      </c>
      <c r="G1646" s="93"/>
      <c r="H1646" s="92">
        <v>7</v>
      </c>
      <c r="I1646" s="92" t="str">
        <f t="shared" si="88"/>
        <v>X</v>
      </c>
      <c r="J1646" s="79" t="str">
        <f>IF(G1646="","X",_xlfn.XLOOKUP(B1646,DATA_Moresby_2024_ALL!B:B,DATA_Moresby_2024_ALL!K:K,""))</f>
        <v>X</v>
      </c>
      <c r="K1646" s="28"/>
      <c r="L1646" s="29"/>
      <c r="M1646" s="28"/>
      <c r="N1646" s="19" t="str">
        <f t="shared" si="87"/>
        <v/>
      </c>
      <c r="O1646" s="19" t="str">
        <f t="shared" si="86"/>
        <v/>
      </c>
      <c r="P1646" s="19" t="str">
        <f t="shared" si="86"/>
        <v/>
      </c>
      <c r="Q1646" s="19" t="str">
        <f t="shared" si="86"/>
        <v/>
      </c>
      <c r="X1646" s="92" t="s">
        <v>78</v>
      </c>
      <c r="Y1646" s="92" t="s">
        <v>78</v>
      </c>
      <c r="Z1646" s="92" t="s">
        <v>78</v>
      </c>
    </row>
    <row r="1647" spans="1:26" ht="16" hidden="1" x14ac:dyDescent="0.4">
      <c r="A1647" s="92">
        <v>8219</v>
      </c>
      <c r="B1647" s="92">
        <v>8220</v>
      </c>
      <c r="E1647" s="92">
        <v>50</v>
      </c>
      <c r="F1647" s="92">
        <f>_xlfn.XLOOKUP(B1647, DATA_Moresby_2024_ALL!B:B, DATA_Moresby_2024_ALL!G:G, "")</f>
        <v>0</v>
      </c>
      <c r="G1647" s="93"/>
      <c r="H1647" s="92">
        <v>7</v>
      </c>
      <c r="I1647" s="92" t="str">
        <f t="shared" si="88"/>
        <v>X</v>
      </c>
      <c r="J1647" s="79" t="str">
        <f>IF(G1647="","X",_xlfn.XLOOKUP(B1647,DATA_Moresby_2024_ALL!B:B,DATA_Moresby_2024_ALL!K:K,""))</f>
        <v>X</v>
      </c>
      <c r="K1647" s="28"/>
      <c r="L1647" s="29"/>
      <c r="M1647" s="28"/>
      <c r="N1647" s="19" t="str">
        <f t="shared" si="87"/>
        <v/>
      </c>
      <c r="O1647" s="19" t="str">
        <f t="shared" si="86"/>
        <v/>
      </c>
      <c r="P1647" s="19" t="str">
        <f t="shared" si="86"/>
        <v/>
      </c>
      <c r="Q1647" s="19" t="str">
        <f t="shared" si="86"/>
        <v/>
      </c>
      <c r="X1647" s="92" t="s">
        <v>78</v>
      </c>
      <c r="Y1647" s="92" t="s">
        <v>78</v>
      </c>
      <c r="Z1647" s="92" t="s">
        <v>78</v>
      </c>
    </row>
    <row r="1648" spans="1:26" ht="16" hidden="1" x14ac:dyDescent="0.4">
      <c r="A1648" s="92">
        <v>8224</v>
      </c>
      <c r="B1648" s="92">
        <v>8225</v>
      </c>
      <c r="E1648" s="92">
        <v>50</v>
      </c>
      <c r="F1648" s="92">
        <f>_xlfn.XLOOKUP(B1648, DATA_Moresby_2024_ALL!B:B, DATA_Moresby_2024_ALL!G:G, "")</f>
        <v>0</v>
      </c>
      <c r="G1648" s="93"/>
      <c r="H1648" s="92">
        <v>7</v>
      </c>
      <c r="I1648" s="92" t="str">
        <f t="shared" si="88"/>
        <v>X</v>
      </c>
      <c r="J1648" s="79" t="str">
        <f>IF(G1648="","X",_xlfn.XLOOKUP(B1648,DATA_Moresby_2024_ALL!B:B,DATA_Moresby_2024_ALL!K:K,""))</f>
        <v>X</v>
      </c>
      <c r="K1648" s="28"/>
      <c r="L1648" s="29"/>
      <c r="M1648" s="28"/>
      <c r="N1648" s="19" t="str">
        <f t="shared" si="87"/>
        <v/>
      </c>
      <c r="O1648" s="19" t="str">
        <f t="shared" si="86"/>
        <v/>
      </c>
      <c r="P1648" s="19" t="str">
        <f t="shared" si="86"/>
        <v/>
      </c>
      <c r="Q1648" s="19" t="str">
        <f t="shared" si="86"/>
        <v/>
      </c>
      <c r="X1648" s="92" t="s">
        <v>78</v>
      </c>
      <c r="Y1648" s="92" t="s">
        <v>78</v>
      </c>
      <c r="Z1648" s="92" t="s">
        <v>78</v>
      </c>
    </row>
    <row r="1649" spans="1:26" ht="16" hidden="1" x14ac:dyDescent="0.4">
      <c r="A1649" s="92">
        <v>8229</v>
      </c>
      <c r="B1649" s="92">
        <v>8230</v>
      </c>
      <c r="E1649" s="92">
        <v>50</v>
      </c>
      <c r="F1649" s="92">
        <f>_xlfn.XLOOKUP(B1649, DATA_Moresby_2024_ALL!B:B, DATA_Moresby_2024_ALL!G:G, "")</f>
        <v>0</v>
      </c>
      <c r="G1649" s="93"/>
      <c r="H1649" s="92">
        <v>7</v>
      </c>
      <c r="I1649" s="92" t="str">
        <f t="shared" si="88"/>
        <v>X</v>
      </c>
      <c r="J1649" s="79" t="str">
        <f>IF(G1649="","X",_xlfn.XLOOKUP(B1649,DATA_Moresby_2024_ALL!B:B,DATA_Moresby_2024_ALL!K:K,""))</f>
        <v>X</v>
      </c>
      <c r="K1649" s="28"/>
      <c r="L1649" s="29"/>
      <c r="M1649" s="28"/>
      <c r="N1649" s="19" t="str">
        <f t="shared" si="87"/>
        <v/>
      </c>
      <c r="O1649" s="19" t="str">
        <f t="shared" si="86"/>
        <v/>
      </c>
      <c r="P1649" s="19" t="str">
        <f t="shared" si="86"/>
        <v/>
      </c>
      <c r="Q1649" s="19" t="str">
        <f t="shared" si="86"/>
        <v/>
      </c>
      <c r="X1649" s="92" t="s">
        <v>78</v>
      </c>
      <c r="Y1649" s="92" t="s">
        <v>78</v>
      </c>
      <c r="Z1649" s="92" t="s">
        <v>78</v>
      </c>
    </row>
    <row r="1650" spans="1:26" ht="16" hidden="1" x14ac:dyDescent="0.4">
      <c r="A1650" s="92">
        <v>8234</v>
      </c>
      <c r="B1650" s="92">
        <v>8235</v>
      </c>
      <c r="E1650" s="92">
        <v>50</v>
      </c>
      <c r="F1650" s="92">
        <f>_xlfn.XLOOKUP(B1650, DATA_Moresby_2024_ALL!B:B, DATA_Moresby_2024_ALL!G:G, "")</f>
        <v>0</v>
      </c>
      <c r="G1650" s="93"/>
      <c r="H1650" s="92">
        <v>7</v>
      </c>
      <c r="I1650" s="92" t="str">
        <f t="shared" si="88"/>
        <v>X</v>
      </c>
      <c r="J1650" s="79" t="str">
        <f>IF(G1650="","X",_xlfn.XLOOKUP(B1650,DATA_Moresby_2024_ALL!B:B,DATA_Moresby_2024_ALL!K:K,""))</f>
        <v>X</v>
      </c>
      <c r="K1650" s="28"/>
      <c r="L1650" s="29"/>
      <c r="M1650" s="28"/>
      <c r="N1650" s="19" t="str">
        <f t="shared" si="87"/>
        <v/>
      </c>
      <c r="O1650" s="19" t="str">
        <f t="shared" si="86"/>
        <v/>
      </c>
      <c r="P1650" s="19" t="str">
        <f t="shared" si="86"/>
        <v/>
      </c>
      <c r="Q1650" s="19" t="str">
        <f t="shared" si="86"/>
        <v/>
      </c>
      <c r="X1650" s="92" t="s">
        <v>78</v>
      </c>
      <c r="Y1650" s="92" t="s">
        <v>78</v>
      </c>
      <c r="Z1650" s="92" t="s">
        <v>78</v>
      </c>
    </row>
    <row r="1651" spans="1:26" ht="16" hidden="1" x14ac:dyDescent="0.4">
      <c r="A1651" s="92">
        <v>8239</v>
      </c>
      <c r="B1651" s="92">
        <v>8240</v>
      </c>
      <c r="E1651" s="92">
        <v>50</v>
      </c>
      <c r="F1651" s="92">
        <f>_xlfn.XLOOKUP(B1651, DATA_Moresby_2024_ALL!B:B, DATA_Moresby_2024_ALL!G:G, "")</f>
        <v>0</v>
      </c>
      <c r="G1651" s="93"/>
      <c r="H1651" s="92">
        <v>7</v>
      </c>
      <c r="I1651" s="92" t="str">
        <f t="shared" si="88"/>
        <v>X</v>
      </c>
      <c r="J1651" s="79" t="str">
        <f>IF(G1651="","X",_xlfn.XLOOKUP(B1651,DATA_Moresby_2024_ALL!B:B,DATA_Moresby_2024_ALL!K:K,""))</f>
        <v>X</v>
      </c>
      <c r="K1651" s="28"/>
      <c r="L1651" s="29"/>
      <c r="M1651" s="28"/>
      <c r="N1651" s="19" t="str">
        <f t="shared" si="87"/>
        <v/>
      </c>
      <c r="O1651" s="19" t="str">
        <f t="shared" si="86"/>
        <v/>
      </c>
      <c r="P1651" s="19" t="str">
        <f t="shared" si="86"/>
        <v/>
      </c>
      <c r="Q1651" s="19" t="str">
        <f t="shared" si="86"/>
        <v/>
      </c>
      <c r="X1651" s="92" t="s">
        <v>78</v>
      </c>
      <c r="Y1651" s="92" t="s">
        <v>78</v>
      </c>
      <c r="Z1651" s="92" t="s">
        <v>78</v>
      </c>
    </row>
    <row r="1652" spans="1:26" ht="16" hidden="1" x14ac:dyDescent="0.4">
      <c r="A1652" s="92">
        <v>8244</v>
      </c>
      <c r="B1652" s="92">
        <v>8245</v>
      </c>
      <c r="E1652" s="92">
        <v>50</v>
      </c>
      <c r="F1652" s="92">
        <f>_xlfn.XLOOKUP(B1652, DATA_Moresby_2024_ALL!B:B, DATA_Moresby_2024_ALL!G:G, "")</f>
        <v>0</v>
      </c>
      <c r="G1652" s="93"/>
      <c r="H1652" s="92">
        <v>7</v>
      </c>
      <c r="I1652" s="92" t="str">
        <f t="shared" si="88"/>
        <v>X</v>
      </c>
      <c r="J1652" s="79" t="str">
        <f>IF(G1652="","X",_xlfn.XLOOKUP(B1652,DATA_Moresby_2024_ALL!B:B,DATA_Moresby_2024_ALL!K:K,""))</f>
        <v>X</v>
      </c>
      <c r="K1652" s="28"/>
      <c r="L1652" s="29"/>
      <c r="M1652" s="28"/>
      <c r="N1652" s="19" t="str">
        <f t="shared" si="87"/>
        <v/>
      </c>
      <c r="O1652" s="19" t="str">
        <f t="shared" si="86"/>
        <v/>
      </c>
      <c r="P1652" s="19" t="str">
        <f t="shared" si="86"/>
        <v/>
      </c>
      <c r="Q1652" s="19" t="str">
        <f t="shared" si="86"/>
        <v/>
      </c>
      <c r="X1652" s="92" t="s">
        <v>78</v>
      </c>
      <c r="Y1652" s="92" t="s">
        <v>78</v>
      </c>
      <c r="Z1652" s="92" t="s">
        <v>78</v>
      </c>
    </row>
    <row r="1653" spans="1:26" ht="16" hidden="1" x14ac:dyDescent="0.4">
      <c r="A1653" s="92">
        <v>8249</v>
      </c>
      <c r="B1653" s="92">
        <v>8250</v>
      </c>
      <c r="E1653" s="92">
        <v>50</v>
      </c>
      <c r="F1653" s="92">
        <f>_xlfn.XLOOKUP(B1653, DATA_Moresby_2024_ALL!B:B, DATA_Moresby_2024_ALL!G:G, "")</f>
        <v>0</v>
      </c>
      <c r="G1653" s="93"/>
      <c r="H1653" s="92">
        <v>7</v>
      </c>
      <c r="I1653" s="92" t="str">
        <f t="shared" si="88"/>
        <v>X</v>
      </c>
      <c r="J1653" s="79" t="str">
        <f>IF(G1653="","X",_xlfn.XLOOKUP(B1653,DATA_Moresby_2024_ALL!B:B,DATA_Moresby_2024_ALL!K:K,""))</f>
        <v>X</v>
      </c>
      <c r="K1653" s="28"/>
      <c r="L1653" s="29"/>
      <c r="M1653" s="28"/>
      <c r="N1653" s="19" t="str">
        <f t="shared" si="87"/>
        <v/>
      </c>
      <c r="O1653" s="19" t="str">
        <f t="shared" si="86"/>
        <v/>
      </c>
      <c r="P1653" s="19" t="str">
        <f t="shared" si="86"/>
        <v/>
      </c>
      <c r="Q1653" s="19" t="str">
        <f t="shared" si="86"/>
        <v/>
      </c>
      <c r="X1653" s="92" t="s">
        <v>78</v>
      </c>
      <c r="Y1653" s="92" t="s">
        <v>78</v>
      </c>
      <c r="Z1653" s="92" t="s">
        <v>78</v>
      </c>
    </row>
    <row r="1654" spans="1:26" ht="16" hidden="1" x14ac:dyDescent="0.4">
      <c r="A1654" s="92">
        <v>8254</v>
      </c>
      <c r="B1654" s="92">
        <v>8255</v>
      </c>
      <c r="E1654" s="92">
        <v>50</v>
      </c>
      <c r="F1654" s="92">
        <f>_xlfn.XLOOKUP(B1654, DATA_Moresby_2024_ALL!B:B, DATA_Moresby_2024_ALL!G:G, "")</f>
        <v>0</v>
      </c>
      <c r="G1654" s="93"/>
      <c r="H1654" s="92">
        <v>7</v>
      </c>
      <c r="I1654" s="92" t="str">
        <f t="shared" si="88"/>
        <v>X</v>
      </c>
      <c r="J1654" s="79" t="str">
        <f>IF(G1654="","X",_xlfn.XLOOKUP(B1654,DATA_Moresby_2024_ALL!B:B,DATA_Moresby_2024_ALL!K:K,""))</f>
        <v>X</v>
      </c>
      <c r="K1654" s="28"/>
      <c r="L1654" s="29"/>
      <c r="M1654" s="28"/>
      <c r="N1654" s="19" t="str">
        <f t="shared" si="87"/>
        <v/>
      </c>
      <c r="O1654" s="19" t="str">
        <f t="shared" si="86"/>
        <v/>
      </c>
      <c r="P1654" s="19" t="str">
        <f t="shared" si="86"/>
        <v/>
      </c>
      <c r="Q1654" s="19" t="str">
        <f t="shared" si="86"/>
        <v/>
      </c>
      <c r="X1654" s="92" t="s">
        <v>78</v>
      </c>
      <c r="Y1654" s="92" t="s">
        <v>78</v>
      </c>
      <c r="Z1654" s="92" t="s">
        <v>78</v>
      </c>
    </row>
    <row r="1655" spans="1:26" ht="16" hidden="1" x14ac:dyDescent="0.4">
      <c r="A1655" s="92">
        <v>8259</v>
      </c>
      <c r="B1655" s="92">
        <v>8260</v>
      </c>
      <c r="E1655" s="92">
        <v>50</v>
      </c>
      <c r="F1655" s="92">
        <f>_xlfn.XLOOKUP(B1655, DATA_Moresby_2024_ALL!B:B, DATA_Moresby_2024_ALL!G:G, "")</f>
        <v>0</v>
      </c>
      <c r="G1655" s="93"/>
      <c r="H1655" s="92">
        <v>7</v>
      </c>
      <c r="I1655" s="92" t="str">
        <f t="shared" si="88"/>
        <v>X</v>
      </c>
      <c r="J1655" s="79" t="str">
        <f>IF(G1655="","X",_xlfn.XLOOKUP(B1655,DATA_Moresby_2024_ALL!B:B,DATA_Moresby_2024_ALL!K:K,""))</f>
        <v>X</v>
      </c>
      <c r="K1655" s="28"/>
      <c r="L1655" s="29"/>
      <c r="M1655" s="28"/>
      <c r="N1655" s="19" t="str">
        <f t="shared" si="87"/>
        <v/>
      </c>
      <c r="O1655" s="19" t="str">
        <f t="shared" si="86"/>
        <v/>
      </c>
      <c r="P1655" s="19" t="str">
        <f t="shared" si="86"/>
        <v/>
      </c>
      <c r="Q1655" s="19" t="str">
        <f t="shared" si="86"/>
        <v/>
      </c>
      <c r="X1655" s="92" t="s">
        <v>78</v>
      </c>
      <c r="Y1655" s="92" t="s">
        <v>78</v>
      </c>
      <c r="Z1655" s="92" t="s">
        <v>78</v>
      </c>
    </row>
    <row r="1656" spans="1:26" ht="16" hidden="1" x14ac:dyDescent="0.4">
      <c r="A1656" s="92">
        <v>8264</v>
      </c>
      <c r="B1656" s="92">
        <v>8265</v>
      </c>
      <c r="E1656" s="92">
        <v>50</v>
      </c>
      <c r="F1656" s="92">
        <f>_xlfn.XLOOKUP(B1656, DATA_Moresby_2024_ALL!B:B, DATA_Moresby_2024_ALL!G:G, "")</f>
        <v>0</v>
      </c>
      <c r="G1656" s="93"/>
      <c r="H1656" s="92">
        <v>7</v>
      </c>
      <c r="I1656" s="92" t="str">
        <f t="shared" si="88"/>
        <v>X</v>
      </c>
      <c r="J1656" s="79" t="str">
        <f>IF(G1656="","X",_xlfn.XLOOKUP(B1656,DATA_Moresby_2024_ALL!B:B,DATA_Moresby_2024_ALL!K:K,""))</f>
        <v>X</v>
      </c>
      <c r="K1656" s="28"/>
      <c r="L1656" s="29"/>
      <c r="M1656" s="28"/>
      <c r="N1656" s="19" t="str">
        <f t="shared" si="87"/>
        <v/>
      </c>
      <c r="O1656" s="19" t="str">
        <f t="shared" si="86"/>
        <v/>
      </c>
      <c r="P1656" s="19" t="str">
        <f t="shared" si="86"/>
        <v/>
      </c>
      <c r="Q1656" s="19" t="str">
        <f t="shared" si="86"/>
        <v/>
      </c>
      <c r="X1656" s="92" t="s">
        <v>78</v>
      </c>
      <c r="Y1656" s="92" t="s">
        <v>78</v>
      </c>
      <c r="Z1656" s="92" t="s">
        <v>78</v>
      </c>
    </row>
    <row r="1657" spans="1:26" ht="16" hidden="1" x14ac:dyDescent="0.4">
      <c r="A1657" s="92">
        <v>8269</v>
      </c>
      <c r="B1657" s="92">
        <v>8270</v>
      </c>
      <c r="E1657" s="92">
        <v>50</v>
      </c>
      <c r="F1657" s="92">
        <f>_xlfn.XLOOKUP(B1657, DATA_Moresby_2024_ALL!B:B, DATA_Moresby_2024_ALL!G:G, "")</f>
        <v>0</v>
      </c>
      <c r="G1657" s="93"/>
      <c r="H1657" s="92">
        <v>7</v>
      </c>
      <c r="I1657" s="92" t="str">
        <f t="shared" si="88"/>
        <v>X</v>
      </c>
      <c r="J1657" s="79" t="str">
        <f>IF(G1657="","X",_xlfn.XLOOKUP(B1657,DATA_Moresby_2024_ALL!B:B,DATA_Moresby_2024_ALL!K:K,""))</f>
        <v>X</v>
      </c>
      <c r="K1657" s="28"/>
      <c r="L1657" s="29"/>
      <c r="M1657" s="28"/>
      <c r="N1657" s="19" t="str">
        <f t="shared" si="87"/>
        <v/>
      </c>
      <c r="O1657" s="19" t="str">
        <f t="shared" si="86"/>
        <v/>
      </c>
      <c r="P1657" s="19" t="str">
        <f t="shared" si="86"/>
        <v/>
      </c>
      <c r="Q1657" s="19" t="str">
        <f t="shared" si="86"/>
        <v/>
      </c>
      <c r="X1657" s="92" t="s">
        <v>78</v>
      </c>
      <c r="Y1657" s="92" t="s">
        <v>78</v>
      </c>
      <c r="Z1657" s="92" t="s">
        <v>78</v>
      </c>
    </row>
    <row r="1658" spans="1:26" ht="16" hidden="1" x14ac:dyDescent="0.4">
      <c r="A1658" s="92">
        <v>8274</v>
      </c>
      <c r="B1658" s="92">
        <v>8275</v>
      </c>
      <c r="E1658" s="92">
        <v>50</v>
      </c>
      <c r="F1658" s="92">
        <f>_xlfn.XLOOKUP(B1658, DATA_Moresby_2024_ALL!B:B, DATA_Moresby_2024_ALL!G:G, "")</f>
        <v>0</v>
      </c>
      <c r="G1658" s="93"/>
      <c r="H1658" s="92">
        <v>7</v>
      </c>
      <c r="I1658" s="92" t="str">
        <f t="shared" si="88"/>
        <v>X</v>
      </c>
      <c r="J1658" s="79" t="str">
        <f>IF(G1658="","X",_xlfn.XLOOKUP(B1658,DATA_Moresby_2024_ALL!B:B,DATA_Moresby_2024_ALL!K:K,""))</f>
        <v>X</v>
      </c>
      <c r="K1658" s="28"/>
      <c r="L1658" s="29"/>
      <c r="M1658" s="28"/>
      <c r="N1658" s="19" t="str">
        <f t="shared" si="87"/>
        <v/>
      </c>
      <c r="O1658" s="19" t="str">
        <f t="shared" si="86"/>
        <v/>
      </c>
      <c r="P1658" s="19" t="str">
        <f t="shared" si="86"/>
        <v/>
      </c>
      <c r="Q1658" s="19" t="str">
        <f t="shared" si="86"/>
        <v/>
      </c>
      <c r="X1658" s="92" t="s">
        <v>78</v>
      </c>
      <c r="Y1658" s="92" t="s">
        <v>78</v>
      </c>
      <c r="Z1658" s="92" t="s">
        <v>78</v>
      </c>
    </row>
    <row r="1659" spans="1:26" ht="16" hidden="1" x14ac:dyDescent="0.4">
      <c r="A1659" s="92">
        <v>8279</v>
      </c>
      <c r="B1659" s="92">
        <v>8280</v>
      </c>
      <c r="E1659" s="92">
        <v>50</v>
      </c>
      <c r="F1659" s="92">
        <f>_xlfn.XLOOKUP(B1659, DATA_Moresby_2024_ALL!B:B, DATA_Moresby_2024_ALL!G:G, "")</f>
        <v>0</v>
      </c>
      <c r="G1659" s="93"/>
      <c r="H1659" s="92">
        <v>7</v>
      </c>
      <c r="I1659" s="92" t="str">
        <f t="shared" si="88"/>
        <v>X</v>
      </c>
      <c r="J1659" s="79" t="str">
        <f>IF(G1659="","X",_xlfn.XLOOKUP(B1659,DATA_Moresby_2024_ALL!B:B,DATA_Moresby_2024_ALL!K:K,""))</f>
        <v>X</v>
      </c>
      <c r="K1659" s="28"/>
      <c r="L1659" s="29"/>
      <c r="M1659" s="28"/>
      <c r="N1659" s="19" t="str">
        <f t="shared" si="87"/>
        <v/>
      </c>
      <c r="O1659" s="19" t="str">
        <f t="shared" si="86"/>
        <v/>
      </c>
      <c r="P1659" s="19" t="str">
        <f t="shared" si="86"/>
        <v/>
      </c>
      <c r="Q1659" s="19" t="str">
        <f t="shared" si="86"/>
        <v/>
      </c>
      <c r="X1659" s="92" t="s">
        <v>78</v>
      </c>
      <c r="Y1659" s="92" t="s">
        <v>78</v>
      </c>
      <c r="Z1659" s="92" t="s">
        <v>78</v>
      </c>
    </row>
    <row r="1660" spans="1:26" ht="16" hidden="1" x14ac:dyDescent="0.4">
      <c r="A1660" s="92">
        <v>8284</v>
      </c>
      <c r="B1660" s="92">
        <v>8285</v>
      </c>
      <c r="E1660" s="92">
        <v>50</v>
      </c>
      <c r="F1660" s="92">
        <f>_xlfn.XLOOKUP(B1660, DATA_Moresby_2024_ALL!B:B, DATA_Moresby_2024_ALL!G:G, "")</f>
        <v>0</v>
      </c>
      <c r="G1660" s="93"/>
      <c r="H1660" s="92">
        <v>7</v>
      </c>
      <c r="I1660" s="92" t="str">
        <f t="shared" si="88"/>
        <v>X</v>
      </c>
      <c r="J1660" s="79" t="str">
        <f>IF(G1660="","X",_xlfn.XLOOKUP(B1660,DATA_Moresby_2024_ALL!B:B,DATA_Moresby_2024_ALL!K:K,""))</f>
        <v>X</v>
      </c>
      <c r="K1660" s="28"/>
      <c r="L1660" s="29"/>
      <c r="M1660" s="28"/>
      <c r="N1660" s="19" t="str">
        <f t="shared" si="87"/>
        <v/>
      </c>
      <c r="O1660" s="19" t="str">
        <f t="shared" si="86"/>
        <v/>
      </c>
      <c r="P1660" s="19" t="str">
        <f t="shared" si="86"/>
        <v/>
      </c>
      <c r="Q1660" s="19" t="str">
        <f t="shared" si="86"/>
        <v/>
      </c>
      <c r="X1660" s="92" t="s">
        <v>78</v>
      </c>
      <c r="Y1660" s="92" t="s">
        <v>78</v>
      </c>
      <c r="Z1660" s="92" t="s">
        <v>78</v>
      </c>
    </row>
    <row r="1661" spans="1:26" ht="16" hidden="1" x14ac:dyDescent="0.4">
      <c r="A1661" s="92">
        <v>8289</v>
      </c>
      <c r="B1661" s="92">
        <v>8290</v>
      </c>
      <c r="E1661" s="92">
        <v>50</v>
      </c>
      <c r="F1661" s="92">
        <f>_xlfn.XLOOKUP(B1661, DATA_Moresby_2024_ALL!B:B, DATA_Moresby_2024_ALL!G:G, "")</f>
        <v>0</v>
      </c>
      <c r="G1661" s="93"/>
      <c r="H1661" s="92">
        <v>7</v>
      </c>
      <c r="I1661" s="92" t="str">
        <f t="shared" si="88"/>
        <v>X</v>
      </c>
      <c r="J1661" s="79" t="str">
        <f>IF(G1661="","X",_xlfn.XLOOKUP(B1661,DATA_Moresby_2024_ALL!B:B,DATA_Moresby_2024_ALL!K:K,""))</f>
        <v>X</v>
      </c>
      <c r="K1661" s="28"/>
      <c r="L1661" s="29"/>
      <c r="M1661" s="28"/>
      <c r="N1661" s="19" t="str">
        <f t="shared" si="87"/>
        <v/>
      </c>
      <c r="O1661" s="19" t="str">
        <f t="shared" si="86"/>
        <v/>
      </c>
      <c r="P1661" s="19" t="str">
        <f t="shared" si="86"/>
        <v/>
      </c>
      <c r="Q1661" s="19" t="str">
        <f t="shared" si="86"/>
        <v/>
      </c>
      <c r="X1661" s="92" t="s">
        <v>78</v>
      </c>
      <c r="Y1661" s="92" t="s">
        <v>78</v>
      </c>
      <c r="Z1661" s="92" t="s">
        <v>78</v>
      </c>
    </row>
    <row r="1662" spans="1:26" ht="16" hidden="1" x14ac:dyDescent="0.4">
      <c r="A1662" s="92">
        <v>8294</v>
      </c>
      <c r="B1662" s="92">
        <v>8295</v>
      </c>
      <c r="E1662" s="92">
        <v>50</v>
      </c>
      <c r="F1662" s="92">
        <f>_xlfn.XLOOKUP(B1662, DATA_Moresby_2024_ALL!B:B, DATA_Moresby_2024_ALL!G:G, "")</f>
        <v>0</v>
      </c>
      <c r="G1662" s="93"/>
      <c r="H1662" s="92">
        <v>7</v>
      </c>
      <c r="I1662" s="92" t="str">
        <f t="shared" si="88"/>
        <v>X</v>
      </c>
      <c r="J1662" s="79" t="str">
        <f>IF(G1662="","X",_xlfn.XLOOKUP(B1662,DATA_Moresby_2024_ALL!B:B,DATA_Moresby_2024_ALL!K:K,""))</f>
        <v>X</v>
      </c>
      <c r="K1662" s="28"/>
      <c r="L1662" s="29"/>
      <c r="M1662" s="28"/>
      <c r="N1662" s="19" t="str">
        <f t="shared" si="87"/>
        <v/>
      </c>
      <c r="O1662" s="19" t="str">
        <f t="shared" si="86"/>
        <v/>
      </c>
      <c r="P1662" s="19" t="str">
        <f t="shared" si="86"/>
        <v/>
      </c>
      <c r="Q1662" s="19" t="str">
        <f t="shared" si="86"/>
        <v/>
      </c>
      <c r="X1662" s="92" t="s">
        <v>78</v>
      </c>
      <c r="Y1662" s="92" t="s">
        <v>78</v>
      </c>
      <c r="Z1662" s="92" t="s">
        <v>78</v>
      </c>
    </row>
    <row r="1663" spans="1:26" ht="16" hidden="1" x14ac:dyDescent="0.4">
      <c r="A1663" s="92">
        <v>8299</v>
      </c>
      <c r="B1663" s="92">
        <v>8300</v>
      </c>
      <c r="E1663" s="92">
        <v>50</v>
      </c>
      <c r="F1663" s="92">
        <f>_xlfn.XLOOKUP(B1663, DATA_Moresby_2024_ALL!B:B, DATA_Moresby_2024_ALL!G:G, "")</f>
        <v>0</v>
      </c>
      <c r="G1663" s="93"/>
      <c r="H1663" s="92">
        <v>7</v>
      </c>
      <c r="I1663" s="92" t="str">
        <f t="shared" si="88"/>
        <v>X</v>
      </c>
      <c r="J1663" s="79" t="str">
        <f>IF(G1663="","X",_xlfn.XLOOKUP(B1663,DATA_Moresby_2024_ALL!B:B,DATA_Moresby_2024_ALL!K:K,""))</f>
        <v>X</v>
      </c>
      <c r="K1663" s="28"/>
      <c r="L1663" s="29"/>
      <c r="M1663" s="28"/>
      <c r="N1663" s="19" t="str">
        <f t="shared" si="87"/>
        <v/>
      </c>
      <c r="O1663" s="19" t="str">
        <f t="shared" si="86"/>
        <v/>
      </c>
      <c r="P1663" s="19" t="str">
        <f t="shared" si="86"/>
        <v/>
      </c>
      <c r="Q1663" s="19" t="str">
        <f t="shared" si="86"/>
        <v/>
      </c>
      <c r="X1663" s="92" t="s">
        <v>78</v>
      </c>
      <c r="Y1663" s="92" t="s">
        <v>78</v>
      </c>
      <c r="Z1663" s="92" t="s">
        <v>78</v>
      </c>
    </row>
    <row r="1664" spans="1:26" ht="16" hidden="1" x14ac:dyDescent="0.4">
      <c r="A1664" s="92">
        <v>8304</v>
      </c>
      <c r="B1664" s="92">
        <v>8305</v>
      </c>
      <c r="E1664" s="92">
        <v>50</v>
      </c>
      <c r="F1664" s="92">
        <f>_xlfn.XLOOKUP(B1664, DATA_Moresby_2024_ALL!B:B, DATA_Moresby_2024_ALL!G:G, "")</f>
        <v>0</v>
      </c>
      <c r="G1664" s="93"/>
      <c r="H1664" s="92">
        <v>7</v>
      </c>
      <c r="I1664" s="92" t="str">
        <f t="shared" si="88"/>
        <v>X</v>
      </c>
      <c r="J1664" s="79" t="str">
        <f>IF(G1664="","X",_xlfn.XLOOKUP(B1664,DATA_Moresby_2024_ALL!B:B,DATA_Moresby_2024_ALL!K:K,""))</f>
        <v>X</v>
      </c>
      <c r="K1664" s="28"/>
      <c r="L1664" s="29"/>
      <c r="M1664" s="28"/>
      <c r="N1664" s="19" t="str">
        <f t="shared" si="87"/>
        <v/>
      </c>
      <c r="O1664" s="19" t="str">
        <f t="shared" si="86"/>
        <v/>
      </c>
      <c r="P1664" s="19" t="str">
        <f t="shared" si="86"/>
        <v/>
      </c>
      <c r="Q1664" s="19" t="str">
        <f t="shared" si="86"/>
        <v/>
      </c>
      <c r="X1664" s="92" t="s">
        <v>78</v>
      </c>
      <c r="Y1664" s="92" t="s">
        <v>78</v>
      </c>
      <c r="Z1664" s="92" t="s">
        <v>78</v>
      </c>
    </row>
    <row r="1665" spans="1:26" ht="16" hidden="1" x14ac:dyDescent="0.4">
      <c r="A1665" s="92">
        <v>8309</v>
      </c>
      <c r="B1665" s="92">
        <v>8310</v>
      </c>
      <c r="E1665" s="92">
        <v>50</v>
      </c>
      <c r="F1665" s="92">
        <f>_xlfn.XLOOKUP(B1665, DATA_Moresby_2024_ALL!B:B, DATA_Moresby_2024_ALL!G:G, "")</f>
        <v>0</v>
      </c>
      <c r="G1665" s="93"/>
      <c r="H1665" s="92">
        <v>7</v>
      </c>
      <c r="I1665" s="92" t="str">
        <f t="shared" si="88"/>
        <v>X</v>
      </c>
      <c r="J1665" s="79" t="str">
        <f>IF(G1665="","X",_xlfn.XLOOKUP(B1665,DATA_Moresby_2024_ALL!B:B,DATA_Moresby_2024_ALL!K:K,""))</f>
        <v>X</v>
      </c>
      <c r="K1665" s="28"/>
      <c r="L1665" s="29"/>
      <c r="M1665" s="28"/>
      <c r="N1665" s="19" t="str">
        <f t="shared" si="87"/>
        <v/>
      </c>
      <c r="O1665" s="19" t="str">
        <f t="shared" si="86"/>
        <v/>
      </c>
      <c r="P1665" s="19" t="str">
        <f t="shared" si="86"/>
        <v/>
      </c>
      <c r="Q1665" s="19" t="str">
        <f t="shared" si="86"/>
        <v/>
      </c>
      <c r="X1665" s="92" t="s">
        <v>78</v>
      </c>
      <c r="Y1665" s="92" t="s">
        <v>78</v>
      </c>
      <c r="Z1665" s="92" t="s">
        <v>78</v>
      </c>
    </row>
    <row r="1666" spans="1:26" ht="16" hidden="1" x14ac:dyDescent="0.4">
      <c r="A1666" s="92">
        <v>8314</v>
      </c>
      <c r="B1666" s="92">
        <v>8315</v>
      </c>
      <c r="E1666" s="92">
        <v>50</v>
      </c>
      <c r="F1666" s="92">
        <f>_xlfn.XLOOKUP(B1666, DATA_Moresby_2024_ALL!B:B, DATA_Moresby_2024_ALL!G:G, "")</f>
        <v>0</v>
      </c>
      <c r="G1666" s="93"/>
      <c r="H1666" s="92">
        <v>7</v>
      </c>
      <c r="I1666" s="92" t="str">
        <f t="shared" si="88"/>
        <v>X</v>
      </c>
      <c r="J1666" s="79" t="str">
        <f>IF(G1666="","X",_xlfn.XLOOKUP(B1666,DATA_Moresby_2024_ALL!B:B,DATA_Moresby_2024_ALL!K:K,""))</f>
        <v>X</v>
      </c>
      <c r="K1666" s="28"/>
      <c r="L1666" s="29"/>
      <c r="M1666" s="28"/>
      <c r="N1666" s="19" t="str">
        <f t="shared" si="87"/>
        <v/>
      </c>
      <c r="O1666" s="19" t="str">
        <f t="shared" si="86"/>
        <v/>
      </c>
      <c r="P1666" s="19" t="str">
        <f t="shared" si="86"/>
        <v/>
      </c>
      <c r="Q1666" s="19" t="str">
        <f t="shared" si="86"/>
        <v/>
      </c>
      <c r="X1666" s="92" t="s">
        <v>78</v>
      </c>
      <c r="Y1666" s="92" t="s">
        <v>78</v>
      </c>
      <c r="Z1666" s="92" t="s">
        <v>78</v>
      </c>
    </row>
    <row r="1667" spans="1:26" ht="16" hidden="1" x14ac:dyDescent="0.4">
      <c r="A1667" s="92">
        <v>8319</v>
      </c>
      <c r="B1667" s="92">
        <v>8320</v>
      </c>
      <c r="E1667" s="92">
        <v>50</v>
      </c>
      <c r="F1667" s="92">
        <f>_xlfn.XLOOKUP(B1667, DATA_Moresby_2024_ALL!B:B, DATA_Moresby_2024_ALL!G:G, "")</f>
        <v>0</v>
      </c>
      <c r="G1667" s="93"/>
      <c r="H1667" s="92">
        <v>7</v>
      </c>
      <c r="I1667" s="92" t="str">
        <f t="shared" si="88"/>
        <v>X</v>
      </c>
      <c r="J1667" s="79" t="str">
        <f>IF(G1667="","X",_xlfn.XLOOKUP(B1667,DATA_Moresby_2024_ALL!B:B,DATA_Moresby_2024_ALL!K:K,""))</f>
        <v>X</v>
      </c>
      <c r="K1667" s="28"/>
      <c r="L1667" s="29"/>
      <c r="M1667" s="28"/>
      <c r="N1667" s="19" t="str">
        <f t="shared" si="87"/>
        <v/>
      </c>
      <c r="O1667" s="19" t="str">
        <f t="shared" si="86"/>
        <v/>
      </c>
      <c r="P1667" s="19" t="str">
        <f t="shared" si="86"/>
        <v/>
      </c>
      <c r="Q1667" s="19" t="str">
        <f t="shared" si="86"/>
        <v/>
      </c>
      <c r="X1667" s="92" t="s">
        <v>78</v>
      </c>
      <c r="Y1667" s="92" t="s">
        <v>78</v>
      </c>
      <c r="Z1667" s="92" t="s">
        <v>78</v>
      </c>
    </row>
    <row r="1668" spans="1:26" ht="16" hidden="1" x14ac:dyDescent="0.4">
      <c r="A1668" s="92">
        <v>8324</v>
      </c>
      <c r="B1668" s="92">
        <v>8325</v>
      </c>
      <c r="E1668" s="92">
        <v>50</v>
      </c>
      <c r="F1668" s="92">
        <f>_xlfn.XLOOKUP(B1668, DATA_Moresby_2024_ALL!B:B, DATA_Moresby_2024_ALL!G:G, "")</f>
        <v>0</v>
      </c>
      <c r="G1668" s="93"/>
      <c r="H1668" s="92">
        <v>7</v>
      </c>
      <c r="I1668" s="92" t="str">
        <f t="shared" si="88"/>
        <v>X</v>
      </c>
      <c r="J1668" s="79" t="str">
        <f>IF(G1668="","X",_xlfn.XLOOKUP(B1668,DATA_Moresby_2024_ALL!B:B,DATA_Moresby_2024_ALL!K:K,""))</f>
        <v>X</v>
      </c>
      <c r="K1668" s="28"/>
      <c r="L1668" s="29"/>
      <c r="M1668" s="28"/>
      <c r="N1668" s="19" t="str">
        <f t="shared" si="87"/>
        <v/>
      </c>
      <c r="O1668" s="19" t="str">
        <f t="shared" si="86"/>
        <v/>
      </c>
      <c r="P1668" s="19" t="str">
        <f t="shared" si="86"/>
        <v/>
      </c>
      <c r="Q1668" s="19" t="str">
        <f t="shared" si="86"/>
        <v/>
      </c>
      <c r="X1668" s="92" t="s">
        <v>78</v>
      </c>
      <c r="Y1668" s="92" t="s">
        <v>78</v>
      </c>
      <c r="Z1668" s="92" t="s">
        <v>78</v>
      </c>
    </row>
    <row r="1669" spans="1:26" ht="16" hidden="1" x14ac:dyDescent="0.4">
      <c r="A1669" s="92">
        <v>8329</v>
      </c>
      <c r="B1669" s="92">
        <v>8330</v>
      </c>
      <c r="E1669" s="92">
        <v>50</v>
      </c>
      <c r="F1669" s="92">
        <f>_xlfn.XLOOKUP(B1669, DATA_Moresby_2024_ALL!B:B, DATA_Moresby_2024_ALL!G:G, "")</f>
        <v>0</v>
      </c>
      <c r="G1669" s="93"/>
      <c r="H1669" s="92">
        <v>7</v>
      </c>
      <c r="I1669" s="92" t="str">
        <f t="shared" si="88"/>
        <v>X</v>
      </c>
      <c r="J1669" s="79" t="str">
        <f>IF(G1669="","X",_xlfn.XLOOKUP(B1669,DATA_Moresby_2024_ALL!B:B,DATA_Moresby_2024_ALL!K:K,""))</f>
        <v>X</v>
      </c>
      <c r="K1669" s="28"/>
      <c r="L1669" s="29"/>
      <c r="M1669" s="28"/>
      <c r="N1669" s="19" t="str">
        <f t="shared" si="87"/>
        <v/>
      </c>
      <c r="O1669" s="19" t="str">
        <f t="shared" si="86"/>
        <v/>
      </c>
      <c r="P1669" s="19" t="str">
        <f t="shared" si="86"/>
        <v/>
      </c>
      <c r="Q1669" s="19" t="str">
        <f t="shared" si="86"/>
        <v/>
      </c>
      <c r="X1669" s="92" t="s">
        <v>78</v>
      </c>
      <c r="Y1669" s="92" t="s">
        <v>78</v>
      </c>
      <c r="Z1669" s="92" t="s">
        <v>78</v>
      </c>
    </row>
    <row r="1670" spans="1:26" ht="16" hidden="1" x14ac:dyDescent="0.4">
      <c r="A1670" s="92">
        <v>8334</v>
      </c>
      <c r="B1670" s="92">
        <v>8335</v>
      </c>
      <c r="E1670" s="92">
        <v>50</v>
      </c>
      <c r="F1670" s="92">
        <f>_xlfn.XLOOKUP(B1670, DATA_Moresby_2024_ALL!B:B, DATA_Moresby_2024_ALL!G:G, "")</f>
        <v>0</v>
      </c>
      <c r="G1670" s="93"/>
      <c r="H1670" s="92">
        <v>7</v>
      </c>
      <c r="I1670" s="92" t="str">
        <f t="shared" si="88"/>
        <v>X</v>
      </c>
      <c r="J1670" s="79" t="str">
        <f>IF(G1670="","X",_xlfn.XLOOKUP(B1670,DATA_Moresby_2024_ALL!B:B,DATA_Moresby_2024_ALL!K:K,""))</f>
        <v>X</v>
      </c>
      <c r="K1670" s="28"/>
      <c r="L1670" s="29"/>
      <c r="M1670" s="28"/>
      <c r="N1670" s="19" t="str">
        <f t="shared" si="87"/>
        <v/>
      </c>
      <c r="O1670" s="19" t="str">
        <f t="shared" si="86"/>
        <v/>
      </c>
      <c r="P1670" s="19" t="str">
        <f t="shared" si="86"/>
        <v/>
      </c>
      <c r="Q1670" s="19" t="str">
        <f t="shared" si="86"/>
        <v/>
      </c>
      <c r="X1670" s="92" t="s">
        <v>78</v>
      </c>
      <c r="Y1670" s="92" t="s">
        <v>78</v>
      </c>
      <c r="Z1670" s="92" t="s">
        <v>78</v>
      </c>
    </row>
    <row r="1671" spans="1:26" ht="16" hidden="1" x14ac:dyDescent="0.4">
      <c r="A1671" s="92">
        <v>8339</v>
      </c>
      <c r="B1671" s="92">
        <v>8340</v>
      </c>
      <c r="E1671" s="92">
        <v>50</v>
      </c>
      <c r="F1671" s="92">
        <f>_xlfn.XLOOKUP(B1671, DATA_Moresby_2024_ALL!B:B, DATA_Moresby_2024_ALL!G:G, "")</f>
        <v>0</v>
      </c>
      <c r="G1671" s="93"/>
      <c r="H1671" s="92">
        <v>7</v>
      </c>
      <c r="I1671" s="92" t="str">
        <f t="shared" si="88"/>
        <v>X</v>
      </c>
      <c r="J1671" s="79" t="str">
        <f>IF(G1671="","X",_xlfn.XLOOKUP(B1671,DATA_Moresby_2024_ALL!B:B,DATA_Moresby_2024_ALL!K:K,""))</f>
        <v>X</v>
      </c>
      <c r="K1671" s="28"/>
      <c r="L1671" s="29"/>
      <c r="M1671" s="28"/>
      <c r="N1671" s="19" t="str">
        <f t="shared" si="87"/>
        <v/>
      </c>
      <c r="O1671" s="19" t="str">
        <f t="shared" si="86"/>
        <v/>
      </c>
      <c r="P1671" s="19" t="str">
        <f t="shared" si="86"/>
        <v/>
      </c>
      <c r="Q1671" s="19" t="str">
        <f t="shared" si="86"/>
        <v/>
      </c>
      <c r="X1671" s="92" t="s">
        <v>78</v>
      </c>
      <c r="Y1671" s="92" t="s">
        <v>78</v>
      </c>
      <c r="Z1671" s="92" t="s">
        <v>78</v>
      </c>
    </row>
    <row r="1672" spans="1:26" ht="16" hidden="1" x14ac:dyDescent="0.4">
      <c r="A1672" s="92">
        <v>8344</v>
      </c>
      <c r="B1672" s="92">
        <v>8345</v>
      </c>
      <c r="E1672" s="92">
        <v>50</v>
      </c>
      <c r="F1672" s="92">
        <f>_xlfn.XLOOKUP(B1672, DATA_Moresby_2024_ALL!B:B, DATA_Moresby_2024_ALL!G:G, "")</f>
        <v>0</v>
      </c>
      <c r="G1672" s="93"/>
      <c r="H1672" s="92">
        <v>7</v>
      </c>
      <c r="I1672" s="92" t="str">
        <f t="shared" si="88"/>
        <v>X</v>
      </c>
      <c r="J1672" s="79" t="str">
        <f>IF(G1672="","X",_xlfn.XLOOKUP(B1672,DATA_Moresby_2024_ALL!B:B,DATA_Moresby_2024_ALL!K:K,""))</f>
        <v>X</v>
      </c>
      <c r="K1672" s="28"/>
      <c r="L1672" s="29"/>
      <c r="M1672" s="28"/>
      <c r="N1672" s="19" t="str">
        <f t="shared" si="87"/>
        <v/>
      </c>
      <c r="O1672" s="19" t="str">
        <f t="shared" si="86"/>
        <v/>
      </c>
      <c r="P1672" s="19" t="str">
        <f t="shared" si="86"/>
        <v/>
      </c>
      <c r="Q1672" s="19" t="str">
        <f t="shared" si="86"/>
        <v/>
      </c>
      <c r="X1672" s="92" t="s">
        <v>78</v>
      </c>
      <c r="Y1672" s="92" t="s">
        <v>78</v>
      </c>
      <c r="Z1672" s="92" t="s">
        <v>78</v>
      </c>
    </row>
    <row r="1673" spans="1:26" ht="16" hidden="1" x14ac:dyDescent="0.4">
      <c r="A1673" s="92">
        <v>8349</v>
      </c>
      <c r="B1673" s="92">
        <v>8350</v>
      </c>
      <c r="E1673" s="92">
        <v>50</v>
      </c>
      <c r="F1673" s="92">
        <f>_xlfn.XLOOKUP(B1673, DATA_Moresby_2024_ALL!B:B, DATA_Moresby_2024_ALL!G:G, "")</f>
        <v>0</v>
      </c>
      <c r="G1673" s="93"/>
      <c r="H1673" s="92">
        <v>7</v>
      </c>
      <c r="I1673" s="92" t="str">
        <f t="shared" si="88"/>
        <v>X</v>
      </c>
      <c r="J1673" s="79" t="str">
        <f>IF(G1673="","X",_xlfn.XLOOKUP(B1673,DATA_Moresby_2024_ALL!B:B,DATA_Moresby_2024_ALL!K:K,""))</f>
        <v>X</v>
      </c>
      <c r="K1673" s="28"/>
      <c r="L1673" s="29"/>
      <c r="M1673" s="28"/>
      <c r="N1673" s="19" t="str">
        <f t="shared" si="87"/>
        <v/>
      </c>
      <c r="O1673" s="19" t="str">
        <f t="shared" si="86"/>
        <v/>
      </c>
      <c r="P1673" s="19" t="str">
        <f t="shared" si="86"/>
        <v/>
      </c>
      <c r="Q1673" s="19" t="str">
        <f t="shared" si="86"/>
        <v/>
      </c>
      <c r="X1673" s="92" t="s">
        <v>78</v>
      </c>
      <c r="Y1673" s="92" t="s">
        <v>78</v>
      </c>
      <c r="Z1673" s="92" t="s">
        <v>78</v>
      </c>
    </row>
    <row r="1674" spans="1:26" ht="16" hidden="1" x14ac:dyDescent="0.4">
      <c r="A1674" s="92">
        <v>8354</v>
      </c>
      <c r="B1674" s="92">
        <v>8355</v>
      </c>
      <c r="E1674" s="92">
        <v>50</v>
      </c>
      <c r="F1674" s="92">
        <f>_xlfn.XLOOKUP(B1674, DATA_Moresby_2024_ALL!B:B, DATA_Moresby_2024_ALL!G:G, "")</f>
        <v>0</v>
      </c>
      <c r="G1674" s="93"/>
      <c r="H1674" s="92">
        <v>7</v>
      </c>
      <c r="I1674" s="92" t="str">
        <f t="shared" si="88"/>
        <v>X</v>
      </c>
      <c r="J1674" s="79" t="str">
        <f>IF(G1674="","X",_xlfn.XLOOKUP(B1674,DATA_Moresby_2024_ALL!B:B,DATA_Moresby_2024_ALL!K:K,""))</f>
        <v>X</v>
      </c>
      <c r="K1674" s="28"/>
      <c r="L1674" s="29"/>
      <c r="M1674" s="28"/>
      <c r="N1674" s="19" t="str">
        <f t="shared" si="87"/>
        <v/>
      </c>
      <c r="O1674" s="19" t="str">
        <f t="shared" si="86"/>
        <v/>
      </c>
      <c r="P1674" s="19" t="str">
        <f t="shared" si="86"/>
        <v/>
      </c>
      <c r="Q1674" s="19" t="str">
        <f t="shared" si="86"/>
        <v/>
      </c>
      <c r="X1674" s="92" t="s">
        <v>78</v>
      </c>
      <c r="Y1674" s="92" t="s">
        <v>78</v>
      </c>
      <c r="Z1674" s="92" t="s">
        <v>78</v>
      </c>
    </row>
    <row r="1675" spans="1:26" ht="16" hidden="1" x14ac:dyDescent="0.4">
      <c r="A1675" s="92">
        <v>8359</v>
      </c>
      <c r="B1675" s="92">
        <v>8360</v>
      </c>
      <c r="E1675" s="92">
        <v>50</v>
      </c>
      <c r="F1675" s="92">
        <f>_xlfn.XLOOKUP(B1675, DATA_Moresby_2024_ALL!B:B, DATA_Moresby_2024_ALL!G:G, "")</f>
        <v>0</v>
      </c>
      <c r="G1675" s="93"/>
      <c r="H1675" s="92">
        <v>7</v>
      </c>
      <c r="I1675" s="92" t="str">
        <f t="shared" si="88"/>
        <v>X</v>
      </c>
      <c r="J1675" s="79" t="str">
        <f>IF(G1675="","X",_xlfn.XLOOKUP(B1675,DATA_Moresby_2024_ALL!B:B,DATA_Moresby_2024_ALL!K:K,""))</f>
        <v>X</v>
      </c>
      <c r="K1675" s="28"/>
      <c r="L1675" s="29"/>
      <c r="M1675" s="28"/>
      <c r="N1675" s="19" t="str">
        <f t="shared" si="87"/>
        <v/>
      </c>
      <c r="O1675" s="19" t="str">
        <f t="shared" si="86"/>
        <v/>
      </c>
      <c r="P1675" s="19" t="str">
        <f t="shared" si="86"/>
        <v/>
      </c>
      <c r="Q1675" s="19" t="str">
        <f t="shared" si="86"/>
        <v/>
      </c>
      <c r="X1675" s="92" t="s">
        <v>78</v>
      </c>
      <c r="Y1675" s="92" t="s">
        <v>78</v>
      </c>
      <c r="Z1675" s="92" t="s">
        <v>78</v>
      </c>
    </row>
    <row r="1676" spans="1:26" ht="16" hidden="1" x14ac:dyDescent="0.4">
      <c r="A1676" s="92">
        <v>8364</v>
      </c>
      <c r="B1676" s="92">
        <v>8365</v>
      </c>
      <c r="E1676" s="92">
        <v>50</v>
      </c>
      <c r="F1676" s="92">
        <f>_xlfn.XLOOKUP(B1676, DATA_Moresby_2024_ALL!B:B, DATA_Moresby_2024_ALL!G:G, "")</f>
        <v>0</v>
      </c>
      <c r="G1676" s="93"/>
      <c r="H1676" s="92">
        <v>7</v>
      </c>
      <c r="I1676" s="92" t="str">
        <f t="shared" si="88"/>
        <v>X</v>
      </c>
      <c r="J1676" s="79" t="str">
        <f>IF(G1676="","X",_xlfn.XLOOKUP(B1676,DATA_Moresby_2024_ALL!B:B,DATA_Moresby_2024_ALL!K:K,""))</f>
        <v>X</v>
      </c>
      <c r="K1676" s="28"/>
      <c r="L1676" s="29"/>
      <c r="M1676" s="28"/>
      <c r="N1676" s="19" t="str">
        <f t="shared" si="87"/>
        <v/>
      </c>
      <c r="O1676" s="19" t="str">
        <f t="shared" si="86"/>
        <v/>
      </c>
      <c r="P1676" s="19" t="str">
        <f t="shared" si="86"/>
        <v/>
      </c>
      <c r="Q1676" s="19" t="str">
        <f t="shared" si="86"/>
        <v/>
      </c>
      <c r="X1676" s="92" t="s">
        <v>78</v>
      </c>
      <c r="Y1676" s="92" t="s">
        <v>78</v>
      </c>
      <c r="Z1676" s="92" t="s">
        <v>78</v>
      </c>
    </row>
    <row r="1677" spans="1:26" ht="16" hidden="1" x14ac:dyDescent="0.4">
      <c r="A1677" s="92">
        <v>8369</v>
      </c>
      <c r="B1677" s="92">
        <v>8370</v>
      </c>
      <c r="E1677" s="92">
        <v>50</v>
      </c>
      <c r="F1677" s="92">
        <f>_xlfn.XLOOKUP(B1677, DATA_Moresby_2024_ALL!B:B, DATA_Moresby_2024_ALL!G:G, "")</f>
        <v>0</v>
      </c>
      <c r="G1677" s="93"/>
      <c r="H1677" s="92">
        <v>7</v>
      </c>
      <c r="I1677" s="92" t="str">
        <f t="shared" si="88"/>
        <v>X</v>
      </c>
      <c r="J1677" s="79" t="str">
        <f>IF(G1677="","X",_xlfn.XLOOKUP(B1677,DATA_Moresby_2024_ALL!B:B,DATA_Moresby_2024_ALL!K:K,""))</f>
        <v>X</v>
      </c>
      <c r="K1677" s="28"/>
      <c r="L1677" s="29"/>
      <c r="M1677" s="28"/>
      <c r="N1677" s="19" t="str">
        <f t="shared" si="87"/>
        <v/>
      </c>
      <c r="O1677" s="19" t="str">
        <f t="shared" si="86"/>
        <v/>
      </c>
      <c r="P1677" s="19" t="str">
        <f t="shared" si="86"/>
        <v/>
      </c>
      <c r="Q1677" s="19" t="str">
        <f t="shared" si="86"/>
        <v/>
      </c>
      <c r="X1677" s="92" t="s">
        <v>78</v>
      </c>
      <c r="Y1677" s="92" t="s">
        <v>78</v>
      </c>
      <c r="Z1677" s="92" t="s">
        <v>78</v>
      </c>
    </row>
    <row r="1678" spans="1:26" ht="16" hidden="1" x14ac:dyDescent="0.4">
      <c r="A1678" s="92">
        <v>8374</v>
      </c>
      <c r="B1678" s="92">
        <v>8375</v>
      </c>
      <c r="E1678" s="92">
        <v>50</v>
      </c>
      <c r="F1678" s="92">
        <f>_xlfn.XLOOKUP(B1678, DATA_Moresby_2024_ALL!B:B, DATA_Moresby_2024_ALL!G:G, "")</f>
        <v>0</v>
      </c>
      <c r="G1678" s="93"/>
      <c r="H1678" s="92">
        <v>7</v>
      </c>
      <c r="I1678" s="92" t="str">
        <f t="shared" si="88"/>
        <v>X</v>
      </c>
      <c r="J1678" s="79" t="str">
        <f>IF(G1678="","X",_xlfn.XLOOKUP(B1678,DATA_Moresby_2024_ALL!B:B,DATA_Moresby_2024_ALL!K:K,""))</f>
        <v>X</v>
      </c>
      <c r="K1678" s="28"/>
      <c r="L1678" s="29"/>
      <c r="M1678" s="28"/>
      <c r="N1678" s="19" t="str">
        <f t="shared" si="87"/>
        <v/>
      </c>
      <c r="O1678" s="19" t="str">
        <f t="shared" si="86"/>
        <v/>
      </c>
      <c r="P1678" s="19" t="str">
        <f t="shared" si="86"/>
        <v/>
      </c>
      <c r="Q1678" s="19" t="str">
        <f t="shared" si="86"/>
        <v/>
      </c>
      <c r="X1678" s="92" t="s">
        <v>78</v>
      </c>
      <c r="Y1678" s="92" t="s">
        <v>78</v>
      </c>
      <c r="Z1678" s="92" t="s">
        <v>78</v>
      </c>
    </row>
    <row r="1679" spans="1:26" ht="16" hidden="1" x14ac:dyDescent="0.4">
      <c r="A1679" s="92">
        <v>8379</v>
      </c>
      <c r="B1679" s="92">
        <v>8380</v>
      </c>
      <c r="E1679" s="92">
        <v>50</v>
      </c>
      <c r="F1679" s="92">
        <f>_xlfn.XLOOKUP(B1679, DATA_Moresby_2024_ALL!B:B, DATA_Moresby_2024_ALL!G:G, "")</f>
        <v>0</v>
      </c>
      <c r="G1679" s="93"/>
      <c r="H1679" s="92">
        <v>7</v>
      </c>
      <c r="I1679" s="92" t="str">
        <f t="shared" si="88"/>
        <v>X</v>
      </c>
      <c r="J1679" s="79" t="str">
        <f>IF(G1679="","X",_xlfn.XLOOKUP(B1679,DATA_Moresby_2024_ALL!B:B,DATA_Moresby_2024_ALL!K:K,""))</f>
        <v>X</v>
      </c>
      <c r="K1679" s="28"/>
      <c r="L1679" s="29"/>
      <c r="M1679" s="28"/>
      <c r="N1679" s="19" t="str">
        <f t="shared" si="87"/>
        <v/>
      </c>
      <c r="O1679" s="19" t="str">
        <f t="shared" si="86"/>
        <v/>
      </c>
      <c r="P1679" s="19" t="str">
        <f t="shared" si="86"/>
        <v/>
      </c>
      <c r="Q1679" s="19" t="str">
        <f t="shared" si="86"/>
        <v/>
      </c>
      <c r="X1679" s="92" t="s">
        <v>78</v>
      </c>
      <c r="Y1679" s="92" t="s">
        <v>78</v>
      </c>
      <c r="Z1679" s="92" t="s">
        <v>78</v>
      </c>
    </row>
    <row r="1680" spans="1:26" ht="16" hidden="1" x14ac:dyDescent="0.4">
      <c r="A1680" s="92">
        <v>8384</v>
      </c>
      <c r="B1680" s="92">
        <v>8385</v>
      </c>
      <c r="E1680" s="92">
        <v>50</v>
      </c>
      <c r="F1680" s="92">
        <f>_xlfn.XLOOKUP(B1680, DATA_Moresby_2024_ALL!B:B, DATA_Moresby_2024_ALL!G:G, "")</f>
        <v>0</v>
      </c>
      <c r="G1680" s="93"/>
      <c r="H1680" s="92">
        <v>7</v>
      </c>
      <c r="I1680" s="92" t="str">
        <f t="shared" si="88"/>
        <v>X</v>
      </c>
      <c r="J1680" s="79" t="str">
        <f>IF(G1680="","X",_xlfn.XLOOKUP(B1680,DATA_Moresby_2024_ALL!B:B,DATA_Moresby_2024_ALL!K:K,""))</f>
        <v>X</v>
      </c>
      <c r="K1680" s="28"/>
      <c r="L1680" s="29"/>
      <c r="M1680" s="28"/>
      <c r="N1680" s="19" t="str">
        <f t="shared" si="87"/>
        <v/>
      </c>
      <c r="O1680" s="19" t="str">
        <f t="shared" si="86"/>
        <v/>
      </c>
      <c r="P1680" s="19" t="str">
        <f t="shared" si="86"/>
        <v/>
      </c>
      <c r="Q1680" s="19" t="str">
        <f t="shared" si="86"/>
        <v/>
      </c>
      <c r="X1680" s="92" t="s">
        <v>78</v>
      </c>
      <c r="Y1680" s="92" t="s">
        <v>78</v>
      </c>
      <c r="Z1680" s="92" t="s">
        <v>78</v>
      </c>
    </row>
    <row r="1681" spans="1:26" ht="16" hidden="1" x14ac:dyDescent="0.4">
      <c r="A1681" s="92">
        <v>8389</v>
      </c>
      <c r="B1681" s="92">
        <v>8390</v>
      </c>
      <c r="E1681" s="92">
        <v>50</v>
      </c>
      <c r="F1681" s="92">
        <f>_xlfn.XLOOKUP(B1681, DATA_Moresby_2024_ALL!B:B, DATA_Moresby_2024_ALL!G:G, "")</f>
        <v>0</v>
      </c>
      <c r="G1681" s="93"/>
      <c r="H1681" s="92">
        <v>7</v>
      </c>
      <c r="I1681" s="92" t="str">
        <f t="shared" si="88"/>
        <v>X</v>
      </c>
      <c r="J1681" s="79" t="str">
        <f>IF(G1681="","X",_xlfn.XLOOKUP(B1681,DATA_Moresby_2024_ALL!B:B,DATA_Moresby_2024_ALL!K:K,""))</f>
        <v>X</v>
      </c>
      <c r="K1681" s="28"/>
      <c r="L1681" s="29"/>
      <c r="M1681" s="28"/>
      <c r="N1681" s="19" t="str">
        <f t="shared" si="87"/>
        <v/>
      </c>
      <c r="O1681" s="19" t="str">
        <f t="shared" si="86"/>
        <v/>
      </c>
      <c r="P1681" s="19" t="str">
        <f t="shared" si="86"/>
        <v/>
      </c>
      <c r="Q1681" s="19" t="str">
        <f t="shared" si="86"/>
        <v/>
      </c>
      <c r="X1681" s="92" t="s">
        <v>78</v>
      </c>
      <c r="Y1681" s="92" t="s">
        <v>78</v>
      </c>
      <c r="Z1681" s="92" t="s">
        <v>78</v>
      </c>
    </row>
    <row r="1682" spans="1:26" ht="16" hidden="1" x14ac:dyDescent="0.4">
      <c r="A1682" s="92">
        <v>8394</v>
      </c>
      <c r="B1682" s="92">
        <v>8395</v>
      </c>
      <c r="E1682" s="92">
        <v>50</v>
      </c>
      <c r="F1682" s="92">
        <f>_xlfn.XLOOKUP(B1682, DATA_Moresby_2024_ALL!B:B, DATA_Moresby_2024_ALL!G:G, "")</f>
        <v>0</v>
      </c>
      <c r="G1682" s="93"/>
      <c r="H1682" s="92">
        <v>7</v>
      </c>
      <c r="I1682" s="92" t="str">
        <f t="shared" si="88"/>
        <v>X</v>
      </c>
      <c r="J1682" s="79" t="str">
        <f>IF(G1682="","X",_xlfn.XLOOKUP(B1682,DATA_Moresby_2024_ALL!B:B,DATA_Moresby_2024_ALL!K:K,""))</f>
        <v>X</v>
      </c>
      <c r="K1682" s="28"/>
      <c r="L1682" s="29"/>
      <c r="M1682" s="28"/>
      <c r="N1682" s="19" t="str">
        <f t="shared" si="87"/>
        <v/>
      </c>
      <c r="O1682" s="19" t="str">
        <f t="shared" si="86"/>
        <v/>
      </c>
      <c r="P1682" s="19" t="str">
        <f t="shared" si="86"/>
        <v/>
      </c>
      <c r="Q1682" s="19" t="str">
        <f t="shared" si="86"/>
        <v/>
      </c>
      <c r="X1682" s="92" t="s">
        <v>78</v>
      </c>
      <c r="Y1682" s="92" t="s">
        <v>78</v>
      </c>
      <c r="Z1682" s="92" t="s">
        <v>78</v>
      </c>
    </row>
    <row r="1683" spans="1:26" ht="16" hidden="1" x14ac:dyDescent="0.4">
      <c r="A1683" s="92">
        <v>8399</v>
      </c>
      <c r="B1683" s="92">
        <v>8400</v>
      </c>
      <c r="E1683" s="92">
        <v>50</v>
      </c>
      <c r="F1683" s="92">
        <f>_xlfn.XLOOKUP(B1683, DATA_Moresby_2024_ALL!B:B, DATA_Moresby_2024_ALL!G:G, "")</f>
        <v>0</v>
      </c>
      <c r="G1683" s="93"/>
      <c r="H1683" s="92">
        <v>7</v>
      </c>
      <c r="I1683" s="92" t="str">
        <f t="shared" si="88"/>
        <v>X</v>
      </c>
      <c r="J1683" s="79" t="str">
        <f>IF(G1683="","X",_xlfn.XLOOKUP(B1683,DATA_Moresby_2024_ALL!B:B,DATA_Moresby_2024_ALL!K:K,""))</f>
        <v>X</v>
      </c>
      <c r="K1683" s="28"/>
      <c r="L1683" s="29"/>
      <c r="M1683" s="28"/>
      <c r="N1683" s="19" t="str">
        <f t="shared" si="87"/>
        <v/>
      </c>
      <c r="O1683" s="19" t="str">
        <f t="shared" si="86"/>
        <v/>
      </c>
      <c r="P1683" s="19" t="str">
        <f t="shared" si="86"/>
        <v/>
      </c>
      <c r="Q1683" s="19" t="str">
        <f t="shared" si="86"/>
        <v/>
      </c>
      <c r="X1683" s="92" t="s">
        <v>78</v>
      </c>
      <c r="Y1683" s="92" t="s">
        <v>78</v>
      </c>
      <c r="Z1683" s="92" t="s">
        <v>78</v>
      </c>
    </row>
    <row r="1684" spans="1:26" ht="16" hidden="1" x14ac:dyDescent="0.4">
      <c r="A1684" s="92">
        <v>8404</v>
      </c>
      <c r="B1684" s="92">
        <v>8405</v>
      </c>
      <c r="E1684" s="92">
        <v>50</v>
      </c>
      <c r="F1684" s="92">
        <f>_xlfn.XLOOKUP(B1684, DATA_Moresby_2024_ALL!B:B, DATA_Moresby_2024_ALL!G:G, "")</f>
        <v>0</v>
      </c>
      <c r="G1684" s="93"/>
      <c r="H1684" s="92">
        <v>7</v>
      </c>
      <c r="I1684" s="92" t="str">
        <f t="shared" si="88"/>
        <v>X</v>
      </c>
      <c r="J1684" s="79" t="str">
        <f>IF(G1684="","X",_xlfn.XLOOKUP(B1684,DATA_Moresby_2024_ALL!B:B,DATA_Moresby_2024_ALL!K:K,""))</f>
        <v>X</v>
      </c>
      <c r="K1684" s="28"/>
      <c r="L1684" s="29"/>
      <c r="M1684" s="28"/>
      <c r="N1684" s="19" t="str">
        <f t="shared" si="87"/>
        <v/>
      </c>
      <c r="O1684" s="19" t="str">
        <f t="shared" si="86"/>
        <v/>
      </c>
      <c r="P1684" s="19" t="str">
        <f t="shared" si="86"/>
        <v/>
      </c>
      <c r="Q1684" s="19" t="str">
        <f t="shared" si="86"/>
        <v/>
      </c>
      <c r="X1684" s="92" t="s">
        <v>78</v>
      </c>
      <c r="Y1684" s="92" t="s">
        <v>78</v>
      </c>
      <c r="Z1684" s="92" t="s">
        <v>78</v>
      </c>
    </row>
    <row r="1685" spans="1:26" ht="16" hidden="1" x14ac:dyDescent="0.4">
      <c r="A1685" s="92">
        <v>8409</v>
      </c>
      <c r="B1685" s="92">
        <v>8410</v>
      </c>
      <c r="E1685" s="92">
        <v>50</v>
      </c>
      <c r="F1685" s="92">
        <f>_xlfn.XLOOKUP(B1685, DATA_Moresby_2024_ALL!B:B, DATA_Moresby_2024_ALL!G:G, "")</f>
        <v>0</v>
      </c>
      <c r="G1685" s="93"/>
      <c r="H1685" s="92">
        <v>7</v>
      </c>
      <c r="I1685" s="92" t="str">
        <f t="shared" si="88"/>
        <v>X</v>
      </c>
      <c r="J1685" s="79" t="str">
        <f>IF(G1685="","X",_xlfn.XLOOKUP(B1685,DATA_Moresby_2024_ALL!B:B,DATA_Moresby_2024_ALL!K:K,""))</f>
        <v>X</v>
      </c>
      <c r="K1685" s="28"/>
      <c r="L1685" s="29"/>
      <c r="M1685" s="28"/>
      <c r="N1685" s="19" t="str">
        <f t="shared" si="87"/>
        <v/>
      </c>
      <c r="O1685" s="19" t="str">
        <f t="shared" si="86"/>
        <v/>
      </c>
      <c r="P1685" s="19" t="str">
        <f t="shared" si="86"/>
        <v/>
      </c>
      <c r="Q1685" s="19" t="str">
        <f t="shared" si="86"/>
        <v/>
      </c>
      <c r="X1685" s="92" t="s">
        <v>78</v>
      </c>
      <c r="Y1685" s="92" t="s">
        <v>78</v>
      </c>
      <c r="Z1685" s="92" t="s">
        <v>78</v>
      </c>
    </row>
    <row r="1686" spans="1:26" ht="16" hidden="1" x14ac:dyDescent="0.4">
      <c r="A1686" s="92">
        <v>8414</v>
      </c>
      <c r="B1686" s="92">
        <v>8415</v>
      </c>
      <c r="E1686" s="92">
        <v>50</v>
      </c>
      <c r="F1686" s="92">
        <f>_xlfn.XLOOKUP(B1686, DATA_Moresby_2024_ALL!B:B, DATA_Moresby_2024_ALL!G:G, "")</f>
        <v>0</v>
      </c>
      <c r="G1686" s="93"/>
      <c r="H1686" s="92">
        <v>7</v>
      </c>
      <c r="I1686" s="92" t="str">
        <f t="shared" si="88"/>
        <v>X</v>
      </c>
      <c r="J1686" s="79" t="str">
        <f>IF(G1686="","X",_xlfn.XLOOKUP(B1686,DATA_Moresby_2024_ALL!B:B,DATA_Moresby_2024_ALL!K:K,""))</f>
        <v>X</v>
      </c>
      <c r="K1686" s="28"/>
      <c r="L1686" s="29"/>
      <c r="M1686" s="28"/>
      <c r="N1686" s="19" t="str">
        <f t="shared" si="87"/>
        <v/>
      </c>
      <c r="O1686" s="19" t="str">
        <f t="shared" si="86"/>
        <v/>
      </c>
      <c r="P1686" s="19" t="str">
        <f t="shared" si="86"/>
        <v/>
      </c>
      <c r="Q1686" s="19" t="str">
        <f t="shared" si="86"/>
        <v/>
      </c>
      <c r="X1686" s="92" t="s">
        <v>78</v>
      </c>
      <c r="Y1686" s="92" t="s">
        <v>78</v>
      </c>
      <c r="Z1686" s="92" t="s">
        <v>78</v>
      </c>
    </row>
    <row r="1687" spans="1:26" ht="16" hidden="1" x14ac:dyDescent="0.4">
      <c r="A1687" s="92">
        <v>8419</v>
      </c>
      <c r="B1687" s="92">
        <v>8420</v>
      </c>
      <c r="E1687" s="92">
        <v>50</v>
      </c>
      <c r="F1687" s="92">
        <f>_xlfn.XLOOKUP(B1687, DATA_Moresby_2024_ALL!B:B, DATA_Moresby_2024_ALL!G:G, "")</f>
        <v>0</v>
      </c>
      <c r="G1687" s="93"/>
      <c r="H1687" s="92">
        <v>7</v>
      </c>
      <c r="I1687" s="92" t="str">
        <f t="shared" si="88"/>
        <v>X</v>
      </c>
      <c r="J1687" s="79" t="str">
        <f>IF(G1687="","X",_xlfn.XLOOKUP(B1687,DATA_Moresby_2024_ALL!B:B,DATA_Moresby_2024_ALL!K:K,""))</f>
        <v>X</v>
      </c>
      <c r="K1687" s="28"/>
      <c r="L1687" s="29"/>
      <c r="M1687" s="28"/>
      <c r="N1687" s="19" t="str">
        <f t="shared" si="87"/>
        <v/>
      </c>
      <c r="O1687" s="19" t="str">
        <f t="shared" si="86"/>
        <v/>
      </c>
      <c r="P1687" s="19" t="str">
        <f t="shared" si="86"/>
        <v/>
      </c>
      <c r="Q1687" s="19" t="str">
        <f t="shared" si="86"/>
        <v/>
      </c>
      <c r="X1687" s="92" t="s">
        <v>78</v>
      </c>
      <c r="Y1687" s="92" t="s">
        <v>78</v>
      </c>
      <c r="Z1687" s="92" t="s">
        <v>78</v>
      </c>
    </row>
    <row r="1688" spans="1:26" ht="16" hidden="1" x14ac:dyDescent="0.4">
      <c r="A1688" s="92">
        <v>8424</v>
      </c>
      <c r="B1688" s="92">
        <v>8425</v>
      </c>
      <c r="E1688" s="92">
        <v>50</v>
      </c>
      <c r="F1688" s="92">
        <f>_xlfn.XLOOKUP(B1688, DATA_Moresby_2024_ALL!B:B, DATA_Moresby_2024_ALL!G:G, "")</f>
        <v>0</v>
      </c>
      <c r="G1688" s="93"/>
      <c r="H1688" s="92">
        <v>7</v>
      </c>
      <c r="I1688" s="92" t="str">
        <f t="shared" si="88"/>
        <v>X</v>
      </c>
      <c r="J1688" s="79" t="str">
        <f>IF(G1688="","X",_xlfn.XLOOKUP(B1688,DATA_Moresby_2024_ALL!B:B,DATA_Moresby_2024_ALL!K:K,""))</f>
        <v>X</v>
      </c>
      <c r="K1688" s="28"/>
      <c r="L1688" s="29"/>
      <c r="M1688" s="28"/>
      <c r="N1688" s="19" t="str">
        <f t="shared" si="87"/>
        <v/>
      </c>
      <c r="O1688" s="19" t="str">
        <f t="shared" si="86"/>
        <v/>
      </c>
      <c r="P1688" s="19" t="str">
        <f t="shared" si="86"/>
        <v/>
      </c>
      <c r="Q1688" s="19" t="str">
        <f t="shared" si="86"/>
        <v/>
      </c>
      <c r="X1688" s="92" t="s">
        <v>78</v>
      </c>
      <c r="Y1688" s="92" t="s">
        <v>78</v>
      </c>
      <c r="Z1688" s="92" t="s">
        <v>78</v>
      </c>
    </row>
    <row r="1689" spans="1:26" ht="16" hidden="1" x14ac:dyDescent="0.4">
      <c r="A1689" s="92">
        <v>8429</v>
      </c>
      <c r="B1689" s="92">
        <v>8430</v>
      </c>
      <c r="E1689" s="92">
        <v>50</v>
      </c>
      <c r="F1689" s="92">
        <f>_xlfn.XLOOKUP(B1689, DATA_Moresby_2024_ALL!B:B, DATA_Moresby_2024_ALL!G:G, "")</f>
        <v>0</v>
      </c>
      <c r="G1689" s="93"/>
      <c r="H1689" s="92">
        <v>7</v>
      </c>
      <c r="I1689" s="92" t="str">
        <f t="shared" si="88"/>
        <v>X</v>
      </c>
      <c r="J1689" s="79" t="str">
        <f>IF(G1689="","X",_xlfn.XLOOKUP(B1689,DATA_Moresby_2024_ALL!B:B,DATA_Moresby_2024_ALL!K:K,""))</f>
        <v>X</v>
      </c>
      <c r="K1689" s="28"/>
      <c r="L1689" s="29"/>
      <c r="M1689" s="28"/>
      <c r="N1689" s="19" t="str">
        <f t="shared" si="87"/>
        <v/>
      </c>
      <c r="O1689" s="19" t="str">
        <f t="shared" si="86"/>
        <v/>
      </c>
      <c r="P1689" s="19" t="str">
        <f t="shared" si="86"/>
        <v/>
      </c>
      <c r="Q1689" s="19" t="str">
        <f t="shared" si="86"/>
        <v/>
      </c>
      <c r="X1689" s="92" t="s">
        <v>78</v>
      </c>
      <c r="Y1689" s="92" t="s">
        <v>78</v>
      </c>
      <c r="Z1689" s="92" t="s">
        <v>78</v>
      </c>
    </row>
    <row r="1690" spans="1:26" ht="16" hidden="1" x14ac:dyDescent="0.4">
      <c r="A1690" s="92">
        <v>8434</v>
      </c>
      <c r="B1690" s="92">
        <v>8435</v>
      </c>
      <c r="E1690" s="92">
        <v>50</v>
      </c>
      <c r="F1690" s="92">
        <f>_xlfn.XLOOKUP(B1690, DATA_Moresby_2024_ALL!B:B, DATA_Moresby_2024_ALL!G:G, "")</f>
        <v>0</v>
      </c>
      <c r="G1690" s="93"/>
      <c r="H1690" s="92">
        <v>7</v>
      </c>
      <c r="I1690" s="92" t="str">
        <f t="shared" si="88"/>
        <v>X</v>
      </c>
      <c r="J1690" s="79" t="str">
        <f>IF(G1690="","X",_xlfn.XLOOKUP(B1690,DATA_Moresby_2024_ALL!B:B,DATA_Moresby_2024_ALL!K:K,""))</f>
        <v>X</v>
      </c>
      <c r="K1690" s="28"/>
      <c r="L1690" s="29"/>
      <c r="M1690" s="28"/>
      <c r="N1690" s="19" t="str">
        <f t="shared" si="87"/>
        <v/>
      </c>
      <c r="O1690" s="19" t="str">
        <f t="shared" si="86"/>
        <v/>
      </c>
      <c r="P1690" s="19" t="str">
        <f t="shared" si="86"/>
        <v/>
      </c>
      <c r="Q1690" s="19" t="str">
        <f t="shared" si="86"/>
        <v/>
      </c>
      <c r="X1690" s="92" t="s">
        <v>78</v>
      </c>
      <c r="Y1690" s="92" t="s">
        <v>78</v>
      </c>
      <c r="Z1690" s="92" t="s">
        <v>78</v>
      </c>
    </row>
    <row r="1691" spans="1:26" ht="16" hidden="1" x14ac:dyDescent="0.4">
      <c r="A1691" s="92">
        <v>8439</v>
      </c>
      <c r="B1691" s="92">
        <v>8440</v>
      </c>
      <c r="E1691" s="92">
        <v>50</v>
      </c>
      <c r="F1691" s="92">
        <f>_xlfn.XLOOKUP(B1691, DATA_Moresby_2024_ALL!B:B, DATA_Moresby_2024_ALL!G:G, "")</f>
        <v>0</v>
      </c>
      <c r="G1691" s="93"/>
      <c r="H1691" s="92">
        <v>7</v>
      </c>
      <c r="I1691" s="92" t="str">
        <f t="shared" si="88"/>
        <v>X</v>
      </c>
      <c r="J1691" s="79" t="str">
        <f>IF(G1691="","X",_xlfn.XLOOKUP(B1691,DATA_Moresby_2024_ALL!B:B,DATA_Moresby_2024_ALL!K:K,""))</f>
        <v>X</v>
      </c>
      <c r="K1691" s="28"/>
      <c r="L1691" s="29"/>
      <c r="M1691" s="28"/>
      <c r="N1691" s="19" t="str">
        <f t="shared" si="87"/>
        <v/>
      </c>
      <c r="O1691" s="19" t="str">
        <f t="shared" si="86"/>
        <v/>
      </c>
      <c r="P1691" s="19" t="str">
        <f t="shared" si="86"/>
        <v/>
      </c>
      <c r="Q1691" s="19" t="str">
        <f t="shared" si="86"/>
        <v/>
      </c>
      <c r="X1691" s="92" t="s">
        <v>78</v>
      </c>
      <c r="Y1691" s="92" t="s">
        <v>78</v>
      </c>
      <c r="Z1691" s="92" t="s">
        <v>78</v>
      </c>
    </row>
    <row r="1692" spans="1:26" ht="16" hidden="1" x14ac:dyDescent="0.4">
      <c r="A1692" s="92">
        <v>8444</v>
      </c>
      <c r="B1692" s="92">
        <v>8445</v>
      </c>
      <c r="E1692" s="92">
        <v>50</v>
      </c>
      <c r="F1692" s="92">
        <f>_xlfn.XLOOKUP(B1692, DATA_Moresby_2024_ALL!B:B, DATA_Moresby_2024_ALL!G:G, "")</f>
        <v>0</v>
      </c>
      <c r="G1692" s="93"/>
      <c r="H1692" s="92">
        <v>7</v>
      </c>
      <c r="I1692" s="92" t="str">
        <f t="shared" si="88"/>
        <v>X</v>
      </c>
      <c r="J1692" s="79" t="str">
        <f>IF(G1692="","X",_xlfn.XLOOKUP(B1692,DATA_Moresby_2024_ALL!B:B,DATA_Moresby_2024_ALL!K:K,""))</f>
        <v>X</v>
      </c>
      <c r="K1692" s="28"/>
      <c r="L1692" s="29"/>
      <c r="M1692" s="28"/>
      <c r="N1692" s="19" t="str">
        <f t="shared" si="87"/>
        <v/>
      </c>
      <c r="O1692" s="19" t="str">
        <f t="shared" si="86"/>
        <v/>
      </c>
      <c r="P1692" s="19" t="str">
        <f t="shared" si="86"/>
        <v/>
      </c>
      <c r="Q1692" s="19" t="str">
        <f t="shared" si="86"/>
        <v/>
      </c>
      <c r="X1692" s="92" t="s">
        <v>78</v>
      </c>
      <c r="Y1692" s="92" t="s">
        <v>78</v>
      </c>
      <c r="Z1692" s="92" t="s">
        <v>78</v>
      </c>
    </row>
    <row r="1693" spans="1:26" ht="16" hidden="1" x14ac:dyDescent="0.4">
      <c r="A1693" s="92">
        <v>8449</v>
      </c>
      <c r="B1693" s="92">
        <v>8450</v>
      </c>
      <c r="E1693" s="92">
        <v>50</v>
      </c>
      <c r="F1693" s="92">
        <f>_xlfn.XLOOKUP(B1693, DATA_Moresby_2024_ALL!B:B, DATA_Moresby_2024_ALL!G:G, "")</f>
        <v>0</v>
      </c>
      <c r="G1693" s="93"/>
      <c r="H1693" s="92">
        <v>7</v>
      </c>
      <c r="I1693" s="92" t="str">
        <f t="shared" si="88"/>
        <v>X</v>
      </c>
      <c r="J1693" s="79" t="str">
        <f>IF(G1693="","X",_xlfn.XLOOKUP(B1693,DATA_Moresby_2024_ALL!B:B,DATA_Moresby_2024_ALL!K:K,""))</f>
        <v>X</v>
      </c>
      <c r="K1693" s="28"/>
      <c r="L1693" s="29"/>
      <c r="M1693" s="28"/>
      <c r="N1693" s="19" t="str">
        <f t="shared" si="87"/>
        <v/>
      </c>
      <c r="O1693" s="19" t="str">
        <f t="shared" si="87"/>
        <v/>
      </c>
      <c r="P1693" s="19" t="str">
        <f t="shared" si="87"/>
        <v/>
      </c>
      <c r="Q1693" s="19" t="str">
        <f t="shared" si="87"/>
        <v/>
      </c>
      <c r="X1693" s="92" t="s">
        <v>78</v>
      </c>
      <c r="Y1693" s="92" t="s">
        <v>78</v>
      </c>
      <c r="Z1693" s="92" t="s">
        <v>78</v>
      </c>
    </row>
    <row r="1694" spans="1:26" ht="16" hidden="1" x14ac:dyDescent="0.4">
      <c r="A1694" s="92">
        <v>8454</v>
      </c>
      <c r="B1694" s="92">
        <v>8455</v>
      </c>
      <c r="E1694" s="92">
        <v>50</v>
      </c>
      <c r="F1694" s="92">
        <f>_xlfn.XLOOKUP(B1694, DATA_Moresby_2024_ALL!B:B, DATA_Moresby_2024_ALL!G:G, "")</f>
        <v>0</v>
      </c>
      <c r="G1694" s="93"/>
      <c r="H1694" s="92">
        <v>7</v>
      </c>
      <c r="I1694" s="92" t="str">
        <f t="shared" si="88"/>
        <v>X</v>
      </c>
      <c r="J1694" s="79" t="str">
        <f>IF(G1694="","X",_xlfn.XLOOKUP(B1694,DATA_Moresby_2024_ALL!B:B,DATA_Moresby_2024_ALL!K:K,""))</f>
        <v>X</v>
      </c>
      <c r="K1694" s="28"/>
      <c r="L1694" s="29"/>
      <c r="M1694" s="28"/>
      <c r="N1694" s="19" t="str">
        <f t="shared" ref="N1694:Q1757" si="89">IF($J1694=1,4,"")</f>
        <v/>
      </c>
      <c r="O1694" s="19" t="str">
        <f t="shared" si="89"/>
        <v/>
      </c>
      <c r="P1694" s="19" t="str">
        <f t="shared" si="89"/>
        <v/>
      </c>
      <c r="Q1694" s="19" t="str">
        <f t="shared" si="89"/>
        <v/>
      </c>
      <c r="X1694" s="92" t="s">
        <v>78</v>
      </c>
      <c r="Y1694" s="92" t="s">
        <v>78</v>
      </c>
      <c r="Z1694" s="92" t="s">
        <v>78</v>
      </c>
    </row>
    <row r="1695" spans="1:26" ht="16" hidden="1" x14ac:dyDescent="0.4">
      <c r="A1695" s="92">
        <v>8459</v>
      </c>
      <c r="B1695" s="92">
        <v>8460</v>
      </c>
      <c r="E1695" s="92">
        <v>50</v>
      </c>
      <c r="F1695" s="92">
        <f>_xlfn.XLOOKUP(B1695, DATA_Moresby_2024_ALL!B:B, DATA_Moresby_2024_ALL!G:G, "")</f>
        <v>0</v>
      </c>
      <c r="G1695" s="93"/>
      <c r="H1695" s="92">
        <v>7</v>
      </c>
      <c r="I1695" s="92" t="str">
        <f t="shared" si="88"/>
        <v>X</v>
      </c>
      <c r="J1695" s="79" t="str">
        <f>IF(G1695="","X",_xlfn.XLOOKUP(B1695,DATA_Moresby_2024_ALL!B:B,DATA_Moresby_2024_ALL!K:K,""))</f>
        <v>X</v>
      </c>
      <c r="K1695" s="28"/>
      <c r="L1695" s="29"/>
      <c r="M1695" s="28"/>
      <c r="N1695" s="19" t="str">
        <f t="shared" si="89"/>
        <v/>
      </c>
      <c r="O1695" s="19" t="str">
        <f t="shared" si="89"/>
        <v/>
      </c>
      <c r="P1695" s="19" t="str">
        <f t="shared" si="89"/>
        <v/>
      </c>
      <c r="Q1695" s="19" t="str">
        <f t="shared" si="89"/>
        <v/>
      </c>
      <c r="X1695" s="92" t="s">
        <v>78</v>
      </c>
      <c r="Y1695" s="92" t="s">
        <v>78</v>
      </c>
      <c r="Z1695" s="92" t="s">
        <v>78</v>
      </c>
    </row>
    <row r="1696" spans="1:26" ht="16" hidden="1" x14ac:dyDescent="0.4">
      <c r="A1696" s="92">
        <v>8464</v>
      </c>
      <c r="B1696" s="92">
        <v>8465</v>
      </c>
      <c r="E1696" s="92">
        <v>50</v>
      </c>
      <c r="F1696" s="92">
        <f>_xlfn.XLOOKUP(B1696, DATA_Moresby_2024_ALL!B:B, DATA_Moresby_2024_ALL!G:G, "")</f>
        <v>0</v>
      </c>
      <c r="G1696" s="93"/>
      <c r="H1696" s="92">
        <v>7</v>
      </c>
      <c r="I1696" s="92" t="str">
        <f t="shared" si="88"/>
        <v>X</v>
      </c>
      <c r="J1696" s="79" t="str">
        <f>IF(G1696="","X",_xlfn.XLOOKUP(B1696,DATA_Moresby_2024_ALL!B:B,DATA_Moresby_2024_ALL!K:K,""))</f>
        <v>X</v>
      </c>
      <c r="K1696" s="28"/>
      <c r="L1696" s="29"/>
      <c r="M1696" s="28"/>
      <c r="N1696" s="19" t="str">
        <f t="shared" si="89"/>
        <v/>
      </c>
      <c r="O1696" s="19" t="str">
        <f t="shared" si="89"/>
        <v/>
      </c>
      <c r="P1696" s="19" t="str">
        <f t="shared" si="89"/>
        <v/>
      </c>
      <c r="Q1696" s="19" t="str">
        <f t="shared" si="89"/>
        <v/>
      </c>
      <c r="X1696" s="92" t="s">
        <v>78</v>
      </c>
      <c r="Y1696" s="92" t="s">
        <v>78</v>
      </c>
      <c r="Z1696" s="92" t="s">
        <v>78</v>
      </c>
    </row>
    <row r="1697" spans="1:26" ht="16" hidden="1" x14ac:dyDescent="0.4">
      <c r="A1697" s="92">
        <v>8469</v>
      </c>
      <c r="B1697" s="92">
        <v>8470</v>
      </c>
      <c r="E1697" s="92">
        <v>50</v>
      </c>
      <c r="F1697" s="92">
        <f>_xlfn.XLOOKUP(B1697, DATA_Moresby_2024_ALL!B:B, DATA_Moresby_2024_ALL!G:G, "")</f>
        <v>0</v>
      </c>
      <c r="G1697" s="93"/>
      <c r="H1697" s="92">
        <v>7</v>
      </c>
      <c r="I1697" s="92" t="str">
        <f t="shared" si="88"/>
        <v>X</v>
      </c>
      <c r="J1697" s="79" t="str">
        <f>IF(G1697="","X",_xlfn.XLOOKUP(B1697,DATA_Moresby_2024_ALL!B:B,DATA_Moresby_2024_ALL!K:K,""))</f>
        <v>X</v>
      </c>
      <c r="K1697" s="28"/>
      <c r="L1697" s="29"/>
      <c r="M1697" s="28"/>
      <c r="N1697" s="19" t="str">
        <f t="shared" si="89"/>
        <v/>
      </c>
      <c r="O1697" s="19" t="str">
        <f t="shared" si="89"/>
        <v/>
      </c>
      <c r="P1697" s="19" t="str">
        <f t="shared" si="89"/>
        <v/>
      </c>
      <c r="Q1697" s="19" t="str">
        <f t="shared" si="89"/>
        <v/>
      </c>
      <c r="X1697" s="92" t="s">
        <v>78</v>
      </c>
      <c r="Y1697" s="92" t="s">
        <v>78</v>
      </c>
      <c r="Z1697" s="92" t="s">
        <v>78</v>
      </c>
    </row>
    <row r="1698" spans="1:26" ht="16" hidden="1" x14ac:dyDescent="0.4">
      <c r="A1698" s="92">
        <v>8474</v>
      </c>
      <c r="B1698" s="92">
        <v>8475</v>
      </c>
      <c r="E1698" s="92">
        <v>50</v>
      </c>
      <c r="F1698" s="92">
        <f>_xlfn.XLOOKUP(B1698, DATA_Moresby_2024_ALL!B:B, DATA_Moresby_2024_ALL!G:G, "")</f>
        <v>0</v>
      </c>
      <c r="G1698" s="93"/>
      <c r="H1698" s="92">
        <v>7</v>
      </c>
      <c r="I1698" s="92" t="str">
        <f t="shared" si="88"/>
        <v>X</v>
      </c>
      <c r="J1698" s="79" t="str">
        <f>IF(G1698="","X",_xlfn.XLOOKUP(B1698,DATA_Moresby_2024_ALL!B:B,DATA_Moresby_2024_ALL!K:K,""))</f>
        <v>X</v>
      </c>
      <c r="K1698" s="28"/>
      <c r="L1698" s="29"/>
      <c r="M1698" s="28"/>
      <c r="N1698" s="19" t="str">
        <f t="shared" si="89"/>
        <v/>
      </c>
      <c r="O1698" s="19" t="str">
        <f t="shared" si="89"/>
        <v/>
      </c>
      <c r="P1698" s="19" t="str">
        <f t="shared" si="89"/>
        <v/>
      </c>
      <c r="Q1698" s="19" t="str">
        <f t="shared" si="89"/>
        <v/>
      </c>
      <c r="X1698" s="92" t="s">
        <v>78</v>
      </c>
      <c r="Y1698" s="92" t="s">
        <v>78</v>
      </c>
      <c r="Z1698" s="92" t="s">
        <v>78</v>
      </c>
    </row>
    <row r="1699" spans="1:26" ht="16" hidden="1" x14ac:dyDescent="0.4">
      <c r="A1699" s="92">
        <v>8479</v>
      </c>
      <c r="B1699" s="92">
        <v>8480</v>
      </c>
      <c r="E1699" s="92">
        <v>50</v>
      </c>
      <c r="F1699" s="92">
        <f>_xlfn.XLOOKUP(B1699, DATA_Moresby_2024_ALL!B:B, DATA_Moresby_2024_ALL!G:G, "")</f>
        <v>0</v>
      </c>
      <c r="G1699" s="93"/>
      <c r="H1699" s="92">
        <v>7</v>
      </c>
      <c r="I1699" s="92" t="str">
        <f t="shared" si="88"/>
        <v>X</v>
      </c>
      <c r="J1699" s="79" t="str">
        <f>IF(G1699="","X",_xlfn.XLOOKUP(B1699,DATA_Moresby_2024_ALL!B:B,DATA_Moresby_2024_ALL!K:K,""))</f>
        <v>X</v>
      </c>
      <c r="K1699" s="28"/>
      <c r="L1699" s="29"/>
      <c r="M1699" s="28"/>
      <c r="N1699" s="19" t="str">
        <f t="shared" si="89"/>
        <v/>
      </c>
      <c r="O1699" s="19" t="str">
        <f t="shared" si="89"/>
        <v/>
      </c>
      <c r="P1699" s="19" t="str">
        <f t="shared" si="89"/>
        <v/>
      </c>
      <c r="Q1699" s="19" t="str">
        <f t="shared" si="89"/>
        <v/>
      </c>
      <c r="X1699" s="92" t="s">
        <v>78</v>
      </c>
      <c r="Y1699" s="92" t="s">
        <v>78</v>
      </c>
      <c r="Z1699" s="92" t="s">
        <v>78</v>
      </c>
    </row>
    <row r="1700" spans="1:26" ht="16" hidden="1" x14ac:dyDescent="0.4">
      <c r="A1700" s="92">
        <v>8484</v>
      </c>
      <c r="B1700" s="92">
        <v>8485</v>
      </c>
      <c r="E1700" s="92">
        <v>50</v>
      </c>
      <c r="F1700" s="92">
        <f>_xlfn.XLOOKUP(B1700, DATA_Moresby_2024_ALL!B:B, DATA_Moresby_2024_ALL!G:G, "")</f>
        <v>0</v>
      </c>
      <c r="G1700" s="93"/>
      <c r="H1700" s="92">
        <v>7</v>
      </c>
      <c r="I1700" s="92" t="str">
        <f t="shared" ref="I1700:I1722" si="90">IF(G1700="","X","")</f>
        <v>X</v>
      </c>
      <c r="J1700" s="79" t="str">
        <f>IF(G1700="","X",_xlfn.XLOOKUP(B1700,DATA_Moresby_2024_ALL!B:B,DATA_Moresby_2024_ALL!K:K,""))</f>
        <v>X</v>
      </c>
      <c r="K1700" s="28"/>
      <c r="L1700" s="29"/>
      <c r="M1700" s="28"/>
      <c r="N1700" s="19" t="str">
        <f t="shared" si="89"/>
        <v/>
      </c>
      <c r="O1700" s="19" t="str">
        <f t="shared" si="89"/>
        <v/>
      </c>
      <c r="P1700" s="19" t="str">
        <f t="shared" si="89"/>
        <v/>
      </c>
      <c r="Q1700" s="19" t="str">
        <f t="shared" si="89"/>
        <v/>
      </c>
      <c r="X1700" s="92" t="s">
        <v>78</v>
      </c>
      <c r="Y1700" s="92" t="s">
        <v>78</v>
      </c>
      <c r="Z1700" s="92" t="s">
        <v>78</v>
      </c>
    </row>
    <row r="1701" spans="1:26" ht="16" hidden="1" x14ac:dyDescent="0.4">
      <c r="A1701" s="92">
        <v>8489</v>
      </c>
      <c r="B1701" s="92">
        <v>8490</v>
      </c>
      <c r="E1701" s="92">
        <v>50</v>
      </c>
      <c r="F1701" s="92">
        <f>_xlfn.XLOOKUP(B1701, DATA_Moresby_2024_ALL!B:B, DATA_Moresby_2024_ALL!G:G, "")</f>
        <v>0</v>
      </c>
      <c r="G1701" s="93"/>
      <c r="H1701" s="92">
        <v>7</v>
      </c>
      <c r="I1701" s="92" t="str">
        <f t="shared" si="90"/>
        <v>X</v>
      </c>
      <c r="J1701" s="79" t="str">
        <f>IF(G1701="","X",_xlfn.XLOOKUP(B1701,DATA_Moresby_2024_ALL!B:B,DATA_Moresby_2024_ALL!K:K,""))</f>
        <v>X</v>
      </c>
      <c r="K1701" s="28"/>
      <c r="L1701" s="29"/>
      <c r="M1701" s="28"/>
      <c r="N1701" s="19" t="str">
        <f t="shared" si="89"/>
        <v/>
      </c>
      <c r="O1701" s="19" t="str">
        <f t="shared" si="89"/>
        <v/>
      </c>
      <c r="P1701" s="19" t="str">
        <f t="shared" si="89"/>
        <v/>
      </c>
      <c r="Q1701" s="19" t="str">
        <f t="shared" si="89"/>
        <v/>
      </c>
      <c r="X1701" s="92" t="s">
        <v>78</v>
      </c>
      <c r="Y1701" s="92" t="s">
        <v>78</v>
      </c>
      <c r="Z1701" s="92" t="s">
        <v>78</v>
      </c>
    </row>
    <row r="1702" spans="1:26" ht="16" hidden="1" x14ac:dyDescent="0.4">
      <c r="A1702" s="92">
        <v>8494</v>
      </c>
      <c r="B1702" s="92">
        <v>8495</v>
      </c>
      <c r="E1702" s="92">
        <v>50</v>
      </c>
      <c r="F1702" s="92">
        <f>_xlfn.XLOOKUP(B1702, DATA_Moresby_2024_ALL!B:B, DATA_Moresby_2024_ALL!G:G, "")</f>
        <v>0</v>
      </c>
      <c r="G1702" s="93"/>
      <c r="H1702" s="92">
        <v>7</v>
      </c>
      <c r="I1702" s="92" t="str">
        <f t="shared" si="90"/>
        <v>X</v>
      </c>
      <c r="J1702" s="79" t="str">
        <f>IF(G1702="","X",_xlfn.XLOOKUP(B1702,DATA_Moresby_2024_ALL!B:B,DATA_Moresby_2024_ALL!K:K,""))</f>
        <v>X</v>
      </c>
      <c r="K1702" s="28"/>
      <c r="L1702" s="29"/>
      <c r="M1702" s="28"/>
      <c r="N1702" s="19" t="str">
        <f t="shared" si="89"/>
        <v/>
      </c>
      <c r="O1702" s="19" t="str">
        <f t="shared" si="89"/>
        <v/>
      </c>
      <c r="P1702" s="19" t="str">
        <f t="shared" si="89"/>
        <v/>
      </c>
      <c r="Q1702" s="19" t="str">
        <f t="shared" si="89"/>
        <v/>
      </c>
      <c r="X1702" s="92" t="s">
        <v>78</v>
      </c>
      <c r="Y1702" s="92" t="s">
        <v>78</v>
      </c>
      <c r="Z1702" s="92" t="s">
        <v>78</v>
      </c>
    </row>
    <row r="1703" spans="1:26" ht="16" hidden="1" x14ac:dyDescent="0.4">
      <c r="A1703" s="92">
        <v>8499</v>
      </c>
      <c r="B1703" s="92">
        <v>8500</v>
      </c>
      <c r="E1703" s="92">
        <v>50</v>
      </c>
      <c r="F1703" s="92">
        <f>_xlfn.XLOOKUP(B1703, DATA_Moresby_2024_ALL!B:B, DATA_Moresby_2024_ALL!G:G, "")</f>
        <v>0</v>
      </c>
      <c r="G1703" s="93"/>
      <c r="H1703" s="92">
        <v>7</v>
      </c>
      <c r="I1703" s="92" t="str">
        <f t="shared" si="90"/>
        <v>X</v>
      </c>
      <c r="J1703" s="79" t="str">
        <f>IF(G1703="","X",_xlfn.XLOOKUP(B1703,DATA_Moresby_2024_ALL!B:B,DATA_Moresby_2024_ALL!K:K,""))</f>
        <v>X</v>
      </c>
      <c r="K1703" s="28"/>
      <c r="L1703" s="29"/>
      <c r="M1703" s="28"/>
      <c r="N1703" s="19" t="str">
        <f t="shared" si="89"/>
        <v/>
      </c>
      <c r="O1703" s="19" t="str">
        <f t="shared" si="89"/>
        <v/>
      </c>
      <c r="P1703" s="19" t="str">
        <f t="shared" si="89"/>
        <v/>
      </c>
      <c r="Q1703" s="19" t="str">
        <f t="shared" si="89"/>
        <v/>
      </c>
      <c r="X1703" s="92" t="s">
        <v>78</v>
      </c>
      <c r="Y1703" s="92" t="s">
        <v>78</v>
      </c>
      <c r="Z1703" s="92" t="s">
        <v>78</v>
      </c>
    </row>
    <row r="1704" spans="1:26" ht="16" hidden="1" x14ac:dyDescent="0.4">
      <c r="A1704" s="92">
        <v>8504</v>
      </c>
      <c r="B1704" s="92">
        <v>8505</v>
      </c>
      <c r="E1704" s="92">
        <v>50</v>
      </c>
      <c r="F1704" s="92">
        <f>_xlfn.XLOOKUP(B1704, DATA_Moresby_2024_ALL!B:B, DATA_Moresby_2024_ALL!G:G, "")</f>
        <v>0</v>
      </c>
      <c r="G1704" s="93"/>
      <c r="H1704" s="92">
        <v>7</v>
      </c>
      <c r="I1704" s="92" t="str">
        <f t="shared" si="90"/>
        <v>X</v>
      </c>
      <c r="J1704" s="79" t="str">
        <f>IF(G1704="","X",_xlfn.XLOOKUP(B1704,DATA_Moresby_2024_ALL!B:B,DATA_Moresby_2024_ALL!K:K,""))</f>
        <v>X</v>
      </c>
      <c r="K1704" s="28"/>
      <c r="L1704" s="29"/>
      <c r="M1704" s="28"/>
      <c r="N1704" s="19" t="str">
        <f t="shared" si="89"/>
        <v/>
      </c>
      <c r="O1704" s="19" t="str">
        <f t="shared" si="89"/>
        <v/>
      </c>
      <c r="P1704" s="19" t="str">
        <f t="shared" si="89"/>
        <v/>
      </c>
      <c r="Q1704" s="19" t="str">
        <f t="shared" si="89"/>
        <v/>
      </c>
      <c r="X1704" s="92" t="s">
        <v>78</v>
      </c>
      <c r="Y1704" s="92" t="s">
        <v>78</v>
      </c>
      <c r="Z1704" s="92" t="s">
        <v>78</v>
      </c>
    </row>
    <row r="1705" spans="1:26" ht="16" hidden="1" x14ac:dyDescent="0.4">
      <c r="A1705" s="92">
        <v>8509</v>
      </c>
      <c r="B1705" s="92">
        <v>8510</v>
      </c>
      <c r="E1705" s="92">
        <v>50</v>
      </c>
      <c r="F1705" s="92">
        <f>_xlfn.XLOOKUP(B1705, DATA_Moresby_2024_ALL!B:B, DATA_Moresby_2024_ALL!G:G, "")</f>
        <v>0</v>
      </c>
      <c r="G1705" s="93"/>
      <c r="H1705" s="92">
        <v>7</v>
      </c>
      <c r="I1705" s="92" t="str">
        <f t="shared" si="90"/>
        <v>X</v>
      </c>
      <c r="J1705" s="79" t="str">
        <f>IF(G1705="","X",_xlfn.XLOOKUP(B1705,DATA_Moresby_2024_ALL!B:B,DATA_Moresby_2024_ALL!K:K,""))</f>
        <v>X</v>
      </c>
      <c r="K1705" s="28"/>
      <c r="L1705" s="29"/>
      <c r="M1705" s="28"/>
      <c r="N1705" s="19" t="str">
        <f t="shared" si="89"/>
        <v/>
      </c>
      <c r="O1705" s="19" t="str">
        <f t="shared" si="89"/>
        <v/>
      </c>
      <c r="P1705" s="19" t="str">
        <f t="shared" si="89"/>
        <v/>
      </c>
      <c r="Q1705" s="19" t="str">
        <f t="shared" si="89"/>
        <v/>
      </c>
      <c r="X1705" s="92" t="s">
        <v>78</v>
      </c>
      <c r="Y1705" s="92" t="s">
        <v>78</v>
      </c>
      <c r="Z1705" s="92" t="s">
        <v>78</v>
      </c>
    </row>
    <row r="1706" spans="1:26" ht="16" hidden="1" x14ac:dyDescent="0.4">
      <c r="A1706" s="92">
        <v>8514</v>
      </c>
      <c r="B1706" s="92">
        <v>8515</v>
      </c>
      <c r="E1706" s="92">
        <v>50</v>
      </c>
      <c r="F1706" s="92">
        <f>_xlfn.XLOOKUP(B1706, DATA_Moresby_2024_ALL!B:B, DATA_Moresby_2024_ALL!G:G, "")</f>
        <v>0</v>
      </c>
      <c r="G1706" s="93"/>
      <c r="H1706" s="92">
        <v>7</v>
      </c>
      <c r="I1706" s="92" t="str">
        <f t="shared" si="90"/>
        <v>X</v>
      </c>
      <c r="J1706" s="79" t="str">
        <f>IF(G1706="","X",_xlfn.XLOOKUP(B1706,DATA_Moresby_2024_ALL!B:B,DATA_Moresby_2024_ALL!K:K,""))</f>
        <v>X</v>
      </c>
      <c r="K1706" s="28"/>
      <c r="L1706" s="29"/>
      <c r="M1706" s="28"/>
      <c r="N1706" s="19" t="str">
        <f t="shared" si="89"/>
        <v/>
      </c>
      <c r="O1706" s="19" t="str">
        <f t="shared" si="89"/>
        <v/>
      </c>
      <c r="P1706" s="19" t="str">
        <f t="shared" si="89"/>
        <v/>
      </c>
      <c r="Q1706" s="19" t="str">
        <f t="shared" si="89"/>
        <v/>
      </c>
      <c r="X1706" s="92" t="s">
        <v>78</v>
      </c>
      <c r="Y1706" s="92" t="s">
        <v>78</v>
      </c>
      <c r="Z1706" s="92" t="s">
        <v>78</v>
      </c>
    </row>
    <row r="1707" spans="1:26" ht="16" hidden="1" x14ac:dyDescent="0.4">
      <c r="A1707" s="92">
        <v>8519</v>
      </c>
      <c r="B1707" s="92">
        <v>8520</v>
      </c>
      <c r="E1707" s="92">
        <v>50</v>
      </c>
      <c r="F1707" s="92">
        <f>_xlfn.XLOOKUP(B1707, DATA_Moresby_2024_ALL!B:B, DATA_Moresby_2024_ALL!G:G, "")</f>
        <v>0</v>
      </c>
      <c r="G1707" s="93"/>
      <c r="H1707" s="92">
        <v>7</v>
      </c>
      <c r="I1707" s="92" t="str">
        <f t="shared" si="90"/>
        <v>X</v>
      </c>
      <c r="J1707" s="79" t="str">
        <f>IF(G1707="","X",_xlfn.XLOOKUP(B1707,DATA_Moresby_2024_ALL!B:B,DATA_Moresby_2024_ALL!K:K,""))</f>
        <v>X</v>
      </c>
      <c r="K1707" s="28"/>
      <c r="L1707" s="29"/>
      <c r="M1707" s="28"/>
      <c r="N1707" s="19" t="str">
        <f t="shared" si="89"/>
        <v/>
      </c>
      <c r="O1707" s="19" t="str">
        <f t="shared" si="89"/>
        <v/>
      </c>
      <c r="P1707" s="19" t="str">
        <f t="shared" si="89"/>
        <v/>
      </c>
      <c r="Q1707" s="19" t="str">
        <f t="shared" si="89"/>
        <v/>
      </c>
      <c r="X1707" s="92" t="s">
        <v>78</v>
      </c>
      <c r="Y1707" s="92" t="s">
        <v>78</v>
      </c>
      <c r="Z1707" s="92" t="s">
        <v>78</v>
      </c>
    </row>
    <row r="1708" spans="1:26" ht="16" hidden="1" x14ac:dyDescent="0.4">
      <c r="A1708" s="92">
        <v>8524</v>
      </c>
      <c r="B1708" s="92">
        <v>8525</v>
      </c>
      <c r="E1708" s="92">
        <v>50</v>
      </c>
      <c r="F1708" s="92">
        <f>_xlfn.XLOOKUP(B1708, DATA_Moresby_2024_ALL!B:B, DATA_Moresby_2024_ALL!G:G, "")</f>
        <v>0</v>
      </c>
      <c r="G1708" s="93"/>
      <c r="H1708" s="92">
        <v>7</v>
      </c>
      <c r="I1708" s="92" t="str">
        <f t="shared" si="90"/>
        <v>X</v>
      </c>
      <c r="J1708" s="79" t="str">
        <f>IF(G1708="","X",_xlfn.XLOOKUP(B1708,DATA_Moresby_2024_ALL!B:B,DATA_Moresby_2024_ALL!K:K,""))</f>
        <v>X</v>
      </c>
      <c r="K1708" s="28"/>
      <c r="L1708" s="29"/>
      <c r="M1708" s="28"/>
      <c r="N1708" s="19" t="str">
        <f t="shared" si="89"/>
        <v/>
      </c>
      <c r="O1708" s="19" t="str">
        <f t="shared" si="89"/>
        <v/>
      </c>
      <c r="P1708" s="19" t="str">
        <f t="shared" si="89"/>
        <v/>
      </c>
      <c r="Q1708" s="19" t="str">
        <f t="shared" si="89"/>
        <v/>
      </c>
      <c r="X1708" s="92" t="s">
        <v>78</v>
      </c>
      <c r="Y1708" s="92" t="s">
        <v>78</v>
      </c>
      <c r="Z1708" s="92" t="s">
        <v>78</v>
      </c>
    </row>
    <row r="1709" spans="1:26" ht="16" hidden="1" x14ac:dyDescent="0.4">
      <c r="A1709" s="92">
        <v>8529</v>
      </c>
      <c r="B1709" s="92">
        <v>8530</v>
      </c>
      <c r="E1709" s="92">
        <v>50</v>
      </c>
      <c r="F1709" s="92">
        <f>_xlfn.XLOOKUP(B1709, DATA_Moresby_2024_ALL!B:B, DATA_Moresby_2024_ALL!G:G, "")</f>
        <v>0</v>
      </c>
      <c r="G1709" s="93"/>
      <c r="H1709" s="92">
        <v>7</v>
      </c>
      <c r="I1709" s="92" t="str">
        <f t="shared" si="90"/>
        <v>X</v>
      </c>
      <c r="J1709" s="79" t="str">
        <f>IF(G1709="","X",_xlfn.XLOOKUP(B1709,DATA_Moresby_2024_ALL!B:B,DATA_Moresby_2024_ALL!K:K,""))</f>
        <v>X</v>
      </c>
      <c r="K1709" s="28"/>
      <c r="L1709" s="29"/>
      <c r="M1709" s="28"/>
      <c r="N1709" s="19" t="str">
        <f t="shared" si="89"/>
        <v/>
      </c>
      <c r="O1709" s="19" t="str">
        <f t="shared" si="89"/>
        <v/>
      </c>
      <c r="P1709" s="19" t="str">
        <f t="shared" si="89"/>
        <v/>
      </c>
      <c r="Q1709" s="19" t="str">
        <f t="shared" si="89"/>
        <v/>
      </c>
      <c r="X1709" s="92" t="s">
        <v>78</v>
      </c>
      <c r="Y1709" s="92" t="s">
        <v>78</v>
      </c>
      <c r="Z1709" s="92" t="s">
        <v>78</v>
      </c>
    </row>
    <row r="1710" spans="1:26" ht="16" hidden="1" x14ac:dyDescent="0.4">
      <c r="A1710" s="92">
        <v>8534</v>
      </c>
      <c r="B1710" s="92">
        <v>8535</v>
      </c>
      <c r="E1710" s="92">
        <v>50</v>
      </c>
      <c r="F1710" s="92">
        <f>_xlfn.XLOOKUP(B1710, DATA_Moresby_2024_ALL!B:B, DATA_Moresby_2024_ALL!G:G, "")</f>
        <v>0</v>
      </c>
      <c r="G1710" s="93"/>
      <c r="H1710" s="92">
        <v>7</v>
      </c>
      <c r="I1710" s="92" t="str">
        <f t="shared" si="90"/>
        <v>X</v>
      </c>
      <c r="J1710" s="79" t="str">
        <f>IF(G1710="","X",_xlfn.XLOOKUP(B1710,DATA_Moresby_2024_ALL!B:B,DATA_Moresby_2024_ALL!K:K,""))</f>
        <v>X</v>
      </c>
      <c r="K1710" s="28"/>
      <c r="L1710" s="29"/>
      <c r="M1710" s="28"/>
      <c r="N1710" s="19" t="str">
        <f t="shared" si="89"/>
        <v/>
      </c>
      <c r="O1710" s="19" t="str">
        <f t="shared" si="89"/>
        <v/>
      </c>
      <c r="P1710" s="19" t="str">
        <f t="shared" si="89"/>
        <v/>
      </c>
      <c r="Q1710" s="19" t="str">
        <f t="shared" si="89"/>
        <v/>
      </c>
      <c r="X1710" s="92" t="s">
        <v>78</v>
      </c>
      <c r="Y1710" s="92" t="s">
        <v>78</v>
      </c>
      <c r="Z1710" s="92" t="s">
        <v>78</v>
      </c>
    </row>
    <row r="1711" spans="1:26" ht="16" hidden="1" x14ac:dyDescent="0.4">
      <c r="A1711" s="92">
        <v>8539</v>
      </c>
      <c r="B1711" s="92">
        <v>8540</v>
      </c>
      <c r="E1711" s="92">
        <v>50</v>
      </c>
      <c r="F1711" s="92">
        <f>_xlfn.XLOOKUP(B1711, DATA_Moresby_2024_ALL!B:B, DATA_Moresby_2024_ALL!G:G, "")</f>
        <v>0</v>
      </c>
      <c r="G1711" s="93"/>
      <c r="H1711" s="92">
        <v>7</v>
      </c>
      <c r="I1711" s="92" t="str">
        <f t="shared" si="90"/>
        <v>X</v>
      </c>
      <c r="J1711" s="79" t="str">
        <f>IF(G1711="","X",_xlfn.XLOOKUP(B1711,DATA_Moresby_2024_ALL!B:B,DATA_Moresby_2024_ALL!K:K,""))</f>
        <v>X</v>
      </c>
      <c r="K1711" s="28"/>
      <c r="L1711" s="29"/>
      <c r="M1711" s="28"/>
      <c r="N1711" s="19" t="str">
        <f t="shared" si="89"/>
        <v/>
      </c>
      <c r="O1711" s="19" t="str">
        <f t="shared" si="89"/>
        <v/>
      </c>
      <c r="P1711" s="19" t="str">
        <f t="shared" si="89"/>
        <v/>
      </c>
      <c r="Q1711" s="19" t="str">
        <f t="shared" si="89"/>
        <v/>
      </c>
      <c r="X1711" s="92" t="s">
        <v>78</v>
      </c>
      <c r="Y1711" s="92" t="s">
        <v>78</v>
      </c>
      <c r="Z1711" s="92" t="s">
        <v>78</v>
      </c>
    </row>
    <row r="1712" spans="1:26" ht="16" hidden="1" x14ac:dyDescent="0.4">
      <c r="A1712" s="92">
        <v>8544</v>
      </c>
      <c r="B1712" s="92">
        <v>8545</v>
      </c>
      <c r="E1712" s="92">
        <v>50</v>
      </c>
      <c r="F1712" s="92">
        <f>_xlfn.XLOOKUP(B1712, DATA_Moresby_2024_ALL!B:B, DATA_Moresby_2024_ALL!G:G, "")</f>
        <v>0</v>
      </c>
      <c r="G1712" s="93"/>
      <c r="H1712" s="92">
        <v>7</v>
      </c>
      <c r="I1712" s="92" t="str">
        <f t="shared" si="90"/>
        <v>X</v>
      </c>
      <c r="J1712" s="79" t="str">
        <f>IF(G1712="","X",_xlfn.XLOOKUP(B1712,DATA_Moresby_2024_ALL!B:B,DATA_Moresby_2024_ALL!K:K,""))</f>
        <v>X</v>
      </c>
      <c r="K1712" s="28"/>
      <c r="L1712" s="29"/>
      <c r="M1712" s="28"/>
      <c r="N1712" s="19" t="str">
        <f t="shared" si="89"/>
        <v/>
      </c>
      <c r="O1712" s="19" t="str">
        <f t="shared" si="89"/>
        <v/>
      </c>
      <c r="P1712" s="19" t="str">
        <f t="shared" si="89"/>
        <v/>
      </c>
      <c r="Q1712" s="19" t="str">
        <f t="shared" si="89"/>
        <v/>
      </c>
      <c r="X1712" s="92" t="s">
        <v>78</v>
      </c>
      <c r="Y1712" s="92" t="s">
        <v>78</v>
      </c>
      <c r="Z1712" s="92" t="s">
        <v>78</v>
      </c>
    </row>
    <row r="1713" spans="1:26" ht="16" hidden="1" x14ac:dyDescent="0.4">
      <c r="A1713" s="92">
        <v>8549</v>
      </c>
      <c r="B1713" s="92">
        <v>8550</v>
      </c>
      <c r="E1713" s="92">
        <v>50</v>
      </c>
      <c r="F1713" s="92">
        <f>_xlfn.XLOOKUP(B1713, DATA_Moresby_2024_ALL!B:B, DATA_Moresby_2024_ALL!G:G, "")</f>
        <v>0</v>
      </c>
      <c r="G1713" s="93"/>
      <c r="H1713" s="92">
        <v>7</v>
      </c>
      <c r="I1713" s="92" t="str">
        <f t="shared" si="90"/>
        <v>X</v>
      </c>
      <c r="J1713" s="79" t="str">
        <f>IF(G1713="","X",_xlfn.XLOOKUP(B1713,DATA_Moresby_2024_ALL!B:B,DATA_Moresby_2024_ALL!K:K,""))</f>
        <v>X</v>
      </c>
      <c r="K1713" s="28"/>
      <c r="L1713" s="29"/>
      <c r="M1713" s="28"/>
      <c r="N1713" s="19" t="str">
        <f t="shared" si="89"/>
        <v/>
      </c>
      <c r="O1713" s="19" t="str">
        <f t="shared" si="89"/>
        <v/>
      </c>
      <c r="P1713" s="19" t="str">
        <f t="shared" si="89"/>
        <v/>
      </c>
      <c r="Q1713" s="19" t="str">
        <f t="shared" si="89"/>
        <v/>
      </c>
      <c r="X1713" s="92" t="s">
        <v>78</v>
      </c>
      <c r="Y1713" s="92" t="s">
        <v>78</v>
      </c>
      <c r="Z1713" s="92" t="s">
        <v>78</v>
      </c>
    </row>
    <row r="1714" spans="1:26" ht="16" hidden="1" x14ac:dyDescent="0.4">
      <c r="A1714" s="92">
        <v>8554</v>
      </c>
      <c r="B1714" s="92">
        <v>8555</v>
      </c>
      <c r="E1714" s="92">
        <v>50</v>
      </c>
      <c r="F1714" s="92">
        <f>_xlfn.XLOOKUP(B1714, DATA_Moresby_2024_ALL!B:B, DATA_Moresby_2024_ALL!G:G, "")</f>
        <v>0</v>
      </c>
      <c r="G1714" s="93"/>
      <c r="H1714" s="92">
        <v>7</v>
      </c>
      <c r="I1714" s="92" t="str">
        <f t="shared" si="90"/>
        <v>X</v>
      </c>
      <c r="J1714" s="79" t="str">
        <f>IF(G1714="","X",_xlfn.XLOOKUP(B1714,DATA_Moresby_2024_ALL!B:B,DATA_Moresby_2024_ALL!K:K,""))</f>
        <v>X</v>
      </c>
      <c r="K1714" s="28"/>
      <c r="L1714" s="29"/>
      <c r="M1714" s="28"/>
      <c r="N1714" s="19" t="str">
        <f t="shared" si="89"/>
        <v/>
      </c>
      <c r="O1714" s="19" t="str">
        <f t="shared" si="89"/>
        <v/>
      </c>
      <c r="P1714" s="19" t="str">
        <f t="shared" si="89"/>
        <v/>
      </c>
      <c r="Q1714" s="19" t="str">
        <f t="shared" si="89"/>
        <v/>
      </c>
      <c r="X1714" s="92" t="s">
        <v>78</v>
      </c>
      <c r="Y1714" s="92" t="s">
        <v>78</v>
      </c>
      <c r="Z1714" s="92" t="s">
        <v>78</v>
      </c>
    </row>
    <row r="1715" spans="1:26" ht="16" hidden="1" x14ac:dyDescent="0.4">
      <c r="A1715" s="92">
        <v>8559</v>
      </c>
      <c r="B1715" s="92">
        <v>8560</v>
      </c>
      <c r="E1715" s="92">
        <v>50</v>
      </c>
      <c r="F1715" s="92">
        <f>_xlfn.XLOOKUP(B1715, DATA_Moresby_2024_ALL!B:B, DATA_Moresby_2024_ALL!G:G, "")</f>
        <v>0</v>
      </c>
      <c r="G1715" s="93"/>
      <c r="H1715" s="92">
        <v>7</v>
      </c>
      <c r="I1715" s="92" t="str">
        <f t="shared" si="90"/>
        <v>X</v>
      </c>
      <c r="J1715" s="79" t="str">
        <f>IF(G1715="","X",_xlfn.XLOOKUP(B1715,DATA_Moresby_2024_ALL!B:B,DATA_Moresby_2024_ALL!K:K,""))</f>
        <v>X</v>
      </c>
      <c r="K1715" s="28"/>
      <c r="L1715" s="29"/>
      <c r="M1715" s="28"/>
      <c r="N1715" s="19" t="str">
        <f t="shared" si="89"/>
        <v/>
      </c>
      <c r="O1715" s="19" t="str">
        <f t="shared" si="89"/>
        <v/>
      </c>
      <c r="P1715" s="19" t="str">
        <f t="shared" si="89"/>
        <v/>
      </c>
      <c r="Q1715" s="19" t="str">
        <f t="shared" si="89"/>
        <v/>
      </c>
      <c r="X1715" s="92" t="s">
        <v>78</v>
      </c>
      <c r="Y1715" s="92" t="s">
        <v>78</v>
      </c>
      <c r="Z1715" s="92" t="s">
        <v>78</v>
      </c>
    </row>
    <row r="1716" spans="1:26" ht="16" hidden="1" x14ac:dyDescent="0.4">
      <c r="A1716" s="92">
        <v>8564</v>
      </c>
      <c r="B1716" s="92">
        <v>8565</v>
      </c>
      <c r="E1716" s="92">
        <v>50</v>
      </c>
      <c r="F1716" s="92">
        <f>_xlfn.XLOOKUP(B1716, DATA_Moresby_2024_ALL!B:B, DATA_Moresby_2024_ALL!G:G, "")</f>
        <v>0</v>
      </c>
      <c r="G1716" s="93"/>
      <c r="H1716" s="92">
        <v>7</v>
      </c>
      <c r="I1716" s="92" t="str">
        <f t="shared" si="90"/>
        <v>X</v>
      </c>
      <c r="J1716" s="79" t="str">
        <f>IF(G1716="","X",_xlfn.XLOOKUP(B1716,DATA_Moresby_2024_ALL!B:B,DATA_Moresby_2024_ALL!K:K,""))</f>
        <v>X</v>
      </c>
      <c r="K1716" s="28"/>
      <c r="L1716" s="29"/>
      <c r="M1716" s="28"/>
      <c r="N1716" s="19" t="str">
        <f t="shared" si="89"/>
        <v/>
      </c>
      <c r="O1716" s="19" t="str">
        <f t="shared" si="89"/>
        <v/>
      </c>
      <c r="P1716" s="19" t="str">
        <f t="shared" si="89"/>
        <v/>
      </c>
      <c r="Q1716" s="19" t="str">
        <f t="shared" si="89"/>
        <v/>
      </c>
      <c r="X1716" s="92" t="s">
        <v>78</v>
      </c>
      <c r="Y1716" s="92" t="s">
        <v>78</v>
      </c>
      <c r="Z1716" s="92" t="s">
        <v>78</v>
      </c>
    </row>
    <row r="1717" spans="1:26" ht="16" hidden="1" x14ac:dyDescent="0.4">
      <c r="A1717" s="92">
        <v>8569</v>
      </c>
      <c r="B1717" s="92">
        <v>8570</v>
      </c>
      <c r="E1717" s="92">
        <v>50</v>
      </c>
      <c r="F1717" s="92">
        <f>_xlfn.XLOOKUP(B1717, DATA_Moresby_2024_ALL!B:B, DATA_Moresby_2024_ALL!G:G, "")</f>
        <v>0</v>
      </c>
      <c r="G1717" s="93"/>
      <c r="H1717" s="92">
        <v>7</v>
      </c>
      <c r="I1717" s="92" t="str">
        <f t="shared" si="90"/>
        <v>X</v>
      </c>
      <c r="J1717" s="79" t="str">
        <f>IF(G1717="","X",_xlfn.XLOOKUP(B1717,DATA_Moresby_2024_ALL!B:B,DATA_Moresby_2024_ALL!K:K,""))</f>
        <v>X</v>
      </c>
      <c r="K1717" s="28"/>
      <c r="L1717" s="29"/>
      <c r="M1717" s="28"/>
      <c r="N1717" s="19" t="str">
        <f t="shared" si="89"/>
        <v/>
      </c>
      <c r="O1717" s="19" t="str">
        <f t="shared" si="89"/>
        <v/>
      </c>
      <c r="P1717" s="19" t="str">
        <f t="shared" si="89"/>
        <v/>
      </c>
      <c r="Q1717" s="19" t="str">
        <f t="shared" si="89"/>
        <v/>
      </c>
      <c r="X1717" s="92" t="s">
        <v>78</v>
      </c>
      <c r="Y1717" s="92" t="s">
        <v>78</v>
      </c>
      <c r="Z1717" s="92" t="s">
        <v>78</v>
      </c>
    </row>
    <row r="1718" spans="1:26" ht="16" hidden="1" x14ac:dyDescent="0.4">
      <c r="A1718" s="92">
        <v>8574</v>
      </c>
      <c r="B1718" s="92">
        <v>8575</v>
      </c>
      <c r="E1718" s="92">
        <v>50</v>
      </c>
      <c r="F1718" s="92" t="str">
        <f>_xlfn.XLOOKUP(B1718, DATA_Moresby_2024_ALL!B:B, DATA_Moresby_2024_ALL!G:G, "")</f>
        <v>8575_20240611_0002_R_0074.jpg</v>
      </c>
      <c r="G1718" s="93" t="str">
        <f t="shared" ref="G1718:G1738" si="91">HYPERLINK("D:\Data From Lucan\2024\Moresby\Frames_for_Analysis_50\" &amp; F1718,F1718)</f>
        <v>8575_20240611_0002_R_0074.jpg</v>
      </c>
      <c r="H1718" s="92">
        <v>7</v>
      </c>
      <c r="I1718" s="92" t="str">
        <f t="shared" si="90"/>
        <v/>
      </c>
      <c r="J1718" s="79">
        <f>IF(G1718="","X",_xlfn.XLOOKUP(B1718,DATA_Moresby_2024_ALL!B:B,DATA_Moresby_2024_ALL!K:K,""))</f>
        <v>0</v>
      </c>
      <c r="K1718" s="28"/>
      <c r="L1718" s="29"/>
      <c r="M1718" s="28"/>
      <c r="N1718" s="19"/>
      <c r="O1718" s="19"/>
      <c r="P1718" s="19" t="str">
        <f t="shared" si="89"/>
        <v/>
      </c>
      <c r="Q1718" s="19"/>
      <c r="X1718" s="92" t="s">
        <v>78</v>
      </c>
      <c r="Y1718" s="92" t="s">
        <v>78</v>
      </c>
      <c r="Z1718" s="92" t="s">
        <v>78</v>
      </c>
    </row>
    <row r="1719" spans="1:26" ht="16" hidden="1" x14ac:dyDescent="0.4">
      <c r="A1719" s="92">
        <v>8579</v>
      </c>
      <c r="B1719" s="92">
        <v>8580</v>
      </c>
      <c r="E1719" s="92">
        <v>50</v>
      </c>
      <c r="F1719" s="92">
        <f>_xlfn.XLOOKUP(B1719, DATA_Moresby_2024_ALL!B:B, DATA_Moresby_2024_ALL!G:G, "")</f>
        <v>0</v>
      </c>
      <c r="G1719" s="93"/>
      <c r="H1719" s="92">
        <v>7</v>
      </c>
      <c r="I1719" s="92" t="str">
        <f t="shared" si="90"/>
        <v>X</v>
      </c>
      <c r="J1719" s="79" t="str">
        <f>IF(G1719="","X",_xlfn.XLOOKUP(B1719,DATA_Moresby_2024_ALL!B:B,DATA_Moresby_2024_ALL!K:K,""))</f>
        <v>X</v>
      </c>
      <c r="K1719" s="28"/>
      <c r="L1719" s="29"/>
      <c r="M1719" s="28"/>
      <c r="N1719" s="19" t="str">
        <f t="shared" si="89"/>
        <v/>
      </c>
      <c r="O1719" s="19" t="str">
        <f t="shared" si="89"/>
        <v/>
      </c>
      <c r="P1719" s="19" t="str">
        <f t="shared" si="89"/>
        <v/>
      </c>
      <c r="Q1719" s="19" t="str">
        <f t="shared" si="89"/>
        <v/>
      </c>
      <c r="X1719" s="92" t="s">
        <v>78</v>
      </c>
      <c r="Y1719" s="92" t="s">
        <v>78</v>
      </c>
      <c r="Z1719" s="92" t="s">
        <v>78</v>
      </c>
    </row>
    <row r="1720" spans="1:26" ht="16" hidden="1" x14ac:dyDescent="0.4">
      <c r="A1720" s="92">
        <v>8584</v>
      </c>
      <c r="B1720" s="92">
        <v>8585</v>
      </c>
      <c r="E1720" s="92">
        <v>50</v>
      </c>
      <c r="F1720" s="92" t="str">
        <f>_xlfn.XLOOKUP(B1720, DATA_Moresby_2024_ALL!B:B, DATA_Moresby_2024_ALL!G:G, "")</f>
        <v>8585_20240611_0002_R_0072.jpg</v>
      </c>
      <c r="G1720" s="93" t="str">
        <f t="shared" si="91"/>
        <v>8585_20240611_0002_R_0072.jpg</v>
      </c>
      <c r="H1720" s="92">
        <v>7</v>
      </c>
      <c r="I1720" s="92" t="str">
        <f t="shared" si="90"/>
        <v/>
      </c>
      <c r="J1720" s="79">
        <f>IF(G1720="","X",_xlfn.XLOOKUP(B1720,DATA_Moresby_2024_ALL!B:B,DATA_Moresby_2024_ALL!K:K,""))</f>
        <v>0</v>
      </c>
      <c r="K1720" s="28"/>
      <c r="L1720" s="29"/>
      <c r="M1720" s="28"/>
      <c r="N1720" s="19"/>
      <c r="O1720" s="19"/>
      <c r="P1720" s="19" t="str">
        <f t="shared" si="89"/>
        <v/>
      </c>
      <c r="Q1720" s="19"/>
      <c r="X1720" s="92" t="s">
        <v>78</v>
      </c>
      <c r="Y1720" s="92" t="s">
        <v>78</v>
      </c>
      <c r="Z1720" s="92" t="s">
        <v>78</v>
      </c>
    </row>
    <row r="1721" spans="1:26" ht="16" hidden="1" x14ac:dyDescent="0.4">
      <c r="A1721" s="92">
        <v>8589</v>
      </c>
      <c r="B1721" s="92">
        <v>8590</v>
      </c>
      <c r="E1721" s="92">
        <v>50</v>
      </c>
      <c r="F1721" s="92" t="str">
        <f>_xlfn.XLOOKUP(B1721, DATA_Moresby_2024_ALL!B:B, DATA_Moresby_2024_ALL!G:G, "")</f>
        <v>8590_20240611_0002_R_0062.jpg</v>
      </c>
      <c r="G1721" s="93" t="str">
        <f t="shared" si="91"/>
        <v>8590_20240611_0002_R_0062.jpg</v>
      </c>
      <c r="H1721" s="92">
        <v>7</v>
      </c>
      <c r="I1721" s="92" t="str">
        <f t="shared" si="90"/>
        <v/>
      </c>
      <c r="J1721" s="79">
        <f>IF(G1721="","X",_xlfn.XLOOKUP(B1721,DATA_Moresby_2024_ALL!B:B,DATA_Moresby_2024_ALL!K:K,""))</f>
        <v>0</v>
      </c>
      <c r="K1721" s="28"/>
      <c r="L1721" s="29"/>
      <c r="M1721" s="28"/>
      <c r="N1721" s="19"/>
      <c r="O1721" s="19"/>
      <c r="P1721" s="19" t="str">
        <f t="shared" si="89"/>
        <v/>
      </c>
      <c r="Q1721" s="19"/>
      <c r="X1721" s="92" t="s">
        <v>78</v>
      </c>
      <c r="Y1721" s="92" t="s">
        <v>78</v>
      </c>
      <c r="Z1721" s="92" t="s">
        <v>78</v>
      </c>
    </row>
    <row r="1722" spans="1:26" ht="16" hidden="1" x14ac:dyDescent="0.4">
      <c r="A1722" s="92">
        <v>8594</v>
      </c>
      <c r="B1722" s="92">
        <v>8595</v>
      </c>
      <c r="E1722" s="92">
        <v>50</v>
      </c>
      <c r="F1722" s="92" t="str">
        <f>_xlfn.XLOOKUP(B1722, DATA_Moresby_2024_ALL!B:B, DATA_Moresby_2024_ALL!G:G, "")</f>
        <v>8595_20240611_0001_R_0972.jpg</v>
      </c>
      <c r="G1722" s="93" t="str">
        <f t="shared" si="91"/>
        <v>8595_20240611_0001_R_0972.jpg</v>
      </c>
      <c r="H1722" s="92">
        <v>7</v>
      </c>
      <c r="I1722" s="92" t="str">
        <f t="shared" si="90"/>
        <v/>
      </c>
      <c r="J1722" s="79">
        <f>IF(G1722="","X",_xlfn.XLOOKUP(B1722,DATA_Moresby_2024_ALL!B:B,DATA_Moresby_2024_ALL!K:K,""))</f>
        <v>0</v>
      </c>
      <c r="K1722" s="28"/>
      <c r="L1722" s="29"/>
      <c r="M1722" s="28"/>
      <c r="N1722" s="19"/>
      <c r="O1722" s="19"/>
      <c r="P1722" s="19" t="str">
        <f t="shared" si="89"/>
        <v/>
      </c>
      <c r="Q1722" s="19"/>
      <c r="X1722" s="92" t="s">
        <v>78</v>
      </c>
      <c r="Y1722" s="92" t="s">
        <v>78</v>
      </c>
      <c r="Z1722" s="92" t="s">
        <v>78</v>
      </c>
    </row>
    <row r="1723" spans="1:26" ht="16" x14ac:dyDescent="0.4">
      <c r="A1723" s="92">
        <v>8599</v>
      </c>
      <c r="B1723" s="75">
        <v>8600</v>
      </c>
      <c r="E1723" s="92">
        <v>50</v>
      </c>
      <c r="F1723" s="92" t="str">
        <f>_xlfn.XLOOKUP(B1723, DATA_Moresby_2024_ALL!B:B, DATA_Moresby_2024_ALL!G:G, "")</f>
        <v>8600_20240611_0002_R_0021.jpg</v>
      </c>
      <c r="G1723" s="93" t="str">
        <f t="shared" si="91"/>
        <v>8600_20240611_0002_R_0021.jpg</v>
      </c>
      <c r="H1723" s="75">
        <v>1</v>
      </c>
      <c r="J1723" s="79">
        <f>IF(G1723="","X",_xlfn.XLOOKUP(B1723,DATA_Moresby_2024_ALL!B:B,DATA_Moresby_2024_ALL!K:K,""))</f>
        <v>1</v>
      </c>
      <c r="K1723" s="28"/>
      <c r="L1723" s="29"/>
      <c r="M1723" s="28"/>
      <c r="N1723" s="19">
        <f t="shared" si="89"/>
        <v>4</v>
      </c>
      <c r="O1723" s="19">
        <f t="shared" si="89"/>
        <v>4</v>
      </c>
      <c r="P1723" s="19">
        <f t="shared" si="89"/>
        <v>4</v>
      </c>
      <c r="Q1723" s="19">
        <f t="shared" si="89"/>
        <v>4</v>
      </c>
      <c r="X1723" s="92">
        <v>4</v>
      </c>
      <c r="Y1723" s="92">
        <v>4</v>
      </c>
      <c r="Z1723" s="92">
        <v>3</v>
      </c>
    </row>
    <row r="1724" spans="1:26" ht="16" x14ac:dyDescent="0.4">
      <c r="A1724" s="92">
        <v>8604</v>
      </c>
      <c r="B1724" s="75">
        <v>8605</v>
      </c>
      <c r="E1724" s="92">
        <v>50</v>
      </c>
      <c r="F1724" s="92" t="str">
        <f>_xlfn.XLOOKUP(B1724, DATA_Moresby_2024_ALL!B:B, DATA_Moresby_2024_ALL!G:G, "")</f>
        <v>8605_20240611_0002_R_0028.jpg</v>
      </c>
      <c r="G1724" s="93" t="str">
        <f t="shared" si="91"/>
        <v>8605_20240611_0002_R_0028.jpg</v>
      </c>
      <c r="H1724" s="75">
        <v>1</v>
      </c>
      <c r="J1724" s="79">
        <f>IF(G1724="","X",_xlfn.XLOOKUP(B1724,DATA_Moresby_2024_ALL!B:B,DATA_Moresby_2024_ALL!K:K,""))</f>
        <v>1</v>
      </c>
      <c r="K1724" s="28"/>
      <c r="L1724" s="29"/>
      <c r="M1724" s="28"/>
      <c r="N1724" s="19">
        <f t="shared" si="89"/>
        <v>4</v>
      </c>
      <c r="O1724" s="19">
        <f t="shared" si="89"/>
        <v>4</v>
      </c>
      <c r="P1724" s="19">
        <f t="shared" si="89"/>
        <v>4</v>
      </c>
      <c r="Q1724" s="19">
        <v>3</v>
      </c>
      <c r="X1724" s="92">
        <v>4</v>
      </c>
      <c r="Y1724" s="92">
        <v>4</v>
      </c>
      <c r="Z1724" s="92">
        <v>3</v>
      </c>
    </row>
    <row r="1725" spans="1:26" ht="16" x14ac:dyDescent="0.4">
      <c r="A1725" s="92">
        <v>8609</v>
      </c>
      <c r="B1725" s="75">
        <v>8610</v>
      </c>
      <c r="E1725" s="92">
        <v>50</v>
      </c>
      <c r="F1725" s="92" t="str">
        <f>_xlfn.XLOOKUP(B1725, DATA_Moresby_2024_ALL!B:B, DATA_Moresby_2024_ALL!G:G, "")</f>
        <v>8610_20240611_0001_R_0905.jpg</v>
      </c>
      <c r="G1725" s="93" t="str">
        <f t="shared" si="91"/>
        <v>8610_20240611_0001_R_0905.jpg</v>
      </c>
      <c r="H1725" s="75">
        <v>1</v>
      </c>
      <c r="J1725" s="79">
        <f>IF(G1725="","X",_xlfn.XLOOKUP(B1725,DATA_Moresby_2024_ALL!B:B,DATA_Moresby_2024_ALL!K:K,""))</f>
        <v>1</v>
      </c>
      <c r="K1725" s="28"/>
      <c r="L1725" s="29"/>
      <c r="M1725" s="28"/>
      <c r="N1725" s="19">
        <f t="shared" si="89"/>
        <v>4</v>
      </c>
      <c r="O1725" s="19">
        <f t="shared" si="89"/>
        <v>4</v>
      </c>
      <c r="P1725" s="19">
        <f t="shared" si="89"/>
        <v>4</v>
      </c>
      <c r="Q1725" s="19">
        <v>3</v>
      </c>
      <c r="X1725" s="92">
        <v>4</v>
      </c>
      <c r="Y1725" s="92">
        <v>4</v>
      </c>
      <c r="Z1725" s="92">
        <v>3</v>
      </c>
    </row>
    <row r="1726" spans="1:26" ht="16" x14ac:dyDescent="0.4">
      <c r="A1726" s="92">
        <v>8614</v>
      </c>
      <c r="B1726" s="75">
        <v>8615</v>
      </c>
      <c r="E1726" s="92">
        <v>50</v>
      </c>
      <c r="F1726" s="92" t="str">
        <f>_xlfn.XLOOKUP(B1726, DATA_Moresby_2024_ALL!B:B, DATA_Moresby_2024_ALL!G:G, "")</f>
        <v>8615_20240611_0001_R_0880.jpg</v>
      </c>
      <c r="G1726" s="93" t="str">
        <f t="shared" si="91"/>
        <v>8615_20240611_0001_R_0880.jpg</v>
      </c>
      <c r="H1726" s="75">
        <v>1</v>
      </c>
      <c r="J1726" s="79">
        <f>IF(G1726="","X",_xlfn.XLOOKUP(B1726,DATA_Moresby_2024_ALL!B:B,DATA_Moresby_2024_ALL!K:K,""))</f>
        <v>1</v>
      </c>
      <c r="K1726" s="28"/>
      <c r="L1726" s="29"/>
      <c r="M1726" s="28"/>
      <c r="N1726" s="19">
        <f t="shared" si="89"/>
        <v>4</v>
      </c>
      <c r="O1726" s="19">
        <f t="shared" si="89"/>
        <v>4</v>
      </c>
      <c r="P1726" s="19">
        <f t="shared" si="89"/>
        <v>4</v>
      </c>
      <c r="Q1726" s="19">
        <f t="shared" si="89"/>
        <v>4</v>
      </c>
      <c r="X1726" s="92">
        <v>4</v>
      </c>
      <c r="Y1726" s="92">
        <v>4</v>
      </c>
      <c r="Z1726" s="92">
        <v>4</v>
      </c>
    </row>
    <row r="1727" spans="1:26" ht="16" x14ac:dyDescent="0.4">
      <c r="A1727" s="92">
        <v>8619</v>
      </c>
      <c r="B1727" s="75">
        <v>8620</v>
      </c>
      <c r="E1727" s="92">
        <v>50</v>
      </c>
      <c r="F1727" s="92" t="str">
        <f>_xlfn.XLOOKUP(B1727, DATA_Moresby_2024_ALL!B:B, DATA_Moresby_2024_ALL!G:G, "")</f>
        <v>8620_20240611_0001_R_0857.jpg</v>
      </c>
      <c r="G1727" s="93" t="str">
        <f t="shared" si="91"/>
        <v>8620_20240611_0001_R_0857.jpg</v>
      </c>
      <c r="H1727" s="75">
        <v>1</v>
      </c>
      <c r="J1727" s="79">
        <f>IF(G1727="","X",_xlfn.XLOOKUP(B1727,DATA_Moresby_2024_ALL!B:B,DATA_Moresby_2024_ALL!K:K,""))</f>
        <v>1</v>
      </c>
      <c r="K1727" s="28"/>
      <c r="L1727" s="29"/>
      <c r="M1727" s="28"/>
      <c r="N1727" s="19">
        <f t="shared" si="89"/>
        <v>4</v>
      </c>
      <c r="O1727" s="19">
        <f t="shared" si="89"/>
        <v>4</v>
      </c>
      <c r="P1727" s="19">
        <f t="shared" si="89"/>
        <v>4</v>
      </c>
      <c r="Q1727" s="19">
        <f t="shared" si="89"/>
        <v>4</v>
      </c>
      <c r="X1727" s="92">
        <v>4</v>
      </c>
      <c r="Y1727" s="92">
        <v>4</v>
      </c>
      <c r="Z1727" s="92">
        <v>4</v>
      </c>
    </row>
    <row r="1728" spans="1:26" ht="16" x14ac:dyDescent="0.4">
      <c r="A1728" s="92">
        <v>8624</v>
      </c>
      <c r="B1728" s="75">
        <v>8625</v>
      </c>
      <c r="E1728" s="92">
        <v>50</v>
      </c>
      <c r="F1728" s="92" t="str">
        <f>_xlfn.XLOOKUP(B1728, DATA_Moresby_2024_ALL!B:B, DATA_Moresby_2024_ALL!G:G, "")</f>
        <v>8625_20240611_0001_R_0837.jpg</v>
      </c>
      <c r="G1728" s="93" t="str">
        <f t="shared" si="91"/>
        <v>8625_20240611_0001_R_0837.jpg</v>
      </c>
      <c r="H1728" s="75">
        <v>1</v>
      </c>
      <c r="J1728" s="79">
        <f>IF(G1728="","X",_xlfn.XLOOKUP(B1728,DATA_Moresby_2024_ALL!B:B,DATA_Moresby_2024_ALL!K:K,""))</f>
        <v>1</v>
      </c>
      <c r="K1728" s="28"/>
      <c r="L1728" s="29"/>
      <c r="M1728" s="28"/>
      <c r="N1728" s="19">
        <f t="shared" si="89"/>
        <v>4</v>
      </c>
      <c r="O1728" s="19">
        <f t="shared" si="89"/>
        <v>4</v>
      </c>
      <c r="P1728" s="19">
        <f t="shared" si="89"/>
        <v>4</v>
      </c>
      <c r="Q1728" s="19">
        <f t="shared" si="89"/>
        <v>4</v>
      </c>
      <c r="X1728" s="92">
        <v>4</v>
      </c>
      <c r="Y1728" s="92">
        <v>4</v>
      </c>
      <c r="Z1728" s="92">
        <v>3</v>
      </c>
    </row>
    <row r="1729" spans="1:26" ht="16" x14ac:dyDescent="0.4">
      <c r="A1729" s="92">
        <v>8629</v>
      </c>
      <c r="B1729" s="75">
        <v>8630</v>
      </c>
      <c r="E1729" s="92">
        <v>50</v>
      </c>
      <c r="F1729" s="92" t="str">
        <f>_xlfn.XLOOKUP(B1729, DATA_Moresby_2024_ALL!B:B, DATA_Moresby_2024_ALL!G:G, "")</f>
        <v>8630_20240611_0001_R_0808.jpg</v>
      </c>
      <c r="G1729" s="93" t="str">
        <f t="shared" si="91"/>
        <v>8630_20240611_0001_R_0808.jpg</v>
      </c>
      <c r="H1729" s="75">
        <v>1</v>
      </c>
      <c r="J1729" s="79">
        <f>IF(G1729="","X",_xlfn.XLOOKUP(B1729,DATA_Moresby_2024_ALL!B:B,DATA_Moresby_2024_ALL!K:K,""))</f>
        <v>1</v>
      </c>
      <c r="K1729" s="28"/>
      <c r="L1729" s="29"/>
      <c r="M1729" s="28"/>
      <c r="N1729" s="19">
        <f t="shared" si="89"/>
        <v>4</v>
      </c>
      <c r="O1729" s="19">
        <f t="shared" si="89"/>
        <v>4</v>
      </c>
      <c r="P1729" s="19">
        <f t="shared" si="89"/>
        <v>4</v>
      </c>
      <c r="Q1729" s="19">
        <f t="shared" si="89"/>
        <v>4</v>
      </c>
      <c r="X1729" s="92">
        <v>4</v>
      </c>
      <c r="Y1729" s="92">
        <v>4</v>
      </c>
      <c r="Z1729" s="92">
        <v>3</v>
      </c>
    </row>
    <row r="1730" spans="1:26" ht="16" x14ac:dyDescent="0.4">
      <c r="A1730" s="92">
        <v>8634</v>
      </c>
      <c r="B1730" s="75">
        <v>8635</v>
      </c>
      <c r="E1730" s="92">
        <v>50</v>
      </c>
      <c r="F1730" s="92" t="str">
        <f>_xlfn.XLOOKUP(B1730, DATA_Moresby_2024_ALL!B:B, DATA_Moresby_2024_ALL!G:G, "")</f>
        <v>8635_20240611_0001_R_0791.jpg</v>
      </c>
      <c r="G1730" s="93" t="str">
        <f t="shared" si="91"/>
        <v>8635_20240611_0001_R_0791.jpg</v>
      </c>
      <c r="H1730" s="75">
        <v>1</v>
      </c>
      <c r="J1730" s="79">
        <f>IF(G1730="","X",_xlfn.XLOOKUP(B1730,DATA_Moresby_2024_ALL!B:B,DATA_Moresby_2024_ALL!K:K,""))</f>
        <v>1</v>
      </c>
      <c r="K1730" s="28"/>
      <c r="L1730" s="29"/>
      <c r="M1730" s="28"/>
      <c r="N1730" s="19">
        <f t="shared" si="89"/>
        <v>4</v>
      </c>
      <c r="O1730" s="19">
        <f t="shared" si="89"/>
        <v>4</v>
      </c>
      <c r="P1730" s="19">
        <f t="shared" si="89"/>
        <v>4</v>
      </c>
      <c r="Q1730" s="19">
        <v>3</v>
      </c>
      <c r="X1730" s="92">
        <v>4</v>
      </c>
      <c r="Y1730" s="92">
        <v>4</v>
      </c>
      <c r="Z1730" s="92">
        <v>3</v>
      </c>
    </row>
    <row r="1731" spans="1:26" ht="16" x14ac:dyDescent="0.4">
      <c r="A1731" s="92">
        <v>8639</v>
      </c>
      <c r="B1731" s="75">
        <v>8640</v>
      </c>
      <c r="E1731" s="92">
        <v>50</v>
      </c>
      <c r="F1731" s="92" t="str">
        <f>_xlfn.XLOOKUP(B1731, DATA_Moresby_2024_ALL!B:B, DATA_Moresby_2024_ALL!G:G, "")</f>
        <v>8640_20240611_0001_R_0777.jpg</v>
      </c>
      <c r="G1731" s="93" t="str">
        <f t="shared" si="91"/>
        <v>8640_20240611_0001_R_0777.jpg</v>
      </c>
      <c r="H1731" s="75">
        <v>1</v>
      </c>
      <c r="J1731" s="79">
        <f>IF(G1731="","X",_xlfn.XLOOKUP(B1731,DATA_Moresby_2024_ALL!B:B,DATA_Moresby_2024_ALL!K:K,""))</f>
        <v>1</v>
      </c>
      <c r="K1731" s="28"/>
      <c r="L1731" s="29"/>
      <c r="M1731" s="28"/>
      <c r="N1731" s="19">
        <f t="shared" si="89"/>
        <v>4</v>
      </c>
      <c r="O1731" s="19">
        <f t="shared" si="89"/>
        <v>4</v>
      </c>
      <c r="P1731" s="19">
        <f t="shared" si="89"/>
        <v>4</v>
      </c>
      <c r="Q1731" s="19">
        <f t="shared" si="89"/>
        <v>4</v>
      </c>
      <c r="X1731" s="92">
        <v>4</v>
      </c>
      <c r="Y1731" s="92">
        <v>4</v>
      </c>
      <c r="Z1731" s="92">
        <v>4</v>
      </c>
    </row>
    <row r="1732" spans="1:26" ht="16" x14ac:dyDescent="0.4">
      <c r="A1732" s="92">
        <v>8644</v>
      </c>
      <c r="B1732" s="75">
        <v>8645</v>
      </c>
      <c r="E1732" s="92">
        <v>50</v>
      </c>
      <c r="F1732" s="92" t="str">
        <f>_xlfn.XLOOKUP(B1732, DATA_Moresby_2024_ALL!B:B, DATA_Moresby_2024_ALL!G:G, "")</f>
        <v>8645_20240611_0001_R_0757.jpg</v>
      </c>
      <c r="G1732" s="93" t="str">
        <f t="shared" si="91"/>
        <v>8645_20240611_0001_R_0757.jpg</v>
      </c>
      <c r="H1732" s="75">
        <v>1</v>
      </c>
      <c r="J1732" s="79">
        <f>IF(G1732="","X",_xlfn.XLOOKUP(B1732,DATA_Moresby_2024_ALL!B:B,DATA_Moresby_2024_ALL!K:K,""))</f>
        <v>1</v>
      </c>
      <c r="K1732" s="28"/>
      <c r="L1732" s="29"/>
      <c r="M1732" s="28"/>
      <c r="N1732" s="19">
        <f t="shared" si="89"/>
        <v>4</v>
      </c>
      <c r="O1732" s="19">
        <f t="shared" si="89"/>
        <v>4</v>
      </c>
      <c r="P1732" s="19">
        <f t="shared" si="89"/>
        <v>4</v>
      </c>
      <c r="Q1732" s="19">
        <f t="shared" si="89"/>
        <v>4</v>
      </c>
      <c r="X1732" s="92">
        <v>4</v>
      </c>
      <c r="Y1732" s="92">
        <v>4</v>
      </c>
      <c r="Z1732" s="92">
        <v>3</v>
      </c>
    </row>
    <row r="1733" spans="1:26" ht="16" x14ac:dyDescent="0.4">
      <c r="A1733" s="92">
        <v>8649</v>
      </c>
      <c r="B1733" s="75">
        <v>8650</v>
      </c>
      <c r="E1733" s="92">
        <v>50</v>
      </c>
      <c r="F1733" s="92" t="str">
        <f>_xlfn.XLOOKUP(B1733, DATA_Moresby_2024_ALL!B:B, DATA_Moresby_2024_ALL!G:G, "")</f>
        <v>8650_20240611_0001_R_0735.jpg</v>
      </c>
      <c r="G1733" s="93" t="str">
        <f t="shared" si="91"/>
        <v>8650_20240611_0001_R_0735.jpg</v>
      </c>
      <c r="H1733" s="75">
        <v>1</v>
      </c>
      <c r="J1733" s="79">
        <f>IF(G1733="","X",_xlfn.XLOOKUP(B1733,DATA_Moresby_2024_ALL!B:B,DATA_Moresby_2024_ALL!K:K,""))</f>
        <v>1</v>
      </c>
      <c r="K1733" s="28"/>
      <c r="L1733" s="29"/>
      <c r="M1733" s="28"/>
      <c r="N1733" s="19">
        <f t="shared" si="89"/>
        <v>4</v>
      </c>
      <c r="O1733" s="19">
        <f t="shared" si="89"/>
        <v>4</v>
      </c>
      <c r="P1733" s="19">
        <f t="shared" si="89"/>
        <v>4</v>
      </c>
      <c r="Q1733" s="19">
        <f t="shared" si="89"/>
        <v>4</v>
      </c>
      <c r="X1733" s="92">
        <v>4</v>
      </c>
      <c r="Y1733" s="92">
        <v>4</v>
      </c>
      <c r="Z1733" s="92">
        <v>3</v>
      </c>
    </row>
    <row r="1734" spans="1:26" ht="16" x14ac:dyDescent="0.4">
      <c r="A1734" s="92">
        <v>8654</v>
      </c>
      <c r="B1734" s="75">
        <v>8655</v>
      </c>
      <c r="E1734" s="92">
        <v>50</v>
      </c>
      <c r="F1734" s="92" t="str">
        <f>_xlfn.XLOOKUP(B1734, DATA_Moresby_2024_ALL!B:B, DATA_Moresby_2024_ALL!G:G, "")</f>
        <v>8655_20240611_0001_R_0717.jpg</v>
      </c>
      <c r="G1734" s="93" t="str">
        <f t="shared" si="91"/>
        <v>8655_20240611_0001_R_0717.jpg</v>
      </c>
      <c r="H1734" s="75">
        <v>1</v>
      </c>
      <c r="J1734" s="79">
        <f>IF(G1734="","X",_xlfn.XLOOKUP(B1734,DATA_Moresby_2024_ALL!B:B,DATA_Moresby_2024_ALL!K:K,""))</f>
        <v>1</v>
      </c>
      <c r="K1734" s="28"/>
      <c r="L1734" s="29"/>
      <c r="M1734" s="28"/>
      <c r="N1734" s="19">
        <f t="shared" si="89"/>
        <v>4</v>
      </c>
      <c r="O1734" s="19">
        <f t="shared" si="89"/>
        <v>4</v>
      </c>
      <c r="P1734" s="19">
        <f t="shared" si="89"/>
        <v>4</v>
      </c>
      <c r="Q1734" s="19">
        <f t="shared" si="89"/>
        <v>4</v>
      </c>
      <c r="X1734" s="92">
        <v>4</v>
      </c>
      <c r="Y1734" s="92">
        <v>4</v>
      </c>
      <c r="Z1734" s="92">
        <v>4</v>
      </c>
    </row>
    <row r="1735" spans="1:26" ht="16" x14ac:dyDescent="0.4">
      <c r="A1735" s="92">
        <v>8659</v>
      </c>
      <c r="B1735" s="75">
        <v>8660</v>
      </c>
      <c r="E1735" s="92">
        <v>50</v>
      </c>
      <c r="F1735" s="92" t="str">
        <f>_xlfn.XLOOKUP(B1735, DATA_Moresby_2024_ALL!B:B, DATA_Moresby_2024_ALL!G:G, "")</f>
        <v>8660_20240611_0001_R_0700.jpg</v>
      </c>
      <c r="G1735" s="93" t="str">
        <f t="shared" si="91"/>
        <v>8660_20240611_0001_R_0700.jpg</v>
      </c>
      <c r="H1735" s="75">
        <v>1</v>
      </c>
      <c r="J1735" s="79">
        <f>IF(G1735="","X",_xlfn.XLOOKUP(B1735,DATA_Moresby_2024_ALL!B:B,DATA_Moresby_2024_ALL!K:K,""))</f>
        <v>1</v>
      </c>
      <c r="K1735" s="28"/>
      <c r="L1735" s="29"/>
      <c r="M1735" s="28"/>
      <c r="N1735" s="19">
        <f t="shared" si="89"/>
        <v>4</v>
      </c>
      <c r="O1735" s="19">
        <f t="shared" si="89"/>
        <v>4</v>
      </c>
      <c r="P1735" s="19">
        <f t="shared" si="89"/>
        <v>4</v>
      </c>
      <c r="Q1735" s="19">
        <f t="shared" si="89"/>
        <v>4</v>
      </c>
      <c r="X1735" s="92">
        <v>4</v>
      </c>
      <c r="Y1735" s="92">
        <v>4</v>
      </c>
      <c r="Z1735" s="92">
        <v>3</v>
      </c>
    </row>
    <row r="1736" spans="1:26" ht="16" x14ac:dyDescent="0.4">
      <c r="A1736" s="92">
        <v>8664</v>
      </c>
      <c r="B1736" s="75">
        <v>8665</v>
      </c>
      <c r="E1736" s="92">
        <v>50</v>
      </c>
      <c r="F1736" s="92" t="str">
        <f>_xlfn.XLOOKUP(B1736, DATA_Moresby_2024_ALL!B:B, DATA_Moresby_2024_ALL!G:G, "")</f>
        <v>8665_20240611_0001_R_0677.jpg</v>
      </c>
      <c r="G1736" s="93" t="str">
        <f t="shared" si="91"/>
        <v>8665_20240611_0001_R_0677.jpg</v>
      </c>
      <c r="H1736" s="75">
        <v>1</v>
      </c>
      <c r="J1736" s="79">
        <f>IF(G1736="","X",_xlfn.XLOOKUP(B1736,DATA_Moresby_2024_ALL!B:B,DATA_Moresby_2024_ALL!K:K,""))</f>
        <v>1</v>
      </c>
      <c r="K1736" s="28"/>
      <c r="L1736" s="29"/>
      <c r="M1736" s="28"/>
      <c r="N1736" s="19">
        <f t="shared" si="89"/>
        <v>4</v>
      </c>
      <c r="O1736" s="19">
        <f t="shared" si="89"/>
        <v>4</v>
      </c>
      <c r="P1736" s="19">
        <f t="shared" si="89"/>
        <v>4</v>
      </c>
      <c r="Q1736" s="19">
        <f t="shared" si="89"/>
        <v>4</v>
      </c>
      <c r="X1736" s="92">
        <v>4</v>
      </c>
      <c r="Y1736" s="92">
        <v>4</v>
      </c>
      <c r="Z1736" s="92">
        <v>3</v>
      </c>
    </row>
    <row r="1737" spans="1:26" ht="16" hidden="1" x14ac:dyDescent="0.4">
      <c r="A1737" s="92">
        <v>8669</v>
      </c>
      <c r="B1737" s="92">
        <v>8670</v>
      </c>
      <c r="E1737" s="92">
        <v>50</v>
      </c>
      <c r="F1737" s="92" t="str">
        <f>_xlfn.XLOOKUP(B1737, DATA_Moresby_2024_ALL!B:B, DATA_Moresby_2024_ALL!G:G, "")</f>
        <v>8670_20240611_0001_R_0659.jpg</v>
      </c>
      <c r="G1737" s="93" t="str">
        <f t="shared" si="91"/>
        <v>8670_20240611_0001_R_0659.jpg</v>
      </c>
      <c r="H1737" s="92">
        <v>6</v>
      </c>
      <c r="I1737" s="92" t="str">
        <f t="shared" ref="I1737:I1800" si="92">IF(G1737="","X","")</f>
        <v/>
      </c>
      <c r="J1737" s="79">
        <f>IF(G1737="","X",_xlfn.XLOOKUP(B1737,DATA_Moresby_2024_ALL!B:B,DATA_Moresby_2024_ALL!K:K,""))</f>
        <v>0</v>
      </c>
      <c r="K1737" s="28"/>
      <c r="L1737" s="29"/>
      <c r="M1737" s="28"/>
      <c r="N1737" s="19"/>
      <c r="O1737" s="19"/>
      <c r="P1737" s="19" t="str">
        <f t="shared" si="89"/>
        <v/>
      </c>
      <c r="Q1737" s="19"/>
      <c r="X1737" s="92" t="s">
        <v>78</v>
      </c>
      <c r="Y1737" s="92" t="s">
        <v>78</v>
      </c>
      <c r="Z1737" s="92" t="s">
        <v>78</v>
      </c>
    </row>
    <row r="1738" spans="1:26" ht="16" hidden="1" x14ac:dyDescent="0.4">
      <c r="A1738" s="92">
        <v>8674</v>
      </c>
      <c r="B1738" s="92">
        <v>8675</v>
      </c>
      <c r="E1738" s="92">
        <v>50</v>
      </c>
      <c r="F1738" s="92" t="str">
        <f>_xlfn.XLOOKUP(B1738, DATA_Moresby_2024_ALL!B:B, DATA_Moresby_2024_ALL!G:G, "")</f>
        <v>8675_20240611_0001_R_0655.jpg</v>
      </c>
      <c r="G1738" s="93" t="str">
        <f t="shared" si="91"/>
        <v>8675_20240611_0001_R_0655.jpg</v>
      </c>
      <c r="H1738" s="92">
        <v>6</v>
      </c>
      <c r="I1738" s="92" t="str">
        <f t="shared" si="92"/>
        <v/>
      </c>
      <c r="J1738" s="79">
        <f>IF(G1738="","X",_xlfn.XLOOKUP(B1738,DATA_Moresby_2024_ALL!B:B,DATA_Moresby_2024_ALL!K:K,""))</f>
        <v>0</v>
      </c>
      <c r="K1738" s="28"/>
      <c r="L1738" s="29"/>
      <c r="M1738" s="28"/>
      <c r="N1738" s="19"/>
      <c r="O1738" s="19"/>
      <c r="P1738" s="19" t="str">
        <f t="shared" si="89"/>
        <v/>
      </c>
      <c r="Q1738" s="19"/>
      <c r="X1738" s="92" t="s">
        <v>78</v>
      </c>
      <c r="Y1738" s="92" t="s">
        <v>78</v>
      </c>
      <c r="Z1738" s="92" t="s">
        <v>78</v>
      </c>
    </row>
    <row r="1739" spans="1:26" ht="16" hidden="1" x14ac:dyDescent="0.4">
      <c r="A1739" s="92">
        <v>8679</v>
      </c>
      <c r="B1739" s="92">
        <v>8680</v>
      </c>
      <c r="E1739" s="92">
        <v>50</v>
      </c>
      <c r="F1739" s="92">
        <f>_xlfn.XLOOKUP(B1739, DATA_Moresby_2024_ALL!B:B, DATA_Moresby_2024_ALL!G:G, "")</f>
        <v>0</v>
      </c>
      <c r="G1739" s="93"/>
      <c r="H1739" s="92">
        <v>6</v>
      </c>
      <c r="I1739" s="92" t="str">
        <f t="shared" si="92"/>
        <v>X</v>
      </c>
      <c r="J1739" s="79" t="str">
        <f>IF(G1739="","X",_xlfn.XLOOKUP(B1739,DATA_Moresby_2024_ALL!B:B,DATA_Moresby_2024_ALL!K:K,""))</f>
        <v>X</v>
      </c>
      <c r="K1739" s="28"/>
      <c r="L1739" s="29"/>
      <c r="M1739" s="28"/>
      <c r="N1739" s="19" t="str">
        <f t="shared" si="89"/>
        <v/>
      </c>
      <c r="O1739" s="19" t="str">
        <f t="shared" si="89"/>
        <v/>
      </c>
      <c r="P1739" s="19" t="str">
        <f t="shared" si="89"/>
        <v/>
      </c>
      <c r="Q1739" s="19" t="str">
        <f t="shared" si="89"/>
        <v/>
      </c>
      <c r="X1739" s="92" t="s">
        <v>78</v>
      </c>
      <c r="Y1739" s="92" t="s">
        <v>78</v>
      </c>
      <c r="Z1739" s="92" t="s">
        <v>78</v>
      </c>
    </row>
    <row r="1740" spans="1:26" ht="16" hidden="1" x14ac:dyDescent="0.4">
      <c r="A1740" s="92">
        <v>8684</v>
      </c>
      <c r="B1740" s="92">
        <v>8685</v>
      </c>
      <c r="E1740" s="92">
        <v>50</v>
      </c>
      <c r="F1740" s="92">
        <f>_xlfn.XLOOKUP(B1740, DATA_Moresby_2024_ALL!B:B, DATA_Moresby_2024_ALL!G:G, "")</f>
        <v>0</v>
      </c>
      <c r="G1740" s="93"/>
      <c r="H1740" s="92">
        <v>6</v>
      </c>
      <c r="I1740" s="92" t="str">
        <f t="shared" si="92"/>
        <v>X</v>
      </c>
      <c r="J1740" s="79" t="str">
        <f>IF(G1740="","X",_xlfn.XLOOKUP(B1740,DATA_Moresby_2024_ALL!B:B,DATA_Moresby_2024_ALL!K:K,""))</f>
        <v>X</v>
      </c>
      <c r="K1740" s="28"/>
      <c r="L1740" s="29"/>
      <c r="M1740" s="28"/>
      <c r="N1740" s="19" t="str">
        <f t="shared" si="89"/>
        <v/>
      </c>
      <c r="O1740" s="19" t="str">
        <f t="shared" si="89"/>
        <v/>
      </c>
      <c r="P1740" s="19" t="str">
        <f t="shared" si="89"/>
        <v/>
      </c>
      <c r="Q1740" s="19" t="str">
        <f t="shared" si="89"/>
        <v/>
      </c>
      <c r="X1740" s="92" t="s">
        <v>78</v>
      </c>
      <c r="Y1740" s="92" t="s">
        <v>78</v>
      </c>
      <c r="Z1740" s="92" t="s">
        <v>78</v>
      </c>
    </row>
    <row r="1741" spans="1:26" ht="16" hidden="1" x14ac:dyDescent="0.4">
      <c r="A1741" s="92">
        <v>8689</v>
      </c>
      <c r="B1741" s="92">
        <v>8690</v>
      </c>
      <c r="E1741" s="92">
        <v>50</v>
      </c>
      <c r="F1741" s="92">
        <f>_xlfn.XLOOKUP(B1741, DATA_Moresby_2024_ALL!B:B, DATA_Moresby_2024_ALL!G:G, "")</f>
        <v>0</v>
      </c>
      <c r="G1741" s="93"/>
      <c r="H1741" s="92">
        <v>6</v>
      </c>
      <c r="I1741" s="92" t="str">
        <f t="shared" si="92"/>
        <v>X</v>
      </c>
      <c r="J1741" s="79" t="str">
        <f>IF(G1741="","X",_xlfn.XLOOKUP(B1741,DATA_Moresby_2024_ALL!B:B,DATA_Moresby_2024_ALL!K:K,""))</f>
        <v>X</v>
      </c>
      <c r="K1741" s="28"/>
      <c r="L1741" s="29"/>
      <c r="M1741" s="28"/>
      <c r="N1741" s="19" t="str">
        <f t="shared" si="89"/>
        <v/>
      </c>
      <c r="O1741" s="19" t="str">
        <f t="shared" si="89"/>
        <v/>
      </c>
      <c r="P1741" s="19" t="str">
        <f t="shared" si="89"/>
        <v/>
      </c>
      <c r="Q1741" s="19" t="str">
        <f t="shared" si="89"/>
        <v/>
      </c>
      <c r="X1741" s="92" t="s">
        <v>78</v>
      </c>
      <c r="Y1741" s="92" t="s">
        <v>78</v>
      </c>
      <c r="Z1741" s="92" t="s">
        <v>78</v>
      </c>
    </row>
    <row r="1742" spans="1:26" ht="16" hidden="1" x14ac:dyDescent="0.4">
      <c r="A1742" s="92">
        <v>8694</v>
      </c>
      <c r="B1742" s="92">
        <v>8695</v>
      </c>
      <c r="E1742" s="92">
        <v>50</v>
      </c>
      <c r="F1742" s="92" t="str">
        <f>_xlfn.XLOOKUP(B1742, DATA_Moresby_2024_ALL!B:B, DATA_Moresby_2024_ALL!G:G, "")</f>
        <v>8695_20240611_0001_R_0652.jpg</v>
      </c>
      <c r="G1742" s="93" t="str">
        <f t="shared" ref="G1742:G1745" si="93">HYPERLINK("D:\Data From Lucan\2024\Moresby\Frames_for_Analysis_50\" &amp; F1742,F1742)</f>
        <v>8695_20240611_0001_R_0652.jpg</v>
      </c>
      <c r="H1742" s="92">
        <v>6</v>
      </c>
      <c r="I1742" s="92" t="str">
        <f t="shared" si="92"/>
        <v/>
      </c>
      <c r="J1742" s="79">
        <f>IF(G1742="","X",_xlfn.XLOOKUP(B1742,DATA_Moresby_2024_ALL!B:B,DATA_Moresby_2024_ALL!K:K,""))</f>
        <v>0</v>
      </c>
      <c r="K1742" s="28"/>
      <c r="L1742" s="29"/>
      <c r="M1742" s="28"/>
      <c r="N1742" s="19"/>
      <c r="O1742" s="19"/>
      <c r="P1742" s="19" t="str">
        <f t="shared" si="89"/>
        <v/>
      </c>
      <c r="Q1742" s="19"/>
      <c r="X1742" s="92" t="s">
        <v>78</v>
      </c>
      <c r="Y1742" s="92" t="s">
        <v>78</v>
      </c>
      <c r="Z1742" s="92" t="s">
        <v>78</v>
      </c>
    </row>
    <row r="1743" spans="1:26" ht="16" hidden="1" x14ac:dyDescent="0.4">
      <c r="A1743" s="92">
        <v>8699</v>
      </c>
      <c r="B1743" s="92">
        <v>8700</v>
      </c>
      <c r="E1743" s="92">
        <v>50</v>
      </c>
      <c r="F1743" s="92" t="str">
        <f>_xlfn.XLOOKUP(B1743, DATA_Moresby_2024_ALL!B:B, DATA_Moresby_2024_ALL!G:G, "")</f>
        <v>8700_20240611_0001_R_0523.jpg</v>
      </c>
      <c r="G1743" s="93" t="str">
        <f t="shared" si="93"/>
        <v>8700_20240611_0001_R_0523.jpg</v>
      </c>
      <c r="H1743" s="92">
        <v>6</v>
      </c>
      <c r="I1743" s="92" t="str">
        <f t="shared" si="92"/>
        <v/>
      </c>
      <c r="J1743" s="79">
        <f>IF(G1743="","X",_xlfn.XLOOKUP(B1743,DATA_Moresby_2024_ALL!B:B,DATA_Moresby_2024_ALL!K:K,""))</f>
        <v>0</v>
      </c>
      <c r="K1743" s="28"/>
      <c r="L1743" s="29"/>
      <c r="M1743" s="28"/>
      <c r="N1743" s="19"/>
      <c r="O1743" s="19"/>
      <c r="P1743" s="19" t="str">
        <f t="shared" si="89"/>
        <v/>
      </c>
      <c r="Q1743" s="19"/>
      <c r="X1743" s="92" t="s">
        <v>78</v>
      </c>
      <c r="Y1743" s="92" t="s">
        <v>78</v>
      </c>
      <c r="Z1743" s="92" t="s">
        <v>78</v>
      </c>
    </row>
    <row r="1744" spans="1:26" ht="16" hidden="1" x14ac:dyDescent="0.4">
      <c r="A1744" s="92">
        <v>8704</v>
      </c>
      <c r="B1744" s="92">
        <v>8705</v>
      </c>
      <c r="E1744" s="92">
        <v>50</v>
      </c>
      <c r="F1744" s="92" t="str">
        <f>_xlfn.XLOOKUP(B1744, DATA_Moresby_2024_ALL!B:B, DATA_Moresby_2024_ALL!G:G, "")</f>
        <v>8705_20240611_0001_R_0610.jpg</v>
      </c>
      <c r="G1744" s="93" t="str">
        <f t="shared" si="93"/>
        <v>8705_20240611_0001_R_0610.jpg</v>
      </c>
      <c r="H1744" s="92">
        <v>6</v>
      </c>
      <c r="I1744" s="92" t="str">
        <f t="shared" si="92"/>
        <v/>
      </c>
      <c r="J1744" s="79">
        <f>IF(G1744="","X",_xlfn.XLOOKUP(B1744,DATA_Moresby_2024_ALL!B:B,DATA_Moresby_2024_ALL!K:K,""))</f>
        <v>0</v>
      </c>
      <c r="K1744" s="28"/>
      <c r="L1744" s="29"/>
      <c r="M1744" s="28"/>
      <c r="N1744" s="19"/>
      <c r="O1744" s="19"/>
      <c r="P1744" s="19" t="str">
        <f t="shared" si="89"/>
        <v/>
      </c>
      <c r="Q1744" s="19"/>
      <c r="X1744" s="92" t="s">
        <v>78</v>
      </c>
      <c r="Y1744" s="92" t="s">
        <v>78</v>
      </c>
      <c r="Z1744" s="92" t="s">
        <v>78</v>
      </c>
    </row>
    <row r="1745" spans="1:26" ht="16" hidden="1" x14ac:dyDescent="0.4">
      <c r="A1745" s="92">
        <v>8709</v>
      </c>
      <c r="B1745" s="92">
        <v>8710</v>
      </c>
      <c r="E1745" s="92">
        <v>50</v>
      </c>
      <c r="F1745" s="92" t="str">
        <f>_xlfn.XLOOKUP(B1745, DATA_Moresby_2024_ALL!B:B, DATA_Moresby_2024_ALL!G:G, "")</f>
        <v>8710_20240611_0001_R_0596.jpg</v>
      </c>
      <c r="G1745" s="93" t="str">
        <f t="shared" si="93"/>
        <v>8710_20240611_0001_R_0596.jpg</v>
      </c>
      <c r="H1745" s="92">
        <v>6</v>
      </c>
      <c r="I1745" s="92" t="str">
        <f t="shared" si="92"/>
        <v/>
      </c>
      <c r="J1745" s="79">
        <f>IF(G1745="","X",_xlfn.XLOOKUP(B1745,DATA_Moresby_2024_ALL!B:B,DATA_Moresby_2024_ALL!K:K,""))</f>
        <v>0</v>
      </c>
      <c r="K1745" s="28"/>
      <c r="L1745" s="29"/>
      <c r="M1745" s="28"/>
      <c r="N1745" s="19"/>
      <c r="O1745" s="19"/>
      <c r="P1745" s="19" t="str">
        <f t="shared" si="89"/>
        <v/>
      </c>
      <c r="Q1745" s="19"/>
      <c r="X1745" s="92" t="s">
        <v>78</v>
      </c>
      <c r="Y1745" s="92" t="s">
        <v>78</v>
      </c>
      <c r="Z1745" s="92" t="s">
        <v>78</v>
      </c>
    </row>
    <row r="1746" spans="1:26" ht="16" hidden="1" x14ac:dyDescent="0.4">
      <c r="A1746" s="92">
        <v>8714</v>
      </c>
      <c r="B1746" s="92">
        <v>8715</v>
      </c>
      <c r="E1746" s="92">
        <v>50</v>
      </c>
      <c r="F1746" s="92">
        <f>_xlfn.XLOOKUP(B1746, DATA_Moresby_2024_ALL!B:B, DATA_Moresby_2024_ALL!G:G, "")</f>
        <v>0</v>
      </c>
      <c r="G1746" s="93"/>
      <c r="H1746" s="92">
        <v>6</v>
      </c>
      <c r="I1746" s="92" t="str">
        <f t="shared" si="92"/>
        <v>X</v>
      </c>
      <c r="J1746" s="79" t="str">
        <f>IF(G1746="","X",_xlfn.XLOOKUP(B1746,DATA_Moresby_2024_ALL!B:B,DATA_Moresby_2024_ALL!K:K,""))</f>
        <v>X</v>
      </c>
      <c r="K1746" s="28"/>
      <c r="L1746" s="29"/>
      <c r="M1746" s="28"/>
      <c r="N1746" s="19" t="str">
        <f t="shared" si="89"/>
        <v/>
      </c>
      <c r="O1746" s="19" t="str">
        <f t="shared" si="89"/>
        <v/>
      </c>
      <c r="P1746" s="19" t="str">
        <f t="shared" si="89"/>
        <v/>
      </c>
      <c r="Q1746" s="19" t="str">
        <f t="shared" si="89"/>
        <v/>
      </c>
      <c r="X1746" s="92" t="s">
        <v>78</v>
      </c>
      <c r="Y1746" s="92" t="s">
        <v>78</v>
      </c>
      <c r="Z1746" s="92" t="s">
        <v>78</v>
      </c>
    </row>
    <row r="1747" spans="1:26" ht="16" hidden="1" x14ac:dyDescent="0.4">
      <c r="A1747" s="92">
        <v>8719</v>
      </c>
      <c r="B1747" s="92">
        <v>8720</v>
      </c>
      <c r="E1747" s="92">
        <v>50</v>
      </c>
      <c r="F1747" s="92">
        <f>_xlfn.XLOOKUP(B1747, DATA_Moresby_2024_ALL!B:B, DATA_Moresby_2024_ALL!G:G, "")</f>
        <v>0</v>
      </c>
      <c r="G1747" s="93"/>
      <c r="H1747" s="92">
        <v>6</v>
      </c>
      <c r="I1747" s="92" t="str">
        <f t="shared" si="92"/>
        <v>X</v>
      </c>
      <c r="J1747" s="79" t="str">
        <f>IF(G1747="","X",_xlfn.XLOOKUP(B1747,DATA_Moresby_2024_ALL!B:B,DATA_Moresby_2024_ALL!K:K,""))</f>
        <v>X</v>
      </c>
      <c r="K1747" s="28"/>
      <c r="L1747" s="29"/>
      <c r="M1747" s="28"/>
      <c r="N1747" s="19" t="str">
        <f t="shared" si="89"/>
        <v/>
      </c>
      <c r="O1747" s="19" t="str">
        <f t="shared" si="89"/>
        <v/>
      </c>
      <c r="P1747" s="19" t="str">
        <f t="shared" si="89"/>
        <v/>
      </c>
      <c r="Q1747" s="19" t="str">
        <f t="shared" si="89"/>
        <v/>
      </c>
      <c r="X1747" s="92" t="s">
        <v>78</v>
      </c>
      <c r="Y1747" s="92" t="s">
        <v>78</v>
      </c>
      <c r="Z1747" s="92" t="s">
        <v>78</v>
      </c>
    </row>
    <row r="1748" spans="1:26" ht="16" hidden="1" x14ac:dyDescent="0.4">
      <c r="A1748" s="92">
        <v>8724</v>
      </c>
      <c r="B1748" s="92">
        <v>8725</v>
      </c>
      <c r="E1748" s="92">
        <v>50</v>
      </c>
      <c r="F1748" s="92">
        <f>_xlfn.XLOOKUP(B1748, DATA_Moresby_2024_ALL!B:B, DATA_Moresby_2024_ALL!G:G, "")</f>
        <v>0</v>
      </c>
      <c r="G1748" s="93"/>
      <c r="H1748" s="92">
        <v>6</v>
      </c>
      <c r="I1748" s="92" t="str">
        <f t="shared" si="92"/>
        <v>X</v>
      </c>
      <c r="J1748" s="79" t="str">
        <f>IF(G1748="","X",_xlfn.XLOOKUP(B1748,DATA_Moresby_2024_ALL!B:B,DATA_Moresby_2024_ALL!K:K,""))</f>
        <v>X</v>
      </c>
      <c r="K1748" s="28"/>
      <c r="L1748" s="29"/>
      <c r="M1748" s="28"/>
      <c r="N1748" s="19" t="str">
        <f t="shared" si="89"/>
        <v/>
      </c>
      <c r="O1748" s="19" t="str">
        <f t="shared" si="89"/>
        <v/>
      </c>
      <c r="P1748" s="19" t="str">
        <f t="shared" si="89"/>
        <v/>
      </c>
      <c r="Q1748" s="19" t="str">
        <f t="shared" si="89"/>
        <v/>
      </c>
      <c r="X1748" s="92" t="s">
        <v>78</v>
      </c>
      <c r="Y1748" s="92" t="s">
        <v>78</v>
      </c>
      <c r="Z1748" s="92" t="s">
        <v>78</v>
      </c>
    </row>
    <row r="1749" spans="1:26" ht="16" hidden="1" x14ac:dyDescent="0.4">
      <c r="A1749" s="92">
        <v>8729</v>
      </c>
      <c r="B1749" s="92">
        <v>8730</v>
      </c>
      <c r="E1749" s="92">
        <v>50</v>
      </c>
      <c r="F1749" s="92">
        <f>_xlfn.XLOOKUP(B1749, DATA_Moresby_2024_ALL!B:B, DATA_Moresby_2024_ALL!G:G, "")</f>
        <v>0</v>
      </c>
      <c r="G1749" s="93"/>
      <c r="H1749" s="92">
        <v>6</v>
      </c>
      <c r="I1749" s="92" t="str">
        <f t="shared" si="92"/>
        <v>X</v>
      </c>
      <c r="J1749" s="79" t="str">
        <f>IF(G1749="","X",_xlfn.XLOOKUP(B1749,DATA_Moresby_2024_ALL!B:B,DATA_Moresby_2024_ALL!K:K,""))</f>
        <v>X</v>
      </c>
      <c r="K1749" s="28"/>
      <c r="L1749" s="29"/>
      <c r="M1749" s="28"/>
      <c r="N1749" s="19" t="str">
        <f t="shared" si="89"/>
        <v/>
      </c>
      <c r="O1749" s="19" t="str">
        <f t="shared" si="89"/>
        <v/>
      </c>
      <c r="P1749" s="19" t="str">
        <f t="shared" si="89"/>
        <v/>
      </c>
      <c r="Q1749" s="19" t="str">
        <f t="shared" si="89"/>
        <v/>
      </c>
      <c r="X1749" s="92" t="s">
        <v>78</v>
      </c>
      <c r="Y1749" s="92" t="s">
        <v>78</v>
      </c>
      <c r="Z1749" s="92" t="s">
        <v>78</v>
      </c>
    </row>
    <row r="1750" spans="1:26" ht="16" hidden="1" x14ac:dyDescent="0.4">
      <c r="A1750" s="92">
        <v>8734</v>
      </c>
      <c r="B1750" s="92">
        <v>8735</v>
      </c>
      <c r="E1750" s="92">
        <v>50</v>
      </c>
      <c r="F1750" s="92">
        <f>_xlfn.XLOOKUP(B1750, DATA_Moresby_2024_ALL!B:B, DATA_Moresby_2024_ALL!G:G, "")</f>
        <v>0</v>
      </c>
      <c r="G1750" s="93"/>
      <c r="H1750" s="92">
        <v>6</v>
      </c>
      <c r="I1750" s="92" t="str">
        <f t="shared" si="92"/>
        <v>X</v>
      </c>
      <c r="J1750" s="79" t="str">
        <f>IF(G1750="","X",_xlfn.XLOOKUP(B1750,DATA_Moresby_2024_ALL!B:B,DATA_Moresby_2024_ALL!K:K,""))</f>
        <v>X</v>
      </c>
      <c r="K1750" s="28"/>
      <c r="L1750" s="29"/>
      <c r="M1750" s="28"/>
      <c r="N1750" s="19" t="str">
        <f t="shared" si="89"/>
        <v/>
      </c>
      <c r="O1750" s="19" t="str">
        <f t="shared" si="89"/>
        <v/>
      </c>
      <c r="P1750" s="19" t="str">
        <f t="shared" si="89"/>
        <v/>
      </c>
      <c r="Q1750" s="19" t="str">
        <f t="shared" si="89"/>
        <v/>
      </c>
      <c r="X1750" s="92" t="s">
        <v>78</v>
      </c>
      <c r="Y1750" s="92" t="s">
        <v>78</v>
      </c>
      <c r="Z1750" s="92" t="s">
        <v>78</v>
      </c>
    </row>
    <row r="1751" spans="1:26" ht="16" hidden="1" x14ac:dyDescent="0.4">
      <c r="A1751" s="92">
        <v>8739</v>
      </c>
      <c r="B1751" s="92">
        <v>8740</v>
      </c>
      <c r="E1751" s="92">
        <v>50</v>
      </c>
      <c r="F1751" s="92">
        <f>_xlfn.XLOOKUP(B1751, DATA_Moresby_2024_ALL!B:B, DATA_Moresby_2024_ALL!G:G, "")</f>
        <v>0</v>
      </c>
      <c r="G1751" s="93"/>
      <c r="H1751" s="92">
        <v>6</v>
      </c>
      <c r="I1751" s="92" t="str">
        <f t="shared" si="92"/>
        <v>X</v>
      </c>
      <c r="J1751" s="79" t="str">
        <f>IF(G1751="","X",_xlfn.XLOOKUP(B1751,DATA_Moresby_2024_ALL!B:B,DATA_Moresby_2024_ALL!K:K,""))</f>
        <v>X</v>
      </c>
      <c r="K1751" s="28"/>
      <c r="L1751" s="29"/>
      <c r="M1751" s="28"/>
      <c r="N1751" s="19" t="str">
        <f t="shared" si="89"/>
        <v/>
      </c>
      <c r="O1751" s="19" t="str">
        <f t="shared" si="89"/>
        <v/>
      </c>
      <c r="P1751" s="19" t="str">
        <f t="shared" si="89"/>
        <v/>
      </c>
      <c r="Q1751" s="19" t="str">
        <f t="shared" si="89"/>
        <v/>
      </c>
      <c r="X1751" s="92" t="s">
        <v>78</v>
      </c>
      <c r="Y1751" s="92" t="s">
        <v>78</v>
      </c>
      <c r="Z1751" s="92" t="s">
        <v>78</v>
      </c>
    </row>
    <row r="1752" spans="1:26" ht="16" hidden="1" x14ac:dyDescent="0.4">
      <c r="A1752" s="92">
        <v>8744</v>
      </c>
      <c r="B1752" s="92">
        <v>8745</v>
      </c>
      <c r="E1752" s="92">
        <v>50</v>
      </c>
      <c r="F1752" s="92">
        <f>_xlfn.XLOOKUP(B1752, DATA_Moresby_2024_ALL!B:B, DATA_Moresby_2024_ALL!G:G, "")</f>
        <v>0</v>
      </c>
      <c r="G1752" s="93"/>
      <c r="H1752" s="92">
        <v>6</v>
      </c>
      <c r="I1752" s="92" t="str">
        <f t="shared" si="92"/>
        <v>X</v>
      </c>
      <c r="J1752" s="79" t="str">
        <f>IF(G1752="","X",_xlfn.XLOOKUP(B1752,DATA_Moresby_2024_ALL!B:B,DATA_Moresby_2024_ALL!K:K,""))</f>
        <v>X</v>
      </c>
      <c r="K1752" s="28"/>
      <c r="L1752" s="29"/>
      <c r="M1752" s="28"/>
      <c r="N1752" s="19" t="str">
        <f t="shared" si="89"/>
        <v/>
      </c>
      <c r="O1752" s="19" t="str">
        <f t="shared" si="89"/>
        <v/>
      </c>
      <c r="P1752" s="19" t="str">
        <f t="shared" si="89"/>
        <v/>
      </c>
      <c r="Q1752" s="19" t="str">
        <f t="shared" si="89"/>
        <v/>
      </c>
      <c r="X1752" s="92" t="s">
        <v>78</v>
      </c>
      <c r="Y1752" s="92" t="s">
        <v>78</v>
      </c>
      <c r="Z1752" s="92" t="s">
        <v>78</v>
      </c>
    </row>
    <row r="1753" spans="1:26" ht="16" hidden="1" x14ac:dyDescent="0.4">
      <c r="A1753" s="92">
        <v>8749</v>
      </c>
      <c r="B1753" s="92">
        <v>8750</v>
      </c>
      <c r="E1753" s="92">
        <v>50</v>
      </c>
      <c r="F1753" s="92">
        <f>_xlfn.XLOOKUP(B1753, DATA_Moresby_2024_ALL!B:B, DATA_Moresby_2024_ALL!G:G, "")</f>
        <v>0</v>
      </c>
      <c r="G1753" s="93"/>
      <c r="H1753" s="92">
        <v>6</v>
      </c>
      <c r="I1753" s="92" t="str">
        <f t="shared" si="92"/>
        <v>X</v>
      </c>
      <c r="J1753" s="79" t="str">
        <f>IF(G1753="","X",_xlfn.XLOOKUP(B1753,DATA_Moresby_2024_ALL!B:B,DATA_Moresby_2024_ALL!K:K,""))</f>
        <v>X</v>
      </c>
      <c r="K1753" s="28"/>
      <c r="L1753" s="29"/>
      <c r="M1753" s="28"/>
      <c r="N1753" s="19" t="str">
        <f t="shared" si="89"/>
        <v/>
      </c>
      <c r="O1753" s="19" t="str">
        <f t="shared" si="89"/>
        <v/>
      </c>
      <c r="P1753" s="19" t="str">
        <f t="shared" si="89"/>
        <v/>
      </c>
      <c r="Q1753" s="19" t="str">
        <f t="shared" si="89"/>
        <v/>
      </c>
      <c r="X1753" s="92" t="s">
        <v>78</v>
      </c>
      <c r="Y1753" s="92" t="s">
        <v>78</v>
      </c>
      <c r="Z1753" s="92" t="s">
        <v>78</v>
      </c>
    </row>
    <row r="1754" spans="1:26" ht="16" hidden="1" x14ac:dyDescent="0.4">
      <c r="A1754" s="92">
        <v>8754</v>
      </c>
      <c r="B1754" s="92">
        <v>8755</v>
      </c>
      <c r="E1754" s="92">
        <v>50</v>
      </c>
      <c r="F1754" s="92">
        <f>_xlfn.XLOOKUP(B1754, DATA_Moresby_2024_ALL!B:B, DATA_Moresby_2024_ALL!G:G, "")</f>
        <v>0</v>
      </c>
      <c r="G1754" s="93"/>
      <c r="H1754" s="92">
        <v>6</v>
      </c>
      <c r="I1754" s="92" t="str">
        <f t="shared" si="92"/>
        <v>X</v>
      </c>
      <c r="J1754" s="79" t="str">
        <f>IF(G1754="","X",_xlfn.XLOOKUP(B1754,DATA_Moresby_2024_ALL!B:B,DATA_Moresby_2024_ALL!K:K,""))</f>
        <v>X</v>
      </c>
      <c r="K1754" s="28"/>
      <c r="L1754" s="29"/>
      <c r="M1754" s="28"/>
      <c r="N1754" s="19" t="str">
        <f t="shared" si="89"/>
        <v/>
      </c>
      <c r="O1754" s="19" t="str">
        <f t="shared" si="89"/>
        <v/>
      </c>
      <c r="P1754" s="19" t="str">
        <f t="shared" si="89"/>
        <v/>
      </c>
      <c r="Q1754" s="19" t="str">
        <f t="shared" si="89"/>
        <v/>
      </c>
      <c r="X1754" s="92" t="s">
        <v>78</v>
      </c>
      <c r="Y1754" s="92" t="s">
        <v>78</v>
      </c>
      <c r="Z1754" s="92" t="s">
        <v>78</v>
      </c>
    </row>
    <row r="1755" spans="1:26" ht="16" hidden="1" x14ac:dyDescent="0.4">
      <c r="A1755" s="92">
        <v>8759</v>
      </c>
      <c r="B1755" s="92">
        <v>8760</v>
      </c>
      <c r="E1755" s="92">
        <v>50</v>
      </c>
      <c r="F1755" s="92">
        <f>_xlfn.XLOOKUP(B1755, DATA_Moresby_2024_ALL!B:B, DATA_Moresby_2024_ALL!G:G, "")</f>
        <v>0</v>
      </c>
      <c r="G1755" s="93"/>
      <c r="H1755" s="92">
        <v>6</v>
      </c>
      <c r="I1755" s="92" t="str">
        <f t="shared" si="92"/>
        <v>X</v>
      </c>
      <c r="J1755" s="79" t="str">
        <f>IF(G1755="","X",_xlfn.XLOOKUP(B1755,DATA_Moresby_2024_ALL!B:B,DATA_Moresby_2024_ALL!K:K,""))</f>
        <v>X</v>
      </c>
      <c r="K1755" s="28"/>
      <c r="L1755" s="29"/>
      <c r="M1755" s="28"/>
      <c r="N1755" s="19" t="str">
        <f t="shared" si="89"/>
        <v/>
      </c>
      <c r="O1755" s="19" t="str">
        <f t="shared" si="89"/>
        <v/>
      </c>
      <c r="P1755" s="19" t="str">
        <f t="shared" si="89"/>
        <v/>
      </c>
      <c r="Q1755" s="19" t="str">
        <f t="shared" si="89"/>
        <v/>
      </c>
      <c r="X1755" s="92" t="s">
        <v>78</v>
      </c>
      <c r="Y1755" s="92" t="s">
        <v>78</v>
      </c>
      <c r="Z1755" s="92" t="s">
        <v>78</v>
      </c>
    </row>
    <row r="1756" spans="1:26" ht="16" hidden="1" x14ac:dyDescent="0.4">
      <c r="A1756" s="92">
        <v>8764</v>
      </c>
      <c r="B1756" s="92">
        <v>8765</v>
      </c>
      <c r="E1756" s="92">
        <v>50</v>
      </c>
      <c r="F1756" s="92">
        <f>_xlfn.XLOOKUP(B1756, DATA_Moresby_2024_ALL!B:B, DATA_Moresby_2024_ALL!G:G, "")</f>
        <v>0</v>
      </c>
      <c r="G1756" s="93"/>
      <c r="H1756" s="92">
        <v>6</v>
      </c>
      <c r="I1756" s="92" t="str">
        <f t="shared" si="92"/>
        <v>X</v>
      </c>
      <c r="J1756" s="79" t="str">
        <f>IF(G1756="","X",_xlfn.XLOOKUP(B1756,DATA_Moresby_2024_ALL!B:B,DATA_Moresby_2024_ALL!K:K,""))</f>
        <v>X</v>
      </c>
      <c r="K1756" s="28"/>
      <c r="L1756" s="29"/>
      <c r="M1756" s="28"/>
      <c r="N1756" s="19" t="str">
        <f t="shared" si="89"/>
        <v/>
      </c>
      <c r="O1756" s="19" t="str">
        <f t="shared" si="89"/>
        <v/>
      </c>
      <c r="P1756" s="19" t="str">
        <f t="shared" si="89"/>
        <v/>
      </c>
      <c r="Q1756" s="19" t="str">
        <f t="shared" si="89"/>
        <v/>
      </c>
      <c r="X1756" s="92" t="s">
        <v>78</v>
      </c>
      <c r="Y1756" s="92" t="s">
        <v>78</v>
      </c>
      <c r="Z1756" s="92" t="s">
        <v>78</v>
      </c>
    </row>
    <row r="1757" spans="1:26" ht="16" hidden="1" x14ac:dyDescent="0.4">
      <c r="A1757" s="92">
        <v>8769</v>
      </c>
      <c r="B1757" s="92">
        <v>8770</v>
      </c>
      <c r="E1757" s="92">
        <v>50</v>
      </c>
      <c r="F1757" s="92">
        <f>_xlfn.XLOOKUP(B1757, DATA_Moresby_2024_ALL!B:B, DATA_Moresby_2024_ALL!G:G, "")</f>
        <v>0</v>
      </c>
      <c r="G1757" s="93"/>
      <c r="H1757" s="92">
        <v>6</v>
      </c>
      <c r="I1757" s="92" t="str">
        <f t="shared" si="92"/>
        <v>X</v>
      </c>
      <c r="J1757" s="79" t="str">
        <f>IF(G1757="","X",_xlfn.XLOOKUP(B1757,DATA_Moresby_2024_ALL!B:B,DATA_Moresby_2024_ALL!K:K,""))</f>
        <v>X</v>
      </c>
      <c r="K1757" s="28"/>
      <c r="L1757" s="29"/>
      <c r="M1757" s="28"/>
      <c r="N1757" s="19" t="str">
        <f t="shared" si="89"/>
        <v/>
      </c>
      <c r="O1757" s="19" t="str">
        <f t="shared" si="89"/>
        <v/>
      </c>
      <c r="P1757" s="19" t="str">
        <f t="shared" si="89"/>
        <v/>
      </c>
      <c r="Q1757" s="19" t="str">
        <f t="shared" ref="O1757:Q1820" si="94">IF($J1757=1,4,"")</f>
        <v/>
      </c>
      <c r="X1757" s="92" t="s">
        <v>78</v>
      </c>
      <c r="Y1757" s="92" t="s">
        <v>78</v>
      </c>
      <c r="Z1757" s="92" t="s">
        <v>78</v>
      </c>
    </row>
    <row r="1758" spans="1:26" ht="16" hidden="1" x14ac:dyDescent="0.4">
      <c r="A1758" s="92">
        <v>8774</v>
      </c>
      <c r="B1758" s="92">
        <v>8775</v>
      </c>
      <c r="E1758" s="92">
        <v>50</v>
      </c>
      <c r="F1758" s="92">
        <f>_xlfn.XLOOKUP(B1758, DATA_Moresby_2024_ALL!B:B, DATA_Moresby_2024_ALL!G:G, "")</f>
        <v>0</v>
      </c>
      <c r="G1758" s="93"/>
      <c r="H1758" s="92">
        <v>6</v>
      </c>
      <c r="I1758" s="92" t="str">
        <f t="shared" si="92"/>
        <v>X</v>
      </c>
      <c r="J1758" s="79" t="str">
        <f>IF(G1758="","X",_xlfn.XLOOKUP(B1758,DATA_Moresby_2024_ALL!B:B,DATA_Moresby_2024_ALL!K:K,""))</f>
        <v>X</v>
      </c>
      <c r="K1758" s="28"/>
      <c r="L1758" s="29"/>
      <c r="M1758" s="28"/>
      <c r="N1758" s="19" t="str">
        <f t="shared" ref="N1758:Q1821" si="95">IF($J1758=1,4,"")</f>
        <v/>
      </c>
      <c r="O1758" s="19" t="str">
        <f t="shared" si="94"/>
        <v/>
      </c>
      <c r="P1758" s="19" t="str">
        <f t="shared" si="94"/>
        <v/>
      </c>
      <c r="Q1758" s="19" t="str">
        <f t="shared" si="94"/>
        <v/>
      </c>
      <c r="X1758" s="92" t="s">
        <v>78</v>
      </c>
      <c r="Y1758" s="92" t="s">
        <v>78</v>
      </c>
      <c r="Z1758" s="92" t="s">
        <v>78</v>
      </c>
    </row>
    <row r="1759" spans="1:26" ht="16" hidden="1" x14ac:dyDescent="0.4">
      <c r="A1759" s="92">
        <v>8779</v>
      </c>
      <c r="B1759" s="92">
        <v>8780</v>
      </c>
      <c r="E1759" s="92">
        <v>50</v>
      </c>
      <c r="F1759" s="92">
        <f>_xlfn.XLOOKUP(B1759, DATA_Moresby_2024_ALL!B:B, DATA_Moresby_2024_ALL!G:G, "")</f>
        <v>0</v>
      </c>
      <c r="G1759" s="93"/>
      <c r="H1759" s="92">
        <v>6</v>
      </c>
      <c r="I1759" s="92" t="str">
        <f t="shared" si="92"/>
        <v>X</v>
      </c>
      <c r="J1759" s="79" t="str">
        <f>IF(G1759="","X",_xlfn.XLOOKUP(B1759,DATA_Moresby_2024_ALL!B:B,DATA_Moresby_2024_ALL!K:K,""))</f>
        <v>X</v>
      </c>
      <c r="K1759" s="28"/>
      <c r="L1759" s="29"/>
      <c r="M1759" s="28"/>
      <c r="N1759" s="19" t="str">
        <f t="shared" si="95"/>
        <v/>
      </c>
      <c r="O1759" s="19" t="str">
        <f t="shared" si="94"/>
        <v/>
      </c>
      <c r="P1759" s="19" t="str">
        <f t="shared" si="94"/>
        <v/>
      </c>
      <c r="Q1759" s="19" t="str">
        <f t="shared" si="94"/>
        <v/>
      </c>
      <c r="X1759" s="92" t="s">
        <v>78</v>
      </c>
      <c r="Y1759" s="92" t="s">
        <v>78</v>
      </c>
      <c r="Z1759" s="92" t="s">
        <v>78</v>
      </c>
    </row>
    <row r="1760" spans="1:26" ht="16" hidden="1" x14ac:dyDescent="0.4">
      <c r="A1760" s="92">
        <v>8784</v>
      </c>
      <c r="B1760" s="92">
        <v>8785</v>
      </c>
      <c r="E1760" s="92">
        <v>50</v>
      </c>
      <c r="F1760" s="92">
        <f>_xlfn.XLOOKUP(B1760, DATA_Moresby_2024_ALL!B:B, DATA_Moresby_2024_ALL!G:G, "")</f>
        <v>0</v>
      </c>
      <c r="G1760" s="93"/>
      <c r="H1760" s="92">
        <v>6</v>
      </c>
      <c r="I1760" s="92" t="str">
        <f t="shared" si="92"/>
        <v>X</v>
      </c>
      <c r="J1760" s="79" t="str">
        <f>IF(G1760="","X",_xlfn.XLOOKUP(B1760,DATA_Moresby_2024_ALL!B:B,DATA_Moresby_2024_ALL!K:K,""))</f>
        <v>X</v>
      </c>
      <c r="K1760" s="28"/>
      <c r="L1760" s="29"/>
      <c r="M1760" s="28"/>
      <c r="N1760" s="19" t="str">
        <f t="shared" si="95"/>
        <v/>
      </c>
      <c r="O1760" s="19" t="str">
        <f t="shared" si="94"/>
        <v/>
      </c>
      <c r="P1760" s="19" t="str">
        <f t="shared" si="94"/>
        <v/>
      </c>
      <c r="Q1760" s="19" t="str">
        <f t="shared" si="94"/>
        <v/>
      </c>
      <c r="X1760" s="92" t="s">
        <v>78</v>
      </c>
      <c r="Y1760" s="92" t="s">
        <v>78</v>
      </c>
      <c r="Z1760" s="92" t="s">
        <v>78</v>
      </c>
    </row>
    <row r="1761" spans="1:26" ht="16" hidden="1" x14ac:dyDescent="0.4">
      <c r="A1761" s="92">
        <v>8789</v>
      </c>
      <c r="B1761" s="92">
        <v>8790</v>
      </c>
      <c r="E1761" s="92">
        <v>50</v>
      </c>
      <c r="F1761" s="92">
        <f>_xlfn.XLOOKUP(B1761, DATA_Moresby_2024_ALL!B:B, DATA_Moresby_2024_ALL!G:G, "")</f>
        <v>0</v>
      </c>
      <c r="G1761" s="93"/>
      <c r="H1761" s="92">
        <v>6</v>
      </c>
      <c r="I1761" s="92" t="str">
        <f t="shared" si="92"/>
        <v>X</v>
      </c>
      <c r="J1761" s="79" t="str">
        <f>IF(G1761="","X",_xlfn.XLOOKUP(B1761,DATA_Moresby_2024_ALL!B:B,DATA_Moresby_2024_ALL!K:K,""))</f>
        <v>X</v>
      </c>
      <c r="K1761" s="28"/>
      <c r="L1761" s="29"/>
      <c r="M1761" s="28"/>
      <c r="N1761" s="19" t="str">
        <f t="shared" si="95"/>
        <v/>
      </c>
      <c r="O1761" s="19" t="str">
        <f t="shared" si="94"/>
        <v/>
      </c>
      <c r="P1761" s="19" t="str">
        <f t="shared" si="94"/>
        <v/>
      </c>
      <c r="Q1761" s="19" t="str">
        <f t="shared" si="94"/>
        <v/>
      </c>
      <c r="X1761" s="92" t="s">
        <v>78</v>
      </c>
      <c r="Y1761" s="92" t="s">
        <v>78</v>
      </c>
      <c r="Z1761" s="92" t="s">
        <v>78</v>
      </c>
    </row>
    <row r="1762" spans="1:26" ht="16" hidden="1" x14ac:dyDescent="0.4">
      <c r="A1762" s="92">
        <v>8794</v>
      </c>
      <c r="B1762" s="92">
        <v>8795</v>
      </c>
      <c r="E1762" s="92">
        <v>50</v>
      </c>
      <c r="F1762" s="92">
        <f>_xlfn.XLOOKUP(B1762, DATA_Moresby_2024_ALL!B:B, DATA_Moresby_2024_ALL!G:G, "")</f>
        <v>0</v>
      </c>
      <c r="G1762" s="93"/>
      <c r="H1762" s="92">
        <v>6</v>
      </c>
      <c r="I1762" s="92" t="str">
        <f t="shared" si="92"/>
        <v>X</v>
      </c>
      <c r="J1762" s="79" t="str">
        <f>IF(G1762="","X",_xlfn.XLOOKUP(B1762,DATA_Moresby_2024_ALL!B:B,DATA_Moresby_2024_ALL!K:K,""))</f>
        <v>X</v>
      </c>
      <c r="K1762" s="28"/>
      <c r="L1762" s="29"/>
      <c r="M1762" s="28"/>
      <c r="N1762" s="19" t="str">
        <f t="shared" si="95"/>
        <v/>
      </c>
      <c r="O1762" s="19" t="str">
        <f t="shared" si="94"/>
        <v/>
      </c>
      <c r="P1762" s="19" t="str">
        <f t="shared" si="94"/>
        <v/>
      </c>
      <c r="Q1762" s="19" t="str">
        <f t="shared" si="94"/>
        <v/>
      </c>
      <c r="X1762" s="92" t="s">
        <v>78</v>
      </c>
      <c r="Y1762" s="92" t="s">
        <v>78</v>
      </c>
      <c r="Z1762" s="92" t="s">
        <v>78</v>
      </c>
    </row>
    <row r="1763" spans="1:26" ht="16" hidden="1" x14ac:dyDescent="0.4">
      <c r="A1763" s="92">
        <v>8799</v>
      </c>
      <c r="B1763" s="92">
        <v>8800</v>
      </c>
      <c r="E1763" s="92">
        <v>50</v>
      </c>
      <c r="F1763" s="92">
        <f>_xlfn.XLOOKUP(B1763, DATA_Moresby_2024_ALL!B:B, DATA_Moresby_2024_ALL!G:G, "")</f>
        <v>0</v>
      </c>
      <c r="G1763" s="93"/>
      <c r="H1763" s="92">
        <v>6</v>
      </c>
      <c r="I1763" s="92" t="str">
        <f t="shared" si="92"/>
        <v>X</v>
      </c>
      <c r="J1763" s="79" t="str">
        <f>IF(G1763="","X",_xlfn.XLOOKUP(B1763,DATA_Moresby_2024_ALL!B:B,DATA_Moresby_2024_ALL!K:K,""))</f>
        <v>X</v>
      </c>
      <c r="K1763" s="28"/>
      <c r="L1763" s="29"/>
      <c r="M1763" s="28"/>
      <c r="N1763" s="19" t="str">
        <f t="shared" si="95"/>
        <v/>
      </c>
      <c r="O1763" s="19" t="str">
        <f t="shared" si="94"/>
        <v/>
      </c>
      <c r="P1763" s="19" t="str">
        <f t="shared" si="94"/>
        <v/>
      </c>
      <c r="Q1763" s="19" t="str">
        <f t="shared" si="94"/>
        <v/>
      </c>
      <c r="X1763" s="92" t="s">
        <v>78</v>
      </c>
      <c r="Y1763" s="92" t="s">
        <v>78</v>
      </c>
      <c r="Z1763" s="92" t="s">
        <v>78</v>
      </c>
    </row>
    <row r="1764" spans="1:26" ht="16" hidden="1" x14ac:dyDescent="0.4">
      <c r="A1764" s="92">
        <v>8804</v>
      </c>
      <c r="B1764" s="92">
        <v>8805</v>
      </c>
      <c r="E1764" s="92">
        <v>50</v>
      </c>
      <c r="F1764" s="92">
        <f>_xlfn.XLOOKUP(B1764, DATA_Moresby_2024_ALL!B:B, DATA_Moresby_2024_ALL!G:G, "")</f>
        <v>0</v>
      </c>
      <c r="G1764" s="93"/>
      <c r="H1764" s="92">
        <v>6</v>
      </c>
      <c r="I1764" s="92" t="str">
        <f t="shared" si="92"/>
        <v>X</v>
      </c>
      <c r="J1764" s="79" t="str">
        <f>IF(G1764="","X",_xlfn.XLOOKUP(B1764,DATA_Moresby_2024_ALL!B:B,DATA_Moresby_2024_ALL!K:K,""))</f>
        <v>X</v>
      </c>
      <c r="K1764" s="28"/>
      <c r="L1764" s="29"/>
      <c r="M1764" s="28"/>
      <c r="N1764" s="19" t="str">
        <f t="shared" si="95"/>
        <v/>
      </c>
      <c r="O1764" s="19" t="str">
        <f t="shared" si="94"/>
        <v/>
      </c>
      <c r="P1764" s="19" t="str">
        <f t="shared" si="94"/>
        <v/>
      </c>
      <c r="Q1764" s="19" t="str">
        <f t="shared" si="94"/>
        <v/>
      </c>
      <c r="X1764" s="92" t="s">
        <v>78</v>
      </c>
      <c r="Y1764" s="92" t="s">
        <v>78</v>
      </c>
      <c r="Z1764" s="92" t="s">
        <v>78</v>
      </c>
    </row>
    <row r="1765" spans="1:26" ht="16" hidden="1" x14ac:dyDescent="0.4">
      <c r="A1765" s="92">
        <v>8809</v>
      </c>
      <c r="B1765" s="92">
        <v>8810</v>
      </c>
      <c r="E1765" s="92">
        <v>50</v>
      </c>
      <c r="F1765" s="92">
        <f>_xlfn.XLOOKUP(B1765, DATA_Moresby_2024_ALL!B:B, DATA_Moresby_2024_ALL!G:G, "")</f>
        <v>0</v>
      </c>
      <c r="G1765" s="93"/>
      <c r="H1765" s="92">
        <v>6</v>
      </c>
      <c r="I1765" s="92" t="str">
        <f t="shared" si="92"/>
        <v>X</v>
      </c>
      <c r="J1765" s="79" t="str">
        <f>IF(G1765="","X",_xlfn.XLOOKUP(B1765,DATA_Moresby_2024_ALL!B:B,DATA_Moresby_2024_ALL!K:K,""))</f>
        <v>X</v>
      </c>
      <c r="K1765" s="28"/>
      <c r="L1765" s="29"/>
      <c r="M1765" s="28"/>
      <c r="N1765" s="19" t="str">
        <f t="shared" si="95"/>
        <v/>
      </c>
      <c r="O1765" s="19" t="str">
        <f t="shared" si="94"/>
        <v/>
      </c>
      <c r="P1765" s="19" t="str">
        <f t="shared" si="94"/>
        <v/>
      </c>
      <c r="Q1765" s="19" t="str">
        <f t="shared" si="94"/>
        <v/>
      </c>
      <c r="X1765" s="92" t="s">
        <v>78</v>
      </c>
      <c r="Y1765" s="92" t="s">
        <v>78</v>
      </c>
      <c r="Z1765" s="92" t="s">
        <v>78</v>
      </c>
    </row>
    <row r="1766" spans="1:26" ht="16" hidden="1" x14ac:dyDescent="0.4">
      <c r="A1766" s="92">
        <v>8814</v>
      </c>
      <c r="B1766" s="92">
        <v>8815</v>
      </c>
      <c r="E1766" s="92">
        <v>50</v>
      </c>
      <c r="F1766" s="92">
        <f>_xlfn.XLOOKUP(B1766, DATA_Moresby_2024_ALL!B:B, DATA_Moresby_2024_ALL!G:G, "")</f>
        <v>0</v>
      </c>
      <c r="G1766" s="93"/>
      <c r="H1766" s="92">
        <v>6</v>
      </c>
      <c r="I1766" s="92" t="str">
        <f t="shared" si="92"/>
        <v>X</v>
      </c>
      <c r="J1766" s="79" t="str">
        <f>IF(G1766="","X",_xlfn.XLOOKUP(B1766,DATA_Moresby_2024_ALL!B:B,DATA_Moresby_2024_ALL!K:K,""))</f>
        <v>X</v>
      </c>
      <c r="K1766" s="28"/>
      <c r="L1766" s="29"/>
      <c r="M1766" s="28"/>
      <c r="N1766" s="19" t="str">
        <f t="shared" si="95"/>
        <v/>
      </c>
      <c r="O1766" s="19" t="str">
        <f t="shared" si="94"/>
        <v/>
      </c>
      <c r="P1766" s="19" t="str">
        <f t="shared" si="94"/>
        <v/>
      </c>
      <c r="Q1766" s="19" t="str">
        <f t="shared" si="94"/>
        <v/>
      </c>
      <c r="X1766" s="92" t="s">
        <v>78</v>
      </c>
      <c r="Y1766" s="92" t="s">
        <v>78</v>
      </c>
      <c r="Z1766" s="92" t="s">
        <v>78</v>
      </c>
    </row>
    <row r="1767" spans="1:26" ht="16" hidden="1" x14ac:dyDescent="0.4">
      <c r="A1767" s="92">
        <v>8819</v>
      </c>
      <c r="B1767" s="92">
        <v>8820</v>
      </c>
      <c r="E1767" s="92">
        <v>50</v>
      </c>
      <c r="F1767" s="92">
        <f>_xlfn.XLOOKUP(B1767, DATA_Moresby_2024_ALL!B:B, DATA_Moresby_2024_ALL!G:G, "")</f>
        <v>0</v>
      </c>
      <c r="G1767" s="93"/>
      <c r="H1767" s="92">
        <v>6</v>
      </c>
      <c r="I1767" s="92" t="str">
        <f t="shared" si="92"/>
        <v>X</v>
      </c>
      <c r="J1767" s="79" t="str">
        <f>IF(G1767="","X",_xlfn.XLOOKUP(B1767,DATA_Moresby_2024_ALL!B:B,DATA_Moresby_2024_ALL!K:K,""))</f>
        <v>X</v>
      </c>
      <c r="K1767" s="28"/>
      <c r="L1767" s="29"/>
      <c r="M1767" s="28"/>
      <c r="N1767" s="19" t="str">
        <f t="shared" si="95"/>
        <v/>
      </c>
      <c r="O1767" s="19" t="str">
        <f t="shared" si="94"/>
        <v/>
      </c>
      <c r="P1767" s="19" t="str">
        <f t="shared" si="94"/>
        <v/>
      </c>
      <c r="Q1767" s="19" t="str">
        <f t="shared" si="94"/>
        <v/>
      </c>
      <c r="X1767" s="92" t="s">
        <v>78</v>
      </c>
      <c r="Y1767" s="92" t="s">
        <v>78</v>
      </c>
      <c r="Z1767" s="92" t="s">
        <v>78</v>
      </c>
    </row>
    <row r="1768" spans="1:26" ht="16" hidden="1" x14ac:dyDescent="0.4">
      <c r="A1768" s="92">
        <v>8824</v>
      </c>
      <c r="B1768" s="92">
        <v>8825</v>
      </c>
      <c r="E1768" s="92">
        <v>50</v>
      </c>
      <c r="F1768" s="92">
        <f>_xlfn.XLOOKUP(B1768, DATA_Moresby_2024_ALL!B:B, DATA_Moresby_2024_ALL!G:G, "")</f>
        <v>0</v>
      </c>
      <c r="G1768" s="93"/>
      <c r="H1768" s="92">
        <v>6</v>
      </c>
      <c r="I1768" s="92" t="str">
        <f t="shared" si="92"/>
        <v>X</v>
      </c>
      <c r="J1768" s="79" t="str">
        <f>IF(G1768="","X",_xlfn.XLOOKUP(B1768,DATA_Moresby_2024_ALL!B:B,DATA_Moresby_2024_ALL!K:K,""))</f>
        <v>X</v>
      </c>
      <c r="K1768" s="28"/>
      <c r="L1768" s="29"/>
      <c r="M1768" s="28"/>
      <c r="N1768" s="19" t="str">
        <f t="shared" si="95"/>
        <v/>
      </c>
      <c r="O1768" s="19" t="str">
        <f t="shared" si="94"/>
        <v/>
      </c>
      <c r="P1768" s="19" t="str">
        <f t="shared" si="94"/>
        <v/>
      </c>
      <c r="Q1768" s="19" t="str">
        <f t="shared" si="94"/>
        <v/>
      </c>
      <c r="X1768" s="92" t="s">
        <v>78</v>
      </c>
      <c r="Y1768" s="92" t="s">
        <v>78</v>
      </c>
      <c r="Z1768" s="92" t="s">
        <v>78</v>
      </c>
    </row>
    <row r="1769" spans="1:26" ht="16" hidden="1" x14ac:dyDescent="0.4">
      <c r="A1769" s="92">
        <v>8829</v>
      </c>
      <c r="B1769" s="92">
        <v>8830</v>
      </c>
      <c r="E1769" s="92">
        <v>50</v>
      </c>
      <c r="F1769" s="92">
        <f>_xlfn.XLOOKUP(B1769, DATA_Moresby_2024_ALL!B:B, DATA_Moresby_2024_ALL!G:G, "")</f>
        <v>0</v>
      </c>
      <c r="G1769" s="93"/>
      <c r="H1769" s="92">
        <v>6</v>
      </c>
      <c r="I1769" s="92" t="str">
        <f t="shared" si="92"/>
        <v>X</v>
      </c>
      <c r="J1769" s="79" t="str">
        <f>IF(G1769="","X",_xlfn.XLOOKUP(B1769,DATA_Moresby_2024_ALL!B:B,DATA_Moresby_2024_ALL!K:K,""))</f>
        <v>X</v>
      </c>
      <c r="K1769" s="28"/>
      <c r="L1769" s="29"/>
      <c r="M1769" s="28"/>
      <c r="N1769" s="19" t="str">
        <f t="shared" si="95"/>
        <v/>
      </c>
      <c r="O1769" s="19" t="str">
        <f t="shared" si="94"/>
        <v/>
      </c>
      <c r="P1769" s="19" t="str">
        <f t="shared" si="94"/>
        <v/>
      </c>
      <c r="Q1769" s="19" t="str">
        <f t="shared" si="94"/>
        <v/>
      </c>
      <c r="X1769" s="92" t="s">
        <v>78</v>
      </c>
      <c r="Y1769" s="92" t="s">
        <v>78</v>
      </c>
      <c r="Z1769" s="92" t="s">
        <v>78</v>
      </c>
    </row>
    <row r="1770" spans="1:26" ht="16" hidden="1" x14ac:dyDescent="0.4">
      <c r="A1770" s="92">
        <v>8834</v>
      </c>
      <c r="B1770" s="92">
        <v>8835</v>
      </c>
      <c r="E1770" s="92">
        <v>50</v>
      </c>
      <c r="F1770" s="92">
        <f>_xlfn.XLOOKUP(B1770, DATA_Moresby_2024_ALL!B:B, DATA_Moresby_2024_ALL!G:G, "")</f>
        <v>0</v>
      </c>
      <c r="G1770" s="93"/>
      <c r="H1770" s="92">
        <v>6</v>
      </c>
      <c r="I1770" s="92" t="str">
        <f t="shared" si="92"/>
        <v>X</v>
      </c>
      <c r="J1770" s="79" t="str">
        <f>IF(G1770="","X",_xlfn.XLOOKUP(B1770,DATA_Moresby_2024_ALL!B:B,DATA_Moresby_2024_ALL!K:K,""))</f>
        <v>X</v>
      </c>
      <c r="K1770" s="28"/>
      <c r="L1770" s="29"/>
      <c r="M1770" s="28"/>
      <c r="N1770" s="19" t="str">
        <f t="shared" si="95"/>
        <v/>
      </c>
      <c r="O1770" s="19" t="str">
        <f t="shared" si="94"/>
        <v/>
      </c>
      <c r="P1770" s="19" t="str">
        <f t="shared" si="94"/>
        <v/>
      </c>
      <c r="Q1770" s="19" t="str">
        <f t="shared" si="94"/>
        <v/>
      </c>
      <c r="X1770" s="92" t="s">
        <v>78</v>
      </c>
      <c r="Y1770" s="92" t="s">
        <v>78</v>
      </c>
      <c r="Z1770" s="92" t="s">
        <v>78</v>
      </c>
    </row>
    <row r="1771" spans="1:26" ht="16" hidden="1" x14ac:dyDescent="0.4">
      <c r="A1771" s="92">
        <v>8839</v>
      </c>
      <c r="B1771" s="92">
        <v>8840</v>
      </c>
      <c r="E1771" s="92">
        <v>50</v>
      </c>
      <c r="F1771" s="92">
        <f>_xlfn.XLOOKUP(B1771, DATA_Moresby_2024_ALL!B:B, DATA_Moresby_2024_ALL!G:G, "")</f>
        <v>0</v>
      </c>
      <c r="G1771" s="93"/>
      <c r="H1771" s="92">
        <v>6</v>
      </c>
      <c r="I1771" s="92" t="str">
        <f t="shared" si="92"/>
        <v>X</v>
      </c>
      <c r="J1771" s="79" t="str">
        <f>IF(G1771="","X",_xlfn.XLOOKUP(B1771,DATA_Moresby_2024_ALL!B:B,DATA_Moresby_2024_ALL!K:K,""))</f>
        <v>X</v>
      </c>
      <c r="K1771" s="28"/>
      <c r="L1771" s="29"/>
      <c r="M1771" s="28"/>
      <c r="N1771" s="19" t="str">
        <f t="shared" si="95"/>
        <v/>
      </c>
      <c r="O1771" s="19" t="str">
        <f t="shared" si="94"/>
        <v/>
      </c>
      <c r="P1771" s="19" t="str">
        <f t="shared" si="94"/>
        <v/>
      </c>
      <c r="Q1771" s="19" t="str">
        <f t="shared" si="94"/>
        <v/>
      </c>
      <c r="X1771" s="92" t="s">
        <v>78</v>
      </c>
      <c r="Y1771" s="92" t="s">
        <v>78</v>
      </c>
      <c r="Z1771" s="92" t="s">
        <v>78</v>
      </c>
    </row>
    <row r="1772" spans="1:26" ht="16" hidden="1" x14ac:dyDescent="0.4">
      <c r="A1772" s="92">
        <v>8844</v>
      </c>
      <c r="B1772" s="92">
        <v>8845</v>
      </c>
      <c r="E1772" s="92">
        <v>50</v>
      </c>
      <c r="F1772" s="92">
        <f>_xlfn.XLOOKUP(B1772, DATA_Moresby_2024_ALL!B:B, DATA_Moresby_2024_ALL!G:G, "")</f>
        <v>0</v>
      </c>
      <c r="G1772" s="93"/>
      <c r="H1772" s="92">
        <v>6</v>
      </c>
      <c r="I1772" s="92" t="str">
        <f t="shared" si="92"/>
        <v>X</v>
      </c>
      <c r="J1772" s="79" t="str">
        <f>IF(G1772="","X",_xlfn.XLOOKUP(B1772,DATA_Moresby_2024_ALL!B:B,DATA_Moresby_2024_ALL!K:K,""))</f>
        <v>X</v>
      </c>
      <c r="K1772" s="28"/>
      <c r="L1772" s="29"/>
      <c r="M1772" s="28"/>
      <c r="N1772" s="19" t="str">
        <f t="shared" si="95"/>
        <v/>
      </c>
      <c r="O1772" s="19" t="str">
        <f t="shared" si="94"/>
        <v/>
      </c>
      <c r="P1772" s="19" t="str">
        <f t="shared" si="94"/>
        <v/>
      </c>
      <c r="Q1772" s="19" t="str">
        <f t="shared" si="94"/>
        <v/>
      </c>
      <c r="X1772" s="92" t="s">
        <v>78</v>
      </c>
      <c r="Y1772" s="92" t="s">
        <v>78</v>
      </c>
      <c r="Z1772" s="92" t="s">
        <v>78</v>
      </c>
    </row>
    <row r="1773" spans="1:26" ht="16" hidden="1" x14ac:dyDescent="0.4">
      <c r="A1773" s="92">
        <v>8849</v>
      </c>
      <c r="B1773" s="92">
        <v>8850</v>
      </c>
      <c r="E1773" s="92">
        <v>50</v>
      </c>
      <c r="F1773" s="92">
        <f>_xlfn.XLOOKUP(B1773, DATA_Moresby_2024_ALL!B:B, DATA_Moresby_2024_ALL!G:G, "")</f>
        <v>0</v>
      </c>
      <c r="G1773" s="93"/>
      <c r="H1773" s="92">
        <v>6</v>
      </c>
      <c r="I1773" s="92" t="str">
        <f t="shared" si="92"/>
        <v>X</v>
      </c>
      <c r="J1773" s="79" t="str">
        <f>IF(G1773="","X",_xlfn.XLOOKUP(B1773,DATA_Moresby_2024_ALL!B:B,DATA_Moresby_2024_ALL!K:K,""))</f>
        <v>X</v>
      </c>
      <c r="K1773" s="28"/>
      <c r="L1773" s="29"/>
      <c r="M1773" s="28"/>
      <c r="N1773" s="19" t="str">
        <f t="shared" si="95"/>
        <v/>
      </c>
      <c r="O1773" s="19" t="str">
        <f t="shared" si="94"/>
        <v/>
      </c>
      <c r="P1773" s="19" t="str">
        <f t="shared" si="94"/>
        <v/>
      </c>
      <c r="Q1773" s="19" t="str">
        <f t="shared" si="94"/>
        <v/>
      </c>
      <c r="X1773" s="92" t="s">
        <v>78</v>
      </c>
      <c r="Y1773" s="92" t="s">
        <v>78</v>
      </c>
      <c r="Z1773" s="92" t="s">
        <v>78</v>
      </c>
    </row>
    <row r="1774" spans="1:26" ht="16" hidden="1" x14ac:dyDescent="0.4">
      <c r="A1774" s="92">
        <v>8854</v>
      </c>
      <c r="B1774" s="92">
        <v>8855</v>
      </c>
      <c r="E1774" s="92">
        <v>50</v>
      </c>
      <c r="F1774" s="92">
        <f>_xlfn.XLOOKUP(B1774, DATA_Moresby_2024_ALL!B:B, DATA_Moresby_2024_ALL!G:G, "")</f>
        <v>0</v>
      </c>
      <c r="G1774" s="93"/>
      <c r="H1774" s="92">
        <v>6</v>
      </c>
      <c r="I1774" s="92" t="str">
        <f t="shared" si="92"/>
        <v>X</v>
      </c>
      <c r="J1774" s="79" t="str">
        <f>IF(G1774="","X",_xlfn.XLOOKUP(B1774,DATA_Moresby_2024_ALL!B:B,DATA_Moresby_2024_ALL!K:K,""))</f>
        <v>X</v>
      </c>
      <c r="K1774" s="28"/>
      <c r="L1774" s="29"/>
      <c r="M1774" s="28"/>
      <c r="N1774" s="19" t="str">
        <f t="shared" si="95"/>
        <v/>
      </c>
      <c r="O1774" s="19" t="str">
        <f t="shared" si="94"/>
        <v/>
      </c>
      <c r="P1774" s="19" t="str">
        <f t="shared" si="94"/>
        <v/>
      </c>
      <c r="Q1774" s="19" t="str">
        <f t="shared" si="94"/>
        <v/>
      </c>
      <c r="X1774" s="92" t="s">
        <v>78</v>
      </c>
      <c r="Y1774" s="92" t="s">
        <v>78</v>
      </c>
      <c r="Z1774" s="92" t="s">
        <v>78</v>
      </c>
    </row>
    <row r="1775" spans="1:26" ht="16" hidden="1" x14ac:dyDescent="0.4">
      <c r="A1775" s="92">
        <v>8859</v>
      </c>
      <c r="B1775" s="92">
        <v>8860</v>
      </c>
      <c r="E1775" s="92">
        <v>50</v>
      </c>
      <c r="F1775" s="92">
        <f>_xlfn.XLOOKUP(B1775, DATA_Moresby_2024_ALL!B:B, DATA_Moresby_2024_ALL!G:G, "")</f>
        <v>0</v>
      </c>
      <c r="G1775" s="93"/>
      <c r="H1775" s="92">
        <v>6</v>
      </c>
      <c r="I1775" s="92" t="str">
        <f t="shared" si="92"/>
        <v>X</v>
      </c>
      <c r="J1775" s="79" t="str">
        <f>IF(G1775="","X",_xlfn.XLOOKUP(B1775,DATA_Moresby_2024_ALL!B:B,DATA_Moresby_2024_ALL!K:K,""))</f>
        <v>X</v>
      </c>
      <c r="K1775" s="28"/>
      <c r="L1775" s="29"/>
      <c r="M1775" s="28"/>
      <c r="N1775" s="19" t="str">
        <f t="shared" si="95"/>
        <v/>
      </c>
      <c r="O1775" s="19" t="str">
        <f t="shared" si="94"/>
        <v/>
      </c>
      <c r="P1775" s="19" t="str">
        <f t="shared" si="94"/>
        <v/>
      </c>
      <c r="Q1775" s="19" t="str">
        <f t="shared" si="94"/>
        <v/>
      </c>
      <c r="X1775" s="92" t="s">
        <v>78</v>
      </c>
      <c r="Y1775" s="92" t="s">
        <v>78</v>
      </c>
      <c r="Z1775" s="92" t="s">
        <v>78</v>
      </c>
    </row>
    <row r="1776" spans="1:26" ht="16" hidden="1" x14ac:dyDescent="0.4">
      <c r="A1776" s="92">
        <v>8864</v>
      </c>
      <c r="B1776" s="92">
        <v>8865</v>
      </c>
      <c r="E1776" s="92">
        <v>50</v>
      </c>
      <c r="F1776" s="92">
        <f>_xlfn.XLOOKUP(B1776, DATA_Moresby_2024_ALL!B:B, DATA_Moresby_2024_ALL!G:G, "")</f>
        <v>0</v>
      </c>
      <c r="G1776" s="93"/>
      <c r="H1776" s="92">
        <v>6</v>
      </c>
      <c r="I1776" s="92" t="str">
        <f t="shared" si="92"/>
        <v>X</v>
      </c>
      <c r="J1776" s="79" t="str">
        <f>IF(G1776="","X",_xlfn.XLOOKUP(B1776,DATA_Moresby_2024_ALL!B:B,DATA_Moresby_2024_ALL!K:K,""))</f>
        <v>X</v>
      </c>
      <c r="K1776" s="28"/>
      <c r="L1776" s="29"/>
      <c r="M1776" s="28"/>
      <c r="N1776" s="19" t="str">
        <f t="shared" si="95"/>
        <v/>
      </c>
      <c r="O1776" s="19" t="str">
        <f t="shared" si="94"/>
        <v/>
      </c>
      <c r="P1776" s="19" t="str">
        <f t="shared" si="94"/>
        <v/>
      </c>
      <c r="Q1776" s="19" t="str">
        <f t="shared" si="94"/>
        <v/>
      </c>
      <c r="X1776" s="92" t="s">
        <v>78</v>
      </c>
      <c r="Y1776" s="92" t="s">
        <v>78</v>
      </c>
      <c r="Z1776" s="92" t="s">
        <v>78</v>
      </c>
    </row>
    <row r="1777" spans="1:26" ht="16" hidden="1" x14ac:dyDescent="0.4">
      <c r="A1777" s="92">
        <v>8869</v>
      </c>
      <c r="B1777" s="92">
        <v>8870</v>
      </c>
      <c r="E1777" s="92">
        <v>50</v>
      </c>
      <c r="F1777" s="92">
        <f>_xlfn.XLOOKUP(B1777, DATA_Moresby_2024_ALL!B:B, DATA_Moresby_2024_ALL!G:G, "")</f>
        <v>0</v>
      </c>
      <c r="G1777" s="93"/>
      <c r="H1777" s="92">
        <v>6</v>
      </c>
      <c r="I1777" s="92" t="str">
        <f t="shared" si="92"/>
        <v>X</v>
      </c>
      <c r="J1777" s="79" t="str">
        <f>IF(G1777="","X",_xlfn.XLOOKUP(B1777,DATA_Moresby_2024_ALL!B:B,DATA_Moresby_2024_ALL!K:K,""))</f>
        <v>X</v>
      </c>
      <c r="K1777" s="28"/>
      <c r="L1777" s="29"/>
      <c r="M1777" s="28"/>
      <c r="N1777" s="19" t="str">
        <f t="shared" si="95"/>
        <v/>
      </c>
      <c r="O1777" s="19" t="str">
        <f t="shared" si="94"/>
        <v/>
      </c>
      <c r="P1777" s="19" t="str">
        <f t="shared" si="94"/>
        <v/>
      </c>
      <c r="Q1777" s="19" t="str">
        <f t="shared" si="94"/>
        <v/>
      </c>
      <c r="X1777" s="92" t="s">
        <v>78</v>
      </c>
      <c r="Y1777" s="92" t="s">
        <v>78</v>
      </c>
      <c r="Z1777" s="92" t="s">
        <v>78</v>
      </c>
    </row>
    <row r="1778" spans="1:26" ht="16" hidden="1" x14ac:dyDescent="0.4">
      <c r="A1778" s="92">
        <v>8874</v>
      </c>
      <c r="B1778" s="92">
        <v>8875</v>
      </c>
      <c r="E1778" s="92">
        <v>50</v>
      </c>
      <c r="F1778" s="92">
        <f>_xlfn.XLOOKUP(B1778, DATA_Moresby_2024_ALL!B:B, DATA_Moresby_2024_ALL!G:G, "")</f>
        <v>0</v>
      </c>
      <c r="G1778" s="93"/>
      <c r="H1778" s="92">
        <v>6</v>
      </c>
      <c r="I1778" s="92" t="str">
        <f t="shared" si="92"/>
        <v>X</v>
      </c>
      <c r="J1778" s="79" t="str">
        <f>IF(G1778="","X",_xlfn.XLOOKUP(B1778,DATA_Moresby_2024_ALL!B:B,DATA_Moresby_2024_ALL!K:K,""))</f>
        <v>X</v>
      </c>
      <c r="K1778" s="28"/>
      <c r="L1778" s="29"/>
      <c r="M1778" s="28"/>
      <c r="N1778" s="19" t="str">
        <f t="shared" si="95"/>
        <v/>
      </c>
      <c r="O1778" s="19" t="str">
        <f t="shared" si="94"/>
        <v/>
      </c>
      <c r="P1778" s="19" t="str">
        <f t="shared" si="94"/>
        <v/>
      </c>
      <c r="Q1778" s="19" t="str">
        <f t="shared" si="94"/>
        <v/>
      </c>
      <c r="X1778" s="92" t="s">
        <v>78</v>
      </c>
      <c r="Y1778" s="92" t="s">
        <v>78</v>
      </c>
      <c r="Z1778" s="92" t="s">
        <v>78</v>
      </c>
    </row>
    <row r="1779" spans="1:26" ht="16" hidden="1" x14ac:dyDescent="0.4">
      <c r="A1779" s="92">
        <v>8879</v>
      </c>
      <c r="B1779" s="92">
        <v>8880</v>
      </c>
      <c r="E1779" s="92">
        <v>50</v>
      </c>
      <c r="F1779" s="92">
        <f>_xlfn.XLOOKUP(B1779, DATA_Moresby_2024_ALL!B:B, DATA_Moresby_2024_ALL!G:G, "")</f>
        <v>0</v>
      </c>
      <c r="G1779" s="93"/>
      <c r="H1779" s="92">
        <v>6</v>
      </c>
      <c r="I1779" s="92" t="str">
        <f t="shared" si="92"/>
        <v>X</v>
      </c>
      <c r="J1779" s="79" t="str">
        <f>IF(G1779="","X",_xlfn.XLOOKUP(B1779,DATA_Moresby_2024_ALL!B:B,DATA_Moresby_2024_ALL!K:K,""))</f>
        <v>X</v>
      </c>
      <c r="K1779" s="28"/>
      <c r="L1779" s="29"/>
      <c r="M1779" s="28"/>
      <c r="N1779" s="19" t="str">
        <f t="shared" si="95"/>
        <v/>
      </c>
      <c r="O1779" s="19" t="str">
        <f t="shared" si="94"/>
        <v/>
      </c>
      <c r="P1779" s="19" t="str">
        <f t="shared" si="94"/>
        <v/>
      </c>
      <c r="Q1779" s="19" t="str">
        <f t="shared" si="94"/>
        <v/>
      </c>
      <c r="X1779" s="92" t="s">
        <v>78</v>
      </c>
      <c r="Y1779" s="92" t="s">
        <v>78</v>
      </c>
      <c r="Z1779" s="92" t="s">
        <v>78</v>
      </c>
    </row>
    <row r="1780" spans="1:26" ht="16" hidden="1" x14ac:dyDescent="0.4">
      <c r="A1780" s="92">
        <v>8884</v>
      </c>
      <c r="B1780" s="92">
        <v>8885</v>
      </c>
      <c r="E1780" s="92">
        <v>50</v>
      </c>
      <c r="F1780" s="92">
        <f>_xlfn.XLOOKUP(B1780, DATA_Moresby_2024_ALL!B:B, DATA_Moresby_2024_ALL!G:G, "")</f>
        <v>0</v>
      </c>
      <c r="G1780" s="93"/>
      <c r="H1780" s="92">
        <v>6</v>
      </c>
      <c r="I1780" s="92" t="str">
        <f t="shared" si="92"/>
        <v>X</v>
      </c>
      <c r="J1780" s="79" t="str">
        <f>IF(G1780="","X",_xlfn.XLOOKUP(B1780,DATA_Moresby_2024_ALL!B:B,DATA_Moresby_2024_ALL!K:K,""))</f>
        <v>X</v>
      </c>
      <c r="K1780" s="28"/>
      <c r="L1780" s="29"/>
      <c r="M1780" s="28"/>
      <c r="N1780" s="19" t="str">
        <f t="shared" si="95"/>
        <v/>
      </c>
      <c r="O1780" s="19" t="str">
        <f t="shared" si="94"/>
        <v/>
      </c>
      <c r="P1780" s="19" t="str">
        <f t="shared" si="94"/>
        <v/>
      </c>
      <c r="Q1780" s="19" t="str">
        <f t="shared" si="94"/>
        <v/>
      </c>
      <c r="X1780" s="92" t="s">
        <v>78</v>
      </c>
      <c r="Y1780" s="92" t="s">
        <v>78</v>
      </c>
      <c r="Z1780" s="92" t="s">
        <v>78</v>
      </c>
    </row>
    <row r="1781" spans="1:26" ht="16" hidden="1" x14ac:dyDescent="0.4">
      <c r="A1781" s="92">
        <v>8889</v>
      </c>
      <c r="B1781" s="92">
        <v>8890</v>
      </c>
      <c r="E1781" s="92">
        <v>50</v>
      </c>
      <c r="F1781" s="92">
        <f>_xlfn.XLOOKUP(B1781, DATA_Moresby_2024_ALL!B:B, DATA_Moresby_2024_ALL!G:G, "")</f>
        <v>0</v>
      </c>
      <c r="G1781" s="93"/>
      <c r="H1781" s="92">
        <v>6</v>
      </c>
      <c r="I1781" s="92" t="str">
        <f t="shared" si="92"/>
        <v>X</v>
      </c>
      <c r="J1781" s="79" t="str">
        <f>IF(G1781="","X",_xlfn.XLOOKUP(B1781,DATA_Moresby_2024_ALL!B:B,DATA_Moresby_2024_ALL!K:K,""))</f>
        <v>X</v>
      </c>
      <c r="K1781" s="28"/>
      <c r="L1781" s="29"/>
      <c r="M1781" s="28"/>
      <c r="N1781" s="19" t="str">
        <f t="shared" si="95"/>
        <v/>
      </c>
      <c r="O1781" s="19" t="str">
        <f t="shared" si="94"/>
        <v/>
      </c>
      <c r="P1781" s="19" t="str">
        <f t="shared" si="94"/>
        <v/>
      </c>
      <c r="Q1781" s="19" t="str">
        <f t="shared" si="94"/>
        <v/>
      </c>
      <c r="X1781" s="92" t="s">
        <v>78</v>
      </c>
      <c r="Y1781" s="92" t="s">
        <v>78</v>
      </c>
      <c r="Z1781" s="92" t="s">
        <v>78</v>
      </c>
    </row>
    <row r="1782" spans="1:26" ht="16" hidden="1" x14ac:dyDescent="0.4">
      <c r="A1782" s="92">
        <v>8894</v>
      </c>
      <c r="B1782" s="92">
        <v>8895</v>
      </c>
      <c r="E1782" s="92">
        <v>50</v>
      </c>
      <c r="F1782" s="92">
        <f>_xlfn.XLOOKUP(B1782, DATA_Moresby_2024_ALL!B:B, DATA_Moresby_2024_ALL!G:G, "")</f>
        <v>0</v>
      </c>
      <c r="G1782" s="93"/>
      <c r="H1782" s="92">
        <v>6</v>
      </c>
      <c r="I1782" s="92" t="str">
        <f t="shared" si="92"/>
        <v>X</v>
      </c>
      <c r="J1782" s="79" t="str">
        <f>IF(G1782="","X",_xlfn.XLOOKUP(B1782,DATA_Moresby_2024_ALL!B:B,DATA_Moresby_2024_ALL!K:K,""))</f>
        <v>X</v>
      </c>
      <c r="K1782" s="28"/>
      <c r="L1782" s="29"/>
      <c r="M1782" s="28"/>
      <c r="N1782" s="19" t="str">
        <f t="shared" si="95"/>
        <v/>
      </c>
      <c r="O1782" s="19" t="str">
        <f t="shared" si="94"/>
        <v/>
      </c>
      <c r="P1782" s="19" t="str">
        <f t="shared" si="94"/>
        <v/>
      </c>
      <c r="Q1782" s="19" t="str">
        <f t="shared" si="94"/>
        <v/>
      </c>
      <c r="X1782" s="92" t="s">
        <v>78</v>
      </c>
      <c r="Y1782" s="92" t="s">
        <v>78</v>
      </c>
      <c r="Z1782" s="92" t="s">
        <v>78</v>
      </c>
    </row>
    <row r="1783" spans="1:26" ht="16" hidden="1" x14ac:dyDescent="0.4">
      <c r="A1783" s="92">
        <v>8899</v>
      </c>
      <c r="B1783" s="92">
        <v>8900</v>
      </c>
      <c r="E1783" s="92">
        <v>50</v>
      </c>
      <c r="F1783" s="92">
        <f>_xlfn.XLOOKUP(B1783, DATA_Moresby_2024_ALL!B:B, DATA_Moresby_2024_ALL!G:G, "")</f>
        <v>0</v>
      </c>
      <c r="G1783" s="93"/>
      <c r="H1783" s="92">
        <v>6</v>
      </c>
      <c r="I1783" s="92" t="str">
        <f t="shared" si="92"/>
        <v>X</v>
      </c>
      <c r="J1783" s="79" t="str">
        <f>IF(G1783="","X",_xlfn.XLOOKUP(B1783,DATA_Moresby_2024_ALL!B:B,DATA_Moresby_2024_ALL!K:K,""))</f>
        <v>X</v>
      </c>
      <c r="K1783" s="28"/>
      <c r="L1783" s="29"/>
      <c r="M1783" s="28"/>
      <c r="N1783" s="19" t="str">
        <f t="shared" si="95"/>
        <v/>
      </c>
      <c r="O1783" s="19" t="str">
        <f t="shared" si="94"/>
        <v/>
      </c>
      <c r="P1783" s="19" t="str">
        <f t="shared" si="94"/>
        <v/>
      </c>
      <c r="Q1783" s="19" t="str">
        <f t="shared" si="94"/>
        <v/>
      </c>
      <c r="X1783" s="92" t="s">
        <v>78</v>
      </c>
      <c r="Y1783" s="92" t="s">
        <v>78</v>
      </c>
      <c r="Z1783" s="92" t="s">
        <v>78</v>
      </c>
    </row>
    <row r="1784" spans="1:26" ht="16" hidden="1" x14ac:dyDescent="0.4">
      <c r="A1784" s="92">
        <v>8904</v>
      </c>
      <c r="B1784" s="92">
        <v>8905</v>
      </c>
      <c r="E1784" s="92">
        <v>50</v>
      </c>
      <c r="F1784" s="92">
        <f>_xlfn.XLOOKUP(B1784, DATA_Moresby_2024_ALL!B:B, DATA_Moresby_2024_ALL!G:G, "")</f>
        <v>0</v>
      </c>
      <c r="G1784" s="93"/>
      <c r="H1784" s="92">
        <v>6</v>
      </c>
      <c r="I1784" s="92" t="str">
        <f t="shared" si="92"/>
        <v>X</v>
      </c>
      <c r="J1784" s="79" t="str">
        <f>IF(G1784="","X",_xlfn.XLOOKUP(B1784,DATA_Moresby_2024_ALL!B:B,DATA_Moresby_2024_ALL!K:K,""))</f>
        <v>X</v>
      </c>
      <c r="K1784" s="28"/>
      <c r="L1784" s="29"/>
      <c r="M1784" s="28"/>
      <c r="N1784" s="19" t="str">
        <f t="shared" si="95"/>
        <v/>
      </c>
      <c r="O1784" s="19" t="str">
        <f t="shared" si="94"/>
        <v/>
      </c>
      <c r="P1784" s="19" t="str">
        <f t="shared" si="94"/>
        <v/>
      </c>
      <c r="Q1784" s="19" t="str">
        <f t="shared" si="94"/>
        <v/>
      </c>
      <c r="X1784" s="92" t="s">
        <v>78</v>
      </c>
      <c r="Y1784" s="92" t="s">
        <v>78</v>
      </c>
      <c r="Z1784" s="92" t="s">
        <v>78</v>
      </c>
    </row>
    <row r="1785" spans="1:26" ht="16" hidden="1" x14ac:dyDescent="0.4">
      <c r="A1785" s="92">
        <v>8909</v>
      </c>
      <c r="B1785" s="92">
        <v>8910</v>
      </c>
      <c r="E1785" s="92">
        <v>50</v>
      </c>
      <c r="F1785" s="92">
        <f>_xlfn.XLOOKUP(B1785, DATA_Moresby_2024_ALL!B:B, DATA_Moresby_2024_ALL!G:G, "")</f>
        <v>0</v>
      </c>
      <c r="G1785" s="93"/>
      <c r="H1785" s="92">
        <v>6</v>
      </c>
      <c r="I1785" s="92" t="str">
        <f t="shared" si="92"/>
        <v>X</v>
      </c>
      <c r="J1785" s="79" t="str">
        <f>IF(G1785="","X",_xlfn.XLOOKUP(B1785,DATA_Moresby_2024_ALL!B:B,DATA_Moresby_2024_ALL!K:K,""))</f>
        <v>X</v>
      </c>
      <c r="K1785" s="28"/>
      <c r="L1785" s="29"/>
      <c r="M1785" s="28"/>
      <c r="N1785" s="19" t="str">
        <f t="shared" si="95"/>
        <v/>
      </c>
      <c r="O1785" s="19" t="str">
        <f t="shared" si="94"/>
        <v/>
      </c>
      <c r="P1785" s="19" t="str">
        <f t="shared" si="94"/>
        <v/>
      </c>
      <c r="Q1785" s="19" t="str">
        <f t="shared" si="94"/>
        <v/>
      </c>
      <c r="X1785" s="92" t="s">
        <v>78</v>
      </c>
      <c r="Y1785" s="92" t="s">
        <v>78</v>
      </c>
      <c r="Z1785" s="92" t="s">
        <v>78</v>
      </c>
    </row>
    <row r="1786" spans="1:26" ht="16" hidden="1" x14ac:dyDescent="0.4">
      <c r="A1786" s="92">
        <v>8914</v>
      </c>
      <c r="B1786" s="92">
        <v>8915</v>
      </c>
      <c r="E1786" s="92">
        <v>50</v>
      </c>
      <c r="F1786" s="92">
        <f>_xlfn.XLOOKUP(B1786, DATA_Moresby_2024_ALL!B:B, DATA_Moresby_2024_ALL!G:G, "")</f>
        <v>0</v>
      </c>
      <c r="G1786" s="93"/>
      <c r="H1786" s="92">
        <v>6</v>
      </c>
      <c r="I1786" s="92" t="str">
        <f t="shared" si="92"/>
        <v>X</v>
      </c>
      <c r="J1786" s="79" t="str">
        <f>IF(G1786="","X",_xlfn.XLOOKUP(B1786,DATA_Moresby_2024_ALL!B:B,DATA_Moresby_2024_ALL!K:K,""))</f>
        <v>X</v>
      </c>
      <c r="K1786" s="28"/>
      <c r="L1786" s="29"/>
      <c r="M1786" s="28"/>
      <c r="N1786" s="19" t="str">
        <f t="shared" si="95"/>
        <v/>
      </c>
      <c r="O1786" s="19" t="str">
        <f t="shared" si="94"/>
        <v/>
      </c>
      <c r="P1786" s="19" t="str">
        <f t="shared" si="94"/>
        <v/>
      </c>
      <c r="Q1786" s="19" t="str">
        <f t="shared" si="94"/>
        <v/>
      </c>
      <c r="X1786" s="92" t="s">
        <v>78</v>
      </c>
      <c r="Y1786" s="92" t="s">
        <v>78</v>
      </c>
      <c r="Z1786" s="92" t="s">
        <v>78</v>
      </c>
    </row>
    <row r="1787" spans="1:26" ht="16" hidden="1" x14ac:dyDescent="0.4">
      <c r="A1787" s="92">
        <v>8919</v>
      </c>
      <c r="B1787" s="92">
        <v>8920</v>
      </c>
      <c r="E1787" s="92">
        <v>50</v>
      </c>
      <c r="F1787" s="92">
        <f>_xlfn.XLOOKUP(B1787, DATA_Moresby_2024_ALL!B:B, DATA_Moresby_2024_ALL!G:G, "")</f>
        <v>0</v>
      </c>
      <c r="G1787" s="93"/>
      <c r="H1787" s="92">
        <v>6</v>
      </c>
      <c r="I1787" s="92" t="str">
        <f t="shared" si="92"/>
        <v>X</v>
      </c>
      <c r="J1787" s="79" t="str">
        <f>IF(G1787="","X",_xlfn.XLOOKUP(B1787,DATA_Moresby_2024_ALL!B:B,DATA_Moresby_2024_ALL!K:K,""))</f>
        <v>X</v>
      </c>
      <c r="K1787" s="28"/>
      <c r="L1787" s="29"/>
      <c r="M1787" s="28"/>
      <c r="N1787" s="19" t="str">
        <f t="shared" si="95"/>
        <v/>
      </c>
      <c r="O1787" s="19" t="str">
        <f t="shared" si="94"/>
        <v/>
      </c>
      <c r="P1787" s="19" t="str">
        <f t="shared" si="94"/>
        <v/>
      </c>
      <c r="Q1787" s="19" t="str">
        <f t="shared" si="94"/>
        <v/>
      </c>
      <c r="X1787" s="92" t="s">
        <v>78</v>
      </c>
      <c r="Y1787" s="92" t="s">
        <v>78</v>
      </c>
      <c r="Z1787" s="92" t="s">
        <v>78</v>
      </c>
    </row>
    <row r="1788" spans="1:26" ht="16" hidden="1" x14ac:dyDescent="0.4">
      <c r="A1788" s="92">
        <v>8924</v>
      </c>
      <c r="B1788" s="92">
        <v>8925</v>
      </c>
      <c r="E1788" s="92">
        <v>50</v>
      </c>
      <c r="F1788" s="92">
        <f>_xlfn.XLOOKUP(B1788, DATA_Moresby_2024_ALL!B:B, DATA_Moresby_2024_ALL!G:G, "")</f>
        <v>0</v>
      </c>
      <c r="G1788" s="93"/>
      <c r="H1788" s="92">
        <v>6</v>
      </c>
      <c r="I1788" s="92" t="str">
        <f t="shared" si="92"/>
        <v>X</v>
      </c>
      <c r="J1788" s="79" t="str">
        <f>IF(G1788="","X",_xlfn.XLOOKUP(B1788,DATA_Moresby_2024_ALL!B:B,DATA_Moresby_2024_ALL!K:K,""))</f>
        <v>X</v>
      </c>
      <c r="K1788" s="28"/>
      <c r="L1788" s="29"/>
      <c r="M1788" s="28"/>
      <c r="N1788" s="19" t="str">
        <f t="shared" si="95"/>
        <v/>
      </c>
      <c r="O1788" s="19" t="str">
        <f t="shared" si="94"/>
        <v/>
      </c>
      <c r="P1788" s="19" t="str">
        <f t="shared" si="94"/>
        <v/>
      </c>
      <c r="Q1788" s="19" t="str">
        <f t="shared" si="94"/>
        <v/>
      </c>
      <c r="X1788" s="92" t="s">
        <v>78</v>
      </c>
      <c r="Y1788" s="92" t="s">
        <v>78</v>
      </c>
      <c r="Z1788" s="92" t="s">
        <v>78</v>
      </c>
    </row>
    <row r="1789" spans="1:26" ht="16" hidden="1" x14ac:dyDescent="0.4">
      <c r="A1789" s="92">
        <v>8929</v>
      </c>
      <c r="B1789" s="92">
        <v>8930</v>
      </c>
      <c r="E1789" s="92">
        <v>50</v>
      </c>
      <c r="F1789" s="92">
        <f>_xlfn.XLOOKUP(B1789, DATA_Moresby_2024_ALL!B:B, DATA_Moresby_2024_ALL!G:G, "")</f>
        <v>0</v>
      </c>
      <c r="G1789" s="93"/>
      <c r="H1789" s="92">
        <v>6</v>
      </c>
      <c r="I1789" s="92" t="str">
        <f t="shared" si="92"/>
        <v>X</v>
      </c>
      <c r="J1789" s="79" t="str">
        <f>IF(G1789="","X",_xlfn.XLOOKUP(B1789,DATA_Moresby_2024_ALL!B:B,DATA_Moresby_2024_ALL!K:K,""))</f>
        <v>X</v>
      </c>
      <c r="K1789" s="28"/>
      <c r="L1789" s="29"/>
      <c r="M1789" s="28"/>
      <c r="N1789" s="19" t="str">
        <f t="shared" si="95"/>
        <v/>
      </c>
      <c r="O1789" s="19" t="str">
        <f t="shared" si="94"/>
        <v/>
      </c>
      <c r="P1789" s="19" t="str">
        <f t="shared" si="94"/>
        <v/>
      </c>
      <c r="Q1789" s="19" t="str">
        <f t="shared" si="94"/>
        <v/>
      </c>
      <c r="X1789" s="92" t="s">
        <v>78</v>
      </c>
      <c r="Y1789" s="92" t="s">
        <v>78</v>
      </c>
      <c r="Z1789" s="92" t="s">
        <v>78</v>
      </c>
    </row>
    <row r="1790" spans="1:26" ht="16" hidden="1" x14ac:dyDescent="0.4">
      <c r="A1790" s="92">
        <v>8934</v>
      </c>
      <c r="B1790" s="92">
        <v>8935</v>
      </c>
      <c r="E1790" s="92">
        <v>50</v>
      </c>
      <c r="F1790" s="92">
        <f>_xlfn.XLOOKUP(B1790, DATA_Moresby_2024_ALL!B:B, DATA_Moresby_2024_ALL!G:G, "")</f>
        <v>0</v>
      </c>
      <c r="G1790" s="93"/>
      <c r="H1790" s="92">
        <v>6</v>
      </c>
      <c r="I1790" s="92" t="str">
        <f t="shared" si="92"/>
        <v>X</v>
      </c>
      <c r="J1790" s="79" t="str">
        <f>IF(G1790="","X",_xlfn.XLOOKUP(B1790,DATA_Moresby_2024_ALL!B:B,DATA_Moresby_2024_ALL!K:K,""))</f>
        <v>X</v>
      </c>
      <c r="K1790" s="28"/>
      <c r="L1790" s="29"/>
      <c r="M1790" s="28"/>
      <c r="N1790" s="19" t="str">
        <f t="shared" si="95"/>
        <v/>
      </c>
      <c r="O1790" s="19" t="str">
        <f t="shared" si="94"/>
        <v/>
      </c>
      <c r="P1790" s="19" t="str">
        <f t="shared" si="94"/>
        <v/>
      </c>
      <c r="Q1790" s="19" t="str">
        <f t="shared" si="94"/>
        <v/>
      </c>
      <c r="X1790" s="92" t="s">
        <v>78</v>
      </c>
      <c r="Y1790" s="92" t="s">
        <v>78</v>
      </c>
      <c r="Z1790" s="92" t="s">
        <v>78</v>
      </c>
    </row>
    <row r="1791" spans="1:26" ht="16" hidden="1" x14ac:dyDescent="0.4">
      <c r="A1791" s="92">
        <v>8939</v>
      </c>
      <c r="B1791" s="92">
        <v>8940</v>
      </c>
      <c r="E1791" s="92">
        <v>50</v>
      </c>
      <c r="F1791" s="92">
        <f>_xlfn.XLOOKUP(B1791, DATA_Moresby_2024_ALL!B:B, DATA_Moresby_2024_ALL!G:G, "")</f>
        <v>0</v>
      </c>
      <c r="G1791" s="93"/>
      <c r="H1791" s="92">
        <v>6</v>
      </c>
      <c r="I1791" s="92" t="str">
        <f t="shared" si="92"/>
        <v>X</v>
      </c>
      <c r="J1791" s="79" t="str">
        <f>IF(G1791="","X",_xlfn.XLOOKUP(B1791,DATA_Moresby_2024_ALL!B:B,DATA_Moresby_2024_ALL!K:K,""))</f>
        <v>X</v>
      </c>
      <c r="K1791" s="28"/>
      <c r="L1791" s="29"/>
      <c r="M1791" s="28"/>
      <c r="N1791" s="19" t="str">
        <f t="shared" si="95"/>
        <v/>
      </c>
      <c r="O1791" s="19" t="str">
        <f t="shared" si="94"/>
        <v/>
      </c>
      <c r="P1791" s="19" t="str">
        <f t="shared" si="94"/>
        <v/>
      </c>
      <c r="Q1791" s="19" t="str">
        <f t="shared" si="94"/>
        <v/>
      </c>
      <c r="X1791" s="92" t="s">
        <v>78</v>
      </c>
      <c r="Y1791" s="92" t="s">
        <v>78</v>
      </c>
      <c r="Z1791" s="92" t="s">
        <v>78</v>
      </c>
    </row>
    <row r="1792" spans="1:26" ht="16" hidden="1" x14ac:dyDescent="0.4">
      <c r="A1792" s="92">
        <v>8944</v>
      </c>
      <c r="B1792" s="92">
        <v>8945</v>
      </c>
      <c r="E1792" s="92">
        <v>50</v>
      </c>
      <c r="F1792" s="92">
        <f>_xlfn.XLOOKUP(B1792, DATA_Moresby_2024_ALL!B:B, DATA_Moresby_2024_ALL!G:G, "")</f>
        <v>0</v>
      </c>
      <c r="G1792" s="93"/>
      <c r="H1792" s="92">
        <v>6</v>
      </c>
      <c r="I1792" s="92" t="str">
        <f t="shared" si="92"/>
        <v>X</v>
      </c>
      <c r="J1792" s="79" t="str">
        <f>IF(G1792="","X",_xlfn.XLOOKUP(B1792,DATA_Moresby_2024_ALL!B:B,DATA_Moresby_2024_ALL!K:K,""))</f>
        <v>X</v>
      </c>
      <c r="K1792" s="28"/>
      <c r="L1792" s="29"/>
      <c r="M1792" s="28"/>
      <c r="N1792" s="19" t="str">
        <f t="shared" si="95"/>
        <v/>
      </c>
      <c r="O1792" s="19" t="str">
        <f t="shared" si="94"/>
        <v/>
      </c>
      <c r="P1792" s="19" t="str">
        <f t="shared" si="94"/>
        <v/>
      </c>
      <c r="Q1792" s="19" t="str">
        <f t="shared" si="94"/>
        <v/>
      </c>
      <c r="X1792" s="92" t="s">
        <v>78</v>
      </c>
      <c r="Y1792" s="92" t="s">
        <v>78</v>
      </c>
      <c r="Z1792" s="92" t="s">
        <v>78</v>
      </c>
    </row>
    <row r="1793" spans="1:26" ht="16" hidden="1" x14ac:dyDescent="0.4">
      <c r="A1793" s="92">
        <v>8949</v>
      </c>
      <c r="B1793" s="92">
        <v>8950</v>
      </c>
      <c r="E1793" s="92">
        <v>50</v>
      </c>
      <c r="F1793" s="92">
        <f>_xlfn.XLOOKUP(B1793, DATA_Moresby_2024_ALL!B:B, DATA_Moresby_2024_ALL!G:G, "")</f>
        <v>0</v>
      </c>
      <c r="G1793" s="93"/>
      <c r="H1793" s="92">
        <v>6</v>
      </c>
      <c r="I1793" s="92" t="str">
        <f t="shared" si="92"/>
        <v>X</v>
      </c>
      <c r="J1793" s="79" t="str">
        <f>IF(G1793="","X",_xlfn.XLOOKUP(B1793,DATA_Moresby_2024_ALL!B:B,DATA_Moresby_2024_ALL!K:K,""))</f>
        <v>X</v>
      </c>
      <c r="K1793" s="28"/>
      <c r="L1793" s="29"/>
      <c r="M1793" s="28"/>
      <c r="N1793" s="19" t="str">
        <f t="shared" si="95"/>
        <v/>
      </c>
      <c r="O1793" s="19" t="str">
        <f t="shared" si="94"/>
        <v/>
      </c>
      <c r="P1793" s="19" t="str">
        <f t="shared" si="94"/>
        <v/>
      </c>
      <c r="Q1793" s="19" t="str">
        <f t="shared" si="94"/>
        <v/>
      </c>
      <c r="X1793" s="92" t="s">
        <v>78</v>
      </c>
      <c r="Y1793" s="92" t="s">
        <v>78</v>
      </c>
      <c r="Z1793" s="92" t="s">
        <v>78</v>
      </c>
    </row>
    <row r="1794" spans="1:26" ht="16" hidden="1" x14ac:dyDescent="0.4">
      <c r="A1794" s="92">
        <v>8954</v>
      </c>
      <c r="B1794" s="92">
        <v>8955</v>
      </c>
      <c r="E1794" s="92">
        <v>50</v>
      </c>
      <c r="F1794" s="92">
        <f>_xlfn.XLOOKUP(B1794, DATA_Moresby_2024_ALL!B:B, DATA_Moresby_2024_ALL!G:G, "")</f>
        <v>0</v>
      </c>
      <c r="G1794" s="93"/>
      <c r="H1794" s="92">
        <v>6</v>
      </c>
      <c r="I1794" s="92" t="str">
        <f t="shared" si="92"/>
        <v>X</v>
      </c>
      <c r="J1794" s="79" t="str">
        <f>IF(G1794="","X",_xlfn.XLOOKUP(B1794,DATA_Moresby_2024_ALL!B:B,DATA_Moresby_2024_ALL!K:K,""))</f>
        <v>X</v>
      </c>
      <c r="K1794" s="28"/>
      <c r="L1794" s="29"/>
      <c r="M1794" s="28"/>
      <c r="N1794" s="19" t="str">
        <f t="shared" si="95"/>
        <v/>
      </c>
      <c r="O1794" s="19" t="str">
        <f t="shared" si="94"/>
        <v/>
      </c>
      <c r="P1794" s="19" t="str">
        <f t="shared" si="94"/>
        <v/>
      </c>
      <c r="Q1794" s="19" t="str">
        <f t="shared" si="94"/>
        <v/>
      </c>
      <c r="X1794" s="92" t="s">
        <v>78</v>
      </c>
      <c r="Y1794" s="92" t="s">
        <v>78</v>
      </c>
      <c r="Z1794" s="92" t="s">
        <v>78</v>
      </c>
    </row>
    <row r="1795" spans="1:26" ht="16" hidden="1" x14ac:dyDescent="0.4">
      <c r="A1795" s="92">
        <v>8959</v>
      </c>
      <c r="B1795" s="92">
        <v>8960</v>
      </c>
      <c r="E1795" s="92">
        <v>50</v>
      </c>
      <c r="F1795" s="92">
        <f>_xlfn.XLOOKUP(B1795, DATA_Moresby_2024_ALL!B:B, DATA_Moresby_2024_ALL!G:G, "")</f>
        <v>0</v>
      </c>
      <c r="G1795" s="93"/>
      <c r="H1795" s="92">
        <v>6</v>
      </c>
      <c r="I1795" s="92" t="str">
        <f t="shared" si="92"/>
        <v>X</v>
      </c>
      <c r="J1795" s="79" t="str">
        <f>IF(G1795="","X",_xlfn.XLOOKUP(B1795,DATA_Moresby_2024_ALL!B:B,DATA_Moresby_2024_ALL!K:K,""))</f>
        <v>X</v>
      </c>
      <c r="K1795" s="28"/>
      <c r="L1795" s="29"/>
      <c r="M1795" s="28"/>
      <c r="N1795" s="19" t="str">
        <f t="shared" si="95"/>
        <v/>
      </c>
      <c r="O1795" s="19" t="str">
        <f t="shared" si="94"/>
        <v/>
      </c>
      <c r="P1795" s="19" t="str">
        <f t="shared" si="94"/>
        <v/>
      </c>
      <c r="Q1795" s="19" t="str">
        <f t="shared" si="94"/>
        <v/>
      </c>
      <c r="X1795" s="92" t="s">
        <v>78</v>
      </c>
      <c r="Y1795" s="92" t="s">
        <v>78</v>
      </c>
      <c r="Z1795" s="92" t="s">
        <v>78</v>
      </c>
    </row>
    <row r="1796" spans="1:26" ht="16" hidden="1" x14ac:dyDescent="0.4">
      <c r="A1796" s="92">
        <v>8964</v>
      </c>
      <c r="B1796" s="92">
        <v>8965</v>
      </c>
      <c r="E1796" s="92">
        <v>50</v>
      </c>
      <c r="F1796" s="92">
        <f>_xlfn.XLOOKUP(B1796, DATA_Moresby_2024_ALL!B:B, DATA_Moresby_2024_ALL!G:G, "")</f>
        <v>0</v>
      </c>
      <c r="G1796" s="93"/>
      <c r="H1796" s="92">
        <v>6</v>
      </c>
      <c r="I1796" s="92" t="str">
        <f t="shared" si="92"/>
        <v>X</v>
      </c>
      <c r="J1796" s="79" t="str">
        <f>IF(G1796="","X",_xlfn.XLOOKUP(B1796,DATA_Moresby_2024_ALL!B:B,DATA_Moresby_2024_ALL!K:K,""))</f>
        <v>X</v>
      </c>
      <c r="K1796" s="28"/>
      <c r="L1796" s="29"/>
      <c r="M1796" s="28"/>
      <c r="N1796" s="19" t="str">
        <f t="shared" si="95"/>
        <v/>
      </c>
      <c r="O1796" s="19" t="str">
        <f t="shared" si="94"/>
        <v/>
      </c>
      <c r="P1796" s="19" t="str">
        <f t="shared" si="94"/>
        <v/>
      </c>
      <c r="Q1796" s="19" t="str">
        <f t="shared" si="94"/>
        <v/>
      </c>
      <c r="X1796" s="92" t="s">
        <v>78</v>
      </c>
      <c r="Y1796" s="92" t="s">
        <v>78</v>
      </c>
      <c r="Z1796" s="92" t="s">
        <v>78</v>
      </c>
    </row>
    <row r="1797" spans="1:26" ht="16" hidden="1" x14ac:dyDescent="0.4">
      <c r="A1797" s="92">
        <v>8969</v>
      </c>
      <c r="B1797" s="92">
        <v>8970</v>
      </c>
      <c r="E1797" s="92">
        <v>50</v>
      </c>
      <c r="F1797" s="92">
        <f>_xlfn.XLOOKUP(B1797, DATA_Moresby_2024_ALL!B:B, DATA_Moresby_2024_ALL!G:G, "")</f>
        <v>0</v>
      </c>
      <c r="G1797" s="93"/>
      <c r="H1797" s="92">
        <v>6</v>
      </c>
      <c r="I1797" s="92" t="str">
        <f t="shared" si="92"/>
        <v>X</v>
      </c>
      <c r="J1797" s="79" t="str">
        <f>IF(G1797="","X",_xlfn.XLOOKUP(B1797,DATA_Moresby_2024_ALL!B:B,DATA_Moresby_2024_ALL!K:K,""))</f>
        <v>X</v>
      </c>
      <c r="K1797" s="28"/>
      <c r="L1797" s="29"/>
      <c r="M1797" s="28"/>
      <c r="N1797" s="19" t="str">
        <f t="shared" si="95"/>
        <v/>
      </c>
      <c r="O1797" s="19" t="str">
        <f t="shared" si="94"/>
        <v/>
      </c>
      <c r="P1797" s="19" t="str">
        <f t="shared" si="94"/>
        <v/>
      </c>
      <c r="Q1797" s="19" t="str">
        <f t="shared" si="94"/>
        <v/>
      </c>
      <c r="X1797" s="92" t="s">
        <v>78</v>
      </c>
      <c r="Y1797" s="92" t="s">
        <v>78</v>
      </c>
      <c r="Z1797" s="92" t="s">
        <v>78</v>
      </c>
    </row>
    <row r="1798" spans="1:26" ht="16" hidden="1" x14ac:dyDescent="0.4">
      <c r="A1798" s="92">
        <v>8974</v>
      </c>
      <c r="B1798" s="92">
        <v>8975</v>
      </c>
      <c r="E1798" s="92">
        <v>50</v>
      </c>
      <c r="F1798" s="92">
        <f>_xlfn.XLOOKUP(B1798, DATA_Moresby_2024_ALL!B:B, DATA_Moresby_2024_ALL!G:G, "")</f>
        <v>0</v>
      </c>
      <c r="G1798" s="93"/>
      <c r="H1798" s="92">
        <v>6</v>
      </c>
      <c r="I1798" s="92" t="str">
        <f t="shared" si="92"/>
        <v>X</v>
      </c>
      <c r="J1798" s="79" t="str">
        <f>IF(G1798="","X",_xlfn.XLOOKUP(B1798,DATA_Moresby_2024_ALL!B:B,DATA_Moresby_2024_ALL!K:K,""))</f>
        <v>X</v>
      </c>
      <c r="K1798" s="28"/>
      <c r="L1798" s="29"/>
      <c r="M1798" s="28"/>
      <c r="N1798" s="19" t="str">
        <f t="shared" si="95"/>
        <v/>
      </c>
      <c r="O1798" s="19" t="str">
        <f t="shared" si="94"/>
        <v/>
      </c>
      <c r="P1798" s="19" t="str">
        <f t="shared" si="94"/>
        <v/>
      </c>
      <c r="Q1798" s="19" t="str">
        <f t="shared" si="94"/>
        <v/>
      </c>
      <c r="X1798" s="92" t="s">
        <v>78</v>
      </c>
      <c r="Y1798" s="92" t="s">
        <v>78</v>
      </c>
      <c r="Z1798" s="92" t="s">
        <v>78</v>
      </c>
    </row>
    <row r="1799" spans="1:26" ht="16" hidden="1" x14ac:dyDescent="0.4">
      <c r="A1799" s="92">
        <v>8979</v>
      </c>
      <c r="B1799" s="92">
        <v>8980</v>
      </c>
      <c r="E1799" s="92">
        <v>50</v>
      </c>
      <c r="F1799" s="92">
        <f>_xlfn.XLOOKUP(B1799, DATA_Moresby_2024_ALL!B:B, DATA_Moresby_2024_ALL!G:G, "")</f>
        <v>0</v>
      </c>
      <c r="G1799" s="93"/>
      <c r="H1799" s="92">
        <v>6</v>
      </c>
      <c r="I1799" s="92" t="str">
        <f t="shared" si="92"/>
        <v>X</v>
      </c>
      <c r="J1799" s="79" t="str">
        <f>IF(G1799="","X",_xlfn.XLOOKUP(B1799,DATA_Moresby_2024_ALL!B:B,DATA_Moresby_2024_ALL!K:K,""))</f>
        <v>X</v>
      </c>
      <c r="K1799" s="28"/>
      <c r="L1799" s="29"/>
      <c r="M1799" s="28"/>
      <c r="N1799" s="19" t="str">
        <f t="shared" si="95"/>
        <v/>
      </c>
      <c r="O1799" s="19" t="str">
        <f t="shared" si="94"/>
        <v/>
      </c>
      <c r="P1799" s="19" t="str">
        <f t="shared" si="94"/>
        <v/>
      </c>
      <c r="Q1799" s="19" t="str">
        <f t="shared" si="94"/>
        <v/>
      </c>
      <c r="X1799" s="92" t="s">
        <v>78</v>
      </c>
      <c r="Y1799" s="92" t="s">
        <v>78</v>
      </c>
      <c r="Z1799" s="92" t="s">
        <v>78</v>
      </c>
    </row>
    <row r="1800" spans="1:26" ht="16" hidden="1" x14ac:dyDescent="0.4">
      <c r="A1800" s="92">
        <v>8984</v>
      </c>
      <c r="B1800" s="92">
        <v>8985</v>
      </c>
      <c r="E1800" s="92">
        <v>50</v>
      </c>
      <c r="F1800" s="92">
        <f>_xlfn.XLOOKUP(B1800, DATA_Moresby_2024_ALL!B:B, DATA_Moresby_2024_ALL!G:G, "")</f>
        <v>0</v>
      </c>
      <c r="G1800" s="93"/>
      <c r="H1800" s="92">
        <v>6</v>
      </c>
      <c r="I1800" s="92" t="str">
        <f t="shared" si="92"/>
        <v>X</v>
      </c>
      <c r="J1800" s="79" t="str">
        <f>IF(G1800="","X",_xlfn.XLOOKUP(B1800,DATA_Moresby_2024_ALL!B:B,DATA_Moresby_2024_ALL!K:K,""))</f>
        <v>X</v>
      </c>
      <c r="K1800" s="28"/>
      <c r="L1800" s="29"/>
      <c r="M1800" s="28"/>
      <c r="N1800" s="19" t="str">
        <f t="shared" si="95"/>
        <v/>
      </c>
      <c r="O1800" s="19" t="str">
        <f t="shared" si="94"/>
        <v/>
      </c>
      <c r="P1800" s="19" t="str">
        <f t="shared" si="94"/>
        <v/>
      </c>
      <c r="Q1800" s="19" t="str">
        <f t="shared" si="94"/>
        <v/>
      </c>
      <c r="X1800" s="92" t="s">
        <v>78</v>
      </c>
      <c r="Y1800" s="92" t="s">
        <v>78</v>
      </c>
      <c r="Z1800" s="92" t="s">
        <v>78</v>
      </c>
    </row>
    <row r="1801" spans="1:26" ht="16" hidden="1" x14ac:dyDescent="0.4">
      <c r="A1801" s="92">
        <v>8989</v>
      </c>
      <c r="B1801" s="92">
        <v>8990</v>
      </c>
      <c r="E1801" s="92">
        <v>50</v>
      </c>
      <c r="F1801" s="92">
        <f>_xlfn.XLOOKUP(B1801, DATA_Moresby_2024_ALL!B:B, DATA_Moresby_2024_ALL!G:G, "")</f>
        <v>0</v>
      </c>
      <c r="G1801" s="93"/>
      <c r="H1801" s="92">
        <v>6</v>
      </c>
      <c r="I1801" s="92" t="str">
        <f t="shared" ref="I1801:I1864" si="96">IF(G1801="","X","")</f>
        <v>X</v>
      </c>
      <c r="J1801" s="79" t="str">
        <f>IF(G1801="","X",_xlfn.XLOOKUP(B1801,DATA_Moresby_2024_ALL!B:B,DATA_Moresby_2024_ALL!K:K,""))</f>
        <v>X</v>
      </c>
      <c r="K1801" s="28"/>
      <c r="L1801" s="29"/>
      <c r="M1801" s="28"/>
      <c r="N1801" s="19" t="str">
        <f t="shared" si="95"/>
        <v/>
      </c>
      <c r="O1801" s="19" t="str">
        <f t="shared" si="94"/>
        <v/>
      </c>
      <c r="P1801" s="19" t="str">
        <f t="shared" si="94"/>
        <v/>
      </c>
      <c r="Q1801" s="19" t="str">
        <f t="shared" si="94"/>
        <v/>
      </c>
      <c r="X1801" s="92" t="s">
        <v>78</v>
      </c>
      <c r="Y1801" s="92" t="s">
        <v>78</v>
      </c>
      <c r="Z1801" s="92" t="s">
        <v>78</v>
      </c>
    </row>
    <row r="1802" spans="1:26" ht="16" hidden="1" x14ac:dyDescent="0.4">
      <c r="A1802" s="92">
        <v>8994</v>
      </c>
      <c r="B1802" s="92">
        <v>8995</v>
      </c>
      <c r="E1802" s="92">
        <v>50</v>
      </c>
      <c r="F1802" s="92">
        <f>_xlfn.XLOOKUP(B1802, DATA_Moresby_2024_ALL!B:B, DATA_Moresby_2024_ALL!G:G, "")</f>
        <v>0</v>
      </c>
      <c r="G1802" s="93"/>
      <c r="H1802" s="92">
        <v>6</v>
      </c>
      <c r="I1802" s="92" t="str">
        <f t="shared" si="96"/>
        <v>X</v>
      </c>
      <c r="J1802" s="79" t="str">
        <f>IF(G1802="","X",_xlfn.XLOOKUP(B1802,DATA_Moresby_2024_ALL!B:B,DATA_Moresby_2024_ALL!K:K,""))</f>
        <v>X</v>
      </c>
      <c r="K1802" s="28"/>
      <c r="L1802" s="29"/>
      <c r="M1802" s="28"/>
      <c r="N1802" s="19" t="str">
        <f t="shared" si="95"/>
        <v/>
      </c>
      <c r="O1802" s="19" t="str">
        <f t="shared" si="94"/>
        <v/>
      </c>
      <c r="P1802" s="19" t="str">
        <f t="shared" si="94"/>
        <v/>
      </c>
      <c r="Q1802" s="19" t="str">
        <f t="shared" si="94"/>
        <v/>
      </c>
      <c r="X1802" s="92" t="s">
        <v>78</v>
      </c>
      <c r="Y1802" s="92" t="s">
        <v>78</v>
      </c>
      <c r="Z1802" s="92" t="s">
        <v>78</v>
      </c>
    </row>
    <row r="1803" spans="1:26" ht="16" hidden="1" x14ac:dyDescent="0.4">
      <c r="A1803" s="92">
        <v>8999</v>
      </c>
      <c r="B1803" s="92">
        <v>9000</v>
      </c>
      <c r="E1803" s="92">
        <v>50</v>
      </c>
      <c r="F1803" s="92">
        <f>_xlfn.XLOOKUP(B1803, DATA_Moresby_2024_ALL!B:B, DATA_Moresby_2024_ALL!G:G, "")</f>
        <v>0</v>
      </c>
      <c r="G1803" s="93"/>
      <c r="H1803" s="92">
        <v>6</v>
      </c>
      <c r="I1803" s="92" t="str">
        <f t="shared" si="96"/>
        <v>X</v>
      </c>
      <c r="J1803" s="79" t="str">
        <f>IF(G1803="","X",_xlfn.XLOOKUP(B1803,DATA_Moresby_2024_ALL!B:B,DATA_Moresby_2024_ALL!K:K,""))</f>
        <v>X</v>
      </c>
      <c r="K1803" s="28"/>
      <c r="L1803" s="29"/>
      <c r="M1803" s="28"/>
      <c r="N1803" s="19" t="str">
        <f t="shared" si="95"/>
        <v/>
      </c>
      <c r="O1803" s="19" t="str">
        <f t="shared" si="94"/>
        <v/>
      </c>
      <c r="P1803" s="19" t="str">
        <f t="shared" si="94"/>
        <v/>
      </c>
      <c r="Q1803" s="19" t="str">
        <f t="shared" si="94"/>
        <v/>
      </c>
      <c r="X1803" s="92" t="s">
        <v>78</v>
      </c>
      <c r="Y1803" s="92" t="s">
        <v>78</v>
      </c>
      <c r="Z1803" s="92" t="s">
        <v>78</v>
      </c>
    </row>
    <row r="1804" spans="1:26" ht="16" hidden="1" x14ac:dyDescent="0.4">
      <c r="A1804" s="92">
        <v>9004</v>
      </c>
      <c r="B1804" s="92">
        <v>9005</v>
      </c>
      <c r="E1804" s="92">
        <v>50</v>
      </c>
      <c r="F1804" s="92">
        <f>_xlfn.XLOOKUP(B1804, DATA_Moresby_2024_ALL!B:B, DATA_Moresby_2024_ALL!G:G, "")</f>
        <v>0</v>
      </c>
      <c r="G1804" s="93"/>
      <c r="H1804" s="92">
        <v>6</v>
      </c>
      <c r="I1804" s="92" t="str">
        <f t="shared" si="96"/>
        <v>X</v>
      </c>
      <c r="J1804" s="79" t="str">
        <f>IF(G1804="","X",_xlfn.XLOOKUP(B1804,DATA_Moresby_2024_ALL!B:B,DATA_Moresby_2024_ALL!K:K,""))</f>
        <v>X</v>
      </c>
      <c r="K1804" s="28"/>
      <c r="L1804" s="29"/>
      <c r="M1804" s="28"/>
      <c r="N1804" s="19" t="str">
        <f t="shared" si="95"/>
        <v/>
      </c>
      <c r="O1804" s="19" t="str">
        <f t="shared" si="94"/>
        <v/>
      </c>
      <c r="P1804" s="19" t="str">
        <f t="shared" si="94"/>
        <v/>
      </c>
      <c r="Q1804" s="19" t="str">
        <f t="shared" si="94"/>
        <v/>
      </c>
      <c r="X1804" s="92" t="s">
        <v>78</v>
      </c>
      <c r="Y1804" s="92" t="s">
        <v>78</v>
      </c>
      <c r="Z1804" s="92" t="s">
        <v>78</v>
      </c>
    </row>
    <row r="1805" spans="1:26" ht="16" hidden="1" x14ac:dyDescent="0.4">
      <c r="A1805" s="92">
        <v>9009</v>
      </c>
      <c r="B1805" s="92">
        <v>9010</v>
      </c>
      <c r="E1805" s="92">
        <v>50</v>
      </c>
      <c r="F1805" s="92">
        <f>_xlfn.XLOOKUP(B1805, DATA_Moresby_2024_ALL!B:B, DATA_Moresby_2024_ALL!G:G, "")</f>
        <v>0</v>
      </c>
      <c r="G1805" s="93"/>
      <c r="H1805" s="92">
        <v>6</v>
      </c>
      <c r="I1805" s="92" t="str">
        <f t="shared" si="96"/>
        <v>X</v>
      </c>
      <c r="J1805" s="79" t="str">
        <f>IF(G1805="","X",_xlfn.XLOOKUP(B1805,DATA_Moresby_2024_ALL!B:B,DATA_Moresby_2024_ALL!K:K,""))</f>
        <v>X</v>
      </c>
      <c r="K1805" s="28"/>
      <c r="L1805" s="29"/>
      <c r="M1805" s="28"/>
      <c r="N1805" s="19" t="str">
        <f t="shared" si="95"/>
        <v/>
      </c>
      <c r="O1805" s="19" t="str">
        <f t="shared" si="94"/>
        <v/>
      </c>
      <c r="P1805" s="19" t="str">
        <f t="shared" si="94"/>
        <v/>
      </c>
      <c r="Q1805" s="19" t="str">
        <f t="shared" si="94"/>
        <v/>
      </c>
      <c r="X1805" s="92" t="s">
        <v>78</v>
      </c>
      <c r="Y1805" s="92" t="s">
        <v>78</v>
      </c>
      <c r="Z1805" s="92" t="s">
        <v>78</v>
      </c>
    </row>
    <row r="1806" spans="1:26" ht="16" hidden="1" x14ac:dyDescent="0.4">
      <c r="A1806" s="92">
        <v>9014</v>
      </c>
      <c r="B1806" s="92">
        <v>9015</v>
      </c>
      <c r="E1806" s="92">
        <v>50</v>
      </c>
      <c r="F1806" s="92">
        <f>_xlfn.XLOOKUP(B1806, DATA_Moresby_2024_ALL!B:B, DATA_Moresby_2024_ALL!G:G, "")</f>
        <v>0</v>
      </c>
      <c r="G1806" s="93"/>
      <c r="H1806" s="92">
        <v>6</v>
      </c>
      <c r="I1806" s="92" t="str">
        <f t="shared" si="96"/>
        <v>X</v>
      </c>
      <c r="J1806" s="79" t="str">
        <f>IF(G1806="","X",_xlfn.XLOOKUP(B1806,DATA_Moresby_2024_ALL!B:B,DATA_Moresby_2024_ALL!K:K,""))</f>
        <v>X</v>
      </c>
      <c r="K1806" s="28"/>
      <c r="L1806" s="29"/>
      <c r="M1806" s="28"/>
      <c r="N1806" s="19" t="str">
        <f t="shared" si="95"/>
        <v/>
      </c>
      <c r="O1806" s="19" t="str">
        <f t="shared" si="94"/>
        <v/>
      </c>
      <c r="P1806" s="19" t="str">
        <f t="shared" si="94"/>
        <v/>
      </c>
      <c r="Q1806" s="19" t="str">
        <f t="shared" si="94"/>
        <v/>
      </c>
      <c r="X1806" s="92" t="s">
        <v>78</v>
      </c>
      <c r="Y1806" s="92" t="s">
        <v>78</v>
      </c>
      <c r="Z1806" s="92" t="s">
        <v>78</v>
      </c>
    </row>
    <row r="1807" spans="1:26" ht="16" hidden="1" x14ac:dyDescent="0.4">
      <c r="A1807" s="92">
        <v>9019</v>
      </c>
      <c r="B1807" s="92">
        <v>9020</v>
      </c>
      <c r="E1807" s="92">
        <v>50</v>
      </c>
      <c r="F1807" s="92">
        <f>_xlfn.XLOOKUP(B1807, DATA_Moresby_2024_ALL!B:B, DATA_Moresby_2024_ALL!G:G, "")</f>
        <v>0</v>
      </c>
      <c r="G1807" s="93"/>
      <c r="H1807" s="92">
        <v>6</v>
      </c>
      <c r="I1807" s="92" t="str">
        <f t="shared" si="96"/>
        <v>X</v>
      </c>
      <c r="J1807" s="79" t="str">
        <f>IF(G1807="","X",_xlfn.XLOOKUP(B1807,DATA_Moresby_2024_ALL!B:B,DATA_Moresby_2024_ALL!K:K,""))</f>
        <v>X</v>
      </c>
      <c r="K1807" s="28"/>
      <c r="L1807" s="29"/>
      <c r="M1807" s="28"/>
      <c r="N1807" s="19" t="str">
        <f t="shared" si="95"/>
        <v/>
      </c>
      <c r="O1807" s="19" t="str">
        <f t="shared" si="94"/>
        <v/>
      </c>
      <c r="P1807" s="19" t="str">
        <f t="shared" si="94"/>
        <v/>
      </c>
      <c r="Q1807" s="19" t="str">
        <f t="shared" si="94"/>
        <v/>
      </c>
      <c r="X1807" s="92" t="s">
        <v>78</v>
      </c>
      <c r="Y1807" s="92" t="s">
        <v>78</v>
      </c>
      <c r="Z1807" s="92" t="s">
        <v>78</v>
      </c>
    </row>
    <row r="1808" spans="1:26" ht="16" hidden="1" x14ac:dyDescent="0.4">
      <c r="A1808" s="92">
        <v>9024</v>
      </c>
      <c r="B1808" s="92">
        <v>9025</v>
      </c>
      <c r="E1808" s="92">
        <v>50</v>
      </c>
      <c r="F1808" s="92">
        <f>_xlfn.XLOOKUP(B1808, DATA_Moresby_2024_ALL!B:B, DATA_Moresby_2024_ALL!G:G, "")</f>
        <v>0</v>
      </c>
      <c r="G1808" s="93"/>
      <c r="H1808" s="92">
        <v>6</v>
      </c>
      <c r="I1808" s="92" t="str">
        <f t="shared" si="96"/>
        <v>X</v>
      </c>
      <c r="J1808" s="79" t="str">
        <f>IF(G1808="","X",_xlfn.XLOOKUP(B1808,DATA_Moresby_2024_ALL!B:B,DATA_Moresby_2024_ALL!K:K,""))</f>
        <v>X</v>
      </c>
      <c r="K1808" s="28"/>
      <c r="L1808" s="29"/>
      <c r="M1808" s="28"/>
      <c r="N1808" s="19" t="str">
        <f t="shared" si="95"/>
        <v/>
      </c>
      <c r="O1808" s="19" t="str">
        <f t="shared" si="94"/>
        <v/>
      </c>
      <c r="P1808" s="19" t="str">
        <f t="shared" si="94"/>
        <v/>
      </c>
      <c r="Q1808" s="19" t="str">
        <f t="shared" si="94"/>
        <v/>
      </c>
      <c r="X1808" s="92" t="s">
        <v>78</v>
      </c>
      <c r="Y1808" s="92" t="s">
        <v>78</v>
      </c>
      <c r="Z1808" s="92" t="s">
        <v>78</v>
      </c>
    </row>
    <row r="1809" spans="1:26" ht="16" hidden="1" x14ac:dyDescent="0.4">
      <c r="A1809" s="92">
        <v>9029</v>
      </c>
      <c r="B1809" s="92">
        <v>9030</v>
      </c>
      <c r="E1809" s="92">
        <v>50</v>
      </c>
      <c r="F1809" s="92">
        <f>_xlfn.XLOOKUP(B1809, DATA_Moresby_2024_ALL!B:B, DATA_Moresby_2024_ALL!G:G, "")</f>
        <v>0</v>
      </c>
      <c r="G1809" s="93"/>
      <c r="H1809" s="92">
        <v>6</v>
      </c>
      <c r="I1809" s="92" t="str">
        <f t="shared" si="96"/>
        <v>X</v>
      </c>
      <c r="J1809" s="79" t="str">
        <f>IF(G1809="","X",_xlfn.XLOOKUP(B1809,DATA_Moresby_2024_ALL!B:B,DATA_Moresby_2024_ALL!K:K,""))</f>
        <v>X</v>
      </c>
      <c r="K1809" s="28"/>
      <c r="L1809" s="29"/>
      <c r="M1809" s="28"/>
      <c r="N1809" s="19" t="str">
        <f t="shared" si="95"/>
        <v/>
      </c>
      <c r="O1809" s="19" t="str">
        <f t="shared" si="94"/>
        <v/>
      </c>
      <c r="P1809" s="19" t="str">
        <f t="shared" si="94"/>
        <v/>
      </c>
      <c r="Q1809" s="19" t="str">
        <f t="shared" si="94"/>
        <v/>
      </c>
      <c r="X1809" s="92" t="s">
        <v>78</v>
      </c>
      <c r="Y1809" s="92" t="s">
        <v>78</v>
      </c>
      <c r="Z1809" s="92" t="s">
        <v>78</v>
      </c>
    </row>
    <row r="1810" spans="1:26" ht="16" hidden="1" x14ac:dyDescent="0.4">
      <c r="A1810" s="92">
        <v>9034</v>
      </c>
      <c r="B1810" s="92">
        <v>9035</v>
      </c>
      <c r="E1810" s="92">
        <v>50</v>
      </c>
      <c r="F1810" s="92">
        <f>_xlfn.XLOOKUP(B1810, DATA_Moresby_2024_ALL!B:B, DATA_Moresby_2024_ALL!G:G, "")</f>
        <v>0</v>
      </c>
      <c r="G1810" s="93"/>
      <c r="H1810" s="92">
        <v>6</v>
      </c>
      <c r="I1810" s="92" t="str">
        <f t="shared" si="96"/>
        <v>X</v>
      </c>
      <c r="J1810" s="79" t="str">
        <f>IF(G1810="","X",_xlfn.XLOOKUP(B1810,DATA_Moresby_2024_ALL!B:B,DATA_Moresby_2024_ALL!K:K,""))</f>
        <v>X</v>
      </c>
      <c r="K1810" s="28"/>
      <c r="L1810" s="29"/>
      <c r="M1810" s="28"/>
      <c r="N1810" s="19" t="str">
        <f t="shared" si="95"/>
        <v/>
      </c>
      <c r="O1810" s="19" t="str">
        <f t="shared" si="94"/>
        <v/>
      </c>
      <c r="P1810" s="19" t="str">
        <f t="shared" si="94"/>
        <v/>
      </c>
      <c r="Q1810" s="19" t="str">
        <f t="shared" si="94"/>
        <v/>
      </c>
      <c r="X1810" s="92" t="s">
        <v>78</v>
      </c>
      <c r="Y1810" s="92" t="s">
        <v>78</v>
      </c>
      <c r="Z1810" s="92" t="s">
        <v>78</v>
      </c>
    </row>
    <row r="1811" spans="1:26" ht="16" hidden="1" x14ac:dyDescent="0.4">
      <c r="A1811" s="92">
        <v>9039</v>
      </c>
      <c r="B1811" s="92">
        <v>9040</v>
      </c>
      <c r="E1811" s="92">
        <v>50</v>
      </c>
      <c r="F1811" s="92">
        <f>_xlfn.XLOOKUP(B1811, DATA_Moresby_2024_ALL!B:B, DATA_Moresby_2024_ALL!G:G, "")</f>
        <v>0</v>
      </c>
      <c r="G1811" s="93"/>
      <c r="H1811" s="92">
        <v>6</v>
      </c>
      <c r="I1811" s="92" t="str">
        <f t="shared" si="96"/>
        <v>X</v>
      </c>
      <c r="J1811" s="79" t="str">
        <f>IF(G1811="","X",_xlfn.XLOOKUP(B1811,DATA_Moresby_2024_ALL!B:B,DATA_Moresby_2024_ALL!K:K,""))</f>
        <v>X</v>
      </c>
      <c r="K1811" s="28"/>
      <c r="L1811" s="29"/>
      <c r="M1811" s="28"/>
      <c r="N1811" s="19" t="str">
        <f t="shared" si="95"/>
        <v/>
      </c>
      <c r="O1811" s="19" t="str">
        <f t="shared" si="94"/>
        <v/>
      </c>
      <c r="P1811" s="19" t="str">
        <f t="shared" si="94"/>
        <v/>
      </c>
      <c r="Q1811" s="19" t="str">
        <f t="shared" si="94"/>
        <v/>
      </c>
      <c r="X1811" s="92" t="s">
        <v>78</v>
      </c>
      <c r="Y1811" s="92" t="s">
        <v>78</v>
      </c>
      <c r="Z1811" s="92" t="s">
        <v>78</v>
      </c>
    </row>
    <row r="1812" spans="1:26" ht="16" hidden="1" x14ac:dyDescent="0.4">
      <c r="A1812" s="92">
        <v>9044</v>
      </c>
      <c r="B1812" s="92">
        <v>9045</v>
      </c>
      <c r="E1812" s="92">
        <v>50</v>
      </c>
      <c r="F1812" s="92">
        <f>_xlfn.XLOOKUP(B1812, DATA_Moresby_2024_ALL!B:B, DATA_Moresby_2024_ALL!G:G, "")</f>
        <v>0</v>
      </c>
      <c r="G1812" s="93"/>
      <c r="H1812" s="92">
        <v>6</v>
      </c>
      <c r="I1812" s="92" t="str">
        <f t="shared" si="96"/>
        <v>X</v>
      </c>
      <c r="J1812" s="79" t="str">
        <f>IF(G1812="","X",_xlfn.XLOOKUP(B1812,DATA_Moresby_2024_ALL!B:B,DATA_Moresby_2024_ALL!K:K,""))</f>
        <v>X</v>
      </c>
      <c r="K1812" s="28"/>
      <c r="L1812" s="29"/>
      <c r="M1812" s="28"/>
      <c r="N1812" s="19" t="str">
        <f t="shared" si="95"/>
        <v/>
      </c>
      <c r="O1812" s="19" t="str">
        <f t="shared" si="94"/>
        <v/>
      </c>
      <c r="P1812" s="19" t="str">
        <f t="shared" si="94"/>
        <v/>
      </c>
      <c r="Q1812" s="19" t="str">
        <f t="shared" si="94"/>
        <v/>
      </c>
      <c r="X1812" s="92" t="s">
        <v>78</v>
      </c>
      <c r="Y1812" s="92" t="s">
        <v>78</v>
      </c>
      <c r="Z1812" s="92" t="s">
        <v>78</v>
      </c>
    </row>
    <row r="1813" spans="1:26" ht="16" hidden="1" x14ac:dyDescent="0.4">
      <c r="A1813" s="92">
        <v>9049</v>
      </c>
      <c r="B1813" s="92">
        <v>9050</v>
      </c>
      <c r="E1813" s="92">
        <v>50</v>
      </c>
      <c r="F1813" s="92">
        <f>_xlfn.XLOOKUP(B1813, DATA_Moresby_2024_ALL!B:B, DATA_Moresby_2024_ALL!G:G, "")</f>
        <v>0</v>
      </c>
      <c r="G1813" s="93"/>
      <c r="H1813" s="92">
        <v>6</v>
      </c>
      <c r="I1813" s="92" t="str">
        <f t="shared" si="96"/>
        <v>X</v>
      </c>
      <c r="J1813" s="79" t="str">
        <f>IF(G1813="","X",_xlfn.XLOOKUP(B1813,DATA_Moresby_2024_ALL!B:B,DATA_Moresby_2024_ALL!K:K,""))</f>
        <v>X</v>
      </c>
      <c r="K1813" s="28"/>
      <c r="L1813" s="29"/>
      <c r="M1813" s="28"/>
      <c r="N1813" s="19" t="str">
        <f t="shared" si="95"/>
        <v/>
      </c>
      <c r="O1813" s="19" t="str">
        <f t="shared" si="94"/>
        <v/>
      </c>
      <c r="P1813" s="19" t="str">
        <f t="shared" si="94"/>
        <v/>
      </c>
      <c r="Q1813" s="19" t="str">
        <f t="shared" si="94"/>
        <v/>
      </c>
      <c r="X1813" s="92" t="s">
        <v>78</v>
      </c>
      <c r="Y1813" s="92" t="s">
        <v>78</v>
      </c>
      <c r="Z1813" s="92" t="s">
        <v>78</v>
      </c>
    </row>
    <row r="1814" spans="1:26" ht="16" hidden="1" x14ac:dyDescent="0.4">
      <c r="A1814" s="92">
        <v>9054</v>
      </c>
      <c r="B1814" s="92">
        <v>9055</v>
      </c>
      <c r="E1814" s="92">
        <v>50</v>
      </c>
      <c r="F1814" s="92">
        <f>_xlfn.XLOOKUP(B1814, DATA_Moresby_2024_ALL!B:B, DATA_Moresby_2024_ALL!G:G, "")</f>
        <v>0</v>
      </c>
      <c r="G1814" s="93"/>
      <c r="H1814" s="92">
        <v>6</v>
      </c>
      <c r="I1814" s="92" t="str">
        <f t="shared" si="96"/>
        <v>X</v>
      </c>
      <c r="J1814" s="79" t="str">
        <f>IF(G1814="","X",_xlfn.XLOOKUP(B1814,DATA_Moresby_2024_ALL!B:B,DATA_Moresby_2024_ALL!K:K,""))</f>
        <v>X</v>
      </c>
      <c r="K1814" s="28"/>
      <c r="L1814" s="29"/>
      <c r="M1814" s="28"/>
      <c r="N1814" s="19" t="str">
        <f t="shared" si="95"/>
        <v/>
      </c>
      <c r="O1814" s="19" t="str">
        <f t="shared" si="94"/>
        <v/>
      </c>
      <c r="P1814" s="19" t="str">
        <f t="shared" si="94"/>
        <v/>
      </c>
      <c r="Q1814" s="19" t="str">
        <f t="shared" si="94"/>
        <v/>
      </c>
      <c r="X1814" s="92" t="s">
        <v>78</v>
      </c>
      <c r="Y1814" s="92" t="s">
        <v>78</v>
      </c>
      <c r="Z1814" s="92" t="s">
        <v>78</v>
      </c>
    </row>
    <row r="1815" spans="1:26" ht="16" hidden="1" x14ac:dyDescent="0.4">
      <c r="A1815" s="92">
        <v>9059</v>
      </c>
      <c r="B1815" s="92">
        <v>9060</v>
      </c>
      <c r="E1815" s="92">
        <v>50</v>
      </c>
      <c r="F1815" s="92">
        <f>_xlfn.XLOOKUP(B1815, DATA_Moresby_2024_ALL!B:B, DATA_Moresby_2024_ALL!G:G, "")</f>
        <v>0</v>
      </c>
      <c r="G1815" s="93"/>
      <c r="H1815" s="92">
        <v>6</v>
      </c>
      <c r="I1815" s="92" t="str">
        <f t="shared" si="96"/>
        <v>X</v>
      </c>
      <c r="J1815" s="79" t="str">
        <f>IF(G1815="","X",_xlfn.XLOOKUP(B1815,DATA_Moresby_2024_ALL!B:B,DATA_Moresby_2024_ALL!K:K,""))</f>
        <v>X</v>
      </c>
      <c r="K1815" s="28"/>
      <c r="L1815" s="29"/>
      <c r="M1815" s="28"/>
      <c r="N1815" s="19" t="str">
        <f t="shared" si="95"/>
        <v/>
      </c>
      <c r="O1815" s="19" t="str">
        <f t="shared" si="94"/>
        <v/>
      </c>
      <c r="P1815" s="19" t="str">
        <f t="shared" si="94"/>
        <v/>
      </c>
      <c r="Q1815" s="19" t="str">
        <f t="shared" si="94"/>
        <v/>
      </c>
      <c r="X1815" s="92" t="s">
        <v>78</v>
      </c>
      <c r="Y1815" s="92" t="s">
        <v>78</v>
      </c>
      <c r="Z1815" s="92" t="s">
        <v>78</v>
      </c>
    </row>
    <row r="1816" spans="1:26" ht="16" hidden="1" x14ac:dyDescent="0.4">
      <c r="A1816" s="92">
        <v>9064</v>
      </c>
      <c r="B1816" s="92">
        <v>9065</v>
      </c>
      <c r="E1816" s="92">
        <v>50</v>
      </c>
      <c r="F1816" s="92">
        <f>_xlfn.XLOOKUP(B1816, DATA_Moresby_2024_ALL!B:B, DATA_Moresby_2024_ALL!G:G, "")</f>
        <v>0</v>
      </c>
      <c r="G1816" s="93"/>
      <c r="H1816" s="92">
        <v>6</v>
      </c>
      <c r="I1816" s="92" t="str">
        <f t="shared" si="96"/>
        <v>X</v>
      </c>
      <c r="J1816" s="79" t="str">
        <f>IF(G1816="","X",_xlfn.XLOOKUP(B1816,DATA_Moresby_2024_ALL!B:B,DATA_Moresby_2024_ALL!K:K,""))</f>
        <v>X</v>
      </c>
      <c r="K1816" s="28"/>
      <c r="L1816" s="29"/>
      <c r="M1816" s="28"/>
      <c r="N1816" s="19" t="str">
        <f t="shared" si="95"/>
        <v/>
      </c>
      <c r="O1816" s="19" t="str">
        <f t="shared" si="94"/>
        <v/>
      </c>
      <c r="P1816" s="19" t="str">
        <f t="shared" si="94"/>
        <v/>
      </c>
      <c r="Q1816" s="19" t="str">
        <f t="shared" si="94"/>
        <v/>
      </c>
      <c r="X1816" s="92" t="s">
        <v>78</v>
      </c>
      <c r="Y1816" s="92" t="s">
        <v>78</v>
      </c>
      <c r="Z1816" s="92" t="s">
        <v>78</v>
      </c>
    </row>
    <row r="1817" spans="1:26" ht="16" hidden="1" x14ac:dyDescent="0.4">
      <c r="A1817" s="92">
        <v>9069</v>
      </c>
      <c r="B1817" s="92">
        <v>9070</v>
      </c>
      <c r="E1817" s="92">
        <v>50</v>
      </c>
      <c r="F1817" s="92">
        <f>_xlfn.XLOOKUP(B1817, DATA_Moresby_2024_ALL!B:B, DATA_Moresby_2024_ALL!G:G, "")</f>
        <v>0</v>
      </c>
      <c r="G1817" s="93"/>
      <c r="H1817" s="92">
        <v>6</v>
      </c>
      <c r="I1817" s="92" t="str">
        <f t="shared" si="96"/>
        <v>X</v>
      </c>
      <c r="J1817" s="79" t="str">
        <f>IF(G1817="","X",_xlfn.XLOOKUP(B1817,DATA_Moresby_2024_ALL!B:B,DATA_Moresby_2024_ALL!K:K,""))</f>
        <v>X</v>
      </c>
      <c r="K1817" s="28"/>
      <c r="L1817" s="29"/>
      <c r="M1817" s="28"/>
      <c r="N1817" s="19" t="str">
        <f t="shared" si="95"/>
        <v/>
      </c>
      <c r="O1817" s="19" t="str">
        <f t="shared" si="94"/>
        <v/>
      </c>
      <c r="P1817" s="19" t="str">
        <f t="shared" si="94"/>
        <v/>
      </c>
      <c r="Q1817" s="19" t="str">
        <f t="shared" si="94"/>
        <v/>
      </c>
      <c r="X1817" s="92" t="s">
        <v>78</v>
      </c>
      <c r="Y1817" s="92" t="s">
        <v>78</v>
      </c>
      <c r="Z1817" s="92" t="s">
        <v>78</v>
      </c>
    </row>
    <row r="1818" spans="1:26" ht="16" hidden="1" x14ac:dyDescent="0.4">
      <c r="A1818" s="92">
        <v>9074</v>
      </c>
      <c r="B1818" s="92">
        <v>9075</v>
      </c>
      <c r="E1818" s="92">
        <v>50</v>
      </c>
      <c r="F1818" s="92">
        <f>_xlfn.XLOOKUP(B1818, DATA_Moresby_2024_ALL!B:B, DATA_Moresby_2024_ALL!G:G, "")</f>
        <v>0</v>
      </c>
      <c r="G1818" s="93"/>
      <c r="H1818" s="92">
        <v>6</v>
      </c>
      <c r="I1818" s="92" t="str">
        <f t="shared" si="96"/>
        <v>X</v>
      </c>
      <c r="J1818" s="79" t="str">
        <f>IF(G1818="","X",_xlfn.XLOOKUP(B1818,DATA_Moresby_2024_ALL!B:B,DATA_Moresby_2024_ALL!K:K,""))</f>
        <v>X</v>
      </c>
      <c r="K1818" s="28"/>
      <c r="L1818" s="29"/>
      <c r="M1818" s="28"/>
      <c r="N1818" s="19" t="str">
        <f t="shared" si="95"/>
        <v/>
      </c>
      <c r="O1818" s="19" t="str">
        <f t="shared" si="94"/>
        <v/>
      </c>
      <c r="P1818" s="19" t="str">
        <f t="shared" si="94"/>
        <v/>
      </c>
      <c r="Q1818" s="19" t="str">
        <f t="shared" si="94"/>
        <v/>
      </c>
      <c r="X1818" s="92" t="s">
        <v>78</v>
      </c>
      <c r="Y1818" s="92" t="s">
        <v>78</v>
      </c>
      <c r="Z1818" s="92" t="s">
        <v>78</v>
      </c>
    </row>
    <row r="1819" spans="1:26" ht="16" hidden="1" x14ac:dyDescent="0.4">
      <c r="A1819" s="92">
        <v>9079</v>
      </c>
      <c r="B1819" s="92">
        <v>9080</v>
      </c>
      <c r="E1819" s="92">
        <v>50</v>
      </c>
      <c r="F1819" s="92">
        <f>_xlfn.XLOOKUP(B1819, DATA_Moresby_2024_ALL!B:B, DATA_Moresby_2024_ALL!G:G, "")</f>
        <v>0</v>
      </c>
      <c r="G1819" s="93"/>
      <c r="H1819" s="92">
        <v>6</v>
      </c>
      <c r="I1819" s="92" t="str">
        <f t="shared" si="96"/>
        <v>X</v>
      </c>
      <c r="J1819" s="79" t="str">
        <f>IF(G1819="","X",_xlfn.XLOOKUP(B1819,DATA_Moresby_2024_ALL!B:B,DATA_Moresby_2024_ALL!K:K,""))</f>
        <v>X</v>
      </c>
      <c r="K1819" s="28"/>
      <c r="L1819" s="29"/>
      <c r="M1819" s="28"/>
      <c r="N1819" s="19" t="str">
        <f t="shared" si="95"/>
        <v/>
      </c>
      <c r="O1819" s="19" t="str">
        <f t="shared" si="94"/>
        <v/>
      </c>
      <c r="P1819" s="19" t="str">
        <f t="shared" si="94"/>
        <v/>
      </c>
      <c r="Q1819" s="19" t="str">
        <f t="shared" si="94"/>
        <v/>
      </c>
      <c r="X1819" s="92" t="s">
        <v>78</v>
      </c>
      <c r="Y1819" s="92" t="s">
        <v>78</v>
      </c>
      <c r="Z1819" s="92" t="s">
        <v>78</v>
      </c>
    </row>
    <row r="1820" spans="1:26" ht="16" hidden="1" x14ac:dyDescent="0.4">
      <c r="A1820" s="92">
        <v>9084</v>
      </c>
      <c r="B1820" s="92">
        <v>9085</v>
      </c>
      <c r="E1820" s="92">
        <v>50</v>
      </c>
      <c r="F1820" s="92">
        <f>_xlfn.XLOOKUP(B1820, DATA_Moresby_2024_ALL!B:B, DATA_Moresby_2024_ALL!G:G, "")</f>
        <v>0</v>
      </c>
      <c r="G1820" s="93"/>
      <c r="H1820" s="92">
        <v>6</v>
      </c>
      <c r="I1820" s="92" t="str">
        <f t="shared" si="96"/>
        <v>X</v>
      </c>
      <c r="J1820" s="79" t="str">
        <f>IF(G1820="","X",_xlfn.XLOOKUP(B1820,DATA_Moresby_2024_ALL!B:B,DATA_Moresby_2024_ALL!K:K,""))</f>
        <v>X</v>
      </c>
      <c r="K1820" s="28"/>
      <c r="L1820" s="29"/>
      <c r="M1820" s="28"/>
      <c r="N1820" s="19" t="str">
        <f t="shared" si="95"/>
        <v/>
      </c>
      <c r="O1820" s="19" t="str">
        <f t="shared" si="94"/>
        <v/>
      </c>
      <c r="P1820" s="19" t="str">
        <f t="shared" si="94"/>
        <v/>
      </c>
      <c r="Q1820" s="19" t="str">
        <f t="shared" si="94"/>
        <v/>
      </c>
      <c r="X1820" s="92" t="s">
        <v>78</v>
      </c>
      <c r="Y1820" s="92" t="s">
        <v>78</v>
      </c>
      <c r="Z1820" s="92" t="s">
        <v>78</v>
      </c>
    </row>
    <row r="1821" spans="1:26" ht="16" hidden="1" x14ac:dyDescent="0.4">
      <c r="A1821" s="92">
        <v>9089</v>
      </c>
      <c r="B1821" s="92">
        <v>9090</v>
      </c>
      <c r="E1821" s="92">
        <v>50</v>
      </c>
      <c r="F1821" s="92">
        <f>_xlfn.XLOOKUP(B1821, DATA_Moresby_2024_ALL!B:B, DATA_Moresby_2024_ALL!G:G, "")</f>
        <v>0</v>
      </c>
      <c r="G1821" s="93"/>
      <c r="H1821" s="92">
        <v>6</v>
      </c>
      <c r="I1821" s="92" t="str">
        <f t="shared" si="96"/>
        <v>X</v>
      </c>
      <c r="J1821" s="79" t="str">
        <f>IF(G1821="","X",_xlfn.XLOOKUP(B1821,DATA_Moresby_2024_ALL!B:B,DATA_Moresby_2024_ALL!K:K,""))</f>
        <v>X</v>
      </c>
      <c r="K1821" s="28"/>
      <c r="L1821" s="29"/>
      <c r="M1821" s="28"/>
      <c r="N1821" s="19" t="str">
        <f t="shared" si="95"/>
        <v/>
      </c>
      <c r="O1821" s="19" t="str">
        <f t="shared" si="95"/>
        <v/>
      </c>
      <c r="P1821" s="19" t="str">
        <f t="shared" si="95"/>
        <v/>
      </c>
      <c r="Q1821" s="19" t="str">
        <f t="shared" si="95"/>
        <v/>
      </c>
      <c r="X1821" s="92" t="s">
        <v>78</v>
      </c>
      <c r="Y1821" s="92" t="s">
        <v>78</v>
      </c>
      <c r="Z1821" s="92" t="s">
        <v>78</v>
      </c>
    </row>
    <row r="1822" spans="1:26" ht="16" hidden="1" x14ac:dyDescent="0.4">
      <c r="A1822" s="92">
        <v>9094</v>
      </c>
      <c r="B1822" s="92">
        <v>9095</v>
      </c>
      <c r="E1822" s="92">
        <v>50</v>
      </c>
      <c r="F1822" s="92">
        <f>_xlfn.XLOOKUP(B1822, DATA_Moresby_2024_ALL!B:B, DATA_Moresby_2024_ALL!G:G, "")</f>
        <v>0</v>
      </c>
      <c r="G1822" s="93"/>
      <c r="H1822" s="92">
        <v>6</v>
      </c>
      <c r="I1822" s="92" t="str">
        <f t="shared" si="96"/>
        <v>X</v>
      </c>
      <c r="J1822" s="79" t="str">
        <f>IF(G1822="","X",_xlfn.XLOOKUP(B1822,DATA_Moresby_2024_ALL!B:B,DATA_Moresby_2024_ALL!K:K,""))</f>
        <v>X</v>
      </c>
      <c r="K1822" s="28"/>
      <c r="L1822" s="29"/>
      <c r="M1822" s="28"/>
      <c r="N1822" s="19" t="str">
        <f t="shared" ref="N1822:Q1885" si="97">IF($J1822=1,4,"")</f>
        <v/>
      </c>
      <c r="O1822" s="19" t="str">
        <f t="shared" si="97"/>
        <v/>
      </c>
      <c r="P1822" s="19" t="str">
        <f t="shared" si="97"/>
        <v/>
      </c>
      <c r="Q1822" s="19" t="str">
        <f t="shared" si="97"/>
        <v/>
      </c>
      <c r="X1822" s="92" t="s">
        <v>78</v>
      </c>
      <c r="Y1822" s="92" t="s">
        <v>78</v>
      </c>
      <c r="Z1822" s="92" t="s">
        <v>78</v>
      </c>
    </row>
    <row r="1823" spans="1:26" ht="16" hidden="1" x14ac:dyDescent="0.4">
      <c r="A1823" s="92">
        <v>9099</v>
      </c>
      <c r="B1823" s="92">
        <v>9100</v>
      </c>
      <c r="E1823" s="92">
        <v>50</v>
      </c>
      <c r="F1823" s="92">
        <f>_xlfn.XLOOKUP(B1823, DATA_Moresby_2024_ALL!B:B, DATA_Moresby_2024_ALL!G:G, "")</f>
        <v>0</v>
      </c>
      <c r="G1823" s="93"/>
      <c r="H1823" s="92">
        <v>6</v>
      </c>
      <c r="I1823" s="92" t="str">
        <f t="shared" si="96"/>
        <v>X</v>
      </c>
      <c r="J1823" s="79" t="str">
        <f>IF(G1823="","X",_xlfn.XLOOKUP(B1823,DATA_Moresby_2024_ALL!B:B,DATA_Moresby_2024_ALL!K:K,""))</f>
        <v>X</v>
      </c>
      <c r="K1823" s="28"/>
      <c r="L1823" s="29"/>
      <c r="M1823" s="28"/>
      <c r="N1823" s="19" t="str">
        <f t="shared" si="97"/>
        <v/>
      </c>
      <c r="O1823" s="19" t="str">
        <f t="shared" si="97"/>
        <v/>
      </c>
      <c r="P1823" s="19" t="str">
        <f t="shared" si="97"/>
        <v/>
      </c>
      <c r="Q1823" s="19" t="str">
        <f t="shared" si="97"/>
        <v/>
      </c>
      <c r="X1823" s="92" t="s">
        <v>78</v>
      </c>
      <c r="Y1823" s="92" t="s">
        <v>78</v>
      </c>
      <c r="Z1823" s="92" t="s">
        <v>78</v>
      </c>
    </row>
    <row r="1824" spans="1:26" ht="16" hidden="1" x14ac:dyDescent="0.4">
      <c r="A1824" s="92">
        <v>9104</v>
      </c>
      <c r="B1824" s="92">
        <v>9105</v>
      </c>
      <c r="E1824" s="92">
        <v>50</v>
      </c>
      <c r="F1824" s="92">
        <f>_xlfn.XLOOKUP(B1824, DATA_Moresby_2024_ALL!B:B, DATA_Moresby_2024_ALL!G:G, "")</f>
        <v>0</v>
      </c>
      <c r="G1824" s="93"/>
      <c r="H1824" s="92">
        <v>6</v>
      </c>
      <c r="I1824" s="92" t="str">
        <f t="shared" si="96"/>
        <v>X</v>
      </c>
      <c r="J1824" s="79" t="str">
        <f>IF(G1824="","X",_xlfn.XLOOKUP(B1824,DATA_Moresby_2024_ALL!B:B,DATA_Moresby_2024_ALL!K:K,""))</f>
        <v>X</v>
      </c>
      <c r="K1824" s="28"/>
      <c r="L1824" s="29"/>
      <c r="M1824" s="28"/>
      <c r="N1824" s="19" t="str">
        <f t="shared" si="97"/>
        <v/>
      </c>
      <c r="O1824" s="19" t="str">
        <f t="shared" si="97"/>
        <v/>
      </c>
      <c r="P1824" s="19" t="str">
        <f t="shared" si="97"/>
        <v/>
      </c>
      <c r="Q1824" s="19" t="str">
        <f t="shared" si="97"/>
        <v/>
      </c>
      <c r="X1824" s="92" t="s">
        <v>78</v>
      </c>
      <c r="Y1824" s="92" t="s">
        <v>78</v>
      </c>
      <c r="Z1824" s="92" t="s">
        <v>78</v>
      </c>
    </row>
    <row r="1825" spans="1:26" ht="16" hidden="1" x14ac:dyDescent="0.4">
      <c r="A1825" s="92">
        <v>9109</v>
      </c>
      <c r="B1825" s="92">
        <v>9110</v>
      </c>
      <c r="E1825" s="92">
        <v>50</v>
      </c>
      <c r="F1825" s="92">
        <f>_xlfn.XLOOKUP(B1825, DATA_Moresby_2024_ALL!B:B, DATA_Moresby_2024_ALL!G:G, "")</f>
        <v>0</v>
      </c>
      <c r="G1825" s="93"/>
      <c r="H1825" s="92">
        <v>6</v>
      </c>
      <c r="I1825" s="92" t="str">
        <f t="shared" si="96"/>
        <v>X</v>
      </c>
      <c r="J1825" s="79" t="str">
        <f>IF(G1825="","X",_xlfn.XLOOKUP(B1825,DATA_Moresby_2024_ALL!B:B,DATA_Moresby_2024_ALL!K:K,""))</f>
        <v>X</v>
      </c>
      <c r="K1825" s="28"/>
      <c r="L1825" s="29"/>
      <c r="M1825" s="28"/>
      <c r="N1825" s="19" t="str">
        <f t="shared" si="97"/>
        <v/>
      </c>
      <c r="O1825" s="19" t="str">
        <f t="shared" si="97"/>
        <v/>
      </c>
      <c r="P1825" s="19" t="str">
        <f t="shared" si="97"/>
        <v/>
      </c>
      <c r="Q1825" s="19" t="str">
        <f t="shared" si="97"/>
        <v/>
      </c>
      <c r="X1825" s="92" t="s">
        <v>78</v>
      </c>
      <c r="Y1825" s="92" t="s">
        <v>78</v>
      </c>
      <c r="Z1825" s="92" t="s">
        <v>78</v>
      </c>
    </row>
    <row r="1826" spans="1:26" ht="16" hidden="1" x14ac:dyDescent="0.4">
      <c r="A1826" s="92">
        <v>9114</v>
      </c>
      <c r="B1826" s="92">
        <v>9115</v>
      </c>
      <c r="E1826" s="92">
        <v>50</v>
      </c>
      <c r="F1826" s="92">
        <f>_xlfn.XLOOKUP(B1826, DATA_Moresby_2024_ALL!B:B, DATA_Moresby_2024_ALL!G:G, "")</f>
        <v>0</v>
      </c>
      <c r="G1826" s="93"/>
      <c r="H1826" s="92">
        <v>6</v>
      </c>
      <c r="I1826" s="92" t="str">
        <f t="shared" si="96"/>
        <v>X</v>
      </c>
      <c r="J1826" s="79" t="str">
        <f>IF(G1826="","X",_xlfn.XLOOKUP(B1826,DATA_Moresby_2024_ALL!B:B,DATA_Moresby_2024_ALL!K:K,""))</f>
        <v>X</v>
      </c>
      <c r="K1826" s="28"/>
      <c r="L1826" s="29"/>
      <c r="M1826" s="28"/>
      <c r="N1826" s="19" t="str">
        <f t="shared" si="97"/>
        <v/>
      </c>
      <c r="O1826" s="19" t="str">
        <f t="shared" si="97"/>
        <v/>
      </c>
      <c r="P1826" s="19" t="str">
        <f t="shared" si="97"/>
        <v/>
      </c>
      <c r="Q1826" s="19" t="str">
        <f t="shared" si="97"/>
        <v/>
      </c>
      <c r="X1826" s="92" t="s">
        <v>78</v>
      </c>
      <c r="Y1826" s="92" t="s">
        <v>78</v>
      </c>
      <c r="Z1826" s="92" t="s">
        <v>78</v>
      </c>
    </row>
    <row r="1827" spans="1:26" ht="16" hidden="1" x14ac:dyDescent="0.4">
      <c r="A1827" s="92">
        <v>9119</v>
      </c>
      <c r="B1827" s="92">
        <v>9120</v>
      </c>
      <c r="E1827" s="92">
        <v>50</v>
      </c>
      <c r="F1827" s="92">
        <f>_xlfn.XLOOKUP(B1827, DATA_Moresby_2024_ALL!B:B, DATA_Moresby_2024_ALL!G:G, "")</f>
        <v>0</v>
      </c>
      <c r="G1827" s="93"/>
      <c r="H1827" s="92">
        <v>6</v>
      </c>
      <c r="I1827" s="92" t="str">
        <f t="shared" si="96"/>
        <v>X</v>
      </c>
      <c r="J1827" s="79" t="str">
        <f>IF(G1827="","X",_xlfn.XLOOKUP(B1827,DATA_Moresby_2024_ALL!B:B,DATA_Moresby_2024_ALL!K:K,""))</f>
        <v>X</v>
      </c>
      <c r="K1827" s="28"/>
      <c r="L1827" s="29"/>
      <c r="M1827" s="28"/>
      <c r="N1827" s="19" t="str">
        <f t="shared" si="97"/>
        <v/>
      </c>
      <c r="O1827" s="19" t="str">
        <f t="shared" si="97"/>
        <v/>
      </c>
      <c r="P1827" s="19" t="str">
        <f t="shared" si="97"/>
        <v/>
      </c>
      <c r="Q1827" s="19" t="str">
        <f t="shared" si="97"/>
        <v/>
      </c>
      <c r="X1827" s="92" t="s">
        <v>78</v>
      </c>
      <c r="Y1827" s="92" t="s">
        <v>78</v>
      </c>
      <c r="Z1827" s="92" t="s">
        <v>78</v>
      </c>
    </row>
    <row r="1828" spans="1:26" ht="16" hidden="1" x14ac:dyDescent="0.4">
      <c r="A1828" s="92">
        <v>9124</v>
      </c>
      <c r="B1828" s="92">
        <v>9125</v>
      </c>
      <c r="E1828" s="92">
        <v>50</v>
      </c>
      <c r="F1828" s="92">
        <f>_xlfn.XLOOKUP(B1828, DATA_Moresby_2024_ALL!B:B, DATA_Moresby_2024_ALL!G:G, "")</f>
        <v>0</v>
      </c>
      <c r="G1828" s="93"/>
      <c r="H1828" s="92">
        <v>6</v>
      </c>
      <c r="I1828" s="92" t="str">
        <f t="shared" si="96"/>
        <v>X</v>
      </c>
      <c r="J1828" s="79" t="str">
        <f>IF(G1828="","X",_xlfn.XLOOKUP(B1828,DATA_Moresby_2024_ALL!B:B,DATA_Moresby_2024_ALL!K:K,""))</f>
        <v>X</v>
      </c>
      <c r="K1828" s="28"/>
      <c r="L1828" s="29"/>
      <c r="M1828" s="28"/>
      <c r="N1828" s="19" t="str">
        <f t="shared" si="97"/>
        <v/>
      </c>
      <c r="O1828" s="19" t="str">
        <f t="shared" si="97"/>
        <v/>
      </c>
      <c r="P1828" s="19" t="str">
        <f t="shared" si="97"/>
        <v/>
      </c>
      <c r="Q1828" s="19" t="str">
        <f t="shared" si="97"/>
        <v/>
      </c>
      <c r="X1828" s="92" t="s">
        <v>78</v>
      </c>
      <c r="Y1828" s="92" t="s">
        <v>78</v>
      </c>
      <c r="Z1828" s="92" t="s">
        <v>78</v>
      </c>
    </row>
    <row r="1829" spans="1:26" ht="16" hidden="1" x14ac:dyDescent="0.4">
      <c r="A1829" s="92">
        <v>9129</v>
      </c>
      <c r="B1829" s="92">
        <v>9130</v>
      </c>
      <c r="E1829" s="92">
        <v>50</v>
      </c>
      <c r="F1829" s="92">
        <f>_xlfn.XLOOKUP(B1829, DATA_Moresby_2024_ALL!B:B, DATA_Moresby_2024_ALL!G:G, "")</f>
        <v>0</v>
      </c>
      <c r="G1829" s="93"/>
      <c r="H1829" s="92">
        <v>6</v>
      </c>
      <c r="I1829" s="92" t="str">
        <f t="shared" si="96"/>
        <v>X</v>
      </c>
      <c r="J1829" s="79" t="str">
        <f>IF(G1829="","X",_xlfn.XLOOKUP(B1829,DATA_Moresby_2024_ALL!B:B,DATA_Moresby_2024_ALL!K:K,""))</f>
        <v>X</v>
      </c>
      <c r="K1829" s="28"/>
      <c r="L1829" s="29"/>
      <c r="M1829" s="28"/>
      <c r="N1829" s="19" t="str">
        <f t="shared" si="97"/>
        <v/>
      </c>
      <c r="O1829" s="19" t="str">
        <f t="shared" si="97"/>
        <v/>
      </c>
      <c r="P1829" s="19" t="str">
        <f t="shared" si="97"/>
        <v/>
      </c>
      <c r="Q1829" s="19" t="str">
        <f t="shared" si="97"/>
        <v/>
      </c>
      <c r="X1829" s="92" t="s">
        <v>78</v>
      </c>
      <c r="Y1829" s="92" t="s">
        <v>78</v>
      </c>
      <c r="Z1829" s="92" t="s">
        <v>78</v>
      </c>
    </row>
    <row r="1830" spans="1:26" ht="16" hidden="1" x14ac:dyDescent="0.4">
      <c r="A1830" s="92">
        <v>9134</v>
      </c>
      <c r="B1830" s="92">
        <v>9135</v>
      </c>
      <c r="E1830" s="92">
        <v>50</v>
      </c>
      <c r="F1830" s="92">
        <f>_xlfn.XLOOKUP(B1830, DATA_Moresby_2024_ALL!B:B, DATA_Moresby_2024_ALL!G:G, "")</f>
        <v>0</v>
      </c>
      <c r="G1830" s="93"/>
      <c r="H1830" s="92">
        <v>6</v>
      </c>
      <c r="I1830" s="92" t="str">
        <f t="shared" si="96"/>
        <v>X</v>
      </c>
      <c r="J1830" s="79" t="str">
        <f>IF(G1830="","X",_xlfn.XLOOKUP(B1830,DATA_Moresby_2024_ALL!B:B,DATA_Moresby_2024_ALL!K:K,""))</f>
        <v>X</v>
      </c>
      <c r="K1830" s="28"/>
      <c r="L1830" s="29"/>
      <c r="M1830" s="28"/>
      <c r="N1830" s="19" t="str">
        <f t="shared" si="97"/>
        <v/>
      </c>
      <c r="O1830" s="19" t="str">
        <f t="shared" si="97"/>
        <v/>
      </c>
      <c r="P1830" s="19" t="str">
        <f t="shared" si="97"/>
        <v/>
      </c>
      <c r="Q1830" s="19" t="str">
        <f t="shared" si="97"/>
        <v/>
      </c>
      <c r="X1830" s="92" t="s">
        <v>78</v>
      </c>
      <c r="Y1830" s="92" t="s">
        <v>78</v>
      </c>
      <c r="Z1830" s="92" t="s">
        <v>78</v>
      </c>
    </row>
    <row r="1831" spans="1:26" ht="16" hidden="1" x14ac:dyDescent="0.4">
      <c r="A1831" s="92">
        <v>9139</v>
      </c>
      <c r="B1831" s="92">
        <v>9140</v>
      </c>
      <c r="E1831" s="92">
        <v>50</v>
      </c>
      <c r="F1831" s="92">
        <f>_xlfn.XLOOKUP(B1831, DATA_Moresby_2024_ALL!B:B, DATA_Moresby_2024_ALL!G:G, "")</f>
        <v>0</v>
      </c>
      <c r="G1831" s="93"/>
      <c r="H1831" s="92">
        <v>6</v>
      </c>
      <c r="I1831" s="92" t="str">
        <f t="shared" si="96"/>
        <v>X</v>
      </c>
      <c r="J1831" s="79" t="str">
        <f>IF(G1831="","X",_xlfn.XLOOKUP(B1831,DATA_Moresby_2024_ALL!B:B,DATA_Moresby_2024_ALL!K:K,""))</f>
        <v>X</v>
      </c>
      <c r="K1831" s="28"/>
      <c r="L1831" s="29"/>
      <c r="M1831" s="28"/>
      <c r="N1831" s="19" t="str">
        <f t="shared" si="97"/>
        <v/>
      </c>
      <c r="O1831" s="19" t="str">
        <f t="shared" si="97"/>
        <v/>
      </c>
      <c r="P1831" s="19" t="str">
        <f t="shared" si="97"/>
        <v/>
      </c>
      <c r="Q1831" s="19" t="str">
        <f t="shared" si="97"/>
        <v/>
      </c>
      <c r="X1831" s="92" t="s">
        <v>78</v>
      </c>
      <c r="Y1831" s="92" t="s">
        <v>78</v>
      </c>
      <c r="Z1831" s="92" t="s">
        <v>78</v>
      </c>
    </row>
    <row r="1832" spans="1:26" ht="16" hidden="1" x14ac:dyDescent="0.4">
      <c r="A1832" s="92">
        <v>9144</v>
      </c>
      <c r="B1832" s="92">
        <v>9145</v>
      </c>
      <c r="E1832" s="92">
        <v>50</v>
      </c>
      <c r="F1832" s="92">
        <f>_xlfn.XLOOKUP(B1832, DATA_Moresby_2024_ALL!B:B, DATA_Moresby_2024_ALL!G:G, "")</f>
        <v>0</v>
      </c>
      <c r="G1832" s="93"/>
      <c r="H1832" s="92">
        <v>6</v>
      </c>
      <c r="I1832" s="92" t="str">
        <f t="shared" si="96"/>
        <v>X</v>
      </c>
      <c r="J1832" s="79" t="str">
        <f>IF(G1832="","X",_xlfn.XLOOKUP(B1832,DATA_Moresby_2024_ALL!B:B,DATA_Moresby_2024_ALL!K:K,""))</f>
        <v>X</v>
      </c>
      <c r="K1832" s="28"/>
      <c r="L1832" s="29"/>
      <c r="M1832" s="28"/>
      <c r="N1832" s="19" t="str">
        <f t="shared" si="97"/>
        <v/>
      </c>
      <c r="O1832" s="19" t="str">
        <f t="shared" si="97"/>
        <v/>
      </c>
      <c r="P1832" s="19" t="str">
        <f t="shared" si="97"/>
        <v/>
      </c>
      <c r="Q1832" s="19" t="str">
        <f t="shared" si="97"/>
        <v/>
      </c>
      <c r="X1832" s="92" t="s">
        <v>78</v>
      </c>
      <c r="Y1832" s="92" t="s">
        <v>78</v>
      </c>
      <c r="Z1832" s="92" t="s">
        <v>78</v>
      </c>
    </row>
    <row r="1833" spans="1:26" ht="16" hidden="1" x14ac:dyDescent="0.4">
      <c r="A1833" s="92">
        <v>9149</v>
      </c>
      <c r="B1833" s="92">
        <v>9150</v>
      </c>
      <c r="E1833" s="92">
        <v>50</v>
      </c>
      <c r="F1833" s="92">
        <f>_xlfn.XLOOKUP(B1833, DATA_Moresby_2024_ALL!B:B, DATA_Moresby_2024_ALL!G:G, "")</f>
        <v>0</v>
      </c>
      <c r="G1833" s="93"/>
      <c r="H1833" s="92">
        <v>6</v>
      </c>
      <c r="I1833" s="92" t="str">
        <f t="shared" si="96"/>
        <v>X</v>
      </c>
      <c r="J1833" s="79" t="str">
        <f>IF(G1833="","X",_xlfn.XLOOKUP(B1833,DATA_Moresby_2024_ALL!B:B,DATA_Moresby_2024_ALL!K:K,""))</f>
        <v>X</v>
      </c>
      <c r="K1833" s="28"/>
      <c r="L1833" s="29"/>
      <c r="M1833" s="28"/>
      <c r="N1833" s="19" t="str">
        <f t="shared" si="97"/>
        <v/>
      </c>
      <c r="O1833" s="19" t="str">
        <f t="shared" si="97"/>
        <v/>
      </c>
      <c r="P1833" s="19" t="str">
        <f t="shared" si="97"/>
        <v/>
      </c>
      <c r="Q1833" s="19" t="str">
        <f t="shared" si="97"/>
        <v/>
      </c>
      <c r="X1833" s="92" t="s">
        <v>78</v>
      </c>
      <c r="Y1833" s="92" t="s">
        <v>78</v>
      </c>
      <c r="Z1833" s="92" t="s">
        <v>78</v>
      </c>
    </row>
    <row r="1834" spans="1:26" ht="16" hidden="1" x14ac:dyDescent="0.4">
      <c r="A1834" s="92">
        <v>9154</v>
      </c>
      <c r="B1834" s="92">
        <v>9155</v>
      </c>
      <c r="E1834" s="92">
        <v>50</v>
      </c>
      <c r="F1834" s="92">
        <f>_xlfn.XLOOKUP(B1834, DATA_Moresby_2024_ALL!B:B, DATA_Moresby_2024_ALL!G:G, "")</f>
        <v>0</v>
      </c>
      <c r="G1834" s="93"/>
      <c r="H1834" s="92">
        <v>6</v>
      </c>
      <c r="I1834" s="92" t="str">
        <f t="shared" si="96"/>
        <v>X</v>
      </c>
      <c r="J1834" s="79" t="str">
        <f>IF(G1834="","X",_xlfn.XLOOKUP(B1834,DATA_Moresby_2024_ALL!B:B,DATA_Moresby_2024_ALL!K:K,""))</f>
        <v>X</v>
      </c>
      <c r="K1834" s="28"/>
      <c r="L1834" s="29"/>
      <c r="M1834" s="28"/>
      <c r="N1834" s="19" t="str">
        <f t="shared" si="97"/>
        <v/>
      </c>
      <c r="O1834" s="19" t="str">
        <f t="shared" si="97"/>
        <v/>
      </c>
      <c r="P1834" s="19" t="str">
        <f t="shared" si="97"/>
        <v/>
      </c>
      <c r="Q1834" s="19" t="str">
        <f t="shared" si="97"/>
        <v/>
      </c>
      <c r="X1834" s="92" t="s">
        <v>78</v>
      </c>
      <c r="Y1834" s="92" t="s">
        <v>78</v>
      </c>
      <c r="Z1834" s="92" t="s">
        <v>78</v>
      </c>
    </row>
    <row r="1835" spans="1:26" ht="16" hidden="1" x14ac:dyDescent="0.4">
      <c r="A1835" s="92">
        <v>9159</v>
      </c>
      <c r="B1835" s="92">
        <v>9160</v>
      </c>
      <c r="E1835" s="92">
        <v>50</v>
      </c>
      <c r="F1835" s="92">
        <f>_xlfn.XLOOKUP(B1835, DATA_Moresby_2024_ALL!B:B, DATA_Moresby_2024_ALL!G:G, "")</f>
        <v>0</v>
      </c>
      <c r="G1835" s="93"/>
      <c r="H1835" s="92">
        <v>6</v>
      </c>
      <c r="I1835" s="92" t="str">
        <f t="shared" si="96"/>
        <v>X</v>
      </c>
      <c r="J1835" s="79" t="str">
        <f>IF(G1835="","X",_xlfn.XLOOKUP(B1835,DATA_Moresby_2024_ALL!B:B,DATA_Moresby_2024_ALL!K:K,""))</f>
        <v>X</v>
      </c>
      <c r="K1835" s="28"/>
      <c r="L1835" s="29"/>
      <c r="M1835" s="28"/>
      <c r="N1835" s="19" t="str">
        <f t="shared" si="97"/>
        <v/>
      </c>
      <c r="O1835" s="19" t="str">
        <f t="shared" si="97"/>
        <v/>
      </c>
      <c r="P1835" s="19" t="str">
        <f t="shared" si="97"/>
        <v/>
      </c>
      <c r="Q1835" s="19" t="str">
        <f t="shared" si="97"/>
        <v/>
      </c>
      <c r="X1835" s="92" t="s">
        <v>78</v>
      </c>
      <c r="Y1835" s="92" t="s">
        <v>78</v>
      </c>
      <c r="Z1835" s="92" t="s">
        <v>78</v>
      </c>
    </row>
    <row r="1836" spans="1:26" ht="16" hidden="1" x14ac:dyDescent="0.4">
      <c r="A1836" s="92">
        <v>9164</v>
      </c>
      <c r="B1836" s="92">
        <v>9165</v>
      </c>
      <c r="E1836" s="92">
        <v>50</v>
      </c>
      <c r="F1836" s="92">
        <f>_xlfn.XLOOKUP(B1836, DATA_Moresby_2024_ALL!B:B, DATA_Moresby_2024_ALL!G:G, "")</f>
        <v>0</v>
      </c>
      <c r="G1836" s="93"/>
      <c r="H1836" s="92">
        <v>6</v>
      </c>
      <c r="I1836" s="92" t="str">
        <f t="shared" si="96"/>
        <v>X</v>
      </c>
      <c r="J1836" s="79" t="str">
        <f>IF(G1836="","X",_xlfn.XLOOKUP(B1836,DATA_Moresby_2024_ALL!B:B,DATA_Moresby_2024_ALL!K:K,""))</f>
        <v>X</v>
      </c>
      <c r="K1836" s="28"/>
      <c r="L1836" s="29"/>
      <c r="M1836" s="28"/>
      <c r="N1836" s="19" t="str">
        <f t="shared" si="97"/>
        <v/>
      </c>
      <c r="O1836" s="19" t="str">
        <f t="shared" si="97"/>
        <v/>
      </c>
      <c r="P1836" s="19" t="str">
        <f t="shared" si="97"/>
        <v/>
      </c>
      <c r="Q1836" s="19" t="str">
        <f t="shared" si="97"/>
        <v/>
      </c>
      <c r="X1836" s="92" t="s">
        <v>78</v>
      </c>
      <c r="Y1836" s="92" t="s">
        <v>78</v>
      </c>
      <c r="Z1836" s="92" t="s">
        <v>78</v>
      </c>
    </row>
    <row r="1837" spans="1:26" ht="16" hidden="1" x14ac:dyDescent="0.4">
      <c r="A1837" s="92">
        <v>9169</v>
      </c>
      <c r="B1837" s="92">
        <v>9170</v>
      </c>
      <c r="E1837" s="92">
        <v>50</v>
      </c>
      <c r="F1837" s="92">
        <f>_xlfn.XLOOKUP(B1837, DATA_Moresby_2024_ALL!B:B, DATA_Moresby_2024_ALL!G:G, "")</f>
        <v>0</v>
      </c>
      <c r="G1837" s="93"/>
      <c r="H1837" s="92">
        <v>6</v>
      </c>
      <c r="I1837" s="92" t="str">
        <f t="shared" si="96"/>
        <v>X</v>
      </c>
      <c r="J1837" s="79" t="str">
        <f>IF(G1837="","X",_xlfn.XLOOKUP(B1837,DATA_Moresby_2024_ALL!B:B,DATA_Moresby_2024_ALL!K:K,""))</f>
        <v>X</v>
      </c>
      <c r="K1837" s="28"/>
      <c r="L1837" s="29"/>
      <c r="M1837" s="28"/>
      <c r="N1837" s="19" t="str">
        <f t="shared" si="97"/>
        <v/>
      </c>
      <c r="O1837" s="19" t="str">
        <f t="shared" si="97"/>
        <v/>
      </c>
      <c r="P1837" s="19" t="str">
        <f t="shared" si="97"/>
        <v/>
      </c>
      <c r="Q1837" s="19" t="str">
        <f t="shared" si="97"/>
        <v/>
      </c>
      <c r="X1837" s="92" t="s">
        <v>78</v>
      </c>
      <c r="Y1837" s="92" t="s">
        <v>78</v>
      </c>
      <c r="Z1837" s="92" t="s">
        <v>78</v>
      </c>
    </row>
    <row r="1838" spans="1:26" ht="16" hidden="1" x14ac:dyDescent="0.4">
      <c r="A1838" s="92">
        <v>9174</v>
      </c>
      <c r="B1838" s="92">
        <v>9175</v>
      </c>
      <c r="E1838" s="92">
        <v>50</v>
      </c>
      <c r="F1838" s="92">
        <f>_xlfn.XLOOKUP(B1838, DATA_Moresby_2024_ALL!B:B, DATA_Moresby_2024_ALL!G:G, "")</f>
        <v>0</v>
      </c>
      <c r="G1838" s="93"/>
      <c r="H1838" s="92">
        <v>6</v>
      </c>
      <c r="I1838" s="92" t="str">
        <f t="shared" si="96"/>
        <v>X</v>
      </c>
      <c r="J1838" s="79" t="str">
        <f>IF(G1838="","X",_xlfn.XLOOKUP(B1838,DATA_Moresby_2024_ALL!B:B,DATA_Moresby_2024_ALL!K:K,""))</f>
        <v>X</v>
      </c>
      <c r="K1838" s="28"/>
      <c r="L1838" s="29"/>
      <c r="M1838" s="28"/>
      <c r="N1838" s="19" t="str">
        <f t="shared" si="97"/>
        <v/>
      </c>
      <c r="O1838" s="19" t="str">
        <f t="shared" si="97"/>
        <v/>
      </c>
      <c r="P1838" s="19" t="str">
        <f t="shared" si="97"/>
        <v/>
      </c>
      <c r="Q1838" s="19" t="str">
        <f t="shared" si="97"/>
        <v/>
      </c>
      <c r="X1838" s="92" t="s">
        <v>78</v>
      </c>
      <c r="Y1838" s="92" t="s">
        <v>78</v>
      </c>
      <c r="Z1838" s="92" t="s">
        <v>78</v>
      </c>
    </row>
    <row r="1839" spans="1:26" ht="16" hidden="1" x14ac:dyDescent="0.4">
      <c r="A1839" s="92">
        <v>9179</v>
      </c>
      <c r="B1839" s="92">
        <v>9180</v>
      </c>
      <c r="E1839" s="92">
        <v>50</v>
      </c>
      <c r="F1839" s="92">
        <f>_xlfn.XLOOKUP(B1839, DATA_Moresby_2024_ALL!B:B, DATA_Moresby_2024_ALL!G:G, "")</f>
        <v>0</v>
      </c>
      <c r="G1839" s="93"/>
      <c r="H1839" s="92">
        <v>6</v>
      </c>
      <c r="I1839" s="92" t="str">
        <f t="shared" si="96"/>
        <v>X</v>
      </c>
      <c r="J1839" s="79" t="str">
        <f>IF(G1839="","X",_xlfn.XLOOKUP(B1839,DATA_Moresby_2024_ALL!B:B,DATA_Moresby_2024_ALL!K:K,""))</f>
        <v>X</v>
      </c>
      <c r="K1839" s="28"/>
      <c r="L1839" s="29"/>
      <c r="M1839" s="28"/>
      <c r="N1839" s="19" t="str">
        <f t="shared" si="97"/>
        <v/>
      </c>
      <c r="O1839" s="19" t="str">
        <f t="shared" si="97"/>
        <v/>
      </c>
      <c r="P1839" s="19" t="str">
        <f t="shared" si="97"/>
        <v/>
      </c>
      <c r="Q1839" s="19" t="str">
        <f t="shared" si="97"/>
        <v/>
      </c>
      <c r="X1839" s="92" t="s">
        <v>78</v>
      </c>
      <c r="Y1839" s="92" t="s">
        <v>78</v>
      </c>
      <c r="Z1839" s="92" t="s">
        <v>78</v>
      </c>
    </row>
    <row r="1840" spans="1:26" ht="16" hidden="1" x14ac:dyDescent="0.4">
      <c r="A1840" s="92">
        <v>9184</v>
      </c>
      <c r="B1840" s="92">
        <v>9185</v>
      </c>
      <c r="E1840" s="92">
        <v>50</v>
      </c>
      <c r="F1840" s="92">
        <f>_xlfn.XLOOKUP(B1840, DATA_Moresby_2024_ALL!B:B, DATA_Moresby_2024_ALL!G:G, "")</f>
        <v>0</v>
      </c>
      <c r="G1840" s="93"/>
      <c r="H1840" s="92">
        <v>6</v>
      </c>
      <c r="I1840" s="92" t="str">
        <f t="shared" si="96"/>
        <v>X</v>
      </c>
      <c r="J1840" s="79" t="str">
        <f>IF(G1840="","X",_xlfn.XLOOKUP(B1840,DATA_Moresby_2024_ALL!B:B,DATA_Moresby_2024_ALL!K:K,""))</f>
        <v>X</v>
      </c>
      <c r="K1840" s="28"/>
      <c r="L1840" s="29"/>
      <c r="M1840" s="28"/>
      <c r="N1840" s="19" t="str">
        <f t="shared" si="97"/>
        <v/>
      </c>
      <c r="O1840" s="19" t="str">
        <f t="shared" si="97"/>
        <v/>
      </c>
      <c r="P1840" s="19" t="str">
        <f t="shared" si="97"/>
        <v/>
      </c>
      <c r="Q1840" s="19" t="str">
        <f t="shared" si="97"/>
        <v/>
      </c>
      <c r="X1840" s="92" t="s">
        <v>78</v>
      </c>
      <c r="Y1840" s="92" t="s">
        <v>78</v>
      </c>
      <c r="Z1840" s="92" t="s">
        <v>78</v>
      </c>
    </row>
    <row r="1841" spans="1:26" ht="16" hidden="1" x14ac:dyDescent="0.4">
      <c r="A1841" s="92">
        <v>9189</v>
      </c>
      <c r="B1841" s="92">
        <v>9190</v>
      </c>
      <c r="E1841" s="92">
        <v>50</v>
      </c>
      <c r="F1841" s="92">
        <f>_xlfn.XLOOKUP(B1841, DATA_Moresby_2024_ALL!B:B, DATA_Moresby_2024_ALL!G:G, "")</f>
        <v>0</v>
      </c>
      <c r="G1841" s="93"/>
      <c r="H1841" s="92">
        <v>6</v>
      </c>
      <c r="I1841" s="92" t="str">
        <f t="shared" si="96"/>
        <v>X</v>
      </c>
      <c r="J1841" s="79" t="str">
        <f>IF(G1841="","X",_xlfn.XLOOKUP(B1841,DATA_Moresby_2024_ALL!B:B,DATA_Moresby_2024_ALL!K:K,""))</f>
        <v>X</v>
      </c>
      <c r="K1841" s="28"/>
      <c r="L1841" s="29"/>
      <c r="M1841" s="28"/>
      <c r="N1841" s="19" t="str">
        <f t="shared" si="97"/>
        <v/>
      </c>
      <c r="O1841" s="19" t="str">
        <f t="shared" si="97"/>
        <v/>
      </c>
      <c r="P1841" s="19" t="str">
        <f t="shared" si="97"/>
        <v/>
      </c>
      <c r="Q1841" s="19" t="str">
        <f t="shared" si="97"/>
        <v/>
      </c>
      <c r="X1841" s="92" t="s">
        <v>78</v>
      </c>
      <c r="Y1841" s="92" t="s">
        <v>78</v>
      </c>
      <c r="Z1841" s="92" t="s">
        <v>78</v>
      </c>
    </row>
    <row r="1842" spans="1:26" ht="16" hidden="1" x14ac:dyDescent="0.4">
      <c r="A1842" s="92">
        <v>9194</v>
      </c>
      <c r="B1842" s="92">
        <v>9195</v>
      </c>
      <c r="E1842" s="92">
        <v>50</v>
      </c>
      <c r="F1842" s="92">
        <f>_xlfn.XLOOKUP(B1842, DATA_Moresby_2024_ALL!B:B, DATA_Moresby_2024_ALL!G:G, "")</f>
        <v>0</v>
      </c>
      <c r="G1842" s="93"/>
      <c r="H1842" s="92">
        <v>6</v>
      </c>
      <c r="I1842" s="92" t="str">
        <f t="shared" si="96"/>
        <v>X</v>
      </c>
      <c r="J1842" s="79" t="str">
        <f>IF(G1842="","X",_xlfn.XLOOKUP(B1842,DATA_Moresby_2024_ALL!B:B,DATA_Moresby_2024_ALL!K:K,""))</f>
        <v>X</v>
      </c>
      <c r="K1842" s="28"/>
      <c r="L1842" s="29"/>
      <c r="M1842" s="28"/>
      <c r="N1842" s="19" t="str">
        <f t="shared" si="97"/>
        <v/>
      </c>
      <c r="O1842" s="19" t="str">
        <f t="shared" si="97"/>
        <v/>
      </c>
      <c r="P1842" s="19" t="str">
        <f t="shared" si="97"/>
        <v/>
      </c>
      <c r="Q1842" s="19" t="str">
        <f t="shared" si="97"/>
        <v/>
      </c>
      <c r="X1842" s="92" t="s">
        <v>78</v>
      </c>
      <c r="Y1842" s="92" t="s">
        <v>78</v>
      </c>
      <c r="Z1842" s="92" t="s">
        <v>78</v>
      </c>
    </row>
    <row r="1843" spans="1:26" ht="16" hidden="1" x14ac:dyDescent="0.4">
      <c r="A1843" s="92">
        <v>9199</v>
      </c>
      <c r="B1843" s="92">
        <v>9200</v>
      </c>
      <c r="E1843" s="92">
        <v>50</v>
      </c>
      <c r="F1843" s="92">
        <f>_xlfn.XLOOKUP(B1843, DATA_Moresby_2024_ALL!B:B, DATA_Moresby_2024_ALL!G:G, "")</f>
        <v>0</v>
      </c>
      <c r="G1843" s="93"/>
      <c r="H1843" s="92">
        <v>6</v>
      </c>
      <c r="I1843" s="92" t="str">
        <f t="shared" si="96"/>
        <v>X</v>
      </c>
      <c r="J1843" s="79" t="str">
        <f>IF(G1843="","X",_xlfn.XLOOKUP(B1843,DATA_Moresby_2024_ALL!B:B,DATA_Moresby_2024_ALL!K:K,""))</f>
        <v>X</v>
      </c>
      <c r="K1843" s="28"/>
      <c r="L1843" s="29"/>
      <c r="M1843" s="28"/>
      <c r="N1843" s="19" t="str">
        <f t="shared" si="97"/>
        <v/>
      </c>
      <c r="O1843" s="19" t="str">
        <f t="shared" si="97"/>
        <v/>
      </c>
      <c r="P1843" s="19" t="str">
        <f t="shared" si="97"/>
        <v/>
      </c>
      <c r="Q1843" s="19" t="str">
        <f t="shared" si="97"/>
        <v/>
      </c>
      <c r="X1843" s="92" t="s">
        <v>78</v>
      </c>
      <c r="Y1843" s="92" t="s">
        <v>78</v>
      </c>
      <c r="Z1843" s="92" t="s">
        <v>78</v>
      </c>
    </row>
    <row r="1844" spans="1:26" ht="16" hidden="1" x14ac:dyDescent="0.4">
      <c r="A1844" s="92">
        <v>9204</v>
      </c>
      <c r="B1844" s="92">
        <v>9205</v>
      </c>
      <c r="E1844" s="92">
        <v>50</v>
      </c>
      <c r="F1844" s="92">
        <f>_xlfn.XLOOKUP(B1844, DATA_Moresby_2024_ALL!B:B, DATA_Moresby_2024_ALL!G:G, "")</f>
        <v>0</v>
      </c>
      <c r="G1844" s="93"/>
      <c r="H1844" s="92">
        <v>6</v>
      </c>
      <c r="I1844" s="92" t="str">
        <f t="shared" si="96"/>
        <v>X</v>
      </c>
      <c r="J1844" s="79" t="str">
        <f>IF(G1844="","X",_xlfn.XLOOKUP(B1844,DATA_Moresby_2024_ALL!B:B,DATA_Moresby_2024_ALL!K:K,""))</f>
        <v>X</v>
      </c>
      <c r="K1844" s="28"/>
      <c r="L1844" s="29"/>
      <c r="M1844" s="28"/>
      <c r="N1844" s="19" t="str">
        <f t="shared" si="97"/>
        <v/>
      </c>
      <c r="O1844" s="19" t="str">
        <f t="shared" si="97"/>
        <v/>
      </c>
      <c r="P1844" s="19" t="str">
        <f t="shared" si="97"/>
        <v/>
      </c>
      <c r="Q1844" s="19" t="str">
        <f t="shared" si="97"/>
        <v/>
      </c>
      <c r="X1844" s="92" t="s">
        <v>78</v>
      </c>
      <c r="Y1844" s="92" t="s">
        <v>78</v>
      </c>
      <c r="Z1844" s="92" t="s">
        <v>78</v>
      </c>
    </row>
    <row r="1845" spans="1:26" ht="16" hidden="1" x14ac:dyDescent="0.4">
      <c r="A1845" s="92">
        <v>9209</v>
      </c>
      <c r="B1845" s="92">
        <v>9210</v>
      </c>
      <c r="E1845" s="92">
        <v>50</v>
      </c>
      <c r="F1845" s="92">
        <f>_xlfn.XLOOKUP(B1845, DATA_Moresby_2024_ALL!B:B, DATA_Moresby_2024_ALL!G:G, "")</f>
        <v>0</v>
      </c>
      <c r="G1845" s="93"/>
      <c r="H1845" s="92">
        <v>6</v>
      </c>
      <c r="I1845" s="92" t="str">
        <f t="shared" si="96"/>
        <v>X</v>
      </c>
      <c r="J1845" s="79" t="str">
        <f>IF(G1845="","X",_xlfn.XLOOKUP(B1845,DATA_Moresby_2024_ALL!B:B,DATA_Moresby_2024_ALL!K:K,""))</f>
        <v>X</v>
      </c>
      <c r="K1845" s="28"/>
      <c r="L1845" s="29"/>
      <c r="M1845" s="28"/>
      <c r="N1845" s="19" t="str">
        <f t="shared" si="97"/>
        <v/>
      </c>
      <c r="O1845" s="19" t="str">
        <f t="shared" si="97"/>
        <v/>
      </c>
      <c r="P1845" s="19" t="str">
        <f t="shared" si="97"/>
        <v/>
      </c>
      <c r="Q1845" s="19" t="str">
        <f t="shared" si="97"/>
        <v/>
      </c>
      <c r="X1845" s="92" t="s">
        <v>78</v>
      </c>
      <c r="Y1845" s="92" t="s">
        <v>78</v>
      </c>
      <c r="Z1845" s="92" t="s">
        <v>78</v>
      </c>
    </row>
    <row r="1846" spans="1:26" ht="16" hidden="1" x14ac:dyDescent="0.4">
      <c r="A1846" s="92">
        <v>9214</v>
      </c>
      <c r="B1846" s="92">
        <v>9215</v>
      </c>
      <c r="E1846" s="92">
        <v>50</v>
      </c>
      <c r="F1846" s="92">
        <f>_xlfn.XLOOKUP(B1846, DATA_Moresby_2024_ALL!B:B, DATA_Moresby_2024_ALL!G:G, "")</f>
        <v>0</v>
      </c>
      <c r="G1846" s="93"/>
      <c r="H1846" s="92">
        <v>6</v>
      </c>
      <c r="I1846" s="92" t="str">
        <f t="shared" si="96"/>
        <v>X</v>
      </c>
      <c r="J1846" s="79" t="str">
        <f>IF(G1846="","X",_xlfn.XLOOKUP(B1846,DATA_Moresby_2024_ALL!B:B,DATA_Moresby_2024_ALL!K:K,""))</f>
        <v>X</v>
      </c>
      <c r="K1846" s="28"/>
      <c r="L1846" s="29"/>
      <c r="M1846" s="28"/>
      <c r="N1846" s="19" t="str">
        <f t="shared" si="97"/>
        <v/>
      </c>
      <c r="O1846" s="19" t="str">
        <f t="shared" si="97"/>
        <v/>
      </c>
      <c r="P1846" s="19" t="str">
        <f t="shared" si="97"/>
        <v/>
      </c>
      <c r="Q1846" s="19" t="str">
        <f t="shared" si="97"/>
        <v/>
      </c>
      <c r="X1846" s="92" t="s">
        <v>78</v>
      </c>
      <c r="Y1846" s="92" t="s">
        <v>78</v>
      </c>
      <c r="Z1846" s="92" t="s">
        <v>78</v>
      </c>
    </row>
    <row r="1847" spans="1:26" ht="16" hidden="1" x14ac:dyDescent="0.4">
      <c r="A1847" s="92">
        <v>9219</v>
      </c>
      <c r="B1847" s="92">
        <v>9220</v>
      </c>
      <c r="E1847" s="92">
        <v>50</v>
      </c>
      <c r="F1847" s="92">
        <f>_xlfn.XLOOKUP(B1847, DATA_Moresby_2024_ALL!B:B, DATA_Moresby_2024_ALL!G:G, "")</f>
        <v>0</v>
      </c>
      <c r="G1847" s="93"/>
      <c r="H1847" s="92">
        <v>6</v>
      </c>
      <c r="I1847" s="92" t="str">
        <f t="shared" si="96"/>
        <v>X</v>
      </c>
      <c r="J1847" s="79" t="str">
        <f>IF(G1847="","X",_xlfn.XLOOKUP(B1847,DATA_Moresby_2024_ALL!B:B,DATA_Moresby_2024_ALL!K:K,""))</f>
        <v>X</v>
      </c>
      <c r="K1847" s="28"/>
      <c r="L1847" s="29"/>
      <c r="M1847" s="28"/>
      <c r="N1847" s="19" t="str">
        <f t="shared" si="97"/>
        <v/>
      </c>
      <c r="O1847" s="19" t="str">
        <f t="shared" si="97"/>
        <v/>
      </c>
      <c r="P1847" s="19" t="str">
        <f t="shared" si="97"/>
        <v/>
      </c>
      <c r="Q1847" s="19" t="str">
        <f t="shared" si="97"/>
        <v/>
      </c>
      <c r="X1847" s="92" t="s">
        <v>78</v>
      </c>
      <c r="Y1847" s="92" t="s">
        <v>78</v>
      </c>
      <c r="Z1847" s="92" t="s">
        <v>78</v>
      </c>
    </row>
    <row r="1848" spans="1:26" ht="16" hidden="1" x14ac:dyDescent="0.4">
      <c r="A1848" s="92">
        <v>9224</v>
      </c>
      <c r="B1848" s="92">
        <v>9225</v>
      </c>
      <c r="E1848" s="92">
        <v>50</v>
      </c>
      <c r="F1848" s="92">
        <f>_xlfn.XLOOKUP(B1848, DATA_Moresby_2024_ALL!B:B, DATA_Moresby_2024_ALL!G:G, "")</f>
        <v>0</v>
      </c>
      <c r="G1848" s="93"/>
      <c r="H1848" s="92">
        <v>6</v>
      </c>
      <c r="I1848" s="92" t="str">
        <f t="shared" si="96"/>
        <v>X</v>
      </c>
      <c r="J1848" s="79" t="str">
        <f>IF(G1848="","X",_xlfn.XLOOKUP(B1848,DATA_Moresby_2024_ALL!B:B,DATA_Moresby_2024_ALL!K:K,""))</f>
        <v>X</v>
      </c>
      <c r="K1848" s="28"/>
      <c r="L1848" s="29"/>
      <c r="M1848" s="28"/>
      <c r="N1848" s="19" t="str">
        <f t="shared" si="97"/>
        <v/>
      </c>
      <c r="O1848" s="19" t="str">
        <f t="shared" si="97"/>
        <v/>
      </c>
      <c r="P1848" s="19" t="str">
        <f t="shared" si="97"/>
        <v/>
      </c>
      <c r="Q1848" s="19" t="str">
        <f t="shared" si="97"/>
        <v/>
      </c>
      <c r="X1848" s="92" t="s">
        <v>78</v>
      </c>
      <c r="Y1848" s="92" t="s">
        <v>78</v>
      </c>
      <c r="Z1848" s="92" t="s">
        <v>78</v>
      </c>
    </row>
    <row r="1849" spans="1:26" ht="16" hidden="1" x14ac:dyDescent="0.4">
      <c r="A1849" s="92">
        <v>9229</v>
      </c>
      <c r="B1849" s="92">
        <v>9230</v>
      </c>
      <c r="E1849" s="92">
        <v>50</v>
      </c>
      <c r="F1849" s="92">
        <f>_xlfn.XLOOKUP(B1849, DATA_Moresby_2024_ALL!B:B, DATA_Moresby_2024_ALL!G:G, "")</f>
        <v>0</v>
      </c>
      <c r="G1849" s="93"/>
      <c r="H1849" s="92">
        <v>6</v>
      </c>
      <c r="I1849" s="92" t="str">
        <f t="shared" si="96"/>
        <v>X</v>
      </c>
      <c r="J1849" s="79" t="str">
        <f>IF(G1849="","X",_xlfn.XLOOKUP(B1849,DATA_Moresby_2024_ALL!B:B,DATA_Moresby_2024_ALL!K:K,""))</f>
        <v>X</v>
      </c>
      <c r="K1849" s="28"/>
      <c r="L1849" s="29"/>
      <c r="M1849" s="28"/>
      <c r="N1849" s="19" t="str">
        <f t="shared" si="97"/>
        <v/>
      </c>
      <c r="O1849" s="19" t="str">
        <f t="shared" si="97"/>
        <v/>
      </c>
      <c r="P1849" s="19" t="str">
        <f t="shared" si="97"/>
        <v/>
      </c>
      <c r="Q1849" s="19" t="str">
        <f t="shared" si="97"/>
        <v/>
      </c>
      <c r="X1849" s="92" t="s">
        <v>78</v>
      </c>
      <c r="Y1849" s="92" t="s">
        <v>78</v>
      </c>
      <c r="Z1849" s="92" t="s">
        <v>78</v>
      </c>
    </row>
    <row r="1850" spans="1:26" ht="16" hidden="1" x14ac:dyDescent="0.4">
      <c r="A1850" s="92">
        <v>9234</v>
      </c>
      <c r="B1850" s="92">
        <v>9235</v>
      </c>
      <c r="E1850" s="92">
        <v>50</v>
      </c>
      <c r="F1850" s="92">
        <f>_xlfn.XLOOKUP(B1850, DATA_Moresby_2024_ALL!B:B, DATA_Moresby_2024_ALL!G:G, "")</f>
        <v>0</v>
      </c>
      <c r="G1850" s="93"/>
      <c r="H1850" s="92">
        <v>6</v>
      </c>
      <c r="I1850" s="92" t="str">
        <f t="shared" si="96"/>
        <v>X</v>
      </c>
      <c r="J1850" s="79" t="str">
        <f>IF(G1850="","X",_xlfn.XLOOKUP(B1850,DATA_Moresby_2024_ALL!B:B,DATA_Moresby_2024_ALL!K:K,""))</f>
        <v>X</v>
      </c>
      <c r="K1850" s="28"/>
      <c r="L1850" s="29"/>
      <c r="M1850" s="28"/>
      <c r="N1850" s="19" t="str">
        <f t="shared" si="97"/>
        <v/>
      </c>
      <c r="O1850" s="19" t="str">
        <f t="shared" si="97"/>
        <v/>
      </c>
      <c r="P1850" s="19" t="str">
        <f t="shared" si="97"/>
        <v/>
      </c>
      <c r="Q1850" s="19" t="str">
        <f t="shared" si="97"/>
        <v/>
      </c>
      <c r="X1850" s="92" t="s">
        <v>78</v>
      </c>
      <c r="Y1850" s="92" t="s">
        <v>78</v>
      </c>
      <c r="Z1850" s="92" t="s">
        <v>78</v>
      </c>
    </row>
    <row r="1851" spans="1:26" ht="16" hidden="1" x14ac:dyDescent="0.4">
      <c r="A1851" s="92">
        <v>9239</v>
      </c>
      <c r="B1851" s="92">
        <v>9240</v>
      </c>
      <c r="E1851" s="92">
        <v>50</v>
      </c>
      <c r="F1851" s="92">
        <f>_xlfn.XLOOKUP(B1851, DATA_Moresby_2024_ALL!B:B, DATA_Moresby_2024_ALL!G:G, "")</f>
        <v>0</v>
      </c>
      <c r="G1851" s="93"/>
      <c r="H1851" s="92">
        <v>6</v>
      </c>
      <c r="I1851" s="92" t="str">
        <f t="shared" si="96"/>
        <v>X</v>
      </c>
      <c r="J1851" s="79" t="str">
        <f>IF(G1851="","X",_xlfn.XLOOKUP(B1851,DATA_Moresby_2024_ALL!B:B,DATA_Moresby_2024_ALL!K:K,""))</f>
        <v>X</v>
      </c>
      <c r="K1851" s="28"/>
      <c r="L1851" s="29"/>
      <c r="M1851" s="28"/>
      <c r="N1851" s="19" t="str">
        <f t="shared" si="97"/>
        <v/>
      </c>
      <c r="O1851" s="19" t="str">
        <f t="shared" si="97"/>
        <v/>
      </c>
      <c r="P1851" s="19" t="str">
        <f t="shared" si="97"/>
        <v/>
      </c>
      <c r="Q1851" s="19" t="str">
        <f t="shared" si="97"/>
        <v/>
      </c>
      <c r="X1851" s="92" t="s">
        <v>78</v>
      </c>
      <c r="Y1851" s="92" t="s">
        <v>78</v>
      </c>
      <c r="Z1851" s="92" t="s">
        <v>78</v>
      </c>
    </row>
    <row r="1852" spans="1:26" ht="16" hidden="1" x14ac:dyDescent="0.4">
      <c r="A1852" s="92">
        <v>9244</v>
      </c>
      <c r="B1852" s="92">
        <v>9245</v>
      </c>
      <c r="E1852" s="92">
        <v>50</v>
      </c>
      <c r="F1852" s="92">
        <f>_xlfn.XLOOKUP(B1852, DATA_Moresby_2024_ALL!B:B, DATA_Moresby_2024_ALL!G:G, "")</f>
        <v>0</v>
      </c>
      <c r="G1852" s="93"/>
      <c r="H1852" s="92">
        <v>6</v>
      </c>
      <c r="I1852" s="92" t="str">
        <f t="shared" si="96"/>
        <v>X</v>
      </c>
      <c r="J1852" s="79" t="str">
        <f>IF(G1852="","X",_xlfn.XLOOKUP(B1852,DATA_Moresby_2024_ALL!B:B,DATA_Moresby_2024_ALL!K:K,""))</f>
        <v>X</v>
      </c>
      <c r="K1852" s="28"/>
      <c r="L1852" s="29"/>
      <c r="M1852" s="28"/>
      <c r="N1852" s="19" t="str">
        <f t="shared" si="97"/>
        <v/>
      </c>
      <c r="O1852" s="19" t="str">
        <f t="shared" si="97"/>
        <v/>
      </c>
      <c r="P1852" s="19" t="str">
        <f t="shared" si="97"/>
        <v/>
      </c>
      <c r="Q1852" s="19" t="str">
        <f t="shared" si="97"/>
        <v/>
      </c>
      <c r="X1852" s="92" t="s">
        <v>78</v>
      </c>
      <c r="Y1852" s="92" t="s">
        <v>78</v>
      </c>
      <c r="Z1852" s="92" t="s">
        <v>78</v>
      </c>
    </row>
    <row r="1853" spans="1:26" ht="16" hidden="1" x14ac:dyDescent="0.4">
      <c r="A1853" s="92">
        <v>9249</v>
      </c>
      <c r="B1853" s="92">
        <v>9250</v>
      </c>
      <c r="E1853" s="92">
        <v>50</v>
      </c>
      <c r="F1853" s="92">
        <f>_xlfn.XLOOKUP(B1853, DATA_Moresby_2024_ALL!B:B, DATA_Moresby_2024_ALL!G:G, "")</f>
        <v>0</v>
      </c>
      <c r="G1853" s="93"/>
      <c r="H1853" s="92">
        <v>6</v>
      </c>
      <c r="I1853" s="92" t="str">
        <f t="shared" si="96"/>
        <v>X</v>
      </c>
      <c r="J1853" s="79" t="str">
        <f>IF(G1853="","X",_xlfn.XLOOKUP(B1853,DATA_Moresby_2024_ALL!B:B,DATA_Moresby_2024_ALL!K:K,""))</f>
        <v>X</v>
      </c>
      <c r="K1853" s="28"/>
      <c r="L1853" s="29"/>
      <c r="M1853" s="28"/>
      <c r="N1853" s="19" t="str">
        <f t="shared" si="97"/>
        <v/>
      </c>
      <c r="O1853" s="19" t="str">
        <f t="shared" si="97"/>
        <v/>
      </c>
      <c r="P1853" s="19" t="str">
        <f t="shared" si="97"/>
        <v/>
      </c>
      <c r="Q1853" s="19" t="str">
        <f t="shared" si="97"/>
        <v/>
      </c>
      <c r="X1853" s="92" t="s">
        <v>78</v>
      </c>
      <c r="Y1853" s="92" t="s">
        <v>78</v>
      </c>
      <c r="Z1853" s="92" t="s">
        <v>78</v>
      </c>
    </row>
    <row r="1854" spans="1:26" ht="16" hidden="1" x14ac:dyDescent="0.4">
      <c r="A1854" s="92">
        <v>9254</v>
      </c>
      <c r="B1854" s="92">
        <v>9255</v>
      </c>
      <c r="E1854" s="92">
        <v>50</v>
      </c>
      <c r="F1854" s="92">
        <f>_xlfn.XLOOKUP(B1854, DATA_Moresby_2024_ALL!B:B, DATA_Moresby_2024_ALL!G:G, "")</f>
        <v>0</v>
      </c>
      <c r="G1854" s="93"/>
      <c r="H1854" s="92">
        <v>6</v>
      </c>
      <c r="I1854" s="92" t="str">
        <f t="shared" si="96"/>
        <v>X</v>
      </c>
      <c r="J1854" s="79" t="str">
        <f>IF(G1854="","X",_xlfn.XLOOKUP(B1854,DATA_Moresby_2024_ALL!B:B,DATA_Moresby_2024_ALL!K:K,""))</f>
        <v>X</v>
      </c>
      <c r="K1854" s="28"/>
      <c r="L1854" s="29"/>
      <c r="M1854" s="28"/>
      <c r="N1854" s="19" t="str">
        <f t="shared" si="97"/>
        <v/>
      </c>
      <c r="O1854" s="19" t="str">
        <f t="shared" si="97"/>
        <v/>
      </c>
      <c r="P1854" s="19" t="str">
        <f t="shared" si="97"/>
        <v/>
      </c>
      <c r="Q1854" s="19" t="str">
        <f t="shared" si="97"/>
        <v/>
      </c>
      <c r="X1854" s="92" t="s">
        <v>78</v>
      </c>
      <c r="Y1854" s="92" t="s">
        <v>78</v>
      </c>
      <c r="Z1854" s="92" t="s">
        <v>78</v>
      </c>
    </row>
    <row r="1855" spans="1:26" ht="16" hidden="1" x14ac:dyDescent="0.4">
      <c r="A1855" s="92">
        <v>9259</v>
      </c>
      <c r="B1855" s="92">
        <v>9260</v>
      </c>
      <c r="E1855" s="92">
        <v>50</v>
      </c>
      <c r="F1855" s="92">
        <f>_xlfn.XLOOKUP(B1855, DATA_Moresby_2024_ALL!B:B, DATA_Moresby_2024_ALL!G:G, "")</f>
        <v>0</v>
      </c>
      <c r="G1855" s="93"/>
      <c r="H1855" s="92">
        <v>6</v>
      </c>
      <c r="I1855" s="92" t="str">
        <f t="shared" si="96"/>
        <v>X</v>
      </c>
      <c r="J1855" s="79" t="str">
        <f>IF(G1855="","X",_xlfn.XLOOKUP(B1855,DATA_Moresby_2024_ALL!B:B,DATA_Moresby_2024_ALL!K:K,""))</f>
        <v>X</v>
      </c>
      <c r="K1855" s="28"/>
      <c r="L1855" s="29"/>
      <c r="M1855" s="28"/>
      <c r="N1855" s="19" t="str">
        <f t="shared" si="97"/>
        <v/>
      </c>
      <c r="O1855" s="19" t="str">
        <f t="shared" si="97"/>
        <v/>
      </c>
      <c r="P1855" s="19" t="str">
        <f t="shared" si="97"/>
        <v/>
      </c>
      <c r="Q1855" s="19" t="str">
        <f t="shared" si="97"/>
        <v/>
      </c>
      <c r="X1855" s="92" t="s">
        <v>78</v>
      </c>
      <c r="Y1855" s="92" t="s">
        <v>78</v>
      </c>
      <c r="Z1855" s="92" t="s">
        <v>78</v>
      </c>
    </row>
    <row r="1856" spans="1:26" ht="16" hidden="1" x14ac:dyDescent="0.4">
      <c r="A1856" s="92">
        <v>9264</v>
      </c>
      <c r="B1856" s="92">
        <v>9265</v>
      </c>
      <c r="E1856" s="92">
        <v>50</v>
      </c>
      <c r="F1856" s="92">
        <f>_xlfn.XLOOKUP(B1856, DATA_Moresby_2024_ALL!B:B, DATA_Moresby_2024_ALL!G:G, "")</f>
        <v>0</v>
      </c>
      <c r="G1856" s="93"/>
      <c r="H1856" s="92">
        <v>6</v>
      </c>
      <c r="I1856" s="92" t="str">
        <f t="shared" si="96"/>
        <v>X</v>
      </c>
      <c r="J1856" s="79" t="str">
        <f>IF(G1856="","X",_xlfn.XLOOKUP(B1856,DATA_Moresby_2024_ALL!B:B,DATA_Moresby_2024_ALL!K:K,""))</f>
        <v>X</v>
      </c>
      <c r="K1856" s="28"/>
      <c r="L1856" s="29"/>
      <c r="M1856" s="28"/>
      <c r="N1856" s="19" t="str">
        <f t="shared" si="97"/>
        <v/>
      </c>
      <c r="O1856" s="19" t="str">
        <f t="shared" si="97"/>
        <v/>
      </c>
      <c r="P1856" s="19" t="str">
        <f t="shared" si="97"/>
        <v/>
      </c>
      <c r="Q1856" s="19" t="str">
        <f t="shared" si="97"/>
        <v/>
      </c>
      <c r="X1856" s="92" t="s">
        <v>78</v>
      </c>
      <c r="Y1856" s="92" t="s">
        <v>78</v>
      </c>
      <c r="Z1856" s="92" t="s">
        <v>78</v>
      </c>
    </row>
    <row r="1857" spans="1:26" ht="16" hidden="1" x14ac:dyDescent="0.4">
      <c r="A1857" s="92">
        <v>9269</v>
      </c>
      <c r="B1857" s="92">
        <v>9270</v>
      </c>
      <c r="E1857" s="92">
        <v>50</v>
      </c>
      <c r="F1857" s="92">
        <f>_xlfn.XLOOKUP(B1857, DATA_Moresby_2024_ALL!B:B, DATA_Moresby_2024_ALL!G:G, "")</f>
        <v>0</v>
      </c>
      <c r="G1857" s="93"/>
      <c r="H1857" s="92">
        <v>6</v>
      </c>
      <c r="I1857" s="92" t="str">
        <f t="shared" si="96"/>
        <v>X</v>
      </c>
      <c r="J1857" s="79" t="str">
        <f>IF(G1857="","X",_xlfn.XLOOKUP(B1857,DATA_Moresby_2024_ALL!B:B,DATA_Moresby_2024_ALL!K:K,""))</f>
        <v>X</v>
      </c>
      <c r="K1857" s="28"/>
      <c r="L1857" s="29"/>
      <c r="M1857" s="28"/>
      <c r="N1857" s="19" t="str">
        <f t="shared" si="97"/>
        <v/>
      </c>
      <c r="O1857" s="19" t="str">
        <f t="shared" si="97"/>
        <v/>
      </c>
      <c r="P1857" s="19" t="str">
        <f t="shared" si="97"/>
        <v/>
      </c>
      <c r="Q1857" s="19" t="str">
        <f t="shared" si="97"/>
        <v/>
      </c>
      <c r="X1857" s="92" t="s">
        <v>78</v>
      </c>
      <c r="Y1857" s="92" t="s">
        <v>78</v>
      </c>
      <c r="Z1857" s="92" t="s">
        <v>78</v>
      </c>
    </row>
    <row r="1858" spans="1:26" ht="16" hidden="1" x14ac:dyDescent="0.4">
      <c r="A1858" s="92">
        <v>9274</v>
      </c>
      <c r="B1858" s="92">
        <v>9275</v>
      </c>
      <c r="E1858" s="92">
        <v>50</v>
      </c>
      <c r="F1858" s="92">
        <f>_xlfn.XLOOKUP(B1858, DATA_Moresby_2024_ALL!B:B, DATA_Moresby_2024_ALL!G:G, "")</f>
        <v>0</v>
      </c>
      <c r="G1858" s="93"/>
      <c r="H1858" s="92">
        <v>6</v>
      </c>
      <c r="I1858" s="92" t="str">
        <f t="shared" si="96"/>
        <v>X</v>
      </c>
      <c r="J1858" s="79" t="str">
        <f>IF(G1858="","X",_xlfn.XLOOKUP(B1858,DATA_Moresby_2024_ALL!B:B,DATA_Moresby_2024_ALL!K:K,""))</f>
        <v>X</v>
      </c>
      <c r="K1858" s="28"/>
      <c r="L1858" s="29"/>
      <c r="M1858" s="28"/>
      <c r="N1858" s="19" t="str">
        <f t="shared" si="97"/>
        <v/>
      </c>
      <c r="O1858" s="19" t="str">
        <f t="shared" si="97"/>
        <v/>
      </c>
      <c r="P1858" s="19" t="str">
        <f t="shared" si="97"/>
        <v/>
      </c>
      <c r="Q1858" s="19" t="str">
        <f t="shared" si="97"/>
        <v/>
      </c>
      <c r="X1858" s="92" t="s">
        <v>78</v>
      </c>
      <c r="Y1858" s="92" t="s">
        <v>78</v>
      </c>
      <c r="Z1858" s="92" t="s">
        <v>78</v>
      </c>
    </row>
    <row r="1859" spans="1:26" ht="16" hidden="1" x14ac:dyDescent="0.4">
      <c r="A1859" s="92">
        <v>9279</v>
      </c>
      <c r="B1859" s="92">
        <v>9280</v>
      </c>
      <c r="E1859" s="92">
        <v>50</v>
      </c>
      <c r="F1859" s="92">
        <f>_xlfn.XLOOKUP(B1859, DATA_Moresby_2024_ALL!B:B, DATA_Moresby_2024_ALL!G:G, "")</f>
        <v>0</v>
      </c>
      <c r="G1859" s="93"/>
      <c r="H1859" s="92">
        <v>6</v>
      </c>
      <c r="I1859" s="92" t="str">
        <f t="shared" si="96"/>
        <v>X</v>
      </c>
      <c r="J1859" s="79" t="str">
        <f>IF(G1859="","X",_xlfn.XLOOKUP(B1859,DATA_Moresby_2024_ALL!B:B,DATA_Moresby_2024_ALL!K:K,""))</f>
        <v>X</v>
      </c>
      <c r="K1859" s="28"/>
      <c r="L1859" s="29"/>
      <c r="M1859" s="28"/>
      <c r="N1859" s="19" t="str">
        <f t="shared" si="97"/>
        <v/>
      </c>
      <c r="O1859" s="19" t="str">
        <f t="shared" si="97"/>
        <v/>
      </c>
      <c r="P1859" s="19" t="str">
        <f t="shared" si="97"/>
        <v/>
      </c>
      <c r="Q1859" s="19" t="str">
        <f t="shared" si="97"/>
        <v/>
      </c>
      <c r="X1859" s="92" t="s">
        <v>78</v>
      </c>
      <c r="Y1859" s="92" t="s">
        <v>78</v>
      </c>
      <c r="Z1859" s="92" t="s">
        <v>78</v>
      </c>
    </row>
    <row r="1860" spans="1:26" ht="16" hidden="1" x14ac:dyDescent="0.4">
      <c r="A1860" s="92">
        <v>9284</v>
      </c>
      <c r="B1860" s="92">
        <v>9285</v>
      </c>
      <c r="E1860" s="92">
        <v>50</v>
      </c>
      <c r="F1860" s="92">
        <f>_xlfn.XLOOKUP(B1860, DATA_Moresby_2024_ALL!B:B, DATA_Moresby_2024_ALL!G:G, "")</f>
        <v>0</v>
      </c>
      <c r="G1860" s="93"/>
      <c r="H1860" s="92">
        <v>6</v>
      </c>
      <c r="I1860" s="92" t="str">
        <f t="shared" si="96"/>
        <v>X</v>
      </c>
      <c r="J1860" s="79" t="str">
        <f>IF(G1860="","X",_xlfn.XLOOKUP(B1860,DATA_Moresby_2024_ALL!B:B,DATA_Moresby_2024_ALL!K:K,""))</f>
        <v>X</v>
      </c>
      <c r="K1860" s="28"/>
      <c r="L1860" s="29"/>
      <c r="M1860" s="28"/>
      <c r="N1860" s="19" t="str">
        <f t="shared" si="97"/>
        <v/>
      </c>
      <c r="O1860" s="19" t="str">
        <f t="shared" si="97"/>
        <v/>
      </c>
      <c r="P1860" s="19" t="str">
        <f t="shared" si="97"/>
        <v/>
      </c>
      <c r="Q1860" s="19" t="str">
        <f t="shared" si="97"/>
        <v/>
      </c>
      <c r="X1860" s="92" t="s">
        <v>78</v>
      </c>
      <c r="Y1860" s="92" t="s">
        <v>78</v>
      </c>
      <c r="Z1860" s="92" t="s">
        <v>78</v>
      </c>
    </row>
    <row r="1861" spans="1:26" ht="16" hidden="1" x14ac:dyDescent="0.4">
      <c r="A1861" s="92">
        <v>9289</v>
      </c>
      <c r="B1861" s="92">
        <v>9290</v>
      </c>
      <c r="E1861" s="92">
        <v>50</v>
      </c>
      <c r="F1861" s="92">
        <f>_xlfn.XLOOKUP(B1861, DATA_Moresby_2024_ALL!B:B, DATA_Moresby_2024_ALL!G:G, "")</f>
        <v>0</v>
      </c>
      <c r="G1861" s="93"/>
      <c r="H1861" s="92">
        <v>6</v>
      </c>
      <c r="I1861" s="92" t="str">
        <f t="shared" si="96"/>
        <v>X</v>
      </c>
      <c r="J1861" s="79" t="str">
        <f>IF(G1861="","X",_xlfn.XLOOKUP(B1861,DATA_Moresby_2024_ALL!B:B,DATA_Moresby_2024_ALL!K:K,""))</f>
        <v>X</v>
      </c>
      <c r="K1861" s="28"/>
      <c r="L1861" s="29"/>
      <c r="M1861" s="28"/>
      <c r="N1861" s="19" t="str">
        <f t="shared" si="97"/>
        <v/>
      </c>
      <c r="O1861" s="19" t="str">
        <f t="shared" si="97"/>
        <v/>
      </c>
      <c r="P1861" s="19" t="str">
        <f t="shared" si="97"/>
        <v/>
      </c>
      <c r="Q1861" s="19" t="str">
        <f t="shared" si="97"/>
        <v/>
      </c>
      <c r="X1861" s="92" t="s">
        <v>78</v>
      </c>
      <c r="Y1861" s="92" t="s">
        <v>78</v>
      </c>
      <c r="Z1861" s="92" t="s">
        <v>78</v>
      </c>
    </row>
    <row r="1862" spans="1:26" ht="16" hidden="1" x14ac:dyDescent="0.4">
      <c r="A1862" s="92">
        <v>9294</v>
      </c>
      <c r="B1862" s="92">
        <v>9295</v>
      </c>
      <c r="E1862" s="92">
        <v>50</v>
      </c>
      <c r="F1862" s="92">
        <f>_xlfn.XLOOKUP(B1862, DATA_Moresby_2024_ALL!B:B, DATA_Moresby_2024_ALL!G:G, "")</f>
        <v>0</v>
      </c>
      <c r="G1862" s="93"/>
      <c r="H1862" s="92">
        <v>6</v>
      </c>
      <c r="I1862" s="92" t="str">
        <f t="shared" si="96"/>
        <v>X</v>
      </c>
      <c r="J1862" s="79" t="str">
        <f>IF(G1862="","X",_xlfn.XLOOKUP(B1862,DATA_Moresby_2024_ALL!B:B,DATA_Moresby_2024_ALL!K:K,""))</f>
        <v>X</v>
      </c>
      <c r="K1862" s="28"/>
      <c r="L1862" s="29"/>
      <c r="M1862" s="28"/>
      <c r="N1862" s="19" t="str">
        <f t="shared" si="97"/>
        <v/>
      </c>
      <c r="O1862" s="19" t="str">
        <f t="shared" si="97"/>
        <v/>
      </c>
      <c r="P1862" s="19" t="str">
        <f t="shared" si="97"/>
        <v/>
      </c>
      <c r="Q1862" s="19" t="str">
        <f t="shared" si="97"/>
        <v/>
      </c>
      <c r="X1862" s="92" t="s">
        <v>78</v>
      </c>
      <c r="Y1862" s="92" t="s">
        <v>78</v>
      </c>
      <c r="Z1862" s="92" t="s">
        <v>78</v>
      </c>
    </row>
    <row r="1863" spans="1:26" ht="16" hidden="1" x14ac:dyDescent="0.4">
      <c r="A1863" s="92">
        <v>9299</v>
      </c>
      <c r="B1863" s="92">
        <v>9300</v>
      </c>
      <c r="E1863" s="92">
        <v>50</v>
      </c>
      <c r="F1863" s="92">
        <f>_xlfn.XLOOKUP(B1863, DATA_Moresby_2024_ALL!B:B, DATA_Moresby_2024_ALL!G:G, "")</f>
        <v>0</v>
      </c>
      <c r="G1863" s="93"/>
      <c r="H1863" s="92">
        <v>6</v>
      </c>
      <c r="I1863" s="92" t="str">
        <f t="shared" si="96"/>
        <v>X</v>
      </c>
      <c r="J1863" s="79" t="str">
        <f>IF(G1863="","X",_xlfn.XLOOKUP(B1863,DATA_Moresby_2024_ALL!B:B,DATA_Moresby_2024_ALL!K:K,""))</f>
        <v>X</v>
      </c>
      <c r="K1863" s="28"/>
      <c r="L1863" s="29"/>
      <c r="M1863" s="28"/>
      <c r="N1863" s="19" t="str">
        <f t="shared" si="97"/>
        <v/>
      </c>
      <c r="O1863" s="19" t="str">
        <f t="shared" si="97"/>
        <v/>
      </c>
      <c r="P1863" s="19" t="str">
        <f t="shared" si="97"/>
        <v/>
      </c>
      <c r="Q1863" s="19" t="str">
        <f t="shared" si="97"/>
        <v/>
      </c>
      <c r="X1863" s="92" t="s">
        <v>78</v>
      </c>
      <c r="Y1863" s="92" t="s">
        <v>78</v>
      </c>
      <c r="Z1863" s="92" t="s">
        <v>78</v>
      </c>
    </row>
    <row r="1864" spans="1:26" ht="16" hidden="1" x14ac:dyDescent="0.4">
      <c r="A1864" s="92">
        <v>9304</v>
      </c>
      <c r="B1864" s="92">
        <v>9305</v>
      </c>
      <c r="E1864" s="92">
        <v>50</v>
      </c>
      <c r="F1864" s="92">
        <f>_xlfn.XLOOKUP(B1864, DATA_Moresby_2024_ALL!B:B, DATA_Moresby_2024_ALL!G:G, "")</f>
        <v>0</v>
      </c>
      <c r="G1864" s="93"/>
      <c r="H1864" s="92">
        <v>6</v>
      </c>
      <c r="I1864" s="92" t="str">
        <f t="shared" si="96"/>
        <v>X</v>
      </c>
      <c r="J1864" s="79" t="str">
        <f>IF(G1864="","X",_xlfn.XLOOKUP(B1864,DATA_Moresby_2024_ALL!B:B,DATA_Moresby_2024_ALL!K:K,""))</f>
        <v>X</v>
      </c>
      <c r="K1864" s="28"/>
      <c r="L1864" s="29"/>
      <c r="M1864" s="28"/>
      <c r="N1864" s="19" t="str">
        <f t="shared" si="97"/>
        <v/>
      </c>
      <c r="O1864" s="19" t="str">
        <f t="shared" si="97"/>
        <v/>
      </c>
      <c r="P1864" s="19" t="str">
        <f t="shared" si="97"/>
        <v/>
      </c>
      <c r="Q1864" s="19" t="str">
        <f t="shared" si="97"/>
        <v/>
      </c>
      <c r="X1864" s="92" t="s">
        <v>78</v>
      </c>
      <c r="Y1864" s="92" t="s">
        <v>78</v>
      </c>
      <c r="Z1864" s="92" t="s">
        <v>78</v>
      </c>
    </row>
    <row r="1865" spans="1:26" ht="16" hidden="1" x14ac:dyDescent="0.4">
      <c r="A1865" s="92">
        <v>9309</v>
      </c>
      <c r="B1865" s="92">
        <v>9310</v>
      </c>
      <c r="E1865" s="92">
        <v>50</v>
      </c>
      <c r="F1865" s="92">
        <f>_xlfn.XLOOKUP(B1865, DATA_Moresby_2024_ALL!B:B, DATA_Moresby_2024_ALL!G:G, "")</f>
        <v>0</v>
      </c>
      <c r="G1865" s="93"/>
      <c r="H1865" s="92">
        <v>6</v>
      </c>
      <c r="I1865" s="92" t="str">
        <f t="shared" ref="I1865:I1928" si="98">IF(G1865="","X","")</f>
        <v>X</v>
      </c>
      <c r="J1865" s="79" t="str">
        <f>IF(G1865="","X",_xlfn.XLOOKUP(B1865,DATA_Moresby_2024_ALL!B:B,DATA_Moresby_2024_ALL!K:K,""))</f>
        <v>X</v>
      </c>
      <c r="K1865" s="28"/>
      <c r="L1865" s="29"/>
      <c r="M1865" s="28"/>
      <c r="N1865" s="19" t="str">
        <f t="shared" si="97"/>
        <v/>
      </c>
      <c r="O1865" s="19" t="str">
        <f t="shared" si="97"/>
        <v/>
      </c>
      <c r="P1865" s="19" t="str">
        <f t="shared" si="97"/>
        <v/>
      </c>
      <c r="Q1865" s="19" t="str">
        <f t="shared" si="97"/>
        <v/>
      </c>
      <c r="X1865" s="92" t="s">
        <v>78</v>
      </c>
      <c r="Y1865" s="92" t="s">
        <v>78</v>
      </c>
      <c r="Z1865" s="92" t="s">
        <v>78</v>
      </c>
    </row>
    <row r="1866" spans="1:26" ht="16" hidden="1" x14ac:dyDescent="0.4">
      <c r="A1866" s="92">
        <v>9314</v>
      </c>
      <c r="B1866" s="92">
        <v>9315</v>
      </c>
      <c r="E1866" s="92">
        <v>50</v>
      </c>
      <c r="F1866" s="92">
        <f>_xlfn.XLOOKUP(B1866, DATA_Moresby_2024_ALL!B:B, DATA_Moresby_2024_ALL!G:G, "")</f>
        <v>0</v>
      </c>
      <c r="G1866" s="93"/>
      <c r="H1866" s="92">
        <v>6</v>
      </c>
      <c r="I1866" s="92" t="str">
        <f t="shared" si="98"/>
        <v>X</v>
      </c>
      <c r="J1866" s="79" t="str">
        <f>IF(G1866="","X",_xlfn.XLOOKUP(B1866,DATA_Moresby_2024_ALL!B:B,DATA_Moresby_2024_ALL!K:K,""))</f>
        <v>X</v>
      </c>
      <c r="K1866" s="28"/>
      <c r="L1866" s="29"/>
      <c r="M1866" s="28"/>
      <c r="N1866" s="19" t="str">
        <f t="shared" si="97"/>
        <v/>
      </c>
      <c r="O1866" s="19" t="str">
        <f t="shared" si="97"/>
        <v/>
      </c>
      <c r="P1866" s="19" t="str">
        <f t="shared" si="97"/>
        <v/>
      </c>
      <c r="Q1866" s="19" t="str">
        <f t="shared" si="97"/>
        <v/>
      </c>
      <c r="X1866" s="92" t="s">
        <v>78</v>
      </c>
      <c r="Y1866" s="92" t="s">
        <v>78</v>
      </c>
      <c r="Z1866" s="92" t="s">
        <v>78</v>
      </c>
    </row>
    <row r="1867" spans="1:26" ht="16" hidden="1" x14ac:dyDescent="0.4">
      <c r="A1867" s="92">
        <v>9319</v>
      </c>
      <c r="B1867" s="92">
        <v>9320</v>
      </c>
      <c r="E1867" s="92">
        <v>50</v>
      </c>
      <c r="F1867" s="92">
        <f>_xlfn.XLOOKUP(B1867, DATA_Moresby_2024_ALL!B:B, DATA_Moresby_2024_ALL!G:G, "")</f>
        <v>0</v>
      </c>
      <c r="G1867" s="93"/>
      <c r="H1867" s="92">
        <v>6</v>
      </c>
      <c r="I1867" s="92" t="str">
        <f t="shared" si="98"/>
        <v>X</v>
      </c>
      <c r="J1867" s="79" t="str">
        <f>IF(G1867="","X",_xlfn.XLOOKUP(B1867,DATA_Moresby_2024_ALL!B:B,DATA_Moresby_2024_ALL!K:K,""))</f>
        <v>X</v>
      </c>
      <c r="K1867" s="28"/>
      <c r="L1867" s="29"/>
      <c r="M1867" s="28"/>
      <c r="N1867" s="19" t="str">
        <f t="shared" si="97"/>
        <v/>
      </c>
      <c r="O1867" s="19" t="str">
        <f t="shared" si="97"/>
        <v/>
      </c>
      <c r="P1867" s="19" t="str">
        <f t="shared" si="97"/>
        <v/>
      </c>
      <c r="Q1867" s="19" t="str">
        <f t="shared" si="97"/>
        <v/>
      </c>
      <c r="X1867" s="92" t="s">
        <v>78</v>
      </c>
      <c r="Y1867" s="92" t="s">
        <v>78</v>
      </c>
      <c r="Z1867" s="92" t="s">
        <v>78</v>
      </c>
    </row>
    <row r="1868" spans="1:26" ht="16" hidden="1" x14ac:dyDescent="0.4">
      <c r="A1868" s="92">
        <v>9324</v>
      </c>
      <c r="B1868" s="92">
        <v>9325</v>
      </c>
      <c r="E1868" s="92">
        <v>50</v>
      </c>
      <c r="F1868" s="92">
        <f>_xlfn.XLOOKUP(B1868, DATA_Moresby_2024_ALL!B:B, DATA_Moresby_2024_ALL!G:G, "")</f>
        <v>0</v>
      </c>
      <c r="G1868" s="93"/>
      <c r="H1868" s="92">
        <v>6</v>
      </c>
      <c r="I1868" s="92" t="str">
        <f t="shared" si="98"/>
        <v>X</v>
      </c>
      <c r="J1868" s="79" t="str">
        <f>IF(G1868="","X",_xlfn.XLOOKUP(B1868,DATA_Moresby_2024_ALL!B:B,DATA_Moresby_2024_ALL!K:K,""))</f>
        <v>X</v>
      </c>
      <c r="K1868" s="28"/>
      <c r="L1868" s="29"/>
      <c r="M1868" s="28"/>
      <c r="N1868" s="19" t="str">
        <f t="shared" si="97"/>
        <v/>
      </c>
      <c r="O1868" s="19" t="str">
        <f t="shared" si="97"/>
        <v/>
      </c>
      <c r="P1868" s="19" t="str">
        <f t="shared" si="97"/>
        <v/>
      </c>
      <c r="Q1868" s="19" t="str">
        <f t="shared" si="97"/>
        <v/>
      </c>
      <c r="X1868" s="92" t="s">
        <v>78</v>
      </c>
      <c r="Y1868" s="92" t="s">
        <v>78</v>
      </c>
      <c r="Z1868" s="92" t="s">
        <v>78</v>
      </c>
    </row>
    <row r="1869" spans="1:26" ht="16" hidden="1" x14ac:dyDescent="0.4">
      <c r="A1869" s="92">
        <v>9329</v>
      </c>
      <c r="B1869" s="92">
        <v>9330</v>
      </c>
      <c r="E1869" s="92">
        <v>50</v>
      </c>
      <c r="F1869" s="92">
        <f>_xlfn.XLOOKUP(B1869, DATA_Moresby_2024_ALL!B:B, DATA_Moresby_2024_ALL!G:G, "")</f>
        <v>0</v>
      </c>
      <c r="G1869" s="93"/>
      <c r="H1869" s="92">
        <v>6</v>
      </c>
      <c r="I1869" s="92" t="str">
        <f t="shared" si="98"/>
        <v>X</v>
      </c>
      <c r="J1869" s="79" t="str">
        <f>IF(G1869="","X",_xlfn.XLOOKUP(B1869,DATA_Moresby_2024_ALL!B:B,DATA_Moresby_2024_ALL!K:K,""))</f>
        <v>X</v>
      </c>
      <c r="K1869" s="28"/>
      <c r="L1869" s="29"/>
      <c r="M1869" s="28"/>
      <c r="N1869" s="19" t="str">
        <f t="shared" si="97"/>
        <v/>
      </c>
      <c r="O1869" s="19" t="str">
        <f t="shared" si="97"/>
        <v/>
      </c>
      <c r="P1869" s="19" t="str">
        <f t="shared" si="97"/>
        <v/>
      </c>
      <c r="Q1869" s="19" t="str">
        <f t="shared" si="97"/>
        <v/>
      </c>
      <c r="X1869" s="92" t="s">
        <v>78</v>
      </c>
      <c r="Y1869" s="92" t="s">
        <v>78</v>
      </c>
      <c r="Z1869" s="92" t="s">
        <v>78</v>
      </c>
    </row>
    <row r="1870" spans="1:26" ht="16" hidden="1" x14ac:dyDescent="0.4">
      <c r="A1870" s="92">
        <v>9334</v>
      </c>
      <c r="B1870" s="92">
        <v>9335</v>
      </c>
      <c r="E1870" s="92">
        <v>50</v>
      </c>
      <c r="F1870" s="92">
        <f>_xlfn.XLOOKUP(B1870, DATA_Moresby_2024_ALL!B:B, DATA_Moresby_2024_ALL!G:G, "")</f>
        <v>0</v>
      </c>
      <c r="G1870" s="93"/>
      <c r="H1870" s="92">
        <v>6</v>
      </c>
      <c r="I1870" s="92" t="str">
        <f t="shared" si="98"/>
        <v>X</v>
      </c>
      <c r="J1870" s="79" t="str">
        <f>IF(G1870="","X",_xlfn.XLOOKUP(B1870,DATA_Moresby_2024_ALL!B:B,DATA_Moresby_2024_ALL!K:K,""))</f>
        <v>X</v>
      </c>
      <c r="K1870" s="28"/>
      <c r="L1870" s="29"/>
      <c r="M1870" s="28"/>
      <c r="N1870" s="19" t="str">
        <f t="shared" si="97"/>
        <v/>
      </c>
      <c r="O1870" s="19" t="str">
        <f t="shared" si="97"/>
        <v/>
      </c>
      <c r="P1870" s="19" t="str">
        <f t="shared" si="97"/>
        <v/>
      </c>
      <c r="Q1870" s="19" t="str">
        <f t="shared" si="97"/>
        <v/>
      </c>
      <c r="X1870" s="92" t="s">
        <v>78</v>
      </c>
      <c r="Y1870" s="92" t="s">
        <v>78</v>
      </c>
      <c r="Z1870" s="92" t="s">
        <v>78</v>
      </c>
    </row>
    <row r="1871" spans="1:26" ht="16" hidden="1" x14ac:dyDescent="0.4">
      <c r="A1871" s="92">
        <v>9339</v>
      </c>
      <c r="B1871" s="92">
        <v>9340</v>
      </c>
      <c r="E1871" s="92">
        <v>50</v>
      </c>
      <c r="F1871" s="92">
        <f>_xlfn.XLOOKUP(B1871, DATA_Moresby_2024_ALL!B:B, DATA_Moresby_2024_ALL!G:G, "")</f>
        <v>0</v>
      </c>
      <c r="G1871" s="93"/>
      <c r="H1871" s="92">
        <v>6</v>
      </c>
      <c r="I1871" s="92" t="str">
        <f t="shared" si="98"/>
        <v>X</v>
      </c>
      <c r="J1871" s="79" t="str">
        <f>IF(G1871="","X",_xlfn.XLOOKUP(B1871,DATA_Moresby_2024_ALL!B:B,DATA_Moresby_2024_ALL!K:K,""))</f>
        <v>X</v>
      </c>
      <c r="K1871" s="28"/>
      <c r="L1871" s="29"/>
      <c r="M1871" s="28"/>
      <c r="N1871" s="19" t="str">
        <f t="shared" si="97"/>
        <v/>
      </c>
      <c r="O1871" s="19" t="str">
        <f t="shared" si="97"/>
        <v/>
      </c>
      <c r="P1871" s="19" t="str">
        <f t="shared" si="97"/>
        <v/>
      </c>
      <c r="Q1871" s="19" t="str">
        <f t="shared" si="97"/>
        <v/>
      </c>
      <c r="X1871" s="92" t="s">
        <v>78</v>
      </c>
      <c r="Y1871" s="92" t="s">
        <v>78</v>
      </c>
      <c r="Z1871" s="92" t="s">
        <v>78</v>
      </c>
    </row>
    <row r="1872" spans="1:26" ht="16" hidden="1" x14ac:dyDescent="0.4">
      <c r="A1872" s="92">
        <v>9344</v>
      </c>
      <c r="B1872" s="92">
        <v>9345</v>
      </c>
      <c r="E1872" s="92">
        <v>50</v>
      </c>
      <c r="F1872" s="92">
        <f>_xlfn.XLOOKUP(B1872, DATA_Moresby_2024_ALL!B:B, DATA_Moresby_2024_ALL!G:G, "")</f>
        <v>0</v>
      </c>
      <c r="G1872" s="93"/>
      <c r="H1872" s="92">
        <v>6</v>
      </c>
      <c r="I1872" s="92" t="str">
        <f t="shared" si="98"/>
        <v>X</v>
      </c>
      <c r="J1872" s="79" t="str">
        <f>IF(G1872="","X",_xlfn.XLOOKUP(B1872,DATA_Moresby_2024_ALL!B:B,DATA_Moresby_2024_ALL!K:K,""))</f>
        <v>X</v>
      </c>
      <c r="K1872" s="28"/>
      <c r="L1872" s="29"/>
      <c r="M1872" s="28"/>
      <c r="N1872" s="19" t="str">
        <f t="shared" si="97"/>
        <v/>
      </c>
      <c r="O1872" s="19" t="str">
        <f t="shared" si="97"/>
        <v/>
      </c>
      <c r="P1872" s="19" t="str">
        <f t="shared" si="97"/>
        <v/>
      </c>
      <c r="Q1872" s="19" t="str">
        <f t="shared" si="97"/>
        <v/>
      </c>
      <c r="X1872" s="92" t="s">
        <v>78</v>
      </c>
      <c r="Y1872" s="92" t="s">
        <v>78</v>
      </c>
      <c r="Z1872" s="92" t="s">
        <v>78</v>
      </c>
    </row>
    <row r="1873" spans="1:26" ht="16" hidden="1" x14ac:dyDescent="0.4">
      <c r="A1873" s="92">
        <v>9349</v>
      </c>
      <c r="B1873" s="92">
        <v>9350</v>
      </c>
      <c r="E1873" s="92">
        <v>50</v>
      </c>
      <c r="F1873" s="92">
        <f>_xlfn.XLOOKUP(B1873, DATA_Moresby_2024_ALL!B:B, DATA_Moresby_2024_ALL!G:G, "")</f>
        <v>0</v>
      </c>
      <c r="G1873" s="93"/>
      <c r="H1873" s="92">
        <v>6</v>
      </c>
      <c r="I1873" s="92" t="str">
        <f t="shared" si="98"/>
        <v>X</v>
      </c>
      <c r="J1873" s="79" t="str">
        <f>IF(G1873="","X",_xlfn.XLOOKUP(B1873,DATA_Moresby_2024_ALL!B:B,DATA_Moresby_2024_ALL!K:K,""))</f>
        <v>X</v>
      </c>
      <c r="K1873" s="28"/>
      <c r="L1873" s="29"/>
      <c r="M1873" s="28"/>
      <c r="N1873" s="19" t="str">
        <f t="shared" si="97"/>
        <v/>
      </c>
      <c r="O1873" s="19" t="str">
        <f t="shared" si="97"/>
        <v/>
      </c>
      <c r="P1873" s="19" t="str">
        <f t="shared" si="97"/>
        <v/>
      </c>
      <c r="Q1873" s="19" t="str">
        <f t="shared" si="97"/>
        <v/>
      </c>
      <c r="X1873" s="92" t="s">
        <v>78</v>
      </c>
      <c r="Y1873" s="92" t="s">
        <v>78</v>
      </c>
      <c r="Z1873" s="92" t="s">
        <v>78</v>
      </c>
    </row>
    <row r="1874" spans="1:26" ht="16" hidden="1" x14ac:dyDescent="0.4">
      <c r="A1874" s="92">
        <v>9354</v>
      </c>
      <c r="B1874" s="92">
        <v>9355</v>
      </c>
      <c r="E1874" s="92">
        <v>50</v>
      </c>
      <c r="F1874" s="92">
        <f>_xlfn.XLOOKUP(B1874, DATA_Moresby_2024_ALL!B:B, DATA_Moresby_2024_ALL!G:G, "")</f>
        <v>0</v>
      </c>
      <c r="G1874" s="93"/>
      <c r="H1874" s="92">
        <v>6</v>
      </c>
      <c r="I1874" s="92" t="str">
        <f t="shared" si="98"/>
        <v>X</v>
      </c>
      <c r="J1874" s="79" t="str">
        <f>IF(G1874="","X",_xlfn.XLOOKUP(B1874,DATA_Moresby_2024_ALL!B:B,DATA_Moresby_2024_ALL!K:K,""))</f>
        <v>X</v>
      </c>
      <c r="K1874" s="28"/>
      <c r="L1874" s="29"/>
      <c r="M1874" s="28"/>
      <c r="N1874" s="19" t="str">
        <f t="shared" si="97"/>
        <v/>
      </c>
      <c r="O1874" s="19" t="str">
        <f t="shared" si="97"/>
        <v/>
      </c>
      <c r="P1874" s="19" t="str">
        <f t="shared" si="97"/>
        <v/>
      </c>
      <c r="Q1874" s="19" t="str">
        <f t="shared" si="97"/>
        <v/>
      </c>
      <c r="X1874" s="92" t="s">
        <v>78</v>
      </c>
      <c r="Y1874" s="92" t="s">
        <v>78</v>
      </c>
      <c r="Z1874" s="92" t="s">
        <v>78</v>
      </c>
    </row>
    <row r="1875" spans="1:26" ht="16" hidden="1" x14ac:dyDescent="0.4">
      <c r="A1875" s="92">
        <v>9359</v>
      </c>
      <c r="B1875" s="92">
        <v>9360</v>
      </c>
      <c r="E1875" s="92">
        <v>50</v>
      </c>
      <c r="F1875" s="92">
        <f>_xlfn.XLOOKUP(B1875, DATA_Moresby_2024_ALL!B:B, DATA_Moresby_2024_ALL!G:G, "")</f>
        <v>0</v>
      </c>
      <c r="G1875" s="93"/>
      <c r="H1875" s="92">
        <v>6</v>
      </c>
      <c r="I1875" s="92" t="str">
        <f t="shared" si="98"/>
        <v>X</v>
      </c>
      <c r="J1875" s="79" t="str">
        <f>IF(G1875="","X",_xlfn.XLOOKUP(B1875,DATA_Moresby_2024_ALL!B:B,DATA_Moresby_2024_ALL!K:K,""))</f>
        <v>X</v>
      </c>
      <c r="K1875" s="28"/>
      <c r="L1875" s="29"/>
      <c r="M1875" s="28"/>
      <c r="N1875" s="19" t="str">
        <f t="shared" si="97"/>
        <v/>
      </c>
      <c r="O1875" s="19" t="str">
        <f t="shared" si="97"/>
        <v/>
      </c>
      <c r="P1875" s="19" t="str">
        <f t="shared" si="97"/>
        <v/>
      </c>
      <c r="Q1875" s="19" t="str">
        <f t="shared" si="97"/>
        <v/>
      </c>
      <c r="X1875" s="92" t="s">
        <v>78</v>
      </c>
      <c r="Y1875" s="92" t="s">
        <v>78</v>
      </c>
      <c r="Z1875" s="92" t="s">
        <v>78</v>
      </c>
    </row>
    <row r="1876" spans="1:26" ht="16" hidden="1" x14ac:dyDescent="0.4">
      <c r="A1876" s="92">
        <v>9364</v>
      </c>
      <c r="B1876" s="92">
        <v>9365</v>
      </c>
      <c r="E1876" s="92">
        <v>50</v>
      </c>
      <c r="F1876" s="92">
        <f>_xlfn.XLOOKUP(B1876, DATA_Moresby_2024_ALL!B:B, DATA_Moresby_2024_ALL!G:G, "")</f>
        <v>0</v>
      </c>
      <c r="G1876" s="93"/>
      <c r="H1876" s="92">
        <v>6</v>
      </c>
      <c r="I1876" s="92" t="str">
        <f t="shared" si="98"/>
        <v>X</v>
      </c>
      <c r="J1876" s="79" t="str">
        <f>IF(G1876="","X",_xlfn.XLOOKUP(B1876,DATA_Moresby_2024_ALL!B:B,DATA_Moresby_2024_ALL!K:K,""))</f>
        <v>X</v>
      </c>
      <c r="K1876" s="28"/>
      <c r="L1876" s="29"/>
      <c r="M1876" s="28"/>
      <c r="N1876" s="19" t="str">
        <f t="shared" si="97"/>
        <v/>
      </c>
      <c r="O1876" s="19" t="str">
        <f t="shared" si="97"/>
        <v/>
      </c>
      <c r="P1876" s="19" t="str">
        <f t="shared" si="97"/>
        <v/>
      </c>
      <c r="Q1876" s="19" t="str">
        <f t="shared" si="97"/>
        <v/>
      </c>
      <c r="X1876" s="92" t="s">
        <v>78</v>
      </c>
      <c r="Y1876" s="92" t="s">
        <v>78</v>
      </c>
      <c r="Z1876" s="92" t="s">
        <v>78</v>
      </c>
    </row>
    <row r="1877" spans="1:26" ht="16" hidden="1" x14ac:dyDescent="0.4">
      <c r="A1877" s="92">
        <v>9369</v>
      </c>
      <c r="B1877" s="92">
        <v>9370</v>
      </c>
      <c r="E1877" s="92">
        <v>50</v>
      </c>
      <c r="F1877" s="92">
        <f>_xlfn.XLOOKUP(B1877, DATA_Moresby_2024_ALL!B:B, DATA_Moresby_2024_ALL!G:G, "")</f>
        <v>0</v>
      </c>
      <c r="G1877" s="93"/>
      <c r="H1877" s="92">
        <v>6</v>
      </c>
      <c r="I1877" s="92" t="str">
        <f t="shared" si="98"/>
        <v>X</v>
      </c>
      <c r="J1877" s="79" t="str">
        <f>IF(G1877="","X",_xlfn.XLOOKUP(B1877,DATA_Moresby_2024_ALL!B:B,DATA_Moresby_2024_ALL!K:K,""))</f>
        <v>X</v>
      </c>
      <c r="K1877" s="28"/>
      <c r="L1877" s="29"/>
      <c r="M1877" s="28"/>
      <c r="N1877" s="19" t="str">
        <f t="shared" si="97"/>
        <v/>
      </c>
      <c r="O1877" s="19" t="str">
        <f t="shared" si="97"/>
        <v/>
      </c>
      <c r="P1877" s="19" t="str">
        <f t="shared" si="97"/>
        <v/>
      </c>
      <c r="Q1877" s="19" t="str">
        <f t="shared" si="97"/>
        <v/>
      </c>
      <c r="X1877" s="92" t="s">
        <v>78</v>
      </c>
      <c r="Y1877" s="92" t="s">
        <v>78</v>
      </c>
      <c r="Z1877" s="92" t="s">
        <v>78</v>
      </c>
    </row>
    <row r="1878" spans="1:26" ht="16" hidden="1" x14ac:dyDescent="0.4">
      <c r="A1878" s="92">
        <v>9374</v>
      </c>
      <c r="B1878" s="92">
        <v>9375</v>
      </c>
      <c r="E1878" s="92">
        <v>50</v>
      </c>
      <c r="F1878" s="92">
        <f>_xlfn.XLOOKUP(B1878, DATA_Moresby_2024_ALL!B:B, DATA_Moresby_2024_ALL!G:G, "")</f>
        <v>0</v>
      </c>
      <c r="G1878" s="93"/>
      <c r="H1878" s="92">
        <v>6</v>
      </c>
      <c r="I1878" s="92" t="str">
        <f t="shared" si="98"/>
        <v>X</v>
      </c>
      <c r="J1878" s="79" t="str">
        <f>IF(G1878="","X",_xlfn.XLOOKUP(B1878,DATA_Moresby_2024_ALL!B:B,DATA_Moresby_2024_ALL!K:K,""))</f>
        <v>X</v>
      </c>
      <c r="K1878" s="28"/>
      <c r="L1878" s="29"/>
      <c r="M1878" s="28"/>
      <c r="N1878" s="19" t="str">
        <f t="shared" si="97"/>
        <v/>
      </c>
      <c r="O1878" s="19" t="str">
        <f t="shared" si="97"/>
        <v/>
      </c>
      <c r="P1878" s="19" t="str">
        <f t="shared" si="97"/>
        <v/>
      </c>
      <c r="Q1878" s="19" t="str">
        <f t="shared" si="97"/>
        <v/>
      </c>
      <c r="X1878" s="92" t="s">
        <v>78</v>
      </c>
      <c r="Y1878" s="92" t="s">
        <v>78</v>
      </c>
      <c r="Z1878" s="92" t="s">
        <v>78</v>
      </c>
    </row>
    <row r="1879" spans="1:26" ht="16" hidden="1" x14ac:dyDescent="0.4">
      <c r="A1879" s="92">
        <v>9379</v>
      </c>
      <c r="B1879" s="92">
        <v>9380</v>
      </c>
      <c r="E1879" s="92">
        <v>50</v>
      </c>
      <c r="F1879" s="92">
        <f>_xlfn.XLOOKUP(B1879, DATA_Moresby_2024_ALL!B:B, DATA_Moresby_2024_ALL!G:G, "")</f>
        <v>0</v>
      </c>
      <c r="G1879" s="93"/>
      <c r="H1879" s="92">
        <v>6</v>
      </c>
      <c r="I1879" s="92" t="str">
        <f t="shared" si="98"/>
        <v>X</v>
      </c>
      <c r="J1879" s="79" t="str">
        <f>IF(G1879="","X",_xlfn.XLOOKUP(B1879,DATA_Moresby_2024_ALL!B:B,DATA_Moresby_2024_ALL!K:K,""))</f>
        <v>X</v>
      </c>
      <c r="K1879" s="28"/>
      <c r="L1879" s="29"/>
      <c r="M1879" s="28"/>
      <c r="N1879" s="19" t="str">
        <f t="shared" si="97"/>
        <v/>
      </c>
      <c r="O1879" s="19" t="str">
        <f t="shared" si="97"/>
        <v/>
      </c>
      <c r="P1879" s="19" t="str">
        <f t="shared" si="97"/>
        <v/>
      </c>
      <c r="Q1879" s="19" t="str">
        <f t="shared" si="97"/>
        <v/>
      </c>
      <c r="X1879" s="92" t="s">
        <v>78</v>
      </c>
      <c r="Y1879" s="92" t="s">
        <v>78</v>
      </c>
      <c r="Z1879" s="92" t="s">
        <v>78</v>
      </c>
    </row>
    <row r="1880" spans="1:26" ht="16" hidden="1" x14ac:dyDescent="0.4">
      <c r="A1880" s="92">
        <v>9384</v>
      </c>
      <c r="B1880" s="92">
        <v>9385</v>
      </c>
      <c r="E1880" s="92">
        <v>50</v>
      </c>
      <c r="F1880" s="92">
        <f>_xlfn.XLOOKUP(B1880, DATA_Moresby_2024_ALL!B:B, DATA_Moresby_2024_ALL!G:G, "")</f>
        <v>0</v>
      </c>
      <c r="G1880" s="93"/>
      <c r="H1880" s="92">
        <v>6</v>
      </c>
      <c r="I1880" s="92" t="str">
        <f t="shared" si="98"/>
        <v>X</v>
      </c>
      <c r="J1880" s="79" t="str">
        <f>IF(G1880="","X",_xlfn.XLOOKUP(B1880,DATA_Moresby_2024_ALL!B:B,DATA_Moresby_2024_ALL!K:K,""))</f>
        <v>X</v>
      </c>
      <c r="K1880" s="28"/>
      <c r="L1880" s="29"/>
      <c r="M1880" s="28"/>
      <c r="N1880" s="19" t="str">
        <f t="shared" si="97"/>
        <v/>
      </c>
      <c r="O1880" s="19" t="str">
        <f t="shared" si="97"/>
        <v/>
      </c>
      <c r="P1880" s="19" t="str">
        <f t="shared" si="97"/>
        <v/>
      </c>
      <c r="Q1880" s="19" t="str">
        <f t="shared" si="97"/>
        <v/>
      </c>
      <c r="X1880" s="92" t="s">
        <v>78</v>
      </c>
      <c r="Y1880" s="92" t="s">
        <v>78</v>
      </c>
      <c r="Z1880" s="92" t="s">
        <v>78</v>
      </c>
    </row>
    <row r="1881" spans="1:26" ht="16" hidden="1" x14ac:dyDescent="0.4">
      <c r="A1881" s="92">
        <v>9389</v>
      </c>
      <c r="B1881" s="92">
        <v>9390</v>
      </c>
      <c r="E1881" s="92">
        <v>50</v>
      </c>
      <c r="F1881" s="92">
        <f>_xlfn.XLOOKUP(B1881, DATA_Moresby_2024_ALL!B:B, DATA_Moresby_2024_ALL!G:G, "")</f>
        <v>0</v>
      </c>
      <c r="G1881" s="93"/>
      <c r="H1881" s="92">
        <v>6</v>
      </c>
      <c r="I1881" s="92" t="str">
        <f t="shared" si="98"/>
        <v>X</v>
      </c>
      <c r="J1881" s="79" t="str">
        <f>IF(G1881="","X",_xlfn.XLOOKUP(B1881,DATA_Moresby_2024_ALL!B:B,DATA_Moresby_2024_ALL!K:K,""))</f>
        <v>X</v>
      </c>
      <c r="K1881" s="28"/>
      <c r="L1881" s="29"/>
      <c r="M1881" s="28"/>
      <c r="N1881" s="19" t="str">
        <f t="shared" si="97"/>
        <v/>
      </c>
      <c r="O1881" s="19" t="str">
        <f t="shared" si="97"/>
        <v/>
      </c>
      <c r="P1881" s="19" t="str">
        <f t="shared" si="97"/>
        <v/>
      </c>
      <c r="Q1881" s="19" t="str">
        <f t="shared" si="97"/>
        <v/>
      </c>
      <c r="X1881" s="92" t="s">
        <v>78</v>
      </c>
      <c r="Y1881" s="92" t="s">
        <v>78</v>
      </c>
      <c r="Z1881" s="92" t="s">
        <v>78</v>
      </c>
    </row>
    <row r="1882" spans="1:26" ht="16" hidden="1" x14ac:dyDescent="0.4">
      <c r="A1882" s="92">
        <v>9394</v>
      </c>
      <c r="B1882" s="92">
        <v>9395</v>
      </c>
      <c r="E1882" s="92">
        <v>50</v>
      </c>
      <c r="F1882" s="92">
        <f>_xlfn.XLOOKUP(B1882, DATA_Moresby_2024_ALL!B:B, DATA_Moresby_2024_ALL!G:G, "")</f>
        <v>0</v>
      </c>
      <c r="G1882" s="93"/>
      <c r="H1882" s="92">
        <v>6</v>
      </c>
      <c r="I1882" s="92" t="str">
        <f t="shared" si="98"/>
        <v>X</v>
      </c>
      <c r="J1882" s="79" t="str">
        <f>IF(G1882="","X",_xlfn.XLOOKUP(B1882,DATA_Moresby_2024_ALL!B:B,DATA_Moresby_2024_ALL!K:K,""))</f>
        <v>X</v>
      </c>
      <c r="K1882" s="28"/>
      <c r="L1882" s="29"/>
      <c r="M1882" s="28"/>
      <c r="N1882" s="19" t="str">
        <f t="shared" si="97"/>
        <v/>
      </c>
      <c r="O1882" s="19" t="str">
        <f t="shared" si="97"/>
        <v/>
      </c>
      <c r="P1882" s="19" t="str">
        <f t="shared" si="97"/>
        <v/>
      </c>
      <c r="Q1882" s="19" t="str">
        <f t="shared" si="97"/>
        <v/>
      </c>
      <c r="X1882" s="92" t="s">
        <v>78</v>
      </c>
      <c r="Y1882" s="92" t="s">
        <v>78</v>
      </c>
      <c r="Z1882" s="92" t="s">
        <v>78</v>
      </c>
    </row>
    <row r="1883" spans="1:26" ht="16" hidden="1" x14ac:dyDescent="0.4">
      <c r="A1883" s="92">
        <v>9399</v>
      </c>
      <c r="B1883" s="92">
        <v>9400</v>
      </c>
      <c r="E1883" s="92">
        <v>50</v>
      </c>
      <c r="F1883" s="92">
        <f>_xlfn.XLOOKUP(B1883, DATA_Moresby_2024_ALL!B:B, DATA_Moresby_2024_ALL!G:G, "")</f>
        <v>0</v>
      </c>
      <c r="G1883" s="93"/>
      <c r="H1883" s="92">
        <v>6</v>
      </c>
      <c r="I1883" s="92" t="str">
        <f t="shared" si="98"/>
        <v>X</v>
      </c>
      <c r="J1883" s="79" t="str">
        <f>IF(G1883="","X",_xlfn.XLOOKUP(B1883,DATA_Moresby_2024_ALL!B:B,DATA_Moresby_2024_ALL!K:K,""))</f>
        <v>X</v>
      </c>
      <c r="K1883" s="28"/>
      <c r="L1883" s="29"/>
      <c r="M1883" s="28"/>
      <c r="N1883" s="19" t="str">
        <f t="shared" si="97"/>
        <v/>
      </c>
      <c r="O1883" s="19" t="str">
        <f t="shared" si="97"/>
        <v/>
      </c>
      <c r="P1883" s="19" t="str">
        <f t="shared" si="97"/>
        <v/>
      </c>
      <c r="Q1883" s="19" t="str">
        <f t="shared" si="97"/>
        <v/>
      </c>
      <c r="X1883" s="92" t="s">
        <v>78</v>
      </c>
      <c r="Y1883" s="92" t="s">
        <v>78</v>
      </c>
      <c r="Z1883" s="92" t="s">
        <v>78</v>
      </c>
    </row>
    <row r="1884" spans="1:26" ht="16" hidden="1" x14ac:dyDescent="0.4">
      <c r="A1884" s="92">
        <v>9404</v>
      </c>
      <c r="B1884" s="92">
        <v>9405</v>
      </c>
      <c r="E1884" s="92">
        <v>50</v>
      </c>
      <c r="F1884" s="92">
        <f>_xlfn.XLOOKUP(B1884, DATA_Moresby_2024_ALL!B:B, DATA_Moresby_2024_ALL!G:G, "")</f>
        <v>0</v>
      </c>
      <c r="G1884" s="93"/>
      <c r="H1884" s="92">
        <v>6</v>
      </c>
      <c r="I1884" s="92" t="str">
        <f t="shared" si="98"/>
        <v>X</v>
      </c>
      <c r="J1884" s="79" t="str">
        <f>IF(G1884="","X",_xlfn.XLOOKUP(B1884,DATA_Moresby_2024_ALL!B:B,DATA_Moresby_2024_ALL!K:K,""))</f>
        <v>X</v>
      </c>
      <c r="K1884" s="28"/>
      <c r="L1884" s="29"/>
      <c r="M1884" s="28"/>
      <c r="N1884" s="19" t="str">
        <f t="shared" si="97"/>
        <v/>
      </c>
      <c r="O1884" s="19" t="str">
        <f t="shared" si="97"/>
        <v/>
      </c>
      <c r="P1884" s="19" t="str">
        <f t="shared" si="97"/>
        <v/>
      </c>
      <c r="Q1884" s="19" t="str">
        <f t="shared" si="97"/>
        <v/>
      </c>
      <c r="X1884" s="92" t="s">
        <v>78</v>
      </c>
      <c r="Y1884" s="92" t="s">
        <v>78</v>
      </c>
      <c r="Z1884" s="92" t="s">
        <v>78</v>
      </c>
    </row>
    <row r="1885" spans="1:26" ht="16" hidden="1" x14ac:dyDescent="0.4">
      <c r="A1885" s="92">
        <v>9409</v>
      </c>
      <c r="B1885" s="92">
        <v>9410</v>
      </c>
      <c r="E1885" s="92">
        <v>50</v>
      </c>
      <c r="F1885" s="92">
        <f>_xlfn.XLOOKUP(B1885, DATA_Moresby_2024_ALL!B:B, DATA_Moresby_2024_ALL!G:G, "")</f>
        <v>0</v>
      </c>
      <c r="G1885" s="93"/>
      <c r="H1885" s="92">
        <v>6</v>
      </c>
      <c r="I1885" s="92" t="str">
        <f t="shared" si="98"/>
        <v>X</v>
      </c>
      <c r="J1885" s="79" t="str">
        <f>IF(G1885="","X",_xlfn.XLOOKUP(B1885,DATA_Moresby_2024_ALL!B:B,DATA_Moresby_2024_ALL!K:K,""))</f>
        <v>X</v>
      </c>
      <c r="K1885" s="28"/>
      <c r="L1885" s="29"/>
      <c r="M1885" s="28"/>
      <c r="N1885" s="19" t="str">
        <f t="shared" si="97"/>
        <v/>
      </c>
      <c r="O1885" s="19" t="str">
        <f t="shared" si="97"/>
        <v/>
      </c>
      <c r="P1885" s="19" t="str">
        <f t="shared" si="97"/>
        <v/>
      </c>
      <c r="Q1885" s="19" t="str">
        <f t="shared" ref="O1885:Q1948" si="99">IF($J1885=1,4,"")</f>
        <v/>
      </c>
      <c r="X1885" s="92" t="s">
        <v>78</v>
      </c>
      <c r="Y1885" s="92" t="s">
        <v>78</v>
      </c>
      <c r="Z1885" s="92" t="s">
        <v>78</v>
      </c>
    </row>
    <row r="1886" spans="1:26" ht="16" hidden="1" x14ac:dyDescent="0.4">
      <c r="A1886" s="92">
        <v>9414</v>
      </c>
      <c r="B1886" s="92">
        <v>9415</v>
      </c>
      <c r="E1886" s="92">
        <v>50</v>
      </c>
      <c r="F1886" s="92">
        <f>_xlfn.XLOOKUP(B1886, DATA_Moresby_2024_ALL!B:B, DATA_Moresby_2024_ALL!G:G, "")</f>
        <v>0</v>
      </c>
      <c r="G1886" s="93"/>
      <c r="H1886" s="92">
        <v>6</v>
      </c>
      <c r="I1886" s="92" t="str">
        <f t="shared" si="98"/>
        <v>X</v>
      </c>
      <c r="J1886" s="79" t="str">
        <f>IF(G1886="","X",_xlfn.XLOOKUP(B1886,DATA_Moresby_2024_ALL!B:B,DATA_Moresby_2024_ALL!K:K,""))</f>
        <v>X</v>
      </c>
      <c r="K1886" s="28"/>
      <c r="L1886" s="29"/>
      <c r="M1886" s="28"/>
      <c r="N1886" s="19" t="str">
        <f t="shared" ref="N1886:Q1949" si="100">IF($J1886=1,4,"")</f>
        <v/>
      </c>
      <c r="O1886" s="19" t="str">
        <f t="shared" si="99"/>
        <v/>
      </c>
      <c r="P1886" s="19" t="str">
        <f t="shared" si="99"/>
        <v/>
      </c>
      <c r="Q1886" s="19" t="str">
        <f t="shared" si="99"/>
        <v/>
      </c>
      <c r="X1886" s="92" t="s">
        <v>78</v>
      </c>
      <c r="Y1886" s="92" t="s">
        <v>78</v>
      </c>
      <c r="Z1886" s="92" t="s">
        <v>78</v>
      </c>
    </row>
    <row r="1887" spans="1:26" ht="16" hidden="1" x14ac:dyDescent="0.4">
      <c r="A1887" s="92">
        <v>9419</v>
      </c>
      <c r="B1887" s="92">
        <v>9420</v>
      </c>
      <c r="E1887" s="92">
        <v>50</v>
      </c>
      <c r="F1887" s="92">
        <f>_xlfn.XLOOKUP(B1887, DATA_Moresby_2024_ALL!B:B, DATA_Moresby_2024_ALL!G:G, "")</f>
        <v>0</v>
      </c>
      <c r="G1887" s="93"/>
      <c r="H1887" s="92">
        <v>6</v>
      </c>
      <c r="I1887" s="92" t="str">
        <f t="shared" si="98"/>
        <v>X</v>
      </c>
      <c r="J1887" s="79" t="str">
        <f>IF(G1887="","X",_xlfn.XLOOKUP(B1887,DATA_Moresby_2024_ALL!B:B,DATA_Moresby_2024_ALL!K:K,""))</f>
        <v>X</v>
      </c>
      <c r="K1887" s="28"/>
      <c r="L1887" s="29"/>
      <c r="M1887" s="28"/>
      <c r="N1887" s="19" t="str">
        <f t="shared" si="100"/>
        <v/>
      </c>
      <c r="O1887" s="19" t="str">
        <f t="shared" si="99"/>
        <v/>
      </c>
      <c r="P1887" s="19" t="str">
        <f t="shared" si="99"/>
        <v/>
      </c>
      <c r="Q1887" s="19" t="str">
        <f t="shared" si="99"/>
        <v/>
      </c>
      <c r="X1887" s="92" t="s">
        <v>78</v>
      </c>
      <c r="Y1887" s="92" t="s">
        <v>78</v>
      </c>
      <c r="Z1887" s="92" t="s">
        <v>78</v>
      </c>
    </row>
    <row r="1888" spans="1:26" ht="16" hidden="1" x14ac:dyDescent="0.4">
      <c r="A1888" s="92">
        <v>9424</v>
      </c>
      <c r="B1888" s="92">
        <v>9425</v>
      </c>
      <c r="E1888" s="92">
        <v>50</v>
      </c>
      <c r="F1888" s="92">
        <f>_xlfn.XLOOKUP(B1888, DATA_Moresby_2024_ALL!B:B, DATA_Moresby_2024_ALL!G:G, "")</f>
        <v>0</v>
      </c>
      <c r="G1888" s="93"/>
      <c r="H1888" s="92">
        <v>6</v>
      </c>
      <c r="I1888" s="92" t="str">
        <f t="shared" si="98"/>
        <v>X</v>
      </c>
      <c r="J1888" s="79" t="str">
        <f>IF(G1888="","X",_xlfn.XLOOKUP(B1888,DATA_Moresby_2024_ALL!B:B,DATA_Moresby_2024_ALL!K:K,""))</f>
        <v>X</v>
      </c>
      <c r="K1888" s="28"/>
      <c r="L1888" s="29"/>
      <c r="M1888" s="28"/>
      <c r="N1888" s="19" t="str">
        <f t="shared" si="100"/>
        <v/>
      </c>
      <c r="O1888" s="19" t="str">
        <f t="shared" si="99"/>
        <v/>
      </c>
      <c r="P1888" s="19" t="str">
        <f t="shared" si="99"/>
        <v/>
      </c>
      <c r="Q1888" s="19" t="str">
        <f t="shared" si="99"/>
        <v/>
      </c>
      <c r="X1888" s="92" t="s">
        <v>78</v>
      </c>
      <c r="Y1888" s="92" t="s">
        <v>78</v>
      </c>
      <c r="Z1888" s="92" t="s">
        <v>78</v>
      </c>
    </row>
    <row r="1889" spans="1:26" ht="16" hidden="1" x14ac:dyDescent="0.4">
      <c r="A1889" s="92">
        <v>9429</v>
      </c>
      <c r="B1889" s="92">
        <v>9430</v>
      </c>
      <c r="E1889" s="92">
        <v>50</v>
      </c>
      <c r="F1889" s="92">
        <f>_xlfn.XLOOKUP(B1889, DATA_Moresby_2024_ALL!B:B, DATA_Moresby_2024_ALL!G:G, "")</f>
        <v>0</v>
      </c>
      <c r="G1889" s="93"/>
      <c r="H1889" s="92">
        <v>6</v>
      </c>
      <c r="I1889" s="92" t="str">
        <f t="shared" si="98"/>
        <v>X</v>
      </c>
      <c r="J1889" s="79" t="str">
        <f>IF(G1889="","X",_xlfn.XLOOKUP(B1889,DATA_Moresby_2024_ALL!B:B,DATA_Moresby_2024_ALL!K:K,""))</f>
        <v>X</v>
      </c>
      <c r="K1889" s="28"/>
      <c r="L1889" s="29"/>
      <c r="M1889" s="28"/>
      <c r="N1889" s="19" t="str">
        <f t="shared" si="100"/>
        <v/>
      </c>
      <c r="O1889" s="19" t="str">
        <f t="shared" si="99"/>
        <v/>
      </c>
      <c r="P1889" s="19" t="str">
        <f t="shared" si="99"/>
        <v/>
      </c>
      <c r="Q1889" s="19" t="str">
        <f t="shared" si="99"/>
        <v/>
      </c>
      <c r="X1889" s="92" t="s">
        <v>78</v>
      </c>
      <c r="Y1889" s="92" t="s">
        <v>78</v>
      </c>
      <c r="Z1889" s="92" t="s">
        <v>78</v>
      </c>
    </row>
    <row r="1890" spans="1:26" ht="16" hidden="1" x14ac:dyDescent="0.4">
      <c r="A1890" s="92">
        <v>9434</v>
      </c>
      <c r="B1890" s="92">
        <v>9435</v>
      </c>
      <c r="E1890" s="92">
        <v>50</v>
      </c>
      <c r="F1890" s="92">
        <f>_xlfn.XLOOKUP(B1890, DATA_Moresby_2024_ALL!B:B, DATA_Moresby_2024_ALL!G:G, "")</f>
        <v>0</v>
      </c>
      <c r="G1890" s="93"/>
      <c r="H1890" s="92">
        <v>6</v>
      </c>
      <c r="I1890" s="92" t="str">
        <f t="shared" si="98"/>
        <v>X</v>
      </c>
      <c r="J1890" s="79" t="str">
        <f>IF(G1890="","X",_xlfn.XLOOKUP(B1890,DATA_Moresby_2024_ALL!B:B,DATA_Moresby_2024_ALL!K:K,""))</f>
        <v>X</v>
      </c>
      <c r="K1890" s="28"/>
      <c r="L1890" s="29"/>
      <c r="M1890" s="28"/>
      <c r="N1890" s="19" t="str">
        <f t="shared" si="100"/>
        <v/>
      </c>
      <c r="O1890" s="19" t="str">
        <f t="shared" si="99"/>
        <v/>
      </c>
      <c r="P1890" s="19" t="str">
        <f t="shared" si="99"/>
        <v/>
      </c>
      <c r="Q1890" s="19" t="str">
        <f t="shared" si="99"/>
        <v/>
      </c>
      <c r="X1890" s="92" t="s">
        <v>78</v>
      </c>
      <c r="Y1890" s="92" t="s">
        <v>78</v>
      </c>
      <c r="Z1890" s="92" t="s">
        <v>78</v>
      </c>
    </row>
    <row r="1891" spans="1:26" ht="16" hidden="1" x14ac:dyDescent="0.4">
      <c r="A1891" s="92">
        <v>9439</v>
      </c>
      <c r="B1891" s="92">
        <v>9440</v>
      </c>
      <c r="E1891" s="92">
        <v>50</v>
      </c>
      <c r="F1891" s="92">
        <f>_xlfn.XLOOKUP(B1891, DATA_Moresby_2024_ALL!B:B, DATA_Moresby_2024_ALL!G:G, "")</f>
        <v>0</v>
      </c>
      <c r="G1891" s="93"/>
      <c r="H1891" s="92">
        <v>6</v>
      </c>
      <c r="I1891" s="92" t="str">
        <f t="shared" si="98"/>
        <v>X</v>
      </c>
      <c r="J1891" s="79" t="str">
        <f>IF(G1891="","X",_xlfn.XLOOKUP(B1891,DATA_Moresby_2024_ALL!B:B,DATA_Moresby_2024_ALL!K:K,""))</f>
        <v>X</v>
      </c>
      <c r="K1891" s="28"/>
      <c r="L1891" s="29"/>
      <c r="M1891" s="28"/>
      <c r="N1891" s="19" t="str">
        <f t="shared" si="100"/>
        <v/>
      </c>
      <c r="O1891" s="19" t="str">
        <f t="shared" si="99"/>
        <v/>
      </c>
      <c r="P1891" s="19" t="str">
        <f t="shared" si="99"/>
        <v/>
      </c>
      <c r="Q1891" s="19" t="str">
        <f t="shared" si="99"/>
        <v/>
      </c>
      <c r="X1891" s="92" t="s">
        <v>78</v>
      </c>
      <c r="Y1891" s="92" t="s">
        <v>78</v>
      </c>
      <c r="Z1891" s="92" t="s">
        <v>78</v>
      </c>
    </row>
    <row r="1892" spans="1:26" ht="16" hidden="1" x14ac:dyDescent="0.4">
      <c r="A1892" s="92">
        <v>9444</v>
      </c>
      <c r="B1892" s="92">
        <v>9445</v>
      </c>
      <c r="E1892" s="92">
        <v>50</v>
      </c>
      <c r="F1892" s="92">
        <f>_xlfn.XLOOKUP(B1892, DATA_Moresby_2024_ALL!B:B, DATA_Moresby_2024_ALL!G:G, "")</f>
        <v>0</v>
      </c>
      <c r="G1892" s="93"/>
      <c r="H1892" s="92">
        <v>6</v>
      </c>
      <c r="I1892" s="92" t="str">
        <f t="shared" si="98"/>
        <v>X</v>
      </c>
      <c r="J1892" s="79" t="str">
        <f>IF(G1892="","X",_xlfn.XLOOKUP(B1892,DATA_Moresby_2024_ALL!B:B,DATA_Moresby_2024_ALL!K:K,""))</f>
        <v>X</v>
      </c>
      <c r="K1892" s="28"/>
      <c r="L1892" s="29"/>
      <c r="M1892" s="28"/>
      <c r="N1892" s="19" t="str">
        <f t="shared" si="100"/>
        <v/>
      </c>
      <c r="O1892" s="19" t="str">
        <f t="shared" si="99"/>
        <v/>
      </c>
      <c r="P1892" s="19" t="str">
        <f t="shared" si="99"/>
        <v/>
      </c>
      <c r="Q1892" s="19" t="str">
        <f t="shared" si="99"/>
        <v/>
      </c>
      <c r="X1892" s="92" t="s">
        <v>78</v>
      </c>
      <c r="Y1892" s="92" t="s">
        <v>78</v>
      </c>
      <c r="Z1892" s="92" t="s">
        <v>78</v>
      </c>
    </row>
    <row r="1893" spans="1:26" ht="16" hidden="1" x14ac:dyDescent="0.4">
      <c r="A1893" s="92">
        <v>9449</v>
      </c>
      <c r="B1893" s="92">
        <v>9450</v>
      </c>
      <c r="E1893" s="92">
        <v>50</v>
      </c>
      <c r="F1893" s="92">
        <f>_xlfn.XLOOKUP(B1893, DATA_Moresby_2024_ALL!B:B, DATA_Moresby_2024_ALL!G:G, "")</f>
        <v>0</v>
      </c>
      <c r="G1893" s="93"/>
      <c r="H1893" s="92">
        <v>6</v>
      </c>
      <c r="I1893" s="92" t="str">
        <f t="shared" si="98"/>
        <v>X</v>
      </c>
      <c r="J1893" s="79" t="str">
        <f>IF(G1893="","X",_xlfn.XLOOKUP(B1893,DATA_Moresby_2024_ALL!B:B,DATA_Moresby_2024_ALL!K:K,""))</f>
        <v>X</v>
      </c>
      <c r="K1893" s="28"/>
      <c r="L1893" s="29"/>
      <c r="M1893" s="28"/>
      <c r="N1893" s="19" t="str">
        <f t="shared" si="100"/>
        <v/>
      </c>
      <c r="O1893" s="19" t="str">
        <f t="shared" si="99"/>
        <v/>
      </c>
      <c r="P1893" s="19" t="str">
        <f t="shared" si="99"/>
        <v/>
      </c>
      <c r="Q1893" s="19" t="str">
        <f t="shared" si="99"/>
        <v/>
      </c>
      <c r="X1893" s="92" t="s">
        <v>78</v>
      </c>
      <c r="Y1893" s="92" t="s">
        <v>78</v>
      </c>
      <c r="Z1893" s="92" t="s">
        <v>78</v>
      </c>
    </row>
    <row r="1894" spans="1:26" ht="16" hidden="1" x14ac:dyDescent="0.4">
      <c r="A1894" s="92">
        <v>9454</v>
      </c>
      <c r="B1894" s="92">
        <v>9455</v>
      </c>
      <c r="E1894" s="92">
        <v>50</v>
      </c>
      <c r="F1894" s="92">
        <f>_xlfn.XLOOKUP(B1894, DATA_Moresby_2024_ALL!B:B, DATA_Moresby_2024_ALL!G:G, "")</f>
        <v>0</v>
      </c>
      <c r="G1894" s="93"/>
      <c r="H1894" s="92">
        <v>6</v>
      </c>
      <c r="I1894" s="92" t="str">
        <f t="shared" si="98"/>
        <v>X</v>
      </c>
      <c r="J1894" s="79" t="str">
        <f>IF(G1894="","X",_xlfn.XLOOKUP(B1894,DATA_Moresby_2024_ALL!B:B,DATA_Moresby_2024_ALL!K:K,""))</f>
        <v>X</v>
      </c>
      <c r="K1894" s="28"/>
      <c r="L1894" s="29"/>
      <c r="M1894" s="28"/>
      <c r="N1894" s="19" t="str">
        <f t="shared" si="100"/>
        <v/>
      </c>
      <c r="O1894" s="19" t="str">
        <f t="shared" si="99"/>
        <v/>
      </c>
      <c r="P1894" s="19" t="str">
        <f t="shared" si="99"/>
        <v/>
      </c>
      <c r="Q1894" s="19" t="str">
        <f t="shared" si="99"/>
        <v/>
      </c>
      <c r="X1894" s="92" t="s">
        <v>78</v>
      </c>
      <c r="Y1894" s="92" t="s">
        <v>78</v>
      </c>
      <c r="Z1894" s="92" t="s">
        <v>78</v>
      </c>
    </row>
    <row r="1895" spans="1:26" ht="16" hidden="1" x14ac:dyDescent="0.4">
      <c r="A1895" s="92">
        <v>9459</v>
      </c>
      <c r="B1895" s="92">
        <v>9460</v>
      </c>
      <c r="E1895" s="92">
        <v>50</v>
      </c>
      <c r="F1895" s="92">
        <f>_xlfn.XLOOKUP(B1895, DATA_Moresby_2024_ALL!B:B, DATA_Moresby_2024_ALL!G:G, "")</f>
        <v>0</v>
      </c>
      <c r="G1895" s="93"/>
      <c r="H1895" s="92">
        <v>6</v>
      </c>
      <c r="I1895" s="92" t="str">
        <f t="shared" si="98"/>
        <v>X</v>
      </c>
      <c r="J1895" s="79" t="str">
        <f>IF(G1895="","X",_xlfn.XLOOKUP(B1895,DATA_Moresby_2024_ALL!B:B,DATA_Moresby_2024_ALL!K:K,""))</f>
        <v>X</v>
      </c>
      <c r="K1895" s="28"/>
      <c r="L1895" s="29"/>
      <c r="M1895" s="28"/>
      <c r="N1895" s="19" t="str">
        <f t="shared" si="100"/>
        <v/>
      </c>
      <c r="O1895" s="19" t="str">
        <f t="shared" si="99"/>
        <v/>
      </c>
      <c r="P1895" s="19" t="str">
        <f t="shared" si="99"/>
        <v/>
      </c>
      <c r="Q1895" s="19" t="str">
        <f t="shared" si="99"/>
        <v/>
      </c>
      <c r="X1895" s="92" t="s">
        <v>78</v>
      </c>
      <c r="Y1895" s="92" t="s">
        <v>78</v>
      </c>
      <c r="Z1895" s="92" t="s">
        <v>78</v>
      </c>
    </row>
    <row r="1896" spans="1:26" ht="16" hidden="1" x14ac:dyDescent="0.4">
      <c r="A1896" s="92">
        <v>9464</v>
      </c>
      <c r="B1896" s="92">
        <v>9465</v>
      </c>
      <c r="E1896" s="92">
        <v>50</v>
      </c>
      <c r="F1896" s="92">
        <f>_xlfn.XLOOKUP(B1896, DATA_Moresby_2024_ALL!B:B, DATA_Moresby_2024_ALL!G:G, "")</f>
        <v>0</v>
      </c>
      <c r="G1896" s="93"/>
      <c r="H1896" s="92">
        <v>6</v>
      </c>
      <c r="I1896" s="92" t="str">
        <f t="shared" si="98"/>
        <v>X</v>
      </c>
      <c r="J1896" s="79" t="str">
        <f>IF(G1896="","X",_xlfn.XLOOKUP(B1896,DATA_Moresby_2024_ALL!B:B,DATA_Moresby_2024_ALL!K:K,""))</f>
        <v>X</v>
      </c>
      <c r="K1896" s="28"/>
      <c r="L1896" s="29"/>
      <c r="M1896" s="28"/>
      <c r="N1896" s="19" t="str">
        <f t="shared" si="100"/>
        <v/>
      </c>
      <c r="O1896" s="19" t="str">
        <f t="shared" si="99"/>
        <v/>
      </c>
      <c r="P1896" s="19" t="str">
        <f t="shared" si="99"/>
        <v/>
      </c>
      <c r="Q1896" s="19" t="str">
        <f t="shared" si="99"/>
        <v/>
      </c>
      <c r="X1896" s="92" t="s">
        <v>78</v>
      </c>
      <c r="Y1896" s="92" t="s">
        <v>78</v>
      </c>
      <c r="Z1896" s="92" t="s">
        <v>78</v>
      </c>
    </row>
    <row r="1897" spans="1:26" ht="16" hidden="1" x14ac:dyDescent="0.4">
      <c r="A1897" s="92">
        <v>9469</v>
      </c>
      <c r="B1897" s="92">
        <v>9470</v>
      </c>
      <c r="E1897" s="92">
        <v>50</v>
      </c>
      <c r="F1897" s="92">
        <f>_xlfn.XLOOKUP(B1897, DATA_Moresby_2024_ALL!B:B, DATA_Moresby_2024_ALL!G:G, "")</f>
        <v>0</v>
      </c>
      <c r="G1897" s="93"/>
      <c r="H1897" s="92">
        <v>6</v>
      </c>
      <c r="I1897" s="92" t="str">
        <f t="shared" si="98"/>
        <v>X</v>
      </c>
      <c r="J1897" s="79" t="str">
        <f>IF(G1897="","X",_xlfn.XLOOKUP(B1897,DATA_Moresby_2024_ALL!B:B,DATA_Moresby_2024_ALL!K:K,""))</f>
        <v>X</v>
      </c>
      <c r="K1897" s="28"/>
      <c r="L1897" s="29"/>
      <c r="M1897" s="28"/>
      <c r="N1897" s="19" t="str">
        <f t="shared" si="100"/>
        <v/>
      </c>
      <c r="O1897" s="19" t="str">
        <f t="shared" si="99"/>
        <v/>
      </c>
      <c r="P1897" s="19" t="str">
        <f t="shared" si="99"/>
        <v/>
      </c>
      <c r="Q1897" s="19" t="str">
        <f t="shared" si="99"/>
        <v/>
      </c>
      <c r="X1897" s="92" t="s">
        <v>78</v>
      </c>
      <c r="Y1897" s="92" t="s">
        <v>78</v>
      </c>
      <c r="Z1897" s="92" t="s">
        <v>78</v>
      </c>
    </row>
    <row r="1898" spans="1:26" ht="16" hidden="1" x14ac:dyDescent="0.4">
      <c r="A1898" s="92">
        <v>9474</v>
      </c>
      <c r="B1898" s="92">
        <v>9475</v>
      </c>
      <c r="E1898" s="92">
        <v>50</v>
      </c>
      <c r="F1898" s="92">
        <f>_xlfn.XLOOKUP(B1898, DATA_Moresby_2024_ALL!B:B, DATA_Moresby_2024_ALL!G:G, "")</f>
        <v>0</v>
      </c>
      <c r="G1898" s="93"/>
      <c r="H1898" s="92">
        <v>6</v>
      </c>
      <c r="I1898" s="92" t="str">
        <f t="shared" si="98"/>
        <v>X</v>
      </c>
      <c r="J1898" s="79" t="str">
        <f>IF(G1898="","X",_xlfn.XLOOKUP(B1898,DATA_Moresby_2024_ALL!B:B,DATA_Moresby_2024_ALL!K:K,""))</f>
        <v>X</v>
      </c>
      <c r="K1898" s="28"/>
      <c r="L1898" s="29"/>
      <c r="M1898" s="28"/>
      <c r="N1898" s="19" t="str">
        <f t="shared" si="100"/>
        <v/>
      </c>
      <c r="O1898" s="19" t="str">
        <f t="shared" si="99"/>
        <v/>
      </c>
      <c r="P1898" s="19" t="str">
        <f t="shared" si="99"/>
        <v/>
      </c>
      <c r="Q1898" s="19" t="str">
        <f t="shared" si="99"/>
        <v/>
      </c>
      <c r="X1898" s="92" t="s">
        <v>78</v>
      </c>
      <c r="Y1898" s="92" t="s">
        <v>78</v>
      </c>
      <c r="Z1898" s="92" t="s">
        <v>78</v>
      </c>
    </row>
    <row r="1899" spans="1:26" ht="16" hidden="1" x14ac:dyDescent="0.4">
      <c r="A1899" s="92">
        <v>9479</v>
      </c>
      <c r="B1899" s="92">
        <v>9480</v>
      </c>
      <c r="E1899" s="92">
        <v>50</v>
      </c>
      <c r="F1899" s="92">
        <f>_xlfn.XLOOKUP(B1899, DATA_Moresby_2024_ALL!B:B, DATA_Moresby_2024_ALL!G:G, "")</f>
        <v>0</v>
      </c>
      <c r="G1899" s="93"/>
      <c r="H1899" s="92">
        <v>6</v>
      </c>
      <c r="I1899" s="92" t="str">
        <f t="shared" si="98"/>
        <v>X</v>
      </c>
      <c r="J1899" s="79" t="str">
        <f>IF(G1899="","X",_xlfn.XLOOKUP(B1899,DATA_Moresby_2024_ALL!B:B,DATA_Moresby_2024_ALL!K:K,""))</f>
        <v>X</v>
      </c>
      <c r="K1899" s="28"/>
      <c r="L1899" s="29"/>
      <c r="M1899" s="28"/>
      <c r="N1899" s="19" t="str">
        <f t="shared" si="100"/>
        <v/>
      </c>
      <c r="O1899" s="19" t="str">
        <f t="shared" si="99"/>
        <v/>
      </c>
      <c r="P1899" s="19" t="str">
        <f t="shared" si="99"/>
        <v/>
      </c>
      <c r="Q1899" s="19" t="str">
        <f t="shared" si="99"/>
        <v/>
      </c>
      <c r="X1899" s="92" t="s">
        <v>78</v>
      </c>
      <c r="Y1899" s="92" t="s">
        <v>78</v>
      </c>
      <c r="Z1899" s="92" t="s">
        <v>78</v>
      </c>
    </row>
    <row r="1900" spans="1:26" ht="16" hidden="1" x14ac:dyDescent="0.4">
      <c r="A1900" s="92">
        <v>9484</v>
      </c>
      <c r="B1900" s="92">
        <v>9485</v>
      </c>
      <c r="E1900" s="92">
        <v>50</v>
      </c>
      <c r="F1900" s="92">
        <f>_xlfn.XLOOKUP(B1900, DATA_Moresby_2024_ALL!B:B, DATA_Moresby_2024_ALL!G:G, "")</f>
        <v>0</v>
      </c>
      <c r="G1900" s="93"/>
      <c r="H1900" s="92">
        <v>6</v>
      </c>
      <c r="I1900" s="92" t="str">
        <f t="shared" si="98"/>
        <v>X</v>
      </c>
      <c r="J1900" s="79" t="str">
        <f>IF(G1900="","X",_xlfn.XLOOKUP(B1900,DATA_Moresby_2024_ALL!B:B,DATA_Moresby_2024_ALL!K:K,""))</f>
        <v>X</v>
      </c>
      <c r="K1900" s="28"/>
      <c r="L1900" s="29"/>
      <c r="M1900" s="28"/>
      <c r="N1900" s="19" t="str">
        <f t="shared" si="100"/>
        <v/>
      </c>
      <c r="O1900" s="19" t="str">
        <f t="shared" si="99"/>
        <v/>
      </c>
      <c r="P1900" s="19" t="str">
        <f t="shared" si="99"/>
        <v/>
      </c>
      <c r="Q1900" s="19" t="str">
        <f t="shared" si="99"/>
        <v/>
      </c>
      <c r="X1900" s="92" t="s">
        <v>78</v>
      </c>
      <c r="Y1900" s="92" t="s">
        <v>78</v>
      </c>
      <c r="Z1900" s="92" t="s">
        <v>78</v>
      </c>
    </row>
    <row r="1901" spans="1:26" ht="16" hidden="1" x14ac:dyDescent="0.4">
      <c r="A1901" s="92">
        <v>9489</v>
      </c>
      <c r="B1901" s="92">
        <v>9490</v>
      </c>
      <c r="E1901" s="92">
        <v>50</v>
      </c>
      <c r="F1901" s="92">
        <f>_xlfn.XLOOKUP(B1901, DATA_Moresby_2024_ALL!B:B, DATA_Moresby_2024_ALL!G:G, "")</f>
        <v>0</v>
      </c>
      <c r="G1901" s="93"/>
      <c r="H1901" s="92">
        <v>6</v>
      </c>
      <c r="I1901" s="92" t="str">
        <f t="shared" si="98"/>
        <v>X</v>
      </c>
      <c r="J1901" s="79" t="str">
        <f>IF(G1901="","X",_xlfn.XLOOKUP(B1901,DATA_Moresby_2024_ALL!B:B,DATA_Moresby_2024_ALL!K:K,""))</f>
        <v>X</v>
      </c>
      <c r="K1901" s="28"/>
      <c r="L1901" s="29"/>
      <c r="M1901" s="28"/>
      <c r="N1901" s="19" t="str">
        <f t="shared" si="100"/>
        <v/>
      </c>
      <c r="O1901" s="19" t="str">
        <f t="shared" si="99"/>
        <v/>
      </c>
      <c r="P1901" s="19" t="str">
        <f t="shared" si="99"/>
        <v/>
      </c>
      <c r="Q1901" s="19" t="str">
        <f t="shared" si="99"/>
        <v/>
      </c>
      <c r="X1901" s="92" t="s">
        <v>78</v>
      </c>
      <c r="Y1901" s="92" t="s">
        <v>78</v>
      </c>
      <c r="Z1901" s="92" t="s">
        <v>78</v>
      </c>
    </row>
    <row r="1902" spans="1:26" ht="16" hidden="1" x14ac:dyDescent="0.4">
      <c r="A1902" s="92">
        <v>9494</v>
      </c>
      <c r="B1902" s="92">
        <v>9495</v>
      </c>
      <c r="E1902" s="92">
        <v>50</v>
      </c>
      <c r="F1902" s="92">
        <f>_xlfn.XLOOKUP(B1902, DATA_Moresby_2024_ALL!B:B, DATA_Moresby_2024_ALL!G:G, "")</f>
        <v>0</v>
      </c>
      <c r="G1902" s="93"/>
      <c r="H1902" s="92">
        <v>6</v>
      </c>
      <c r="I1902" s="92" t="str">
        <f t="shared" si="98"/>
        <v>X</v>
      </c>
      <c r="J1902" s="79" t="str">
        <f>IF(G1902="","X",_xlfn.XLOOKUP(B1902,DATA_Moresby_2024_ALL!B:B,DATA_Moresby_2024_ALL!K:K,""))</f>
        <v>X</v>
      </c>
      <c r="K1902" s="28"/>
      <c r="L1902" s="29"/>
      <c r="M1902" s="28"/>
      <c r="N1902" s="19" t="str">
        <f t="shared" si="100"/>
        <v/>
      </c>
      <c r="O1902" s="19" t="str">
        <f t="shared" si="99"/>
        <v/>
      </c>
      <c r="P1902" s="19" t="str">
        <f t="shared" si="99"/>
        <v/>
      </c>
      <c r="Q1902" s="19" t="str">
        <f t="shared" si="99"/>
        <v/>
      </c>
      <c r="X1902" s="92" t="s">
        <v>78</v>
      </c>
      <c r="Y1902" s="92" t="s">
        <v>78</v>
      </c>
      <c r="Z1902" s="92" t="s">
        <v>78</v>
      </c>
    </row>
    <row r="1903" spans="1:26" ht="16" hidden="1" x14ac:dyDescent="0.4">
      <c r="A1903" s="92">
        <v>9499</v>
      </c>
      <c r="B1903" s="92">
        <v>9500</v>
      </c>
      <c r="E1903" s="92">
        <v>50</v>
      </c>
      <c r="F1903" s="92">
        <f>_xlfn.XLOOKUP(B1903, DATA_Moresby_2024_ALL!B:B, DATA_Moresby_2024_ALL!G:G, "")</f>
        <v>0</v>
      </c>
      <c r="G1903" s="93"/>
      <c r="H1903" s="92">
        <v>6</v>
      </c>
      <c r="I1903" s="92" t="str">
        <f t="shared" si="98"/>
        <v>X</v>
      </c>
      <c r="J1903" s="79" t="str">
        <f>IF(G1903="","X",_xlfn.XLOOKUP(B1903,DATA_Moresby_2024_ALL!B:B,DATA_Moresby_2024_ALL!K:K,""))</f>
        <v>X</v>
      </c>
      <c r="K1903" s="28"/>
      <c r="L1903" s="29"/>
      <c r="M1903" s="28"/>
      <c r="N1903" s="19" t="str">
        <f t="shared" si="100"/>
        <v/>
      </c>
      <c r="O1903" s="19" t="str">
        <f t="shared" si="99"/>
        <v/>
      </c>
      <c r="P1903" s="19" t="str">
        <f t="shared" si="99"/>
        <v/>
      </c>
      <c r="Q1903" s="19" t="str">
        <f t="shared" si="99"/>
        <v/>
      </c>
      <c r="X1903" s="92" t="s">
        <v>78</v>
      </c>
      <c r="Y1903" s="92" t="s">
        <v>78</v>
      </c>
      <c r="Z1903" s="92" t="s">
        <v>78</v>
      </c>
    </row>
    <row r="1904" spans="1:26" ht="16" hidden="1" x14ac:dyDescent="0.4">
      <c r="A1904" s="92">
        <v>9504</v>
      </c>
      <c r="B1904" s="92">
        <v>9505</v>
      </c>
      <c r="E1904" s="92">
        <v>50</v>
      </c>
      <c r="F1904" s="92">
        <f>_xlfn.XLOOKUP(B1904, DATA_Moresby_2024_ALL!B:B, DATA_Moresby_2024_ALL!G:G, "")</f>
        <v>0</v>
      </c>
      <c r="G1904" s="93"/>
      <c r="H1904" s="92">
        <v>6</v>
      </c>
      <c r="I1904" s="92" t="str">
        <f t="shared" si="98"/>
        <v>X</v>
      </c>
      <c r="J1904" s="79" t="str">
        <f>IF(G1904="","X",_xlfn.XLOOKUP(B1904,DATA_Moresby_2024_ALL!B:B,DATA_Moresby_2024_ALL!K:K,""))</f>
        <v>X</v>
      </c>
      <c r="K1904" s="28"/>
      <c r="L1904" s="29"/>
      <c r="M1904" s="28"/>
      <c r="N1904" s="19" t="str">
        <f t="shared" si="100"/>
        <v/>
      </c>
      <c r="O1904" s="19" t="str">
        <f t="shared" si="99"/>
        <v/>
      </c>
      <c r="P1904" s="19" t="str">
        <f t="shared" si="99"/>
        <v/>
      </c>
      <c r="Q1904" s="19" t="str">
        <f t="shared" si="99"/>
        <v/>
      </c>
      <c r="X1904" s="92" t="s">
        <v>78</v>
      </c>
      <c r="Y1904" s="92" t="s">
        <v>78</v>
      </c>
      <c r="Z1904" s="92" t="s">
        <v>78</v>
      </c>
    </row>
    <row r="1905" spans="1:26" ht="16" hidden="1" x14ac:dyDescent="0.4">
      <c r="A1905" s="92">
        <v>9509</v>
      </c>
      <c r="B1905" s="92">
        <v>9510</v>
      </c>
      <c r="E1905" s="92">
        <v>50</v>
      </c>
      <c r="F1905" s="92">
        <f>_xlfn.XLOOKUP(B1905, DATA_Moresby_2024_ALL!B:B, DATA_Moresby_2024_ALL!G:G, "")</f>
        <v>0</v>
      </c>
      <c r="G1905" s="93"/>
      <c r="H1905" s="92">
        <v>6</v>
      </c>
      <c r="I1905" s="92" t="str">
        <f t="shared" si="98"/>
        <v>X</v>
      </c>
      <c r="J1905" s="79" t="str">
        <f>IF(G1905="","X",_xlfn.XLOOKUP(B1905,DATA_Moresby_2024_ALL!B:B,DATA_Moresby_2024_ALL!K:K,""))</f>
        <v>X</v>
      </c>
      <c r="K1905" s="28"/>
      <c r="L1905" s="29"/>
      <c r="M1905" s="28"/>
      <c r="N1905" s="19" t="str">
        <f t="shared" si="100"/>
        <v/>
      </c>
      <c r="O1905" s="19" t="str">
        <f t="shared" si="99"/>
        <v/>
      </c>
      <c r="P1905" s="19" t="str">
        <f t="shared" si="99"/>
        <v/>
      </c>
      <c r="Q1905" s="19" t="str">
        <f t="shared" si="99"/>
        <v/>
      </c>
      <c r="X1905" s="92" t="s">
        <v>78</v>
      </c>
      <c r="Y1905" s="92" t="s">
        <v>78</v>
      </c>
      <c r="Z1905" s="92" t="s">
        <v>78</v>
      </c>
    </row>
    <row r="1906" spans="1:26" ht="16" hidden="1" x14ac:dyDescent="0.4">
      <c r="A1906" s="92">
        <v>9514</v>
      </c>
      <c r="B1906" s="92">
        <v>9515</v>
      </c>
      <c r="E1906" s="92">
        <v>50</v>
      </c>
      <c r="F1906" s="92">
        <f>_xlfn.XLOOKUP(B1906, DATA_Moresby_2024_ALL!B:B, DATA_Moresby_2024_ALL!G:G, "")</f>
        <v>0</v>
      </c>
      <c r="G1906" s="93"/>
      <c r="H1906" s="92">
        <v>6</v>
      </c>
      <c r="I1906" s="92" t="str">
        <f t="shared" si="98"/>
        <v>X</v>
      </c>
      <c r="J1906" s="79" t="str">
        <f>IF(G1906="","X",_xlfn.XLOOKUP(B1906,DATA_Moresby_2024_ALL!B:B,DATA_Moresby_2024_ALL!K:K,""))</f>
        <v>X</v>
      </c>
      <c r="K1906" s="28"/>
      <c r="L1906" s="29"/>
      <c r="M1906" s="28"/>
      <c r="N1906" s="19" t="str">
        <f t="shared" si="100"/>
        <v/>
      </c>
      <c r="O1906" s="19" t="str">
        <f t="shared" si="99"/>
        <v/>
      </c>
      <c r="P1906" s="19" t="str">
        <f t="shared" si="99"/>
        <v/>
      </c>
      <c r="Q1906" s="19" t="str">
        <f t="shared" si="99"/>
        <v/>
      </c>
      <c r="X1906" s="92" t="s">
        <v>78</v>
      </c>
      <c r="Y1906" s="92" t="s">
        <v>78</v>
      </c>
      <c r="Z1906" s="92" t="s">
        <v>78</v>
      </c>
    </row>
    <row r="1907" spans="1:26" ht="16" hidden="1" x14ac:dyDescent="0.4">
      <c r="A1907" s="92">
        <v>9519</v>
      </c>
      <c r="B1907" s="92">
        <v>9520</v>
      </c>
      <c r="E1907" s="92">
        <v>50</v>
      </c>
      <c r="F1907" s="92">
        <f>_xlfn.XLOOKUP(B1907, DATA_Moresby_2024_ALL!B:B, DATA_Moresby_2024_ALL!G:G, "")</f>
        <v>0</v>
      </c>
      <c r="G1907" s="93"/>
      <c r="H1907" s="92">
        <v>6</v>
      </c>
      <c r="I1907" s="92" t="str">
        <f t="shared" si="98"/>
        <v>X</v>
      </c>
      <c r="J1907" s="79" t="str">
        <f>IF(G1907="","X",_xlfn.XLOOKUP(B1907,DATA_Moresby_2024_ALL!B:B,DATA_Moresby_2024_ALL!K:K,""))</f>
        <v>X</v>
      </c>
      <c r="K1907" s="28"/>
      <c r="L1907" s="29"/>
      <c r="M1907" s="28"/>
      <c r="N1907" s="19" t="str">
        <f t="shared" si="100"/>
        <v/>
      </c>
      <c r="O1907" s="19" t="str">
        <f t="shared" si="99"/>
        <v/>
      </c>
      <c r="P1907" s="19" t="str">
        <f t="shared" si="99"/>
        <v/>
      </c>
      <c r="Q1907" s="19" t="str">
        <f t="shared" si="99"/>
        <v/>
      </c>
      <c r="X1907" s="92" t="s">
        <v>78</v>
      </c>
      <c r="Y1907" s="92" t="s">
        <v>78</v>
      </c>
      <c r="Z1907" s="92" t="s">
        <v>78</v>
      </c>
    </row>
    <row r="1908" spans="1:26" ht="16" hidden="1" x14ac:dyDescent="0.4">
      <c r="A1908" s="92">
        <v>9524</v>
      </c>
      <c r="B1908" s="92">
        <v>9525</v>
      </c>
      <c r="E1908" s="92">
        <v>50</v>
      </c>
      <c r="F1908" s="92">
        <f>_xlfn.XLOOKUP(B1908, DATA_Moresby_2024_ALL!B:B, DATA_Moresby_2024_ALL!G:G, "")</f>
        <v>0</v>
      </c>
      <c r="G1908" s="93"/>
      <c r="H1908" s="92">
        <v>6</v>
      </c>
      <c r="I1908" s="92" t="str">
        <f t="shared" si="98"/>
        <v>X</v>
      </c>
      <c r="J1908" s="79" t="str">
        <f>IF(G1908="","X",_xlfn.XLOOKUP(B1908,DATA_Moresby_2024_ALL!B:B,DATA_Moresby_2024_ALL!K:K,""))</f>
        <v>X</v>
      </c>
      <c r="K1908" s="28"/>
      <c r="L1908" s="29"/>
      <c r="M1908" s="28"/>
      <c r="N1908" s="19" t="str">
        <f t="shared" si="100"/>
        <v/>
      </c>
      <c r="O1908" s="19" t="str">
        <f t="shared" si="99"/>
        <v/>
      </c>
      <c r="P1908" s="19" t="str">
        <f t="shared" si="99"/>
        <v/>
      </c>
      <c r="Q1908" s="19" t="str">
        <f t="shared" si="99"/>
        <v/>
      </c>
      <c r="X1908" s="92" t="s">
        <v>78</v>
      </c>
      <c r="Y1908" s="92" t="s">
        <v>78</v>
      </c>
      <c r="Z1908" s="92" t="s">
        <v>78</v>
      </c>
    </row>
    <row r="1909" spans="1:26" ht="16" hidden="1" x14ac:dyDescent="0.4">
      <c r="A1909" s="92">
        <v>9529</v>
      </c>
      <c r="B1909" s="92">
        <v>9530</v>
      </c>
      <c r="E1909" s="92">
        <v>50</v>
      </c>
      <c r="F1909" s="92">
        <f>_xlfn.XLOOKUP(B1909, DATA_Moresby_2024_ALL!B:B, DATA_Moresby_2024_ALL!G:G, "")</f>
        <v>0</v>
      </c>
      <c r="G1909" s="93"/>
      <c r="H1909" s="92">
        <v>6</v>
      </c>
      <c r="I1909" s="92" t="str">
        <f t="shared" si="98"/>
        <v>X</v>
      </c>
      <c r="J1909" s="79" t="str">
        <f>IF(G1909="","X",_xlfn.XLOOKUP(B1909,DATA_Moresby_2024_ALL!B:B,DATA_Moresby_2024_ALL!K:K,""))</f>
        <v>X</v>
      </c>
      <c r="K1909" s="28"/>
      <c r="L1909" s="29"/>
      <c r="M1909" s="28"/>
      <c r="N1909" s="19" t="str">
        <f t="shared" si="100"/>
        <v/>
      </c>
      <c r="O1909" s="19" t="str">
        <f t="shared" si="99"/>
        <v/>
      </c>
      <c r="P1909" s="19" t="str">
        <f t="shared" si="99"/>
        <v/>
      </c>
      <c r="Q1909" s="19" t="str">
        <f t="shared" si="99"/>
        <v/>
      </c>
      <c r="X1909" s="92" t="s">
        <v>78</v>
      </c>
      <c r="Y1909" s="92" t="s">
        <v>78</v>
      </c>
      <c r="Z1909" s="92" t="s">
        <v>78</v>
      </c>
    </row>
    <row r="1910" spans="1:26" ht="16" hidden="1" x14ac:dyDescent="0.4">
      <c r="A1910" s="92">
        <v>9534</v>
      </c>
      <c r="B1910" s="92">
        <v>9535</v>
      </c>
      <c r="E1910" s="92">
        <v>50</v>
      </c>
      <c r="F1910" s="92">
        <f>_xlfn.XLOOKUP(B1910, DATA_Moresby_2024_ALL!B:B, DATA_Moresby_2024_ALL!G:G, "")</f>
        <v>0</v>
      </c>
      <c r="G1910" s="93"/>
      <c r="H1910" s="92">
        <v>6</v>
      </c>
      <c r="I1910" s="92" t="str">
        <f t="shared" si="98"/>
        <v>X</v>
      </c>
      <c r="J1910" s="79" t="str">
        <f>IF(G1910="","X",_xlfn.XLOOKUP(B1910,DATA_Moresby_2024_ALL!B:B,DATA_Moresby_2024_ALL!K:K,""))</f>
        <v>X</v>
      </c>
      <c r="K1910" s="28"/>
      <c r="L1910" s="29"/>
      <c r="M1910" s="28"/>
      <c r="N1910" s="19" t="str">
        <f t="shared" si="100"/>
        <v/>
      </c>
      <c r="O1910" s="19" t="str">
        <f t="shared" si="99"/>
        <v/>
      </c>
      <c r="P1910" s="19" t="str">
        <f t="shared" si="99"/>
        <v/>
      </c>
      <c r="Q1910" s="19" t="str">
        <f t="shared" si="99"/>
        <v/>
      </c>
      <c r="X1910" s="92" t="s">
        <v>78</v>
      </c>
      <c r="Y1910" s="92" t="s">
        <v>78</v>
      </c>
      <c r="Z1910" s="92" t="s">
        <v>78</v>
      </c>
    </row>
    <row r="1911" spans="1:26" ht="16" hidden="1" x14ac:dyDescent="0.4">
      <c r="A1911" s="92">
        <v>9539</v>
      </c>
      <c r="B1911" s="92">
        <v>9540</v>
      </c>
      <c r="E1911" s="92">
        <v>50</v>
      </c>
      <c r="F1911" s="92">
        <f>_xlfn.XLOOKUP(B1911, DATA_Moresby_2024_ALL!B:B, DATA_Moresby_2024_ALL!G:G, "")</f>
        <v>0</v>
      </c>
      <c r="G1911" s="93"/>
      <c r="H1911" s="92">
        <v>6</v>
      </c>
      <c r="I1911" s="92" t="str">
        <f t="shared" si="98"/>
        <v>X</v>
      </c>
      <c r="J1911" s="79" t="str">
        <f>IF(G1911="","X",_xlfn.XLOOKUP(B1911,DATA_Moresby_2024_ALL!B:B,DATA_Moresby_2024_ALL!K:K,""))</f>
        <v>X</v>
      </c>
      <c r="K1911" s="28"/>
      <c r="L1911" s="29"/>
      <c r="M1911" s="28"/>
      <c r="N1911" s="19" t="str">
        <f t="shared" si="100"/>
        <v/>
      </c>
      <c r="O1911" s="19" t="str">
        <f t="shared" si="99"/>
        <v/>
      </c>
      <c r="P1911" s="19" t="str">
        <f t="shared" si="99"/>
        <v/>
      </c>
      <c r="Q1911" s="19" t="str">
        <f t="shared" si="99"/>
        <v/>
      </c>
      <c r="X1911" s="92" t="s">
        <v>78</v>
      </c>
      <c r="Y1911" s="92" t="s">
        <v>78</v>
      </c>
      <c r="Z1911" s="92" t="s">
        <v>78</v>
      </c>
    </row>
    <row r="1912" spans="1:26" ht="16" hidden="1" x14ac:dyDescent="0.4">
      <c r="A1912" s="92">
        <v>9544</v>
      </c>
      <c r="B1912" s="92">
        <v>9545</v>
      </c>
      <c r="E1912" s="92">
        <v>50</v>
      </c>
      <c r="F1912" s="92">
        <f>_xlfn.XLOOKUP(B1912, DATA_Moresby_2024_ALL!B:B, DATA_Moresby_2024_ALL!G:G, "")</f>
        <v>0</v>
      </c>
      <c r="G1912" s="93"/>
      <c r="H1912" s="92">
        <v>6</v>
      </c>
      <c r="I1912" s="92" t="str">
        <f t="shared" si="98"/>
        <v>X</v>
      </c>
      <c r="J1912" s="79" t="str">
        <f>IF(G1912="","X",_xlfn.XLOOKUP(B1912,DATA_Moresby_2024_ALL!B:B,DATA_Moresby_2024_ALL!K:K,""))</f>
        <v>X</v>
      </c>
      <c r="K1912" s="28"/>
      <c r="L1912" s="29"/>
      <c r="M1912" s="28"/>
      <c r="N1912" s="19" t="str">
        <f t="shared" si="100"/>
        <v/>
      </c>
      <c r="O1912" s="19" t="str">
        <f t="shared" si="99"/>
        <v/>
      </c>
      <c r="P1912" s="19" t="str">
        <f t="shared" si="99"/>
        <v/>
      </c>
      <c r="Q1912" s="19" t="str">
        <f t="shared" si="99"/>
        <v/>
      </c>
      <c r="X1912" s="92" t="s">
        <v>78</v>
      </c>
      <c r="Y1912" s="92" t="s">
        <v>78</v>
      </c>
      <c r="Z1912" s="92" t="s">
        <v>78</v>
      </c>
    </row>
    <row r="1913" spans="1:26" ht="16" hidden="1" x14ac:dyDescent="0.4">
      <c r="A1913" s="92">
        <v>9549</v>
      </c>
      <c r="B1913" s="92">
        <v>9550</v>
      </c>
      <c r="E1913" s="92">
        <v>50</v>
      </c>
      <c r="F1913" s="92">
        <f>_xlfn.XLOOKUP(B1913, DATA_Moresby_2024_ALL!B:B, DATA_Moresby_2024_ALL!G:G, "")</f>
        <v>0</v>
      </c>
      <c r="G1913" s="93"/>
      <c r="H1913" s="92">
        <v>6</v>
      </c>
      <c r="I1913" s="92" t="str">
        <f t="shared" si="98"/>
        <v>X</v>
      </c>
      <c r="J1913" s="79" t="str">
        <f>IF(G1913="","X",_xlfn.XLOOKUP(B1913,DATA_Moresby_2024_ALL!B:B,DATA_Moresby_2024_ALL!K:K,""))</f>
        <v>X</v>
      </c>
      <c r="K1913" s="28"/>
      <c r="L1913" s="29"/>
      <c r="M1913" s="28"/>
      <c r="N1913" s="19" t="str">
        <f t="shared" si="100"/>
        <v/>
      </c>
      <c r="O1913" s="19" t="str">
        <f t="shared" si="99"/>
        <v/>
      </c>
      <c r="P1913" s="19" t="str">
        <f t="shared" si="99"/>
        <v/>
      </c>
      <c r="Q1913" s="19" t="str">
        <f t="shared" si="99"/>
        <v/>
      </c>
      <c r="X1913" s="92" t="s">
        <v>78</v>
      </c>
      <c r="Y1913" s="92" t="s">
        <v>78</v>
      </c>
      <c r="Z1913" s="92" t="s">
        <v>78</v>
      </c>
    </row>
    <row r="1914" spans="1:26" ht="16" hidden="1" x14ac:dyDescent="0.4">
      <c r="A1914" s="92">
        <v>9554</v>
      </c>
      <c r="B1914" s="92">
        <v>9555</v>
      </c>
      <c r="E1914" s="92">
        <v>50</v>
      </c>
      <c r="F1914" s="92">
        <f>_xlfn.XLOOKUP(B1914, DATA_Moresby_2024_ALL!B:B, DATA_Moresby_2024_ALL!G:G, "")</f>
        <v>0</v>
      </c>
      <c r="G1914" s="93"/>
      <c r="H1914" s="92">
        <v>6</v>
      </c>
      <c r="I1914" s="92" t="str">
        <f t="shared" si="98"/>
        <v>X</v>
      </c>
      <c r="J1914" s="79" t="str">
        <f>IF(G1914="","X",_xlfn.XLOOKUP(B1914,DATA_Moresby_2024_ALL!B:B,DATA_Moresby_2024_ALL!K:K,""))</f>
        <v>X</v>
      </c>
      <c r="K1914" s="28"/>
      <c r="L1914" s="29"/>
      <c r="M1914" s="28"/>
      <c r="N1914" s="19" t="str">
        <f t="shared" si="100"/>
        <v/>
      </c>
      <c r="O1914" s="19" t="str">
        <f t="shared" si="99"/>
        <v/>
      </c>
      <c r="P1914" s="19" t="str">
        <f t="shared" si="99"/>
        <v/>
      </c>
      <c r="Q1914" s="19" t="str">
        <f t="shared" si="99"/>
        <v/>
      </c>
      <c r="X1914" s="92" t="s">
        <v>78</v>
      </c>
      <c r="Y1914" s="92" t="s">
        <v>78</v>
      </c>
      <c r="Z1914" s="92" t="s">
        <v>78</v>
      </c>
    </row>
    <row r="1915" spans="1:26" ht="16" hidden="1" x14ac:dyDescent="0.4">
      <c r="A1915" s="92">
        <v>9559</v>
      </c>
      <c r="B1915" s="92">
        <v>9560</v>
      </c>
      <c r="E1915" s="92">
        <v>50</v>
      </c>
      <c r="F1915" s="92">
        <f>_xlfn.XLOOKUP(B1915, DATA_Moresby_2024_ALL!B:B, DATA_Moresby_2024_ALL!G:G, "")</f>
        <v>0</v>
      </c>
      <c r="G1915" s="93"/>
      <c r="H1915" s="92">
        <v>6</v>
      </c>
      <c r="I1915" s="92" t="str">
        <f t="shared" si="98"/>
        <v>X</v>
      </c>
      <c r="J1915" s="79" t="str">
        <f>IF(G1915="","X",_xlfn.XLOOKUP(B1915,DATA_Moresby_2024_ALL!B:B,DATA_Moresby_2024_ALL!K:K,""))</f>
        <v>X</v>
      </c>
      <c r="K1915" s="28"/>
      <c r="L1915" s="29"/>
      <c r="M1915" s="28"/>
      <c r="N1915" s="19" t="str">
        <f t="shared" si="100"/>
        <v/>
      </c>
      <c r="O1915" s="19" t="str">
        <f t="shared" si="99"/>
        <v/>
      </c>
      <c r="P1915" s="19" t="str">
        <f t="shared" si="99"/>
        <v/>
      </c>
      <c r="Q1915" s="19" t="str">
        <f t="shared" si="99"/>
        <v/>
      </c>
      <c r="X1915" s="92" t="s">
        <v>78</v>
      </c>
      <c r="Y1915" s="92" t="s">
        <v>78</v>
      </c>
      <c r="Z1915" s="92" t="s">
        <v>78</v>
      </c>
    </row>
    <row r="1916" spans="1:26" ht="16" hidden="1" x14ac:dyDescent="0.4">
      <c r="A1916" s="92">
        <v>9564</v>
      </c>
      <c r="B1916" s="92">
        <v>9565</v>
      </c>
      <c r="E1916" s="92">
        <v>50</v>
      </c>
      <c r="F1916" s="92">
        <f>_xlfn.XLOOKUP(B1916, DATA_Moresby_2024_ALL!B:B, DATA_Moresby_2024_ALL!G:G, "")</f>
        <v>0</v>
      </c>
      <c r="G1916" s="93"/>
      <c r="H1916" s="92">
        <v>6</v>
      </c>
      <c r="I1916" s="92" t="str">
        <f t="shared" si="98"/>
        <v>X</v>
      </c>
      <c r="J1916" s="79" t="str">
        <f>IF(G1916="","X",_xlfn.XLOOKUP(B1916,DATA_Moresby_2024_ALL!B:B,DATA_Moresby_2024_ALL!K:K,""))</f>
        <v>X</v>
      </c>
      <c r="K1916" s="28"/>
      <c r="L1916" s="29"/>
      <c r="M1916" s="28"/>
      <c r="N1916" s="19" t="str">
        <f t="shared" si="100"/>
        <v/>
      </c>
      <c r="O1916" s="19" t="str">
        <f t="shared" si="99"/>
        <v/>
      </c>
      <c r="P1916" s="19" t="str">
        <f t="shared" si="99"/>
        <v/>
      </c>
      <c r="Q1916" s="19" t="str">
        <f t="shared" si="99"/>
        <v/>
      </c>
      <c r="X1916" s="92" t="s">
        <v>78</v>
      </c>
      <c r="Y1916" s="92" t="s">
        <v>78</v>
      </c>
      <c r="Z1916" s="92" t="s">
        <v>78</v>
      </c>
    </row>
    <row r="1917" spans="1:26" ht="16" hidden="1" x14ac:dyDescent="0.4">
      <c r="A1917" s="92">
        <v>9569</v>
      </c>
      <c r="B1917" s="92">
        <v>9570</v>
      </c>
      <c r="E1917" s="92">
        <v>50</v>
      </c>
      <c r="F1917" s="92">
        <f>_xlfn.XLOOKUP(B1917, DATA_Moresby_2024_ALL!B:B, DATA_Moresby_2024_ALL!G:G, "")</f>
        <v>0</v>
      </c>
      <c r="G1917" s="93"/>
      <c r="H1917" s="92">
        <v>6</v>
      </c>
      <c r="I1917" s="92" t="str">
        <f t="shared" si="98"/>
        <v>X</v>
      </c>
      <c r="J1917" s="79" t="str">
        <f>IF(G1917="","X",_xlfn.XLOOKUP(B1917,DATA_Moresby_2024_ALL!B:B,DATA_Moresby_2024_ALL!K:K,""))</f>
        <v>X</v>
      </c>
      <c r="K1917" s="28"/>
      <c r="L1917" s="29"/>
      <c r="M1917" s="28"/>
      <c r="N1917" s="19" t="str">
        <f t="shared" si="100"/>
        <v/>
      </c>
      <c r="O1917" s="19" t="str">
        <f t="shared" si="99"/>
        <v/>
      </c>
      <c r="P1917" s="19" t="str">
        <f t="shared" si="99"/>
        <v/>
      </c>
      <c r="Q1917" s="19" t="str">
        <f t="shared" si="99"/>
        <v/>
      </c>
      <c r="X1917" s="92" t="s">
        <v>78</v>
      </c>
      <c r="Y1917" s="92" t="s">
        <v>78</v>
      </c>
      <c r="Z1917" s="92" t="s">
        <v>78</v>
      </c>
    </row>
    <row r="1918" spans="1:26" ht="16" hidden="1" x14ac:dyDescent="0.4">
      <c r="A1918" s="92">
        <v>9574</v>
      </c>
      <c r="B1918" s="92">
        <v>9575</v>
      </c>
      <c r="E1918" s="92">
        <v>50</v>
      </c>
      <c r="F1918" s="92">
        <f>_xlfn.XLOOKUP(B1918, DATA_Moresby_2024_ALL!B:B, DATA_Moresby_2024_ALL!G:G, "")</f>
        <v>0</v>
      </c>
      <c r="G1918" s="93"/>
      <c r="H1918" s="92">
        <v>6</v>
      </c>
      <c r="I1918" s="92" t="str">
        <f t="shared" si="98"/>
        <v>X</v>
      </c>
      <c r="J1918" s="79" t="str">
        <f>IF(G1918="","X",_xlfn.XLOOKUP(B1918,DATA_Moresby_2024_ALL!B:B,DATA_Moresby_2024_ALL!K:K,""))</f>
        <v>X</v>
      </c>
      <c r="K1918" s="28"/>
      <c r="L1918" s="29"/>
      <c r="M1918" s="28"/>
      <c r="N1918" s="19" t="str">
        <f t="shared" si="100"/>
        <v/>
      </c>
      <c r="O1918" s="19" t="str">
        <f t="shared" si="99"/>
        <v/>
      </c>
      <c r="P1918" s="19" t="str">
        <f t="shared" si="99"/>
        <v/>
      </c>
      <c r="Q1918" s="19" t="str">
        <f t="shared" si="99"/>
        <v/>
      </c>
      <c r="X1918" s="92" t="s">
        <v>78</v>
      </c>
      <c r="Y1918" s="92" t="s">
        <v>78</v>
      </c>
      <c r="Z1918" s="92" t="s">
        <v>78</v>
      </c>
    </row>
    <row r="1919" spans="1:26" ht="16" hidden="1" x14ac:dyDescent="0.4">
      <c r="A1919" s="92">
        <v>9579</v>
      </c>
      <c r="B1919" s="92">
        <v>9580</v>
      </c>
      <c r="E1919" s="92">
        <v>50</v>
      </c>
      <c r="F1919" s="92">
        <f>_xlfn.XLOOKUP(B1919, DATA_Moresby_2024_ALL!B:B, DATA_Moresby_2024_ALL!G:G, "")</f>
        <v>0</v>
      </c>
      <c r="G1919" s="93"/>
      <c r="H1919" s="92">
        <v>6</v>
      </c>
      <c r="I1919" s="92" t="str">
        <f t="shared" si="98"/>
        <v>X</v>
      </c>
      <c r="J1919" s="79" t="str">
        <f>IF(G1919="","X",_xlfn.XLOOKUP(B1919,DATA_Moresby_2024_ALL!B:B,DATA_Moresby_2024_ALL!K:K,""))</f>
        <v>X</v>
      </c>
      <c r="K1919" s="28"/>
      <c r="L1919" s="29"/>
      <c r="M1919" s="28"/>
      <c r="N1919" s="19" t="str">
        <f t="shared" si="100"/>
        <v/>
      </c>
      <c r="O1919" s="19" t="str">
        <f t="shared" si="99"/>
        <v/>
      </c>
      <c r="P1919" s="19" t="str">
        <f t="shared" si="99"/>
        <v/>
      </c>
      <c r="Q1919" s="19" t="str">
        <f t="shared" si="99"/>
        <v/>
      </c>
      <c r="X1919" s="92" t="s">
        <v>78</v>
      </c>
      <c r="Y1919" s="92" t="s">
        <v>78</v>
      </c>
      <c r="Z1919" s="92" t="s">
        <v>78</v>
      </c>
    </row>
    <row r="1920" spans="1:26" ht="16" hidden="1" x14ac:dyDescent="0.4">
      <c r="A1920" s="92">
        <v>9584</v>
      </c>
      <c r="B1920" s="92">
        <v>9585</v>
      </c>
      <c r="E1920" s="92">
        <v>50</v>
      </c>
      <c r="F1920" s="92">
        <f>_xlfn.XLOOKUP(B1920, DATA_Moresby_2024_ALL!B:B, DATA_Moresby_2024_ALL!G:G, "")</f>
        <v>0</v>
      </c>
      <c r="G1920" s="93"/>
      <c r="H1920" s="92">
        <v>6</v>
      </c>
      <c r="I1920" s="92" t="str">
        <f t="shared" si="98"/>
        <v>X</v>
      </c>
      <c r="J1920" s="79" t="str">
        <f>IF(G1920="","X",_xlfn.XLOOKUP(B1920,DATA_Moresby_2024_ALL!B:B,DATA_Moresby_2024_ALL!K:K,""))</f>
        <v>X</v>
      </c>
      <c r="K1920" s="28"/>
      <c r="L1920" s="29"/>
      <c r="M1920" s="28"/>
      <c r="N1920" s="19" t="str">
        <f t="shared" si="100"/>
        <v/>
      </c>
      <c r="O1920" s="19" t="str">
        <f t="shared" si="99"/>
        <v/>
      </c>
      <c r="P1920" s="19" t="str">
        <f t="shared" si="99"/>
        <v/>
      </c>
      <c r="Q1920" s="19" t="str">
        <f t="shared" si="99"/>
        <v/>
      </c>
      <c r="X1920" s="92" t="s">
        <v>78</v>
      </c>
      <c r="Y1920" s="92" t="s">
        <v>78</v>
      </c>
      <c r="Z1920" s="92" t="s">
        <v>78</v>
      </c>
    </row>
    <row r="1921" spans="1:26" ht="16" hidden="1" x14ac:dyDescent="0.4">
      <c r="A1921" s="92">
        <v>9589</v>
      </c>
      <c r="B1921" s="92">
        <v>9590</v>
      </c>
      <c r="E1921" s="92">
        <v>50</v>
      </c>
      <c r="F1921" s="92">
        <f>_xlfn.XLOOKUP(B1921, DATA_Moresby_2024_ALL!B:B, DATA_Moresby_2024_ALL!G:G, "")</f>
        <v>0</v>
      </c>
      <c r="G1921" s="93"/>
      <c r="H1921" s="92">
        <v>6</v>
      </c>
      <c r="I1921" s="92" t="str">
        <f t="shared" si="98"/>
        <v>X</v>
      </c>
      <c r="J1921" s="79" t="str">
        <f>IF(G1921="","X",_xlfn.XLOOKUP(B1921,DATA_Moresby_2024_ALL!B:B,DATA_Moresby_2024_ALL!K:K,""))</f>
        <v>X</v>
      </c>
      <c r="K1921" s="28"/>
      <c r="L1921" s="29"/>
      <c r="M1921" s="28"/>
      <c r="N1921" s="19" t="str">
        <f t="shared" si="100"/>
        <v/>
      </c>
      <c r="O1921" s="19" t="str">
        <f t="shared" si="99"/>
        <v/>
      </c>
      <c r="P1921" s="19" t="str">
        <f t="shared" si="99"/>
        <v/>
      </c>
      <c r="Q1921" s="19" t="str">
        <f t="shared" si="99"/>
        <v/>
      </c>
      <c r="X1921" s="92" t="s">
        <v>78</v>
      </c>
      <c r="Y1921" s="92" t="s">
        <v>78</v>
      </c>
      <c r="Z1921" s="92" t="s">
        <v>78</v>
      </c>
    </row>
    <row r="1922" spans="1:26" ht="16" hidden="1" x14ac:dyDescent="0.4">
      <c r="A1922" s="92">
        <v>9594</v>
      </c>
      <c r="B1922" s="92">
        <v>9595</v>
      </c>
      <c r="E1922" s="92">
        <v>50</v>
      </c>
      <c r="F1922" s="92">
        <f>_xlfn.XLOOKUP(B1922, DATA_Moresby_2024_ALL!B:B, DATA_Moresby_2024_ALL!G:G, "")</f>
        <v>0</v>
      </c>
      <c r="G1922" s="93"/>
      <c r="H1922" s="92">
        <v>6</v>
      </c>
      <c r="I1922" s="92" t="str">
        <f t="shared" si="98"/>
        <v>X</v>
      </c>
      <c r="J1922" s="79" t="str">
        <f>IF(G1922="","X",_xlfn.XLOOKUP(B1922,DATA_Moresby_2024_ALL!B:B,DATA_Moresby_2024_ALL!K:K,""))</f>
        <v>X</v>
      </c>
      <c r="K1922" s="28"/>
      <c r="L1922" s="29"/>
      <c r="M1922" s="28"/>
      <c r="N1922" s="19" t="str">
        <f t="shared" si="100"/>
        <v/>
      </c>
      <c r="O1922" s="19" t="str">
        <f t="shared" si="99"/>
        <v/>
      </c>
      <c r="P1922" s="19" t="str">
        <f t="shared" si="99"/>
        <v/>
      </c>
      <c r="Q1922" s="19" t="str">
        <f t="shared" si="99"/>
        <v/>
      </c>
      <c r="X1922" s="92" t="s">
        <v>78</v>
      </c>
      <c r="Y1922" s="92" t="s">
        <v>78</v>
      </c>
      <c r="Z1922" s="92" t="s">
        <v>78</v>
      </c>
    </row>
    <row r="1923" spans="1:26" ht="16" hidden="1" x14ac:dyDescent="0.4">
      <c r="A1923" s="92">
        <v>9599</v>
      </c>
      <c r="B1923" s="92">
        <v>9600</v>
      </c>
      <c r="E1923" s="92">
        <v>50</v>
      </c>
      <c r="F1923" s="92">
        <f>_xlfn.XLOOKUP(B1923, DATA_Moresby_2024_ALL!B:B, DATA_Moresby_2024_ALL!G:G, "")</f>
        <v>0</v>
      </c>
      <c r="G1923" s="93"/>
      <c r="H1923" s="92">
        <v>6</v>
      </c>
      <c r="I1923" s="92" t="str">
        <f t="shared" si="98"/>
        <v>X</v>
      </c>
      <c r="J1923" s="79" t="str">
        <f>IF(G1923="","X",_xlfn.XLOOKUP(B1923,DATA_Moresby_2024_ALL!B:B,DATA_Moresby_2024_ALL!K:K,""))</f>
        <v>X</v>
      </c>
      <c r="K1923" s="28"/>
      <c r="L1923" s="29"/>
      <c r="M1923" s="28"/>
      <c r="N1923" s="19" t="str">
        <f t="shared" si="100"/>
        <v/>
      </c>
      <c r="O1923" s="19" t="str">
        <f t="shared" si="99"/>
        <v/>
      </c>
      <c r="P1923" s="19" t="str">
        <f t="shared" si="99"/>
        <v/>
      </c>
      <c r="Q1923" s="19" t="str">
        <f t="shared" si="99"/>
        <v/>
      </c>
      <c r="X1923" s="92" t="s">
        <v>78</v>
      </c>
      <c r="Y1923" s="92" t="s">
        <v>78</v>
      </c>
      <c r="Z1923" s="92" t="s">
        <v>78</v>
      </c>
    </row>
    <row r="1924" spans="1:26" ht="16" hidden="1" x14ac:dyDescent="0.4">
      <c r="A1924" s="92">
        <v>9604</v>
      </c>
      <c r="B1924" s="92">
        <v>9605</v>
      </c>
      <c r="E1924" s="92">
        <v>50</v>
      </c>
      <c r="F1924" s="92">
        <f>_xlfn.XLOOKUP(B1924, DATA_Moresby_2024_ALL!B:B, DATA_Moresby_2024_ALL!G:G, "")</f>
        <v>0</v>
      </c>
      <c r="G1924" s="93"/>
      <c r="H1924" s="92">
        <v>6</v>
      </c>
      <c r="I1924" s="92" t="str">
        <f t="shared" si="98"/>
        <v>X</v>
      </c>
      <c r="J1924" s="79" t="str">
        <f>IF(G1924="","X",_xlfn.XLOOKUP(B1924,DATA_Moresby_2024_ALL!B:B,DATA_Moresby_2024_ALL!K:K,""))</f>
        <v>X</v>
      </c>
      <c r="K1924" s="28"/>
      <c r="L1924" s="29"/>
      <c r="M1924" s="28"/>
      <c r="N1924" s="19" t="str">
        <f t="shared" si="100"/>
        <v/>
      </c>
      <c r="O1924" s="19" t="str">
        <f t="shared" si="99"/>
        <v/>
      </c>
      <c r="P1924" s="19" t="str">
        <f t="shared" si="99"/>
        <v/>
      </c>
      <c r="Q1924" s="19" t="str">
        <f t="shared" si="99"/>
        <v/>
      </c>
      <c r="X1924" s="92" t="s">
        <v>78</v>
      </c>
      <c r="Y1924" s="92" t="s">
        <v>78</v>
      </c>
      <c r="Z1924" s="92" t="s">
        <v>78</v>
      </c>
    </row>
    <row r="1925" spans="1:26" ht="16" hidden="1" x14ac:dyDescent="0.4">
      <c r="A1925" s="92">
        <v>9609</v>
      </c>
      <c r="B1925" s="92">
        <v>9610</v>
      </c>
      <c r="E1925" s="92">
        <v>50</v>
      </c>
      <c r="F1925" s="92">
        <f>_xlfn.XLOOKUP(B1925, DATA_Moresby_2024_ALL!B:B, DATA_Moresby_2024_ALL!G:G, "")</f>
        <v>0</v>
      </c>
      <c r="G1925" s="93"/>
      <c r="H1925" s="92">
        <v>6</v>
      </c>
      <c r="I1925" s="92" t="str">
        <f t="shared" si="98"/>
        <v>X</v>
      </c>
      <c r="J1925" s="79" t="str">
        <f>IF(G1925="","X",_xlfn.XLOOKUP(B1925,DATA_Moresby_2024_ALL!B:B,DATA_Moresby_2024_ALL!K:K,""))</f>
        <v>X</v>
      </c>
      <c r="K1925" s="28"/>
      <c r="L1925" s="29"/>
      <c r="M1925" s="28"/>
      <c r="N1925" s="19" t="str">
        <f t="shared" si="100"/>
        <v/>
      </c>
      <c r="O1925" s="19" t="str">
        <f t="shared" si="99"/>
        <v/>
      </c>
      <c r="P1925" s="19" t="str">
        <f t="shared" si="99"/>
        <v/>
      </c>
      <c r="Q1925" s="19" t="str">
        <f t="shared" si="99"/>
        <v/>
      </c>
      <c r="X1925" s="92" t="s">
        <v>78</v>
      </c>
      <c r="Y1925" s="92" t="s">
        <v>78</v>
      </c>
      <c r="Z1925" s="92" t="s">
        <v>78</v>
      </c>
    </row>
    <row r="1926" spans="1:26" ht="16" hidden="1" x14ac:dyDescent="0.4">
      <c r="A1926" s="92">
        <v>9614</v>
      </c>
      <c r="B1926" s="92">
        <v>9615</v>
      </c>
      <c r="E1926" s="92">
        <v>50</v>
      </c>
      <c r="F1926" s="92">
        <f>_xlfn.XLOOKUP(B1926, DATA_Moresby_2024_ALL!B:B, DATA_Moresby_2024_ALL!G:G, "")</f>
        <v>0</v>
      </c>
      <c r="G1926" s="93"/>
      <c r="H1926" s="92">
        <v>6</v>
      </c>
      <c r="I1926" s="92" t="str">
        <f t="shared" si="98"/>
        <v>X</v>
      </c>
      <c r="J1926" s="79" t="str">
        <f>IF(G1926="","X",_xlfn.XLOOKUP(B1926,DATA_Moresby_2024_ALL!B:B,DATA_Moresby_2024_ALL!K:K,""))</f>
        <v>X</v>
      </c>
      <c r="K1926" s="28"/>
      <c r="L1926" s="29"/>
      <c r="M1926" s="28"/>
      <c r="N1926" s="19" t="str">
        <f t="shared" si="100"/>
        <v/>
      </c>
      <c r="O1926" s="19" t="str">
        <f t="shared" si="99"/>
        <v/>
      </c>
      <c r="P1926" s="19" t="str">
        <f t="shared" si="99"/>
        <v/>
      </c>
      <c r="Q1926" s="19" t="str">
        <f t="shared" si="99"/>
        <v/>
      </c>
      <c r="X1926" s="92" t="s">
        <v>78</v>
      </c>
      <c r="Y1926" s="92" t="s">
        <v>78</v>
      </c>
      <c r="Z1926" s="92" t="s">
        <v>78</v>
      </c>
    </row>
    <row r="1927" spans="1:26" ht="16" hidden="1" x14ac:dyDescent="0.4">
      <c r="A1927" s="92">
        <v>9619</v>
      </c>
      <c r="B1927" s="92">
        <v>9620</v>
      </c>
      <c r="E1927" s="92">
        <v>50</v>
      </c>
      <c r="F1927" s="92">
        <f>_xlfn.XLOOKUP(B1927, DATA_Moresby_2024_ALL!B:B, DATA_Moresby_2024_ALL!G:G, "")</f>
        <v>0</v>
      </c>
      <c r="G1927" s="93"/>
      <c r="H1927" s="92">
        <v>6</v>
      </c>
      <c r="I1927" s="92" t="str">
        <f t="shared" si="98"/>
        <v>X</v>
      </c>
      <c r="J1927" s="79" t="str">
        <f>IF(G1927="","X",_xlfn.XLOOKUP(B1927,DATA_Moresby_2024_ALL!B:B,DATA_Moresby_2024_ALL!K:K,""))</f>
        <v>X</v>
      </c>
      <c r="K1927" s="28"/>
      <c r="L1927" s="29"/>
      <c r="M1927" s="28"/>
      <c r="N1927" s="19" t="str">
        <f t="shared" si="100"/>
        <v/>
      </c>
      <c r="O1927" s="19" t="str">
        <f t="shared" si="99"/>
        <v/>
      </c>
      <c r="P1927" s="19" t="str">
        <f t="shared" si="99"/>
        <v/>
      </c>
      <c r="Q1927" s="19" t="str">
        <f t="shared" si="99"/>
        <v/>
      </c>
      <c r="X1927" s="92" t="s">
        <v>78</v>
      </c>
      <c r="Y1927" s="92" t="s">
        <v>78</v>
      </c>
      <c r="Z1927" s="92" t="s">
        <v>78</v>
      </c>
    </row>
    <row r="1928" spans="1:26" ht="16" hidden="1" x14ac:dyDescent="0.4">
      <c r="A1928" s="92">
        <v>9624</v>
      </c>
      <c r="B1928" s="92">
        <v>9625</v>
      </c>
      <c r="E1928" s="92">
        <v>50</v>
      </c>
      <c r="F1928" s="92">
        <f>_xlfn.XLOOKUP(B1928, DATA_Moresby_2024_ALL!B:B, DATA_Moresby_2024_ALL!G:G, "")</f>
        <v>0</v>
      </c>
      <c r="G1928" s="93"/>
      <c r="H1928" s="92">
        <v>6</v>
      </c>
      <c r="I1928" s="92" t="str">
        <f t="shared" si="98"/>
        <v>X</v>
      </c>
      <c r="J1928" s="79" t="str">
        <f>IF(G1928="","X",_xlfn.XLOOKUP(B1928,DATA_Moresby_2024_ALL!B:B,DATA_Moresby_2024_ALL!K:K,""))</f>
        <v>X</v>
      </c>
      <c r="K1928" s="28"/>
      <c r="L1928" s="29"/>
      <c r="M1928" s="28"/>
      <c r="N1928" s="19" t="str">
        <f t="shared" si="100"/>
        <v/>
      </c>
      <c r="O1928" s="19" t="str">
        <f t="shared" si="99"/>
        <v/>
      </c>
      <c r="P1928" s="19" t="str">
        <f t="shared" si="99"/>
        <v/>
      </c>
      <c r="Q1928" s="19" t="str">
        <f t="shared" si="99"/>
        <v/>
      </c>
      <c r="X1928" s="92" t="s">
        <v>78</v>
      </c>
      <c r="Y1928" s="92" t="s">
        <v>78</v>
      </c>
      <c r="Z1928" s="92" t="s">
        <v>78</v>
      </c>
    </row>
    <row r="1929" spans="1:26" ht="16" hidden="1" x14ac:dyDescent="0.4">
      <c r="A1929" s="92">
        <v>9629</v>
      </c>
      <c r="B1929" s="92">
        <v>9630</v>
      </c>
      <c r="E1929" s="92">
        <v>50</v>
      </c>
      <c r="F1929" s="92">
        <f>_xlfn.XLOOKUP(B1929, DATA_Moresby_2024_ALL!B:B, DATA_Moresby_2024_ALL!G:G, "")</f>
        <v>0</v>
      </c>
      <c r="G1929" s="93"/>
      <c r="H1929" s="92">
        <v>6</v>
      </c>
      <c r="I1929" s="92" t="str">
        <f t="shared" ref="I1929:I1992" si="101">IF(G1929="","X","")</f>
        <v>X</v>
      </c>
      <c r="J1929" s="79" t="str">
        <f>IF(G1929="","X",_xlfn.XLOOKUP(B1929,DATA_Moresby_2024_ALL!B:B,DATA_Moresby_2024_ALL!K:K,""))</f>
        <v>X</v>
      </c>
      <c r="K1929" s="28"/>
      <c r="L1929" s="29"/>
      <c r="M1929" s="28"/>
      <c r="N1929" s="19" t="str">
        <f t="shared" si="100"/>
        <v/>
      </c>
      <c r="O1929" s="19" t="str">
        <f t="shared" si="99"/>
        <v/>
      </c>
      <c r="P1929" s="19" t="str">
        <f t="shared" si="99"/>
        <v/>
      </c>
      <c r="Q1929" s="19" t="str">
        <f t="shared" si="99"/>
        <v/>
      </c>
      <c r="X1929" s="92" t="s">
        <v>78</v>
      </c>
      <c r="Y1929" s="92" t="s">
        <v>78</v>
      </c>
      <c r="Z1929" s="92" t="s">
        <v>78</v>
      </c>
    </row>
    <row r="1930" spans="1:26" ht="16" hidden="1" x14ac:dyDescent="0.4">
      <c r="A1930" s="92">
        <v>9634</v>
      </c>
      <c r="B1930" s="92">
        <v>9635</v>
      </c>
      <c r="E1930" s="92">
        <v>50</v>
      </c>
      <c r="F1930" s="92">
        <f>_xlfn.XLOOKUP(B1930, DATA_Moresby_2024_ALL!B:B, DATA_Moresby_2024_ALL!G:G, "")</f>
        <v>0</v>
      </c>
      <c r="G1930" s="93"/>
      <c r="H1930" s="92">
        <v>6</v>
      </c>
      <c r="I1930" s="92" t="str">
        <f t="shared" si="101"/>
        <v>X</v>
      </c>
      <c r="J1930" s="79" t="str">
        <f>IF(G1930="","X",_xlfn.XLOOKUP(B1930,DATA_Moresby_2024_ALL!B:B,DATA_Moresby_2024_ALL!K:K,""))</f>
        <v>X</v>
      </c>
      <c r="K1930" s="28"/>
      <c r="L1930" s="29"/>
      <c r="M1930" s="28"/>
      <c r="N1930" s="19" t="str">
        <f t="shared" si="100"/>
        <v/>
      </c>
      <c r="O1930" s="19" t="str">
        <f t="shared" si="99"/>
        <v/>
      </c>
      <c r="P1930" s="19" t="str">
        <f t="shared" si="99"/>
        <v/>
      </c>
      <c r="Q1930" s="19" t="str">
        <f t="shared" si="99"/>
        <v/>
      </c>
      <c r="X1930" s="92" t="s">
        <v>78</v>
      </c>
      <c r="Y1930" s="92" t="s">
        <v>78</v>
      </c>
      <c r="Z1930" s="92" t="s">
        <v>78</v>
      </c>
    </row>
    <row r="1931" spans="1:26" ht="16" hidden="1" x14ac:dyDescent="0.4">
      <c r="A1931" s="92">
        <v>9639</v>
      </c>
      <c r="B1931" s="92">
        <v>9640</v>
      </c>
      <c r="E1931" s="92">
        <v>50</v>
      </c>
      <c r="F1931" s="92">
        <f>_xlfn.XLOOKUP(B1931, DATA_Moresby_2024_ALL!B:B, DATA_Moresby_2024_ALL!G:G, "")</f>
        <v>0</v>
      </c>
      <c r="G1931" s="93"/>
      <c r="H1931" s="92">
        <v>6</v>
      </c>
      <c r="I1931" s="92" t="str">
        <f t="shared" si="101"/>
        <v>X</v>
      </c>
      <c r="J1931" s="79" t="str">
        <f>IF(G1931="","X",_xlfn.XLOOKUP(B1931,DATA_Moresby_2024_ALL!B:B,DATA_Moresby_2024_ALL!K:K,""))</f>
        <v>X</v>
      </c>
      <c r="K1931" s="28"/>
      <c r="L1931" s="29"/>
      <c r="M1931" s="28"/>
      <c r="N1931" s="19" t="str">
        <f t="shared" si="100"/>
        <v/>
      </c>
      <c r="O1931" s="19" t="str">
        <f t="shared" si="99"/>
        <v/>
      </c>
      <c r="P1931" s="19" t="str">
        <f t="shared" si="99"/>
        <v/>
      </c>
      <c r="Q1931" s="19" t="str">
        <f t="shared" si="99"/>
        <v/>
      </c>
      <c r="X1931" s="92" t="s">
        <v>78</v>
      </c>
      <c r="Y1931" s="92" t="s">
        <v>78</v>
      </c>
      <c r="Z1931" s="92" t="s">
        <v>78</v>
      </c>
    </row>
    <row r="1932" spans="1:26" ht="16" hidden="1" x14ac:dyDescent="0.4">
      <c r="A1932" s="92">
        <v>9644</v>
      </c>
      <c r="B1932" s="92">
        <v>9645</v>
      </c>
      <c r="E1932" s="92">
        <v>50</v>
      </c>
      <c r="F1932" s="92">
        <f>_xlfn.XLOOKUP(B1932, DATA_Moresby_2024_ALL!B:B, DATA_Moresby_2024_ALL!G:G, "")</f>
        <v>0</v>
      </c>
      <c r="G1932" s="93"/>
      <c r="H1932" s="92">
        <v>6</v>
      </c>
      <c r="I1932" s="92" t="str">
        <f t="shared" si="101"/>
        <v>X</v>
      </c>
      <c r="J1932" s="79" t="str">
        <f>IF(G1932="","X",_xlfn.XLOOKUP(B1932,DATA_Moresby_2024_ALL!B:B,DATA_Moresby_2024_ALL!K:K,""))</f>
        <v>X</v>
      </c>
      <c r="K1932" s="28"/>
      <c r="L1932" s="29"/>
      <c r="M1932" s="28"/>
      <c r="N1932" s="19" t="str">
        <f t="shared" si="100"/>
        <v/>
      </c>
      <c r="O1932" s="19" t="str">
        <f t="shared" si="99"/>
        <v/>
      </c>
      <c r="P1932" s="19" t="str">
        <f t="shared" si="99"/>
        <v/>
      </c>
      <c r="Q1932" s="19" t="str">
        <f t="shared" si="99"/>
        <v/>
      </c>
      <c r="X1932" s="92" t="s">
        <v>78</v>
      </c>
      <c r="Y1932" s="92" t="s">
        <v>78</v>
      </c>
      <c r="Z1932" s="92" t="s">
        <v>78</v>
      </c>
    </row>
    <row r="1933" spans="1:26" ht="16" hidden="1" x14ac:dyDescent="0.4">
      <c r="A1933" s="92">
        <v>9649</v>
      </c>
      <c r="B1933" s="92">
        <v>9650</v>
      </c>
      <c r="E1933" s="92">
        <v>50</v>
      </c>
      <c r="F1933" s="92">
        <f>_xlfn.XLOOKUP(B1933, DATA_Moresby_2024_ALL!B:B, DATA_Moresby_2024_ALL!G:G, "")</f>
        <v>0</v>
      </c>
      <c r="G1933" s="93"/>
      <c r="H1933" s="92">
        <v>6</v>
      </c>
      <c r="I1933" s="92" t="str">
        <f t="shared" si="101"/>
        <v>X</v>
      </c>
      <c r="J1933" s="79" t="str">
        <f>IF(G1933="","X",_xlfn.XLOOKUP(B1933,DATA_Moresby_2024_ALL!B:B,DATA_Moresby_2024_ALL!K:K,""))</f>
        <v>X</v>
      </c>
      <c r="K1933" s="28"/>
      <c r="L1933" s="29"/>
      <c r="M1933" s="28"/>
      <c r="N1933" s="19" t="str">
        <f t="shared" si="100"/>
        <v/>
      </c>
      <c r="O1933" s="19" t="str">
        <f t="shared" si="99"/>
        <v/>
      </c>
      <c r="P1933" s="19" t="str">
        <f t="shared" si="99"/>
        <v/>
      </c>
      <c r="Q1933" s="19" t="str">
        <f t="shared" si="99"/>
        <v/>
      </c>
      <c r="X1933" s="92" t="s">
        <v>78</v>
      </c>
      <c r="Y1933" s="92" t="s">
        <v>78</v>
      </c>
      <c r="Z1933" s="92" t="s">
        <v>78</v>
      </c>
    </row>
    <row r="1934" spans="1:26" ht="16" hidden="1" x14ac:dyDescent="0.4">
      <c r="A1934" s="92">
        <v>9654</v>
      </c>
      <c r="B1934" s="92">
        <v>9655</v>
      </c>
      <c r="E1934" s="92">
        <v>50</v>
      </c>
      <c r="F1934" s="92">
        <f>_xlfn.XLOOKUP(B1934, DATA_Moresby_2024_ALL!B:B, DATA_Moresby_2024_ALL!G:G, "")</f>
        <v>0</v>
      </c>
      <c r="G1934" s="93"/>
      <c r="H1934" s="92">
        <v>6</v>
      </c>
      <c r="I1934" s="92" t="str">
        <f t="shared" si="101"/>
        <v>X</v>
      </c>
      <c r="J1934" s="79" t="str">
        <f>IF(G1934="","X",_xlfn.XLOOKUP(B1934,DATA_Moresby_2024_ALL!B:B,DATA_Moresby_2024_ALL!K:K,""))</f>
        <v>X</v>
      </c>
      <c r="K1934" s="28"/>
      <c r="L1934" s="29"/>
      <c r="M1934" s="28"/>
      <c r="N1934" s="19" t="str">
        <f t="shared" si="100"/>
        <v/>
      </c>
      <c r="O1934" s="19" t="str">
        <f t="shared" si="99"/>
        <v/>
      </c>
      <c r="P1934" s="19" t="str">
        <f t="shared" si="99"/>
        <v/>
      </c>
      <c r="Q1934" s="19" t="str">
        <f t="shared" si="99"/>
        <v/>
      </c>
      <c r="X1934" s="92" t="s">
        <v>78</v>
      </c>
      <c r="Y1934" s="92" t="s">
        <v>78</v>
      </c>
      <c r="Z1934" s="92" t="s">
        <v>78</v>
      </c>
    </row>
    <row r="1935" spans="1:26" ht="16" hidden="1" x14ac:dyDescent="0.4">
      <c r="A1935" s="92">
        <v>9659</v>
      </c>
      <c r="B1935" s="92">
        <v>9660</v>
      </c>
      <c r="E1935" s="92">
        <v>50</v>
      </c>
      <c r="F1935" s="92">
        <f>_xlfn.XLOOKUP(B1935, DATA_Moresby_2024_ALL!B:B, DATA_Moresby_2024_ALL!G:G, "")</f>
        <v>0</v>
      </c>
      <c r="G1935" s="93"/>
      <c r="H1935" s="92">
        <v>6</v>
      </c>
      <c r="I1935" s="92" t="str">
        <f t="shared" si="101"/>
        <v>X</v>
      </c>
      <c r="J1935" s="79" t="str">
        <f>IF(G1935="","X",_xlfn.XLOOKUP(B1935,DATA_Moresby_2024_ALL!B:B,DATA_Moresby_2024_ALL!K:K,""))</f>
        <v>X</v>
      </c>
      <c r="K1935" s="28"/>
      <c r="L1935" s="29"/>
      <c r="M1935" s="28"/>
      <c r="N1935" s="19" t="str">
        <f t="shared" si="100"/>
        <v/>
      </c>
      <c r="O1935" s="19" t="str">
        <f t="shared" si="99"/>
        <v/>
      </c>
      <c r="P1935" s="19" t="str">
        <f t="shared" si="99"/>
        <v/>
      </c>
      <c r="Q1935" s="19" t="str">
        <f t="shared" si="99"/>
        <v/>
      </c>
      <c r="X1935" s="92" t="s">
        <v>78</v>
      </c>
      <c r="Y1935" s="92" t="s">
        <v>78</v>
      </c>
      <c r="Z1935" s="92" t="s">
        <v>78</v>
      </c>
    </row>
    <row r="1936" spans="1:26" ht="16" hidden="1" x14ac:dyDescent="0.4">
      <c r="A1936" s="92">
        <v>9664</v>
      </c>
      <c r="B1936" s="92">
        <v>9665</v>
      </c>
      <c r="E1936" s="92">
        <v>50</v>
      </c>
      <c r="F1936" s="92">
        <f>_xlfn.XLOOKUP(B1936, DATA_Moresby_2024_ALL!B:B, DATA_Moresby_2024_ALL!G:G, "")</f>
        <v>0</v>
      </c>
      <c r="G1936" s="93"/>
      <c r="H1936" s="92">
        <v>6</v>
      </c>
      <c r="I1936" s="92" t="str">
        <f t="shared" si="101"/>
        <v>X</v>
      </c>
      <c r="J1936" s="79" t="str">
        <f>IF(G1936="","X",_xlfn.XLOOKUP(B1936,DATA_Moresby_2024_ALL!B:B,DATA_Moresby_2024_ALL!K:K,""))</f>
        <v>X</v>
      </c>
      <c r="K1936" s="28"/>
      <c r="L1936" s="29"/>
      <c r="M1936" s="28"/>
      <c r="N1936" s="19" t="str">
        <f t="shared" si="100"/>
        <v/>
      </c>
      <c r="O1936" s="19" t="str">
        <f t="shared" si="99"/>
        <v/>
      </c>
      <c r="P1936" s="19" t="str">
        <f t="shared" si="99"/>
        <v/>
      </c>
      <c r="Q1936" s="19" t="str">
        <f t="shared" si="99"/>
        <v/>
      </c>
      <c r="X1936" s="92" t="s">
        <v>78</v>
      </c>
      <c r="Y1936" s="92" t="s">
        <v>78</v>
      </c>
      <c r="Z1936" s="92" t="s">
        <v>78</v>
      </c>
    </row>
    <row r="1937" spans="1:26" ht="16" hidden="1" x14ac:dyDescent="0.4">
      <c r="A1937" s="92">
        <v>9669</v>
      </c>
      <c r="B1937" s="92">
        <v>9670</v>
      </c>
      <c r="E1937" s="92">
        <v>50</v>
      </c>
      <c r="F1937" s="92">
        <f>_xlfn.XLOOKUP(B1937, DATA_Moresby_2024_ALL!B:B, DATA_Moresby_2024_ALL!G:G, "")</f>
        <v>0</v>
      </c>
      <c r="G1937" s="93"/>
      <c r="H1937" s="92">
        <v>6</v>
      </c>
      <c r="I1937" s="92" t="str">
        <f t="shared" si="101"/>
        <v>X</v>
      </c>
      <c r="J1937" s="79" t="str">
        <f>IF(G1937="","X",_xlfn.XLOOKUP(B1937,DATA_Moresby_2024_ALL!B:B,DATA_Moresby_2024_ALL!K:K,""))</f>
        <v>X</v>
      </c>
      <c r="K1937" s="28"/>
      <c r="L1937" s="29"/>
      <c r="M1937" s="28"/>
      <c r="N1937" s="19" t="str">
        <f t="shared" si="100"/>
        <v/>
      </c>
      <c r="O1937" s="19" t="str">
        <f t="shared" si="99"/>
        <v/>
      </c>
      <c r="P1937" s="19" t="str">
        <f t="shared" si="99"/>
        <v/>
      </c>
      <c r="Q1937" s="19" t="str">
        <f t="shared" si="99"/>
        <v/>
      </c>
      <c r="X1937" s="92" t="s">
        <v>78</v>
      </c>
      <c r="Y1937" s="92" t="s">
        <v>78</v>
      </c>
      <c r="Z1937" s="92" t="s">
        <v>78</v>
      </c>
    </row>
    <row r="1938" spans="1:26" ht="16" hidden="1" x14ac:dyDescent="0.4">
      <c r="A1938" s="92">
        <v>9674</v>
      </c>
      <c r="B1938" s="92">
        <v>9675</v>
      </c>
      <c r="E1938" s="92">
        <v>50</v>
      </c>
      <c r="F1938" s="92">
        <f>_xlfn.XLOOKUP(B1938, DATA_Moresby_2024_ALL!B:B, DATA_Moresby_2024_ALL!G:G, "")</f>
        <v>0</v>
      </c>
      <c r="G1938" s="93"/>
      <c r="H1938" s="92">
        <v>6</v>
      </c>
      <c r="I1938" s="92" t="str">
        <f t="shared" si="101"/>
        <v>X</v>
      </c>
      <c r="J1938" s="79" t="str">
        <f>IF(G1938="","X",_xlfn.XLOOKUP(B1938,DATA_Moresby_2024_ALL!B:B,DATA_Moresby_2024_ALL!K:K,""))</f>
        <v>X</v>
      </c>
      <c r="K1938" s="28"/>
      <c r="L1938" s="29"/>
      <c r="M1938" s="28"/>
      <c r="N1938" s="19" t="str">
        <f t="shared" si="100"/>
        <v/>
      </c>
      <c r="O1938" s="19" t="str">
        <f t="shared" si="99"/>
        <v/>
      </c>
      <c r="P1938" s="19" t="str">
        <f t="shared" si="99"/>
        <v/>
      </c>
      <c r="Q1938" s="19" t="str">
        <f t="shared" si="99"/>
        <v/>
      </c>
      <c r="X1938" s="92" t="s">
        <v>78</v>
      </c>
      <c r="Y1938" s="92" t="s">
        <v>78</v>
      </c>
      <c r="Z1938" s="92" t="s">
        <v>78</v>
      </c>
    </row>
    <row r="1939" spans="1:26" ht="16" hidden="1" x14ac:dyDescent="0.4">
      <c r="A1939" s="92">
        <v>9679</v>
      </c>
      <c r="B1939" s="92">
        <v>9680</v>
      </c>
      <c r="E1939" s="92">
        <v>50</v>
      </c>
      <c r="F1939" s="92">
        <f>_xlfn.XLOOKUP(B1939, DATA_Moresby_2024_ALL!B:B, DATA_Moresby_2024_ALL!G:G, "")</f>
        <v>0</v>
      </c>
      <c r="G1939" s="93"/>
      <c r="H1939" s="92">
        <v>6</v>
      </c>
      <c r="I1939" s="92" t="str">
        <f t="shared" si="101"/>
        <v>X</v>
      </c>
      <c r="J1939" s="79" t="str">
        <f>IF(G1939="","X",_xlfn.XLOOKUP(B1939,DATA_Moresby_2024_ALL!B:B,DATA_Moresby_2024_ALL!K:K,""))</f>
        <v>X</v>
      </c>
      <c r="K1939" s="28"/>
      <c r="L1939" s="29"/>
      <c r="M1939" s="28"/>
      <c r="N1939" s="19" t="str">
        <f t="shared" si="100"/>
        <v/>
      </c>
      <c r="O1939" s="19" t="str">
        <f t="shared" si="99"/>
        <v/>
      </c>
      <c r="P1939" s="19" t="str">
        <f t="shared" si="99"/>
        <v/>
      </c>
      <c r="Q1939" s="19" t="str">
        <f t="shared" si="99"/>
        <v/>
      </c>
      <c r="X1939" s="92" t="s">
        <v>78</v>
      </c>
      <c r="Y1939" s="92" t="s">
        <v>78</v>
      </c>
      <c r="Z1939" s="92" t="s">
        <v>78</v>
      </c>
    </row>
    <row r="1940" spans="1:26" ht="16" hidden="1" x14ac:dyDescent="0.4">
      <c r="A1940" s="92">
        <v>9684</v>
      </c>
      <c r="B1940" s="92">
        <v>9685</v>
      </c>
      <c r="E1940" s="92">
        <v>50</v>
      </c>
      <c r="F1940" s="92">
        <f>_xlfn.XLOOKUP(B1940, DATA_Moresby_2024_ALL!B:B, DATA_Moresby_2024_ALL!G:G, "")</f>
        <v>0</v>
      </c>
      <c r="G1940" s="93"/>
      <c r="H1940" s="92">
        <v>6</v>
      </c>
      <c r="I1940" s="92" t="str">
        <f t="shared" si="101"/>
        <v>X</v>
      </c>
      <c r="J1940" s="79" t="str">
        <f>IF(G1940="","X",_xlfn.XLOOKUP(B1940,DATA_Moresby_2024_ALL!B:B,DATA_Moresby_2024_ALL!K:K,""))</f>
        <v>X</v>
      </c>
      <c r="K1940" s="28"/>
      <c r="L1940" s="29"/>
      <c r="M1940" s="28"/>
      <c r="N1940" s="19" t="str">
        <f t="shared" si="100"/>
        <v/>
      </c>
      <c r="O1940" s="19" t="str">
        <f t="shared" si="99"/>
        <v/>
      </c>
      <c r="P1940" s="19" t="str">
        <f t="shared" si="99"/>
        <v/>
      </c>
      <c r="Q1940" s="19" t="str">
        <f t="shared" si="99"/>
        <v/>
      </c>
      <c r="X1940" s="92" t="s">
        <v>78</v>
      </c>
      <c r="Y1940" s="92" t="s">
        <v>78</v>
      </c>
      <c r="Z1940" s="92" t="s">
        <v>78</v>
      </c>
    </row>
    <row r="1941" spans="1:26" ht="16" hidden="1" x14ac:dyDescent="0.4">
      <c r="A1941" s="92">
        <v>9689</v>
      </c>
      <c r="B1941" s="92">
        <v>9690</v>
      </c>
      <c r="E1941" s="92">
        <v>50</v>
      </c>
      <c r="F1941" s="92">
        <f>_xlfn.XLOOKUP(B1941, DATA_Moresby_2024_ALL!B:B, DATA_Moresby_2024_ALL!G:G, "")</f>
        <v>0</v>
      </c>
      <c r="G1941" s="93"/>
      <c r="H1941" s="92">
        <v>6</v>
      </c>
      <c r="I1941" s="92" t="str">
        <f t="shared" si="101"/>
        <v>X</v>
      </c>
      <c r="J1941" s="79" t="str">
        <f>IF(G1941="","X",_xlfn.XLOOKUP(B1941,DATA_Moresby_2024_ALL!B:B,DATA_Moresby_2024_ALL!K:K,""))</f>
        <v>X</v>
      </c>
      <c r="K1941" s="28"/>
      <c r="L1941" s="29"/>
      <c r="M1941" s="28"/>
      <c r="N1941" s="19" t="str">
        <f t="shared" si="100"/>
        <v/>
      </c>
      <c r="O1941" s="19" t="str">
        <f t="shared" si="99"/>
        <v/>
      </c>
      <c r="P1941" s="19" t="str">
        <f t="shared" si="99"/>
        <v/>
      </c>
      <c r="Q1941" s="19" t="str">
        <f t="shared" si="99"/>
        <v/>
      </c>
      <c r="X1941" s="92" t="s">
        <v>78</v>
      </c>
      <c r="Y1941" s="92" t="s">
        <v>78</v>
      </c>
      <c r="Z1941" s="92" t="s">
        <v>78</v>
      </c>
    </row>
    <row r="1942" spans="1:26" ht="16" hidden="1" x14ac:dyDescent="0.4">
      <c r="A1942" s="92">
        <v>9694</v>
      </c>
      <c r="B1942" s="92">
        <v>9695</v>
      </c>
      <c r="E1942" s="92">
        <v>50</v>
      </c>
      <c r="F1942" s="92">
        <f>_xlfn.XLOOKUP(B1942, DATA_Moresby_2024_ALL!B:B, DATA_Moresby_2024_ALL!G:G, "")</f>
        <v>0</v>
      </c>
      <c r="G1942" s="93"/>
      <c r="H1942" s="92">
        <v>6</v>
      </c>
      <c r="I1942" s="92" t="str">
        <f t="shared" si="101"/>
        <v>X</v>
      </c>
      <c r="J1942" s="79" t="str">
        <f>IF(G1942="","X",_xlfn.XLOOKUP(B1942,DATA_Moresby_2024_ALL!B:B,DATA_Moresby_2024_ALL!K:K,""))</f>
        <v>X</v>
      </c>
      <c r="K1942" s="28"/>
      <c r="L1942" s="29"/>
      <c r="M1942" s="28"/>
      <c r="N1942" s="19" t="str">
        <f t="shared" si="100"/>
        <v/>
      </c>
      <c r="O1942" s="19" t="str">
        <f t="shared" si="99"/>
        <v/>
      </c>
      <c r="P1942" s="19" t="str">
        <f t="shared" si="99"/>
        <v/>
      </c>
      <c r="Q1942" s="19" t="str">
        <f t="shared" si="99"/>
        <v/>
      </c>
      <c r="X1942" s="92" t="s">
        <v>78</v>
      </c>
      <c r="Y1942" s="92" t="s">
        <v>78</v>
      </c>
      <c r="Z1942" s="92" t="s">
        <v>78</v>
      </c>
    </row>
    <row r="1943" spans="1:26" ht="16" hidden="1" x14ac:dyDescent="0.4">
      <c r="A1943" s="92">
        <v>9699</v>
      </c>
      <c r="B1943" s="92">
        <v>9700</v>
      </c>
      <c r="E1943" s="92">
        <v>50</v>
      </c>
      <c r="F1943" s="92">
        <f>_xlfn.XLOOKUP(B1943, DATA_Moresby_2024_ALL!B:B, DATA_Moresby_2024_ALL!G:G, "")</f>
        <v>0</v>
      </c>
      <c r="G1943" s="93"/>
      <c r="H1943" s="92">
        <v>6</v>
      </c>
      <c r="I1943" s="92" t="str">
        <f t="shared" si="101"/>
        <v>X</v>
      </c>
      <c r="J1943" s="79" t="str">
        <f>IF(G1943="","X",_xlfn.XLOOKUP(B1943,DATA_Moresby_2024_ALL!B:B,DATA_Moresby_2024_ALL!K:K,""))</f>
        <v>X</v>
      </c>
      <c r="K1943" s="28"/>
      <c r="L1943" s="29"/>
      <c r="M1943" s="28"/>
      <c r="N1943" s="19" t="str">
        <f t="shared" si="100"/>
        <v/>
      </c>
      <c r="O1943" s="19" t="str">
        <f t="shared" si="99"/>
        <v/>
      </c>
      <c r="P1943" s="19" t="str">
        <f t="shared" si="99"/>
        <v/>
      </c>
      <c r="Q1943" s="19" t="str">
        <f t="shared" si="99"/>
        <v/>
      </c>
      <c r="X1943" s="92" t="s">
        <v>78</v>
      </c>
      <c r="Y1943" s="92" t="s">
        <v>78</v>
      </c>
      <c r="Z1943" s="92" t="s">
        <v>78</v>
      </c>
    </row>
    <row r="1944" spans="1:26" ht="16" hidden="1" x14ac:dyDescent="0.4">
      <c r="A1944" s="92">
        <v>9704</v>
      </c>
      <c r="B1944" s="92">
        <v>9705</v>
      </c>
      <c r="E1944" s="92">
        <v>50</v>
      </c>
      <c r="F1944" s="92">
        <f>_xlfn.XLOOKUP(B1944, DATA_Moresby_2024_ALL!B:B, DATA_Moresby_2024_ALL!G:G, "")</f>
        <v>0</v>
      </c>
      <c r="G1944" s="93"/>
      <c r="H1944" s="92">
        <v>6</v>
      </c>
      <c r="I1944" s="92" t="str">
        <f t="shared" si="101"/>
        <v>X</v>
      </c>
      <c r="J1944" s="79" t="str">
        <f>IF(G1944="","X",_xlfn.XLOOKUP(B1944,DATA_Moresby_2024_ALL!B:B,DATA_Moresby_2024_ALL!K:K,""))</f>
        <v>X</v>
      </c>
      <c r="K1944" s="28"/>
      <c r="L1944" s="29"/>
      <c r="M1944" s="28"/>
      <c r="N1944" s="19" t="str">
        <f t="shared" si="100"/>
        <v/>
      </c>
      <c r="O1944" s="19" t="str">
        <f t="shared" si="99"/>
        <v/>
      </c>
      <c r="P1944" s="19" t="str">
        <f t="shared" si="99"/>
        <v/>
      </c>
      <c r="Q1944" s="19" t="str">
        <f t="shared" si="99"/>
        <v/>
      </c>
      <c r="X1944" s="92" t="s">
        <v>78</v>
      </c>
      <c r="Y1944" s="92" t="s">
        <v>78</v>
      </c>
      <c r="Z1944" s="92" t="s">
        <v>78</v>
      </c>
    </row>
    <row r="1945" spans="1:26" ht="16" hidden="1" x14ac:dyDescent="0.4">
      <c r="A1945" s="92">
        <v>9709</v>
      </c>
      <c r="B1945" s="92">
        <v>9710</v>
      </c>
      <c r="E1945" s="92">
        <v>50</v>
      </c>
      <c r="F1945" s="92">
        <f>_xlfn.XLOOKUP(B1945, DATA_Moresby_2024_ALL!B:B, DATA_Moresby_2024_ALL!G:G, "")</f>
        <v>0</v>
      </c>
      <c r="G1945" s="93"/>
      <c r="H1945" s="92">
        <v>6</v>
      </c>
      <c r="I1945" s="92" t="str">
        <f t="shared" si="101"/>
        <v>X</v>
      </c>
      <c r="J1945" s="79" t="str">
        <f>IF(G1945="","X",_xlfn.XLOOKUP(B1945,DATA_Moresby_2024_ALL!B:B,DATA_Moresby_2024_ALL!K:K,""))</f>
        <v>X</v>
      </c>
      <c r="K1945" s="28"/>
      <c r="L1945" s="29"/>
      <c r="M1945" s="28"/>
      <c r="N1945" s="19" t="str">
        <f t="shared" si="100"/>
        <v/>
      </c>
      <c r="O1945" s="19" t="str">
        <f t="shared" si="99"/>
        <v/>
      </c>
      <c r="P1945" s="19" t="str">
        <f t="shared" si="99"/>
        <v/>
      </c>
      <c r="Q1945" s="19" t="str">
        <f t="shared" si="99"/>
        <v/>
      </c>
      <c r="X1945" s="92" t="s">
        <v>78</v>
      </c>
      <c r="Y1945" s="92" t="s">
        <v>78</v>
      </c>
      <c r="Z1945" s="92" t="s">
        <v>78</v>
      </c>
    </row>
    <row r="1946" spans="1:26" ht="16" hidden="1" x14ac:dyDescent="0.4">
      <c r="A1946" s="92">
        <v>9714</v>
      </c>
      <c r="B1946" s="92">
        <v>9715</v>
      </c>
      <c r="E1946" s="92">
        <v>50</v>
      </c>
      <c r="F1946" s="92">
        <f>_xlfn.XLOOKUP(B1946, DATA_Moresby_2024_ALL!B:B, DATA_Moresby_2024_ALL!G:G, "")</f>
        <v>0</v>
      </c>
      <c r="G1946" s="93"/>
      <c r="H1946" s="92">
        <v>6</v>
      </c>
      <c r="I1946" s="92" t="str">
        <f t="shared" si="101"/>
        <v>X</v>
      </c>
      <c r="J1946" s="79" t="str">
        <f>IF(G1946="","X",_xlfn.XLOOKUP(B1946,DATA_Moresby_2024_ALL!B:B,DATA_Moresby_2024_ALL!K:K,""))</f>
        <v>X</v>
      </c>
      <c r="K1946" s="28"/>
      <c r="L1946" s="29"/>
      <c r="M1946" s="28"/>
      <c r="N1946" s="19" t="str">
        <f t="shared" si="100"/>
        <v/>
      </c>
      <c r="O1946" s="19" t="str">
        <f t="shared" si="99"/>
        <v/>
      </c>
      <c r="P1946" s="19" t="str">
        <f t="shared" si="99"/>
        <v/>
      </c>
      <c r="Q1946" s="19" t="str">
        <f t="shared" si="99"/>
        <v/>
      </c>
      <c r="X1946" s="92" t="s">
        <v>78</v>
      </c>
      <c r="Y1946" s="92" t="s">
        <v>78</v>
      </c>
      <c r="Z1946" s="92" t="s">
        <v>78</v>
      </c>
    </row>
    <row r="1947" spans="1:26" ht="16" hidden="1" x14ac:dyDescent="0.4">
      <c r="A1947" s="92">
        <v>9719</v>
      </c>
      <c r="B1947" s="92">
        <v>9720</v>
      </c>
      <c r="E1947" s="92">
        <v>50</v>
      </c>
      <c r="F1947" s="92">
        <f>_xlfn.XLOOKUP(B1947, DATA_Moresby_2024_ALL!B:B, DATA_Moresby_2024_ALL!G:G, "")</f>
        <v>0</v>
      </c>
      <c r="G1947" s="93"/>
      <c r="H1947" s="92">
        <v>6</v>
      </c>
      <c r="I1947" s="92" t="str">
        <f t="shared" si="101"/>
        <v>X</v>
      </c>
      <c r="J1947" s="79" t="str">
        <f>IF(G1947="","X",_xlfn.XLOOKUP(B1947,DATA_Moresby_2024_ALL!B:B,DATA_Moresby_2024_ALL!K:K,""))</f>
        <v>X</v>
      </c>
      <c r="K1947" s="28"/>
      <c r="L1947" s="29"/>
      <c r="M1947" s="28"/>
      <c r="N1947" s="19" t="str">
        <f t="shared" si="100"/>
        <v/>
      </c>
      <c r="O1947" s="19" t="str">
        <f t="shared" si="99"/>
        <v/>
      </c>
      <c r="P1947" s="19" t="str">
        <f t="shared" si="99"/>
        <v/>
      </c>
      <c r="Q1947" s="19" t="str">
        <f t="shared" si="99"/>
        <v/>
      </c>
      <c r="X1947" s="92" t="s">
        <v>78</v>
      </c>
      <c r="Y1947" s="92" t="s">
        <v>78</v>
      </c>
      <c r="Z1947" s="92" t="s">
        <v>78</v>
      </c>
    </row>
    <row r="1948" spans="1:26" ht="16" hidden="1" x14ac:dyDescent="0.4">
      <c r="A1948" s="92">
        <v>9724</v>
      </c>
      <c r="B1948" s="92">
        <v>9725</v>
      </c>
      <c r="E1948" s="92">
        <v>50</v>
      </c>
      <c r="F1948" s="92">
        <f>_xlfn.XLOOKUP(B1948, DATA_Moresby_2024_ALL!B:B, DATA_Moresby_2024_ALL!G:G, "")</f>
        <v>0</v>
      </c>
      <c r="G1948" s="93"/>
      <c r="H1948" s="92">
        <v>6</v>
      </c>
      <c r="I1948" s="92" t="str">
        <f t="shared" si="101"/>
        <v>X</v>
      </c>
      <c r="J1948" s="79" t="str">
        <f>IF(G1948="","X",_xlfn.XLOOKUP(B1948,DATA_Moresby_2024_ALL!B:B,DATA_Moresby_2024_ALL!K:K,""))</f>
        <v>X</v>
      </c>
      <c r="K1948" s="28"/>
      <c r="L1948" s="29"/>
      <c r="M1948" s="28"/>
      <c r="N1948" s="19" t="str">
        <f t="shared" si="100"/>
        <v/>
      </c>
      <c r="O1948" s="19" t="str">
        <f t="shared" si="99"/>
        <v/>
      </c>
      <c r="P1948" s="19" t="str">
        <f t="shared" si="99"/>
        <v/>
      </c>
      <c r="Q1948" s="19" t="str">
        <f t="shared" si="99"/>
        <v/>
      </c>
      <c r="X1948" s="92" t="s">
        <v>78</v>
      </c>
      <c r="Y1948" s="92" t="s">
        <v>78</v>
      </c>
      <c r="Z1948" s="92" t="s">
        <v>78</v>
      </c>
    </row>
    <row r="1949" spans="1:26" ht="16" hidden="1" x14ac:dyDescent="0.4">
      <c r="A1949" s="92">
        <v>9729</v>
      </c>
      <c r="B1949" s="92">
        <v>9730</v>
      </c>
      <c r="E1949" s="92">
        <v>50</v>
      </c>
      <c r="F1949" s="92">
        <f>_xlfn.XLOOKUP(B1949, DATA_Moresby_2024_ALL!B:B, DATA_Moresby_2024_ALL!G:G, "")</f>
        <v>0</v>
      </c>
      <c r="G1949" s="93"/>
      <c r="H1949" s="92">
        <v>6</v>
      </c>
      <c r="I1949" s="92" t="str">
        <f t="shared" si="101"/>
        <v>X</v>
      </c>
      <c r="J1949" s="79" t="str">
        <f>IF(G1949="","X",_xlfn.XLOOKUP(B1949,DATA_Moresby_2024_ALL!B:B,DATA_Moresby_2024_ALL!K:K,""))</f>
        <v>X</v>
      </c>
      <c r="K1949" s="28"/>
      <c r="L1949" s="29"/>
      <c r="M1949" s="28"/>
      <c r="N1949" s="19" t="str">
        <f t="shared" si="100"/>
        <v/>
      </c>
      <c r="O1949" s="19" t="str">
        <f t="shared" si="100"/>
        <v/>
      </c>
      <c r="P1949" s="19" t="str">
        <f t="shared" si="100"/>
        <v/>
      </c>
      <c r="Q1949" s="19" t="str">
        <f t="shared" si="100"/>
        <v/>
      </c>
      <c r="X1949" s="92" t="s">
        <v>78</v>
      </c>
      <c r="Y1949" s="92" t="s">
        <v>78</v>
      </c>
      <c r="Z1949" s="92" t="s">
        <v>78</v>
      </c>
    </row>
    <row r="1950" spans="1:26" ht="16" hidden="1" x14ac:dyDescent="0.4">
      <c r="A1950" s="92">
        <v>9734</v>
      </c>
      <c r="B1950" s="92">
        <v>9735</v>
      </c>
      <c r="E1950" s="92">
        <v>50</v>
      </c>
      <c r="F1950" s="92">
        <f>_xlfn.XLOOKUP(B1950, DATA_Moresby_2024_ALL!B:B, DATA_Moresby_2024_ALL!G:G, "")</f>
        <v>0</v>
      </c>
      <c r="G1950" s="93"/>
      <c r="H1950" s="92">
        <v>6</v>
      </c>
      <c r="I1950" s="92" t="str">
        <f t="shared" si="101"/>
        <v>X</v>
      </c>
      <c r="J1950" s="79" t="str">
        <f>IF(G1950="","X",_xlfn.XLOOKUP(B1950,DATA_Moresby_2024_ALL!B:B,DATA_Moresby_2024_ALL!K:K,""))</f>
        <v>X</v>
      </c>
      <c r="K1950" s="28"/>
      <c r="L1950" s="29"/>
      <c r="M1950" s="28"/>
      <c r="N1950" s="19" t="str">
        <f t="shared" ref="N1950:Q2013" si="102">IF($J1950=1,4,"")</f>
        <v/>
      </c>
      <c r="O1950" s="19" t="str">
        <f t="shared" si="102"/>
        <v/>
      </c>
      <c r="P1950" s="19" t="str">
        <f t="shared" si="102"/>
        <v/>
      </c>
      <c r="Q1950" s="19" t="str">
        <f t="shared" si="102"/>
        <v/>
      </c>
      <c r="X1950" s="92" t="s">
        <v>78</v>
      </c>
      <c r="Y1950" s="92" t="s">
        <v>78</v>
      </c>
      <c r="Z1950" s="92" t="s">
        <v>78</v>
      </c>
    </row>
    <row r="1951" spans="1:26" ht="16" hidden="1" x14ac:dyDescent="0.4">
      <c r="A1951" s="92">
        <v>9739</v>
      </c>
      <c r="B1951" s="92">
        <v>9740</v>
      </c>
      <c r="E1951" s="92">
        <v>50</v>
      </c>
      <c r="F1951" s="92">
        <f>_xlfn.XLOOKUP(B1951, DATA_Moresby_2024_ALL!B:B, DATA_Moresby_2024_ALL!G:G, "")</f>
        <v>0</v>
      </c>
      <c r="G1951" s="93"/>
      <c r="H1951" s="92">
        <v>6</v>
      </c>
      <c r="I1951" s="92" t="str">
        <f t="shared" si="101"/>
        <v>X</v>
      </c>
      <c r="J1951" s="79" t="str">
        <f>IF(G1951="","X",_xlfn.XLOOKUP(B1951,DATA_Moresby_2024_ALL!B:B,DATA_Moresby_2024_ALL!K:K,""))</f>
        <v>X</v>
      </c>
      <c r="K1951" s="28"/>
      <c r="L1951" s="29"/>
      <c r="M1951" s="28"/>
      <c r="N1951" s="19" t="str">
        <f t="shared" si="102"/>
        <v/>
      </c>
      <c r="O1951" s="19" t="str">
        <f t="shared" si="102"/>
        <v/>
      </c>
      <c r="P1951" s="19" t="str">
        <f t="shared" si="102"/>
        <v/>
      </c>
      <c r="Q1951" s="19" t="str">
        <f t="shared" si="102"/>
        <v/>
      </c>
      <c r="X1951" s="92" t="s">
        <v>78</v>
      </c>
      <c r="Y1951" s="92" t="s">
        <v>78</v>
      </c>
      <c r="Z1951" s="92" t="s">
        <v>78</v>
      </c>
    </row>
    <row r="1952" spans="1:26" ht="16" hidden="1" x14ac:dyDescent="0.4">
      <c r="A1952" s="92">
        <v>9744</v>
      </c>
      <c r="B1952" s="92">
        <v>9745</v>
      </c>
      <c r="E1952" s="92">
        <v>50</v>
      </c>
      <c r="F1952" s="92">
        <f>_xlfn.XLOOKUP(B1952, DATA_Moresby_2024_ALL!B:B, DATA_Moresby_2024_ALL!G:G, "")</f>
        <v>0</v>
      </c>
      <c r="G1952" s="93"/>
      <c r="H1952" s="92">
        <v>6</v>
      </c>
      <c r="I1952" s="92" t="str">
        <f t="shared" si="101"/>
        <v>X</v>
      </c>
      <c r="J1952" s="79" t="str">
        <f>IF(G1952="","X",_xlfn.XLOOKUP(B1952,DATA_Moresby_2024_ALL!B:B,DATA_Moresby_2024_ALL!K:K,""))</f>
        <v>X</v>
      </c>
      <c r="K1952" s="28"/>
      <c r="L1952" s="29"/>
      <c r="M1952" s="28"/>
      <c r="N1952" s="19" t="str">
        <f t="shared" si="102"/>
        <v/>
      </c>
      <c r="O1952" s="19" t="str">
        <f t="shared" si="102"/>
        <v/>
      </c>
      <c r="P1952" s="19" t="str">
        <f t="shared" si="102"/>
        <v/>
      </c>
      <c r="Q1952" s="19" t="str">
        <f t="shared" si="102"/>
        <v/>
      </c>
      <c r="X1952" s="92" t="s">
        <v>78</v>
      </c>
      <c r="Y1952" s="92" t="s">
        <v>78</v>
      </c>
      <c r="Z1952" s="92" t="s">
        <v>78</v>
      </c>
    </row>
    <row r="1953" spans="1:26" ht="16" hidden="1" x14ac:dyDescent="0.4">
      <c r="A1953" s="92">
        <v>9749</v>
      </c>
      <c r="B1953" s="92">
        <v>9750</v>
      </c>
      <c r="E1953" s="92">
        <v>50</v>
      </c>
      <c r="F1953" s="92">
        <f>_xlfn.XLOOKUP(B1953, DATA_Moresby_2024_ALL!B:B, DATA_Moresby_2024_ALL!G:G, "")</f>
        <v>0</v>
      </c>
      <c r="G1953" s="93"/>
      <c r="H1953" s="92">
        <v>6</v>
      </c>
      <c r="I1953" s="92" t="str">
        <f t="shared" si="101"/>
        <v>X</v>
      </c>
      <c r="J1953" s="79" t="str">
        <f>IF(G1953="","X",_xlfn.XLOOKUP(B1953,DATA_Moresby_2024_ALL!B:B,DATA_Moresby_2024_ALL!K:K,""))</f>
        <v>X</v>
      </c>
      <c r="K1953" s="28"/>
      <c r="L1953" s="29"/>
      <c r="M1953" s="28"/>
      <c r="N1953" s="19" t="str">
        <f t="shared" si="102"/>
        <v/>
      </c>
      <c r="O1953" s="19" t="str">
        <f t="shared" si="102"/>
        <v/>
      </c>
      <c r="P1953" s="19" t="str">
        <f t="shared" si="102"/>
        <v/>
      </c>
      <c r="Q1953" s="19" t="str">
        <f t="shared" si="102"/>
        <v/>
      </c>
      <c r="X1953" s="92" t="s">
        <v>78</v>
      </c>
      <c r="Y1953" s="92" t="s">
        <v>78</v>
      </c>
      <c r="Z1953" s="92" t="s">
        <v>78</v>
      </c>
    </row>
    <row r="1954" spans="1:26" ht="16" hidden="1" x14ac:dyDescent="0.4">
      <c r="A1954" s="92">
        <v>9754</v>
      </c>
      <c r="B1954" s="92">
        <v>9755</v>
      </c>
      <c r="E1954" s="92">
        <v>50</v>
      </c>
      <c r="F1954" s="92">
        <f>_xlfn.XLOOKUP(B1954, DATA_Moresby_2024_ALL!B:B, DATA_Moresby_2024_ALL!G:G, "")</f>
        <v>0</v>
      </c>
      <c r="G1954" s="93"/>
      <c r="H1954" s="92">
        <v>6</v>
      </c>
      <c r="I1954" s="92" t="str">
        <f t="shared" si="101"/>
        <v>X</v>
      </c>
      <c r="J1954" s="79" t="str">
        <f>IF(G1954="","X",_xlfn.XLOOKUP(B1954,DATA_Moresby_2024_ALL!B:B,DATA_Moresby_2024_ALL!K:K,""))</f>
        <v>X</v>
      </c>
      <c r="K1954" s="28"/>
      <c r="L1954" s="29"/>
      <c r="M1954" s="28"/>
      <c r="N1954" s="19" t="str">
        <f t="shared" si="102"/>
        <v/>
      </c>
      <c r="O1954" s="19" t="str">
        <f t="shared" si="102"/>
        <v/>
      </c>
      <c r="P1954" s="19" t="str">
        <f t="shared" si="102"/>
        <v/>
      </c>
      <c r="Q1954" s="19" t="str">
        <f t="shared" si="102"/>
        <v/>
      </c>
      <c r="X1954" s="92" t="s">
        <v>78</v>
      </c>
      <c r="Y1954" s="92" t="s">
        <v>78</v>
      </c>
      <c r="Z1954" s="92" t="s">
        <v>78</v>
      </c>
    </row>
    <row r="1955" spans="1:26" ht="16" hidden="1" x14ac:dyDescent="0.4">
      <c r="A1955" s="92">
        <v>9759</v>
      </c>
      <c r="B1955" s="92">
        <v>9760</v>
      </c>
      <c r="E1955" s="92">
        <v>50</v>
      </c>
      <c r="F1955" s="92">
        <f>_xlfn.XLOOKUP(B1955, DATA_Moresby_2024_ALL!B:B, DATA_Moresby_2024_ALL!G:G, "")</f>
        <v>0</v>
      </c>
      <c r="G1955" s="93"/>
      <c r="H1955" s="92">
        <v>6</v>
      </c>
      <c r="I1955" s="92" t="str">
        <f t="shared" si="101"/>
        <v>X</v>
      </c>
      <c r="J1955" s="79" t="str">
        <f>IF(G1955="","X",_xlfn.XLOOKUP(B1955,DATA_Moresby_2024_ALL!B:B,DATA_Moresby_2024_ALL!K:K,""))</f>
        <v>X</v>
      </c>
      <c r="K1955" s="28"/>
      <c r="L1955" s="29"/>
      <c r="M1955" s="28"/>
      <c r="N1955" s="19" t="str">
        <f t="shared" si="102"/>
        <v/>
      </c>
      <c r="O1955" s="19" t="str">
        <f t="shared" si="102"/>
        <v/>
      </c>
      <c r="P1955" s="19" t="str">
        <f t="shared" si="102"/>
        <v/>
      </c>
      <c r="Q1955" s="19" t="str">
        <f t="shared" si="102"/>
        <v/>
      </c>
      <c r="X1955" s="92" t="s">
        <v>78</v>
      </c>
      <c r="Y1955" s="92" t="s">
        <v>78</v>
      </c>
      <c r="Z1955" s="92" t="s">
        <v>78</v>
      </c>
    </row>
    <row r="1956" spans="1:26" ht="16" hidden="1" x14ac:dyDescent="0.4">
      <c r="A1956" s="92">
        <v>9764</v>
      </c>
      <c r="B1956" s="92">
        <v>9765</v>
      </c>
      <c r="E1956" s="92">
        <v>50</v>
      </c>
      <c r="F1956" s="92">
        <f>_xlfn.XLOOKUP(B1956, DATA_Moresby_2024_ALL!B:B, DATA_Moresby_2024_ALL!G:G, "")</f>
        <v>0</v>
      </c>
      <c r="G1956" s="93"/>
      <c r="H1956" s="92">
        <v>6</v>
      </c>
      <c r="I1956" s="92" t="str">
        <f t="shared" si="101"/>
        <v>X</v>
      </c>
      <c r="J1956" s="79" t="str">
        <f>IF(G1956="","X",_xlfn.XLOOKUP(B1956,DATA_Moresby_2024_ALL!B:B,DATA_Moresby_2024_ALL!K:K,""))</f>
        <v>X</v>
      </c>
      <c r="K1956" s="28"/>
      <c r="L1956" s="29"/>
      <c r="M1956" s="28"/>
      <c r="N1956" s="19" t="str">
        <f t="shared" si="102"/>
        <v/>
      </c>
      <c r="O1956" s="19" t="str">
        <f t="shared" si="102"/>
        <v/>
      </c>
      <c r="P1956" s="19" t="str">
        <f t="shared" si="102"/>
        <v/>
      </c>
      <c r="Q1956" s="19" t="str">
        <f t="shared" si="102"/>
        <v/>
      </c>
      <c r="X1956" s="92" t="s">
        <v>78</v>
      </c>
      <c r="Y1956" s="92" t="s">
        <v>78</v>
      </c>
      <c r="Z1956" s="92" t="s">
        <v>78</v>
      </c>
    </row>
    <row r="1957" spans="1:26" ht="16" hidden="1" x14ac:dyDescent="0.4">
      <c r="A1957" s="92">
        <v>9769</v>
      </c>
      <c r="B1957" s="92">
        <v>9770</v>
      </c>
      <c r="E1957" s="92">
        <v>50</v>
      </c>
      <c r="F1957" s="92">
        <f>_xlfn.XLOOKUP(B1957, DATA_Moresby_2024_ALL!B:B, DATA_Moresby_2024_ALL!G:G, "")</f>
        <v>0</v>
      </c>
      <c r="G1957" s="93"/>
      <c r="H1957" s="92">
        <v>6</v>
      </c>
      <c r="I1957" s="92" t="str">
        <f t="shared" si="101"/>
        <v>X</v>
      </c>
      <c r="J1957" s="79" t="str">
        <f>IF(G1957="","X",_xlfn.XLOOKUP(B1957,DATA_Moresby_2024_ALL!B:B,DATA_Moresby_2024_ALL!K:K,""))</f>
        <v>X</v>
      </c>
      <c r="K1957" s="28"/>
      <c r="L1957" s="29"/>
      <c r="M1957" s="28"/>
      <c r="N1957" s="19" t="str">
        <f t="shared" si="102"/>
        <v/>
      </c>
      <c r="O1957" s="19" t="str">
        <f t="shared" si="102"/>
        <v/>
      </c>
      <c r="P1957" s="19" t="str">
        <f t="shared" si="102"/>
        <v/>
      </c>
      <c r="Q1957" s="19" t="str">
        <f t="shared" si="102"/>
        <v/>
      </c>
      <c r="X1957" s="92" t="s">
        <v>78</v>
      </c>
      <c r="Y1957" s="92" t="s">
        <v>78</v>
      </c>
      <c r="Z1957" s="92" t="s">
        <v>78</v>
      </c>
    </row>
    <row r="1958" spans="1:26" ht="16" hidden="1" x14ac:dyDescent="0.4">
      <c r="A1958" s="92">
        <v>9774</v>
      </c>
      <c r="B1958" s="92">
        <v>9775</v>
      </c>
      <c r="E1958" s="92">
        <v>50</v>
      </c>
      <c r="F1958" s="92">
        <f>_xlfn.XLOOKUP(B1958, DATA_Moresby_2024_ALL!B:B, DATA_Moresby_2024_ALL!G:G, "")</f>
        <v>0</v>
      </c>
      <c r="G1958" s="93"/>
      <c r="H1958" s="92">
        <v>6</v>
      </c>
      <c r="I1958" s="92" t="str">
        <f t="shared" si="101"/>
        <v>X</v>
      </c>
      <c r="J1958" s="79" t="str">
        <f>IF(G1958="","X",_xlfn.XLOOKUP(B1958,DATA_Moresby_2024_ALL!B:B,DATA_Moresby_2024_ALL!K:K,""))</f>
        <v>X</v>
      </c>
      <c r="K1958" s="28"/>
      <c r="L1958" s="29"/>
      <c r="M1958" s="28"/>
      <c r="N1958" s="19" t="str">
        <f t="shared" si="102"/>
        <v/>
      </c>
      <c r="O1958" s="19" t="str">
        <f t="shared" si="102"/>
        <v/>
      </c>
      <c r="P1958" s="19" t="str">
        <f t="shared" si="102"/>
        <v/>
      </c>
      <c r="Q1958" s="19" t="str">
        <f t="shared" si="102"/>
        <v/>
      </c>
      <c r="X1958" s="92" t="s">
        <v>78</v>
      </c>
      <c r="Y1958" s="92" t="s">
        <v>78</v>
      </c>
      <c r="Z1958" s="92" t="s">
        <v>78</v>
      </c>
    </row>
    <row r="1959" spans="1:26" ht="16" hidden="1" x14ac:dyDescent="0.4">
      <c r="A1959" s="92">
        <v>9779</v>
      </c>
      <c r="B1959" s="92">
        <v>9780</v>
      </c>
      <c r="E1959" s="92">
        <v>50</v>
      </c>
      <c r="F1959" s="92">
        <f>_xlfn.XLOOKUP(B1959, DATA_Moresby_2024_ALL!B:B, DATA_Moresby_2024_ALL!G:G, "")</f>
        <v>0</v>
      </c>
      <c r="G1959" s="93"/>
      <c r="H1959" s="92">
        <v>6</v>
      </c>
      <c r="I1959" s="92" t="str">
        <f t="shared" si="101"/>
        <v>X</v>
      </c>
      <c r="J1959" s="79" t="str">
        <f>IF(G1959="","X",_xlfn.XLOOKUP(B1959,DATA_Moresby_2024_ALL!B:B,DATA_Moresby_2024_ALL!K:K,""))</f>
        <v>X</v>
      </c>
      <c r="K1959" s="28"/>
      <c r="L1959" s="29"/>
      <c r="M1959" s="28"/>
      <c r="N1959" s="19" t="str">
        <f t="shared" si="102"/>
        <v/>
      </c>
      <c r="O1959" s="19" t="str">
        <f t="shared" si="102"/>
        <v/>
      </c>
      <c r="P1959" s="19" t="str">
        <f t="shared" si="102"/>
        <v/>
      </c>
      <c r="Q1959" s="19" t="str">
        <f t="shared" si="102"/>
        <v/>
      </c>
      <c r="X1959" s="92" t="s">
        <v>78</v>
      </c>
      <c r="Y1959" s="92" t="s">
        <v>78</v>
      </c>
      <c r="Z1959" s="92" t="s">
        <v>78</v>
      </c>
    </row>
    <row r="1960" spans="1:26" ht="16" hidden="1" x14ac:dyDescent="0.4">
      <c r="A1960" s="92">
        <v>9784</v>
      </c>
      <c r="B1960" s="92">
        <v>9785</v>
      </c>
      <c r="E1960" s="92">
        <v>50</v>
      </c>
      <c r="F1960" s="92">
        <f>_xlfn.XLOOKUP(B1960, DATA_Moresby_2024_ALL!B:B, DATA_Moresby_2024_ALL!G:G, "")</f>
        <v>0</v>
      </c>
      <c r="G1960" s="93"/>
      <c r="H1960" s="92">
        <v>6</v>
      </c>
      <c r="I1960" s="92" t="str">
        <f t="shared" si="101"/>
        <v>X</v>
      </c>
      <c r="J1960" s="79" t="str">
        <f>IF(G1960="","X",_xlfn.XLOOKUP(B1960,DATA_Moresby_2024_ALL!B:B,DATA_Moresby_2024_ALL!K:K,""))</f>
        <v>X</v>
      </c>
      <c r="K1960" s="28"/>
      <c r="L1960" s="29"/>
      <c r="M1960" s="28"/>
      <c r="N1960" s="19" t="str">
        <f t="shared" si="102"/>
        <v/>
      </c>
      <c r="O1960" s="19" t="str">
        <f t="shared" si="102"/>
        <v/>
      </c>
      <c r="P1960" s="19" t="str">
        <f t="shared" si="102"/>
        <v/>
      </c>
      <c r="Q1960" s="19" t="str">
        <f t="shared" si="102"/>
        <v/>
      </c>
      <c r="X1960" s="92" t="s">
        <v>78</v>
      </c>
      <c r="Y1960" s="92" t="s">
        <v>78</v>
      </c>
      <c r="Z1960" s="92" t="s">
        <v>78</v>
      </c>
    </row>
    <row r="1961" spans="1:26" ht="16" hidden="1" x14ac:dyDescent="0.4">
      <c r="A1961" s="92">
        <v>9789</v>
      </c>
      <c r="B1961" s="92">
        <v>9790</v>
      </c>
      <c r="E1961" s="92">
        <v>50</v>
      </c>
      <c r="F1961" s="92">
        <f>_xlfn.XLOOKUP(B1961, DATA_Moresby_2024_ALL!B:B, DATA_Moresby_2024_ALL!G:G, "")</f>
        <v>0</v>
      </c>
      <c r="G1961" s="93"/>
      <c r="H1961" s="92">
        <v>6</v>
      </c>
      <c r="I1961" s="92" t="str">
        <f t="shared" si="101"/>
        <v>X</v>
      </c>
      <c r="J1961" s="79" t="str">
        <f>IF(G1961="","X",_xlfn.XLOOKUP(B1961,DATA_Moresby_2024_ALL!B:B,DATA_Moresby_2024_ALL!K:K,""))</f>
        <v>X</v>
      </c>
      <c r="K1961" s="28"/>
      <c r="L1961" s="29"/>
      <c r="M1961" s="28"/>
      <c r="N1961" s="19" t="str">
        <f t="shared" si="102"/>
        <v/>
      </c>
      <c r="O1961" s="19" t="str">
        <f t="shared" si="102"/>
        <v/>
      </c>
      <c r="P1961" s="19" t="str">
        <f t="shared" si="102"/>
        <v/>
      </c>
      <c r="Q1961" s="19" t="str">
        <f t="shared" si="102"/>
        <v/>
      </c>
      <c r="X1961" s="92" t="s">
        <v>78</v>
      </c>
      <c r="Y1961" s="92" t="s">
        <v>78</v>
      </c>
      <c r="Z1961" s="92" t="s">
        <v>78</v>
      </c>
    </row>
    <row r="1962" spans="1:26" ht="16" hidden="1" x14ac:dyDescent="0.4">
      <c r="A1962" s="92">
        <v>9794</v>
      </c>
      <c r="B1962" s="92">
        <v>9795</v>
      </c>
      <c r="E1962" s="92">
        <v>50</v>
      </c>
      <c r="F1962" s="92">
        <f>_xlfn.XLOOKUP(B1962, DATA_Moresby_2024_ALL!B:B, DATA_Moresby_2024_ALL!G:G, "")</f>
        <v>0</v>
      </c>
      <c r="G1962" s="93"/>
      <c r="H1962" s="92">
        <v>6</v>
      </c>
      <c r="I1962" s="92" t="str">
        <f t="shared" si="101"/>
        <v>X</v>
      </c>
      <c r="J1962" s="79" t="str">
        <f>IF(G1962="","X",_xlfn.XLOOKUP(B1962,DATA_Moresby_2024_ALL!B:B,DATA_Moresby_2024_ALL!K:K,""))</f>
        <v>X</v>
      </c>
      <c r="K1962" s="28"/>
      <c r="L1962" s="29"/>
      <c r="M1962" s="28"/>
      <c r="N1962" s="19" t="str">
        <f t="shared" si="102"/>
        <v/>
      </c>
      <c r="O1962" s="19" t="str">
        <f t="shared" si="102"/>
        <v/>
      </c>
      <c r="P1962" s="19" t="str">
        <f t="shared" si="102"/>
        <v/>
      </c>
      <c r="Q1962" s="19" t="str">
        <f t="shared" si="102"/>
        <v/>
      </c>
      <c r="X1962" s="92" t="s">
        <v>78</v>
      </c>
      <c r="Y1962" s="92" t="s">
        <v>78</v>
      </c>
      <c r="Z1962" s="92" t="s">
        <v>78</v>
      </c>
    </row>
    <row r="1963" spans="1:26" ht="16" hidden="1" x14ac:dyDescent="0.4">
      <c r="A1963" s="92">
        <v>9799</v>
      </c>
      <c r="B1963" s="92">
        <v>9800</v>
      </c>
      <c r="E1963" s="92">
        <v>50</v>
      </c>
      <c r="F1963" s="92">
        <f>_xlfn.XLOOKUP(B1963, DATA_Moresby_2024_ALL!B:B, DATA_Moresby_2024_ALL!G:G, "")</f>
        <v>0</v>
      </c>
      <c r="G1963" s="93"/>
      <c r="H1963" s="92">
        <v>6</v>
      </c>
      <c r="I1963" s="92" t="str">
        <f t="shared" si="101"/>
        <v>X</v>
      </c>
      <c r="J1963" s="79" t="str">
        <f>IF(G1963="","X",_xlfn.XLOOKUP(B1963,DATA_Moresby_2024_ALL!B:B,DATA_Moresby_2024_ALL!K:K,""))</f>
        <v>X</v>
      </c>
      <c r="K1963" s="28"/>
      <c r="L1963" s="29"/>
      <c r="M1963" s="28"/>
      <c r="N1963" s="19" t="str">
        <f t="shared" si="102"/>
        <v/>
      </c>
      <c r="O1963" s="19" t="str">
        <f t="shared" si="102"/>
        <v/>
      </c>
      <c r="P1963" s="19" t="str">
        <f t="shared" si="102"/>
        <v/>
      </c>
      <c r="Q1963" s="19" t="str">
        <f t="shared" si="102"/>
        <v/>
      </c>
      <c r="X1963" s="92" t="s">
        <v>78</v>
      </c>
      <c r="Y1963" s="92" t="s">
        <v>78</v>
      </c>
      <c r="Z1963" s="92" t="s">
        <v>78</v>
      </c>
    </row>
    <row r="1964" spans="1:26" ht="16" hidden="1" x14ac:dyDescent="0.4">
      <c r="A1964" s="92">
        <v>9804</v>
      </c>
      <c r="B1964" s="92">
        <v>9805</v>
      </c>
      <c r="E1964" s="92">
        <v>50</v>
      </c>
      <c r="F1964" s="92">
        <f>_xlfn.XLOOKUP(B1964, DATA_Moresby_2024_ALL!B:B, DATA_Moresby_2024_ALL!G:G, "")</f>
        <v>0</v>
      </c>
      <c r="G1964" s="93"/>
      <c r="H1964" s="92">
        <v>6</v>
      </c>
      <c r="I1964" s="92" t="str">
        <f t="shared" si="101"/>
        <v>X</v>
      </c>
      <c r="J1964" s="79" t="str">
        <f>IF(G1964="","X",_xlfn.XLOOKUP(B1964,DATA_Moresby_2024_ALL!B:B,DATA_Moresby_2024_ALL!K:K,""))</f>
        <v>X</v>
      </c>
      <c r="K1964" s="28"/>
      <c r="L1964" s="29"/>
      <c r="M1964" s="28"/>
      <c r="N1964" s="19" t="str">
        <f t="shared" si="102"/>
        <v/>
      </c>
      <c r="O1964" s="19" t="str">
        <f t="shared" si="102"/>
        <v/>
      </c>
      <c r="P1964" s="19" t="str">
        <f t="shared" si="102"/>
        <v/>
      </c>
      <c r="Q1964" s="19" t="str">
        <f t="shared" si="102"/>
        <v/>
      </c>
      <c r="X1964" s="92" t="s">
        <v>78</v>
      </c>
      <c r="Y1964" s="92" t="s">
        <v>78</v>
      </c>
      <c r="Z1964" s="92" t="s">
        <v>78</v>
      </c>
    </row>
    <row r="1965" spans="1:26" ht="16" hidden="1" x14ac:dyDescent="0.4">
      <c r="A1965" s="92">
        <v>9809</v>
      </c>
      <c r="B1965" s="92">
        <v>9810</v>
      </c>
      <c r="E1965" s="92">
        <v>50</v>
      </c>
      <c r="F1965" s="92">
        <f>_xlfn.XLOOKUP(B1965, DATA_Moresby_2024_ALL!B:B, DATA_Moresby_2024_ALL!G:G, "")</f>
        <v>0</v>
      </c>
      <c r="G1965" s="93"/>
      <c r="H1965" s="92">
        <v>6</v>
      </c>
      <c r="I1965" s="92" t="str">
        <f t="shared" si="101"/>
        <v>X</v>
      </c>
      <c r="J1965" s="79" t="str">
        <f>IF(G1965="","X",_xlfn.XLOOKUP(B1965,DATA_Moresby_2024_ALL!B:B,DATA_Moresby_2024_ALL!K:K,""))</f>
        <v>X</v>
      </c>
      <c r="K1965" s="28"/>
      <c r="L1965" s="29"/>
      <c r="M1965" s="28"/>
      <c r="N1965" s="19" t="str">
        <f t="shared" si="102"/>
        <v/>
      </c>
      <c r="O1965" s="19" t="str">
        <f t="shared" si="102"/>
        <v/>
      </c>
      <c r="P1965" s="19" t="str">
        <f t="shared" si="102"/>
        <v/>
      </c>
      <c r="Q1965" s="19" t="str">
        <f t="shared" si="102"/>
        <v/>
      </c>
      <c r="X1965" s="92" t="s">
        <v>78</v>
      </c>
      <c r="Y1965" s="92" t="s">
        <v>78</v>
      </c>
      <c r="Z1965" s="92" t="s">
        <v>78</v>
      </c>
    </row>
    <row r="1966" spans="1:26" ht="16" hidden="1" x14ac:dyDescent="0.4">
      <c r="A1966" s="92">
        <v>9814</v>
      </c>
      <c r="B1966" s="92">
        <v>9815</v>
      </c>
      <c r="E1966" s="92">
        <v>50</v>
      </c>
      <c r="F1966" s="92">
        <f>_xlfn.XLOOKUP(B1966, DATA_Moresby_2024_ALL!B:B, DATA_Moresby_2024_ALL!G:G, "")</f>
        <v>0</v>
      </c>
      <c r="G1966" s="93"/>
      <c r="H1966" s="92">
        <v>6</v>
      </c>
      <c r="I1966" s="92" t="str">
        <f t="shared" si="101"/>
        <v>X</v>
      </c>
      <c r="J1966" s="79" t="str">
        <f>IF(G1966="","X",_xlfn.XLOOKUP(B1966,DATA_Moresby_2024_ALL!B:B,DATA_Moresby_2024_ALL!K:K,""))</f>
        <v>X</v>
      </c>
      <c r="K1966" s="28"/>
      <c r="L1966" s="29"/>
      <c r="M1966" s="28"/>
      <c r="N1966" s="19" t="str">
        <f t="shared" si="102"/>
        <v/>
      </c>
      <c r="O1966" s="19" t="str">
        <f t="shared" si="102"/>
        <v/>
      </c>
      <c r="P1966" s="19" t="str">
        <f t="shared" si="102"/>
        <v/>
      </c>
      <c r="Q1966" s="19" t="str">
        <f t="shared" si="102"/>
        <v/>
      </c>
      <c r="X1966" s="92" t="s">
        <v>78</v>
      </c>
      <c r="Y1966" s="92" t="s">
        <v>78</v>
      </c>
      <c r="Z1966" s="92" t="s">
        <v>78</v>
      </c>
    </row>
    <row r="1967" spans="1:26" ht="16" hidden="1" x14ac:dyDescent="0.4">
      <c r="A1967" s="92">
        <v>9819</v>
      </c>
      <c r="B1967" s="92">
        <v>9820</v>
      </c>
      <c r="E1967" s="92">
        <v>50</v>
      </c>
      <c r="F1967" s="92">
        <f>_xlfn.XLOOKUP(B1967, DATA_Moresby_2024_ALL!B:B, DATA_Moresby_2024_ALL!G:G, "")</f>
        <v>0</v>
      </c>
      <c r="G1967" s="93"/>
      <c r="H1967" s="92">
        <v>6</v>
      </c>
      <c r="I1967" s="92" t="str">
        <f t="shared" si="101"/>
        <v>X</v>
      </c>
      <c r="J1967" s="79" t="str">
        <f>IF(G1967="","X",_xlfn.XLOOKUP(B1967,DATA_Moresby_2024_ALL!B:B,DATA_Moresby_2024_ALL!K:K,""))</f>
        <v>X</v>
      </c>
      <c r="K1967" s="28"/>
      <c r="L1967" s="29"/>
      <c r="M1967" s="28"/>
      <c r="N1967" s="19" t="str">
        <f t="shared" si="102"/>
        <v/>
      </c>
      <c r="O1967" s="19" t="str">
        <f t="shared" si="102"/>
        <v/>
      </c>
      <c r="P1967" s="19" t="str">
        <f t="shared" si="102"/>
        <v/>
      </c>
      <c r="Q1967" s="19" t="str">
        <f t="shared" si="102"/>
        <v/>
      </c>
      <c r="X1967" s="92" t="s">
        <v>78</v>
      </c>
      <c r="Y1967" s="92" t="s">
        <v>78</v>
      </c>
      <c r="Z1967" s="92" t="s">
        <v>78</v>
      </c>
    </row>
    <row r="1968" spans="1:26" ht="16" hidden="1" x14ac:dyDescent="0.4">
      <c r="A1968" s="92">
        <v>9824</v>
      </c>
      <c r="B1968" s="92">
        <v>9825</v>
      </c>
      <c r="E1968" s="92">
        <v>50</v>
      </c>
      <c r="F1968" s="92">
        <f>_xlfn.XLOOKUP(B1968, DATA_Moresby_2024_ALL!B:B, DATA_Moresby_2024_ALL!G:G, "")</f>
        <v>0</v>
      </c>
      <c r="G1968" s="93"/>
      <c r="H1968" s="92">
        <v>6</v>
      </c>
      <c r="I1968" s="92" t="str">
        <f t="shared" si="101"/>
        <v>X</v>
      </c>
      <c r="J1968" s="79" t="str">
        <f>IF(G1968="","X",_xlfn.XLOOKUP(B1968,DATA_Moresby_2024_ALL!B:B,DATA_Moresby_2024_ALL!K:K,""))</f>
        <v>X</v>
      </c>
      <c r="K1968" s="28"/>
      <c r="L1968" s="29"/>
      <c r="M1968" s="28"/>
      <c r="N1968" s="19" t="str">
        <f t="shared" si="102"/>
        <v/>
      </c>
      <c r="O1968" s="19" t="str">
        <f t="shared" si="102"/>
        <v/>
      </c>
      <c r="P1968" s="19" t="str">
        <f t="shared" si="102"/>
        <v/>
      </c>
      <c r="Q1968" s="19" t="str">
        <f t="shared" si="102"/>
        <v/>
      </c>
      <c r="X1968" s="92" t="s">
        <v>78</v>
      </c>
      <c r="Y1968" s="92" t="s">
        <v>78</v>
      </c>
      <c r="Z1968" s="92" t="s">
        <v>78</v>
      </c>
    </row>
    <row r="1969" spans="1:26" ht="16" hidden="1" x14ac:dyDescent="0.4">
      <c r="A1969" s="92">
        <v>9829</v>
      </c>
      <c r="B1969" s="92">
        <v>9830</v>
      </c>
      <c r="E1969" s="92">
        <v>50</v>
      </c>
      <c r="F1969" s="92">
        <f>_xlfn.XLOOKUP(B1969, DATA_Moresby_2024_ALL!B:B, DATA_Moresby_2024_ALL!G:G, "")</f>
        <v>0</v>
      </c>
      <c r="G1969" s="93"/>
      <c r="H1969" s="92">
        <v>6</v>
      </c>
      <c r="I1969" s="92" t="str">
        <f t="shared" si="101"/>
        <v>X</v>
      </c>
      <c r="J1969" s="79" t="str">
        <f>IF(G1969="","X",_xlfn.XLOOKUP(B1969,DATA_Moresby_2024_ALL!B:B,DATA_Moresby_2024_ALL!K:K,""))</f>
        <v>X</v>
      </c>
      <c r="K1969" s="28"/>
      <c r="L1969" s="29"/>
      <c r="M1969" s="28"/>
      <c r="N1969" s="19" t="str">
        <f t="shared" si="102"/>
        <v/>
      </c>
      <c r="O1969" s="19" t="str">
        <f t="shared" si="102"/>
        <v/>
      </c>
      <c r="P1969" s="19" t="str">
        <f t="shared" si="102"/>
        <v/>
      </c>
      <c r="Q1969" s="19" t="str">
        <f t="shared" si="102"/>
        <v/>
      </c>
      <c r="X1969" s="92" t="s">
        <v>78</v>
      </c>
      <c r="Y1969" s="92" t="s">
        <v>78</v>
      </c>
      <c r="Z1969" s="92" t="s">
        <v>78</v>
      </c>
    </row>
    <row r="1970" spans="1:26" ht="16" hidden="1" x14ac:dyDescent="0.4">
      <c r="A1970" s="92">
        <v>9834</v>
      </c>
      <c r="B1970" s="92">
        <v>9835</v>
      </c>
      <c r="E1970" s="92">
        <v>50</v>
      </c>
      <c r="F1970" s="92">
        <f>_xlfn.XLOOKUP(B1970, DATA_Moresby_2024_ALL!B:B, DATA_Moresby_2024_ALL!G:G, "")</f>
        <v>0</v>
      </c>
      <c r="G1970" s="93"/>
      <c r="H1970" s="92">
        <v>6</v>
      </c>
      <c r="I1970" s="92" t="str">
        <f t="shared" si="101"/>
        <v>X</v>
      </c>
      <c r="J1970" s="79" t="str">
        <f>IF(G1970="","X",_xlfn.XLOOKUP(B1970,DATA_Moresby_2024_ALL!B:B,DATA_Moresby_2024_ALL!K:K,""))</f>
        <v>X</v>
      </c>
      <c r="K1970" s="28"/>
      <c r="L1970" s="29"/>
      <c r="M1970" s="28"/>
      <c r="N1970" s="19" t="str">
        <f t="shared" si="102"/>
        <v/>
      </c>
      <c r="O1970" s="19" t="str">
        <f t="shared" si="102"/>
        <v/>
      </c>
      <c r="P1970" s="19" t="str">
        <f t="shared" si="102"/>
        <v/>
      </c>
      <c r="Q1970" s="19" t="str">
        <f t="shared" si="102"/>
        <v/>
      </c>
      <c r="X1970" s="92" t="s">
        <v>78</v>
      </c>
      <c r="Y1970" s="92" t="s">
        <v>78</v>
      </c>
      <c r="Z1970" s="92" t="s">
        <v>78</v>
      </c>
    </row>
    <row r="1971" spans="1:26" ht="16" hidden="1" x14ac:dyDescent="0.4">
      <c r="A1971" s="92">
        <v>9839</v>
      </c>
      <c r="B1971" s="92">
        <v>9840</v>
      </c>
      <c r="E1971" s="92">
        <v>50</v>
      </c>
      <c r="F1971" s="92">
        <f>_xlfn.XLOOKUP(B1971, DATA_Moresby_2024_ALL!B:B, DATA_Moresby_2024_ALL!G:G, "")</f>
        <v>0</v>
      </c>
      <c r="G1971" s="93"/>
      <c r="H1971" s="92">
        <v>6</v>
      </c>
      <c r="I1971" s="92" t="str">
        <f t="shared" si="101"/>
        <v>X</v>
      </c>
      <c r="J1971" s="79" t="str">
        <f>IF(G1971="","X",_xlfn.XLOOKUP(B1971,DATA_Moresby_2024_ALL!B:B,DATA_Moresby_2024_ALL!K:K,""))</f>
        <v>X</v>
      </c>
      <c r="K1971" s="28"/>
      <c r="L1971" s="29"/>
      <c r="M1971" s="28"/>
      <c r="N1971" s="19" t="str">
        <f t="shared" si="102"/>
        <v/>
      </c>
      <c r="O1971" s="19" t="str">
        <f t="shared" si="102"/>
        <v/>
      </c>
      <c r="P1971" s="19" t="str">
        <f t="shared" si="102"/>
        <v/>
      </c>
      <c r="Q1971" s="19" t="str">
        <f t="shared" si="102"/>
        <v/>
      </c>
      <c r="X1971" s="92" t="s">
        <v>78</v>
      </c>
      <c r="Y1971" s="92" t="s">
        <v>78</v>
      </c>
      <c r="Z1971" s="92" t="s">
        <v>78</v>
      </c>
    </row>
    <row r="1972" spans="1:26" ht="16" hidden="1" x14ac:dyDescent="0.4">
      <c r="A1972" s="92">
        <v>9844</v>
      </c>
      <c r="B1972" s="92">
        <v>9845</v>
      </c>
      <c r="E1972" s="92">
        <v>50</v>
      </c>
      <c r="F1972" s="92">
        <f>_xlfn.XLOOKUP(B1972, DATA_Moresby_2024_ALL!B:B, DATA_Moresby_2024_ALL!G:G, "")</f>
        <v>0</v>
      </c>
      <c r="G1972" s="93"/>
      <c r="H1972" s="92">
        <v>6</v>
      </c>
      <c r="I1972" s="92" t="str">
        <f t="shared" si="101"/>
        <v>X</v>
      </c>
      <c r="J1972" s="79" t="str">
        <f>IF(G1972="","X",_xlfn.XLOOKUP(B1972,DATA_Moresby_2024_ALL!B:B,DATA_Moresby_2024_ALL!K:K,""))</f>
        <v>X</v>
      </c>
      <c r="K1972" s="28"/>
      <c r="L1972" s="29"/>
      <c r="M1972" s="28"/>
      <c r="N1972" s="19" t="str">
        <f t="shared" si="102"/>
        <v/>
      </c>
      <c r="O1972" s="19" t="str">
        <f t="shared" si="102"/>
        <v/>
      </c>
      <c r="P1972" s="19" t="str">
        <f t="shared" si="102"/>
        <v/>
      </c>
      <c r="Q1972" s="19" t="str">
        <f t="shared" si="102"/>
        <v/>
      </c>
      <c r="X1972" s="92" t="s">
        <v>78</v>
      </c>
      <c r="Y1972" s="92" t="s">
        <v>78</v>
      </c>
      <c r="Z1972" s="92" t="s">
        <v>78</v>
      </c>
    </row>
    <row r="1973" spans="1:26" ht="16" hidden="1" x14ac:dyDescent="0.4">
      <c r="A1973" s="92">
        <v>9849</v>
      </c>
      <c r="B1973" s="92">
        <v>9850</v>
      </c>
      <c r="E1973" s="92">
        <v>50</v>
      </c>
      <c r="F1973" s="92">
        <f>_xlfn.XLOOKUP(B1973, DATA_Moresby_2024_ALL!B:B, DATA_Moresby_2024_ALL!G:G, "")</f>
        <v>0</v>
      </c>
      <c r="G1973" s="93"/>
      <c r="H1973" s="92">
        <v>6</v>
      </c>
      <c r="I1973" s="92" t="str">
        <f t="shared" si="101"/>
        <v>X</v>
      </c>
      <c r="J1973" s="79" t="str">
        <f>IF(G1973="","X",_xlfn.XLOOKUP(B1973,DATA_Moresby_2024_ALL!B:B,DATA_Moresby_2024_ALL!K:K,""))</f>
        <v>X</v>
      </c>
      <c r="K1973" s="28"/>
      <c r="L1973" s="29"/>
      <c r="M1973" s="28"/>
      <c r="N1973" s="19" t="str">
        <f t="shared" si="102"/>
        <v/>
      </c>
      <c r="O1973" s="19" t="str">
        <f t="shared" si="102"/>
        <v/>
      </c>
      <c r="P1973" s="19" t="str">
        <f t="shared" si="102"/>
        <v/>
      </c>
      <c r="Q1973" s="19" t="str">
        <f t="shared" si="102"/>
        <v/>
      </c>
      <c r="X1973" s="92" t="s">
        <v>78</v>
      </c>
      <c r="Y1973" s="92" t="s">
        <v>78</v>
      </c>
      <c r="Z1973" s="92" t="s">
        <v>78</v>
      </c>
    </row>
    <row r="1974" spans="1:26" ht="16" hidden="1" x14ac:dyDescent="0.4">
      <c r="A1974" s="92">
        <v>9854</v>
      </c>
      <c r="B1974" s="92">
        <v>9855</v>
      </c>
      <c r="E1974" s="92">
        <v>50</v>
      </c>
      <c r="F1974" s="92">
        <f>_xlfn.XLOOKUP(B1974, DATA_Moresby_2024_ALL!B:B, DATA_Moresby_2024_ALL!G:G, "")</f>
        <v>0</v>
      </c>
      <c r="G1974" s="93"/>
      <c r="H1974" s="92">
        <v>6</v>
      </c>
      <c r="I1974" s="92" t="str">
        <f t="shared" si="101"/>
        <v>X</v>
      </c>
      <c r="J1974" s="79" t="str">
        <f>IF(G1974="","X",_xlfn.XLOOKUP(B1974,DATA_Moresby_2024_ALL!B:B,DATA_Moresby_2024_ALL!K:K,""))</f>
        <v>X</v>
      </c>
      <c r="K1974" s="28"/>
      <c r="L1974" s="29"/>
      <c r="M1974" s="28"/>
      <c r="N1974" s="19" t="str">
        <f t="shared" si="102"/>
        <v/>
      </c>
      <c r="O1974" s="19" t="str">
        <f t="shared" si="102"/>
        <v/>
      </c>
      <c r="P1974" s="19" t="str">
        <f t="shared" si="102"/>
        <v/>
      </c>
      <c r="Q1974" s="19" t="str">
        <f t="shared" si="102"/>
        <v/>
      </c>
      <c r="X1974" s="92" t="s">
        <v>78</v>
      </c>
      <c r="Y1974" s="92" t="s">
        <v>78</v>
      </c>
      <c r="Z1974" s="92" t="s">
        <v>78</v>
      </c>
    </row>
    <row r="1975" spans="1:26" ht="16" hidden="1" x14ac:dyDescent="0.4">
      <c r="A1975" s="92">
        <v>9859</v>
      </c>
      <c r="B1975" s="92">
        <v>9860</v>
      </c>
      <c r="E1975" s="92">
        <v>50</v>
      </c>
      <c r="F1975" s="92">
        <f>_xlfn.XLOOKUP(B1975, DATA_Moresby_2024_ALL!B:B, DATA_Moresby_2024_ALL!G:G, "")</f>
        <v>0</v>
      </c>
      <c r="G1975" s="93"/>
      <c r="H1975" s="92">
        <v>6</v>
      </c>
      <c r="I1975" s="92" t="str">
        <f t="shared" si="101"/>
        <v>X</v>
      </c>
      <c r="J1975" s="79" t="str">
        <f>IF(G1975="","X",_xlfn.XLOOKUP(B1975,DATA_Moresby_2024_ALL!B:B,DATA_Moresby_2024_ALL!K:K,""))</f>
        <v>X</v>
      </c>
      <c r="K1975" s="28"/>
      <c r="L1975" s="29"/>
      <c r="M1975" s="28"/>
      <c r="N1975" s="19" t="str">
        <f t="shared" si="102"/>
        <v/>
      </c>
      <c r="O1975" s="19" t="str">
        <f t="shared" si="102"/>
        <v/>
      </c>
      <c r="P1975" s="19" t="str">
        <f t="shared" si="102"/>
        <v/>
      </c>
      <c r="Q1975" s="19" t="str">
        <f t="shared" si="102"/>
        <v/>
      </c>
      <c r="X1975" s="92" t="s">
        <v>78</v>
      </c>
      <c r="Y1975" s="92" t="s">
        <v>78</v>
      </c>
      <c r="Z1975" s="92" t="s">
        <v>78</v>
      </c>
    </row>
    <row r="1976" spans="1:26" ht="16" hidden="1" x14ac:dyDescent="0.4">
      <c r="A1976" s="92">
        <v>9864</v>
      </c>
      <c r="B1976" s="92">
        <v>9865</v>
      </c>
      <c r="E1976" s="92">
        <v>50</v>
      </c>
      <c r="F1976" s="92">
        <f>_xlfn.XLOOKUP(B1976, DATA_Moresby_2024_ALL!B:B, DATA_Moresby_2024_ALL!G:G, "")</f>
        <v>0</v>
      </c>
      <c r="G1976" s="93"/>
      <c r="H1976" s="92">
        <v>6</v>
      </c>
      <c r="I1976" s="92" t="str">
        <f t="shared" si="101"/>
        <v>X</v>
      </c>
      <c r="J1976" s="79" t="str">
        <f>IF(G1976="","X",_xlfn.XLOOKUP(B1976,DATA_Moresby_2024_ALL!B:B,DATA_Moresby_2024_ALL!K:K,""))</f>
        <v>X</v>
      </c>
      <c r="K1976" s="28"/>
      <c r="L1976" s="29"/>
      <c r="M1976" s="28"/>
      <c r="N1976" s="19" t="str">
        <f t="shared" si="102"/>
        <v/>
      </c>
      <c r="O1976" s="19" t="str">
        <f t="shared" si="102"/>
        <v/>
      </c>
      <c r="P1976" s="19" t="str">
        <f t="shared" si="102"/>
        <v/>
      </c>
      <c r="Q1976" s="19" t="str">
        <f t="shared" si="102"/>
        <v/>
      </c>
      <c r="X1976" s="92" t="s">
        <v>78</v>
      </c>
      <c r="Y1976" s="92" t="s">
        <v>78</v>
      </c>
      <c r="Z1976" s="92" t="s">
        <v>78</v>
      </c>
    </row>
    <row r="1977" spans="1:26" ht="16" hidden="1" x14ac:dyDescent="0.4">
      <c r="A1977" s="92">
        <v>9869</v>
      </c>
      <c r="B1977" s="92">
        <v>9870</v>
      </c>
      <c r="E1977" s="92">
        <v>50</v>
      </c>
      <c r="F1977" s="92">
        <f>_xlfn.XLOOKUP(B1977, DATA_Moresby_2024_ALL!B:B, DATA_Moresby_2024_ALL!G:G, "")</f>
        <v>0</v>
      </c>
      <c r="G1977" s="93"/>
      <c r="H1977" s="92">
        <v>6</v>
      </c>
      <c r="I1977" s="92" t="str">
        <f t="shared" si="101"/>
        <v>X</v>
      </c>
      <c r="J1977" s="79" t="str">
        <f>IF(G1977="","X",_xlfn.XLOOKUP(B1977,DATA_Moresby_2024_ALL!B:B,DATA_Moresby_2024_ALL!K:K,""))</f>
        <v>X</v>
      </c>
      <c r="K1977" s="28"/>
      <c r="L1977" s="29"/>
      <c r="M1977" s="28"/>
      <c r="N1977" s="19" t="str">
        <f t="shared" si="102"/>
        <v/>
      </c>
      <c r="O1977" s="19" t="str">
        <f t="shared" si="102"/>
        <v/>
      </c>
      <c r="P1977" s="19" t="str">
        <f t="shared" si="102"/>
        <v/>
      </c>
      <c r="Q1977" s="19" t="str">
        <f t="shared" si="102"/>
        <v/>
      </c>
      <c r="X1977" s="92" t="s">
        <v>78</v>
      </c>
      <c r="Y1977" s="92" t="s">
        <v>78</v>
      </c>
      <c r="Z1977" s="92" t="s">
        <v>78</v>
      </c>
    </row>
    <row r="1978" spans="1:26" ht="16" hidden="1" x14ac:dyDescent="0.4">
      <c r="A1978" s="92">
        <v>9874</v>
      </c>
      <c r="B1978" s="92">
        <v>9875</v>
      </c>
      <c r="E1978" s="92">
        <v>50</v>
      </c>
      <c r="F1978" s="92">
        <f>_xlfn.XLOOKUP(B1978, DATA_Moresby_2024_ALL!B:B, DATA_Moresby_2024_ALL!G:G, "")</f>
        <v>0</v>
      </c>
      <c r="G1978" s="93"/>
      <c r="H1978" s="92">
        <v>6</v>
      </c>
      <c r="I1978" s="92" t="str">
        <f t="shared" si="101"/>
        <v>X</v>
      </c>
      <c r="J1978" s="79" t="str">
        <f>IF(G1978="","X",_xlfn.XLOOKUP(B1978,DATA_Moresby_2024_ALL!B:B,DATA_Moresby_2024_ALL!K:K,""))</f>
        <v>X</v>
      </c>
      <c r="K1978" s="28"/>
      <c r="L1978" s="29"/>
      <c r="M1978" s="28"/>
      <c r="N1978" s="19" t="str">
        <f t="shared" si="102"/>
        <v/>
      </c>
      <c r="O1978" s="19" t="str">
        <f t="shared" si="102"/>
        <v/>
      </c>
      <c r="P1978" s="19" t="str">
        <f t="shared" si="102"/>
        <v/>
      </c>
      <c r="Q1978" s="19" t="str">
        <f t="shared" si="102"/>
        <v/>
      </c>
      <c r="X1978" s="92" t="s">
        <v>78</v>
      </c>
      <c r="Y1978" s="92" t="s">
        <v>78</v>
      </c>
      <c r="Z1978" s="92" t="s">
        <v>78</v>
      </c>
    </row>
    <row r="1979" spans="1:26" ht="16" hidden="1" x14ac:dyDescent="0.4">
      <c r="A1979" s="92">
        <v>9879</v>
      </c>
      <c r="B1979" s="92">
        <v>9880</v>
      </c>
      <c r="E1979" s="92">
        <v>50</v>
      </c>
      <c r="F1979" s="92">
        <f>_xlfn.XLOOKUP(B1979, DATA_Moresby_2024_ALL!B:B, DATA_Moresby_2024_ALL!G:G, "")</f>
        <v>0</v>
      </c>
      <c r="G1979" s="93"/>
      <c r="H1979" s="92">
        <v>6</v>
      </c>
      <c r="I1979" s="92" t="str">
        <f t="shared" si="101"/>
        <v>X</v>
      </c>
      <c r="J1979" s="79" t="str">
        <f>IF(G1979="","X",_xlfn.XLOOKUP(B1979,DATA_Moresby_2024_ALL!B:B,DATA_Moresby_2024_ALL!K:K,""))</f>
        <v>X</v>
      </c>
      <c r="K1979" s="28"/>
      <c r="L1979" s="29"/>
      <c r="M1979" s="28"/>
      <c r="N1979" s="19" t="str">
        <f t="shared" si="102"/>
        <v/>
      </c>
      <c r="O1979" s="19" t="str">
        <f t="shared" si="102"/>
        <v/>
      </c>
      <c r="P1979" s="19" t="str">
        <f t="shared" si="102"/>
        <v/>
      </c>
      <c r="Q1979" s="19" t="str">
        <f t="shared" si="102"/>
        <v/>
      </c>
      <c r="X1979" s="92" t="s">
        <v>78</v>
      </c>
      <c r="Y1979" s="92" t="s">
        <v>78</v>
      </c>
      <c r="Z1979" s="92" t="s">
        <v>78</v>
      </c>
    </row>
    <row r="1980" spans="1:26" ht="16" hidden="1" x14ac:dyDescent="0.4">
      <c r="A1980" s="92">
        <v>9884</v>
      </c>
      <c r="B1980" s="92">
        <v>9885</v>
      </c>
      <c r="E1980" s="92">
        <v>50</v>
      </c>
      <c r="F1980" s="92">
        <f>_xlfn.XLOOKUP(B1980, DATA_Moresby_2024_ALL!B:B, DATA_Moresby_2024_ALL!G:G, "")</f>
        <v>0</v>
      </c>
      <c r="G1980" s="93"/>
      <c r="H1980" s="92">
        <v>6</v>
      </c>
      <c r="I1980" s="92" t="str">
        <f t="shared" si="101"/>
        <v>X</v>
      </c>
      <c r="J1980" s="79" t="str">
        <f>IF(G1980="","X",_xlfn.XLOOKUP(B1980,DATA_Moresby_2024_ALL!B:B,DATA_Moresby_2024_ALL!K:K,""))</f>
        <v>X</v>
      </c>
      <c r="K1980" s="28"/>
      <c r="L1980" s="29"/>
      <c r="M1980" s="28"/>
      <c r="N1980" s="19" t="str">
        <f t="shared" si="102"/>
        <v/>
      </c>
      <c r="O1980" s="19" t="str">
        <f t="shared" si="102"/>
        <v/>
      </c>
      <c r="P1980" s="19" t="str">
        <f t="shared" si="102"/>
        <v/>
      </c>
      <c r="Q1980" s="19" t="str">
        <f t="shared" si="102"/>
        <v/>
      </c>
      <c r="X1980" s="92" t="s">
        <v>78</v>
      </c>
      <c r="Y1980" s="92" t="s">
        <v>78</v>
      </c>
      <c r="Z1980" s="92" t="s">
        <v>78</v>
      </c>
    </row>
    <row r="1981" spans="1:26" ht="16" hidden="1" x14ac:dyDescent="0.4">
      <c r="A1981" s="92">
        <v>9889</v>
      </c>
      <c r="B1981" s="92">
        <v>9890</v>
      </c>
      <c r="E1981" s="92">
        <v>50</v>
      </c>
      <c r="F1981" s="92">
        <f>_xlfn.XLOOKUP(B1981, DATA_Moresby_2024_ALL!B:B, DATA_Moresby_2024_ALL!G:G, "")</f>
        <v>0</v>
      </c>
      <c r="G1981" s="93"/>
      <c r="H1981" s="92">
        <v>6</v>
      </c>
      <c r="I1981" s="92" t="str">
        <f t="shared" si="101"/>
        <v>X</v>
      </c>
      <c r="J1981" s="79" t="str">
        <f>IF(G1981="","X",_xlfn.XLOOKUP(B1981,DATA_Moresby_2024_ALL!B:B,DATA_Moresby_2024_ALL!K:K,""))</f>
        <v>X</v>
      </c>
      <c r="K1981" s="28"/>
      <c r="L1981" s="29"/>
      <c r="M1981" s="28"/>
      <c r="N1981" s="19" t="str">
        <f t="shared" si="102"/>
        <v/>
      </c>
      <c r="O1981" s="19" t="str">
        <f t="shared" si="102"/>
        <v/>
      </c>
      <c r="P1981" s="19" t="str">
        <f t="shared" si="102"/>
        <v/>
      </c>
      <c r="Q1981" s="19" t="str">
        <f t="shared" si="102"/>
        <v/>
      </c>
      <c r="X1981" s="92" t="s">
        <v>78</v>
      </c>
      <c r="Y1981" s="92" t="s">
        <v>78</v>
      </c>
      <c r="Z1981" s="92" t="s">
        <v>78</v>
      </c>
    </row>
    <row r="1982" spans="1:26" ht="16" hidden="1" x14ac:dyDescent="0.4">
      <c r="A1982" s="92">
        <v>9894</v>
      </c>
      <c r="B1982" s="92">
        <v>9895</v>
      </c>
      <c r="E1982" s="92">
        <v>50</v>
      </c>
      <c r="F1982" s="92">
        <f>_xlfn.XLOOKUP(B1982, DATA_Moresby_2024_ALL!B:B, DATA_Moresby_2024_ALL!G:G, "")</f>
        <v>0</v>
      </c>
      <c r="G1982" s="93"/>
      <c r="H1982" s="92">
        <v>6</v>
      </c>
      <c r="I1982" s="92" t="str">
        <f t="shared" si="101"/>
        <v>X</v>
      </c>
      <c r="J1982" s="79" t="str">
        <f>IF(G1982="","X",_xlfn.XLOOKUP(B1982,DATA_Moresby_2024_ALL!B:B,DATA_Moresby_2024_ALL!K:K,""))</f>
        <v>X</v>
      </c>
      <c r="K1982" s="28"/>
      <c r="L1982" s="29"/>
      <c r="M1982" s="28"/>
      <c r="N1982" s="19" t="str">
        <f t="shared" si="102"/>
        <v/>
      </c>
      <c r="O1982" s="19" t="str">
        <f t="shared" si="102"/>
        <v/>
      </c>
      <c r="P1982" s="19" t="str">
        <f t="shared" si="102"/>
        <v/>
      </c>
      <c r="Q1982" s="19" t="str">
        <f t="shared" si="102"/>
        <v/>
      </c>
      <c r="X1982" s="92" t="s">
        <v>78</v>
      </c>
      <c r="Y1982" s="92" t="s">
        <v>78</v>
      </c>
      <c r="Z1982" s="92" t="s">
        <v>78</v>
      </c>
    </row>
    <row r="1983" spans="1:26" ht="16" hidden="1" x14ac:dyDescent="0.4">
      <c r="A1983" s="92">
        <v>9899</v>
      </c>
      <c r="B1983" s="92">
        <v>9900</v>
      </c>
      <c r="E1983" s="92">
        <v>50</v>
      </c>
      <c r="F1983" s="92">
        <f>_xlfn.XLOOKUP(B1983, DATA_Moresby_2024_ALL!B:B, DATA_Moresby_2024_ALL!G:G, "")</f>
        <v>0</v>
      </c>
      <c r="G1983" s="93"/>
      <c r="H1983" s="92">
        <v>6</v>
      </c>
      <c r="I1983" s="92" t="str">
        <f t="shared" si="101"/>
        <v>X</v>
      </c>
      <c r="J1983" s="79" t="str">
        <f>IF(G1983="","X",_xlfn.XLOOKUP(B1983,DATA_Moresby_2024_ALL!B:B,DATA_Moresby_2024_ALL!K:K,""))</f>
        <v>X</v>
      </c>
      <c r="K1983" s="28"/>
      <c r="L1983" s="29"/>
      <c r="M1983" s="28"/>
      <c r="N1983" s="19" t="str">
        <f t="shared" si="102"/>
        <v/>
      </c>
      <c r="O1983" s="19" t="str">
        <f t="shared" si="102"/>
        <v/>
      </c>
      <c r="P1983" s="19" t="str">
        <f t="shared" si="102"/>
        <v/>
      </c>
      <c r="Q1983" s="19" t="str">
        <f t="shared" si="102"/>
        <v/>
      </c>
      <c r="X1983" s="92" t="s">
        <v>78</v>
      </c>
      <c r="Y1983" s="92" t="s">
        <v>78</v>
      </c>
      <c r="Z1983" s="92" t="s">
        <v>78</v>
      </c>
    </row>
    <row r="1984" spans="1:26" ht="16" hidden="1" x14ac:dyDescent="0.4">
      <c r="A1984" s="92">
        <v>9904</v>
      </c>
      <c r="B1984" s="92">
        <v>9905</v>
      </c>
      <c r="E1984" s="92">
        <v>50</v>
      </c>
      <c r="F1984" s="92">
        <f>_xlfn.XLOOKUP(B1984, DATA_Moresby_2024_ALL!B:B, DATA_Moresby_2024_ALL!G:G, "")</f>
        <v>0</v>
      </c>
      <c r="G1984" s="93"/>
      <c r="H1984" s="92">
        <v>6</v>
      </c>
      <c r="I1984" s="92" t="str">
        <f t="shared" si="101"/>
        <v>X</v>
      </c>
      <c r="J1984" s="79" t="str">
        <f>IF(G1984="","X",_xlfn.XLOOKUP(B1984,DATA_Moresby_2024_ALL!B:B,DATA_Moresby_2024_ALL!K:K,""))</f>
        <v>X</v>
      </c>
      <c r="K1984" s="28"/>
      <c r="L1984" s="29"/>
      <c r="M1984" s="28"/>
      <c r="N1984" s="19" t="str">
        <f t="shared" si="102"/>
        <v/>
      </c>
      <c r="O1984" s="19" t="str">
        <f t="shared" si="102"/>
        <v/>
      </c>
      <c r="P1984" s="19" t="str">
        <f t="shared" si="102"/>
        <v/>
      </c>
      <c r="Q1984" s="19" t="str">
        <f t="shared" si="102"/>
        <v/>
      </c>
      <c r="X1984" s="92" t="s">
        <v>78</v>
      </c>
      <c r="Y1984" s="92" t="s">
        <v>78</v>
      </c>
      <c r="Z1984" s="92" t="s">
        <v>78</v>
      </c>
    </row>
    <row r="1985" spans="1:26" ht="16" hidden="1" x14ac:dyDescent="0.4">
      <c r="A1985" s="92">
        <v>9909</v>
      </c>
      <c r="B1985" s="92">
        <v>9910</v>
      </c>
      <c r="E1985" s="92">
        <v>50</v>
      </c>
      <c r="F1985" s="92">
        <f>_xlfn.XLOOKUP(B1985, DATA_Moresby_2024_ALL!B:B, DATA_Moresby_2024_ALL!G:G, "")</f>
        <v>0</v>
      </c>
      <c r="G1985" s="93"/>
      <c r="H1985" s="92">
        <v>6</v>
      </c>
      <c r="I1985" s="92" t="str">
        <f t="shared" si="101"/>
        <v>X</v>
      </c>
      <c r="J1985" s="79" t="str">
        <f>IF(G1985="","X",_xlfn.XLOOKUP(B1985,DATA_Moresby_2024_ALL!B:B,DATA_Moresby_2024_ALL!K:K,""))</f>
        <v>X</v>
      </c>
      <c r="K1985" s="28"/>
      <c r="L1985" s="29"/>
      <c r="M1985" s="28"/>
      <c r="N1985" s="19" t="str">
        <f t="shared" si="102"/>
        <v/>
      </c>
      <c r="O1985" s="19" t="str">
        <f t="shared" si="102"/>
        <v/>
      </c>
      <c r="P1985" s="19" t="str">
        <f t="shared" si="102"/>
        <v/>
      </c>
      <c r="Q1985" s="19" t="str">
        <f t="shared" si="102"/>
        <v/>
      </c>
      <c r="X1985" s="92" t="s">
        <v>78</v>
      </c>
      <c r="Y1985" s="92" t="s">
        <v>78</v>
      </c>
      <c r="Z1985" s="92" t="s">
        <v>78</v>
      </c>
    </row>
    <row r="1986" spans="1:26" ht="16" hidden="1" x14ac:dyDescent="0.4">
      <c r="A1986" s="92">
        <v>9914</v>
      </c>
      <c r="B1986" s="92">
        <v>9915</v>
      </c>
      <c r="E1986" s="92">
        <v>50</v>
      </c>
      <c r="F1986" s="92">
        <f>_xlfn.XLOOKUP(B1986, DATA_Moresby_2024_ALL!B:B, DATA_Moresby_2024_ALL!G:G, "")</f>
        <v>0</v>
      </c>
      <c r="G1986" s="93"/>
      <c r="H1986" s="92">
        <v>6</v>
      </c>
      <c r="I1986" s="92" t="str">
        <f t="shared" si="101"/>
        <v>X</v>
      </c>
      <c r="J1986" s="79" t="str">
        <f>IF(G1986="","X",_xlfn.XLOOKUP(B1986,DATA_Moresby_2024_ALL!B:B,DATA_Moresby_2024_ALL!K:K,""))</f>
        <v>X</v>
      </c>
      <c r="K1986" s="28"/>
      <c r="L1986" s="29"/>
      <c r="M1986" s="28"/>
      <c r="N1986" s="19" t="str">
        <f t="shared" si="102"/>
        <v/>
      </c>
      <c r="O1986" s="19" t="str">
        <f t="shared" si="102"/>
        <v/>
      </c>
      <c r="P1986" s="19" t="str">
        <f t="shared" si="102"/>
        <v/>
      </c>
      <c r="Q1986" s="19" t="str">
        <f t="shared" si="102"/>
        <v/>
      </c>
      <c r="X1986" s="92" t="s">
        <v>78</v>
      </c>
      <c r="Y1986" s="92" t="s">
        <v>78</v>
      </c>
      <c r="Z1986" s="92" t="s">
        <v>78</v>
      </c>
    </row>
    <row r="1987" spans="1:26" ht="16" hidden="1" x14ac:dyDescent="0.4">
      <c r="A1987" s="92">
        <v>9919</v>
      </c>
      <c r="B1987" s="92">
        <v>9920</v>
      </c>
      <c r="E1987" s="92">
        <v>50</v>
      </c>
      <c r="F1987" s="92">
        <f>_xlfn.XLOOKUP(B1987, DATA_Moresby_2024_ALL!B:B, DATA_Moresby_2024_ALL!G:G, "")</f>
        <v>0</v>
      </c>
      <c r="G1987" s="93"/>
      <c r="H1987" s="92">
        <v>6</v>
      </c>
      <c r="I1987" s="92" t="str">
        <f t="shared" si="101"/>
        <v>X</v>
      </c>
      <c r="J1987" s="79" t="str">
        <f>IF(G1987="","X",_xlfn.XLOOKUP(B1987,DATA_Moresby_2024_ALL!B:B,DATA_Moresby_2024_ALL!K:K,""))</f>
        <v>X</v>
      </c>
      <c r="K1987" s="28"/>
      <c r="L1987" s="29"/>
      <c r="M1987" s="28"/>
      <c r="N1987" s="19" t="str">
        <f t="shared" si="102"/>
        <v/>
      </c>
      <c r="O1987" s="19" t="str">
        <f t="shared" si="102"/>
        <v/>
      </c>
      <c r="P1987" s="19" t="str">
        <f t="shared" si="102"/>
        <v/>
      </c>
      <c r="Q1987" s="19" t="str">
        <f t="shared" si="102"/>
        <v/>
      </c>
      <c r="X1987" s="92" t="s">
        <v>78</v>
      </c>
      <c r="Y1987" s="92" t="s">
        <v>78</v>
      </c>
      <c r="Z1987" s="92" t="s">
        <v>78</v>
      </c>
    </row>
    <row r="1988" spans="1:26" ht="16" hidden="1" x14ac:dyDescent="0.4">
      <c r="A1988" s="92">
        <v>9924</v>
      </c>
      <c r="B1988" s="92">
        <v>9925</v>
      </c>
      <c r="E1988" s="92">
        <v>50</v>
      </c>
      <c r="F1988" s="92">
        <f>_xlfn.XLOOKUP(B1988, DATA_Moresby_2024_ALL!B:B, DATA_Moresby_2024_ALL!G:G, "")</f>
        <v>0</v>
      </c>
      <c r="G1988" s="93"/>
      <c r="H1988" s="92">
        <v>6</v>
      </c>
      <c r="I1988" s="92" t="str">
        <f t="shared" si="101"/>
        <v>X</v>
      </c>
      <c r="J1988" s="79" t="str">
        <f>IF(G1988="","X",_xlfn.XLOOKUP(B1988,DATA_Moresby_2024_ALL!B:B,DATA_Moresby_2024_ALL!K:K,""))</f>
        <v>X</v>
      </c>
      <c r="K1988" s="28"/>
      <c r="L1988" s="29"/>
      <c r="M1988" s="28"/>
      <c r="N1988" s="19" t="str">
        <f t="shared" si="102"/>
        <v/>
      </c>
      <c r="O1988" s="19" t="str">
        <f t="shared" si="102"/>
        <v/>
      </c>
      <c r="P1988" s="19" t="str">
        <f t="shared" si="102"/>
        <v/>
      </c>
      <c r="Q1988" s="19" t="str">
        <f t="shared" si="102"/>
        <v/>
      </c>
      <c r="X1988" s="92" t="s">
        <v>78</v>
      </c>
      <c r="Y1988" s="92" t="s">
        <v>78</v>
      </c>
      <c r="Z1988" s="92" t="s">
        <v>78</v>
      </c>
    </row>
    <row r="1989" spans="1:26" ht="16" hidden="1" x14ac:dyDescent="0.4">
      <c r="A1989" s="92">
        <v>9929</v>
      </c>
      <c r="B1989" s="92">
        <v>9930</v>
      </c>
      <c r="E1989" s="92">
        <v>50</v>
      </c>
      <c r="F1989" s="92">
        <f>_xlfn.XLOOKUP(B1989, DATA_Moresby_2024_ALL!B:B, DATA_Moresby_2024_ALL!G:G, "")</f>
        <v>0</v>
      </c>
      <c r="G1989" s="93"/>
      <c r="H1989" s="92">
        <v>6</v>
      </c>
      <c r="I1989" s="92" t="str">
        <f t="shared" si="101"/>
        <v>X</v>
      </c>
      <c r="J1989" s="79" t="str">
        <f>IF(G1989="","X",_xlfn.XLOOKUP(B1989,DATA_Moresby_2024_ALL!B:B,DATA_Moresby_2024_ALL!K:K,""))</f>
        <v>X</v>
      </c>
      <c r="K1989" s="28"/>
      <c r="L1989" s="29"/>
      <c r="M1989" s="28"/>
      <c r="N1989" s="19" t="str">
        <f t="shared" si="102"/>
        <v/>
      </c>
      <c r="O1989" s="19" t="str">
        <f t="shared" si="102"/>
        <v/>
      </c>
      <c r="P1989" s="19" t="str">
        <f t="shared" si="102"/>
        <v/>
      </c>
      <c r="Q1989" s="19" t="str">
        <f t="shared" si="102"/>
        <v/>
      </c>
      <c r="X1989" s="92" t="s">
        <v>78</v>
      </c>
      <c r="Y1989" s="92" t="s">
        <v>78</v>
      </c>
      <c r="Z1989" s="92" t="s">
        <v>78</v>
      </c>
    </row>
    <row r="1990" spans="1:26" ht="16" hidden="1" x14ac:dyDescent="0.4">
      <c r="A1990" s="92">
        <v>9934</v>
      </c>
      <c r="B1990" s="92">
        <v>9935</v>
      </c>
      <c r="E1990" s="92">
        <v>50</v>
      </c>
      <c r="F1990" s="92">
        <f>_xlfn.XLOOKUP(B1990, DATA_Moresby_2024_ALL!B:B, DATA_Moresby_2024_ALL!G:G, "")</f>
        <v>0</v>
      </c>
      <c r="G1990" s="93"/>
      <c r="H1990" s="92">
        <v>6</v>
      </c>
      <c r="I1990" s="92" t="str">
        <f t="shared" si="101"/>
        <v>X</v>
      </c>
      <c r="J1990" s="79" t="str">
        <f>IF(G1990="","X",_xlfn.XLOOKUP(B1990,DATA_Moresby_2024_ALL!B:B,DATA_Moresby_2024_ALL!K:K,""))</f>
        <v>X</v>
      </c>
      <c r="K1990" s="28"/>
      <c r="L1990" s="29"/>
      <c r="M1990" s="28"/>
      <c r="N1990" s="19" t="str">
        <f t="shared" si="102"/>
        <v/>
      </c>
      <c r="O1990" s="19" t="str">
        <f t="shared" si="102"/>
        <v/>
      </c>
      <c r="P1990" s="19" t="str">
        <f t="shared" si="102"/>
        <v/>
      </c>
      <c r="Q1990" s="19" t="str">
        <f t="shared" si="102"/>
        <v/>
      </c>
      <c r="X1990" s="92" t="s">
        <v>78</v>
      </c>
      <c r="Y1990" s="92" t="s">
        <v>78</v>
      </c>
      <c r="Z1990" s="92" t="s">
        <v>78</v>
      </c>
    </row>
    <row r="1991" spans="1:26" ht="16" hidden="1" x14ac:dyDescent="0.4">
      <c r="A1991" s="92">
        <v>9939</v>
      </c>
      <c r="B1991" s="92">
        <v>9940</v>
      </c>
      <c r="E1991" s="92">
        <v>50</v>
      </c>
      <c r="F1991" s="92">
        <f>_xlfn.XLOOKUP(B1991, DATA_Moresby_2024_ALL!B:B, DATA_Moresby_2024_ALL!G:G, "")</f>
        <v>0</v>
      </c>
      <c r="G1991" s="93"/>
      <c r="H1991" s="92">
        <v>6</v>
      </c>
      <c r="I1991" s="92" t="str">
        <f t="shared" si="101"/>
        <v>X</v>
      </c>
      <c r="J1991" s="79" t="str">
        <f>IF(G1991="","X",_xlfn.XLOOKUP(B1991,DATA_Moresby_2024_ALL!B:B,DATA_Moresby_2024_ALL!K:K,""))</f>
        <v>X</v>
      </c>
      <c r="K1991" s="28"/>
      <c r="L1991" s="29"/>
      <c r="M1991" s="28"/>
      <c r="N1991" s="19" t="str">
        <f t="shared" si="102"/>
        <v/>
      </c>
      <c r="O1991" s="19" t="str">
        <f t="shared" si="102"/>
        <v/>
      </c>
      <c r="P1991" s="19" t="str">
        <f t="shared" si="102"/>
        <v/>
      </c>
      <c r="Q1991" s="19" t="str">
        <f t="shared" si="102"/>
        <v/>
      </c>
      <c r="X1991" s="92" t="s">
        <v>78</v>
      </c>
      <c r="Y1991" s="92" t="s">
        <v>78</v>
      </c>
      <c r="Z1991" s="92" t="s">
        <v>78</v>
      </c>
    </row>
    <row r="1992" spans="1:26" ht="16" hidden="1" x14ac:dyDescent="0.4">
      <c r="A1992" s="92">
        <v>9944</v>
      </c>
      <c r="B1992" s="92">
        <v>9945</v>
      </c>
      <c r="E1992" s="92">
        <v>50</v>
      </c>
      <c r="F1992" s="92">
        <f>_xlfn.XLOOKUP(B1992, DATA_Moresby_2024_ALL!B:B, DATA_Moresby_2024_ALL!G:G, "")</f>
        <v>0</v>
      </c>
      <c r="G1992" s="93"/>
      <c r="H1992" s="92">
        <v>6</v>
      </c>
      <c r="I1992" s="92" t="str">
        <f t="shared" si="101"/>
        <v>X</v>
      </c>
      <c r="J1992" s="79" t="str">
        <f>IF(G1992="","X",_xlfn.XLOOKUP(B1992,DATA_Moresby_2024_ALL!B:B,DATA_Moresby_2024_ALL!K:K,""))</f>
        <v>X</v>
      </c>
      <c r="K1992" s="28"/>
      <c r="L1992" s="29"/>
      <c r="M1992" s="28"/>
      <c r="N1992" s="19" t="str">
        <f t="shared" si="102"/>
        <v/>
      </c>
      <c r="O1992" s="19" t="str">
        <f t="shared" si="102"/>
        <v/>
      </c>
      <c r="P1992" s="19" t="str">
        <f t="shared" si="102"/>
        <v/>
      </c>
      <c r="Q1992" s="19" t="str">
        <f t="shared" si="102"/>
        <v/>
      </c>
      <c r="X1992" s="92" t="s">
        <v>78</v>
      </c>
      <c r="Y1992" s="92" t="s">
        <v>78</v>
      </c>
      <c r="Z1992" s="92" t="s">
        <v>78</v>
      </c>
    </row>
    <row r="1993" spans="1:26" ht="16" hidden="1" x14ac:dyDescent="0.4">
      <c r="A1993" s="92">
        <v>9949</v>
      </c>
      <c r="B1993" s="92">
        <v>9950</v>
      </c>
      <c r="E1993" s="92">
        <v>50</v>
      </c>
      <c r="F1993" s="92">
        <f>_xlfn.XLOOKUP(B1993, DATA_Moresby_2024_ALL!B:B, DATA_Moresby_2024_ALL!G:G, "")</f>
        <v>0</v>
      </c>
      <c r="G1993" s="93"/>
      <c r="H1993" s="92">
        <v>6</v>
      </c>
      <c r="I1993" s="92" t="str">
        <f t="shared" ref="I1993:I2004" si="103">IF(G1993="","X","")</f>
        <v>X</v>
      </c>
      <c r="J1993" s="79" t="str">
        <f>IF(G1993="","X",_xlfn.XLOOKUP(B1993,DATA_Moresby_2024_ALL!B:B,DATA_Moresby_2024_ALL!K:K,""))</f>
        <v>X</v>
      </c>
      <c r="K1993" s="28"/>
      <c r="L1993" s="29"/>
      <c r="M1993" s="28"/>
      <c r="N1993" s="19" t="str">
        <f t="shared" si="102"/>
        <v/>
      </c>
      <c r="O1993" s="19" t="str">
        <f t="shared" si="102"/>
        <v/>
      </c>
      <c r="P1993" s="19" t="str">
        <f t="shared" si="102"/>
        <v/>
      </c>
      <c r="Q1993" s="19" t="str">
        <f t="shared" si="102"/>
        <v/>
      </c>
      <c r="X1993" s="92" t="s">
        <v>78</v>
      </c>
      <c r="Y1993" s="92" t="s">
        <v>78</v>
      </c>
      <c r="Z1993" s="92" t="s">
        <v>78</v>
      </c>
    </row>
    <row r="1994" spans="1:26" ht="16" hidden="1" x14ac:dyDescent="0.4">
      <c r="A1994" s="92">
        <v>9954</v>
      </c>
      <c r="B1994" s="92">
        <v>9955</v>
      </c>
      <c r="E1994" s="92">
        <v>50</v>
      </c>
      <c r="F1994" s="92">
        <f>_xlfn.XLOOKUP(B1994, DATA_Moresby_2024_ALL!B:B, DATA_Moresby_2024_ALL!G:G, "")</f>
        <v>0</v>
      </c>
      <c r="G1994" s="93"/>
      <c r="H1994" s="92">
        <v>6</v>
      </c>
      <c r="I1994" s="92" t="str">
        <f t="shared" si="103"/>
        <v>X</v>
      </c>
      <c r="J1994" s="79" t="str">
        <f>IF(G1994="","X",_xlfn.XLOOKUP(B1994,DATA_Moresby_2024_ALL!B:B,DATA_Moresby_2024_ALL!K:K,""))</f>
        <v>X</v>
      </c>
      <c r="K1994" s="28"/>
      <c r="L1994" s="29"/>
      <c r="M1994" s="28"/>
      <c r="N1994" s="19" t="str">
        <f t="shared" si="102"/>
        <v/>
      </c>
      <c r="O1994" s="19" t="str">
        <f t="shared" si="102"/>
        <v/>
      </c>
      <c r="P1994" s="19" t="str">
        <f t="shared" si="102"/>
        <v/>
      </c>
      <c r="Q1994" s="19" t="str">
        <f t="shared" si="102"/>
        <v/>
      </c>
      <c r="X1994" s="92" t="s">
        <v>78</v>
      </c>
      <c r="Y1994" s="92" t="s">
        <v>78</v>
      </c>
      <c r="Z1994" s="92" t="s">
        <v>78</v>
      </c>
    </row>
    <row r="1995" spans="1:26" ht="16" hidden="1" x14ac:dyDescent="0.4">
      <c r="A1995" s="92">
        <v>9959</v>
      </c>
      <c r="B1995" s="92">
        <v>9960</v>
      </c>
      <c r="E1995" s="92">
        <v>50</v>
      </c>
      <c r="F1995" s="92">
        <f>_xlfn.XLOOKUP(B1995, DATA_Moresby_2024_ALL!B:B, DATA_Moresby_2024_ALL!G:G, "")</f>
        <v>0</v>
      </c>
      <c r="G1995" s="93"/>
      <c r="H1995" s="92">
        <v>6</v>
      </c>
      <c r="I1995" s="92" t="str">
        <f t="shared" si="103"/>
        <v>X</v>
      </c>
      <c r="J1995" s="79" t="str">
        <f>IF(G1995="","X",_xlfn.XLOOKUP(B1995,DATA_Moresby_2024_ALL!B:B,DATA_Moresby_2024_ALL!K:K,""))</f>
        <v>X</v>
      </c>
      <c r="K1995" s="28"/>
      <c r="L1995" s="29"/>
      <c r="M1995" s="28"/>
      <c r="N1995" s="19" t="str">
        <f t="shared" si="102"/>
        <v/>
      </c>
      <c r="O1995" s="19" t="str">
        <f t="shared" si="102"/>
        <v/>
      </c>
      <c r="P1995" s="19" t="str">
        <f t="shared" si="102"/>
        <v/>
      </c>
      <c r="Q1995" s="19" t="str">
        <f t="shared" si="102"/>
        <v/>
      </c>
      <c r="X1995" s="92" t="s">
        <v>78</v>
      </c>
      <c r="Y1995" s="92" t="s">
        <v>78</v>
      </c>
      <c r="Z1995" s="92" t="s">
        <v>78</v>
      </c>
    </row>
    <row r="1996" spans="1:26" ht="16" hidden="1" x14ac:dyDescent="0.4">
      <c r="A1996" s="92">
        <v>9964</v>
      </c>
      <c r="B1996" s="92">
        <v>9965</v>
      </c>
      <c r="E1996" s="92">
        <v>50</v>
      </c>
      <c r="F1996" s="92">
        <f>_xlfn.XLOOKUP(B1996, DATA_Moresby_2024_ALL!B:B, DATA_Moresby_2024_ALL!G:G, "")</f>
        <v>0</v>
      </c>
      <c r="G1996" s="93"/>
      <c r="H1996" s="92">
        <v>6</v>
      </c>
      <c r="I1996" s="92" t="str">
        <f t="shared" si="103"/>
        <v>X</v>
      </c>
      <c r="J1996" s="79" t="str">
        <f>IF(G1996="","X",_xlfn.XLOOKUP(B1996,DATA_Moresby_2024_ALL!B:B,DATA_Moresby_2024_ALL!K:K,""))</f>
        <v>X</v>
      </c>
      <c r="K1996" s="28"/>
      <c r="L1996" s="29"/>
      <c r="M1996" s="28"/>
      <c r="N1996" s="19" t="str">
        <f t="shared" si="102"/>
        <v/>
      </c>
      <c r="O1996" s="19" t="str">
        <f t="shared" si="102"/>
        <v/>
      </c>
      <c r="P1996" s="19" t="str">
        <f t="shared" si="102"/>
        <v/>
      </c>
      <c r="Q1996" s="19" t="str">
        <f t="shared" si="102"/>
        <v/>
      </c>
      <c r="X1996" s="92" t="s">
        <v>78</v>
      </c>
      <c r="Y1996" s="92" t="s">
        <v>78</v>
      </c>
      <c r="Z1996" s="92" t="s">
        <v>78</v>
      </c>
    </row>
    <row r="1997" spans="1:26" ht="16" hidden="1" x14ac:dyDescent="0.4">
      <c r="A1997" s="92">
        <v>9969</v>
      </c>
      <c r="B1997" s="92">
        <v>9970</v>
      </c>
      <c r="E1997" s="92">
        <v>50</v>
      </c>
      <c r="F1997" s="92" t="str">
        <f>_xlfn.XLOOKUP(B1997, DATA_Moresby_2024_ALL!B:B, DATA_Moresby_2024_ALL!G:G, "")</f>
        <v>9970_20240611_0001_R_0591.jpg</v>
      </c>
      <c r="G1997" s="93" t="str">
        <f t="shared" ref="G1997" si="104">HYPERLINK("D:\Data From Lucan\2024\Moresby\Frames_for_Analysis_50\" &amp; F1997,F1997)</f>
        <v>9970_20240611_0001_R_0591.jpg</v>
      </c>
      <c r="H1997" s="92">
        <v>6</v>
      </c>
      <c r="I1997" s="92" t="str">
        <f t="shared" si="103"/>
        <v/>
      </c>
      <c r="J1997" s="79">
        <f>IF(G1997="","X",_xlfn.XLOOKUP(B1997,DATA_Moresby_2024_ALL!B:B,DATA_Moresby_2024_ALL!K:K,""))</f>
        <v>0</v>
      </c>
      <c r="K1997" s="28"/>
      <c r="L1997" s="29"/>
      <c r="M1997" s="28"/>
      <c r="N1997" s="19"/>
      <c r="O1997" s="19"/>
      <c r="P1997" s="19" t="str">
        <f t="shared" si="102"/>
        <v/>
      </c>
      <c r="Q1997" s="19"/>
      <c r="X1997" s="92" t="s">
        <v>78</v>
      </c>
      <c r="Y1997" s="92" t="s">
        <v>78</v>
      </c>
      <c r="Z1997" s="92" t="s">
        <v>78</v>
      </c>
    </row>
    <row r="1998" spans="1:26" ht="16" hidden="1" x14ac:dyDescent="0.4">
      <c r="A1998" s="92">
        <v>9974</v>
      </c>
      <c r="B1998" s="92">
        <v>9975</v>
      </c>
      <c r="E1998" s="92">
        <v>50</v>
      </c>
      <c r="F1998" s="92" t="str">
        <f>_xlfn.XLOOKUP(B1998, DATA_Moresby_2024_ALL!B:B, DATA_Moresby_2024_ALL!G:G, "")</f>
        <v>9975_20240611_0001_R_0642.jpg</v>
      </c>
      <c r="G1998" s="93" t="str">
        <f t="shared" ref="G1998:G2029" si="105">HYPERLINK("D:\Data From Lucan\2024\Moresby\Frames_for_Analysis_50\" &amp; F1998,F1998)</f>
        <v>9975_20240611_0001_R_0642.jpg</v>
      </c>
      <c r="H1998" s="92">
        <v>6</v>
      </c>
      <c r="I1998" s="92" t="str">
        <f t="shared" si="103"/>
        <v/>
      </c>
      <c r="J1998" s="79">
        <f>IF(G1998="","X",_xlfn.XLOOKUP(B1998,DATA_Moresby_2024_ALL!B:B,DATA_Moresby_2024_ALL!K:K,""))</f>
        <v>0</v>
      </c>
      <c r="K1998" s="28"/>
      <c r="L1998" s="29"/>
      <c r="M1998" s="28"/>
      <c r="N1998" s="19"/>
      <c r="O1998" s="19"/>
      <c r="P1998" s="19" t="str">
        <f t="shared" si="102"/>
        <v/>
      </c>
      <c r="Q1998" s="19"/>
      <c r="X1998" s="92" t="s">
        <v>78</v>
      </c>
      <c r="Y1998" s="92" t="s">
        <v>78</v>
      </c>
      <c r="Z1998" s="92" t="s">
        <v>78</v>
      </c>
    </row>
    <row r="1999" spans="1:26" ht="16" hidden="1" x14ac:dyDescent="0.4">
      <c r="A1999" s="92">
        <v>9979</v>
      </c>
      <c r="B1999" s="92">
        <v>9980</v>
      </c>
      <c r="E1999" s="92">
        <v>50</v>
      </c>
      <c r="F1999" s="92">
        <f>_xlfn.XLOOKUP(B1999, DATA_Moresby_2024_ALL!B:B, DATA_Moresby_2024_ALL!G:G, "")</f>
        <v>0</v>
      </c>
      <c r="G1999" s="93"/>
      <c r="H1999" s="92">
        <v>6</v>
      </c>
      <c r="I1999" s="92" t="str">
        <f t="shared" si="103"/>
        <v>X</v>
      </c>
      <c r="J1999" s="79" t="str">
        <f>IF(G1999="","X",_xlfn.XLOOKUP(B1999,DATA_Moresby_2024_ALL!B:B,DATA_Moresby_2024_ALL!K:K,""))</f>
        <v>X</v>
      </c>
      <c r="K1999" s="28"/>
      <c r="L1999" s="29"/>
      <c r="M1999" s="28"/>
      <c r="N1999" s="19" t="str">
        <f t="shared" si="102"/>
        <v/>
      </c>
      <c r="O1999" s="19" t="str">
        <f t="shared" si="102"/>
        <v/>
      </c>
      <c r="P1999" s="19" t="str">
        <f t="shared" si="102"/>
        <v/>
      </c>
      <c r="Q1999" s="19" t="str">
        <f t="shared" si="102"/>
        <v/>
      </c>
      <c r="X1999" s="92" t="s">
        <v>78</v>
      </c>
      <c r="Y1999" s="92" t="s">
        <v>78</v>
      </c>
      <c r="Z1999" s="92" t="s">
        <v>78</v>
      </c>
    </row>
    <row r="2000" spans="1:26" ht="16" hidden="1" x14ac:dyDescent="0.4">
      <c r="A2000" s="92">
        <v>9984</v>
      </c>
      <c r="B2000" s="92">
        <v>9985</v>
      </c>
      <c r="E2000" s="92">
        <v>50</v>
      </c>
      <c r="F2000" s="92" t="str">
        <f>_xlfn.XLOOKUP(B2000, DATA_Moresby_2024_ALL!B:B, DATA_Moresby_2024_ALL!G:G, "")</f>
        <v>9985_20240611_0001_R_0633.jpg</v>
      </c>
      <c r="G2000" s="93" t="str">
        <f t="shared" si="105"/>
        <v>9985_20240611_0001_R_0633.jpg</v>
      </c>
      <c r="H2000" s="92">
        <v>6</v>
      </c>
      <c r="I2000" s="92" t="str">
        <f t="shared" si="103"/>
        <v/>
      </c>
      <c r="J2000" s="79">
        <f>IF(G2000="","X",_xlfn.XLOOKUP(B2000,DATA_Moresby_2024_ALL!B:B,DATA_Moresby_2024_ALL!K:K,""))</f>
        <v>0</v>
      </c>
      <c r="K2000" s="28"/>
      <c r="L2000" s="29"/>
      <c r="M2000" s="28"/>
      <c r="N2000" s="19"/>
      <c r="O2000" s="19"/>
      <c r="P2000" s="19" t="str">
        <f t="shared" si="102"/>
        <v/>
      </c>
      <c r="Q2000" s="19"/>
      <c r="X2000" s="92" t="s">
        <v>78</v>
      </c>
      <c r="Y2000" s="92" t="s">
        <v>78</v>
      </c>
      <c r="Z2000" s="92" t="s">
        <v>78</v>
      </c>
    </row>
    <row r="2001" spans="1:26" ht="16" hidden="1" x14ac:dyDescent="0.4">
      <c r="A2001" s="92">
        <v>9989</v>
      </c>
      <c r="B2001" s="92">
        <v>9990</v>
      </c>
      <c r="E2001" s="92">
        <v>50</v>
      </c>
      <c r="F2001" s="92">
        <f>_xlfn.XLOOKUP(B2001, DATA_Moresby_2024_ALL!B:B, DATA_Moresby_2024_ALL!G:G, "")</f>
        <v>0</v>
      </c>
      <c r="G2001" s="93"/>
      <c r="H2001" s="92">
        <v>6</v>
      </c>
      <c r="I2001" s="92" t="str">
        <f t="shared" si="103"/>
        <v>X</v>
      </c>
      <c r="J2001" s="79" t="str">
        <f>IF(G2001="","X",_xlfn.XLOOKUP(B2001,DATA_Moresby_2024_ALL!B:B,DATA_Moresby_2024_ALL!K:K,""))</f>
        <v>X</v>
      </c>
      <c r="K2001" s="28"/>
      <c r="L2001" s="29"/>
      <c r="M2001" s="28"/>
      <c r="N2001" s="19" t="str">
        <f t="shared" si="102"/>
        <v/>
      </c>
      <c r="O2001" s="19" t="str">
        <f t="shared" si="102"/>
        <v/>
      </c>
      <c r="P2001" s="19" t="str">
        <f t="shared" si="102"/>
        <v/>
      </c>
      <c r="Q2001" s="19" t="str">
        <f t="shared" si="102"/>
        <v/>
      </c>
      <c r="X2001" s="92" t="s">
        <v>78</v>
      </c>
      <c r="Y2001" s="92" t="s">
        <v>78</v>
      </c>
      <c r="Z2001" s="92" t="s">
        <v>78</v>
      </c>
    </row>
    <row r="2002" spans="1:26" ht="16" hidden="1" x14ac:dyDescent="0.4">
      <c r="A2002" s="92">
        <v>9994</v>
      </c>
      <c r="B2002" s="92">
        <v>9995</v>
      </c>
      <c r="E2002" s="92">
        <v>50</v>
      </c>
      <c r="F2002" s="92" t="str">
        <f>_xlfn.XLOOKUP(B2002, DATA_Moresby_2024_ALL!B:B, DATA_Moresby_2024_ALL!G:G, "")</f>
        <v>9995_20240611_0001_R_0498.jpg</v>
      </c>
      <c r="G2002" s="93" t="str">
        <f t="shared" si="105"/>
        <v>9995_20240611_0001_R_0498.jpg</v>
      </c>
      <c r="H2002" s="92">
        <v>6</v>
      </c>
      <c r="I2002" s="92" t="str">
        <f t="shared" si="103"/>
        <v/>
      </c>
      <c r="J2002" s="79">
        <f>IF(G2002="","X",_xlfn.XLOOKUP(B2002,DATA_Moresby_2024_ALL!B:B,DATA_Moresby_2024_ALL!K:K,""))</f>
        <v>0</v>
      </c>
      <c r="K2002" s="28"/>
      <c r="L2002" s="29"/>
      <c r="M2002" s="28"/>
      <c r="N2002" s="19"/>
      <c r="O2002" s="19"/>
      <c r="P2002" s="19" t="str">
        <f t="shared" si="102"/>
        <v/>
      </c>
      <c r="Q2002" s="19"/>
      <c r="X2002" s="92" t="s">
        <v>78</v>
      </c>
      <c r="Y2002" s="92" t="s">
        <v>78</v>
      </c>
      <c r="Z2002" s="92" t="s">
        <v>78</v>
      </c>
    </row>
    <row r="2003" spans="1:26" ht="16" hidden="1" x14ac:dyDescent="0.4">
      <c r="A2003" s="92">
        <v>9999</v>
      </c>
      <c r="B2003" s="92">
        <v>10000</v>
      </c>
      <c r="E2003" s="92">
        <v>50</v>
      </c>
      <c r="F2003" s="92" t="str">
        <f>_xlfn.XLOOKUP(B2003, DATA_Moresby_2024_ALL!B:B, DATA_Moresby_2024_ALL!G:G, "")</f>
        <v>10000_20240611_0001_R_0584.jpg</v>
      </c>
      <c r="G2003" s="93" t="str">
        <f t="shared" si="105"/>
        <v>10000_20240611_0001_R_0584.jpg</v>
      </c>
      <c r="H2003" s="92">
        <v>6</v>
      </c>
      <c r="I2003" s="92" t="str">
        <f t="shared" si="103"/>
        <v/>
      </c>
      <c r="J2003" s="79">
        <f>IF(G2003="","X",_xlfn.XLOOKUP(B2003,DATA_Moresby_2024_ALL!B:B,DATA_Moresby_2024_ALL!K:K,""))</f>
        <v>0</v>
      </c>
      <c r="K2003" s="28"/>
      <c r="L2003" s="29"/>
      <c r="M2003" s="28"/>
      <c r="N2003" s="19"/>
      <c r="O2003" s="19"/>
      <c r="P2003" s="19" t="str">
        <f t="shared" si="102"/>
        <v/>
      </c>
      <c r="Q2003" s="19"/>
      <c r="X2003" s="92" t="s">
        <v>78</v>
      </c>
      <c r="Y2003" s="92" t="s">
        <v>78</v>
      </c>
      <c r="Z2003" s="92" t="s">
        <v>78</v>
      </c>
    </row>
    <row r="2004" spans="1:26" ht="16" hidden="1" x14ac:dyDescent="0.4">
      <c r="A2004" s="92">
        <v>10004</v>
      </c>
      <c r="B2004" s="92">
        <v>10005</v>
      </c>
      <c r="E2004" s="92">
        <v>50</v>
      </c>
      <c r="F2004" s="92" t="str">
        <f>_xlfn.XLOOKUP(B2004, DATA_Moresby_2024_ALL!B:B, DATA_Moresby_2024_ALL!G:G, "")</f>
        <v>10005_20240611_0001_R_0573.jpg</v>
      </c>
      <c r="G2004" s="93" t="str">
        <f t="shared" si="105"/>
        <v>10005_20240611_0001_R_0573.jpg</v>
      </c>
      <c r="H2004" s="92">
        <v>6</v>
      </c>
      <c r="I2004" s="92" t="str">
        <f t="shared" si="103"/>
        <v/>
      </c>
      <c r="J2004" s="79">
        <f>IF(G2004="","X",_xlfn.XLOOKUP(B2004,DATA_Moresby_2024_ALL!B:B,DATA_Moresby_2024_ALL!K:K,""))</f>
        <v>0</v>
      </c>
      <c r="K2004" s="28"/>
      <c r="L2004" s="29"/>
      <c r="M2004" s="28"/>
      <c r="N2004" s="19"/>
      <c r="O2004" s="19"/>
      <c r="P2004" s="19" t="str">
        <f t="shared" si="102"/>
        <v/>
      </c>
      <c r="Q2004" s="19"/>
      <c r="X2004" s="92" t="s">
        <v>78</v>
      </c>
      <c r="Y2004" s="92" t="s">
        <v>78</v>
      </c>
      <c r="Z2004" s="92" t="s">
        <v>78</v>
      </c>
    </row>
    <row r="2005" spans="1:26" ht="16" x14ac:dyDescent="0.4">
      <c r="A2005" s="92">
        <v>10009</v>
      </c>
      <c r="B2005" s="75">
        <v>10010</v>
      </c>
      <c r="E2005" s="92">
        <v>50</v>
      </c>
      <c r="F2005" s="92" t="str">
        <f>_xlfn.XLOOKUP(B2005, DATA_Moresby_2024_ALL!B:B, DATA_Moresby_2024_ALL!G:G, "")</f>
        <v>10010_20240611_0001_R_0562.jpg</v>
      </c>
      <c r="G2005" s="93" t="str">
        <f t="shared" si="105"/>
        <v>10010_20240611_0001_R_0562.jpg</v>
      </c>
      <c r="H2005" s="75">
        <v>1</v>
      </c>
      <c r="J2005" s="79">
        <f>IF(G2005="","X",_xlfn.XLOOKUP(B2005,DATA_Moresby_2024_ALL!B:B,DATA_Moresby_2024_ALL!K:K,""))</f>
        <v>1</v>
      </c>
      <c r="K2005" s="28"/>
      <c r="L2005" s="29"/>
      <c r="M2005" s="28"/>
      <c r="N2005" s="19">
        <f t="shared" si="102"/>
        <v>4</v>
      </c>
      <c r="O2005" s="19">
        <v>3</v>
      </c>
      <c r="P2005" s="19">
        <f t="shared" si="102"/>
        <v>4</v>
      </c>
      <c r="Q2005" s="19">
        <f t="shared" si="102"/>
        <v>4</v>
      </c>
      <c r="X2005" s="92">
        <v>4</v>
      </c>
      <c r="Y2005" s="92">
        <v>3</v>
      </c>
      <c r="Z2005" s="92">
        <v>3</v>
      </c>
    </row>
    <row r="2006" spans="1:26" ht="16" x14ac:dyDescent="0.4">
      <c r="A2006" s="92">
        <v>10014</v>
      </c>
      <c r="B2006" s="75">
        <v>10015</v>
      </c>
      <c r="E2006" s="92">
        <v>50</v>
      </c>
      <c r="F2006" s="92" t="str">
        <f>_xlfn.XLOOKUP(B2006, DATA_Moresby_2024_ALL!B:B, DATA_Moresby_2024_ALL!G:G, "")</f>
        <v>10015_20240611_0001_R_0481.jpg</v>
      </c>
      <c r="G2006" s="93" t="str">
        <f t="shared" si="105"/>
        <v>10015_20240611_0001_R_0481.jpg</v>
      </c>
      <c r="H2006" s="75">
        <v>1</v>
      </c>
      <c r="J2006" s="79">
        <f>IF(G2006="","X",_xlfn.XLOOKUP(B2006,DATA_Moresby_2024_ALL!B:B,DATA_Moresby_2024_ALL!K:K,""))</f>
        <v>1</v>
      </c>
      <c r="K2006" s="28"/>
      <c r="L2006" s="29"/>
      <c r="M2006" s="28"/>
      <c r="N2006" s="19">
        <f t="shared" si="102"/>
        <v>4</v>
      </c>
      <c r="O2006" s="19">
        <v>3</v>
      </c>
      <c r="P2006" s="19">
        <f t="shared" si="102"/>
        <v>4</v>
      </c>
      <c r="Q2006" s="19">
        <v>3</v>
      </c>
      <c r="X2006" s="92">
        <v>3</v>
      </c>
      <c r="Y2006" s="92">
        <v>3</v>
      </c>
      <c r="Z2006" s="92">
        <v>3</v>
      </c>
    </row>
    <row r="2007" spans="1:26" ht="16" x14ac:dyDescent="0.4">
      <c r="A2007" s="92">
        <v>10019</v>
      </c>
      <c r="B2007" s="75">
        <v>10020</v>
      </c>
      <c r="E2007" s="92">
        <v>50</v>
      </c>
      <c r="F2007" s="92" t="str">
        <f>_xlfn.XLOOKUP(B2007, DATA_Moresby_2024_ALL!B:B, DATA_Moresby_2024_ALL!G:G, "")</f>
        <v>10020_20240611_0001_R_0472.jpg</v>
      </c>
      <c r="G2007" s="93" t="str">
        <f t="shared" si="105"/>
        <v>10020_20240611_0001_R_0472.jpg</v>
      </c>
      <c r="H2007" s="75">
        <v>1</v>
      </c>
      <c r="J2007" s="79">
        <f>IF(G2007="","X",_xlfn.XLOOKUP(B2007,DATA_Moresby_2024_ALL!B:B,DATA_Moresby_2024_ALL!K:K,""))</f>
        <v>1</v>
      </c>
      <c r="K2007" s="28"/>
      <c r="L2007" s="29"/>
      <c r="M2007" s="28"/>
      <c r="N2007" s="19">
        <f t="shared" si="102"/>
        <v>4</v>
      </c>
      <c r="O2007" s="19">
        <v>3</v>
      </c>
      <c r="P2007" s="19">
        <f t="shared" si="102"/>
        <v>4</v>
      </c>
      <c r="Q2007" s="19">
        <v>2</v>
      </c>
      <c r="X2007" s="92" t="s">
        <v>78</v>
      </c>
      <c r="Y2007" s="92" t="s">
        <v>78</v>
      </c>
      <c r="Z2007" s="92" t="s">
        <v>78</v>
      </c>
    </row>
    <row r="2008" spans="1:26" ht="16" x14ac:dyDescent="0.4">
      <c r="A2008" s="92">
        <v>10024</v>
      </c>
      <c r="B2008" s="75">
        <v>10025</v>
      </c>
      <c r="E2008" s="92">
        <v>50</v>
      </c>
      <c r="F2008" s="92" t="str">
        <f>_xlfn.XLOOKUP(B2008, DATA_Moresby_2024_ALL!B:B, DATA_Moresby_2024_ALL!G:G, "")</f>
        <v>10025_20240611_0001_R_0465.jpg</v>
      </c>
      <c r="G2008" s="93" t="str">
        <f t="shared" si="105"/>
        <v>10025_20240611_0001_R_0465.jpg</v>
      </c>
      <c r="H2008" s="75">
        <v>1</v>
      </c>
      <c r="I2008" s="92" t="str">
        <f t="shared" ref="I2008:I2011" si="106">IF(G2008="","X","")</f>
        <v/>
      </c>
      <c r="J2008" s="79">
        <f>IF(G2008="","X",_xlfn.XLOOKUP(B2008,DATA_Moresby_2024_ALL!B:B,DATA_Moresby_2024_ALL!K:K,""))</f>
        <v>0</v>
      </c>
      <c r="K2008" s="28"/>
      <c r="L2008" s="29"/>
      <c r="M2008" s="28"/>
      <c r="N2008" s="19"/>
      <c r="O2008" s="19"/>
      <c r="P2008" s="19" t="str">
        <f t="shared" si="102"/>
        <v/>
      </c>
      <c r="Q2008" s="19"/>
      <c r="X2008" s="92">
        <v>2</v>
      </c>
      <c r="Y2008" s="92">
        <v>4</v>
      </c>
      <c r="Z2008" s="92">
        <v>4</v>
      </c>
    </row>
    <row r="2009" spans="1:26" ht="16" x14ac:dyDescent="0.4">
      <c r="A2009" s="92">
        <v>10029</v>
      </c>
      <c r="B2009" s="75">
        <v>10030</v>
      </c>
      <c r="E2009" s="92">
        <v>50</v>
      </c>
      <c r="F2009" s="92" t="str">
        <f>_xlfn.XLOOKUP(B2009, DATA_Moresby_2024_ALL!B:B, DATA_Moresby_2024_ALL!G:G, "")</f>
        <v>10030_20240611_0001_R_0355.jpg</v>
      </c>
      <c r="G2009" s="93" t="str">
        <f t="shared" si="105"/>
        <v>10030_20240611_0001_R_0355.jpg</v>
      </c>
      <c r="H2009" s="75">
        <v>1</v>
      </c>
      <c r="I2009" s="92" t="str">
        <f t="shared" si="106"/>
        <v/>
      </c>
      <c r="J2009" s="79">
        <f>IF(G2009="","X",_xlfn.XLOOKUP(B2009,DATA_Moresby_2024_ALL!B:B,DATA_Moresby_2024_ALL!K:K,""))</f>
        <v>0</v>
      </c>
      <c r="K2009" s="28"/>
      <c r="L2009" s="29"/>
      <c r="M2009" s="28"/>
      <c r="N2009" s="19"/>
      <c r="O2009" s="19"/>
      <c r="P2009" s="19" t="str">
        <f t="shared" si="102"/>
        <v/>
      </c>
      <c r="Q2009" s="19"/>
      <c r="X2009" s="92" t="s">
        <v>78</v>
      </c>
      <c r="Y2009" s="92" t="s">
        <v>78</v>
      </c>
      <c r="Z2009" s="92" t="s">
        <v>78</v>
      </c>
    </row>
    <row r="2010" spans="1:26" ht="16" x14ac:dyDescent="0.4">
      <c r="A2010" s="92">
        <v>10034</v>
      </c>
      <c r="B2010" s="75">
        <v>10035</v>
      </c>
      <c r="E2010" s="92">
        <v>50</v>
      </c>
      <c r="F2010" s="92" t="str">
        <f>_xlfn.XLOOKUP(B2010, DATA_Moresby_2024_ALL!B:B, DATA_Moresby_2024_ALL!G:G, "")</f>
        <v>10035_20240611_0001_R_0451.jpg</v>
      </c>
      <c r="G2010" s="93" t="str">
        <f t="shared" si="105"/>
        <v>10035_20240611_0001_R_0451.jpg</v>
      </c>
      <c r="H2010" s="75">
        <v>1</v>
      </c>
      <c r="I2010" s="92" t="str">
        <f t="shared" si="106"/>
        <v/>
      </c>
      <c r="J2010" s="79">
        <f>IF(G2010="","X",_xlfn.XLOOKUP(B2010,DATA_Moresby_2024_ALL!B:B,DATA_Moresby_2024_ALL!K:K,""))</f>
        <v>0</v>
      </c>
      <c r="K2010" s="28"/>
      <c r="L2010" s="29"/>
      <c r="M2010" s="28"/>
      <c r="N2010" s="19"/>
      <c r="O2010" s="19"/>
      <c r="P2010" s="19" t="str">
        <f t="shared" si="102"/>
        <v/>
      </c>
      <c r="Q2010" s="19"/>
      <c r="X2010" s="92">
        <v>2</v>
      </c>
      <c r="Y2010" s="92">
        <v>3</v>
      </c>
      <c r="Z2010" s="92">
        <v>4</v>
      </c>
    </row>
    <row r="2011" spans="1:26" ht="16" x14ac:dyDescent="0.4">
      <c r="A2011" s="92">
        <v>10039</v>
      </c>
      <c r="B2011" s="75">
        <v>10040</v>
      </c>
      <c r="E2011" s="92">
        <v>50</v>
      </c>
      <c r="F2011" s="92" t="str">
        <f>_xlfn.XLOOKUP(B2011, DATA_Moresby_2024_ALL!B:B, DATA_Moresby_2024_ALL!G:G, "")</f>
        <v>10040_20240611_0001_R_0390.jpg</v>
      </c>
      <c r="G2011" s="93" t="str">
        <f t="shared" si="105"/>
        <v>10040_20240611_0001_R_0390.jpg</v>
      </c>
      <c r="H2011" s="75">
        <v>1</v>
      </c>
      <c r="I2011" s="92" t="str">
        <f t="shared" si="106"/>
        <v/>
      </c>
      <c r="J2011" s="79">
        <f>IF(G2011="","X",_xlfn.XLOOKUP(B2011,DATA_Moresby_2024_ALL!B:B,DATA_Moresby_2024_ALL!K:K,""))</f>
        <v>0</v>
      </c>
      <c r="K2011" s="28"/>
      <c r="L2011" s="29"/>
      <c r="M2011" s="28"/>
      <c r="N2011" s="19"/>
      <c r="O2011" s="19"/>
      <c r="P2011" s="19" t="str">
        <f t="shared" si="102"/>
        <v/>
      </c>
      <c r="Q2011" s="19"/>
      <c r="X2011" s="92" t="s">
        <v>78</v>
      </c>
      <c r="Y2011" s="92" t="s">
        <v>78</v>
      </c>
      <c r="Z2011" s="92" t="s">
        <v>78</v>
      </c>
    </row>
    <row r="2012" spans="1:26" ht="16" x14ac:dyDescent="0.4">
      <c r="A2012" s="92">
        <v>10044</v>
      </c>
      <c r="B2012" s="75">
        <v>10045</v>
      </c>
      <c r="E2012" s="92">
        <v>50</v>
      </c>
      <c r="F2012" s="92" t="str">
        <f>_xlfn.XLOOKUP(B2012, DATA_Moresby_2024_ALL!B:B, DATA_Moresby_2024_ALL!G:G, "")</f>
        <v>10045_20240611_0001_R_0323.jpg</v>
      </c>
      <c r="G2012" s="93" t="str">
        <f t="shared" si="105"/>
        <v>10045_20240611_0001_R_0323.jpg</v>
      </c>
      <c r="H2012" s="75">
        <v>1</v>
      </c>
      <c r="J2012" s="79">
        <f>IF(G2012="","X",_xlfn.XLOOKUP(B2012,DATA_Moresby_2024_ALL!B:B,DATA_Moresby_2024_ALL!K:K,""))</f>
        <v>1</v>
      </c>
      <c r="K2012" s="28"/>
      <c r="L2012" s="29"/>
      <c r="M2012" s="28"/>
      <c r="N2012" s="19">
        <v>1</v>
      </c>
      <c r="O2012" s="19">
        <v>2</v>
      </c>
      <c r="P2012" s="19">
        <f t="shared" si="102"/>
        <v>4</v>
      </c>
      <c r="Q2012" s="19">
        <f t="shared" si="102"/>
        <v>4</v>
      </c>
      <c r="X2012" s="92" t="s">
        <v>78</v>
      </c>
      <c r="Y2012" s="92" t="s">
        <v>78</v>
      </c>
      <c r="Z2012" s="92" t="s">
        <v>78</v>
      </c>
    </row>
    <row r="2013" spans="1:26" ht="16" x14ac:dyDescent="0.4">
      <c r="A2013" s="92">
        <v>10049</v>
      </c>
      <c r="B2013" s="75">
        <v>10050</v>
      </c>
      <c r="E2013" s="92">
        <v>50</v>
      </c>
      <c r="F2013" s="92" t="str">
        <f>_xlfn.XLOOKUP(B2013, DATA_Moresby_2024_ALL!B:B, DATA_Moresby_2024_ALL!G:G, "")</f>
        <v>10050_20240611_0001_R_0305.jpg</v>
      </c>
      <c r="G2013" s="93" t="str">
        <f t="shared" si="105"/>
        <v>10050_20240611_0001_R_0305.jpg</v>
      </c>
      <c r="H2013" s="75">
        <v>1</v>
      </c>
      <c r="I2013" s="92" t="str">
        <f t="shared" ref="I2013:I2015" si="107">IF(G2013="","X","")</f>
        <v/>
      </c>
      <c r="J2013" s="79">
        <f>IF(G2013="","X",_xlfn.XLOOKUP(B2013,DATA_Moresby_2024_ALL!B:B,DATA_Moresby_2024_ALL!K:K,""))</f>
        <v>0</v>
      </c>
      <c r="K2013" s="28"/>
      <c r="L2013" s="29"/>
      <c r="M2013" s="28"/>
      <c r="N2013" s="19"/>
      <c r="O2013" s="19"/>
      <c r="P2013" s="19" t="str">
        <f t="shared" si="102"/>
        <v/>
      </c>
      <c r="Q2013" s="19"/>
      <c r="X2013" s="92" t="s">
        <v>78</v>
      </c>
      <c r="Y2013" s="92" t="s">
        <v>78</v>
      </c>
      <c r="Z2013" s="92" t="s">
        <v>78</v>
      </c>
    </row>
    <row r="2014" spans="1:26" ht="16" x14ac:dyDescent="0.4">
      <c r="A2014" s="92">
        <v>10054</v>
      </c>
      <c r="B2014" s="75">
        <v>10055</v>
      </c>
      <c r="E2014" s="92">
        <v>50</v>
      </c>
      <c r="F2014" s="92" t="str">
        <f>_xlfn.XLOOKUP(B2014, DATA_Moresby_2024_ALL!B:B, DATA_Moresby_2024_ALL!G:G, "")</f>
        <v>10055_20240611_0001_R_0294.jpg</v>
      </c>
      <c r="G2014" s="93" t="str">
        <f t="shared" si="105"/>
        <v>10055_20240611_0001_R_0294.jpg</v>
      </c>
      <c r="H2014" s="75">
        <v>1</v>
      </c>
      <c r="I2014" s="92" t="str">
        <f t="shared" si="107"/>
        <v/>
      </c>
      <c r="J2014" s="79">
        <f>IF(G2014="","X",_xlfn.XLOOKUP(B2014,DATA_Moresby_2024_ALL!B:B,DATA_Moresby_2024_ALL!K:K,""))</f>
        <v>0</v>
      </c>
      <c r="K2014" s="28"/>
      <c r="L2014" s="29"/>
      <c r="M2014" s="28"/>
      <c r="N2014" s="19"/>
      <c r="O2014" s="19"/>
      <c r="P2014" s="19" t="str">
        <f t="shared" ref="O2014:Q2035" si="108">IF($J2014=1,4,"")</f>
        <v/>
      </c>
      <c r="Q2014" s="19"/>
      <c r="X2014" s="92" t="s">
        <v>78</v>
      </c>
      <c r="Y2014" s="92" t="s">
        <v>78</v>
      </c>
      <c r="Z2014" s="92" t="s">
        <v>78</v>
      </c>
    </row>
    <row r="2015" spans="1:26" ht="16" x14ac:dyDescent="0.4">
      <c r="A2015" s="92">
        <v>10059</v>
      </c>
      <c r="B2015" s="75">
        <v>10060</v>
      </c>
      <c r="E2015" s="92">
        <v>50</v>
      </c>
      <c r="F2015" s="92" t="str">
        <f>_xlfn.XLOOKUP(B2015, DATA_Moresby_2024_ALL!B:B, DATA_Moresby_2024_ALL!G:G, "")</f>
        <v>10060_20240611_0001_R_0286.jpg</v>
      </c>
      <c r="G2015" s="93" t="str">
        <f t="shared" si="105"/>
        <v>10060_20240611_0001_R_0286.jpg</v>
      </c>
      <c r="H2015" s="75">
        <v>1</v>
      </c>
      <c r="I2015" s="92" t="str">
        <f t="shared" si="107"/>
        <v/>
      </c>
      <c r="J2015" s="79">
        <f>IF(G2015="","X",_xlfn.XLOOKUP(B2015,DATA_Moresby_2024_ALL!B:B,DATA_Moresby_2024_ALL!K:K,""))</f>
        <v>0</v>
      </c>
      <c r="K2015" s="28"/>
      <c r="L2015" s="29"/>
      <c r="M2015" s="28"/>
      <c r="N2015" s="19"/>
      <c r="O2015" s="19"/>
      <c r="P2015" s="19" t="str">
        <f t="shared" si="108"/>
        <v/>
      </c>
      <c r="Q2015" s="19"/>
      <c r="X2015" s="92" t="s">
        <v>78</v>
      </c>
      <c r="Y2015" s="92" t="s">
        <v>78</v>
      </c>
      <c r="Z2015" s="92" t="s">
        <v>78</v>
      </c>
    </row>
    <row r="2016" spans="1:26" ht="16" x14ac:dyDescent="0.4">
      <c r="A2016" s="92">
        <v>10064</v>
      </c>
      <c r="B2016" s="75">
        <v>10065</v>
      </c>
      <c r="E2016" s="92">
        <v>50</v>
      </c>
      <c r="F2016" s="92" t="str">
        <f>_xlfn.XLOOKUP(B2016, DATA_Moresby_2024_ALL!B:B, DATA_Moresby_2024_ALL!G:G, "")</f>
        <v>10065_20240611_0001_R_0435.jpg</v>
      </c>
      <c r="G2016" s="93" t="str">
        <f t="shared" si="105"/>
        <v>10065_20240611_0001_R_0435.jpg</v>
      </c>
      <c r="H2016" s="75">
        <v>1</v>
      </c>
      <c r="J2016" s="79">
        <f>IF(G2016="","X",_xlfn.XLOOKUP(B2016,DATA_Moresby_2024_ALL!B:B,DATA_Moresby_2024_ALL!K:K,""))</f>
        <v>1</v>
      </c>
      <c r="K2016" s="28"/>
      <c r="L2016" s="29"/>
      <c r="M2016" s="28"/>
      <c r="N2016" s="19">
        <v>3</v>
      </c>
      <c r="O2016" s="19">
        <v>1</v>
      </c>
      <c r="P2016" s="19">
        <f t="shared" si="108"/>
        <v>4</v>
      </c>
      <c r="Q2016" s="19">
        <f t="shared" si="108"/>
        <v>4</v>
      </c>
      <c r="X2016" s="92" t="s">
        <v>78</v>
      </c>
      <c r="Y2016" s="92" t="s">
        <v>78</v>
      </c>
      <c r="Z2016" s="92" t="s">
        <v>78</v>
      </c>
    </row>
    <row r="2017" spans="1:26" ht="16" x14ac:dyDescent="0.4">
      <c r="A2017" s="92">
        <v>10069</v>
      </c>
      <c r="B2017" s="75">
        <v>10070</v>
      </c>
      <c r="E2017" s="92">
        <v>50</v>
      </c>
      <c r="F2017" s="92" t="str">
        <f>_xlfn.XLOOKUP(B2017, DATA_Moresby_2024_ALL!B:B, DATA_Moresby_2024_ALL!G:G, "")</f>
        <v>10070_20240611_0001_R_0264.jpg</v>
      </c>
      <c r="G2017" s="93" t="str">
        <f t="shared" si="105"/>
        <v>10070_20240611_0001_R_0264.jpg</v>
      </c>
      <c r="H2017" s="75">
        <v>1</v>
      </c>
      <c r="J2017" s="79">
        <f>IF(G2017="","X",_xlfn.XLOOKUP(B2017,DATA_Moresby_2024_ALL!B:B,DATA_Moresby_2024_ALL!K:K,""))</f>
        <v>1</v>
      </c>
      <c r="K2017" s="28"/>
      <c r="L2017" s="29"/>
      <c r="M2017" s="28"/>
      <c r="N2017" s="19">
        <v>1</v>
      </c>
      <c r="O2017" s="19">
        <v>3</v>
      </c>
      <c r="P2017" s="19">
        <f t="shared" si="108"/>
        <v>4</v>
      </c>
      <c r="Q2017" s="19">
        <f t="shared" si="108"/>
        <v>4</v>
      </c>
      <c r="X2017" s="92" t="s">
        <v>78</v>
      </c>
      <c r="Y2017" s="92" t="s">
        <v>78</v>
      </c>
      <c r="Z2017" s="92" t="s">
        <v>78</v>
      </c>
    </row>
    <row r="2018" spans="1:26" ht="16" x14ac:dyDescent="0.4">
      <c r="A2018" s="92">
        <v>10074</v>
      </c>
      <c r="B2018" s="75">
        <v>10075</v>
      </c>
      <c r="E2018" s="92">
        <v>50</v>
      </c>
      <c r="F2018" s="92" t="str">
        <f>_xlfn.XLOOKUP(B2018, DATA_Moresby_2024_ALL!B:B, DATA_Moresby_2024_ALL!G:G, "")</f>
        <v>10075_20240611_0001_R_0250.jpg</v>
      </c>
      <c r="G2018" s="93" t="str">
        <f t="shared" si="105"/>
        <v>10075_20240611_0001_R_0250.jpg</v>
      </c>
      <c r="H2018" s="75">
        <v>1</v>
      </c>
      <c r="I2018" s="92" t="str">
        <f t="shared" ref="I2018:I2035" si="109">IF(G2018="","X","")</f>
        <v/>
      </c>
      <c r="J2018" s="79">
        <f>IF(G2018="","X",_xlfn.XLOOKUP(B2018,DATA_Moresby_2024_ALL!B:B,DATA_Moresby_2024_ALL!K:K,""))</f>
        <v>0</v>
      </c>
      <c r="K2018" s="28"/>
      <c r="L2018" s="29"/>
      <c r="M2018" s="28"/>
      <c r="N2018" s="19"/>
      <c r="O2018" s="19"/>
      <c r="P2018" s="19" t="str">
        <f t="shared" si="108"/>
        <v/>
      </c>
      <c r="Q2018" s="19"/>
      <c r="X2018" s="92" t="s">
        <v>78</v>
      </c>
      <c r="Y2018" s="92" t="s">
        <v>78</v>
      </c>
      <c r="Z2018" s="92" t="s">
        <v>78</v>
      </c>
    </row>
    <row r="2019" spans="1:26" ht="16" x14ac:dyDescent="0.4">
      <c r="A2019" s="92">
        <v>10079</v>
      </c>
      <c r="B2019" s="75">
        <v>10080</v>
      </c>
      <c r="E2019" s="92">
        <v>50</v>
      </c>
      <c r="F2019" s="92" t="str">
        <f>_xlfn.XLOOKUP(B2019, DATA_Moresby_2024_ALL!B:B, DATA_Moresby_2024_ALL!G:G, "")</f>
        <v>10080_20240611_0001_R_0232.jpg</v>
      </c>
      <c r="G2019" s="93" t="str">
        <f t="shared" si="105"/>
        <v>10080_20240611_0001_R_0232.jpg</v>
      </c>
      <c r="H2019" s="75">
        <v>1</v>
      </c>
      <c r="I2019" s="92" t="str">
        <f t="shared" si="109"/>
        <v/>
      </c>
      <c r="J2019" s="79">
        <f>IF(G2019="","X",_xlfn.XLOOKUP(B2019,DATA_Moresby_2024_ALL!B:B,DATA_Moresby_2024_ALL!K:K,""))</f>
        <v>0</v>
      </c>
      <c r="K2019" s="28"/>
      <c r="L2019" s="29"/>
      <c r="M2019" s="28"/>
      <c r="N2019" s="19"/>
      <c r="O2019" s="19"/>
      <c r="P2019" s="19" t="str">
        <f t="shared" si="108"/>
        <v/>
      </c>
      <c r="Q2019" s="19"/>
      <c r="X2019" s="92" t="s">
        <v>78</v>
      </c>
      <c r="Y2019" s="92" t="s">
        <v>78</v>
      </c>
      <c r="Z2019" s="92" t="s">
        <v>78</v>
      </c>
    </row>
    <row r="2020" spans="1:26" ht="16" x14ac:dyDescent="0.4">
      <c r="A2020" s="92">
        <v>10084</v>
      </c>
      <c r="B2020" s="75">
        <v>10085</v>
      </c>
      <c r="E2020" s="92">
        <v>50</v>
      </c>
      <c r="F2020" s="92" t="str">
        <f>_xlfn.XLOOKUP(B2020, DATA_Moresby_2024_ALL!B:B, DATA_Moresby_2024_ALL!G:G, "")</f>
        <v>10085_20240611_0001_R_0213.jpg</v>
      </c>
      <c r="G2020" s="93" t="str">
        <f t="shared" si="105"/>
        <v>10085_20240611_0001_R_0213.jpg</v>
      </c>
      <c r="H2020" s="75">
        <v>1</v>
      </c>
      <c r="I2020" s="92" t="str">
        <f t="shared" si="109"/>
        <v/>
      </c>
      <c r="J2020" s="79">
        <f>IF(G2020="","X",_xlfn.XLOOKUP(B2020,DATA_Moresby_2024_ALL!B:B,DATA_Moresby_2024_ALL!K:K,""))</f>
        <v>0</v>
      </c>
      <c r="K2020" s="28"/>
      <c r="L2020" s="29"/>
      <c r="M2020" s="28"/>
      <c r="N2020" s="19"/>
      <c r="O2020" s="19"/>
      <c r="P2020" s="19" t="str">
        <f t="shared" si="108"/>
        <v/>
      </c>
      <c r="Q2020" s="19"/>
      <c r="X2020" s="92" t="s">
        <v>78</v>
      </c>
      <c r="Y2020" s="92" t="s">
        <v>78</v>
      </c>
      <c r="Z2020" s="92" t="s">
        <v>78</v>
      </c>
    </row>
    <row r="2021" spans="1:26" ht="16" x14ac:dyDescent="0.4">
      <c r="A2021" s="92">
        <v>10089</v>
      </c>
      <c r="B2021" s="75">
        <v>10090</v>
      </c>
      <c r="E2021" s="92">
        <v>50</v>
      </c>
      <c r="F2021" s="92" t="str">
        <f>_xlfn.XLOOKUP(B2021, DATA_Moresby_2024_ALL!B:B, DATA_Moresby_2024_ALL!G:G, "")</f>
        <v>10090_20240611_0001_R_0184.jpg</v>
      </c>
      <c r="G2021" s="93" t="str">
        <f t="shared" si="105"/>
        <v>10090_20240611_0001_R_0184.jpg</v>
      </c>
      <c r="H2021" s="75">
        <v>1</v>
      </c>
      <c r="I2021" s="92" t="str">
        <f t="shared" si="109"/>
        <v/>
      </c>
      <c r="J2021" s="79">
        <f>IF(G2021="","X",_xlfn.XLOOKUP(B2021,DATA_Moresby_2024_ALL!B:B,DATA_Moresby_2024_ALL!K:K,""))</f>
        <v>0</v>
      </c>
      <c r="K2021" s="28"/>
      <c r="L2021" s="29"/>
      <c r="M2021" s="28"/>
      <c r="N2021" s="19"/>
      <c r="O2021" s="19"/>
      <c r="P2021" s="19" t="str">
        <f t="shared" si="108"/>
        <v/>
      </c>
      <c r="Q2021" s="19"/>
      <c r="X2021" s="92" t="s">
        <v>78</v>
      </c>
      <c r="Y2021" s="92" t="s">
        <v>78</v>
      </c>
      <c r="Z2021" s="92" t="s">
        <v>78</v>
      </c>
    </row>
    <row r="2022" spans="1:26" ht="16" x14ac:dyDescent="0.4">
      <c r="A2022" s="92">
        <v>10094</v>
      </c>
      <c r="B2022" s="75">
        <v>10095</v>
      </c>
      <c r="E2022" s="92">
        <v>50</v>
      </c>
      <c r="F2022" s="92" t="str">
        <f>_xlfn.XLOOKUP(B2022, DATA_Moresby_2024_ALL!B:B, DATA_Moresby_2024_ALL!G:G, "")</f>
        <v>10095_20240611_0001_R_0162.jpg</v>
      </c>
      <c r="G2022" s="93" t="str">
        <f t="shared" si="105"/>
        <v>10095_20240611_0001_R_0162.jpg</v>
      </c>
      <c r="H2022" s="75">
        <v>1</v>
      </c>
      <c r="I2022" s="92" t="str">
        <f t="shared" si="109"/>
        <v/>
      </c>
      <c r="J2022" s="79">
        <f>IF(G2022="","X",_xlfn.XLOOKUP(B2022,DATA_Moresby_2024_ALL!B:B,DATA_Moresby_2024_ALL!K:K,""))</f>
        <v>0</v>
      </c>
      <c r="K2022" s="28"/>
      <c r="L2022" s="29"/>
      <c r="M2022" s="28"/>
      <c r="N2022" s="19"/>
      <c r="O2022" s="19"/>
      <c r="P2022" s="19" t="str">
        <f t="shared" si="108"/>
        <v/>
      </c>
      <c r="Q2022" s="19"/>
      <c r="X2022" s="92" t="s">
        <v>78</v>
      </c>
      <c r="Y2022" s="92" t="s">
        <v>78</v>
      </c>
      <c r="Z2022" s="92" t="s">
        <v>78</v>
      </c>
    </row>
    <row r="2023" spans="1:26" ht="16" x14ac:dyDescent="0.4">
      <c r="A2023" s="92">
        <v>10099</v>
      </c>
      <c r="B2023" s="75">
        <v>10100</v>
      </c>
      <c r="E2023" s="92">
        <v>50</v>
      </c>
      <c r="F2023" s="92" t="str">
        <f>_xlfn.XLOOKUP(B2023, DATA_Moresby_2024_ALL!B:B, DATA_Moresby_2024_ALL!G:G, "")</f>
        <v>10100_20240611_0001_R_0142.jpg</v>
      </c>
      <c r="G2023" s="93" t="str">
        <f t="shared" si="105"/>
        <v>10100_20240611_0001_R_0142.jpg</v>
      </c>
      <c r="H2023" s="75">
        <v>1</v>
      </c>
      <c r="I2023" s="92" t="str">
        <f t="shared" si="109"/>
        <v/>
      </c>
      <c r="J2023" s="79">
        <f>IF(G2023="","X",_xlfn.XLOOKUP(B2023,DATA_Moresby_2024_ALL!B:B,DATA_Moresby_2024_ALL!K:K,""))</f>
        <v>0</v>
      </c>
      <c r="K2023" s="28"/>
      <c r="L2023" s="29"/>
      <c r="M2023" s="28"/>
      <c r="N2023" s="19"/>
      <c r="O2023" s="19"/>
      <c r="P2023" s="19" t="str">
        <f t="shared" si="108"/>
        <v/>
      </c>
      <c r="Q2023" s="19"/>
      <c r="X2023" s="92" t="s">
        <v>78</v>
      </c>
      <c r="Y2023" s="92" t="s">
        <v>78</v>
      </c>
      <c r="Z2023" s="92" t="s">
        <v>78</v>
      </c>
    </row>
    <row r="2024" spans="1:26" ht="16" x14ac:dyDescent="0.4">
      <c r="A2024" s="92">
        <v>10104</v>
      </c>
      <c r="B2024" s="75">
        <v>10105</v>
      </c>
      <c r="E2024" s="92">
        <v>50</v>
      </c>
      <c r="F2024" s="92" t="str">
        <f>_xlfn.XLOOKUP(B2024, DATA_Moresby_2024_ALL!B:B, DATA_Moresby_2024_ALL!G:G, "")</f>
        <v>10105_20240611_0001_R_0119.jpg</v>
      </c>
      <c r="G2024" s="93" t="str">
        <f t="shared" si="105"/>
        <v>10105_20240611_0001_R_0119.jpg</v>
      </c>
      <c r="H2024" s="75">
        <v>1</v>
      </c>
      <c r="I2024" s="92" t="str">
        <f t="shared" si="109"/>
        <v/>
      </c>
      <c r="J2024" s="79">
        <f>IF(G2024="","X",_xlfn.XLOOKUP(B2024,DATA_Moresby_2024_ALL!B:B,DATA_Moresby_2024_ALL!K:K,""))</f>
        <v>0</v>
      </c>
      <c r="K2024" s="28"/>
      <c r="L2024" s="29"/>
      <c r="M2024" s="28"/>
      <c r="N2024" s="19"/>
      <c r="O2024" s="19"/>
      <c r="P2024" s="19" t="str">
        <f t="shared" si="108"/>
        <v/>
      </c>
      <c r="Q2024" s="19"/>
      <c r="X2024" s="92" t="s">
        <v>78</v>
      </c>
      <c r="Y2024" s="92" t="s">
        <v>78</v>
      </c>
      <c r="Z2024" s="92" t="s">
        <v>78</v>
      </c>
    </row>
    <row r="2025" spans="1:26" ht="16" x14ac:dyDescent="0.4">
      <c r="A2025" s="92">
        <v>10109</v>
      </c>
      <c r="B2025" s="75">
        <v>10110</v>
      </c>
      <c r="E2025" s="92">
        <v>50</v>
      </c>
      <c r="F2025" s="92" t="str">
        <f>_xlfn.XLOOKUP(B2025, DATA_Moresby_2024_ALL!B:B, DATA_Moresby_2024_ALL!G:G, "")</f>
        <v>10110_20240611_0001_R_0095.jpg</v>
      </c>
      <c r="G2025" s="93" t="str">
        <f t="shared" si="105"/>
        <v>10110_20240611_0001_R_0095.jpg</v>
      </c>
      <c r="H2025" s="75">
        <v>1</v>
      </c>
      <c r="I2025" s="92" t="str">
        <f t="shared" si="109"/>
        <v/>
      </c>
      <c r="J2025" s="79">
        <f>IF(G2025="","X",_xlfn.XLOOKUP(B2025,DATA_Moresby_2024_ALL!B:B,DATA_Moresby_2024_ALL!K:K,""))</f>
        <v>0</v>
      </c>
      <c r="K2025" s="28"/>
      <c r="L2025" s="29"/>
      <c r="M2025" s="28"/>
      <c r="N2025" s="19"/>
      <c r="O2025" s="19"/>
      <c r="P2025" s="19" t="str">
        <f t="shared" si="108"/>
        <v/>
      </c>
      <c r="Q2025" s="19"/>
      <c r="X2025" s="92" t="s">
        <v>78</v>
      </c>
      <c r="Y2025" s="92" t="s">
        <v>78</v>
      </c>
      <c r="Z2025" s="92" t="s">
        <v>78</v>
      </c>
    </row>
    <row r="2026" spans="1:26" ht="16" x14ac:dyDescent="0.4">
      <c r="A2026" s="92">
        <v>10114</v>
      </c>
      <c r="B2026" s="75">
        <v>10115</v>
      </c>
      <c r="E2026" s="92">
        <v>50</v>
      </c>
      <c r="F2026" s="92" t="str">
        <f>_xlfn.XLOOKUP(B2026, DATA_Moresby_2024_ALL!B:B, DATA_Moresby_2024_ALL!G:G, "")</f>
        <v>10115_20240611_0001_R_0080.jpg</v>
      </c>
      <c r="G2026" s="93" t="str">
        <f t="shared" si="105"/>
        <v>10115_20240611_0001_R_0080.jpg</v>
      </c>
      <c r="H2026" s="75">
        <v>1</v>
      </c>
      <c r="I2026" s="92" t="str">
        <f t="shared" si="109"/>
        <v/>
      </c>
      <c r="J2026" s="79">
        <f>IF(G2026="","X",_xlfn.XLOOKUP(B2026,DATA_Moresby_2024_ALL!B:B,DATA_Moresby_2024_ALL!K:K,""))</f>
        <v>0</v>
      </c>
      <c r="K2026" s="28"/>
      <c r="L2026" s="29"/>
      <c r="M2026" s="28"/>
      <c r="N2026" s="19"/>
      <c r="O2026" s="19"/>
      <c r="P2026" s="19" t="str">
        <f t="shared" si="108"/>
        <v/>
      </c>
      <c r="Q2026" s="19"/>
      <c r="X2026" s="92" t="s">
        <v>78</v>
      </c>
      <c r="Y2026" s="92" t="s">
        <v>78</v>
      </c>
      <c r="Z2026" s="92" t="s">
        <v>78</v>
      </c>
    </row>
    <row r="2027" spans="1:26" ht="16" x14ac:dyDescent="0.4">
      <c r="A2027" s="92">
        <v>10119</v>
      </c>
      <c r="B2027" s="75">
        <v>10120</v>
      </c>
      <c r="E2027" s="92">
        <v>50</v>
      </c>
      <c r="F2027" s="92" t="str">
        <f>_xlfn.XLOOKUP(B2027, DATA_Moresby_2024_ALL!B:B, DATA_Moresby_2024_ALL!G:G, "")</f>
        <v>10120_20240611_0001_R_0070.jpg</v>
      </c>
      <c r="G2027" s="93" t="str">
        <f t="shared" si="105"/>
        <v>10120_20240611_0001_R_0070.jpg</v>
      </c>
      <c r="H2027" s="75">
        <v>1</v>
      </c>
      <c r="I2027" s="92" t="str">
        <f t="shared" si="109"/>
        <v/>
      </c>
      <c r="J2027" s="79">
        <f>IF(G2027="","X",_xlfn.XLOOKUP(B2027,DATA_Moresby_2024_ALL!B:B,DATA_Moresby_2024_ALL!K:K,""))</f>
        <v>0</v>
      </c>
      <c r="K2027" s="28"/>
      <c r="L2027" s="29"/>
      <c r="M2027" s="28"/>
      <c r="N2027" s="19"/>
      <c r="O2027" s="19"/>
      <c r="P2027" s="19" t="str">
        <f t="shared" si="108"/>
        <v/>
      </c>
      <c r="Q2027" s="19"/>
      <c r="X2027" s="92" t="s">
        <v>78</v>
      </c>
      <c r="Y2027" s="92" t="s">
        <v>78</v>
      </c>
      <c r="Z2027" s="92" t="s">
        <v>78</v>
      </c>
    </row>
    <row r="2028" spans="1:26" ht="16" x14ac:dyDescent="0.4">
      <c r="A2028" s="92">
        <v>10124</v>
      </c>
      <c r="B2028" s="75">
        <v>10125</v>
      </c>
      <c r="E2028" s="92">
        <v>50</v>
      </c>
      <c r="F2028" s="92" t="str">
        <f>_xlfn.XLOOKUP(B2028, DATA_Moresby_2024_ALL!B:B, DATA_Moresby_2024_ALL!G:G, "")</f>
        <v>10125_20240611_0001_R_0056.jpg</v>
      </c>
      <c r="G2028" s="93" t="str">
        <f t="shared" si="105"/>
        <v>10125_20240611_0001_R_0056.jpg</v>
      </c>
      <c r="H2028" s="75">
        <v>1</v>
      </c>
      <c r="I2028" s="92" t="str">
        <f t="shared" si="109"/>
        <v/>
      </c>
      <c r="J2028" s="79">
        <f>IF(G2028="","X",_xlfn.XLOOKUP(B2028,DATA_Moresby_2024_ALL!B:B,DATA_Moresby_2024_ALL!K:K,""))</f>
        <v>0</v>
      </c>
      <c r="K2028" s="28"/>
      <c r="L2028" s="29"/>
      <c r="M2028" s="28"/>
      <c r="N2028" s="19"/>
      <c r="O2028" s="19"/>
      <c r="P2028" s="19" t="str">
        <f t="shared" si="108"/>
        <v/>
      </c>
      <c r="Q2028" s="19"/>
      <c r="X2028" s="92" t="s">
        <v>78</v>
      </c>
      <c r="Y2028" s="92" t="s">
        <v>78</v>
      </c>
      <c r="Z2028" s="92" t="s">
        <v>78</v>
      </c>
    </row>
    <row r="2029" spans="1:26" ht="16" x14ac:dyDescent="0.4">
      <c r="A2029" s="92">
        <v>10129</v>
      </c>
      <c r="B2029" s="75">
        <v>10130</v>
      </c>
      <c r="E2029" s="92">
        <v>50</v>
      </c>
      <c r="F2029" s="92" t="str">
        <f>_xlfn.XLOOKUP(B2029, DATA_Moresby_2024_ALL!B:B, DATA_Moresby_2024_ALL!G:G, "")</f>
        <v>10130_20240611_0001_R_0029.jpg</v>
      </c>
      <c r="G2029" s="93" t="str">
        <f t="shared" si="105"/>
        <v>10130_20240611_0001_R_0029.jpg</v>
      </c>
      <c r="H2029" s="75">
        <v>1</v>
      </c>
      <c r="I2029" s="92" t="str">
        <f t="shared" si="109"/>
        <v/>
      </c>
      <c r="J2029" s="79">
        <f>IF(G2029="","X",_xlfn.XLOOKUP(B2029,DATA_Moresby_2024_ALL!B:B,DATA_Moresby_2024_ALL!K:K,""))</f>
        <v>0</v>
      </c>
      <c r="K2029" s="28"/>
      <c r="L2029" s="29"/>
      <c r="M2029" s="28"/>
      <c r="N2029" s="19"/>
      <c r="O2029" s="19"/>
      <c r="P2029" s="19" t="str">
        <f t="shared" si="108"/>
        <v/>
      </c>
      <c r="Q2029" s="19"/>
      <c r="X2029" s="92" t="s">
        <v>78</v>
      </c>
      <c r="Y2029" s="92" t="s">
        <v>78</v>
      </c>
      <c r="Z2029" s="92" t="s">
        <v>78</v>
      </c>
    </row>
    <row r="2030" spans="1:26" ht="16" x14ac:dyDescent="0.4">
      <c r="A2030" s="92">
        <v>10134</v>
      </c>
      <c r="B2030" s="75">
        <v>10135</v>
      </c>
      <c r="E2030" s="92">
        <v>50</v>
      </c>
      <c r="F2030" s="92">
        <f>_xlfn.XLOOKUP(B2030, DATA_Moresby_2024_ALL!B:B, DATA_Moresby_2024_ALL!G:G, "")</f>
        <v>0</v>
      </c>
      <c r="G2030" s="93"/>
      <c r="H2030" s="75">
        <v>1</v>
      </c>
      <c r="I2030" s="92" t="str">
        <f t="shared" si="109"/>
        <v>X</v>
      </c>
      <c r="J2030" s="79" t="str">
        <f>IF(G2030="","X",_xlfn.XLOOKUP(B2030,DATA_Moresby_2024_ALL!B:B,DATA_Moresby_2024_ALL!K:K,""))</f>
        <v>X</v>
      </c>
      <c r="K2030" s="28"/>
      <c r="L2030" s="29"/>
      <c r="M2030" s="28"/>
      <c r="N2030" s="19" t="str">
        <f t="shared" ref="N2016:N2035" si="110">IF($J2030=1,4,"")</f>
        <v/>
      </c>
      <c r="O2030" s="19" t="str">
        <f t="shared" si="108"/>
        <v/>
      </c>
      <c r="P2030" s="19" t="str">
        <f t="shared" si="108"/>
        <v/>
      </c>
      <c r="Q2030" s="19" t="str">
        <f t="shared" si="108"/>
        <v/>
      </c>
      <c r="X2030" s="92" t="s">
        <v>78</v>
      </c>
      <c r="Y2030" s="92" t="s">
        <v>78</v>
      </c>
      <c r="Z2030" s="92" t="s">
        <v>78</v>
      </c>
    </row>
    <row r="2031" spans="1:26" ht="16" x14ac:dyDescent="0.4">
      <c r="A2031" s="92">
        <v>10139</v>
      </c>
      <c r="B2031" s="75">
        <v>10140</v>
      </c>
      <c r="E2031" s="92">
        <v>50</v>
      </c>
      <c r="F2031" s="92">
        <f>_xlfn.XLOOKUP(B2031, DATA_Moresby_2024_ALL!B:B, DATA_Moresby_2024_ALL!G:G, "")</f>
        <v>0</v>
      </c>
      <c r="G2031" s="93"/>
      <c r="H2031" s="75">
        <v>1</v>
      </c>
      <c r="I2031" s="92" t="str">
        <f t="shared" si="109"/>
        <v>X</v>
      </c>
      <c r="J2031" s="79" t="str">
        <f>IF(G2031="","X",_xlfn.XLOOKUP(B2031,DATA_Moresby_2024_ALL!B:B,DATA_Moresby_2024_ALL!K:K,""))</f>
        <v>X</v>
      </c>
      <c r="K2031" s="28"/>
      <c r="L2031" s="29"/>
      <c r="M2031" s="28"/>
      <c r="N2031" s="19" t="str">
        <f t="shared" si="110"/>
        <v/>
      </c>
      <c r="O2031" s="19" t="str">
        <f t="shared" si="108"/>
        <v/>
      </c>
      <c r="P2031" s="19" t="str">
        <f t="shared" si="108"/>
        <v/>
      </c>
      <c r="Q2031" s="19" t="str">
        <f t="shared" si="108"/>
        <v/>
      </c>
      <c r="X2031" s="92"/>
      <c r="Y2031" s="92"/>
      <c r="Z2031" s="92"/>
    </row>
    <row r="2032" spans="1:26" ht="16" x14ac:dyDescent="0.4">
      <c r="A2032" s="92">
        <v>10144</v>
      </c>
      <c r="B2032" s="75">
        <v>10145</v>
      </c>
      <c r="E2032" s="92">
        <v>50</v>
      </c>
      <c r="F2032" s="92">
        <f>_xlfn.XLOOKUP(B2032, DATA_Moresby_2024_ALL!B:B, DATA_Moresby_2024_ALL!G:G, "")</f>
        <v>0</v>
      </c>
      <c r="G2032" s="93"/>
      <c r="H2032" s="75">
        <v>1</v>
      </c>
      <c r="I2032" s="92" t="str">
        <f t="shared" si="109"/>
        <v>X</v>
      </c>
      <c r="J2032" s="79" t="str">
        <f>IF(G2032="","X",_xlfn.XLOOKUP(B2032,DATA_Moresby_2024_ALL!B:B,DATA_Moresby_2024_ALL!K:K,""))</f>
        <v>X</v>
      </c>
      <c r="K2032" s="28"/>
      <c r="L2032" s="29"/>
      <c r="M2032" s="28"/>
      <c r="N2032" s="19" t="str">
        <f t="shared" si="110"/>
        <v/>
      </c>
      <c r="O2032" s="19" t="str">
        <f t="shared" si="108"/>
        <v/>
      </c>
      <c r="P2032" s="19" t="str">
        <f t="shared" si="108"/>
        <v/>
      </c>
      <c r="Q2032" s="19" t="str">
        <f t="shared" si="108"/>
        <v/>
      </c>
      <c r="X2032" s="92"/>
      <c r="Y2032" s="92"/>
      <c r="Z2032" s="92"/>
    </row>
    <row r="2033" spans="1:26" ht="16" x14ac:dyDescent="0.4">
      <c r="A2033" s="92">
        <v>10149</v>
      </c>
      <c r="B2033" s="75">
        <v>10150</v>
      </c>
      <c r="E2033" s="92">
        <v>50</v>
      </c>
      <c r="F2033" s="92">
        <f>_xlfn.XLOOKUP(B2033, DATA_Moresby_2024_ALL!B:B, DATA_Moresby_2024_ALL!G:G, "")</f>
        <v>0</v>
      </c>
      <c r="G2033" s="93"/>
      <c r="H2033" s="75">
        <v>1</v>
      </c>
      <c r="I2033" s="92" t="str">
        <f t="shared" si="109"/>
        <v>X</v>
      </c>
      <c r="J2033" s="79" t="str">
        <f>IF(G2033="","X",_xlfn.XLOOKUP(B2033,DATA_Moresby_2024_ALL!B:B,DATA_Moresby_2024_ALL!K:K,""))</f>
        <v>X</v>
      </c>
      <c r="K2033" s="28"/>
      <c r="L2033" s="29"/>
      <c r="M2033" s="28"/>
      <c r="N2033" s="19" t="str">
        <f t="shared" si="110"/>
        <v/>
      </c>
      <c r="O2033" s="19" t="str">
        <f t="shared" si="108"/>
        <v/>
      </c>
      <c r="P2033" s="19" t="str">
        <f t="shared" si="108"/>
        <v/>
      </c>
      <c r="Q2033" s="19" t="str">
        <f t="shared" si="108"/>
        <v/>
      </c>
      <c r="X2033" s="92"/>
      <c r="Y2033" s="92"/>
      <c r="Z2033" s="92"/>
    </row>
    <row r="2034" spans="1:26" ht="16" x14ac:dyDescent="0.4">
      <c r="A2034" s="92">
        <v>10154</v>
      </c>
      <c r="B2034" s="75">
        <v>10155</v>
      </c>
      <c r="E2034" s="92">
        <v>50</v>
      </c>
      <c r="F2034" s="92">
        <f>_xlfn.XLOOKUP(B2034, DATA_Moresby_2024_ALL!B:B, DATA_Moresby_2024_ALL!G:G, "")</f>
        <v>0</v>
      </c>
      <c r="G2034" s="93"/>
      <c r="H2034" s="75">
        <v>1</v>
      </c>
      <c r="I2034" s="92" t="str">
        <f t="shared" si="109"/>
        <v>X</v>
      </c>
      <c r="J2034" s="79" t="str">
        <f>IF(G2034="","X",_xlfn.XLOOKUP(B2034,DATA_Moresby_2024_ALL!B:B,DATA_Moresby_2024_ALL!K:K,""))</f>
        <v>X</v>
      </c>
      <c r="K2034" s="28"/>
      <c r="L2034" s="29"/>
      <c r="M2034" s="28"/>
      <c r="N2034" s="19" t="str">
        <f t="shared" si="110"/>
        <v/>
      </c>
      <c r="O2034" s="19" t="str">
        <f t="shared" si="108"/>
        <v/>
      </c>
      <c r="P2034" s="19" t="str">
        <f t="shared" si="108"/>
        <v/>
      </c>
      <c r="Q2034" s="19" t="str">
        <f t="shared" si="108"/>
        <v/>
      </c>
      <c r="X2034" s="92"/>
      <c r="Y2034" s="92"/>
      <c r="Z2034" s="92"/>
    </row>
    <row r="2035" spans="1:26" ht="16" x14ac:dyDescent="0.4">
      <c r="A2035" s="92">
        <v>10159</v>
      </c>
      <c r="B2035" s="75">
        <v>10160</v>
      </c>
      <c r="E2035" s="92">
        <v>50</v>
      </c>
      <c r="F2035" s="92">
        <f>_xlfn.XLOOKUP(B2035, DATA_Moresby_2024_ALL!B:B, DATA_Moresby_2024_ALL!G:G, "")</f>
        <v>0</v>
      </c>
      <c r="G2035" s="93"/>
      <c r="H2035" s="75">
        <v>1</v>
      </c>
      <c r="I2035" s="92" t="str">
        <f t="shared" si="109"/>
        <v>X</v>
      </c>
      <c r="J2035" s="79" t="str">
        <f>IF(G2035="","X",_xlfn.XLOOKUP(B2035,DATA_Moresby_2024_ALL!B:B,DATA_Moresby_2024_ALL!K:K,""))</f>
        <v>X</v>
      </c>
      <c r="K2035" s="28"/>
      <c r="L2035" s="29"/>
      <c r="M2035" s="28"/>
      <c r="N2035" s="19" t="str">
        <f t="shared" si="110"/>
        <v/>
      </c>
      <c r="O2035" s="19" t="str">
        <f t="shared" si="108"/>
        <v/>
      </c>
      <c r="P2035" s="19" t="str">
        <f t="shared" si="108"/>
        <v/>
      </c>
      <c r="Q2035" s="19" t="str">
        <f t="shared" si="108"/>
        <v/>
      </c>
      <c r="X2035" s="92"/>
      <c r="Y2035" s="92"/>
      <c r="Z2035" s="92"/>
    </row>
  </sheetData>
  <autoFilter ref="A3:Q2035" xr:uid="{59F489CB-E076-473A-B763-27007B3EEF83}">
    <filterColumn colId="7">
      <filters>
        <filter val="1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D9F-C3A9-4941-AD37-1E38C08F2AD1}">
  <sheetPr codeName="Sheet5"/>
  <dimension ref="A1:M50"/>
  <sheetViews>
    <sheetView topLeftCell="A31" workbookViewId="0">
      <selection activeCell="D49" sqref="D49"/>
    </sheetView>
  </sheetViews>
  <sheetFormatPr defaultRowHeight="14.5" x14ac:dyDescent="0.35"/>
  <cols>
    <col min="1" max="1" width="30.1796875" bestFit="1" customWidth="1"/>
    <col min="2" max="2" width="16.26953125" bestFit="1" customWidth="1"/>
    <col min="3" max="3" width="7.08984375" bestFit="1" customWidth="1"/>
    <col min="4" max="4" width="11.08984375" bestFit="1" customWidth="1"/>
    <col min="11" max="11" width="27.7265625" bestFit="1" customWidth="1"/>
    <col min="12" max="12" width="15.81640625" bestFit="1" customWidth="1"/>
  </cols>
  <sheetData>
    <row r="1" spans="1:13" x14ac:dyDescent="0.35">
      <c r="D1" s="70" t="s">
        <v>3981</v>
      </c>
    </row>
    <row r="2" spans="1:13" x14ac:dyDescent="0.35">
      <c r="A2" s="70" t="s">
        <v>3979</v>
      </c>
      <c r="B2" s="71">
        <f>AVERAGE(DATA_Moreseby_2024_50!N15:N1323)</f>
        <v>3.7677543186180422</v>
      </c>
      <c r="C2" s="72"/>
      <c r="D2" s="72">
        <f>IF(B2&lt;2,
    (20.9 + ((B2 - 1.99) * (20.9 / 1.99))),
    IF(AND(B2&gt;=2, B2&lt;=2.5),
        21 + ((19.9 + ((B2 - 2.5) * (19.9 / 0.49)))),
        IF(AND(B2&gt;2.5, B2&lt;=3.25),
            41 + ((19.9 + ((B2 - 3.25) * (19.9 / 0.49)))),
            IF(AND(B2&gt;3.25, B2&lt;=3.75),
                61 + ((19.9 + ((B2 - 3.75) * (19.9 / 0.49)))),
                81 + ((19 + ((B2 - 4) * (19 / 0.24))))))))</f>
        <v>81.613883557261673</v>
      </c>
    </row>
    <row r="3" spans="1:13" x14ac:dyDescent="0.35">
      <c r="A3" s="70" t="s">
        <v>3980</v>
      </c>
      <c r="B3" s="71">
        <f>AVERAGE(DATA_Moreseby_2024_50!O15:O1323)</f>
        <v>3.8099808061420344</v>
      </c>
      <c r="C3" s="72"/>
      <c r="D3" s="72">
        <f>IF(B3&lt;2,
    (20.9 + ((B3 - 1.99) * (20.9 / 1.99))),
    IF(AND(B3&gt;=2, B3&lt;=2.5),
        21 + ((19.9 + ((B3 - 2.5) * (19.9 / 0.49)))),
        IF(AND(B3&gt;2.5, B3&lt;=3.25),
            41 + ((19.9 + ((B3 - 3.25) * (19.9 / 0.49)))),
            IF(AND(B3&gt;3.25, B3&lt;=3.75),
                61 + ((19.9 + ((B3 - 3.75) * (19.9 / 0.49)))),
                81 + ((19 + ((B3 - 4) * (19 / 0.24))))))))</f>
        <v>84.956813819577718</v>
      </c>
    </row>
    <row r="4" spans="1:13" x14ac:dyDescent="0.35">
      <c r="A4" s="70" t="s">
        <v>3983</v>
      </c>
      <c r="B4" s="73">
        <f>AVERAGE(DATA_Moreseby_2024_50!Q17:Q1323)</f>
        <v>3.578846153846154</v>
      </c>
      <c r="C4" s="72"/>
      <c r="D4" s="72">
        <f>IF(B4&lt;2,
    (20.9 + ((B4 - 1.99) * (20.9 / 1.99))),
    IF(AND(B4&gt;=2, B4&lt;=2.5),
        21 + ((19.9 + ((B4 - 2.5) * (19.9 / 0.5)))),
        IF(AND(B4&gt;2.5, B4&lt;=3),
            41 + ((19.9 + ((B4 - 3) * (19.9 / 0.49)))),
            IF(AND(B4&gt;3, B4&lt;=3.5),
                61 + ((19.9 + ((B4 - 3.5) * (19.9 / 0.49)))),
                81 + ((19 + ((B4 - 4) * (19 / 0.49))))))))</f>
        <v>83.669544740973322</v>
      </c>
    </row>
    <row r="5" spans="1:13" x14ac:dyDescent="0.35">
      <c r="A5" s="70" t="s">
        <v>3984</v>
      </c>
      <c r="B5" s="73">
        <f>COUNTIF(DATA_Moresby_2024_ALL!K4:K6601, 1) / (COUNTIF(DATA_Moresby_2024_ALL!K4:K6601, 1) + COUNTIF(DATA_Moresby_2024_ALL!K4:K6601, 0))*100</f>
        <v>93.535714285714292</v>
      </c>
      <c r="C5" s="72"/>
      <c r="D5" s="72">
        <f>IF(B5&lt;50,
    (20.9 + ((B5 - 49.9) * (20.9 / 49.9))),
    IF(AND(B5&gt;=50, B5&lt;=70),
        21 + ((19.9 + ((B5 - 70) * (19.9 / 20)))),
        IF(AND(B5&gt;70, B5&lt;=80),
            41 + ((19.9 + ((B5 - 80) * (19.9 / 9.9)))),
            IF(AND(B5&gt;80, B5&lt;=90),
                61 + ((19.9 + ((B5 - 90) * (19.9 / 9.9)))),
                81 + ((19 + ((B5 - 100) * (19 / 9.9))))))))</f>
        <v>87.593795093795109</v>
      </c>
    </row>
    <row r="6" spans="1:13" x14ac:dyDescent="0.35">
      <c r="A6" s="70"/>
      <c r="B6" s="72"/>
      <c r="C6" s="72"/>
      <c r="D6" s="72"/>
    </row>
    <row r="7" spans="1:13" x14ac:dyDescent="0.35">
      <c r="B7" s="72"/>
      <c r="C7" s="72"/>
      <c r="D7" s="72"/>
    </row>
    <row r="8" spans="1:13" x14ac:dyDescent="0.35">
      <c r="A8" s="70" t="s">
        <v>3975</v>
      </c>
      <c r="B8" s="73">
        <f xml:space="preserve"> ((COUNTIF(DATA_Moresby_2024_ALL!X:X, 1) * 0.5) + (COUNTIF(DATA_Moresby_2024_ALL!X:X, 2) * 1)) * ((COUNTIF(DATA_Moresby_2024_ALL!X:X, 1) + COUNTIF(DATA_Moresby_2024_ALL!X:X, 2)) / COUNTA(DATA_Moresby_2024_ALL!X:X))</f>
        <v>1.7366980845241715</v>
      </c>
      <c r="C8" s="72"/>
      <c r="D8" s="72">
        <f>IF(B8&gt;30,
    (20.9-((B8-30.1)*(20.9/69.9))),
    IF(AND(B8&gt;=14, B8&lt;=30),
       21 + ((19.9 - ((B8-14.1)*(19.9/15.9)))),
        IF(AND(B8&gt;6, B8&lt;=14),
            41 + ((19.9 + ((B8 - 6.1) * (19.9 / 7.9)))),
            IF(AND(B8&gt;2, B8&lt;=6),
                61 + ((19.9 + ((B8 - 2.1) * (19.9 / 3.9)))),
                81 + ((19 - (B8 * (19 / 1.9))))))))</f>
        <v>82.633019154758287</v>
      </c>
    </row>
    <row r="9" spans="1:13" x14ac:dyDescent="0.35">
      <c r="A9" s="70" t="s">
        <v>3974</v>
      </c>
      <c r="B9" s="73">
        <f xml:space="preserve"> ((COUNTIF(DATA_Moresby_2024_ALL!S:S, 1) * 0.5) + (COUNTIF(DATA_Moresby_2024_ALL!S:S, 2) * 1)) * ((COUNTIF(DATA_Moresby_2024_ALL!S:S, 1) + COUNTIF(DATA_Moresby_2024_ALL!S:S, 2)) / COUNTA(DATA_Moresby_2024_ALL!S:S))</f>
        <v>0</v>
      </c>
      <c r="C9" s="72"/>
      <c r="D9" s="72">
        <f>IF(B9&gt;15,
    (20.9-((B9-15.1)*(20.9/84.9))),
    IF(AND(B9&gt;=7, B9&lt;=15),
       21 + ((19.9 - ((B9-15.1)*(19.9/7.9)))),
        IF(AND(B9&gt;3, B9&lt;=7),
            41 + ((19.9 + ((B9 - 3.1) * (19.9 / 3.9)))),
            IF(AND(B9&gt;1, B9&lt;=3),
                61 + ((19.9 + ((B9 - 1.1) * (19.9 / 1.9)))),
                81 + ((19 - (B9 * 19)))))))</f>
        <v>100</v>
      </c>
    </row>
    <row r="10" spans="1:13" x14ac:dyDescent="0.35">
      <c r="B10" s="72"/>
      <c r="C10" s="72"/>
      <c r="D10" s="72"/>
    </row>
    <row r="11" spans="1:13" x14ac:dyDescent="0.35">
      <c r="A11" s="70" t="s">
        <v>3978</v>
      </c>
      <c r="C11" s="72"/>
      <c r="D11" s="72">
        <f>(D5+D3+D2)/3</f>
        <v>84.721497490211505</v>
      </c>
    </row>
    <row r="12" spans="1:13" x14ac:dyDescent="0.35">
      <c r="A12" s="70" t="s">
        <v>3976</v>
      </c>
      <c r="C12" s="72"/>
      <c r="D12" s="72">
        <f>(D9+D8)/2</f>
        <v>91.316509577379151</v>
      </c>
    </row>
    <row r="13" spans="1:13" x14ac:dyDescent="0.35">
      <c r="A13" s="70" t="s">
        <v>3977</v>
      </c>
      <c r="C13" s="72"/>
      <c r="D13" s="72">
        <f>(D11+D4+D12)/3</f>
        <v>86.569183936187983</v>
      </c>
    </row>
    <row r="16" spans="1:13" s="92" customFormat="1" x14ac:dyDescent="0.35">
      <c r="K16" s="89" t="s">
        <v>9</v>
      </c>
      <c r="L16" s="92" t="s">
        <v>7379</v>
      </c>
      <c r="M16"/>
    </row>
    <row r="17" spans="1:12" x14ac:dyDescent="0.35">
      <c r="K17" s="89" t="s">
        <v>10</v>
      </c>
      <c r="L17" s="92" t="s">
        <v>7379</v>
      </c>
    </row>
    <row r="18" spans="1:12" x14ac:dyDescent="0.35">
      <c r="A18" s="89" t="s">
        <v>9</v>
      </c>
      <c r="B18" s="92" t="s">
        <v>7379</v>
      </c>
      <c r="K18" s="89" t="s">
        <v>35</v>
      </c>
      <c r="L18" s="101">
        <v>1</v>
      </c>
    </row>
    <row r="20" spans="1:12" x14ac:dyDescent="0.35">
      <c r="B20" s="89" t="s">
        <v>7375</v>
      </c>
      <c r="K20" t="s">
        <v>7383</v>
      </c>
    </row>
    <row r="21" spans="1:12" x14ac:dyDescent="0.35">
      <c r="B21" s="92" t="s">
        <v>26</v>
      </c>
      <c r="C21" s="92" t="s">
        <v>7376</v>
      </c>
      <c r="D21" s="92" t="s">
        <v>7377</v>
      </c>
      <c r="K21" s="102">
        <v>3.905084745762712</v>
      </c>
    </row>
    <row r="22" spans="1:12" x14ac:dyDescent="0.35">
      <c r="A22" t="s">
        <v>7378</v>
      </c>
      <c r="B22" s="88">
        <v>412</v>
      </c>
      <c r="C22" s="88">
        <v>1606</v>
      </c>
      <c r="D22" s="88">
        <v>2018</v>
      </c>
      <c r="G22" s="92">
        <f>C22/D22*100</f>
        <v>79.58374628344896</v>
      </c>
    </row>
    <row r="24" spans="1:12" x14ac:dyDescent="0.35">
      <c r="A24" s="89" t="s">
        <v>9</v>
      </c>
      <c r="B24" s="92" t="s">
        <v>7379</v>
      </c>
      <c r="K24" s="89" t="s">
        <v>9</v>
      </c>
      <c r="L24" s="92" t="s">
        <v>7379</v>
      </c>
    </row>
    <row r="25" spans="1:12" x14ac:dyDescent="0.35">
      <c r="A25" s="89" t="s">
        <v>10</v>
      </c>
      <c r="B25" s="92" t="s">
        <v>7376</v>
      </c>
      <c r="C25" s="92"/>
      <c r="D25" s="92"/>
      <c r="K25" s="89" t="s">
        <v>10</v>
      </c>
      <c r="L25" s="92" t="s">
        <v>7379</v>
      </c>
    </row>
    <row r="26" spans="1:12" x14ac:dyDescent="0.35">
      <c r="A26" s="92"/>
      <c r="B26" s="92"/>
      <c r="C26" s="92"/>
      <c r="D26" s="92"/>
      <c r="K26" s="89" t="s">
        <v>35</v>
      </c>
      <c r="L26" s="101">
        <v>1</v>
      </c>
    </row>
    <row r="27" spans="1:12" x14ac:dyDescent="0.35">
      <c r="A27" s="89" t="s">
        <v>7380</v>
      </c>
      <c r="B27" t="s">
        <v>7378</v>
      </c>
      <c r="K27" s="92"/>
      <c r="L27" s="92"/>
    </row>
    <row r="28" spans="1:12" x14ac:dyDescent="0.35">
      <c r="A28" s="101">
        <v>0</v>
      </c>
      <c r="B28" s="88">
        <v>124</v>
      </c>
      <c r="K28" t="s">
        <v>7384</v>
      </c>
      <c r="L28" s="92"/>
    </row>
    <row r="29" spans="1:12" x14ac:dyDescent="0.35">
      <c r="A29" s="101">
        <v>1</v>
      </c>
      <c r="B29" s="88">
        <v>1482</v>
      </c>
      <c r="G29" s="92">
        <f>B29/B30*100</f>
        <v>92.27895392278954</v>
      </c>
      <c r="K29" s="102">
        <v>3.8644067796610169</v>
      </c>
      <c r="L29" s="92"/>
    </row>
    <row r="30" spans="1:12" x14ac:dyDescent="0.35">
      <c r="A30" s="101" t="s">
        <v>7377</v>
      </c>
      <c r="B30" s="88">
        <v>1606</v>
      </c>
    </row>
    <row r="32" spans="1:12" x14ac:dyDescent="0.35">
      <c r="A32" s="89" t="s">
        <v>9</v>
      </c>
      <c r="B32" s="92" t="s">
        <v>7379</v>
      </c>
      <c r="K32" s="89" t="s">
        <v>9</v>
      </c>
      <c r="L32" s="92" t="s">
        <v>7379</v>
      </c>
    </row>
    <row r="33" spans="1:12" x14ac:dyDescent="0.35">
      <c r="A33" s="89" t="s">
        <v>10</v>
      </c>
      <c r="B33" s="92" t="s">
        <v>7376</v>
      </c>
      <c r="K33" s="89" t="s">
        <v>10</v>
      </c>
      <c r="L33" s="92" t="s">
        <v>7379</v>
      </c>
    </row>
    <row r="34" spans="1:12" x14ac:dyDescent="0.35">
      <c r="A34" s="89" t="s">
        <v>7373</v>
      </c>
      <c r="B34" s="101">
        <v>1</v>
      </c>
      <c r="K34" s="89" t="s">
        <v>35</v>
      </c>
      <c r="L34" s="101">
        <v>1</v>
      </c>
    </row>
    <row r="35" spans="1:12" x14ac:dyDescent="0.35">
      <c r="A35" s="92"/>
      <c r="B35" s="92"/>
      <c r="K35" s="92"/>
      <c r="L35" s="92"/>
    </row>
    <row r="36" spans="1:12" x14ac:dyDescent="0.35">
      <c r="A36" s="89" t="s">
        <v>7380</v>
      </c>
      <c r="B36" t="s">
        <v>7381</v>
      </c>
      <c r="K36" t="s">
        <v>7385</v>
      </c>
      <c r="L36" s="92"/>
    </row>
    <row r="37" spans="1:12" x14ac:dyDescent="0.35">
      <c r="A37" s="101">
        <v>0</v>
      </c>
      <c r="B37" s="88">
        <v>0</v>
      </c>
      <c r="K37" s="102">
        <v>3.6474576271186439</v>
      </c>
      <c r="L37" s="92"/>
    </row>
    <row r="38" spans="1:12" x14ac:dyDescent="0.35">
      <c r="A38" s="101" t="s">
        <v>7377</v>
      </c>
      <c r="B38" s="88">
        <v>0</v>
      </c>
    </row>
    <row r="42" spans="1:12" x14ac:dyDescent="0.35">
      <c r="A42" s="89" t="s">
        <v>9</v>
      </c>
      <c r="B42" s="92" t="s">
        <v>7379</v>
      </c>
    </row>
    <row r="43" spans="1:12" x14ac:dyDescent="0.35">
      <c r="A43" s="89" t="s">
        <v>10</v>
      </c>
      <c r="B43" s="92" t="s">
        <v>7376</v>
      </c>
    </row>
    <row r="44" spans="1:12" x14ac:dyDescent="0.35">
      <c r="A44" s="89" t="s">
        <v>7373</v>
      </c>
      <c r="B44" s="92" t="s">
        <v>7379</v>
      </c>
    </row>
    <row r="45" spans="1:12" x14ac:dyDescent="0.35">
      <c r="A45" s="92"/>
      <c r="B45" s="92"/>
    </row>
    <row r="46" spans="1:12" x14ac:dyDescent="0.35">
      <c r="A46" s="89" t="s">
        <v>7380</v>
      </c>
      <c r="B46" t="s">
        <v>7382</v>
      </c>
    </row>
    <row r="47" spans="1:12" x14ac:dyDescent="0.35">
      <c r="A47" s="101">
        <v>0</v>
      </c>
      <c r="B47" s="88">
        <v>1510</v>
      </c>
    </row>
    <row r="48" spans="1:12" x14ac:dyDescent="0.35">
      <c r="A48" s="101">
        <v>1</v>
      </c>
      <c r="B48" s="88">
        <v>87</v>
      </c>
      <c r="C48" s="92">
        <f>B48*0.5</f>
        <v>43.5</v>
      </c>
      <c r="D48" s="92">
        <f>B48/$B$50*100</f>
        <v>5.4171855541718559</v>
      </c>
    </row>
    <row r="49" spans="1:4" x14ac:dyDescent="0.35">
      <c r="A49" s="101">
        <v>2</v>
      </c>
      <c r="B49" s="88">
        <v>9</v>
      </c>
      <c r="C49" s="92">
        <f>B49</f>
        <v>9</v>
      </c>
      <c r="D49" s="92">
        <f>B49/$B$50*100</f>
        <v>0.56039850560398508</v>
      </c>
    </row>
    <row r="50" spans="1:4" x14ac:dyDescent="0.35">
      <c r="A50" s="101" t="s">
        <v>7377</v>
      </c>
      <c r="B50" s="88">
        <v>1606</v>
      </c>
      <c r="C50" s="92">
        <f>SUM(C48:C49)/B50*100</f>
        <v>3.2689912826899126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ccess xmlns="05f86d41-f6e0-43b2-a913-247ac5810638">true</Access>
    <Number xmlns="05f86d41-f6e0-43b2-a913-247ac5810638" xsi:nil="true"/>
    <lcf76f155ced4ddcb4097134ff3c332f xmlns="05f86d41-f6e0-43b2-a913-247ac5810638">
      <Terms xmlns="http://schemas.microsoft.com/office/infopath/2007/PartnerControls"/>
    </lcf76f155ced4ddcb4097134ff3c332f>
    <Sharewith xmlns="05f86d41-f6e0-43b2-a913-247ac5810638">
      <UserInfo>
        <DisplayName/>
        <AccountId xsi:nil="true"/>
        <AccountType/>
      </UserInfo>
    </Sharewith>
    <TaxCatchAll xmlns="3c70e591-ee3a-49ff-abe7-f483d26c411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DD425F1AC83D4682C5092AA2B1BA0D" ma:contentTypeVersion="21" ma:contentTypeDescription="Create a new document." ma:contentTypeScope="" ma:versionID="51256c5b5a2f95259e8f6bc5f24b9f12">
  <xsd:schema xmlns:xsd="http://www.w3.org/2001/XMLSchema" xmlns:xs="http://www.w3.org/2001/XMLSchema" xmlns:p="http://schemas.microsoft.com/office/2006/metadata/properties" xmlns:ns2="05f86d41-f6e0-43b2-a913-247ac5810638" xmlns:ns3="3c70e591-ee3a-49ff-abe7-f483d26c4117" targetNamespace="http://schemas.microsoft.com/office/2006/metadata/properties" ma:root="true" ma:fieldsID="250bc82ef6d0594b48b55690c9b99ebc" ns2:_="" ns3:_="">
    <xsd:import namespace="05f86d41-f6e0-43b2-a913-247ac5810638"/>
    <xsd:import namespace="3c70e591-ee3a-49ff-abe7-f483d26c4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harewith" minOccurs="0"/>
                <xsd:element ref="ns2:Access" minOccurs="0"/>
                <xsd:element ref="ns2:Numbe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f86d41-f6e0-43b2-a913-247ac5810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harewith" ma:index="21" nillable="true" ma:displayName="Share with" ma:format="Dropdown" ma:list="UserInfo" ma:SharePointGroup="0" ma:internalName="Sharewith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ccess" ma:index="22" nillable="true" ma:displayName="Access" ma:default="1" ma:internalName="Access">
      <xsd:simpleType>
        <xsd:restriction base="dms:Boolean"/>
      </xsd:simpleType>
    </xsd:element>
    <xsd:element name="Number" ma:index="23" nillable="true" ma:displayName="Number" ma:format="Dropdown" ma:internalName="Number" ma:percentage="FALSE">
      <xsd:simpleType>
        <xsd:restriction base="dms:Number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f58cf635-27fa-473c-8fe9-9d9a3ddffc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0e591-ee3a-49ff-abe7-f483d26c4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eea27c9-b83f-4aff-83bd-f2823f3a5d0a}" ma:internalName="TaxCatchAll" ma:showField="CatchAllData" ma:web="3c70e591-ee3a-49ff-abe7-f483d26c4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6DD18E-9600-48B1-A68E-0A8BA8DBC64D}">
  <ds:schemaRefs>
    <ds:schemaRef ds:uri="http://schemas.microsoft.com/office/2006/metadata/properties"/>
    <ds:schemaRef ds:uri="http://schemas.microsoft.com/office/infopath/2007/PartnerControls"/>
    <ds:schemaRef ds:uri="05f86d41-f6e0-43b2-a913-247ac5810638"/>
    <ds:schemaRef ds:uri="3c70e591-ee3a-49ff-abe7-f483d26c4117"/>
  </ds:schemaRefs>
</ds:datastoreItem>
</file>

<file path=customXml/itemProps2.xml><?xml version="1.0" encoding="utf-8"?>
<ds:datastoreItem xmlns:ds="http://schemas.openxmlformats.org/officeDocument/2006/customXml" ds:itemID="{DC4255B4-C11E-4976-A640-1C8AA9B280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f86d41-f6e0-43b2-a913-247ac5810638"/>
    <ds:schemaRef ds:uri="3c70e591-ee3a-49ff-abe7-f483d26c41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7276FE3-08B9-42A3-8357-09DCBAB232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DATA_Moresby_2022_ALL</vt:lpstr>
      <vt:lpstr>DATA_Moresby_2022_50</vt:lpstr>
      <vt:lpstr>DATA_Moresby_2024_ALL</vt:lpstr>
      <vt:lpstr>DATA_Moreseby_2024_50</vt:lpstr>
      <vt:lpstr>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Jock Mackenzie</dc:creator>
  <cp:keywords/>
  <dc:description/>
  <cp:lastModifiedBy>Jock Mackenzie</cp:lastModifiedBy>
  <cp:revision/>
  <dcterms:created xsi:type="dcterms:W3CDTF">2024-08-11T06:36:36Z</dcterms:created>
  <dcterms:modified xsi:type="dcterms:W3CDTF">2025-05-02T11:16:59Z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0x010100F8DD425F1AC83D4682C5092AA2B1BA0D</vt:lpwstr>
  </property>
  <property fmtid="{D5CDD505-2E9C-101B-9397-08002B2CF9AE}" pid="3" name="MediaServiceImageTags">
    <vt:lpwstr/>
  </property>
</Properties>
</file>